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:\eecono\WEBS\ESTAD PARA WEB\"/>
    </mc:Choice>
  </mc:AlternateContent>
  <xr:revisionPtr revIDLastSave="0" documentId="13_ncr:1_{3229B2E3-F447-4FFB-90EA-349B731CAE0E}" xr6:coauthVersionLast="47" xr6:coauthVersionMax="47" xr10:uidLastSave="{00000000-0000-0000-0000-000000000000}"/>
  <bookViews>
    <workbookView xWindow="-120" yWindow="-120" windowWidth="29040" windowHeight="15720" tabRatio="838" firstSheet="10" activeTab="10" xr2:uid="{00000000-000D-0000-FFFF-FFFF00000000}"/>
  </bookViews>
  <sheets>
    <sheet name="01.XLS" sheetId="2080" r:id="rId1"/>
    <sheet name="02.XLS" sheetId="1893" r:id="rId2"/>
    <sheet name="03.XLS" sheetId="1894" r:id="rId3"/>
    <sheet name="04.XLS" sheetId="1895" r:id="rId4"/>
    <sheet name="05.XLS" sheetId="1896" r:id="rId5"/>
    <sheet name="06.XLS" sheetId="1897" r:id="rId6"/>
    <sheet name="07.XLS" sheetId="1720" r:id="rId7"/>
    <sheet name="08.XLS" sheetId="2081" r:id="rId8"/>
    <sheet name="09.XLS" sheetId="2082" r:id="rId9"/>
    <sheet name="10.XLS" sheetId="2639" r:id="rId10"/>
    <sheet name="11.XLS-BASE 2007" sheetId="2626" r:id="rId11"/>
    <sheet name="Mincetur" sheetId="2074" r:id="rId12"/>
    <sheet name="13.XLS" sheetId="2083" r:id="rId13"/>
    <sheet name="14.XLS" sheetId="1814" r:id="rId14"/>
    <sheet name="15.XLS" sheetId="2638" r:id="rId15"/>
    <sheet name="16.XLS" sheetId="2628" r:id="rId16"/>
    <sheet name="GASTOS G.N." sheetId="2629" r:id="rId17"/>
    <sheet name="INVERSIÓN G.N." sheetId="2630" r:id="rId18"/>
    <sheet name="INGRESOS G.R." sheetId="2631" r:id="rId19"/>
    <sheet name="GASTOS G.R." sheetId="2632" r:id="rId20"/>
    <sheet name="INVERSIÓN G.R." sheetId="2633" r:id="rId21"/>
    <sheet name="INGRESOS G.L." sheetId="2634" r:id="rId22"/>
    <sheet name="GASTOS G.L." sheetId="2635" r:id="rId23"/>
    <sheet name="INVERSIÓN G.L." sheetId="2636" r:id="rId24"/>
    <sheet name="20.XLS" sheetId="2076" r:id="rId25"/>
    <sheet name="21.XLS" sheetId="2077" r:id="rId26"/>
    <sheet name="22.XLS" sheetId="2078" r:id="rId27"/>
    <sheet name="23.XLS" sheetId="2079" r:id="rId28"/>
    <sheet name="24.XLS" sheetId="1523" r:id="rId29"/>
    <sheet name="22.XLS (2)" sheetId="822" state="hidden" r:id="rId30"/>
  </sheets>
  <externalReferences>
    <externalReference r:id="rId31"/>
  </externalReferences>
  <definedNames>
    <definedName name="_xlnm._FilterDatabase" localSheetId="6" hidden="1">'07.XLS'!$FN$11:$FP$74</definedName>
    <definedName name="_xlnm.Print_Area" localSheetId="29">'22.XLS (2)'!$A$1:$EL$65</definedName>
    <definedName name="UCA.AGRO.DATE">'01.XLS'!$B$5:$FA$5</definedName>
    <definedName name="UCA.AGRO.NAME">'01.XLS'!$A$7:$A$55</definedName>
    <definedName name="UCA.AGRO.VAL">'01.XLS'!$B$7:$FA$55</definedName>
    <definedName name="UCA.AGROOTROS.DATE">'02.XLS'!$B$5:$FA$5</definedName>
    <definedName name="UCA.AGROOTROS.NAME">'02.XLS'!$A$7:$A$51</definedName>
    <definedName name="UCA.AGROOTROS.VAL">'02.XLS'!$B$7:$FA$51</definedName>
    <definedName name="UCA.ASERRADA.DATE">'09.XLS'!$B$5:$FA$5</definedName>
    <definedName name="UCA.ASERRADA.NAME">'09.XLS'!$A$7:$A$41</definedName>
    <definedName name="UCA.ASERRADA.VAL">'09.XLS'!$B$7:$FA$41</definedName>
    <definedName name="UCA.COSECHAS.DATE">'05.XLS'!$B$5:$FA$5</definedName>
    <definedName name="UCA.COSECHAS.NAME">'05.XLS'!$A$7:$A$34</definedName>
    <definedName name="UCA.COSECHAS.VAL">'05.XLS'!$B$7:$FA$34</definedName>
    <definedName name="UCA.COSECHASOTROS.DATE">'06.XLS'!$B$5:$FA$5</definedName>
    <definedName name="UCA.COSECHASOTROS.NAME">'06.XLS'!$A$7:$A$49</definedName>
    <definedName name="UCA.COSECHASOTROS.VAL">'06.XLS'!$B$7:$FA$49</definedName>
    <definedName name="UCA.GGL.DATE">'GASTOS G.L.'!$B$5:$FA$5</definedName>
    <definedName name="UCA.GGL.NAME">'GASTOS G.L.'!$A$7:$A$30</definedName>
    <definedName name="UCA.GGL.VAL">'GASTOS G.L.'!$B$7:$FA$30</definedName>
    <definedName name="UCA.GGN.DATE">'GASTOS G.N.'!$B$5:$FA$5</definedName>
    <definedName name="UCA.GGN.NAME">'GASTOS G.N.'!$A$7:$A$30</definedName>
    <definedName name="UCA.GGN.VAL">'GASTOS G.N.'!$B$7:$FA$30</definedName>
    <definedName name="UCA.GGR.DATE">'GASTOS G.R.'!$B$5:$FA$5</definedName>
    <definedName name="UCA.GGR.NAME">'GASTOS G.R.'!$A$7:$A$31</definedName>
    <definedName name="UCA.GGR.VAL">'GASTOS G.R.'!$B$7:$FA$31</definedName>
    <definedName name="UCA.HIDROCARBURO.DATE">'10.XLS'!$B$5:$FA$5</definedName>
    <definedName name="UCA.HIDROCARBURO.NAME">'10.XLS'!$A$7:$A$14</definedName>
    <definedName name="UCA.HIDROCARBURO.VAL">'10.XLS'!$B$7:$FA$14</definedName>
    <definedName name="UCA.IGL.DATE">'INVERSIÓN G.L.'!$B$5:$FA$5</definedName>
    <definedName name="UCA.IGL.NAME">'INVERSIÓN G.L.'!$A$7:$A$32</definedName>
    <definedName name="UCA.IGL.VAL">'INVERSIÓN G.L.'!$B$7:$FA$32</definedName>
    <definedName name="UCA.IGN.DATE">'INVERSIÓN G.N.'!$B$5:$FA$5</definedName>
    <definedName name="UCA.IGN.NAME">'INVERSIÓN G.N.'!$A$7:$A$34</definedName>
    <definedName name="UCA.IGN.VAL">'INVERSIÓN G.N.'!$B$7:$FA$34</definedName>
    <definedName name="UCA.IGR.DATE">'INVERSIÓN G.R.'!$B$5:$FA$5</definedName>
    <definedName name="UCA.IGR.NAME">'INVERSIÓN G.R.'!$A$7:$A$34</definedName>
    <definedName name="UCA.IGR.VAL">'INVERSIÓN G.R.'!$B$7:$FA$34</definedName>
    <definedName name="UCA.MANUFACTURA.DATE">'11.XLS-BASE 2007'!$B$5:$FA$5</definedName>
    <definedName name="UCA.MANUFACTURA.NAME">'11.XLS-BASE 2007'!$A$7:$A$17</definedName>
    <definedName name="UCA.MANUFACTURA.VAL">'11.XLS-BASE 2007'!$B$7:$FA$17</definedName>
    <definedName name="UCA.MANUFACTURAVAR.NAME">'11.XLS-BASE 2007'!$A$23:$A$33</definedName>
    <definedName name="UCA.MANUFACTURAVAR.VAL">'11.XLS-BASE 2007'!$B$23:$FA$33</definedName>
    <definedName name="UCA.PESCA.DATE">'07.XLS'!$B$5:$FA$5</definedName>
    <definedName name="UCA.PESCA.NAME">'07.XLS'!$A$7:$A$54</definedName>
    <definedName name="UCA.PESCA.VAL">'07.XLS'!$B$7:$FA$54</definedName>
    <definedName name="UCA.ROLLIZA.DATE">'08.XLS'!$B$5:$FA$5</definedName>
    <definedName name="UCA.ROLLIZA.NAME">'08.XLS'!$A$7:$A$41</definedName>
    <definedName name="UCA.ROLLIZA.VAL">'08.XLS'!$B$7:$FA$41</definedName>
    <definedName name="UCA.SIEMBRAS.DATE">'03.XLS'!$B$5:$FN$5</definedName>
    <definedName name="UCA.SIEMBRAS.NAME">'03.XLS'!$A$7:$A$34</definedName>
    <definedName name="UCA.SIEMBRAS.VAL">'03.XLS'!$B$7:$FN$34</definedName>
    <definedName name="UCA.SIEMBRASOTROS.DATE">'04.XLS'!$B$5:$FN$5</definedName>
    <definedName name="UCA.SIEMBRASOTROS.NAME">'04.XLS'!$A$7:$A$49</definedName>
    <definedName name="UCA.SIEMBRASOTROS.VAL">'04.XLS'!$B$7:$FN$49</definedName>
    <definedName name="UCA.X.DATE">'15.XLS'!$B$5:$FA$5</definedName>
    <definedName name="UCA.X.NAME">'15.XLS'!$A$7:$A$34</definedName>
    <definedName name="UCA.X.VAL">'15.XLS'!$B$7:$FA$34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C5" i="2626" l="1"/>
  <c r="EU23" i="2626"/>
  <c r="EV24" i="2626"/>
  <c r="EV25" i="2626"/>
  <c r="EV26" i="2626"/>
  <c r="EV27" i="2626"/>
  <c r="EV28" i="2626"/>
  <c r="EV29" i="2626"/>
  <c r="EV30" i="2626"/>
  <c r="EV31" i="2626"/>
  <c r="EV32" i="2626"/>
  <c r="EV33" i="2626"/>
  <c r="EV23" i="2626"/>
  <c r="FC5" i="2636"/>
  <c r="FH8" i="2636"/>
  <c r="FH9" i="2636"/>
  <c r="FH10" i="2636"/>
  <c r="FH11" i="2636"/>
  <c r="FH12" i="2636"/>
  <c r="FH13" i="2636"/>
  <c r="FH14" i="2636"/>
  <c r="FH15" i="2636"/>
  <c r="FH16" i="2636"/>
  <c r="FH17" i="2636"/>
  <c r="FH18" i="2636"/>
  <c r="FH19" i="2636"/>
  <c r="FH20" i="2636"/>
  <c r="FH21" i="2636"/>
  <c r="FH22" i="2636"/>
  <c r="FH23" i="2636"/>
  <c r="FH24" i="2636"/>
  <c r="FH25" i="2636"/>
  <c r="FH7" i="2636"/>
  <c r="EV27" i="2636"/>
  <c r="EV7" i="2636"/>
  <c r="FH45" i="2635"/>
  <c r="FH42" i="2635"/>
  <c r="FH43" i="2635"/>
  <c r="FH44" i="2635"/>
  <c r="FH46" i="2635"/>
  <c r="FH47" i="2635"/>
  <c r="FH48" i="2635"/>
  <c r="FH49" i="2635"/>
  <c r="FH50" i="2635"/>
  <c r="FH51" i="2635"/>
  <c r="FH52" i="2635"/>
  <c r="FH53" i="2635"/>
  <c r="FH54" i="2635"/>
  <c r="FH55" i="2635"/>
  <c r="FH41" i="2635"/>
  <c r="FC5" i="2635"/>
  <c r="EV71" i="2635"/>
  <c r="EV68" i="2635"/>
  <c r="EV42" i="2635"/>
  <c r="EV43" i="2635"/>
  <c r="EV44" i="2635"/>
  <c r="EV45" i="2635"/>
  <c r="EV46" i="2635"/>
  <c r="EV47" i="2635"/>
  <c r="EV48" i="2635"/>
  <c r="EV49" i="2635"/>
  <c r="EV50" i="2635"/>
  <c r="EV51" i="2635"/>
  <c r="EV52" i="2635"/>
  <c r="EV53" i="2635"/>
  <c r="EV54" i="2635"/>
  <c r="EV55" i="2635"/>
  <c r="EV56" i="2635"/>
  <c r="EV57" i="2635"/>
  <c r="EV58" i="2635"/>
  <c r="EV59" i="2635"/>
  <c r="EV60" i="2635"/>
  <c r="EV61" i="2635"/>
  <c r="EV62" i="2635"/>
  <c r="EV41" i="2635"/>
  <c r="EV36" i="2635"/>
  <c r="EV23" i="2635"/>
  <c r="EV19" i="2635"/>
  <c r="EV14" i="2635"/>
  <c r="EV8" i="2635"/>
  <c r="EV7" i="2635"/>
  <c r="FH8" i="2633"/>
  <c r="FH9" i="2633"/>
  <c r="FH10" i="2633"/>
  <c r="FH11" i="2633"/>
  <c r="FH12" i="2633"/>
  <c r="FH13" i="2633"/>
  <c r="FH14" i="2633"/>
  <c r="FH15" i="2633"/>
  <c r="FH16" i="2633"/>
  <c r="FH17" i="2633"/>
  <c r="FH18" i="2633"/>
  <c r="FH19" i="2633"/>
  <c r="FH20" i="2633"/>
  <c r="FH21" i="2633"/>
  <c r="FH22" i="2633"/>
  <c r="FH23" i="2633"/>
  <c r="FH24" i="2633"/>
  <c r="FH25" i="2633"/>
  <c r="FH26" i="2633"/>
  <c r="FH27" i="2633"/>
  <c r="FH7" i="2633"/>
  <c r="FC5" i="2633"/>
  <c r="EV29" i="2633"/>
  <c r="EV7" i="2633"/>
  <c r="FC77" i="2632"/>
  <c r="FH44" i="2632"/>
  <c r="FH45" i="2632"/>
  <c r="FH46" i="2632"/>
  <c r="FH47" i="2632"/>
  <c r="FH48" i="2632"/>
  <c r="FH49" i="2632"/>
  <c r="FH50" i="2632"/>
  <c r="FH51" i="2632"/>
  <c r="FH52" i="2632"/>
  <c r="FH53" i="2632"/>
  <c r="FH54" i="2632"/>
  <c r="FH43" i="2632"/>
  <c r="FC43" i="2632"/>
  <c r="FC41" i="2632"/>
  <c r="FC73" i="2632"/>
  <c r="FC5" i="2632"/>
  <c r="EV81" i="2632"/>
  <c r="EV80" i="2632" s="1"/>
  <c r="EV82" i="2632"/>
  <c r="EV83" i="2632"/>
  <c r="EV84" i="2632"/>
  <c r="EV104" i="2632" s="1"/>
  <c r="EV85" i="2632"/>
  <c r="EV105" i="2632" s="1"/>
  <c r="EV87" i="2632"/>
  <c r="EV107" i="2632" s="1"/>
  <c r="EV88" i="2632"/>
  <c r="EV108" i="2632" s="1"/>
  <c r="EV89" i="2632"/>
  <c r="EV109" i="2632" s="1"/>
  <c r="EV90" i="2632"/>
  <c r="EV110" i="2632" s="1"/>
  <c r="EV91" i="2632"/>
  <c r="EV111" i="2632" s="1"/>
  <c r="EV93" i="2632"/>
  <c r="EV94" i="2632"/>
  <c r="EV95" i="2632"/>
  <c r="EV115" i="2632" s="1"/>
  <c r="EV96" i="2632"/>
  <c r="EV116" i="2632" s="1"/>
  <c r="EV97" i="2632"/>
  <c r="EV117" i="2632" s="1"/>
  <c r="EV101" i="2632"/>
  <c r="EV102" i="2632"/>
  <c r="EV103" i="2632"/>
  <c r="EV114" i="2632"/>
  <c r="EV70" i="2632"/>
  <c r="EV73" i="2632"/>
  <c r="EV23" i="2632"/>
  <c r="EV14" i="2632"/>
  <c r="EV8" i="2632"/>
  <c r="EV7" i="2632"/>
  <c r="EV43" i="2632" s="1"/>
  <c r="EV59" i="2632"/>
  <c r="EV44" i="2632"/>
  <c r="EV45" i="2632"/>
  <c r="EV46" i="2632"/>
  <c r="EV47" i="2632"/>
  <c r="EV48" i="2632"/>
  <c r="EV49" i="2632"/>
  <c r="EV50" i="2632"/>
  <c r="EV51" i="2632"/>
  <c r="EV52" i="2632"/>
  <c r="EV53" i="2632"/>
  <c r="EV54" i="2632"/>
  <c r="EV55" i="2632"/>
  <c r="EV56" i="2632"/>
  <c r="EV57" i="2632"/>
  <c r="EV58" i="2632"/>
  <c r="EV60" i="2632"/>
  <c r="EV61" i="2632"/>
  <c r="EV62" i="2632"/>
  <c r="EV63" i="2632"/>
  <c r="EV64" i="2632"/>
  <c r="EV65" i="2632"/>
  <c r="EV37" i="2632"/>
  <c r="FH8" i="2630"/>
  <c r="FH9" i="2630"/>
  <c r="FH10" i="2630"/>
  <c r="FH11" i="2630"/>
  <c r="FH12" i="2630"/>
  <c r="FH13" i="2630"/>
  <c r="FH14" i="2630"/>
  <c r="FH15" i="2630"/>
  <c r="FH16" i="2630"/>
  <c r="FH17" i="2630"/>
  <c r="FH18" i="2630"/>
  <c r="FH19" i="2630"/>
  <c r="FH20" i="2630"/>
  <c r="FH21" i="2630"/>
  <c r="FH22" i="2630"/>
  <c r="FH23" i="2630"/>
  <c r="FH24" i="2630"/>
  <c r="FH25" i="2630"/>
  <c r="FH26" i="2630"/>
  <c r="FH27" i="2630"/>
  <c r="FH7" i="2630"/>
  <c r="FC5" i="2630"/>
  <c r="EV29" i="2630"/>
  <c r="EV7" i="2630"/>
  <c r="EV92" i="2632" l="1"/>
  <c r="EV113" i="2632"/>
  <c r="EV112" i="2632" s="1"/>
  <c r="EV122" i="2632" s="1"/>
  <c r="EV106" i="2632"/>
  <c r="EV121" i="2632" s="1"/>
  <c r="EV100" i="2632"/>
  <c r="EV86" i="2632"/>
  <c r="EV79" i="2632" s="1"/>
  <c r="EV99" i="2632" l="1"/>
  <c r="EV120" i="2632"/>
  <c r="EV119" i="2632" s="1"/>
  <c r="EV44" i="2629" l="1"/>
  <c r="FH42" i="2629"/>
  <c r="FH43" i="2629"/>
  <c r="FH44" i="2629"/>
  <c r="FH45" i="2629"/>
  <c r="FH46" i="2629"/>
  <c r="FH47" i="2629"/>
  <c r="FH48" i="2629"/>
  <c r="FH49" i="2629"/>
  <c r="FH50" i="2629"/>
  <c r="FH51" i="2629"/>
  <c r="FH52" i="2629"/>
  <c r="FH41" i="2629"/>
  <c r="FH8" i="2629"/>
  <c r="FH9" i="2629"/>
  <c r="FH10" i="2629"/>
  <c r="FH11" i="2629"/>
  <c r="FH12" i="2629"/>
  <c r="FH13" i="2629"/>
  <c r="FH14" i="2629"/>
  <c r="FH15" i="2629"/>
  <c r="FH16" i="2629"/>
  <c r="FH17" i="2629"/>
  <c r="FH18" i="2629"/>
  <c r="FH7" i="2629"/>
  <c r="FC5" i="2629"/>
  <c r="EV68" i="2629"/>
  <c r="EV71" i="2629"/>
  <c r="EV42" i="2629"/>
  <c r="EV43" i="2629"/>
  <c r="EV45" i="2629"/>
  <c r="EV46" i="2629"/>
  <c r="EV47" i="2629"/>
  <c r="EV48" i="2629"/>
  <c r="EV49" i="2629"/>
  <c r="EV50" i="2629"/>
  <c r="EV51" i="2629"/>
  <c r="EV52" i="2629"/>
  <c r="EV53" i="2629"/>
  <c r="EV54" i="2629"/>
  <c r="EV55" i="2629"/>
  <c r="EV57" i="2629"/>
  <c r="EV58" i="2629"/>
  <c r="EV59" i="2629"/>
  <c r="EV60" i="2629"/>
  <c r="EV61" i="2629"/>
  <c r="EV62" i="2629"/>
  <c r="EV41" i="2629"/>
  <c r="EV34" i="2629"/>
  <c r="EV23" i="2629"/>
  <c r="EV19" i="2629"/>
  <c r="EV14" i="2629"/>
  <c r="EV8" i="2629"/>
  <c r="EV7" i="2629"/>
  <c r="FC31" i="2628" l="1"/>
  <c r="FC32" i="2628"/>
  <c r="FC33" i="2628"/>
  <c r="FC34" i="2628"/>
  <c r="FC35" i="2628"/>
  <c r="FC36" i="2628"/>
  <c r="FC37" i="2628"/>
  <c r="FC38" i="2628"/>
  <c r="FC39" i="2628"/>
  <c r="FC40" i="2628"/>
  <c r="FC41" i="2628"/>
  <c r="FC42" i="2628"/>
  <c r="FC43" i="2628"/>
  <c r="FC44" i="2628"/>
  <c r="FC30" i="2628"/>
  <c r="FC8" i="2628"/>
  <c r="FC9" i="2628"/>
  <c r="FC10" i="2628"/>
  <c r="FC11" i="2628"/>
  <c r="FC12" i="2628"/>
  <c r="FC13" i="2628"/>
  <c r="FC14" i="2628"/>
  <c r="FC15" i="2628"/>
  <c r="FC16" i="2628"/>
  <c r="FC17" i="2628"/>
  <c r="FC18" i="2628"/>
  <c r="FC19" i="2628"/>
  <c r="FC20" i="2628"/>
  <c r="FC21" i="2628"/>
  <c r="EV32" i="2628"/>
  <c r="EV33" i="2628"/>
  <c r="EV34" i="2628"/>
  <c r="EV35" i="2628"/>
  <c r="EV36" i="2628"/>
  <c r="EV37" i="2628"/>
  <c r="EV38" i="2628"/>
  <c r="EV39" i="2628"/>
  <c r="EV40" i="2628"/>
  <c r="EV41" i="2628"/>
  <c r="EV42" i="2628"/>
  <c r="EV44" i="2628"/>
  <c r="EV30" i="2628"/>
  <c r="FC7" i="2628"/>
  <c r="FC5" i="2628"/>
  <c r="FF59" i="2634"/>
  <c r="EV59" i="2634"/>
  <c r="EV60" i="2634"/>
  <c r="FE60" i="2634"/>
  <c r="FE61" i="2634"/>
  <c r="FE62" i="2634"/>
  <c r="FE63" i="2634"/>
  <c r="FE64" i="2634"/>
  <c r="FE65" i="2634"/>
  <c r="FE66" i="2634"/>
  <c r="FE67" i="2634"/>
  <c r="FE68" i="2634"/>
  <c r="FE69" i="2634"/>
  <c r="FE70" i="2634"/>
  <c r="FE71" i="2634"/>
  <c r="FE72" i="2634"/>
  <c r="FE73" i="2634"/>
  <c r="FE74" i="2634"/>
  <c r="FE75" i="2634"/>
  <c r="FE76" i="2634"/>
  <c r="FE77" i="2634"/>
  <c r="FE78" i="2634"/>
  <c r="FE79" i="2634"/>
  <c r="FE80" i="2634"/>
  <c r="FE81" i="2634"/>
  <c r="FE82" i="2634"/>
  <c r="FE83" i="2634"/>
  <c r="FE84" i="2634"/>
  <c r="FE85" i="2634"/>
  <c r="FE86" i="2634"/>
  <c r="FE87" i="2634"/>
  <c r="FE88" i="2634"/>
  <c r="FE89" i="2634"/>
  <c r="FE90" i="2634"/>
  <c r="FE91" i="2634"/>
  <c r="FC60" i="2634"/>
  <c r="FC61" i="2634"/>
  <c r="FC62" i="2634"/>
  <c r="FC63" i="2634"/>
  <c r="FC64" i="2634"/>
  <c r="FC65" i="2634"/>
  <c r="FC66" i="2634"/>
  <c r="FC67" i="2634"/>
  <c r="FC68" i="2634"/>
  <c r="FC69" i="2634"/>
  <c r="FC70" i="2634"/>
  <c r="FC71" i="2634"/>
  <c r="FC72" i="2634"/>
  <c r="FC73" i="2634"/>
  <c r="FC74" i="2634"/>
  <c r="FC75" i="2634"/>
  <c r="FC76" i="2634"/>
  <c r="FC77" i="2634"/>
  <c r="FC78" i="2634"/>
  <c r="FC79" i="2634"/>
  <c r="FC80" i="2634"/>
  <c r="FC81" i="2634"/>
  <c r="FC82" i="2634"/>
  <c r="FC83" i="2634"/>
  <c r="FC84" i="2634"/>
  <c r="FC85" i="2634"/>
  <c r="FC86" i="2634"/>
  <c r="FC87" i="2634"/>
  <c r="FC88" i="2634"/>
  <c r="FC89" i="2634"/>
  <c r="FC90" i="2634"/>
  <c r="FC91" i="2634"/>
  <c r="FE59" i="2634"/>
  <c r="FC59" i="2634"/>
  <c r="FC58" i="2634"/>
  <c r="FE42" i="2634"/>
  <c r="FE43" i="2634"/>
  <c r="FE44" i="2634"/>
  <c r="FE45" i="2634"/>
  <c r="FE46" i="2634"/>
  <c r="FE47" i="2634"/>
  <c r="FE48" i="2634"/>
  <c r="FE49" i="2634"/>
  <c r="FE50" i="2634"/>
  <c r="FE51" i="2634"/>
  <c r="FE53" i="2634"/>
  <c r="FC42" i="2634"/>
  <c r="FC43" i="2634"/>
  <c r="FC44" i="2634"/>
  <c r="FC45" i="2634"/>
  <c r="FC46" i="2634"/>
  <c r="FC47" i="2634"/>
  <c r="FC48" i="2634"/>
  <c r="FC49" i="2634"/>
  <c r="FC50" i="2634"/>
  <c r="FC51" i="2634"/>
  <c r="FC53" i="2634"/>
  <c r="FC40" i="2634"/>
  <c r="FE40" i="2634"/>
  <c r="FC39" i="2634"/>
  <c r="FC8" i="2634"/>
  <c r="FC9" i="2634"/>
  <c r="FC10" i="2634"/>
  <c r="FC11" i="2634"/>
  <c r="FC12" i="2634"/>
  <c r="FC13" i="2634"/>
  <c r="FC14" i="2634"/>
  <c r="FC15" i="2634"/>
  <c r="FC16" i="2634"/>
  <c r="FC17" i="2634"/>
  <c r="FC18" i="2634"/>
  <c r="FC19" i="2634"/>
  <c r="FC20" i="2634"/>
  <c r="FC21" i="2634"/>
  <c r="FC22" i="2634"/>
  <c r="FC23" i="2634"/>
  <c r="FC24" i="2634"/>
  <c r="FC25" i="2634"/>
  <c r="FC26" i="2634"/>
  <c r="FC27" i="2634"/>
  <c r="FC28" i="2634"/>
  <c r="FC29" i="2634"/>
  <c r="FC30" i="2634"/>
  <c r="FC31" i="2634"/>
  <c r="FC7" i="2634"/>
  <c r="FC5" i="2634"/>
  <c r="EV43" i="2634"/>
  <c r="EV44" i="2634"/>
  <c r="EV47" i="2634"/>
  <c r="EV46" i="2634" s="1"/>
  <c r="EV45" i="2634" s="1"/>
  <c r="EV48" i="2634"/>
  <c r="EV49" i="2634"/>
  <c r="EV50" i="2634"/>
  <c r="EV51" i="2634"/>
  <c r="EV53" i="2634"/>
  <c r="EV35" i="2634"/>
  <c r="EV56" i="2634"/>
  <c r="FE63" i="2631"/>
  <c r="FE64" i="2631"/>
  <c r="FE65" i="2631"/>
  <c r="FE66" i="2631"/>
  <c r="FE67" i="2631"/>
  <c r="FE68" i="2631"/>
  <c r="FE69" i="2631"/>
  <c r="FE70" i="2631"/>
  <c r="FE71" i="2631"/>
  <c r="FE72" i="2631"/>
  <c r="FE73" i="2631"/>
  <c r="FE74" i="2631"/>
  <c r="FE75" i="2631"/>
  <c r="FE76" i="2631"/>
  <c r="FE77" i="2631"/>
  <c r="FE78" i="2631"/>
  <c r="FE79" i="2631"/>
  <c r="FE80" i="2631"/>
  <c r="FE81" i="2631"/>
  <c r="FE82" i="2631"/>
  <c r="FE83" i="2631"/>
  <c r="FE84" i="2631"/>
  <c r="FE85" i="2631"/>
  <c r="FE86" i="2631"/>
  <c r="FE87" i="2631"/>
  <c r="FE88" i="2631"/>
  <c r="FE89" i="2631"/>
  <c r="FE90" i="2631"/>
  <c r="FE91" i="2631"/>
  <c r="FE62" i="2631"/>
  <c r="FC63" i="2631"/>
  <c r="FC64" i="2631"/>
  <c r="FC65" i="2631"/>
  <c r="FC66" i="2631"/>
  <c r="FC67" i="2631"/>
  <c r="FC68" i="2631"/>
  <c r="FC69" i="2631"/>
  <c r="FC70" i="2631"/>
  <c r="FC71" i="2631"/>
  <c r="FC72" i="2631"/>
  <c r="FC73" i="2631"/>
  <c r="FC74" i="2631"/>
  <c r="FC75" i="2631"/>
  <c r="FC76" i="2631"/>
  <c r="FC77" i="2631"/>
  <c r="FC78" i="2631"/>
  <c r="FC79" i="2631"/>
  <c r="FC80" i="2631"/>
  <c r="FC81" i="2631"/>
  <c r="FC82" i="2631"/>
  <c r="FC83" i="2631"/>
  <c r="FC84" i="2631"/>
  <c r="FC85" i="2631"/>
  <c r="FC86" i="2631"/>
  <c r="FC87" i="2631"/>
  <c r="FC88" i="2631"/>
  <c r="FC89" i="2631"/>
  <c r="FC90" i="2631"/>
  <c r="FC91" i="2631"/>
  <c r="FC92" i="2631"/>
  <c r="FC62" i="2631"/>
  <c r="FC61" i="2631"/>
  <c r="FC59" i="2631"/>
  <c r="FE43" i="2631"/>
  <c r="FE44" i="2631"/>
  <c r="FE45" i="2631"/>
  <c r="FE46" i="2631"/>
  <c r="FE47" i="2631"/>
  <c r="FE48" i="2631"/>
  <c r="FE49" i="2631"/>
  <c r="FE50" i="2631"/>
  <c r="FE51" i="2631"/>
  <c r="FE52" i="2631"/>
  <c r="FE54" i="2631"/>
  <c r="FC43" i="2631"/>
  <c r="FC44" i="2631"/>
  <c r="FC45" i="2631"/>
  <c r="FC46" i="2631"/>
  <c r="FC47" i="2631"/>
  <c r="FC48" i="2631"/>
  <c r="FC49" i="2631"/>
  <c r="FC50" i="2631"/>
  <c r="FC51" i="2631"/>
  <c r="FC52" i="2631"/>
  <c r="FC54" i="2631"/>
  <c r="FE41" i="2631"/>
  <c r="FC41" i="2631"/>
  <c r="FC40" i="2631"/>
  <c r="FE7" i="2631"/>
  <c r="FC8" i="2631"/>
  <c r="FC9" i="2631"/>
  <c r="FC10" i="2631"/>
  <c r="FC11" i="2631"/>
  <c r="FC12" i="2631"/>
  <c r="FC13" i="2631"/>
  <c r="FC14" i="2631"/>
  <c r="FC15" i="2631"/>
  <c r="FC16" i="2631"/>
  <c r="FC17" i="2631"/>
  <c r="FC18" i="2631"/>
  <c r="FC19" i="2631"/>
  <c r="FC20" i="2631"/>
  <c r="FC21" i="2631"/>
  <c r="FC22" i="2631"/>
  <c r="FC23" i="2631"/>
  <c r="FC24" i="2631"/>
  <c r="FC25" i="2631"/>
  <c r="FC26" i="2631"/>
  <c r="FC27" i="2631"/>
  <c r="FC28" i="2631"/>
  <c r="FC29" i="2631"/>
  <c r="FC30" i="2631"/>
  <c r="FC7" i="2631"/>
  <c r="FC5" i="2631"/>
  <c r="EV37" i="2631"/>
  <c r="EV38" i="2631" s="1"/>
  <c r="EV59" i="2631"/>
  <c r="EV44" i="2631"/>
  <c r="EV46" i="2631"/>
  <c r="EV48" i="2631"/>
  <c r="EV47" i="2631" s="1"/>
  <c r="EV45" i="2631" s="1"/>
  <c r="EV49" i="2631"/>
  <c r="EV50" i="2631"/>
  <c r="EV51" i="2631"/>
  <c r="EV52" i="2631"/>
  <c r="EV54" i="2631"/>
  <c r="EV7" i="2631"/>
  <c r="EV63" i="2631"/>
  <c r="EV62" i="2631" s="1"/>
  <c r="EV27" i="2631"/>
  <c r="EV23" i="2631"/>
  <c r="ER8" i="2631"/>
  <c r="ER7" i="2631" s="1"/>
  <c r="ES8" i="2631"/>
  <c r="ES7" i="2631" s="1"/>
  <c r="ET8" i="2631"/>
  <c r="ET7" i="2631" s="1"/>
  <c r="EU8" i="2631"/>
  <c r="EU7" i="2631" s="1"/>
  <c r="EV8" i="2631"/>
  <c r="EU24" i="2626"/>
  <c r="EU25" i="2626"/>
  <c r="EU26" i="2626"/>
  <c r="EU27" i="2626"/>
  <c r="EU28" i="2626"/>
  <c r="EU29" i="2626"/>
  <c r="EU30" i="2626"/>
  <c r="EU31" i="2626"/>
  <c r="EU32" i="2626"/>
  <c r="EU33" i="2626"/>
  <c r="ET24" i="2626"/>
  <c r="ET33" i="2626"/>
  <c r="ES33" i="2626"/>
  <c r="ES24" i="2626"/>
  <c r="ES25" i="2626"/>
  <c r="ES26" i="2626"/>
  <c r="ES27" i="2626"/>
  <c r="ES28" i="2626"/>
  <c r="ES29" i="2626"/>
  <c r="ES30" i="2626"/>
  <c r="ES31" i="2626"/>
  <c r="ES32" i="2626"/>
  <c r="ES23" i="2626"/>
  <c r="EP28" i="2626"/>
  <c r="EP25" i="2626"/>
  <c r="ER33" i="2626"/>
  <c r="EQ33" i="2626"/>
  <c r="EP33" i="2626"/>
  <c r="EO33" i="2626"/>
  <c r="EV42" i="2634" l="1"/>
  <c r="EV40" i="2634" s="1"/>
  <c r="EV36" i="2634"/>
  <c r="EV43" i="2631"/>
  <c r="EV41" i="2631" s="1"/>
  <c r="FE30" i="2628"/>
  <c r="EU32" i="2628"/>
  <c r="EU33" i="2628"/>
  <c r="EU34" i="2628"/>
  <c r="EU35" i="2628"/>
  <c r="EU36" i="2628"/>
  <c r="EU37" i="2628"/>
  <c r="EU38" i="2628"/>
  <c r="EU39" i="2628"/>
  <c r="EU40" i="2628"/>
  <c r="EU41" i="2628"/>
  <c r="EU42" i="2628"/>
  <c r="EU44" i="2628"/>
  <c r="EU30" i="2628"/>
  <c r="ET32" i="2628"/>
  <c r="ET33" i="2628"/>
  <c r="ET34" i="2628"/>
  <c r="ET35" i="2628"/>
  <c r="ET36" i="2628"/>
  <c r="ET37" i="2628"/>
  <c r="ET38" i="2628"/>
  <c r="ET39" i="2628"/>
  <c r="ET40" i="2628"/>
  <c r="ET41" i="2628"/>
  <c r="ET42" i="2628"/>
  <c r="ET44" i="2628"/>
  <c r="ET30" i="2628"/>
  <c r="ES32" i="2628"/>
  <c r="ES33" i="2628"/>
  <c r="ES34" i="2628"/>
  <c r="ES35" i="2628"/>
  <c r="ES36" i="2628"/>
  <c r="ES37" i="2628"/>
  <c r="ES38" i="2628"/>
  <c r="ES39" i="2628"/>
  <c r="ES40" i="2628"/>
  <c r="ES41" i="2628"/>
  <c r="ES42" i="2628"/>
  <c r="ES44" i="2628"/>
  <c r="ES30" i="2628"/>
  <c r="ER30" i="2628"/>
  <c r="EQ30" i="2628"/>
  <c r="FE7" i="2628"/>
  <c r="EU27" i="2636"/>
  <c r="EU7" i="2636"/>
  <c r="EU71" i="2635"/>
  <c r="EU68" i="2635"/>
  <c r="ES41" i="2635"/>
  <c r="EU42" i="2635"/>
  <c r="EU43" i="2635"/>
  <c r="EU44" i="2635"/>
  <c r="EU45" i="2635"/>
  <c r="EU46" i="2635"/>
  <c r="EU47" i="2635"/>
  <c r="EU48" i="2635"/>
  <c r="EU49" i="2635"/>
  <c r="EU50" i="2635"/>
  <c r="EU51" i="2635"/>
  <c r="EU52" i="2635"/>
  <c r="EU53" i="2635"/>
  <c r="EU54" i="2635"/>
  <c r="EU55" i="2635"/>
  <c r="EU56" i="2635"/>
  <c r="EU57" i="2635"/>
  <c r="EU58" i="2635"/>
  <c r="EU59" i="2635"/>
  <c r="EU60" i="2635"/>
  <c r="EU61" i="2635"/>
  <c r="EU62" i="2635"/>
  <c r="ET42" i="2635"/>
  <c r="ET43" i="2635"/>
  <c r="ET44" i="2635"/>
  <c r="ET45" i="2635"/>
  <c r="ET46" i="2635"/>
  <c r="ET47" i="2635"/>
  <c r="ET48" i="2635"/>
  <c r="ET49" i="2635"/>
  <c r="ET50" i="2635"/>
  <c r="ET51" i="2635"/>
  <c r="ET52" i="2635"/>
  <c r="ET53" i="2635"/>
  <c r="ET54" i="2635"/>
  <c r="ET55" i="2635"/>
  <c r="ET56" i="2635"/>
  <c r="ET57" i="2635"/>
  <c r="ET58" i="2635"/>
  <c r="ET59" i="2635"/>
  <c r="ET60" i="2635"/>
  <c r="ET61" i="2635"/>
  <c r="ET62" i="2635"/>
  <c r="ET41" i="2635"/>
  <c r="EU41" i="2635"/>
  <c r="EU36" i="2635"/>
  <c r="ES19" i="2635"/>
  <c r="ES14" i="2635"/>
  <c r="ES23" i="2635"/>
  <c r="ES8" i="2635"/>
  <c r="ES7" i="2635" s="1"/>
  <c r="FC7" i="2633"/>
  <c r="FE7" i="2633"/>
  <c r="EU29" i="2633"/>
  <c r="EU7" i="2633"/>
  <c r="EM29" i="2633"/>
  <c r="EM7" i="2633"/>
  <c r="ET43" i="2632"/>
  <c r="EU44" i="2632"/>
  <c r="EU45" i="2632"/>
  <c r="EU46" i="2632"/>
  <c r="EU47" i="2632"/>
  <c r="EU48" i="2632"/>
  <c r="EU49" i="2632"/>
  <c r="EU50" i="2632"/>
  <c r="EU51" i="2632"/>
  <c r="EU52" i="2632"/>
  <c r="EU53" i="2632"/>
  <c r="EU54" i="2632"/>
  <c r="EU55" i="2632"/>
  <c r="EU56" i="2632"/>
  <c r="EU57" i="2632"/>
  <c r="EU58" i="2632"/>
  <c r="EU59" i="2632"/>
  <c r="EU60" i="2632"/>
  <c r="EU61" i="2632"/>
  <c r="EU62" i="2632"/>
  <c r="EU63" i="2632"/>
  <c r="EU64" i="2632"/>
  <c r="EU65" i="2632"/>
  <c r="EU43" i="2632"/>
  <c r="DR81" i="2632"/>
  <c r="DS81" i="2632"/>
  <c r="DT81" i="2632"/>
  <c r="DU81" i="2632"/>
  <c r="DU80" i="2632" s="1"/>
  <c r="DV81" i="2632"/>
  <c r="DV80" i="2632" s="1"/>
  <c r="DW81" i="2632"/>
  <c r="DW80" i="2632" s="1"/>
  <c r="DX81" i="2632"/>
  <c r="DX80" i="2632" s="1"/>
  <c r="DY81" i="2632"/>
  <c r="DZ81" i="2632"/>
  <c r="DR82" i="2632"/>
  <c r="DS82" i="2632"/>
  <c r="DT82" i="2632"/>
  <c r="DU82" i="2632"/>
  <c r="DV82" i="2632"/>
  <c r="DW82" i="2632"/>
  <c r="DX82" i="2632"/>
  <c r="DX102" i="2632" s="1"/>
  <c r="DY82" i="2632"/>
  <c r="DY102" i="2632" s="1"/>
  <c r="DY100" i="2632" s="1"/>
  <c r="DZ82" i="2632"/>
  <c r="DZ80" i="2632" s="1"/>
  <c r="DR83" i="2632"/>
  <c r="DR103" i="2632" s="1"/>
  <c r="DS83" i="2632"/>
  <c r="DT83" i="2632"/>
  <c r="DU83" i="2632"/>
  <c r="DV83" i="2632"/>
  <c r="DW83" i="2632"/>
  <c r="DX83" i="2632"/>
  <c r="DY83" i="2632"/>
  <c r="DZ83" i="2632"/>
  <c r="DR84" i="2632"/>
  <c r="DR104" i="2632" s="1"/>
  <c r="DS84" i="2632"/>
  <c r="DS104" i="2632" s="1"/>
  <c r="DT84" i="2632"/>
  <c r="DT80" i="2632" s="1"/>
  <c r="DU84" i="2632"/>
  <c r="DU104" i="2632" s="1"/>
  <c r="DV84" i="2632"/>
  <c r="DW84" i="2632"/>
  <c r="DX84" i="2632"/>
  <c r="DY84" i="2632"/>
  <c r="DZ84" i="2632"/>
  <c r="DR85" i="2632"/>
  <c r="DS85" i="2632"/>
  <c r="DT85" i="2632"/>
  <c r="DU85" i="2632"/>
  <c r="DU105" i="2632" s="1"/>
  <c r="DV85" i="2632"/>
  <c r="DV105" i="2632" s="1"/>
  <c r="DW85" i="2632"/>
  <c r="DW105" i="2632" s="1"/>
  <c r="DX85" i="2632"/>
  <c r="DX105" i="2632" s="1"/>
  <c r="DY85" i="2632"/>
  <c r="DZ85" i="2632"/>
  <c r="DR87" i="2632"/>
  <c r="DS87" i="2632"/>
  <c r="DS107" i="2632" s="1"/>
  <c r="DT87" i="2632"/>
  <c r="DT107" i="2632" s="1"/>
  <c r="DU87" i="2632"/>
  <c r="DU107" i="2632" s="1"/>
  <c r="DV87" i="2632"/>
  <c r="DV107" i="2632" s="1"/>
  <c r="DW87" i="2632"/>
  <c r="DW107" i="2632" s="1"/>
  <c r="DX87" i="2632"/>
  <c r="DX107" i="2632" s="1"/>
  <c r="DY87" i="2632"/>
  <c r="DY107" i="2632" s="1"/>
  <c r="DZ87" i="2632"/>
  <c r="DZ107" i="2632" s="1"/>
  <c r="DR88" i="2632"/>
  <c r="DR108" i="2632" s="1"/>
  <c r="DS88" i="2632"/>
  <c r="DS108" i="2632" s="1"/>
  <c r="DT88" i="2632"/>
  <c r="DT108" i="2632" s="1"/>
  <c r="DU88" i="2632"/>
  <c r="DU108" i="2632" s="1"/>
  <c r="DV88" i="2632"/>
  <c r="DV108" i="2632" s="1"/>
  <c r="DW88" i="2632"/>
  <c r="DW108" i="2632" s="1"/>
  <c r="DX88" i="2632"/>
  <c r="DX108" i="2632" s="1"/>
  <c r="DY88" i="2632"/>
  <c r="DY108" i="2632" s="1"/>
  <c r="DZ88" i="2632"/>
  <c r="DZ108" i="2632" s="1"/>
  <c r="DR89" i="2632"/>
  <c r="DR109" i="2632" s="1"/>
  <c r="DS89" i="2632"/>
  <c r="DS109" i="2632" s="1"/>
  <c r="DT89" i="2632"/>
  <c r="DT109" i="2632" s="1"/>
  <c r="DU89" i="2632"/>
  <c r="DU109" i="2632" s="1"/>
  <c r="DV89" i="2632"/>
  <c r="DW89" i="2632"/>
  <c r="DW109" i="2632" s="1"/>
  <c r="DX89" i="2632"/>
  <c r="DX109" i="2632" s="1"/>
  <c r="DY89" i="2632"/>
  <c r="DY109" i="2632" s="1"/>
  <c r="DZ89" i="2632"/>
  <c r="DZ109" i="2632" s="1"/>
  <c r="DR90" i="2632"/>
  <c r="DR110" i="2632" s="1"/>
  <c r="DS90" i="2632"/>
  <c r="DS110" i="2632" s="1"/>
  <c r="DT90" i="2632"/>
  <c r="DT110" i="2632" s="1"/>
  <c r="DU90" i="2632"/>
  <c r="DU110" i="2632" s="1"/>
  <c r="DV90" i="2632"/>
  <c r="DV110" i="2632" s="1"/>
  <c r="DW90" i="2632"/>
  <c r="DW110" i="2632" s="1"/>
  <c r="DX90" i="2632"/>
  <c r="DX110" i="2632" s="1"/>
  <c r="DY90" i="2632"/>
  <c r="DZ90" i="2632"/>
  <c r="DR91" i="2632"/>
  <c r="DR111" i="2632" s="1"/>
  <c r="DS91" i="2632"/>
  <c r="DS111" i="2632" s="1"/>
  <c r="DT91" i="2632"/>
  <c r="DT111" i="2632" s="1"/>
  <c r="DU91" i="2632"/>
  <c r="DU111" i="2632" s="1"/>
  <c r="DV91" i="2632"/>
  <c r="DV111" i="2632" s="1"/>
  <c r="DW91" i="2632"/>
  <c r="DW111" i="2632" s="1"/>
  <c r="DX91" i="2632"/>
  <c r="DX111" i="2632" s="1"/>
  <c r="DY91" i="2632"/>
  <c r="DY111" i="2632" s="1"/>
  <c r="DZ91" i="2632"/>
  <c r="DZ111" i="2632" s="1"/>
  <c r="DR93" i="2632"/>
  <c r="DR113" i="2632" s="1"/>
  <c r="DS93" i="2632"/>
  <c r="DS113" i="2632" s="1"/>
  <c r="DT93" i="2632"/>
  <c r="DT113" i="2632" s="1"/>
  <c r="DU93" i="2632"/>
  <c r="DV93" i="2632"/>
  <c r="DW93" i="2632"/>
  <c r="DX93" i="2632"/>
  <c r="DY93" i="2632"/>
  <c r="DY113" i="2632" s="1"/>
  <c r="DZ93" i="2632"/>
  <c r="DZ113" i="2632" s="1"/>
  <c r="DR94" i="2632"/>
  <c r="DR114" i="2632" s="1"/>
  <c r="DS94" i="2632"/>
  <c r="DS114" i="2632" s="1"/>
  <c r="DT94" i="2632"/>
  <c r="DT114" i="2632" s="1"/>
  <c r="DU94" i="2632"/>
  <c r="DU114" i="2632" s="1"/>
  <c r="DV94" i="2632"/>
  <c r="DV114" i="2632" s="1"/>
  <c r="DW94" i="2632"/>
  <c r="DW114" i="2632" s="1"/>
  <c r="DX94" i="2632"/>
  <c r="DX114" i="2632" s="1"/>
  <c r="DY94" i="2632"/>
  <c r="DY114" i="2632" s="1"/>
  <c r="DZ94" i="2632"/>
  <c r="DZ114" i="2632" s="1"/>
  <c r="DR95" i="2632"/>
  <c r="DR115" i="2632" s="1"/>
  <c r="DS95" i="2632"/>
  <c r="DS115" i="2632" s="1"/>
  <c r="DT95" i="2632"/>
  <c r="DT115" i="2632" s="1"/>
  <c r="DU95" i="2632"/>
  <c r="DU115" i="2632" s="1"/>
  <c r="DV95" i="2632"/>
  <c r="DV115" i="2632" s="1"/>
  <c r="DW95" i="2632"/>
  <c r="DW115" i="2632" s="1"/>
  <c r="DX95" i="2632"/>
  <c r="DX115" i="2632" s="1"/>
  <c r="DY95" i="2632"/>
  <c r="DY115" i="2632" s="1"/>
  <c r="DZ95" i="2632"/>
  <c r="DZ115" i="2632" s="1"/>
  <c r="DR96" i="2632"/>
  <c r="DR116" i="2632" s="1"/>
  <c r="DS96" i="2632"/>
  <c r="DT96" i="2632"/>
  <c r="DT116" i="2632" s="1"/>
  <c r="DU96" i="2632"/>
  <c r="DU116" i="2632" s="1"/>
  <c r="DV96" i="2632"/>
  <c r="DV116" i="2632" s="1"/>
  <c r="DW96" i="2632"/>
  <c r="DW116" i="2632" s="1"/>
  <c r="DX96" i="2632"/>
  <c r="DX116" i="2632" s="1"/>
  <c r="DY96" i="2632"/>
  <c r="DY116" i="2632" s="1"/>
  <c r="DZ96" i="2632"/>
  <c r="DZ116" i="2632" s="1"/>
  <c r="DR97" i="2632"/>
  <c r="DR117" i="2632" s="1"/>
  <c r="DS97" i="2632"/>
  <c r="DS117" i="2632" s="1"/>
  <c r="DT97" i="2632"/>
  <c r="DT117" i="2632" s="1"/>
  <c r="DU97" i="2632"/>
  <c r="DU117" i="2632" s="1"/>
  <c r="DV97" i="2632"/>
  <c r="DV117" i="2632" s="1"/>
  <c r="DW97" i="2632"/>
  <c r="DW117" i="2632" s="1"/>
  <c r="DX97" i="2632"/>
  <c r="DX117" i="2632" s="1"/>
  <c r="DY97" i="2632"/>
  <c r="DY117" i="2632" s="1"/>
  <c r="DZ97" i="2632"/>
  <c r="DZ117" i="2632" s="1"/>
  <c r="DR101" i="2632"/>
  <c r="DS101" i="2632"/>
  <c r="DS100" i="2632" s="1"/>
  <c r="DT101" i="2632"/>
  <c r="DY101" i="2632"/>
  <c r="DZ101" i="2632"/>
  <c r="DR102" i="2632"/>
  <c r="DS102" i="2632"/>
  <c r="DT102" i="2632"/>
  <c r="DU102" i="2632"/>
  <c r="DV102" i="2632"/>
  <c r="DW102" i="2632"/>
  <c r="DS103" i="2632"/>
  <c r="DT103" i="2632"/>
  <c r="DU103" i="2632"/>
  <c r="DV103" i="2632"/>
  <c r="DW103" i="2632"/>
  <c r="DX103" i="2632"/>
  <c r="DY103" i="2632"/>
  <c r="DZ103" i="2632"/>
  <c r="DV104" i="2632"/>
  <c r="DW104" i="2632"/>
  <c r="DX104" i="2632"/>
  <c r="DY104" i="2632"/>
  <c r="DZ104" i="2632"/>
  <c r="DR105" i="2632"/>
  <c r="DS105" i="2632"/>
  <c r="DT105" i="2632"/>
  <c r="DY105" i="2632"/>
  <c r="DZ105" i="2632"/>
  <c r="DQ103" i="2632"/>
  <c r="DQ101" i="2632"/>
  <c r="DQ97" i="2632"/>
  <c r="DQ117" i="2632" s="1"/>
  <c r="DQ96" i="2632"/>
  <c r="DQ95" i="2632"/>
  <c r="DQ115" i="2632" s="1"/>
  <c r="DQ94" i="2632"/>
  <c r="DQ114" i="2632" s="1"/>
  <c r="DQ93" i="2632"/>
  <c r="DQ113" i="2632" s="1"/>
  <c r="DQ91" i="2632"/>
  <c r="DQ111" i="2632" s="1"/>
  <c r="DQ90" i="2632"/>
  <c r="DQ89" i="2632"/>
  <c r="DQ109" i="2632" s="1"/>
  <c r="DQ88" i="2632"/>
  <c r="DQ108" i="2632" s="1"/>
  <c r="DQ87" i="2632"/>
  <c r="DQ107" i="2632" s="1"/>
  <c r="DQ85" i="2632"/>
  <c r="DQ105" i="2632" s="1"/>
  <c r="DQ84" i="2632"/>
  <c r="DQ80" i="2632" s="1"/>
  <c r="DQ83" i="2632"/>
  <c r="DQ82" i="2632"/>
  <c r="DQ102" i="2632" s="1"/>
  <c r="DQ81" i="2632"/>
  <c r="DP104" i="2632"/>
  <c r="DP103" i="2632"/>
  <c r="DP102" i="2632"/>
  <c r="DP101" i="2632"/>
  <c r="DP97" i="2632"/>
  <c r="DP117" i="2632" s="1"/>
  <c r="DP96" i="2632"/>
  <c r="DP116" i="2632" s="1"/>
  <c r="DP95" i="2632"/>
  <c r="DP115" i="2632" s="1"/>
  <c r="DP94" i="2632"/>
  <c r="DP114" i="2632" s="1"/>
  <c r="DP93" i="2632"/>
  <c r="DP113" i="2632" s="1"/>
  <c r="DP91" i="2632"/>
  <c r="DP111" i="2632" s="1"/>
  <c r="DP90" i="2632"/>
  <c r="DP110" i="2632" s="1"/>
  <c r="DP89" i="2632"/>
  <c r="DP109" i="2632" s="1"/>
  <c r="DP88" i="2632"/>
  <c r="DP108" i="2632" s="1"/>
  <c r="DP87" i="2632"/>
  <c r="DP107" i="2632" s="1"/>
  <c r="DP85" i="2632"/>
  <c r="DP105" i="2632" s="1"/>
  <c r="DP100" i="2632" s="1"/>
  <c r="DP84" i="2632"/>
  <c r="DP83" i="2632"/>
  <c r="DP82" i="2632"/>
  <c r="DP81" i="2632"/>
  <c r="DO103" i="2632"/>
  <c r="DO97" i="2632"/>
  <c r="DO117" i="2632" s="1"/>
  <c r="DO96" i="2632"/>
  <c r="DO116" i="2632" s="1"/>
  <c r="DO95" i="2632"/>
  <c r="DO115" i="2632" s="1"/>
  <c r="DO94" i="2632"/>
  <c r="DO114" i="2632" s="1"/>
  <c r="DO93" i="2632"/>
  <c r="DO91" i="2632"/>
  <c r="DO111" i="2632" s="1"/>
  <c r="DO90" i="2632"/>
  <c r="DO89" i="2632"/>
  <c r="DO109" i="2632" s="1"/>
  <c r="DO88" i="2632"/>
  <c r="DO108" i="2632" s="1"/>
  <c r="DO87" i="2632"/>
  <c r="DO107" i="2632" s="1"/>
  <c r="DO85" i="2632"/>
  <c r="DO105" i="2632" s="1"/>
  <c r="DO84" i="2632"/>
  <c r="DO104" i="2632" s="1"/>
  <c r="DO83" i="2632"/>
  <c r="DO82" i="2632"/>
  <c r="DO102" i="2632" s="1"/>
  <c r="DO81" i="2632"/>
  <c r="DO80" i="2632" s="1"/>
  <c r="EF81" i="2632"/>
  <c r="EF101" i="2632" s="1"/>
  <c r="EG81" i="2632"/>
  <c r="EG101" i="2632" s="1"/>
  <c r="EH81" i="2632"/>
  <c r="EH101" i="2632" s="1"/>
  <c r="EI81" i="2632"/>
  <c r="EI101" i="2632" s="1"/>
  <c r="EI100" i="2632" s="1"/>
  <c r="EJ81" i="2632"/>
  <c r="EK81" i="2632"/>
  <c r="EL81" i="2632"/>
  <c r="EM81" i="2632"/>
  <c r="EF82" i="2632"/>
  <c r="EG82" i="2632"/>
  <c r="EH82" i="2632"/>
  <c r="EI82" i="2632"/>
  <c r="EJ82" i="2632"/>
  <c r="EJ102" i="2632" s="1"/>
  <c r="EK82" i="2632"/>
  <c r="EK102" i="2632" s="1"/>
  <c r="EL82" i="2632"/>
  <c r="EL102" i="2632" s="1"/>
  <c r="EM82" i="2632"/>
  <c r="EM102" i="2632" s="1"/>
  <c r="EF83" i="2632"/>
  <c r="EF103" i="2632" s="1"/>
  <c r="EG83" i="2632"/>
  <c r="EG103" i="2632" s="1"/>
  <c r="EH83" i="2632"/>
  <c r="EH103" i="2632" s="1"/>
  <c r="EI83" i="2632"/>
  <c r="EJ83" i="2632"/>
  <c r="EK83" i="2632"/>
  <c r="EL83" i="2632"/>
  <c r="EM83" i="2632"/>
  <c r="EF84" i="2632"/>
  <c r="EF104" i="2632" s="1"/>
  <c r="EG84" i="2632"/>
  <c r="EG104" i="2632" s="1"/>
  <c r="EH84" i="2632"/>
  <c r="EH104" i="2632" s="1"/>
  <c r="EI84" i="2632"/>
  <c r="EI104" i="2632" s="1"/>
  <c r="EJ84" i="2632"/>
  <c r="EJ104" i="2632" s="1"/>
  <c r="EK84" i="2632"/>
  <c r="EK104" i="2632" s="1"/>
  <c r="EL84" i="2632"/>
  <c r="EL104" i="2632" s="1"/>
  <c r="EM84" i="2632"/>
  <c r="EF85" i="2632"/>
  <c r="EG85" i="2632"/>
  <c r="EH85" i="2632"/>
  <c r="EI85" i="2632"/>
  <c r="EJ85" i="2632"/>
  <c r="EJ105" i="2632" s="1"/>
  <c r="EK85" i="2632"/>
  <c r="EK105" i="2632" s="1"/>
  <c r="EL85" i="2632"/>
  <c r="EL105" i="2632" s="1"/>
  <c r="EM85" i="2632"/>
  <c r="EM105" i="2632" s="1"/>
  <c r="EF87" i="2632"/>
  <c r="EF107" i="2632" s="1"/>
  <c r="EG87" i="2632"/>
  <c r="EG107" i="2632" s="1"/>
  <c r="EH87" i="2632"/>
  <c r="EH107" i="2632" s="1"/>
  <c r="EI87" i="2632"/>
  <c r="EI107" i="2632" s="1"/>
  <c r="EJ87" i="2632"/>
  <c r="EK87" i="2632"/>
  <c r="EL87" i="2632"/>
  <c r="EM87" i="2632"/>
  <c r="EF88" i="2632"/>
  <c r="EF108" i="2632" s="1"/>
  <c r="EG88" i="2632"/>
  <c r="EG108" i="2632" s="1"/>
  <c r="EH88" i="2632"/>
  <c r="EH108" i="2632" s="1"/>
  <c r="EI88" i="2632"/>
  <c r="EI108" i="2632" s="1"/>
  <c r="EJ88" i="2632"/>
  <c r="EJ108" i="2632" s="1"/>
  <c r="EK88" i="2632"/>
  <c r="EK108" i="2632" s="1"/>
  <c r="EL88" i="2632"/>
  <c r="EL108" i="2632" s="1"/>
  <c r="EM88" i="2632"/>
  <c r="EM108" i="2632" s="1"/>
  <c r="EF89" i="2632"/>
  <c r="EF109" i="2632" s="1"/>
  <c r="EG89" i="2632"/>
  <c r="EG109" i="2632" s="1"/>
  <c r="EH89" i="2632"/>
  <c r="EH109" i="2632" s="1"/>
  <c r="EI89" i="2632"/>
  <c r="EI109" i="2632" s="1"/>
  <c r="EJ89" i="2632"/>
  <c r="EJ109" i="2632" s="1"/>
  <c r="EK89" i="2632"/>
  <c r="EK109" i="2632" s="1"/>
  <c r="EL89" i="2632"/>
  <c r="EL109" i="2632" s="1"/>
  <c r="EM89" i="2632"/>
  <c r="EM109" i="2632" s="1"/>
  <c r="EF90" i="2632"/>
  <c r="EF110" i="2632" s="1"/>
  <c r="EG90" i="2632"/>
  <c r="EG110" i="2632" s="1"/>
  <c r="EH90" i="2632"/>
  <c r="EH110" i="2632" s="1"/>
  <c r="EI90" i="2632"/>
  <c r="EI110" i="2632" s="1"/>
  <c r="EJ90" i="2632"/>
  <c r="EJ110" i="2632" s="1"/>
  <c r="EK90" i="2632"/>
  <c r="EK110" i="2632" s="1"/>
  <c r="EL90" i="2632"/>
  <c r="EL110" i="2632" s="1"/>
  <c r="EM90" i="2632"/>
  <c r="EM110" i="2632" s="1"/>
  <c r="EF91" i="2632"/>
  <c r="EF111" i="2632" s="1"/>
  <c r="EG91" i="2632"/>
  <c r="EG111" i="2632" s="1"/>
  <c r="EH91" i="2632"/>
  <c r="EH111" i="2632" s="1"/>
  <c r="EI91" i="2632"/>
  <c r="EI111" i="2632" s="1"/>
  <c r="EJ91" i="2632"/>
  <c r="EJ111" i="2632" s="1"/>
  <c r="EK91" i="2632"/>
  <c r="EK111" i="2632" s="1"/>
  <c r="EL91" i="2632"/>
  <c r="EL111" i="2632" s="1"/>
  <c r="EM91" i="2632"/>
  <c r="EM111" i="2632" s="1"/>
  <c r="EF93" i="2632"/>
  <c r="EF113" i="2632" s="1"/>
  <c r="EG93" i="2632"/>
  <c r="EG113" i="2632" s="1"/>
  <c r="EH93" i="2632"/>
  <c r="EH113" i="2632" s="1"/>
  <c r="EI93" i="2632"/>
  <c r="EI113" i="2632" s="1"/>
  <c r="EJ93" i="2632"/>
  <c r="EK93" i="2632"/>
  <c r="EL93" i="2632"/>
  <c r="EM93" i="2632"/>
  <c r="EF94" i="2632"/>
  <c r="EF114" i="2632" s="1"/>
  <c r="EG94" i="2632"/>
  <c r="EG114" i="2632" s="1"/>
  <c r="EH94" i="2632"/>
  <c r="EH114" i="2632" s="1"/>
  <c r="EI94" i="2632"/>
  <c r="EI114" i="2632" s="1"/>
  <c r="EJ94" i="2632"/>
  <c r="EJ114" i="2632" s="1"/>
  <c r="EK94" i="2632"/>
  <c r="EK114" i="2632" s="1"/>
  <c r="EL94" i="2632"/>
  <c r="EL114" i="2632" s="1"/>
  <c r="EM94" i="2632"/>
  <c r="EM114" i="2632" s="1"/>
  <c r="EF95" i="2632"/>
  <c r="EF115" i="2632" s="1"/>
  <c r="EG95" i="2632"/>
  <c r="EG115" i="2632" s="1"/>
  <c r="EH95" i="2632"/>
  <c r="EH115" i="2632" s="1"/>
  <c r="EI95" i="2632"/>
  <c r="EI115" i="2632" s="1"/>
  <c r="EJ95" i="2632"/>
  <c r="EJ115" i="2632" s="1"/>
  <c r="EK95" i="2632"/>
  <c r="EK115" i="2632" s="1"/>
  <c r="EL95" i="2632"/>
  <c r="EL115" i="2632" s="1"/>
  <c r="EM95" i="2632"/>
  <c r="EM115" i="2632" s="1"/>
  <c r="EF96" i="2632"/>
  <c r="EF116" i="2632" s="1"/>
  <c r="EG96" i="2632"/>
  <c r="EG116" i="2632" s="1"/>
  <c r="EH96" i="2632"/>
  <c r="EH116" i="2632" s="1"/>
  <c r="EI96" i="2632"/>
  <c r="EI116" i="2632" s="1"/>
  <c r="EJ96" i="2632"/>
  <c r="EJ116" i="2632" s="1"/>
  <c r="EK96" i="2632"/>
  <c r="EK116" i="2632" s="1"/>
  <c r="EL96" i="2632"/>
  <c r="EL116" i="2632" s="1"/>
  <c r="EM96" i="2632"/>
  <c r="EM116" i="2632" s="1"/>
  <c r="EF97" i="2632"/>
  <c r="EF117" i="2632" s="1"/>
  <c r="EG97" i="2632"/>
  <c r="EG117" i="2632" s="1"/>
  <c r="EH97" i="2632"/>
  <c r="EH117" i="2632" s="1"/>
  <c r="EI97" i="2632"/>
  <c r="EI117" i="2632" s="1"/>
  <c r="EJ97" i="2632"/>
  <c r="EJ117" i="2632" s="1"/>
  <c r="EK97" i="2632"/>
  <c r="EK117" i="2632" s="1"/>
  <c r="EL97" i="2632"/>
  <c r="EL117" i="2632" s="1"/>
  <c r="EM97" i="2632"/>
  <c r="EM117" i="2632" s="1"/>
  <c r="EM101" i="2632"/>
  <c r="EM100" i="2632" s="1"/>
  <c r="EF102" i="2632"/>
  <c r="FE102" i="2632" s="1"/>
  <c r="EG102" i="2632"/>
  <c r="EH102" i="2632"/>
  <c r="EI102" i="2632"/>
  <c r="EI103" i="2632"/>
  <c r="EJ103" i="2632"/>
  <c r="EK103" i="2632"/>
  <c r="EL103" i="2632"/>
  <c r="EM103" i="2632"/>
  <c r="EM104" i="2632"/>
  <c r="EF105" i="2632"/>
  <c r="EG105" i="2632"/>
  <c r="EH105" i="2632"/>
  <c r="EI105" i="2632"/>
  <c r="ED104" i="2632"/>
  <c r="ED103" i="2632"/>
  <c r="ED102" i="2632"/>
  <c r="ED101" i="2632"/>
  <c r="ED97" i="2632"/>
  <c r="ED117" i="2632" s="1"/>
  <c r="ED96" i="2632"/>
  <c r="ED116" i="2632" s="1"/>
  <c r="ED95" i="2632"/>
  <c r="ED115" i="2632" s="1"/>
  <c r="ED94" i="2632"/>
  <c r="ED114" i="2632" s="1"/>
  <c r="ED93" i="2632"/>
  <c r="ED113" i="2632" s="1"/>
  <c r="ED91" i="2632"/>
  <c r="ED111" i="2632" s="1"/>
  <c r="ED90" i="2632"/>
  <c r="ED110" i="2632" s="1"/>
  <c r="ED89" i="2632"/>
  <c r="ED109" i="2632" s="1"/>
  <c r="ED88" i="2632"/>
  <c r="ED108" i="2632" s="1"/>
  <c r="ED87" i="2632"/>
  <c r="ED107" i="2632" s="1"/>
  <c r="ED85" i="2632"/>
  <c r="ED105" i="2632" s="1"/>
  <c r="ED100" i="2632" s="1"/>
  <c r="ED84" i="2632"/>
  <c r="ED83" i="2632"/>
  <c r="ED82" i="2632"/>
  <c r="ED81" i="2632"/>
  <c r="EE104" i="2632"/>
  <c r="EE103" i="2632"/>
  <c r="EE102" i="2632"/>
  <c r="EE101" i="2632"/>
  <c r="EE97" i="2632"/>
  <c r="EE117" i="2632" s="1"/>
  <c r="EE96" i="2632"/>
  <c r="EE116" i="2632" s="1"/>
  <c r="EE95" i="2632"/>
  <c r="EE115" i="2632" s="1"/>
  <c r="EE94" i="2632"/>
  <c r="EE114" i="2632" s="1"/>
  <c r="EE93" i="2632"/>
  <c r="EE113" i="2632" s="1"/>
  <c r="EE91" i="2632"/>
  <c r="EE111" i="2632" s="1"/>
  <c r="EE90" i="2632"/>
  <c r="EE110" i="2632" s="1"/>
  <c r="EE89" i="2632"/>
  <c r="EE109" i="2632" s="1"/>
  <c r="EE88" i="2632"/>
  <c r="EE108" i="2632" s="1"/>
  <c r="EE87" i="2632"/>
  <c r="EE107" i="2632" s="1"/>
  <c r="EE85" i="2632"/>
  <c r="EE105" i="2632" s="1"/>
  <c r="EE84" i="2632"/>
  <c r="EE83" i="2632"/>
  <c r="EE82" i="2632"/>
  <c r="EE81" i="2632"/>
  <c r="EC104" i="2632"/>
  <c r="EC103" i="2632"/>
  <c r="EC102" i="2632"/>
  <c r="EC101" i="2632"/>
  <c r="EC97" i="2632"/>
  <c r="EC117" i="2632" s="1"/>
  <c r="EC96" i="2632"/>
  <c r="EC116" i="2632" s="1"/>
  <c r="EC95" i="2632"/>
  <c r="EC115" i="2632" s="1"/>
  <c r="EC94" i="2632"/>
  <c r="EC114" i="2632" s="1"/>
  <c r="EC93" i="2632"/>
  <c r="EC113" i="2632" s="1"/>
  <c r="EC91" i="2632"/>
  <c r="EC111" i="2632" s="1"/>
  <c r="EC90" i="2632"/>
  <c r="EC110" i="2632" s="1"/>
  <c r="EC89" i="2632"/>
  <c r="EC109" i="2632" s="1"/>
  <c r="EC88" i="2632"/>
  <c r="EC108" i="2632" s="1"/>
  <c r="EC87" i="2632"/>
  <c r="EC107" i="2632" s="1"/>
  <c r="EC85" i="2632"/>
  <c r="EC105" i="2632" s="1"/>
  <c r="EC100" i="2632" s="1"/>
  <c r="EC84" i="2632"/>
  <c r="EC83" i="2632"/>
  <c r="EC82" i="2632"/>
  <c r="EC81" i="2632"/>
  <c r="EB104" i="2632"/>
  <c r="EB103" i="2632"/>
  <c r="EB102" i="2632"/>
  <c r="EB101" i="2632"/>
  <c r="EB97" i="2632"/>
  <c r="EB117" i="2632" s="1"/>
  <c r="EB96" i="2632"/>
  <c r="EB116" i="2632" s="1"/>
  <c r="EB95" i="2632"/>
  <c r="EB115" i="2632" s="1"/>
  <c r="EB94" i="2632"/>
  <c r="EB114" i="2632" s="1"/>
  <c r="EB93" i="2632"/>
  <c r="EB113" i="2632" s="1"/>
  <c r="EB91" i="2632"/>
  <c r="EB111" i="2632" s="1"/>
  <c r="EB90" i="2632"/>
  <c r="EB110" i="2632" s="1"/>
  <c r="EB89" i="2632"/>
  <c r="EB109" i="2632" s="1"/>
  <c r="EB88" i="2632"/>
  <c r="EB87" i="2632"/>
  <c r="EB107" i="2632" s="1"/>
  <c r="EB85" i="2632"/>
  <c r="EB80" i="2632" s="1"/>
  <c r="EB84" i="2632"/>
  <c r="EB83" i="2632"/>
  <c r="EB82" i="2632"/>
  <c r="EB81" i="2632"/>
  <c r="EO85" i="2632"/>
  <c r="FE73" i="2632"/>
  <c r="FC7" i="2632"/>
  <c r="FE43" i="2632"/>
  <c r="EU43" i="2629"/>
  <c r="ET120" i="2632"/>
  <c r="EU104" i="2632"/>
  <c r="ET101" i="2632"/>
  <c r="EU101" i="2632"/>
  <c r="ET102" i="2632"/>
  <c r="EU102" i="2632"/>
  <c r="ET103" i="2632"/>
  <c r="EU103" i="2632"/>
  <c r="ET104" i="2632"/>
  <c r="ET105" i="2632"/>
  <c r="EU105" i="2632"/>
  <c r="ET100" i="2632"/>
  <c r="EU100" i="2632"/>
  <c r="EU120" i="2632" s="1"/>
  <c r="ET93" i="2632"/>
  <c r="ET113" i="2632" s="1"/>
  <c r="EU93" i="2632"/>
  <c r="EU113" i="2632" s="1"/>
  <c r="ET94" i="2632"/>
  <c r="ET114" i="2632" s="1"/>
  <c r="EU94" i="2632"/>
  <c r="EU114" i="2632" s="1"/>
  <c r="ET95" i="2632"/>
  <c r="ET115" i="2632" s="1"/>
  <c r="EU95" i="2632"/>
  <c r="ET96" i="2632"/>
  <c r="EU96" i="2632"/>
  <c r="EU116" i="2632" s="1"/>
  <c r="ET97" i="2632"/>
  <c r="ET117" i="2632" s="1"/>
  <c r="EU97" i="2632"/>
  <c r="EU117" i="2632" s="1"/>
  <c r="EU87" i="2632"/>
  <c r="EU107" i="2632" s="1"/>
  <c r="EU88" i="2632"/>
  <c r="EU108" i="2632" s="1"/>
  <c r="EU89" i="2632"/>
  <c r="EU109" i="2632" s="1"/>
  <c r="EU90" i="2632"/>
  <c r="EU110" i="2632" s="1"/>
  <c r="EU91" i="2632"/>
  <c r="EU111" i="2632" s="1"/>
  <c r="ET87" i="2632"/>
  <c r="ET107" i="2632" s="1"/>
  <c r="ET88" i="2632"/>
  <c r="ET108" i="2632" s="1"/>
  <c r="ET89" i="2632"/>
  <c r="ET109" i="2632" s="1"/>
  <c r="ET90" i="2632"/>
  <c r="ET110" i="2632" s="1"/>
  <c r="ET91" i="2632"/>
  <c r="ET111" i="2632" s="1"/>
  <c r="ET80" i="2632"/>
  <c r="EU80" i="2632"/>
  <c r="ET85" i="2632"/>
  <c r="ET84" i="2632"/>
  <c r="ET83" i="2632"/>
  <c r="ET82" i="2632"/>
  <c r="ET81" i="2632"/>
  <c r="EU85" i="2632"/>
  <c r="EU84" i="2632"/>
  <c r="EU83" i="2632"/>
  <c r="EU82" i="2632"/>
  <c r="EU81" i="2632"/>
  <c r="EU70" i="2632"/>
  <c r="EU73" i="2632"/>
  <c r="ET44" i="2632"/>
  <c r="ET45" i="2632"/>
  <c r="ET46" i="2632"/>
  <c r="ET47" i="2632"/>
  <c r="ET48" i="2632"/>
  <c r="ET49" i="2632"/>
  <c r="ET50" i="2632"/>
  <c r="ET51" i="2632"/>
  <c r="ET52" i="2632"/>
  <c r="ET53" i="2632"/>
  <c r="ET54" i="2632"/>
  <c r="ET55" i="2632"/>
  <c r="ET56" i="2632"/>
  <c r="ET57" i="2632"/>
  <c r="ET58" i="2632"/>
  <c r="ET59" i="2632"/>
  <c r="ET60" i="2632"/>
  <c r="ET61" i="2632"/>
  <c r="ET62" i="2632"/>
  <c r="ET63" i="2632"/>
  <c r="ET64" i="2632"/>
  <c r="ET65" i="2632"/>
  <c r="EO65" i="2632"/>
  <c r="EP65" i="2632"/>
  <c r="EQ65" i="2632"/>
  <c r="ER65" i="2632"/>
  <c r="EE86" i="2632" l="1"/>
  <c r="EC86" i="2632"/>
  <c r="DV86" i="2632"/>
  <c r="DY86" i="2632"/>
  <c r="DO92" i="2632"/>
  <c r="DZ86" i="2632"/>
  <c r="EF92" i="2632"/>
  <c r="DW92" i="2632"/>
  <c r="ET86" i="2632"/>
  <c r="DV92" i="2632"/>
  <c r="DU106" i="2632"/>
  <c r="DU121" i="2632" s="1"/>
  <c r="DT106" i="2632"/>
  <c r="DT121" i="2632" s="1"/>
  <c r="EB86" i="2632"/>
  <c r="DP86" i="2632"/>
  <c r="EU92" i="2632"/>
  <c r="EH92" i="2632"/>
  <c r="DQ86" i="2632"/>
  <c r="ET92" i="2632"/>
  <c r="DW106" i="2632"/>
  <c r="DW121" i="2632" s="1"/>
  <c r="EG92" i="2632"/>
  <c r="EU106" i="2632"/>
  <c r="EU121" i="2632" s="1"/>
  <c r="ET106" i="2632"/>
  <c r="ET121" i="2632" s="1"/>
  <c r="EI112" i="2632"/>
  <c r="EI122" i="2632" s="1"/>
  <c r="DT112" i="2632"/>
  <c r="DT122" i="2632" s="1"/>
  <c r="EI92" i="2632"/>
  <c r="DS106" i="2632"/>
  <c r="DS121" i="2632" s="1"/>
  <c r="DT92" i="2632"/>
  <c r="EC106" i="2632"/>
  <c r="EC121" i="2632" s="1"/>
  <c r="DO86" i="2632"/>
  <c r="DO79" i="2632" s="1"/>
  <c r="ED112" i="2632"/>
  <c r="ED122" i="2632" s="1"/>
  <c r="EE106" i="2632"/>
  <c r="EE121" i="2632" s="1"/>
  <c r="EI106" i="2632"/>
  <c r="EI121" i="2632" s="1"/>
  <c r="ET116" i="2632"/>
  <c r="ET112" i="2632" s="1"/>
  <c r="ET122" i="2632" s="1"/>
  <c r="ED86" i="2632"/>
  <c r="DP112" i="2632"/>
  <c r="DP122" i="2632" s="1"/>
  <c r="DQ92" i="2632"/>
  <c r="ED106" i="2632"/>
  <c r="ED121" i="2632" s="1"/>
  <c r="EU115" i="2632"/>
  <c r="EU112" i="2632" s="1"/>
  <c r="EB108" i="2632"/>
  <c r="EB106" i="2632" s="1"/>
  <c r="EB121" i="2632" s="1"/>
  <c r="EB112" i="2632"/>
  <c r="EB122" i="2632" s="1"/>
  <c r="EH86" i="2632"/>
  <c r="DP106" i="2632"/>
  <c r="DP121" i="2632" s="1"/>
  <c r="DX92" i="2632"/>
  <c r="EG86" i="2632"/>
  <c r="DZ112" i="2632"/>
  <c r="DZ122" i="2632" s="1"/>
  <c r="EF86" i="2632"/>
  <c r="DS92" i="2632"/>
  <c r="DY112" i="2632"/>
  <c r="DY122" i="2632" s="1"/>
  <c r="EU86" i="2632"/>
  <c r="EC112" i="2632"/>
  <c r="EC122" i="2632" s="1"/>
  <c r="DO110" i="2632"/>
  <c r="DO106" i="2632" s="1"/>
  <c r="DO121" i="2632" s="1"/>
  <c r="DU92" i="2632"/>
  <c r="DR86" i="2632"/>
  <c r="DR112" i="2632"/>
  <c r="DR122" i="2632" s="1"/>
  <c r="DS120" i="2632"/>
  <c r="DR100" i="2632"/>
  <c r="DY120" i="2632"/>
  <c r="DY106" i="2632"/>
  <c r="DY121" i="2632" s="1"/>
  <c r="DX106" i="2632"/>
  <c r="DX121" i="2632" s="1"/>
  <c r="DY92" i="2632"/>
  <c r="DS86" i="2632"/>
  <c r="DY80" i="2632"/>
  <c r="DS80" i="2632"/>
  <c r="DR92" i="2632"/>
  <c r="DX86" i="2632"/>
  <c r="DR80" i="2632"/>
  <c r="DW86" i="2632"/>
  <c r="DZ92" i="2632"/>
  <c r="DZ79" i="2632" s="1"/>
  <c r="DT86" i="2632"/>
  <c r="DX113" i="2632"/>
  <c r="DX112" i="2632" s="1"/>
  <c r="DX122" i="2632" s="1"/>
  <c r="DR107" i="2632"/>
  <c r="DR106" i="2632" s="1"/>
  <c r="DR121" i="2632" s="1"/>
  <c r="DX101" i="2632"/>
  <c r="DX100" i="2632" s="1"/>
  <c r="DW113" i="2632"/>
  <c r="DW112" i="2632" s="1"/>
  <c r="DW122" i="2632" s="1"/>
  <c r="DZ110" i="2632"/>
  <c r="DZ106" i="2632" s="1"/>
  <c r="DZ121" i="2632" s="1"/>
  <c r="DT104" i="2632"/>
  <c r="DT100" i="2632" s="1"/>
  <c r="DZ102" i="2632"/>
  <c r="DZ100" i="2632" s="1"/>
  <c r="DW101" i="2632"/>
  <c r="DW100" i="2632" s="1"/>
  <c r="DU86" i="2632"/>
  <c r="DS116" i="2632"/>
  <c r="DS112" i="2632" s="1"/>
  <c r="DV113" i="2632"/>
  <c r="DV112" i="2632" s="1"/>
  <c r="DV122" i="2632" s="1"/>
  <c r="DY110" i="2632"/>
  <c r="DV109" i="2632"/>
  <c r="DV106" i="2632" s="1"/>
  <c r="DV121" i="2632" s="1"/>
  <c r="DV101" i="2632"/>
  <c r="DV100" i="2632" s="1"/>
  <c r="DU113" i="2632"/>
  <c r="DU112" i="2632" s="1"/>
  <c r="DU122" i="2632" s="1"/>
  <c r="DU101" i="2632"/>
  <c r="DU100" i="2632" s="1"/>
  <c r="DQ110" i="2632"/>
  <c r="DQ106" i="2632" s="1"/>
  <c r="DQ121" i="2632" s="1"/>
  <c r="DQ104" i="2632"/>
  <c r="DQ100" i="2632" s="1"/>
  <c r="DQ116" i="2632"/>
  <c r="DQ112" i="2632" s="1"/>
  <c r="DQ122" i="2632" s="1"/>
  <c r="DP120" i="2632"/>
  <c r="DP80" i="2632"/>
  <c r="DP92" i="2632"/>
  <c r="DO101" i="2632"/>
  <c r="DO100" i="2632" s="1"/>
  <c r="DO113" i="2632"/>
  <c r="DO112" i="2632" s="1"/>
  <c r="DO122" i="2632" s="1"/>
  <c r="EI120" i="2632"/>
  <c r="EM120" i="2632"/>
  <c r="EH112" i="2632"/>
  <c r="EH122" i="2632" s="1"/>
  <c r="EL80" i="2632"/>
  <c r="EL101" i="2632"/>
  <c r="EL100" i="2632" s="1"/>
  <c r="EG112" i="2632"/>
  <c r="EG122" i="2632" s="1"/>
  <c r="EK101" i="2632"/>
  <c r="EK100" i="2632" s="1"/>
  <c r="EK80" i="2632"/>
  <c r="EF112" i="2632"/>
  <c r="EF122" i="2632" s="1"/>
  <c r="EM86" i="2632"/>
  <c r="EH100" i="2632"/>
  <c r="EK86" i="2632"/>
  <c r="EK107" i="2632"/>
  <c r="EK106" i="2632" s="1"/>
  <c r="EG100" i="2632"/>
  <c r="EJ80" i="2632"/>
  <c r="EJ101" i="2632"/>
  <c r="EJ100" i="2632" s="1"/>
  <c r="EL86" i="2632"/>
  <c r="EL107" i="2632"/>
  <c r="EL106" i="2632" s="1"/>
  <c r="EL121" i="2632" s="1"/>
  <c r="EM107" i="2632"/>
  <c r="EM106" i="2632" s="1"/>
  <c r="EM121" i="2632" s="1"/>
  <c r="EJ86" i="2632"/>
  <c r="EJ107" i="2632"/>
  <c r="EJ106" i="2632" s="1"/>
  <c r="EJ121" i="2632" s="1"/>
  <c r="EF100" i="2632"/>
  <c r="EM92" i="2632"/>
  <c r="EI80" i="2632"/>
  <c r="EM113" i="2632"/>
  <c r="EM112" i="2632" s="1"/>
  <c r="EM122" i="2632" s="1"/>
  <c r="EL92" i="2632"/>
  <c r="EH106" i="2632"/>
  <c r="EH121" i="2632" s="1"/>
  <c r="EH80" i="2632"/>
  <c r="EL113" i="2632"/>
  <c r="EL112" i="2632" s="1"/>
  <c r="EL122" i="2632" s="1"/>
  <c r="EK92" i="2632"/>
  <c r="EK113" i="2632"/>
  <c r="EK112" i="2632" s="1"/>
  <c r="EK122" i="2632" s="1"/>
  <c r="EG106" i="2632"/>
  <c r="EG121" i="2632" s="1"/>
  <c r="EG80" i="2632"/>
  <c r="EJ92" i="2632"/>
  <c r="EJ113" i="2632"/>
  <c r="EJ112" i="2632" s="1"/>
  <c r="EJ122" i="2632" s="1"/>
  <c r="EF106" i="2632"/>
  <c r="EF121" i="2632" s="1"/>
  <c r="EF80" i="2632"/>
  <c r="EF79" i="2632" s="1"/>
  <c r="EI86" i="2632"/>
  <c r="EM80" i="2632"/>
  <c r="ED120" i="2632"/>
  <c r="ED80" i="2632"/>
  <c r="ED92" i="2632"/>
  <c r="EE100" i="2632"/>
  <c r="EE112" i="2632"/>
  <c r="EE122" i="2632" s="1"/>
  <c r="EE80" i="2632"/>
  <c r="EE92" i="2632"/>
  <c r="EC120" i="2632"/>
  <c r="EC80" i="2632"/>
  <c r="EC92" i="2632"/>
  <c r="EB92" i="2632"/>
  <c r="EB105" i="2632"/>
  <c r="EB100" i="2632" s="1"/>
  <c r="EI99" i="2632" l="1"/>
  <c r="DV79" i="2632"/>
  <c r="EB79" i="2632"/>
  <c r="DR79" i="2632"/>
  <c r="EG79" i="2632"/>
  <c r="DW79" i="2632"/>
  <c r="ET119" i="2632"/>
  <c r="DS79" i="2632"/>
  <c r="DY79" i="2632"/>
  <c r="EU79" i="2632"/>
  <c r="DT79" i="2632"/>
  <c r="EK79" i="2632"/>
  <c r="ET79" i="2632"/>
  <c r="ET99" i="2632"/>
  <c r="DQ79" i="2632"/>
  <c r="EU99" i="2632"/>
  <c r="EU122" i="2632"/>
  <c r="EU119" i="2632" s="1"/>
  <c r="DP119" i="2632"/>
  <c r="DU79" i="2632"/>
  <c r="ED119" i="2632"/>
  <c r="EJ79" i="2632"/>
  <c r="EM119" i="2632"/>
  <c r="EK121" i="2632"/>
  <c r="EK99" i="2632"/>
  <c r="ED99" i="2632"/>
  <c r="DP99" i="2632"/>
  <c r="EH79" i="2632"/>
  <c r="DX79" i="2632"/>
  <c r="EM79" i="2632"/>
  <c r="EC99" i="2632"/>
  <c r="EC119" i="2632"/>
  <c r="EI119" i="2632"/>
  <c r="DS122" i="2632"/>
  <c r="DS119" i="2632" s="1"/>
  <c r="DS99" i="2632"/>
  <c r="DT120" i="2632"/>
  <c r="DT119" i="2632" s="1"/>
  <c r="DT99" i="2632"/>
  <c r="DW99" i="2632"/>
  <c r="DW120" i="2632"/>
  <c r="DW119" i="2632" s="1"/>
  <c r="DZ120" i="2632"/>
  <c r="DZ119" i="2632" s="1"/>
  <c r="DZ99" i="2632"/>
  <c r="DU99" i="2632"/>
  <c r="DU120" i="2632"/>
  <c r="DU119" i="2632" s="1"/>
  <c r="DX120" i="2632"/>
  <c r="DX119" i="2632" s="1"/>
  <c r="DX99" i="2632"/>
  <c r="DV99" i="2632"/>
  <c r="DV120" i="2632"/>
  <c r="DV119" i="2632" s="1"/>
  <c r="DY119" i="2632"/>
  <c r="DY99" i="2632"/>
  <c r="DR99" i="2632"/>
  <c r="DR120" i="2632"/>
  <c r="DR119" i="2632" s="1"/>
  <c r="DQ120" i="2632"/>
  <c r="DQ119" i="2632" s="1"/>
  <c r="DQ99" i="2632"/>
  <c r="DP79" i="2632"/>
  <c r="DO120" i="2632"/>
  <c r="DO119" i="2632" s="1"/>
  <c r="DO99" i="2632"/>
  <c r="EF120" i="2632"/>
  <c r="EF119" i="2632" s="1"/>
  <c r="EF99" i="2632"/>
  <c r="EH120" i="2632"/>
  <c r="EH119" i="2632" s="1"/>
  <c r="EH99" i="2632"/>
  <c r="EK120" i="2632"/>
  <c r="EK119" i="2632" s="1"/>
  <c r="EL99" i="2632"/>
  <c r="EL120" i="2632"/>
  <c r="EL119" i="2632" s="1"/>
  <c r="EJ99" i="2632"/>
  <c r="EJ120" i="2632"/>
  <c r="EJ119" i="2632" s="1"/>
  <c r="EL79" i="2632"/>
  <c r="EG120" i="2632"/>
  <c r="EG119" i="2632" s="1"/>
  <c r="EG99" i="2632"/>
  <c r="EM99" i="2632"/>
  <c r="EI79" i="2632"/>
  <c r="ED79" i="2632"/>
  <c r="EE79" i="2632"/>
  <c r="EE120" i="2632"/>
  <c r="EE119" i="2632" s="1"/>
  <c r="EE99" i="2632"/>
  <c r="EC79" i="2632"/>
  <c r="EB120" i="2632"/>
  <c r="EB119" i="2632" s="1"/>
  <c r="EB99" i="2632"/>
  <c r="EU37" i="2632" l="1"/>
  <c r="EU23" i="2632"/>
  <c r="EU14" i="2632"/>
  <c r="EU8" i="2632"/>
  <c r="EU7" i="2632"/>
  <c r="ES23" i="2632"/>
  <c r="ES8" i="2632"/>
  <c r="ES7" i="2632"/>
  <c r="EM23" i="2632"/>
  <c r="EM14" i="2632"/>
  <c r="EM8" i="2632"/>
  <c r="EM7" i="2632"/>
  <c r="EU29" i="2630"/>
  <c r="EU7" i="2630"/>
  <c r="FC70" i="2629"/>
  <c r="ET71" i="2629"/>
  <c r="EU71" i="2629"/>
  <c r="EU68" i="2629"/>
  <c r="EU41" i="2629"/>
  <c r="EU42" i="2629"/>
  <c r="EU44" i="2629"/>
  <c r="EU45" i="2629"/>
  <c r="EU46" i="2629"/>
  <c r="EU47" i="2629"/>
  <c r="EU48" i="2629"/>
  <c r="EU49" i="2629"/>
  <c r="EU50" i="2629"/>
  <c r="EU51" i="2629"/>
  <c r="EU52" i="2629"/>
  <c r="EU53" i="2629"/>
  <c r="EU54" i="2629"/>
  <c r="EU55" i="2629"/>
  <c r="EU57" i="2629"/>
  <c r="EU58" i="2629"/>
  <c r="EU59" i="2629"/>
  <c r="EU60" i="2629"/>
  <c r="EU61" i="2629"/>
  <c r="EU62" i="2629"/>
  <c r="EU34" i="2629"/>
  <c r="ET34" i="2629"/>
  <c r="EU23" i="2629"/>
  <c r="EU19" i="2629"/>
  <c r="EU14" i="2629"/>
  <c r="EU8" i="2629"/>
  <c r="EU7" i="2629"/>
  <c r="EU56" i="2634"/>
  <c r="EU43" i="2634"/>
  <c r="EU44" i="2634"/>
  <c r="EU47" i="2634"/>
  <c r="EU48" i="2634"/>
  <c r="EU49" i="2634"/>
  <c r="EU50" i="2634"/>
  <c r="EU53" i="2634"/>
  <c r="EU35" i="2634"/>
  <c r="EU27" i="2634"/>
  <c r="EU23" i="2634"/>
  <c r="EU18" i="2634"/>
  <c r="EU8" i="2634"/>
  <c r="EU7" i="2634"/>
  <c r="FE7" i="2634"/>
  <c r="ET83" i="2631"/>
  <c r="EU83" i="2631"/>
  <c r="EU73" i="2631"/>
  <c r="EU72" i="2631" s="1"/>
  <c r="EU66" i="2631"/>
  <c r="FE8" i="2631"/>
  <c r="FE9" i="2631"/>
  <c r="FE10" i="2631"/>
  <c r="FE11" i="2631"/>
  <c r="FE12" i="2631"/>
  <c r="FE13" i="2631"/>
  <c r="FE14" i="2631"/>
  <c r="FE15" i="2631"/>
  <c r="FE16" i="2631"/>
  <c r="FE17" i="2631"/>
  <c r="FE18" i="2631"/>
  <c r="FE19" i="2631"/>
  <c r="FE20" i="2631"/>
  <c r="FE21" i="2631"/>
  <c r="FE22" i="2631"/>
  <c r="FE23" i="2631"/>
  <c r="FE24" i="2631"/>
  <c r="FE25" i="2631"/>
  <c r="FE26" i="2631"/>
  <c r="FE27" i="2631"/>
  <c r="FE28" i="2631"/>
  <c r="FE29" i="2631"/>
  <c r="FE30" i="2631"/>
  <c r="FE31" i="2631"/>
  <c r="FE32" i="2631"/>
  <c r="FE33" i="2631"/>
  <c r="EU44" i="2631"/>
  <c r="EU46" i="2631"/>
  <c r="EU48" i="2631"/>
  <c r="EU49" i="2631"/>
  <c r="EU50" i="2631"/>
  <c r="EU51" i="2631"/>
  <c r="EU52" i="2631"/>
  <c r="EU54" i="2631"/>
  <c r="EU37" i="2631"/>
  <c r="ER24" i="2626"/>
  <c r="ER25" i="2626"/>
  <c r="ER26" i="2626"/>
  <c r="ER27" i="2626"/>
  <c r="ER28" i="2626"/>
  <c r="ER29" i="2626"/>
  <c r="ER30" i="2626"/>
  <c r="ER31" i="2626"/>
  <c r="ER32" i="2626"/>
  <c r="ER23" i="2626"/>
  <c r="FA17" i="2626"/>
  <c r="ET32" i="2626"/>
  <c r="ET25" i="2626"/>
  <c r="ET26" i="2626"/>
  <c r="ET27" i="2626"/>
  <c r="ET28" i="2626"/>
  <c r="ET29" i="2626"/>
  <c r="ET30" i="2626"/>
  <c r="ET31" i="2626"/>
  <c r="ET23" i="2626"/>
  <c r="ET7" i="2636"/>
  <c r="ET27" i="2636"/>
  <c r="ET36" i="2635"/>
  <c r="EU51" i="2634" l="1"/>
  <c r="EU46" i="2634"/>
  <c r="EU63" i="2631"/>
  <c r="EU62" i="2631" s="1"/>
  <c r="EU47" i="2631"/>
  <c r="EU45" i="2631"/>
  <c r="EU45" i="2634" l="1"/>
  <c r="EU42" i="2634" s="1"/>
  <c r="EU40" i="2634" s="1"/>
  <c r="EU36" i="2634" s="1"/>
  <c r="EU43" i="2631"/>
  <c r="FE71" i="2635"/>
  <c r="FC71" i="2635"/>
  <c r="FE41" i="2635"/>
  <c r="FC39" i="2635"/>
  <c r="ET68" i="2635"/>
  <c r="ET71" i="2635"/>
  <c r="ET23" i="2635"/>
  <c r="ET19" i="2635"/>
  <c r="ET14" i="2635"/>
  <c r="ET8" i="2635"/>
  <c r="ET29" i="2633"/>
  <c r="ET7" i="2633"/>
  <c r="EU41" i="2631" l="1"/>
  <c r="ET7" i="2635"/>
  <c r="ET70" i="2632"/>
  <c r="ET73" i="2632"/>
  <c r="ET37" i="2632"/>
  <c r="ET7" i="2632"/>
  <c r="ET23" i="2632"/>
  <c r="ET14" i="2632"/>
  <c r="ET8" i="2632"/>
  <c r="ET7" i="2630"/>
  <c r="ET29" i="2630"/>
  <c r="FC39" i="2629"/>
  <c r="ET68" i="2629"/>
  <c r="ET57" i="2629"/>
  <c r="ET42" i="2629"/>
  <c r="ET43" i="2629"/>
  <c r="ET44" i="2629"/>
  <c r="ET45" i="2629"/>
  <c r="ET46" i="2629"/>
  <c r="ET47" i="2629"/>
  <c r="ET48" i="2629"/>
  <c r="ET49" i="2629"/>
  <c r="ET50" i="2629"/>
  <c r="ET51" i="2629"/>
  <c r="ET52" i="2629"/>
  <c r="ET53" i="2629"/>
  <c r="ET54" i="2629"/>
  <c r="ET55" i="2629"/>
  <c r="ET58" i="2629"/>
  <c r="ET59" i="2629"/>
  <c r="ET60" i="2629"/>
  <c r="ET61" i="2629"/>
  <c r="ET62" i="2629"/>
  <c r="ET41" i="2629"/>
  <c r="ET23" i="2629"/>
  <c r="ET19" i="2629"/>
  <c r="ET14" i="2629"/>
  <c r="ET8" i="2629"/>
  <c r="ET7" i="2629"/>
  <c r="ET56" i="2634"/>
  <c r="FE18" i="2634"/>
  <c r="ET86" i="2634"/>
  <c r="ET83" i="2634" s="1"/>
  <c r="ET79" i="2634"/>
  <c r="ET70" i="2634"/>
  <c r="ET69" i="2634"/>
  <c r="ET63" i="2634"/>
  <c r="ET51" i="2634" s="1"/>
  <c r="ET60" i="2634"/>
  <c r="ET59" i="2634" s="1"/>
  <c r="ET27" i="2634"/>
  <c r="ET23" i="2634"/>
  <c r="ET18" i="2634"/>
  <c r="ET8" i="2634"/>
  <c r="ET7" i="2634"/>
  <c r="ET35" i="2634" s="1"/>
  <c r="ET43" i="2634"/>
  <c r="ET44" i="2634"/>
  <c r="ET47" i="2634"/>
  <c r="ET48" i="2634"/>
  <c r="ET49" i="2634"/>
  <c r="ET50" i="2634"/>
  <c r="ET53" i="2634"/>
  <c r="ET73" i="2631"/>
  <c r="ET72" i="2631" s="1"/>
  <c r="ET63" i="2631" s="1"/>
  <c r="ET62" i="2631" s="1"/>
  <c r="ET66" i="2631"/>
  <c r="ET27" i="2631"/>
  <c r="ET23" i="2631"/>
  <c r="ET37" i="2631"/>
  <c r="ET44" i="2631"/>
  <c r="ET46" i="2631"/>
  <c r="ET48" i="2631"/>
  <c r="ET49" i="2631"/>
  <c r="ET50" i="2631"/>
  <c r="ET51" i="2631"/>
  <c r="ET52" i="2631"/>
  <c r="ET54" i="2631"/>
  <c r="EU38" i="2631" l="1"/>
  <c r="ET46" i="2634"/>
  <c r="ET45" i="2634" s="1"/>
  <c r="ET42" i="2634" s="1"/>
  <c r="ET40" i="2634" s="1"/>
  <c r="ET36" i="2634" s="1"/>
  <c r="ET47" i="2631"/>
  <c r="ET45" i="2631" s="1"/>
  <c r="ET43" i="2631" s="1"/>
  <c r="ET41" i="2631" s="1"/>
  <c r="ET38" i="2631" s="1"/>
  <c r="FC11" i="2626" l="1"/>
  <c r="ES40" i="2634"/>
  <c r="FE8" i="2634"/>
  <c r="ES86" i="2634"/>
  <c r="ES83" i="2634" s="1"/>
  <c r="ES69" i="2634"/>
  <c r="ES63" i="2634"/>
  <c r="ES60" i="2634"/>
  <c r="ES27" i="2634"/>
  <c r="ES23" i="2634"/>
  <c r="ES18" i="2634"/>
  <c r="ES8" i="2634"/>
  <c r="ES7" i="2634"/>
  <c r="ES35" i="2634" s="1"/>
  <c r="ES56" i="2634"/>
  <c r="ES43" i="2634"/>
  <c r="ES44" i="2634"/>
  <c r="ES47" i="2634"/>
  <c r="ES48" i="2634"/>
  <c r="ES49" i="2634"/>
  <c r="ES50" i="2634"/>
  <c r="ES53" i="2634"/>
  <c r="ES86" i="2631"/>
  <c r="ES83" i="2631" s="1"/>
  <c r="ES73" i="2631"/>
  <c r="ES72" i="2631"/>
  <c r="ES66" i="2631"/>
  <c r="ES63" i="2631" s="1"/>
  <c r="ES44" i="2631"/>
  <c r="ES48" i="2631"/>
  <c r="ES49" i="2631"/>
  <c r="ES50" i="2631"/>
  <c r="ES51" i="2631"/>
  <c r="ES52" i="2631"/>
  <c r="ES54" i="2631"/>
  <c r="ES59" i="2631"/>
  <c r="ES27" i="2631"/>
  <c r="ES23" i="2631"/>
  <c r="ES62" i="2631" l="1"/>
  <c r="ES47" i="2631"/>
  <c r="ES46" i="2631"/>
  <c r="ES37" i="2631"/>
  <c r="ES59" i="2634"/>
  <c r="ES46" i="2634"/>
  <c r="ES51" i="2634"/>
  <c r="ES45" i="2634"/>
  <c r="ES42" i="2634"/>
  <c r="ES36" i="2634" s="1"/>
  <c r="ES45" i="2631"/>
  <c r="ES27" i="2636"/>
  <c r="ES7" i="2636"/>
  <c r="ES29" i="2633"/>
  <c r="ES7" i="2633"/>
  <c r="ES29" i="2630"/>
  <c r="ES7" i="2630"/>
  <c r="ES71" i="2635"/>
  <c r="FF71" i="2635" s="1"/>
  <c r="FD71" i="2635" s="1"/>
  <c r="ES68" i="2635"/>
  <c r="ER71" i="2635"/>
  <c r="ER68" i="2635"/>
  <c r="ES62" i="2635"/>
  <c r="ES61" i="2635"/>
  <c r="ES60" i="2635"/>
  <c r="ES59" i="2635"/>
  <c r="ES58" i="2635"/>
  <c r="ES55" i="2635"/>
  <c r="ES54" i="2635"/>
  <c r="ES53" i="2635"/>
  <c r="ES52" i="2635"/>
  <c r="ES51" i="2635"/>
  <c r="ES50" i="2635"/>
  <c r="ES49" i="2635"/>
  <c r="ES47" i="2635"/>
  <c r="ES46" i="2635"/>
  <c r="ES45" i="2635"/>
  <c r="ES44" i="2635"/>
  <c r="ES43" i="2635"/>
  <c r="ES36" i="2635"/>
  <c r="FE7" i="2635"/>
  <c r="FC7" i="2635"/>
  <c r="ES57" i="2635"/>
  <c r="ES48" i="2635"/>
  <c r="ER104" i="2632"/>
  <c r="EQ104" i="2632"/>
  <c r="EP104" i="2632"/>
  <c r="EO104" i="2632"/>
  <c r="ER103" i="2632"/>
  <c r="ER101" i="2632"/>
  <c r="ER100" i="2632" s="1"/>
  <c r="EQ101" i="2632"/>
  <c r="EP101" i="2632"/>
  <c r="EO101" i="2632"/>
  <c r="ER97" i="2632"/>
  <c r="ER117" i="2632" s="1"/>
  <c r="EQ97" i="2632"/>
  <c r="EQ117" i="2632" s="1"/>
  <c r="EP97" i="2632"/>
  <c r="EP117" i="2632" s="1"/>
  <c r="EO97" i="2632"/>
  <c r="EO117" i="2632" s="1"/>
  <c r="ER96" i="2632"/>
  <c r="ER116" i="2632" s="1"/>
  <c r="EQ96" i="2632"/>
  <c r="EQ116" i="2632" s="1"/>
  <c r="EP96" i="2632"/>
  <c r="EP116" i="2632" s="1"/>
  <c r="EO96" i="2632"/>
  <c r="EO116" i="2632" s="1"/>
  <c r="ER95" i="2632"/>
  <c r="ER115" i="2632" s="1"/>
  <c r="EQ95" i="2632"/>
  <c r="EQ115" i="2632" s="1"/>
  <c r="EP95" i="2632"/>
  <c r="EP115" i="2632" s="1"/>
  <c r="EO95" i="2632"/>
  <c r="EO115" i="2632" s="1"/>
  <c r="ER94" i="2632"/>
  <c r="ER114" i="2632" s="1"/>
  <c r="EQ94" i="2632"/>
  <c r="EQ114" i="2632" s="1"/>
  <c r="EP94" i="2632"/>
  <c r="EP114" i="2632" s="1"/>
  <c r="EO94" i="2632"/>
  <c r="EO114" i="2632" s="1"/>
  <c r="ER93" i="2632"/>
  <c r="ER113" i="2632" s="1"/>
  <c r="EQ93" i="2632"/>
  <c r="EQ113" i="2632" s="1"/>
  <c r="EP93" i="2632"/>
  <c r="EP113" i="2632" s="1"/>
  <c r="EO93" i="2632"/>
  <c r="EO113" i="2632" s="1"/>
  <c r="ER91" i="2632"/>
  <c r="ER111" i="2632" s="1"/>
  <c r="EQ91" i="2632"/>
  <c r="EQ111" i="2632" s="1"/>
  <c r="EP91" i="2632"/>
  <c r="EP111" i="2632" s="1"/>
  <c r="EO91" i="2632"/>
  <c r="EO111" i="2632" s="1"/>
  <c r="ER90" i="2632"/>
  <c r="ER110" i="2632" s="1"/>
  <c r="EQ90" i="2632"/>
  <c r="EQ110" i="2632" s="1"/>
  <c r="EP90" i="2632"/>
  <c r="EP110" i="2632" s="1"/>
  <c r="EO90" i="2632"/>
  <c r="EO110" i="2632" s="1"/>
  <c r="ER89" i="2632"/>
  <c r="ER109" i="2632" s="1"/>
  <c r="EQ89" i="2632"/>
  <c r="EQ109" i="2632" s="1"/>
  <c r="EP89" i="2632"/>
  <c r="EP109" i="2632" s="1"/>
  <c r="EO89" i="2632"/>
  <c r="EO109" i="2632" s="1"/>
  <c r="ER88" i="2632"/>
  <c r="ER108" i="2632" s="1"/>
  <c r="EQ88" i="2632"/>
  <c r="EQ108" i="2632" s="1"/>
  <c r="EP88" i="2632"/>
  <c r="EP108" i="2632" s="1"/>
  <c r="EO88" i="2632"/>
  <c r="EO108" i="2632" s="1"/>
  <c r="ER87" i="2632"/>
  <c r="EQ87" i="2632"/>
  <c r="EQ107" i="2632" s="1"/>
  <c r="EP87" i="2632"/>
  <c r="EP107" i="2632" s="1"/>
  <c r="EO87" i="2632"/>
  <c r="EO107" i="2632" s="1"/>
  <c r="ER85" i="2632"/>
  <c r="ER105" i="2632" s="1"/>
  <c r="EQ85" i="2632"/>
  <c r="EQ105" i="2632" s="1"/>
  <c r="EP85" i="2632"/>
  <c r="EP105" i="2632" s="1"/>
  <c r="EO105" i="2632"/>
  <c r="ER84" i="2632"/>
  <c r="EQ84" i="2632"/>
  <c r="EP84" i="2632"/>
  <c r="EO84" i="2632"/>
  <c r="ER83" i="2632"/>
  <c r="EQ83" i="2632"/>
  <c r="EQ103" i="2632" s="1"/>
  <c r="EP83" i="2632"/>
  <c r="EP103" i="2632" s="1"/>
  <c r="EO83" i="2632"/>
  <c r="EO103" i="2632" s="1"/>
  <c r="ER82" i="2632"/>
  <c r="ER102" i="2632" s="1"/>
  <c r="EQ82" i="2632"/>
  <c r="EQ102" i="2632" s="1"/>
  <c r="EP82" i="2632"/>
  <c r="EP102" i="2632" s="1"/>
  <c r="EO82" i="2632"/>
  <c r="EO102" i="2632" s="1"/>
  <c r="ER81" i="2632"/>
  <c r="ER80" i="2632" s="1"/>
  <c r="EQ81" i="2632"/>
  <c r="EP81" i="2632"/>
  <c r="EO81" i="2632"/>
  <c r="ES104" i="2632"/>
  <c r="ES97" i="2632"/>
  <c r="ES117" i="2632" s="1"/>
  <c r="ES96" i="2632"/>
  <c r="ES116" i="2632" s="1"/>
  <c r="ES95" i="2632"/>
  <c r="ES115" i="2632" s="1"/>
  <c r="ES94" i="2632"/>
  <c r="ES114" i="2632" s="1"/>
  <c r="ES93" i="2632"/>
  <c r="ES113" i="2632" s="1"/>
  <c r="ES91" i="2632"/>
  <c r="ES111" i="2632" s="1"/>
  <c r="ES90" i="2632"/>
  <c r="ES110" i="2632" s="1"/>
  <c r="ES89" i="2632"/>
  <c r="ES109" i="2632" s="1"/>
  <c r="ES88" i="2632"/>
  <c r="ES108" i="2632" s="1"/>
  <c r="ES87" i="2632"/>
  <c r="ES107" i="2632" s="1"/>
  <c r="ES85" i="2632"/>
  <c r="ES105" i="2632" s="1"/>
  <c r="ES84" i="2632"/>
  <c r="ES83" i="2632"/>
  <c r="ES103" i="2632" s="1"/>
  <c r="ES82" i="2632"/>
  <c r="ES102" i="2632" s="1"/>
  <c r="ES81" i="2632"/>
  <c r="ES101" i="2632" s="1"/>
  <c r="DM111" i="2632"/>
  <c r="DM117" i="2632"/>
  <c r="M111" i="2632"/>
  <c r="DM113" i="2632"/>
  <c r="DB97" i="2632"/>
  <c r="DB117" i="2632"/>
  <c r="DH117" i="2632"/>
  <c r="DI117" i="2632"/>
  <c r="DJ117" i="2632"/>
  <c r="DL117" i="2632"/>
  <c r="DC117" i="2632"/>
  <c r="DK117" i="2632"/>
  <c r="DB116" i="2632"/>
  <c r="DB115" i="2632"/>
  <c r="DB114" i="2632"/>
  <c r="DB101" i="2632"/>
  <c r="DB96" i="2632"/>
  <c r="DB81" i="2632"/>
  <c r="DB80" i="2632" s="1"/>
  <c r="DB82" i="2632"/>
  <c r="DB83" i="2632"/>
  <c r="DB84" i="2632"/>
  <c r="DB104" i="2632" s="1"/>
  <c r="DB85" i="2632"/>
  <c r="DB105" i="2632" s="1"/>
  <c r="DB87" i="2632"/>
  <c r="DB107" i="2632" s="1"/>
  <c r="DB88" i="2632"/>
  <c r="DB108" i="2632" s="1"/>
  <c r="DB89" i="2632"/>
  <c r="DB109" i="2632" s="1"/>
  <c r="DB90" i="2632"/>
  <c r="DB110" i="2632" s="1"/>
  <c r="DB91" i="2632"/>
  <c r="DB93" i="2632"/>
  <c r="DB94" i="2632"/>
  <c r="DB95" i="2632"/>
  <c r="DB102" i="2632"/>
  <c r="DB103" i="2632"/>
  <c r="DB111" i="2632"/>
  <c r="DB113" i="2632"/>
  <c r="CP122" i="2632"/>
  <c r="CQ117" i="2632"/>
  <c r="CO90" i="2632"/>
  <c r="CP89" i="2632"/>
  <c r="DM81" i="2632"/>
  <c r="DM80" i="2632" s="1"/>
  <c r="DM82" i="2632"/>
  <c r="DM83" i="2632"/>
  <c r="DM84" i="2632"/>
  <c r="DM104" i="2632" s="1"/>
  <c r="DM85" i="2632"/>
  <c r="DM105" i="2632" s="1"/>
  <c r="DM87" i="2632"/>
  <c r="DM86" i="2632" s="1"/>
  <c r="DM88" i="2632"/>
  <c r="DM108" i="2632" s="1"/>
  <c r="DM89" i="2632"/>
  <c r="DM109" i="2632" s="1"/>
  <c r="DM90" i="2632"/>
  <c r="DM110" i="2632" s="1"/>
  <c r="DM91" i="2632"/>
  <c r="DM93" i="2632"/>
  <c r="DM92" i="2632" s="1"/>
  <c r="DM94" i="2632"/>
  <c r="DM95" i="2632"/>
  <c r="DM96" i="2632"/>
  <c r="DM116" i="2632" s="1"/>
  <c r="DM97" i="2632"/>
  <c r="DM101" i="2632"/>
  <c r="DM102" i="2632"/>
  <c r="DM103" i="2632"/>
  <c r="DM114" i="2632"/>
  <c r="DM115" i="2632"/>
  <c r="DG81" i="2632"/>
  <c r="DG82" i="2632"/>
  <c r="DG83" i="2632"/>
  <c r="DG80" i="2632" s="1"/>
  <c r="DG84" i="2632"/>
  <c r="DG85" i="2632"/>
  <c r="DG86" i="2632"/>
  <c r="DG101" i="2632"/>
  <c r="DG100" i="2632" s="1"/>
  <c r="DG102" i="2632"/>
  <c r="DG103" i="2632"/>
  <c r="DG104" i="2632"/>
  <c r="DG105" i="2632"/>
  <c r="DG107" i="2632"/>
  <c r="DG106" i="2632" s="1"/>
  <c r="DG121" i="2632" s="1"/>
  <c r="DG108" i="2632"/>
  <c r="DG109" i="2632"/>
  <c r="DG110" i="2632"/>
  <c r="DG111" i="2632"/>
  <c r="DC81" i="2632"/>
  <c r="DC80" i="2632" s="1"/>
  <c r="DC82" i="2632"/>
  <c r="DC83" i="2632"/>
  <c r="DC84" i="2632"/>
  <c r="DC104" i="2632" s="1"/>
  <c r="DC85" i="2632"/>
  <c r="DC105" i="2632" s="1"/>
  <c r="DC87" i="2632"/>
  <c r="DC86" i="2632" s="1"/>
  <c r="DC88" i="2632"/>
  <c r="DC108" i="2632" s="1"/>
  <c r="DC89" i="2632"/>
  <c r="DC109" i="2632" s="1"/>
  <c r="DC90" i="2632"/>
  <c r="DC110" i="2632" s="1"/>
  <c r="DC91" i="2632"/>
  <c r="DC93" i="2632"/>
  <c r="DC92" i="2632" s="1"/>
  <c r="DC94" i="2632"/>
  <c r="DC95" i="2632"/>
  <c r="DC96" i="2632"/>
  <c r="DC116" i="2632" s="1"/>
  <c r="DC97" i="2632"/>
  <c r="DC101" i="2632"/>
  <c r="DC102" i="2632"/>
  <c r="DC103" i="2632"/>
  <c r="DC111" i="2632"/>
  <c r="DC113" i="2632"/>
  <c r="DC112" i="2632" s="1"/>
  <c r="DC122" i="2632" s="1"/>
  <c r="DC114" i="2632"/>
  <c r="DC115" i="2632"/>
  <c r="DD81" i="2632"/>
  <c r="DD80" i="2632" s="1"/>
  <c r="DD82" i="2632"/>
  <c r="DD83" i="2632"/>
  <c r="DD84" i="2632"/>
  <c r="DD85" i="2632"/>
  <c r="DD105" i="2632" s="1"/>
  <c r="DD87" i="2632"/>
  <c r="DD107" i="2632" s="1"/>
  <c r="DD88" i="2632"/>
  <c r="DD108" i="2632" s="1"/>
  <c r="DD89" i="2632"/>
  <c r="DD109" i="2632" s="1"/>
  <c r="DD90" i="2632"/>
  <c r="DD110" i="2632" s="1"/>
  <c r="DD91" i="2632"/>
  <c r="DD101" i="2632"/>
  <c r="DD102" i="2632"/>
  <c r="DD103" i="2632"/>
  <c r="DD104" i="2632"/>
  <c r="DD111" i="2632"/>
  <c r="DI80" i="2632"/>
  <c r="DJ80" i="2632"/>
  <c r="DK80" i="2632"/>
  <c r="DL80" i="2632"/>
  <c r="DE81" i="2632"/>
  <c r="DE80" i="2632" s="1"/>
  <c r="DF81" i="2632"/>
  <c r="DH81" i="2632"/>
  <c r="DI81" i="2632"/>
  <c r="DJ81" i="2632"/>
  <c r="DK81" i="2632"/>
  <c r="DL81" i="2632"/>
  <c r="DE82" i="2632"/>
  <c r="DF82" i="2632"/>
  <c r="DF80" i="2632" s="1"/>
  <c r="DH82" i="2632"/>
  <c r="DI82" i="2632"/>
  <c r="DJ82" i="2632"/>
  <c r="DK82" i="2632"/>
  <c r="DL82" i="2632"/>
  <c r="DE83" i="2632"/>
  <c r="DF83" i="2632"/>
  <c r="DH83" i="2632"/>
  <c r="DI83" i="2632"/>
  <c r="DJ83" i="2632"/>
  <c r="DK83" i="2632"/>
  <c r="DK103" i="2632" s="1"/>
  <c r="DK100" i="2632" s="1"/>
  <c r="DL83" i="2632"/>
  <c r="DE84" i="2632"/>
  <c r="DF84" i="2632"/>
  <c r="DH84" i="2632"/>
  <c r="DI84" i="2632"/>
  <c r="DJ84" i="2632"/>
  <c r="DK84" i="2632"/>
  <c r="DL84" i="2632"/>
  <c r="DE85" i="2632"/>
  <c r="DF85" i="2632"/>
  <c r="DH85" i="2632"/>
  <c r="DH80" i="2632" s="1"/>
  <c r="DH79" i="2632" s="1"/>
  <c r="DI85" i="2632"/>
  <c r="DJ85" i="2632"/>
  <c r="DK85" i="2632"/>
  <c r="DL85" i="2632"/>
  <c r="DH86" i="2632"/>
  <c r="DI86" i="2632"/>
  <c r="DE87" i="2632"/>
  <c r="DF87" i="2632"/>
  <c r="DH87" i="2632"/>
  <c r="DI87" i="2632"/>
  <c r="DJ87" i="2632"/>
  <c r="DJ86" i="2632" s="1"/>
  <c r="DJ79" i="2632" s="1"/>
  <c r="DK87" i="2632"/>
  <c r="DK107" i="2632" s="1"/>
  <c r="DK106" i="2632" s="1"/>
  <c r="DK121" i="2632" s="1"/>
  <c r="DL87" i="2632"/>
  <c r="DL86" i="2632" s="1"/>
  <c r="DE88" i="2632"/>
  <c r="DF88" i="2632"/>
  <c r="DH88" i="2632"/>
  <c r="DI88" i="2632"/>
  <c r="DJ88" i="2632"/>
  <c r="DK88" i="2632"/>
  <c r="DL88" i="2632"/>
  <c r="DL108" i="2632" s="1"/>
  <c r="DL106" i="2632" s="1"/>
  <c r="DE89" i="2632"/>
  <c r="DF89" i="2632"/>
  <c r="DH89" i="2632"/>
  <c r="DI89" i="2632"/>
  <c r="DJ89" i="2632"/>
  <c r="DK89" i="2632"/>
  <c r="DL89" i="2632"/>
  <c r="DE90" i="2632"/>
  <c r="DF90" i="2632"/>
  <c r="DH90" i="2632"/>
  <c r="DI90" i="2632"/>
  <c r="DJ90" i="2632"/>
  <c r="DK90" i="2632"/>
  <c r="DL90" i="2632"/>
  <c r="DE91" i="2632"/>
  <c r="DE86" i="2632" s="1"/>
  <c r="DF91" i="2632"/>
  <c r="DF86" i="2632" s="1"/>
  <c r="DH91" i="2632"/>
  <c r="DI91" i="2632"/>
  <c r="DJ91" i="2632"/>
  <c r="DK91" i="2632"/>
  <c r="DL91" i="2632"/>
  <c r="DH92" i="2632"/>
  <c r="DH93" i="2632"/>
  <c r="DH113" i="2632" s="1"/>
  <c r="DH112" i="2632" s="1"/>
  <c r="DH122" i="2632" s="1"/>
  <c r="DI93" i="2632"/>
  <c r="DI92" i="2632" s="1"/>
  <c r="DJ93" i="2632"/>
  <c r="DJ92" i="2632" s="1"/>
  <c r="DK93" i="2632"/>
  <c r="DL93" i="2632"/>
  <c r="DH94" i="2632"/>
  <c r="DH114" i="2632" s="1"/>
  <c r="DI94" i="2632"/>
  <c r="DI114" i="2632" s="1"/>
  <c r="DJ94" i="2632"/>
  <c r="DJ114" i="2632" s="1"/>
  <c r="DK94" i="2632"/>
  <c r="DK92" i="2632" s="1"/>
  <c r="DL94" i="2632"/>
  <c r="DH95" i="2632"/>
  <c r="DH115" i="2632" s="1"/>
  <c r="DI95" i="2632"/>
  <c r="DI115" i="2632" s="1"/>
  <c r="DJ95" i="2632"/>
  <c r="DJ115" i="2632" s="1"/>
  <c r="DK95" i="2632"/>
  <c r="DK115" i="2632" s="1"/>
  <c r="DL95" i="2632"/>
  <c r="DH96" i="2632"/>
  <c r="DH116" i="2632" s="1"/>
  <c r="DI96" i="2632"/>
  <c r="DI116" i="2632" s="1"/>
  <c r="DJ96" i="2632"/>
  <c r="DJ116" i="2632" s="1"/>
  <c r="DK96" i="2632"/>
  <c r="DK116" i="2632" s="1"/>
  <c r="DL96" i="2632"/>
  <c r="DL116" i="2632" s="1"/>
  <c r="DL112" i="2632" s="1"/>
  <c r="DL122" i="2632" s="1"/>
  <c r="DH97" i="2632"/>
  <c r="DI97" i="2632"/>
  <c r="DJ97" i="2632"/>
  <c r="DK97" i="2632"/>
  <c r="DL97" i="2632"/>
  <c r="DI100" i="2632"/>
  <c r="DJ100" i="2632"/>
  <c r="DL100" i="2632"/>
  <c r="DL120" i="2632" s="1"/>
  <c r="DE101" i="2632"/>
  <c r="DE100" i="2632" s="1"/>
  <c r="DF101" i="2632"/>
  <c r="DH101" i="2632"/>
  <c r="DI101" i="2632"/>
  <c r="DJ101" i="2632"/>
  <c r="DK101" i="2632"/>
  <c r="DL101" i="2632"/>
  <c r="DE102" i="2632"/>
  <c r="DF102" i="2632"/>
  <c r="DF100" i="2632" s="1"/>
  <c r="DH102" i="2632"/>
  <c r="DI102" i="2632"/>
  <c r="DJ102" i="2632"/>
  <c r="DK102" i="2632"/>
  <c r="DL102" i="2632"/>
  <c r="DE103" i="2632"/>
  <c r="DF103" i="2632"/>
  <c r="DH103" i="2632"/>
  <c r="DI103" i="2632"/>
  <c r="DJ103" i="2632"/>
  <c r="DL103" i="2632"/>
  <c r="DE104" i="2632"/>
  <c r="DF104" i="2632"/>
  <c r="DH104" i="2632"/>
  <c r="DI104" i="2632"/>
  <c r="DJ104" i="2632"/>
  <c r="DK104" i="2632"/>
  <c r="DL104" i="2632"/>
  <c r="DE105" i="2632"/>
  <c r="DF105" i="2632"/>
  <c r="DH105" i="2632"/>
  <c r="DH100" i="2632" s="1"/>
  <c r="DI105" i="2632"/>
  <c r="DJ105" i="2632"/>
  <c r="DK105" i="2632"/>
  <c r="DL105" i="2632"/>
  <c r="DH106" i="2632"/>
  <c r="DH121" i="2632" s="1"/>
  <c r="DI106" i="2632"/>
  <c r="DE107" i="2632"/>
  <c r="DF107" i="2632"/>
  <c r="DH107" i="2632"/>
  <c r="DI107" i="2632"/>
  <c r="DJ107" i="2632"/>
  <c r="DJ106" i="2632" s="1"/>
  <c r="DL107" i="2632"/>
  <c r="DE108" i="2632"/>
  <c r="DF108" i="2632"/>
  <c r="DH108" i="2632"/>
  <c r="DI108" i="2632"/>
  <c r="DJ108" i="2632"/>
  <c r="DK108" i="2632"/>
  <c r="DE109" i="2632"/>
  <c r="DF109" i="2632"/>
  <c r="DH109" i="2632"/>
  <c r="DI109" i="2632"/>
  <c r="DJ109" i="2632"/>
  <c r="DK109" i="2632"/>
  <c r="DL109" i="2632"/>
  <c r="DE110" i="2632"/>
  <c r="DF110" i="2632"/>
  <c r="DH110" i="2632"/>
  <c r="DI110" i="2632"/>
  <c r="DJ110" i="2632"/>
  <c r="DK110" i="2632"/>
  <c r="DL110" i="2632"/>
  <c r="DH111" i="2632"/>
  <c r="DI111" i="2632"/>
  <c r="DJ111" i="2632"/>
  <c r="DK111" i="2632"/>
  <c r="DL111" i="2632"/>
  <c r="DJ113" i="2632"/>
  <c r="DK113" i="2632"/>
  <c r="DL113" i="2632"/>
  <c r="DK114" i="2632"/>
  <c r="DL114" i="2632"/>
  <c r="DL115" i="2632"/>
  <c r="DI120" i="2632"/>
  <c r="DJ120" i="2632"/>
  <c r="EO112" i="2632" l="1"/>
  <c r="ES42" i="2635"/>
  <c r="ES100" i="2632"/>
  <c r="ES43" i="2631"/>
  <c r="ES41" i="2631"/>
  <c r="EO122" i="2632"/>
  <c r="ES106" i="2632"/>
  <c r="ES121" i="2632" s="1"/>
  <c r="ES86" i="2632"/>
  <c r="EQ112" i="2632"/>
  <c r="EQ122" i="2632" s="1"/>
  <c r="ER112" i="2632"/>
  <c r="ER122" i="2632" s="1"/>
  <c r="ES112" i="2632"/>
  <c r="ES122" i="2632" s="1"/>
  <c r="ER86" i="2632"/>
  <c r="ER92" i="2632"/>
  <c r="ER107" i="2632"/>
  <c r="ER106" i="2632" s="1"/>
  <c r="ER121" i="2632" s="1"/>
  <c r="EP112" i="2632"/>
  <c r="EP122" i="2632" s="1"/>
  <c r="ER120" i="2632"/>
  <c r="EP106" i="2632"/>
  <c r="EP121" i="2632" s="1"/>
  <c r="EO100" i="2632"/>
  <c r="EO106" i="2632"/>
  <c r="EO121" i="2632" s="1"/>
  <c r="EP100" i="2632"/>
  <c r="EQ106" i="2632"/>
  <c r="EQ121" i="2632" s="1"/>
  <c r="EQ100" i="2632"/>
  <c r="EO92" i="2632"/>
  <c r="EQ80" i="2632"/>
  <c r="EQ86" i="2632"/>
  <c r="EQ92" i="2632"/>
  <c r="EO80" i="2632"/>
  <c r="EO86" i="2632"/>
  <c r="EP80" i="2632"/>
  <c r="EP86" i="2632"/>
  <c r="EP92" i="2632"/>
  <c r="ES120" i="2632"/>
  <c r="ES80" i="2632"/>
  <c r="ES92" i="2632"/>
  <c r="DJ112" i="2632"/>
  <c r="DJ122" i="2632" s="1"/>
  <c r="DM112" i="2632"/>
  <c r="DM122" i="2632" s="1"/>
  <c r="DK112" i="2632"/>
  <c r="DK122" i="2632" s="1"/>
  <c r="DB112" i="2632"/>
  <c r="DB122" i="2632" s="1"/>
  <c r="DB92" i="2632"/>
  <c r="DB106" i="2632"/>
  <c r="DB121" i="2632" s="1"/>
  <c r="DB100" i="2632"/>
  <c r="DB86" i="2632"/>
  <c r="DB79" i="2632" s="1"/>
  <c r="DM100" i="2632"/>
  <c r="DM79" i="2632"/>
  <c r="DM107" i="2632"/>
  <c r="DM106" i="2632" s="1"/>
  <c r="DM121" i="2632" s="1"/>
  <c r="DG120" i="2632"/>
  <c r="DC100" i="2632"/>
  <c r="DC79" i="2632"/>
  <c r="DC107" i="2632"/>
  <c r="DC106" i="2632" s="1"/>
  <c r="DC121" i="2632" s="1"/>
  <c r="DD100" i="2632"/>
  <c r="DD106" i="2632"/>
  <c r="DD121" i="2632" s="1"/>
  <c r="DD86" i="2632"/>
  <c r="DL121" i="2632"/>
  <c r="DL119" i="2632" s="1"/>
  <c r="DL99" i="2632"/>
  <c r="DJ99" i="2632"/>
  <c r="DJ121" i="2632"/>
  <c r="DJ119" i="2632" s="1"/>
  <c r="DF120" i="2632"/>
  <c r="DI79" i="2632"/>
  <c r="DE120" i="2632"/>
  <c r="DH99" i="2632"/>
  <c r="DH120" i="2632"/>
  <c r="DH119" i="2632" s="1"/>
  <c r="DK120" i="2632"/>
  <c r="DK119" i="2632" s="1"/>
  <c r="DK99" i="2632"/>
  <c r="DF111" i="2632"/>
  <c r="DF106" i="2632" s="1"/>
  <c r="DF121" i="2632" s="1"/>
  <c r="DL92" i="2632"/>
  <c r="DL79" i="2632" s="1"/>
  <c r="DI113" i="2632"/>
  <c r="DI112" i="2632" s="1"/>
  <c r="DI122" i="2632" s="1"/>
  <c r="DE111" i="2632"/>
  <c r="DE106" i="2632" s="1"/>
  <c r="DE121" i="2632" s="1"/>
  <c r="DI121" i="2632"/>
  <c r="DI119" i="2632" s="1"/>
  <c r="DK86" i="2632"/>
  <c r="DK79" i="2632" s="1"/>
  <c r="EO79" i="2632" l="1"/>
  <c r="ES38" i="2631"/>
  <c r="ER79" i="2632"/>
  <c r="ES119" i="2632"/>
  <c r="ES99" i="2632"/>
  <c r="EQ79" i="2632"/>
  <c r="EQ120" i="2632"/>
  <c r="EQ119" i="2632" s="1"/>
  <c r="EQ99" i="2632"/>
  <c r="EP120" i="2632"/>
  <c r="EP119" i="2632" s="1"/>
  <c r="EP99" i="2632"/>
  <c r="EP79" i="2632"/>
  <c r="EO99" i="2632"/>
  <c r="EO120" i="2632"/>
  <c r="EO119" i="2632" s="1"/>
  <c r="ER99" i="2632"/>
  <c r="ER119" i="2632"/>
  <c r="ES79" i="2632"/>
  <c r="DB120" i="2632"/>
  <c r="DB119" i="2632" s="1"/>
  <c r="DB99" i="2632"/>
  <c r="DM120" i="2632"/>
  <c r="DM119" i="2632" s="1"/>
  <c r="DM99" i="2632"/>
  <c r="DC99" i="2632"/>
  <c r="DC120" i="2632"/>
  <c r="DC119" i="2632" s="1"/>
  <c r="DD120" i="2632"/>
  <c r="DI99" i="2632"/>
  <c r="FA79" i="2632" l="1"/>
  <c r="ES73" i="2632"/>
  <c r="ES70" i="2632"/>
  <c r="ES65" i="2632"/>
  <c r="ES64" i="2632"/>
  <c r="ES63" i="2632"/>
  <c r="ES62" i="2632"/>
  <c r="ES61" i="2632"/>
  <c r="ES60" i="2632"/>
  <c r="ES57" i="2632"/>
  <c r="ES56" i="2632"/>
  <c r="ES55" i="2632"/>
  <c r="ES54" i="2632"/>
  <c r="ES53" i="2632"/>
  <c r="ES52" i="2632"/>
  <c r="ES51" i="2632"/>
  <c r="ES50" i="2632"/>
  <c r="ES49" i="2632"/>
  <c r="ES48" i="2632"/>
  <c r="ES47" i="2632"/>
  <c r="ES46" i="2632"/>
  <c r="ES45" i="2632"/>
  <c r="ES37" i="2632"/>
  <c r="ES59" i="2632"/>
  <c r="ES44" i="2632"/>
  <c r="FF7" i="2632"/>
  <c r="FE23" i="2629"/>
  <c r="ES71" i="2629"/>
  <c r="ES68" i="2629"/>
  <c r="ER68" i="2629"/>
  <c r="ES62" i="2629"/>
  <c r="ES61" i="2629"/>
  <c r="ES60" i="2629"/>
  <c r="ES59" i="2629"/>
  <c r="ES58" i="2629"/>
  <c r="ES55" i="2629"/>
  <c r="ES54" i="2629"/>
  <c r="ES53" i="2629"/>
  <c r="ES52" i="2629"/>
  <c r="ES51" i="2629"/>
  <c r="ES50" i="2629"/>
  <c r="ES49" i="2629"/>
  <c r="ES48" i="2629"/>
  <c r="ES47" i="2629"/>
  <c r="ES46" i="2629"/>
  <c r="ES45" i="2629"/>
  <c r="ES44" i="2629"/>
  <c r="ES43" i="2629"/>
  <c r="ES34" i="2629"/>
  <c r="ES23" i="2629"/>
  <c r="ES57" i="2629" s="1"/>
  <c r="ES19" i="2629"/>
  <c r="ES14" i="2629"/>
  <c r="ES8" i="2629"/>
  <c r="ES7" i="2629" s="1"/>
  <c r="ES41" i="2629" s="1"/>
  <c r="FE44" i="2628"/>
  <c r="FC28" i="2628"/>
  <c r="ES42" i="2629" l="1"/>
  <c r="ES43" i="2632"/>
  <c r="FC32" i="2636"/>
  <c r="FA32" i="2636"/>
  <c r="EN32" i="2636"/>
  <c r="FF31" i="2636"/>
  <c r="FE31" i="2636"/>
  <c r="FC31" i="2636"/>
  <c r="FA31" i="2636"/>
  <c r="EN31" i="2636"/>
  <c r="FC30" i="2636"/>
  <c r="FA30" i="2636"/>
  <c r="EN30" i="2636"/>
  <c r="FF29" i="2636"/>
  <c r="FE29" i="2636"/>
  <c r="FC29" i="2636"/>
  <c r="FA29" i="2636"/>
  <c r="EN29" i="2636"/>
  <c r="FC28" i="2636"/>
  <c r="FA28" i="2636"/>
  <c r="EN28" i="2636"/>
  <c r="ER27" i="2636"/>
  <c r="FC27" i="2636" s="1"/>
  <c r="EQ27" i="2636"/>
  <c r="EP27" i="2636"/>
  <c r="EO27" i="2636"/>
  <c r="EM27" i="2636"/>
  <c r="EL27" i="2636"/>
  <c r="EK27" i="2636"/>
  <c r="EJ27" i="2636"/>
  <c r="EI27" i="2636"/>
  <c r="EH27" i="2636"/>
  <c r="EG27" i="2636"/>
  <c r="EF27" i="2636"/>
  <c r="EN27" i="2636" s="1"/>
  <c r="EE27" i="2636"/>
  <c r="ED27" i="2636"/>
  <c r="EC27" i="2636"/>
  <c r="EB27" i="2636"/>
  <c r="FE27" i="2636" s="1"/>
  <c r="FF25" i="2636"/>
  <c r="FE25" i="2636"/>
  <c r="FC25" i="2636"/>
  <c r="FA25" i="2636"/>
  <c r="EN25" i="2636"/>
  <c r="FC24" i="2636"/>
  <c r="FA24" i="2636"/>
  <c r="EN24" i="2636"/>
  <c r="FF23" i="2636"/>
  <c r="FE23" i="2636"/>
  <c r="FC23" i="2636"/>
  <c r="FA23" i="2636"/>
  <c r="EN23" i="2636"/>
  <c r="FE22" i="2636"/>
  <c r="FC22" i="2636"/>
  <c r="FA22" i="2636"/>
  <c r="EN22" i="2636"/>
  <c r="FF21" i="2636"/>
  <c r="FE21" i="2636"/>
  <c r="FA21" i="2636"/>
  <c r="EN21" i="2636"/>
  <c r="FF20" i="2636"/>
  <c r="FE20" i="2636"/>
  <c r="FC20" i="2636"/>
  <c r="FA20" i="2636"/>
  <c r="EN20" i="2636"/>
  <c r="FF19" i="2636"/>
  <c r="FA19" i="2636"/>
  <c r="EN19" i="2636"/>
  <c r="FF18" i="2636"/>
  <c r="FE18" i="2636"/>
  <c r="FC18" i="2636"/>
  <c r="FA18" i="2636"/>
  <c r="EN18" i="2636"/>
  <c r="FC17" i="2636"/>
  <c r="FA17" i="2636"/>
  <c r="EN17" i="2636"/>
  <c r="FF16" i="2636"/>
  <c r="FE16" i="2636"/>
  <c r="FC16" i="2636"/>
  <c r="FA16" i="2636"/>
  <c r="EN16" i="2636"/>
  <c r="FF15" i="2636"/>
  <c r="FE15" i="2636"/>
  <c r="FC15" i="2636"/>
  <c r="FA15" i="2636"/>
  <c r="EN15" i="2636"/>
  <c r="FF14" i="2636"/>
  <c r="FE14" i="2636"/>
  <c r="FA14" i="2636"/>
  <c r="EN14" i="2636"/>
  <c r="FF13" i="2636"/>
  <c r="FE13" i="2636"/>
  <c r="FC13" i="2636"/>
  <c r="FA13" i="2636"/>
  <c r="EN13" i="2636"/>
  <c r="FC12" i="2636"/>
  <c r="FA12" i="2636"/>
  <c r="EN12" i="2636"/>
  <c r="FF11" i="2636"/>
  <c r="FE11" i="2636"/>
  <c r="FC11" i="2636"/>
  <c r="FA11" i="2636"/>
  <c r="EN11" i="2636"/>
  <c r="FE10" i="2636"/>
  <c r="FC10" i="2636"/>
  <c r="FA10" i="2636"/>
  <c r="EN10" i="2636"/>
  <c r="FF9" i="2636"/>
  <c r="FE9" i="2636"/>
  <c r="FA9" i="2636"/>
  <c r="EN9" i="2636"/>
  <c r="FF8" i="2636"/>
  <c r="FE8" i="2636"/>
  <c r="FC8" i="2636"/>
  <c r="FA8" i="2636"/>
  <c r="EN8" i="2636"/>
  <c r="FF7" i="2636"/>
  <c r="ER7" i="2636"/>
  <c r="EQ7" i="2636"/>
  <c r="EP7" i="2636"/>
  <c r="EO7" i="2636"/>
  <c r="FA7" i="2636" s="1"/>
  <c r="EM7" i="2636"/>
  <c r="EL7" i="2636"/>
  <c r="EK7" i="2636"/>
  <c r="EN7" i="2636" s="1"/>
  <c r="EJ7" i="2636"/>
  <c r="EI7" i="2636"/>
  <c r="EH7" i="2636"/>
  <c r="EG7" i="2636"/>
  <c r="EF7" i="2636"/>
  <c r="EE7" i="2636"/>
  <c r="ED7" i="2636"/>
  <c r="EC7" i="2636"/>
  <c r="EB7" i="2636"/>
  <c r="FD5" i="2636"/>
  <c r="FF5" i="2636" s="1"/>
  <c r="FF32" i="2636"/>
  <c r="FA5" i="2636"/>
  <c r="EN5" i="2636"/>
  <c r="FF4" i="2636"/>
  <c r="FE4" i="2636" s="1"/>
  <c r="EQ71" i="2635"/>
  <c r="EP71" i="2635"/>
  <c r="EO71" i="2635"/>
  <c r="FA71" i="2635" s="1"/>
  <c r="EM71" i="2635"/>
  <c r="EL71" i="2635"/>
  <c r="EK71" i="2635"/>
  <c r="EJ71" i="2635"/>
  <c r="EI71" i="2635"/>
  <c r="EH71" i="2635"/>
  <c r="EG71" i="2635"/>
  <c r="EF71" i="2635"/>
  <c r="EE71" i="2635"/>
  <c r="ED71" i="2635"/>
  <c r="EC71" i="2635"/>
  <c r="EB71" i="2635"/>
  <c r="EN71" i="2635" s="1"/>
  <c r="EQ68" i="2635"/>
  <c r="EP68" i="2635"/>
  <c r="EO68" i="2635"/>
  <c r="EM68" i="2635"/>
  <c r="EL68" i="2635"/>
  <c r="EK68" i="2635"/>
  <c r="EJ68" i="2635"/>
  <c r="EI68" i="2635"/>
  <c r="EH68" i="2635"/>
  <c r="EG68" i="2635"/>
  <c r="EF68" i="2635"/>
  <c r="EE68" i="2635"/>
  <c r="ED68" i="2635"/>
  <c r="EC68" i="2635"/>
  <c r="EB68" i="2635"/>
  <c r="FA64" i="2635"/>
  <c r="FF63" i="2635"/>
  <c r="FE63" i="2635"/>
  <c r="FC63" i="2635"/>
  <c r="FA63" i="2635"/>
  <c r="ER62" i="2635"/>
  <c r="EQ62" i="2635"/>
  <c r="EP62" i="2635"/>
  <c r="EO62" i="2635"/>
  <c r="FA62" i="2635" s="1"/>
  <c r="EM62" i="2635"/>
  <c r="EL62" i="2635"/>
  <c r="EK62" i="2635"/>
  <c r="EJ62" i="2635"/>
  <c r="EI62" i="2635"/>
  <c r="EH62" i="2635"/>
  <c r="EG62" i="2635"/>
  <c r="EF62" i="2635"/>
  <c r="EE62" i="2635"/>
  <c r="ED62" i="2635"/>
  <c r="EC62" i="2635"/>
  <c r="EB62" i="2635"/>
  <c r="EN62" i="2635" s="1"/>
  <c r="FF61" i="2635"/>
  <c r="FE61" i="2635"/>
  <c r="ER61" i="2635"/>
  <c r="EQ61" i="2635"/>
  <c r="EP61" i="2635"/>
  <c r="EO61" i="2635"/>
  <c r="FA61" i="2635" s="1"/>
  <c r="EM61" i="2635"/>
  <c r="EL61" i="2635"/>
  <c r="EK61" i="2635"/>
  <c r="EJ61" i="2635"/>
  <c r="EN61" i="2635" s="1"/>
  <c r="EI61" i="2635"/>
  <c r="EH61" i="2635"/>
  <c r="EG61" i="2635"/>
  <c r="EF61" i="2635"/>
  <c r="EE61" i="2635"/>
  <c r="ED61" i="2635"/>
  <c r="EC61" i="2635"/>
  <c r="EB61" i="2635"/>
  <c r="FF60" i="2635"/>
  <c r="FE60" i="2635"/>
  <c r="FC60" i="2635"/>
  <c r="ER60" i="2635"/>
  <c r="EQ60" i="2635"/>
  <c r="EP60" i="2635"/>
  <c r="EO60" i="2635"/>
  <c r="FA60" i="2635" s="1"/>
  <c r="EM60" i="2635"/>
  <c r="EL60" i="2635"/>
  <c r="EK60" i="2635"/>
  <c r="EJ60" i="2635"/>
  <c r="EI60" i="2635"/>
  <c r="EH60" i="2635"/>
  <c r="EG60" i="2635"/>
  <c r="EF60" i="2635"/>
  <c r="EE60" i="2635"/>
  <c r="ED60" i="2635"/>
  <c r="EC60" i="2635"/>
  <c r="EB60" i="2635"/>
  <c r="EN60" i="2635" s="1"/>
  <c r="FE59" i="2635"/>
  <c r="ER59" i="2635"/>
  <c r="FC59" i="2635" s="1"/>
  <c r="EQ59" i="2635"/>
  <c r="EP59" i="2635"/>
  <c r="EO59" i="2635"/>
  <c r="EM59" i="2635"/>
  <c r="EL59" i="2635"/>
  <c r="EK59" i="2635"/>
  <c r="EJ59" i="2635"/>
  <c r="EI59" i="2635"/>
  <c r="EH59" i="2635"/>
  <c r="EG59" i="2635"/>
  <c r="EF59" i="2635"/>
  <c r="EE59" i="2635"/>
  <c r="ED59" i="2635"/>
  <c r="EC59" i="2635"/>
  <c r="EB59" i="2635"/>
  <c r="EN59" i="2635" s="1"/>
  <c r="ER58" i="2635"/>
  <c r="FC58" i="2635" s="1"/>
  <c r="EQ58" i="2635"/>
  <c r="EP58" i="2635"/>
  <c r="FA58" i="2635" s="1"/>
  <c r="EO58" i="2635"/>
  <c r="EM58" i="2635"/>
  <c r="EL58" i="2635"/>
  <c r="EK58" i="2635"/>
  <c r="EJ58" i="2635"/>
  <c r="EI58" i="2635"/>
  <c r="EH58" i="2635"/>
  <c r="EG58" i="2635"/>
  <c r="EF58" i="2635"/>
  <c r="EE58" i="2635"/>
  <c r="ED58" i="2635"/>
  <c r="FE58" i="2635" s="1"/>
  <c r="EC58" i="2635"/>
  <c r="EB58" i="2635"/>
  <c r="EN58" i="2635" s="1"/>
  <c r="EP57" i="2635"/>
  <c r="EO57" i="2635"/>
  <c r="EM57" i="2635"/>
  <c r="ED57" i="2635"/>
  <c r="EC57" i="2635"/>
  <c r="EB57" i="2635"/>
  <c r="FC56" i="2635"/>
  <c r="ER55" i="2635"/>
  <c r="EQ55" i="2635"/>
  <c r="EP55" i="2635"/>
  <c r="EO55" i="2635"/>
  <c r="FA55" i="2635" s="1"/>
  <c r="EM55" i="2635"/>
  <c r="EL55" i="2635"/>
  <c r="EK55" i="2635"/>
  <c r="EJ55" i="2635"/>
  <c r="EI55" i="2635"/>
  <c r="EH55" i="2635"/>
  <c r="EG55" i="2635"/>
  <c r="EF55" i="2635"/>
  <c r="EE55" i="2635"/>
  <c r="ED55" i="2635"/>
  <c r="EC55" i="2635"/>
  <c r="EB55" i="2635"/>
  <c r="EN55" i="2635" s="1"/>
  <c r="ER54" i="2635"/>
  <c r="EQ54" i="2635"/>
  <c r="EP54" i="2635"/>
  <c r="EO54" i="2635"/>
  <c r="FA54" i="2635" s="1"/>
  <c r="EM54" i="2635"/>
  <c r="EL54" i="2635"/>
  <c r="EK54" i="2635"/>
  <c r="EJ54" i="2635"/>
  <c r="EI54" i="2635"/>
  <c r="EH54" i="2635"/>
  <c r="EG54" i="2635"/>
  <c r="EF54" i="2635"/>
  <c r="EE54" i="2635"/>
  <c r="ED54" i="2635"/>
  <c r="EC54" i="2635"/>
  <c r="EB54" i="2635"/>
  <c r="EN54" i="2635" s="1"/>
  <c r="EM53" i="2635"/>
  <c r="EL53" i="2635"/>
  <c r="EK53" i="2635"/>
  <c r="EB53" i="2635"/>
  <c r="EN53" i="2635" s="1"/>
  <c r="FF52" i="2635"/>
  <c r="ER52" i="2635"/>
  <c r="EQ52" i="2635"/>
  <c r="EP52" i="2635"/>
  <c r="EO52" i="2635"/>
  <c r="FA52" i="2635" s="1"/>
  <c r="EM52" i="2635"/>
  <c r="EL52" i="2635"/>
  <c r="EK52" i="2635"/>
  <c r="EN52" i="2635" s="1"/>
  <c r="EJ52" i="2635"/>
  <c r="EI52" i="2635"/>
  <c r="EH52" i="2635"/>
  <c r="EG52" i="2635"/>
  <c r="EF52" i="2635"/>
  <c r="EE52" i="2635"/>
  <c r="ED52" i="2635"/>
  <c r="EC52" i="2635"/>
  <c r="EB52" i="2635"/>
  <c r="FF51" i="2635"/>
  <c r="FE51" i="2635"/>
  <c r="ER51" i="2635"/>
  <c r="EQ51" i="2635"/>
  <c r="EP51" i="2635"/>
  <c r="EO51" i="2635"/>
  <c r="FA51" i="2635" s="1"/>
  <c r="EM51" i="2635"/>
  <c r="EL51" i="2635"/>
  <c r="EK51" i="2635"/>
  <c r="EJ51" i="2635"/>
  <c r="EI51" i="2635"/>
  <c r="EH51" i="2635"/>
  <c r="EG51" i="2635"/>
  <c r="EF51" i="2635"/>
  <c r="EE51" i="2635"/>
  <c r="ED51" i="2635"/>
  <c r="EC51" i="2635"/>
  <c r="EB51" i="2635"/>
  <c r="EN51" i="2635" s="1"/>
  <c r="FF50" i="2635"/>
  <c r="FE50" i="2635"/>
  <c r="ER50" i="2635"/>
  <c r="EQ50" i="2635"/>
  <c r="EP50" i="2635"/>
  <c r="EO50" i="2635"/>
  <c r="FA50" i="2635" s="1"/>
  <c r="EM50" i="2635"/>
  <c r="EL50" i="2635"/>
  <c r="EK50" i="2635"/>
  <c r="EJ50" i="2635"/>
  <c r="EI50" i="2635"/>
  <c r="EH50" i="2635"/>
  <c r="EG50" i="2635"/>
  <c r="EF50" i="2635"/>
  <c r="EE50" i="2635"/>
  <c r="ED50" i="2635"/>
  <c r="EC50" i="2635"/>
  <c r="EB50" i="2635"/>
  <c r="EN50" i="2635" s="1"/>
  <c r="FF49" i="2635"/>
  <c r="FE49" i="2635"/>
  <c r="FC49" i="2635"/>
  <c r="ER49" i="2635"/>
  <c r="EQ49" i="2635"/>
  <c r="EP49" i="2635"/>
  <c r="EO49" i="2635"/>
  <c r="FA49" i="2635" s="1"/>
  <c r="EM49" i="2635"/>
  <c r="EL49" i="2635"/>
  <c r="EK49" i="2635"/>
  <c r="EJ49" i="2635"/>
  <c r="EI49" i="2635"/>
  <c r="EH49" i="2635"/>
  <c r="EG49" i="2635"/>
  <c r="EF49" i="2635"/>
  <c r="EE49" i="2635"/>
  <c r="ED49" i="2635"/>
  <c r="EC49" i="2635"/>
  <c r="EB49" i="2635"/>
  <c r="EN49" i="2635" s="1"/>
  <c r="EL48" i="2635"/>
  <c r="EK48" i="2635"/>
  <c r="EJ48" i="2635"/>
  <c r="EI48" i="2635"/>
  <c r="EH48" i="2635"/>
  <c r="EG48" i="2635"/>
  <c r="FE47" i="2635"/>
  <c r="ER47" i="2635"/>
  <c r="EQ47" i="2635"/>
  <c r="EP47" i="2635"/>
  <c r="EO47" i="2635"/>
  <c r="EM47" i="2635"/>
  <c r="EL47" i="2635"/>
  <c r="EK47" i="2635"/>
  <c r="EJ47" i="2635"/>
  <c r="EI47" i="2635"/>
  <c r="EH47" i="2635"/>
  <c r="EG47" i="2635"/>
  <c r="EF47" i="2635"/>
  <c r="EE47" i="2635"/>
  <c r="ED47" i="2635"/>
  <c r="EC47" i="2635"/>
  <c r="EB47" i="2635"/>
  <c r="EN47" i="2635" s="1"/>
  <c r="ER46" i="2635"/>
  <c r="EQ46" i="2635"/>
  <c r="FA46" i="2635" s="1"/>
  <c r="EP46" i="2635"/>
  <c r="EO46" i="2635"/>
  <c r="EM46" i="2635"/>
  <c r="EL46" i="2635"/>
  <c r="EK46" i="2635"/>
  <c r="EJ46" i="2635"/>
  <c r="EI46" i="2635"/>
  <c r="EH46" i="2635"/>
  <c r="EG46" i="2635"/>
  <c r="EF46" i="2635"/>
  <c r="EE46" i="2635"/>
  <c r="FE46" i="2635" s="1"/>
  <c r="ED46" i="2635"/>
  <c r="EC46" i="2635"/>
  <c r="EB46" i="2635"/>
  <c r="EN46" i="2635" s="1"/>
  <c r="ER45" i="2635"/>
  <c r="FC45" i="2635" s="1"/>
  <c r="EQ45" i="2635"/>
  <c r="EP45" i="2635"/>
  <c r="FA45" i="2635" s="1"/>
  <c r="EO45" i="2635"/>
  <c r="EM45" i="2635"/>
  <c r="EL45" i="2635"/>
  <c r="EK45" i="2635"/>
  <c r="EJ45" i="2635"/>
  <c r="EI45" i="2635"/>
  <c r="EH45" i="2635"/>
  <c r="EG45" i="2635"/>
  <c r="EF45" i="2635"/>
  <c r="EE45" i="2635"/>
  <c r="ED45" i="2635"/>
  <c r="FE45" i="2635" s="1"/>
  <c r="EC45" i="2635"/>
  <c r="EB45" i="2635"/>
  <c r="EN45" i="2635" s="1"/>
  <c r="ER44" i="2635"/>
  <c r="EQ44" i="2635"/>
  <c r="EP44" i="2635"/>
  <c r="EO44" i="2635"/>
  <c r="FA44" i="2635" s="1"/>
  <c r="EM44" i="2635"/>
  <c r="EL44" i="2635"/>
  <c r="EK44" i="2635"/>
  <c r="EJ44" i="2635"/>
  <c r="EI44" i="2635"/>
  <c r="EH44" i="2635"/>
  <c r="EG44" i="2635"/>
  <c r="EF44" i="2635"/>
  <c r="EE44" i="2635"/>
  <c r="ED44" i="2635"/>
  <c r="EC44" i="2635"/>
  <c r="EB44" i="2635"/>
  <c r="EN44" i="2635" s="1"/>
  <c r="ER43" i="2635"/>
  <c r="EQ43" i="2635"/>
  <c r="EP43" i="2635"/>
  <c r="EO43" i="2635"/>
  <c r="FA43" i="2635" s="1"/>
  <c r="EM43" i="2635"/>
  <c r="EL43" i="2635"/>
  <c r="EK43" i="2635"/>
  <c r="EJ43" i="2635"/>
  <c r="EI43" i="2635"/>
  <c r="EH43" i="2635"/>
  <c r="EG43" i="2635"/>
  <c r="EF43" i="2635"/>
  <c r="EE43" i="2635"/>
  <c r="ED43" i="2635"/>
  <c r="EC43" i="2635"/>
  <c r="EB43" i="2635"/>
  <c r="EN43" i="2635" s="1"/>
  <c r="EP42" i="2635"/>
  <c r="EO42" i="2635"/>
  <c r="EM42" i="2635"/>
  <c r="ED42" i="2635"/>
  <c r="EC42" i="2635"/>
  <c r="EB42" i="2635"/>
  <c r="FA39" i="2635"/>
  <c r="EN39" i="2635"/>
  <c r="ER36" i="2635"/>
  <c r="EQ36" i="2635"/>
  <c r="EP36" i="2635"/>
  <c r="EO36" i="2635"/>
  <c r="EM36" i="2635"/>
  <c r="EL36" i="2635"/>
  <c r="EK36" i="2635"/>
  <c r="EJ36" i="2635"/>
  <c r="EI36" i="2635"/>
  <c r="EH36" i="2635"/>
  <c r="EG36" i="2635"/>
  <c r="EF36" i="2635"/>
  <c r="EE36" i="2635"/>
  <c r="ED36" i="2635"/>
  <c r="EC36" i="2635"/>
  <c r="EB36" i="2635"/>
  <c r="FF30" i="2635"/>
  <c r="FA30" i="2635"/>
  <c r="EN30" i="2635"/>
  <c r="FC29" i="2635"/>
  <c r="FA29" i="2635"/>
  <c r="EN29" i="2635"/>
  <c r="FF28" i="2635"/>
  <c r="FA28" i="2635"/>
  <c r="EN28" i="2635"/>
  <c r="FC27" i="2635"/>
  <c r="FA27" i="2635"/>
  <c r="EN27" i="2635"/>
  <c r="FF26" i="2635"/>
  <c r="FA26" i="2635"/>
  <c r="EN26" i="2635"/>
  <c r="FC25" i="2635"/>
  <c r="FA25" i="2635"/>
  <c r="EN25" i="2635"/>
  <c r="FF24" i="2635"/>
  <c r="FA24" i="2635"/>
  <c r="EN24" i="2635"/>
  <c r="ER23" i="2635"/>
  <c r="ER57" i="2635" s="1"/>
  <c r="EQ23" i="2635"/>
  <c r="FA23" i="2635" s="1"/>
  <c r="EP23" i="2635"/>
  <c r="EO23" i="2635"/>
  <c r="EM23" i="2635"/>
  <c r="EL23" i="2635"/>
  <c r="EL57" i="2635" s="1"/>
  <c r="EK23" i="2635"/>
  <c r="EK57" i="2635" s="1"/>
  <c r="EJ23" i="2635"/>
  <c r="EJ57" i="2635" s="1"/>
  <c r="EI23" i="2635"/>
  <c r="EI57" i="2635" s="1"/>
  <c r="EH23" i="2635"/>
  <c r="EH57" i="2635" s="1"/>
  <c r="EG23" i="2635"/>
  <c r="EG57" i="2635" s="1"/>
  <c r="EF23" i="2635"/>
  <c r="EF57" i="2635" s="1"/>
  <c r="EE23" i="2635"/>
  <c r="FE23" i="2635" s="1"/>
  <c r="ED23" i="2635"/>
  <c r="EC23" i="2635"/>
  <c r="EB23" i="2635"/>
  <c r="EN23" i="2635" s="1"/>
  <c r="FA21" i="2635"/>
  <c r="EN21" i="2635"/>
  <c r="FF20" i="2635"/>
  <c r="FE20" i="2635"/>
  <c r="FA20" i="2635"/>
  <c r="EN20" i="2635"/>
  <c r="ER19" i="2635"/>
  <c r="ER53" i="2635" s="1"/>
  <c r="EQ19" i="2635"/>
  <c r="EQ53" i="2635" s="1"/>
  <c r="EP19" i="2635"/>
  <c r="EP53" i="2635" s="1"/>
  <c r="EO19" i="2635"/>
  <c r="FA19" i="2635" s="1"/>
  <c r="EM19" i="2635"/>
  <c r="EL19" i="2635"/>
  <c r="EK19" i="2635"/>
  <c r="EJ19" i="2635"/>
  <c r="EJ53" i="2635" s="1"/>
  <c r="EI19" i="2635"/>
  <c r="EI53" i="2635" s="1"/>
  <c r="EH19" i="2635"/>
  <c r="EH53" i="2635" s="1"/>
  <c r="EG19" i="2635"/>
  <c r="EG53" i="2635" s="1"/>
  <c r="EF19" i="2635"/>
  <c r="EF53" i="2635" s="1"/>
  <c r="EE19" i="2635"/>
  <c r="EE53" i="2635" s="1"/>
  <c r="ED19" i="2635"/>
  <c r="ED53" i="2635" s="1"/>
  <c r="EC19" i="2635"/>
  <c r="EC53" i="2635" s="1"/>
  <c r="EB19" i="2635"/>
  <c r="EN19" i="2635" s="1"/>
  <c r="FA18" i="2635"/>
  <c r="EN18" i="2635"/>
  <c r="FF17" i="2635"/>
  <c r="FE17" i="2635"/>
  <c r="FC17" i="2635"/>
  <c r="FA17" i="2635"/>
  <c r="EN17" i="2635"/>
  <c r="FA16" i="2635"/>
  <c r="EN16" i="2635"/>
  <c r="FF15" i="2635"/>
  <c r="FE15" i="2635"/>
  <c r="FC15" i="2635"/>
  <c r="FA15" i="2635"/>
  <c r="EN15" i="2635"/>
  <c r="ER14" i="2635"/>
  <c r="ER48" i="2635" s="1"/>
  <c r="EQ14" i="2635"/>
  <c r="EQ48" i="2635" s="1"/>
  <c r="EP14" i="2635"/>
  <c r="EP48" i="2635" s="1"/>
  <c r="EO14" i="2635"/>
  <c r="FA14" i="2635" s="1"/>
  <c r="EM14" i="2635"/>
  <c r="EM48" i="2635" s="1"/>
  <c r="EL14" i="2635"/>
  <c r="EK14" i="2635"/>
  <c r="EJ14" i="2635"/>
  <c r="EI14" i="2635"/>
  <c r="EH14" i="2635"/>
  <c r="EG14" i="2635"/>
  <c r="EF14" i="2635"/>
  <c r="EF48" i="2635" s="1"/>
  <c r="EE14" i="2635"/>
  <c r="EE48" i="2635" s="1"/>
  <c r="ED14" i="2635"/>
  <c r="ED48" i="2635" s="1"/>
  <c r="EC14" i="2635"/>
  <c r="EC48" i="2635" s="1"/>
  <c r="EB14" i="2635"/>
  <c r="EB7" i="2635" s="1"/>
  <c r="FF13" i="2635"/>
  <c r="DG96" i="2632" s="1"/>
  <c r="DG116" i="2632" s="1"/>
  <c r="FA13" i="2635"/>
  <c r="EN13" i="2635"/>
  <c r="FC12" i="2635"/>
  <c r="DD95" i="2632" s="1"/>
  <c r="DD115" i="2632" s="1"/>
  <c r="FA12" i="2635"/>
  <c r="EN12" i="2635"/>
  <c r="FF11" i="2635"/>
  <c r="DG97" i="2632" s="1"/>
  <c r="DG117" i="2632" s="1"/>
  <c r="FA11" i="2635"/>
  <c r="EN11" i="2635"/>
  <c r="FC10" i="2635"/>
  <c r="DD94" i="2632" s="1"/>
  <c r="DD114" i="2632" s="1"/>
  <c r="FA10" i="2635"/>
  <c r="EN10" i="2635"/>
  <c r="FF9" i="2635"/>
  <c r="DG93" i="2632" s="1"/>
  <c r="FA9" i="2635"/>
  <c r="EN9" i="2635"/>
  <c r="ER8" i="2635"/>
  <c r="FC8" i="2635" s="1"/>
  <c r="EQ8" i="2635"/>
  <c r="FA8" i="2635" s="1"/>
  <c r="EP8" i="2635"/>
  <c r="EO8" i="2635"/>
  <c r="EM8" i="2635"/>
  <c r="EM7" i="2635" s="1"/>
  <c r="EM41" i="2635" s="1"/>
  <c r="EL8" i="2635"/>
  <c r="EL42" i="2635" s="1"/>
  <c r="EK8" i="2635"/>
  <c r="EK42" i="2635" s="1"/>
  <c r="EJ8" i="2635"/>
  <c r="EJ42" i="2635" s="1"/>
  <c r="EI8" i="2635"/>
  <c r="EI7" i="2635" s="1"/>
  <c r="EI41" i="2635" s="1"/>
  <c r="EH8" i="2635"/>
  <c r="EH42" i="2635" s="1"/>
  <c r="EG8" i="2635"/>
  <c r="EG42" i="2635" s="1"/>
  <c r="EF8" i="2635"/>
  <c r="EF7" i="2635" s="1"/>
  <c r="EF41" i="2635" s="1"/>
  <c r="EE8" i="2635"/>
  <c r="EE42" i="2635" s="1"/>
  <c r="ED8" i="2635"/>
  <c r="EC8" i="2635"/>
  <c r="EB8" i="2635"/>
  <c r="EN8" i="2635" s="1"/>
  <c r="EP7" i="2635"/>
  <c r="EP41" i="2635" s="1"/>
  <c r="EO7" i="2635"/>
  <c r="EO41" i="2635" s="1"/>
  <c r="ED7" i="2635"/>
  <c r="ED41" i="2635" s="1"/>
  <c r="EC7" i="2635"/>
  <c r="EC41" i="2635" s="1"/>
  <c r="FA5" i="2635"/>
  <c r="EN5" i="2635"/>
  <c r="FF46" i="2635" s="1"/>
  <c r="FF4" i="2635"/>
  <c r="FE4" i="2635" s="1"/>
  <c r="FC4" i="2635" s="1"/>
  <c r="FF91" i="2634"/>
  <c r="FD91" i="2634" s="1"/>
  <c r="FA91" i="2634"/>
  <c r="EN91" i="2634"/>
  <c r="FF90" i="2634"/>
  <c r="FD90" i="2634" s="1"/>
  <c r="FA90" i="2634"/>
  <c r="EN90" i="2634"/>
  <c r="FF89" i="2634"/>
  <c r="FD89" i="2634" s="1"/>
  <c r="FA89" i="2634"/>
  <c r="EN89" i="2634"/>
  <c r="FF88" i="2634"/>
  <c r="FD88" i="2634" s="1"/>
  <c r="FA88" i="2634"/>
  <c r="EN88" i="2634"/>
  <c r="FF87" i="2634"/>
  <c r="FD87" i="2634" s="1"/>
  <c r="FA87" i="2634"/>
  <c r="EN87" i="2634"/>
  <c r="ER86" i="2634"/>
  <c r="FF86" i="2634" s="1"/>
  <c r="FD86" i="2634" s="1"/>
  <c r="EQ86" i="2634"/>
  <c r="EP86" i="2634"/>
  <c r="EO86" i="2634"/>
  <c r="EO83" i="2634" s="1"/>
  <c r="EM86" i="2634"/>
  <c r="EM83" i="2634" s="1"/>
  <c r="EL86" i="2634"/>
  <c r="EL83" i="2634" s="1"/>
  <c r="EL51" i="2634" s="1"/>
  <c r="EL45" i="2634" s="1"/>
  <c r="EK86" i="2634"/>
  <c r="EK83" i="2634" s="1"/>
  <c r="EK51" i="2634" s="1"/>
  <c r="EJ86" i="2634"/>
  <c r="EJ83" i="2634" s="1"/>
  <c r="EI86" i="2634"/>
  <c r="EI83" i="2634" s="1"/>
  <c r="EH86" i="2634"/>
  <c r="EH83" i="2634" s="1"/>
  <c r="EG86" i="2634"/>
  <c r="EG83" i="2634" s="1"/>
  <c r="EF86" i="2634"/>
  <c r="EF83" i="2634" s="1"/>
  <c r="EE86" i="2634"/>
  <c r="ED86" i="2634"/>
  <c r="EC86" i="2634"/>
  <c r="EC83" i="2634" s="1"/>
  <c r="EB86" i="2634"/>
  <c r="EB83" i="2634" s="1"/>
  <c r="FF85" i="2634"/>
  <c r="FA85" i="2634"/>
  <c r="EN85" i="2634"/>
  <c r="FF84" i="2634"/>
  <c r="FA84" i="2634"/>
  <c r="EN84" i="2634"/>
  <c r="EQ83" i="2634"/>
  <c r="EP83" i="2634"/>
  <c r="EE83" i="2634"/>
  <c r="ED83" i="2634"/>
  <c r="FF81" i="2634"/>
  <c r="FD81" i="2634" s="1"/>
  <c r="FA81" i="2634"/>
  <c r="EN81" i="2634"/>
  <c r="FF80" i="2634"/>
  <c r="FD80" i="2634" s="1"/>
  <c r="FA80" i="2634"/>
  <c r="EN80" i="2634"/>
  <c r="ER79" i="2634"/>
  <c r="EQ79" i="2634"/>
  <c r="EP79" i="2634"/>
  <c r="EO79" i="2634"/>
  <c r="EM79" i="2634"/>
  <c r="EL79" i="2634"/>
  <c r="EK79" i="2634"/>
  <c r="EJ79" i="2634"/>
  <c r="EI79" i="2634"/>
  <c r="EH79" i="2634"/>
  <c r="EG79" i="2634"/>
  <c r="EF79" i="2634"/>
  <c r="EE79" i="2634"/>
  <c r="ED79" i="2634"/>
  <c r="EC79" i="2634"/>
  <c r="EB79" i="2634"/>
  <c r="FF78" i="2634"/>
  <c r="FD78" i="2634" s="1"/>
  <c r="FA78" i="2634"/>
  <c r="EN78" i="2634"/>
  <c r="FF77" i="2634"/>
  <c r="FD77" i="2634" s="1"/>
  <c r="FA77" i="2634"/>
  <c r="EN77" i="2634"/>
  <c r="FF76" i="2634"/>
  <c r="FD76" i="2634" s="1"/>
  <c r="FA76" i="2634"/>
  <c r="EN76" i="2634"/>
  <c r="FF75" i="2634"/>
  <c r="FD75" i="2634" s="1"/>
  <c r="FA75" i="2634"/>
  <c r="EN75" i="2634"/>
  <c r="FF74" i="2634"/>
  <c r="FD74" i="2634" s="1"/>
  <c r="FA74" i="2634"/>
  <c r="EN74" i="2634"/>
  <c r="FF73" i="2634"/>
  <c r="FD73" i="2634" s="1"/>
  <c r="FA73" i="2634"/>
  <c r="EN73" i="2634"/>
  <c r="FF72" i="2634"/>
  <c r="FD72" i="2634" s="1"/>
  <c r="FA72" i="2634"/>
  <c r="EN72" i="2634"/>
  <c r="FF71" i="2634"/>
  <c r="FD71" i="2634" s="1"/>
  <c r="FA71" i="2634"/>
  <c r="EN71" i="2634"/>
  <c r="ER70" i="2634"/>
  <c r="EQ70" i="2634"/>
  <c r="EP70" i="2634"/>
  <c r="EP69" i="2634" s="1"/>
  <c r="EO70" i="2634"/>
  <c r="EM70" i="2634"/>
  <c r="EL70" i="2634"/>
  <c r="EL69" i="2634" s="1"/>
  <c r="EL60" i="2634" s="1"/>
  <c r="EL59" i="2634" s="1"/>
  <c r="EK70" i="2634"/>
  <c r="EJ70" i="2634"/>
  <c r="EI70" i="2634"/>
  <c r="EI69" i="2634" s="1"/>
  <c r="EH70" i="2634"/>
  <c r="EH69" i="2634" s="1"/>
  <c r="EG70" i="2634"/>
  <c r="EG69" i="2634" s="1"/>
  <c r="EF70" i="2634"/>
  <c r="EE70" i="2634"/>
  <c r="ED70" i="2634"/>
  <c r="ED69" i="2634" s="1"/>
  <c r="EC70" i="2634"/>
  <c r="EC69" i="2634" s="1"/>
  <c r="EB70" i="2634"/>
  <c r="EM69" i="2634"/>
  <c r="EM60" i="2634" s="1"/>
  <c r="EM59" i="2634" s="1"/>
  <c r="EK69" i="2634"/>
  <c r="EJ69" i="2634"/>
  <c r="EB69" i="2634"/>
  <c r="FF68" i="2634"/>
  <c r="FD68" i="2634" s="1"/>
  <c r="FA68" i="2634"/>
  <c r="EN68" i="2634"/>
  <c r="FF67" i="2634"/>
  <c r="FD67" i="2634" s="1"/>
  <c r="FA67" i="2634"/>
  <c r="EN67" i="2634"/>
  <c r="FF66" i="2634"/>
  <c r="FD66" i="2634" s="1"/>
  <c r="FA66" i="2634"/>
  <c r="EN66" i="2634"/>
  <c r="FF65" i="2634"/>
  <c r="FD65" i="2634" s="1"/>
  <c r="FA65" i="2634"/>
  <c r="EN65" i="2634"/>
  <c r="FF64" i="2634"/>
  <c r="FD64" i="2634" s="1"/>
  <c r="FA64" i="2634"/>
  <c r="EN64" i="2634"/>
  <c r="ER63" i="2634"/>
  <c r="EQ63" i="2634"/>
  <c r="EP63" i="2634"/>
  <c r="EO63" i="2634"/>
  <c r="EM63" i="2634"/>
  <c r="EL63" i="2634"/>
  <c r="EK63" i="2634"/>
  <c r="EK60" i="2634" s="1"/>
  <c r="EJ63" i="2634"/>
  <c r="EJ60" i="2634" s="1"/>
  <c r="EI63" i="2634"/>
  <c r="EI60" i="2634" s="1"/>
  <c r="EI59" i="2634" s="1"/>
  <c r="EH63" i="2634"/>
  <c r="EG63" i="2634"/>
  <c r="EF63" i="2634"/>
  <c r="EE63" i="2634"/>
  <c r="ED63" i="2634"/>
  <c r="EC63" i="2634"/>
  <c r="EC51" i="2634" s="1"/>
  <c r="EB63" i="2634"/>
  <c r="FF62" i="2634"/>
  <c r="FD62" i="2634" s="1"/>
  <c r="FA62" i="2634"/>
  <c r="EN62" i="2634"/>
  <c r="FF61" i="2634"/>
  <c r="FD61" i="2634" s="1"/>
  <c r="FA61" i="2634"/>
  <c r="EN61" i="2634"/>
  <c r="EP60" i="2634"/>
  <c r="ED60" i="2634"/>
  <c r="EC60" i="2634"/>
  <c r="EC59" i="2634" s="1"/>
  <c r="EB60" i="2634"/>
  <c r="EK59" i="2634"/>
  <c r="EJ59" i="2634"/>
  <c r="FF57" i="2634"/>
  <c r="FA58" i="2634"/>
  <c r="EN58" i="2634"/>
  <c r="ER56" i="2634"/>
  <c r="EQ56" i="2634"/>
  <c r="EP56" i="2634"/>
  <c r="EO56" i="2634"/>
  <c r="EM56" i="2634"/>
  <c r="EL56" i="2634"/>
  <c r="EK56" i="2634"/>
  <c r="EJ56" i="2634"/>
  <c r="EI56" i="2634"/>
  <c r="EH56" i="2634"/>
  <c r="EG56" i="2634"/>
  <c r="EF56" i="2634"/>
  <c r="EE56" i="2634"/>
  <c r="ED56" i="2634"/>
  <c r="EC56" i="2634"/>
  <c r="EB56" i="2634"/>
  <c r="EM53" i="2634"/>
  <c r="EL53" i="2634"/>
  <c r="EK53" i="2634"/>
  <c r="EM51" i="2634"/>
  <c r="EJ51" i="2634"/>
  <c r="EI51" i="2634"/>
  <c r="FF50" i="2634"/>
  <c r="FD50" i="2634" s="1"/>
  <c r="FA50" i="2634"/>
  <c r="ER50" i="2634"/>
  <c r="EQ50" i="2634"/>
  <c r="EP50" i="2634"/>
  <c r="EO50" i="2634"/>
  <c r="EM50" i="2634"/>
  <c r="EL50" i="2634"/>
  <c r="EK50" i="2634"/>
  <c r="EJ50" i="2634"/>
  <c r="EI50" i="2634"/>
  <c r="EH50" i="2634"/>
  <c r="EG50" i="2634"/>
  <c r="EF50" i="2634"/>
  <c r="EE50" i="2634"/>
  <c r="ED50" i="2634"/>
  <c r="EC50" i="2634"/>
  <c r="EB50" i="2634"/>
  <c r="ER49" i="2634"/>
  <c r="EQ49" i="2634"/>
  <c r="FF49" i="2634" s="1"/>
  <c r="FD49" i="2634" s="1"/>
  <c r="EP49" i="2634"/>
  <c r="EO49" i="2634"/>
  <c r="EM49" i="2634"/>
  <c r="EL49" i="2634"/>
  <c r="EK49" i="2634"/>
  <c r="EJ49" i="2634"/>
  <c r="EI49" i="2634"/>
  <c r="EH49" i="2634"/>
  <c r="EG49" i="2634"/>
  <c r="EF49" i="2634"/>
  <c r="EE49" i="2634"/>
  <c r="ED49" i="2634"/>
  <c r="EC49" i="2634"/>
  <c r="EB49" i="2634"/>
  <c r="ER48" i="2634"/>
  <c r="EQ48" i="2634"/>
  <c r="EP48" i="2634"/>
  <c r="EO48" i="2634"/>
  <c r="EM48" i="2634"/>
  <c r="EL48" i="2634"/>
  <c r="EK48" i="2634"/>
  <c r="EJ48" i="2634"/>
  <c r="EI48" i="2634"/>
  <c r="EH48" i="2634"/>
  <c r="EG48" i="2634"/>
  <c r="EF48" i="2634"/>
  <c r="EE48" i="2634"/>
  <c r="ED48" i="2634"/>
  <c r="EC48" i="2634"/>
  <c r="EB48" i="2634"/>
  <c r="ER47" i="2634"/>
  <c r="ER46" i="2634" s="1"/>
  <c r="EQ47" i="2634"/>
  <c r="EQ46" i="2634" s="1"/>
  <c r="EP47" i="2634"/>
  <c r="EP46" i="2634" s="1"/>
  <c r="EO47" i="2634"/>
  <c r="EM47" i="2634"/>
  <c r="EM46" i="2634" s="1"/>
  <c r="EM45" i="2634" s="1"/>
  <c r="EL47" i="2634"/>
  <c r="EK47" i="2634"/>
  <c r="EJ47" i="2634"/>
  <c r="EI47" i="2634"/>
  <c r="EI46" i="2634" s="1"/>
  <c r="EI45" i="2634" s="1"/>
  <c r="EH47" i="2634"/>
  <c r="EH46" i="2634" s="1"/>
  <c r="EG47" i="2634"/>
  <c r="EG46" i="2634" s="1"/>
  <c r="EF47" i="2634"/>
  <c r="EF46" i="2634" s="1"/>
  <c r="EE47" i="2634"/>
  <c r="EE46" i="2634" s="1"/>
  <c r="ED47" i="2634"/>
  <c r="ED46" i="2634" s="1"/>
  <c r="EC47" i="2634"/>
  <c r="EC46" i="2634" s="1"/>
  <c r="EC45" i="2634" s="1"/>
  <c r="EC42" i="2634" s="1"/>
  <c r="EC40" i="2634" s="1"/>
  <c r="EC36" i="2634" s="1"/>
  <c r="EB47" i="2634"/>
  <c r="EL46" i="2634"/>
  <c r="EK46" i="2634"/>
  <c r="EJ46" i="2634"/>
  <c r="EJ45" i="2634" s="1"/>
  <c r="ER44" i="2634"/>
  <c r="FF44" i="2634" s="1"/>
  <c r="FD44" i="2634" s="1"/>
  <c r="EQ44" i="2634"/>
  <c r="EP44" i="2634"/>
  <c r="EO44" i="2634"/>
  <c r="EM44" i="2634"/>
  <c r="EL44" i="2634"/>
  <c r="EK44" i="2634"/>
  <c r="EJ44" i="2634"/>
  <c r="EI44" i="2634"/>
  <c r="EH44" i="2634"/>
  <c r="EG44" i="2634"/>
  <c r="EF44" i="2634"/>
  <c r="EE44" i="2634"/>
  <c r="ED44" i="2634"/>
  <c r="EC44" i="2634"/>
  <c r="EB44" i="2634"/>
  <c r="EN44" i="2634" s="1"/>
  <c r="ER43" i="2634"/>
  <c r="EQ43" i="2634"/>
  <c r="EP43" i="2634"/>
  <c r="FF43" i="2634" s="1"/>
  <c r="FD43" i="2634" s="1"/>
  <c r="EO43" i="2634"/>
  <c r="EM43" i="2634"/>
  <c r="EL43" i="2634"/>
  <c r="EK43" i="2634"/>
  <c r="EJ43" i="2634"/>
  <c r="EI43" i="2634"/>
  <c r="EH43" i="2634"/>
  <c r="EG43" i="2634"/>
  <c r="EF43" i="2634"/>
  <c r="EE43" i="2634"/>
  <c r="ED43" i="2634"/>
  <c r="EC43" i="2634"/>
  <c r="EB43" i="2634"/>
  <c r="FD39" i="2634"/>
  <c r="FF39" i="2634" s="1"/>
  <c r="FA39" i="2634"/>
  <c r="EN39" i="2634"/>
  <c r="FF38" i="2634"/>
  <c r="FE38" i="2634" s="1"/>
  <c r="EG35" i="2634"/>
  <c r="FA31" i="2634"/>
  <c r="EN31" i="2634"/>
  <c r="FF30" i="2634"/>
  <c r="FE30" i="2634"/>
  <c r="FA30" i="2634"/>
  <c r="EN30" i="2634"/>
  <c r="FA29" i="2634"/>
  <c r="EN29" i="2634"/>
  <c r="FF28" i="2634"/>
  <c r="FE28" i="2634"/>
  <c r="FA28" i="2634"/>
  <c r="EN28" i="2634"/>
  <c r="ER27" i="2634"/>
  <c r="EQ27" i="2634"/>
  <c r="EP27" i="2634"/>
  <c r="EO27" i="2634"/>
  <c r="FA27" i="2634" s="1"/>
  <c r="EM27" i="2634"/>
  <c r="EL27" i="2634"/>
  <c r="EK27" i="2634"/>
  <c r="EJ27" i="2634"/>
  <c r="EI27" i="2634"/>
  <c r="EH27" i="2634"/>
  <c r="EG27" i="2634"/>
  <c r="EF27" i="2634"/>
  <c r="EE27" i="2634"/>
  <c r="ED27" i="2634"/>
  <c r="EC27" i="2634"/>
  <c r="FE27" i="2634" s="1"/>
  <c r="EB27" i="2634"/>
  <c r="EN27" i="2634" s="1"/>
  <c r="FA25" i="2634"/>
  <c r="EN25" i="2634"/>
  <c r="FF24" i="2634"/>
  <c r="FE24" i="2634"/>
  <c r="FA24" i="2634"/>
  <c r="EN24" i="2634"/>
  <c r="ER23" i="2634"/>
  <c r="EQ23" i="2634"/>
  <c r="EP23" i="2634"/>
  <c r="FA23" i="2634" s="1"/>
  <c r="EO23" i="2634"/>
  <c r="EM23" i="2634"/>
  <c r="EL23" i="2634"/>
  <c r="EK23" i="2634"/>
  <c r="EJ23" i="2634"/>
  <c r="EI23" i="2634"/>
  <c r="EH23" i="2634"/>
  <c r="EG23" i="2634"/>
  <c r="EF23" i="2634"/>
  <c r="EF7" i="2634" s="1"/>
  <c r="EF35" i="2634" s="1"/>
  <c r="EE23" i="2634"/>
  <c r="EE7" i="2634" s="1"/>
  <c r="EE35" i="2634" s="1"/>
  <c r="ED23" i="2634"/>
  <c r="ED7" i="2634" s="1"/>
  <c r="ED35" i="2634" s="1"/>
  <c r="EC23" i="2634"/>
  <c r="EB23" i="2634"/>
  <c r="EB7" i="2634" s="1"/>
  <c r="FA22" i="2634"/>
  <c r="EN22" i="2634"/>
  <c r="FF21" i="2634"/>
  <c r="FE21" i="2634"/>
  <c r="FA21" i="2634"/>
  <c r="EN21" i="2634"/>
  <c r="FA20" i="2634"/>
  <c r="EN20" i="2634"/>
  <c r="FF19" i="2634"/>
  <c r="FE19" i="2634"/>
  <c r="FA19" i="2634"/>
  <c r="EN19" i="2634"/>
  <c r="ER18" i="2634"/>
  <c r="EQ18" i="2634"/>
  <c r="EQ53" i="2634" s="1"/>
  <c r="EP18" i="2634"/>
  <c r="EP53" i="2634" s="1"/>
  <c r="EO18" i="2634"/>
  <c r="FA18" i="2634" s="1"/>
  <c r="EM18" i="2634"/>
  <c r="EL18" i="2634"/>
  <c r="EK18" i="2634"/>
  <c r="EJ18" i="2634"/>
  <c r="EJ53" i="2634" s="1"/>
  <c r="EI18" i="2634"/>
  <c r="EI53" i="2634" s="1"/>
  <c r="EH18" i="2634"/>
  <c r="EH53" i="2634" s="1"/>
  <c r="EG18" i="2634"/>
  <c r="EG53" i="2634" s="1"/>
  <c r="EF18" i="2634"/>
  <c r="EF53" i="2634" s="1"/>
  <c r="EE18" i="2634"/>
  <c r="EE53" i="2634" s="1"/>
  <c r="ED18" i="2634"/>
  <c r="ED53" i="2634" s="1"/>
  <c r="EC18" i="2634"/>
  <c r="EC53" i="2634" s="1"/>
  <c r="EB18" i="2634"/>
  <c r="EB53" i="2634" s="1"/>
  <c r="FF17" i="2634"/>
  <c r="FE17" i="2634"/>
  <c r="FA17" i="2634"/>
  <c r="EN17" i="2634"/>
  <c r="FA16" i="2634"/>
  <c r="EN16" i="2634"/>
  <c r="FF15" i="2634"/>
  <c r="FE15" i="2634"/>
  <c r="FE56" i="2634" s="1"/>
  <c r="FA15" i="2634"/>
  <c r="EN15" i="2634"/>
  <c r="FA14" i="2634"/>
  <c r="EN14" i="2634"/>
  <c r="FF13" i="2634"/>
  <c r="FE13" i="2634"/>
  <c r="FA13" i="2634"/>
  <c r="EN13" i="2634"/>
  <c r="FA12" i="2634"/>
  <c r="EN12" i="2634"/>
  <c r="FF11" i="2634"/>
  <c r="FE11" i="2634"/>
  <c r="FA11" i="2634"/>
  <c r="EN11" i="2634"/>
  <c r="FE10" i="2634"/>
  <c r="FA10" i="2634"/>
  <c r="EN10" i="2634"/>
  <c r="FF9" i="2634"/>
  <c r="FE9" i="2634"/>
  <c r="FA9" i="2634"/>
  <c r="EN9" i="2634"/>
  <c r="ER8" i="2634"/>
  <c r="ER7" i="2634" s="1"/>
  <c r="EQ8" i="2634"/>
  <c r="EQ7" i="2634" s="1"/>
  <c r="EQ35" i="2634" s="1"/>
  <c r="EP8" i="2634"/>
  <c r="EP7" i="2634" s="1"/>
  <c r="EP35" i="2634" s="1"/>
  <c r="EO8" i="2634"/>
  <c r="EM8" i="2634"/>
  <c r="EM7" i="2634" s="1"/>
  <c r="EM35" i="2634" s="1"/>
  <c r="EL8" i="2634"/>
  <c r="EL7" i="2634" s="1"/>
  <c r="EL35" i="2634" s="1"/>
  <c r="EK8" i="2634"/>
  <c r="EK7" i="2634" s="1"/>
  <c r="EK35" i="2634" s="1"/>
  <c r="EJ8" i="2634"/>
  <c r="EJ7" i="2634" s="1"/>
  <c r="EJ35" i="2634" s="1"/>
  <c r="EI8" i="2634"/>
  <c r="EI7" i="2634" s="1"/>
  <c r="EI35" i="2634" s="1"/>
  <c r="EH8" i="2634"/>
  <c r="EH7" i="2634" s="1"/>
  <c r="EH35" i="2634" s="1"/>
  <c r="EG8" i="2634"/>
  <c r="EF8" i="2634"/>
  <c r="EE8" i="2634"/>
  <c r="ED8" i="2634"/>
  <c r="EC8" i="2634"/>
  <c r="EB8" i="2634"/>
  <c r="EG7" i="2634"/>
  <c r="EC7" i="2634"/>
  <c r="EC35" i="2634" s="1"/>
  <c r="FF22" i="2634"/>
  <c r="FA5" i="2634"/>
  <c r="EN5" i="2634"/>
  <c r="FE29" i="2634" s="1"/>
  <c r="FF4" i="2634"/>
  <c r="FE4" i="2634" s="1"/>
  <c r="FA34" i="2633"/>
  <c r="EN34" i="2633"/>
  <c r="FF33" i="2633"/>
  <c r="FE33" i="2633"/>
  <c r="FC33" i="2633"/>
  <c r="FA33" i="2633"/>
  <c r="EN33" i="2633"/>
  <c r="FA32" i="2633"/>
  <c r="EN32" i="2633"/>
  <c r="FF31" i="2633"/>
  <c r="FE31" i="2633"/>
  <c r="FC31" i="2633"/>
  <c r="FA31" i="2633"/>
  <c r="EN31" i="2633"/>
  <c r="FA30" i="2633"/>
  <c r="EN30" i="2633"/>
  <c r="FF29" i="2633"/>
  <c r="FE29" i="2633"/>
  <c r="FC29" i="2633"/>
  <c r="FA29" i="2633"/>
  <c r="ER29" i="2633"/>
  <c r="EQ29" i="2633"/>
  <c r="EP29" i="2633"/>
  <c r="EO29" i="2633"/>
  <c r="EL29" i="2633"/>
  <c r="EK29" i="2633"/>
  <c r="EJ29" i="2633"/>
  <c r="EI29" i="2633"/>
  <c r="EH29" i="2633"/>
  <c r="EG29" i="2633"/>
  <c r="EF29" i="2633"/>
  <c r="EE29" i="2633"/>
  <c r="ED29" i="2633"/>
  <c r="EC29" i="2633"/>
  <c r="EB29" i="2633"/>
  <c r="EN29" i="2633" s="1"/>
  <c r="FC28" i="2633"/>
  <c r="FF27" i="2633"/>
  <c r="FE27" i="2633"/>
  <c r="FC27" i="2633"/>
  <c r="FA27" i="2633"/>
  <c r="EN27" i="2633"/>
  <c r="FA26" i="2633"/>
  <c r="EN26" i="2633"/>
  <c r="FF25" i="2633"/>
  <c r="FE25" i="2633"/>
  <c r="FC25" i="2633"/>
  <c r="FA25" i="2633"/>
  <c r="EN25" i="2633"/>
  <c r="FC24" i="2633"/>
  <c r="FA24" i="2633"/>
  <c r="EN24" i="2633"/>
  <c r="FF23" i="2633"/>
  <c r="FE23" i="2633"/>
  <c r="FA23" i="2633"/>
  <c r="EN23" i="2633"/>
  <c r="FE22" i="2633"/>
  <c r="FC22" i="2633"/>
  <c r="FA22" i="2633"/>
  <c r="EN22" i="2633"/>
  <c r="FA21" i="2633"/>
  <c r="EN21" i="2633"/>
  <c r="FF20" i="2633"/>
  <c r="FE20" i="2633"/>
  <c r="FC20" i="2633"/>
  <c r="FA20" i="2633"/>
  <c r="EN20" i="2633"/>
  <c r="FA19" i="2633"/>
  <c r="EN19" i="2633"/>
  <c r="FF18" i="2633"/>
  <c r="FE18" i="2633"/>
  <c r="FA18" i="2633"/>
  <c r="EN18" i="2633"/>
  <c r="FC17" i="2633"/>
  <c r="FA17" i="2633"/>
  <c r="EN17" i="2633"/>
  <c r="FF16" i="2633"/>
  <c r="FA16" i="2633"/>
  <c r="EN16" i="2633"/>
  <c r="FF15" i="2633"/>
  <c r="FE15" i="2633"/>
  <c r="FC15" i="2633"/>
  <c r="FA15" i="2633"/>
  <c r="EN15" i="2633"/>
  <c r="FA14" i="2633"/>
  <c r="EN14" i="2633"/>
  <c r="FF13" i="2633"/>
  <c r="FE13" i="2633"/>
  <c r="FC13" i="2633"/>
  <c r="FA13" i="2633"/>
  <c r="EN13" i="2633"/>
  <c r="FC12" i="2633"/>
  <c r="FA12" i="2633"/>
  <c r="EN12" i="2633"/>
  <c r="FF11" i="2633"/>
  <c r="FE11" i="2633"/>
  <c r="FA11" i="2633"/>
  <c r="EN11" i="2633"/>
  <c r="FE10" i="2633"/>
  <c r="FC10" i="2633"/>
  <c r="FA10" i="2633"/>
  <c r="EN10" i="2633"/>
  <c r="FA9" i="2633"/>
  <c r="EN9" i="2633"/>
  <c r="FF8" i="2633"/>
  <c r="FE8" i="2633"/>
  <c r="FC8" i="2633"/>
  <c r="FA8" i="2633"/>
  <c r="EN8" i="2633"/>
  <c r="ER7" i="2633"/>
  <c r="EQ7" i="2633"/>
  <c r="EP7" i="2633"/>
  <c r="EO7" i="2633"/>
  <c r="FA7" i="2633" s="1"/>
  <c r="EL7" i="2633"/>
  <c r="EK7" i="2633"/>
  <c r="EJ7" i="2633"/>
  <c r="EI7" i="2633"/>
  <c r="EH7" i="2633"/>
  <c r="EG7" i="2633"/>
  <c r="EF7" i="2633"/>
  <c r="EE7" i="2633"/>
  <c r="ED7" i="2633"/>
  <c r="EC7" i="2633"/>
  <c r="EB7" i="2633"/>
  <c r="EN7" i="2633" s="1"/>
  <c r="FD5" i="2633"/>
  <c r="FF5" i="2633" s="1"/>
  <c r="FF34" i="2633"/>
  <c r="FA5" i="2633"/>
  <c r="EN5" i="2633"/>
  <c r="FF32" i="2633" s="1"/>
  <c r="FF4" i="2633"/>
  <c r="FE4" i="2633" s="1"/>
  <c r="FC4" i="2633" s="1"/>
  <c r="EN122" i="2632"/>
  <c r="FE116" i="2632"/>
  <c r="FA116" i="2632"/>
  <c r="EN116" i="2632"/>
  <c r="FA115" i="2632"/>
  <c r="FC115" i="2632"/>
  <c r="FA114" i="2632"/>
  <c r="EN114" i="2632"/>
  <c r="FA110" i="2632"/>
  <c r="EN110" i="2632"/>
  <c r="FA109" i="2632"/>
  <c r="FF108" i="2632"/>
  <c r="FC107" i="2632"/>
  <c r="FA104" i="2632"/>
  <c r="FC103" i="2632"/>
  <c r="FA103" i="2632"/>
  <c r="EN102" i="2632"/>
  <c r="FF97" i="2632"/>
  <c r="FE97" i="2632"/>
  <c r="FA97" i="2632"/>
  <c r="EN97" i="2632"/>
  <c r="FE96" i="2632"/>
  <c r="FC96" i="2632"/>
  <c r="FA96" i="2632"/>
  <c r="EN96" i="2632"/>
  <c r="FF95" i="2632"/>
  <c r="FE95" i="2632"/>
  <c r="FA95" i="2632"/>
  <c r="EN95" i="2632"/>
  <c r="FE94" i="2632"/>
  <c r="FC94" i="2632"/>
  <c r="FA94" i="2632"/>
  <c r="EN94" i="2632"/>
  <c r="FF93" i="2632"/>
  <c r="FE93" i="2632"/>
  <c r="FA93" i="2632"/>
  <c r="EN93" i="2632"/>
  <c r="FC92" i="2632"/>
  <c r="FA92" i="2632"/>
  <c r="FE92" i="2632"/>
  <c r="FA91" i="2632"/>
  <c r="EN91" i="2632"/>
  <c r="FC90" i="2632"/>
  <c r="FA90" i="2632"/>
  <c r="EN90" i="2632"/>
  <c r="FF89" i="2632"/>
  <c r="FA89" i="2632"/>
  <c r="EN89" i="2632"/>
  <c r="FC88" i="2632"/>
  <c r="FA88" i="2632"/>
  <c r="EN88" i="2632"/>
  <c r="FE87" i="2632"/>
  <c r="FA87" i="2632"/>
  <c r="EN87" i="2632"/>
  <c r="FA86" i="2632"/>
  <c r="EN86" i="2632"/>
  <c r="FF84" i="2632"/>
  <c r="FE84" i="2632"/>
  <c r="FC84" i="2632"/>
  <c r="FE83" i="2632"/>
  <c r="FC83" i="2632"/>
  <c r="FA83" i="2632"/>
  <c r="EN83" i="2632"/>
  <c r="FC82" i="2632"/>
  <c r="FA82" i="2632"/>
  <c r="FF102" i="2632"/>
  <c r="FC79" i="2632"/>
  <c r="FD77" i="2632"/>
  <c r="FF77" i="2632" s="1"/>
  <c r="FA77" i="2632"/>
  <c r="EN77" i="2632"/>
  <c r="FF76" i="2632"/>
  <c r="FE76" i="2632"/>
  <c r="FC76" i="2632"/>
  <c r="FA73" i="2632"/>
  <c r="ER73" i="2632"/>
  <c r="EQ73" i="2632"/>
  <c r="EP73" i="2632"/>
  <c r="EO73" i="2632"/>
  <c r="EM73" i="2632"/>
  <c r="EL73" i="2632"/>
  <c r="EK73" i="2632"/>
  <c r="EJ73" i="2632"/>
  <c r="EI73" i="2632"/>
  <c r="EH73" i="2632"/>
  <c r="EG73" i="2632"/>
  <c r="EF73" i="2632"/>
  <c r="EE73" i="2632"/>
  <c r="ED73" i="2632"/>
  <c r="EC73" i="2632"/>
  <c r="EB73" i="2632"/>
  <c r="FD72" i="2632"/>
  <c r="FF72" i="2632" s="1"/>
  <c r="ER70" i="2632"/>
  <c r="EQ70" i="2632"/>
  <c r="EP70" i="2632"/>
  <c r="EO70" i="2632"/>
  <c r="EM70" i="2632"/>
  <c r="EL70" i="2632"/>
  <c r="EK70" i="2632"/>
  <c r="EJ70" i="2632"/>
  <c r="EI70" i="2632"/>
  <c r="EH70" i="2632"/>
  <c r="EG70" i="2632"/>
  <c r="EF70" i="2632"/>
  <c r="EE70" i="2632"/>
  <c r="ED70" i="2632"/>
  <c r="EC70" i="2632"/>
  <c r="EB70" i="2632"/>
  <c r="FA66" i="2632"/>
  <c r="EN66" i="2632"/>
  <c r="FF65" i="2632"/>
  <c r="FE65" i="2632"/>
  <c r="FA65" i="2632"/>
  <c r="EM65" i="2632"/>
  <c r="EL65" i="2632"/>
  <c r="EK65" i="2632"/>
  <c r="EJ65" i="2632"/>
  <c r="EI65" i="2632"/>
  <c r="EH65" i="2632"/>
  <c r="EG65" i="2632"/>
  <c r="EF65" i="2632"/>
  <c r="EE65" i="2632"/>
  <c r="FC65" i="2632" s="1"/>
  <c r="ED65" i="2632"/>
  <c r="EC65" i="2632"/>
  <c r="EB65" i="2632"/>
  <c r="EN65" i="2632" s="1"/>
  <c r="ER64" i="2632"/>
  <c r="EQ64" i="2632"/>
  <c r="EP64" i="2632"/>
  <c r="EO64" i="2632"/>
  <c r="EM64" i="2632"/>
  <c r="EL64" i="2632"/>
  <c r="EK64" i="2632"/>
  <c r="EJ64" i="2632"/>
  <c r="EI64" i="2632"/>
  <c r="EH64" i="2632"/>
  <c r="EG64" i="2632"/>
  <c r="EF64" i="2632"/>
  <c r="EE64" i="2632"/>
  <c r="ED64" i="2632"/>
  <c r="EC64" i="2632"/>
  <c r="EB64" i="2632"/>
  <c r="FC63" i="2632"/>
  <c r="FA63" i="2632"/>
  <c r="ER63" i="2632"/>
  <c r="EQ63" i="2632"/>
  <c r="EP63" i="2632"/>
  <c r="EO63" i="2632"/>
  <c r="EM63" i="2632"/>
  <c r="EL63" i="2632"/>
  <c r="EK63" i="2632"/>
  <c r="EJ63" i="2632"/>
  <c r="EI63" i="2632"/>
  <c r="EH63" i="2632"/>
  <c r="EG63" i="2632"/>
  <c r="EF63" i="2632"/>
  <c r="EE63" i="2632"/>
  <c r="ED63" i="2632"/>
  <c r="EC63" i="2632"/>
  <c r="EB63" i="2632"/>
  <c r="FF62" i="2632"/>
  <c r="FE62" i="2632"/>
  <c r="ER62" i="2632"/>
  <c r="EQ62" i="2632"/>
  <c r="EP62" i="2632"/>
  <c r="EO62" i="2632"/>
  <c r="FA62" i="2632" s="1"/>
  <c r="EM62" i="2632"/>
  <c r="EL62" i="2632"/>
  <c r="EK62" i="2632"/>
  <c r="EJ62" i="2632"/>
  <c r="EI62" i="2632"/>
  <c r="EH62" i="2632"/>
  <c r="EG62" i="2632"/>
  <c r="EF62" i="2632"/>
  <c r="EE62" i="2632"/>
  <c r="ED62" i="2632"/>
  <c r="EC62" i="2632"/>
  <c r="EB62" i="2632"/>
  <c r="ER61" i="2632"/>
  <c r="EQ61" i="2632"/>
  <c r="EP61" i="2632"/>
  <c r="FA61" i="2632" s="1"/>
  <c r="EO61" i="2632"/>
  <c r="EM61" i="2632"/>
  <c r="EL61" i="2632"/>
  <c r="EK61" i="2632"/>
  <c r="EJ61" i="2632"/>
  <c r="EI61" i="2632"/>
  <c r="EH61" i="2632"/>
  <c r="EG61" i="2632"/>
  <c r="EF61" i="2632"/>
  <c r="EE61" i="2632"/>
  <c r="ED61" i="2632"/>
  <c r="EC61" i="2632"/>
  <c r="EB61" i="2632"/>
  <c r="EN61" i="2632" s="1"/>
  <c r="FF60" i="2632"/>
  <c r="ER60" i="2632"/>
  <c r="EQ60" i="2632"/>
  <c r="FA60" i="2632" s="1"/>
  <c r="EP60" i="2632"/>
  <c r="EO60" i="2632"/>
  <c r="EM60" i="2632"/>
  <c r="EL60" i="2632"/>
  <c r="EK60" i="2632"/>
  <c r="EJ60" i="2632"/>
  <c r="EI60" i="2632"/>
  <c r="EH60" i="2632"/>
  <c r="EG60" i="2632"/>
  <c r="EF60" i="2632"/>
  <c r="EE60" i="2632"/>
  <c r="ED60" i="2632"/>
  <c r="EC60" i="2632"/>
  <c r="EB60" i="2632"/>
  <c r="FE60" i="2632" s="1"/>
  <c r="EL59" i="2632"/>
  <c r="EK59" i="2632"/>
  <c r="EJ59" i="2632"/>
  <c r="EH59" i="2632"/>
  <c r="EG59" i="2632"/>
  <c r="FC58" i="2632"/>
  <c r="ER57" i="2632"/>
  <c r="FC57" i="2632" s="1"/>
  <c r="EQ57" i="2632"/>
  <c r="FF57" i="2632" s="1"/>
  <c r="EP57" i="2632"/>
  <c r="EO57" i="2632"/>
  <c r="EM57" i="2632"/>
  <c r="EL57" i="2632"/>
  <c r="EK57" i="2632"/>
  <c r="EJ57" i="2632"/>
  <c r="EI57" i="2632"/>
  <c r="EH57" i="2632"/>
  <c r="EG57" i="2632"/>
  <c r="EF57" i="2632"/>
  <c r="EE57" i="2632"/>
  <c r="FE57" i="2632" s="1"/>
  <c r="ED57" i="2632"/>
  <c r="EC57" i="2632"/>
  <c r="EB57" i="2632"/>
  <c r="ER56" i="2632"/>
  <c r="EQ56" i="2632"/>
  <c r="FA56" i="2632" s="1"/>
  <c r="EP56" i="2632"/>
  <c r="EO56" i="2632"/>
  <c r="EM56" i="2632"/>
  <c r="EL56" i="2632"/>
  <c r="EK56" i="2632"/>
  <c r="EJ56" i="2632"/>
  <c r="EI56" i="2632"/>
  <c r="EH56" i="2632"/>
  <c r="EG56" i="2632"/>
  <c r="EF56" i="2632"/>
  <c r="EE56" i="2632"/>
  <c r="ED56" i="2632"/>
  <c r="EC56" i="2632"/>
  <c r="EB56" i="2632"/>
  <c r="FF55" i="2632"/>
  <c r="ER55" i="2632"/>
  <c r="EQ55" i="2632"/>
  <c r="EP55" i="2632"/>
  <c r="EO55" i="2632"/>
  <c r="FA55" i="2632" s="1"/>
  <c r="EM55" i="2632"/>
  <c r="EL55" i="2632"/>
  <c r="EK55" i="2632"/>
  <c r="EJ55" i="2632"/>
  <c r="EI55" i="2632"/>
  <c r="EH55" i="2632"/>
  <c r="EG55" i="2632"/>
  <c r="EF55" i="2632"/>
  <c r="EE55" i="2632"/>
  <c r="ED55" i="2632"/>
  <c r="EC55" i="2632"/>
  <c r="EB55" i="2632"/>
  <c r="FF54" i="2632"/>
  <c r="ER54" i="2632"/>
  <c r="EQ54" i="2632"/>
  <c r="EP54" i="2632"/>
  <c r="EO54" i="2632"/>
  <c r="EM54" i="2632"/>
  <c r="EL54" i="2632"/>
  <c r="EK54" i="2632"/>
  <c r="EJ54" i="2632"/>
  <c r="EI54" i="2632"/>
  <c r="EH54" i="2632"/>
  <c r="EG54" i="2632"/>
  <c r="EF54" i="2632"/>
  <c r="EE54" i="2632"/>
  <c r="FE54" i="2632" s="1"/>
  <c r="ED54" i="2632"/>
  <c r="EC54" i="2632"/>
  <c r="EB54" i="2632"/>
  <c r="FC53" i="2632"/>
  <c r="ER53" i="2632"/>
  <c r="EQ53" i="2632"/>
  <c r="EP53" i="2632"/>
  <c r="FF53" i="2632" s="1"/>
  <c r="EO53" i="2632"/>
  <c r="EM53" i="2632"/>
  <c r="EL53" i="2632"/>
  <c r="EK53" i="2632"/>
  <c r="EJ53" i="2632"/>
  <c r="EI53" i="2632"/>
  <c r="EH53" i="2632"/>
  <c r="EG53" i="2632"/>
  <c r="EF53" i="2632"/>
  <c r="EE53" i="2632"/>
  <c r="ED53" i="2632"/>
  <c r="FE53" i="2632" s="1"/>
  <c r="EC53" i="2632"/>
  <c r="EB53" i="2632"/>
  <c r="FC52" i="2632"/>
  <c r="FA52" i="2632"/>
  <c r="ER52" i="2632"/>
  <c r="EQ52" i="2632"/>
  <c r="EP52" i="2632"/>
  <c r="EO52" i="2632"/>
  <c r="EM52" i="2632"/>
  <c r="EL52" i="2632"/>
  <c r="EK52" i="2632"/>
  <c r="EJ52" i="2632"/>
  <c r="EI52" i="2632"/>
  <c r="EH52" i="2632"/>
  <c r="EG52" i="2632"/>
  <c r="EF52" i="2632"/>
  <c r="EE52" i="2632"/>
  <c r="ED52" i="2632"/>
  <c r="EC52" i="2632"/>
  <c r="EB52" i="2632"/>
  <c r="ER51" i="2632"/>
  <c r="EQ51" i="2632"/>
  <c r="EP51" i="2632"/>
  <c r="EO51" i="2632"/>
  <c r="EM51" i="2632"/>
  <c r="EL51" i="2632"/>
  <c r="EK51" i="2632"/>
  <c r="EJ51" i="2632"/>
  <c r="EI51" i="2632"/>
  <c r="EH51" i="2632"/>
  <c r="EG51" i="2632"/>
  <c r="EF51" i="2632"/>
  <c r="EE51" i="2632"/>
  <c r="ED51" i="2632"/>
  <c r="EC51" i="2632"/>
  <c r="EB51" i="2632"/>
  <c r="FE51" i="2632" s="1"/>
  <c r="ER50" i="2632"/>
  <c r="EQ50" i="2632"/>
  <c r="EM50" i="2632"/>
  <c r="EL50" i="2632"/>
  <c r="EK50" i="2632"/>
  <c r="EG50" i="2632"/>
  <c r="EF50" i="2632"/>
  <c r="EE50" i="2632"/>
  <c r="FF49" i="2632"/>
  <c r="FC49" i="2632"/>
  <c r="FA49" i="2632"/>
  <c r="ER49" i="2632"/>
  <c r="EQ49" i="2632"/>
  <c r="EP49" i="2632"/>
  <c r="EO49" i="2632"/>
  <c r="EM49" i="2632"/>
  <c r="EL49" i="2632"/>
  <c r="EK49" i="2632"/>
  <c r="EJ49" i="2632"/>
  <c r="EI49" i="2632"/>
  <c r="EH49" i="2632"/>
  <c r="EG49" i="2632"/>
  <c r="EF49" i="2632"/>
  <c r="EE49" i="2632"/>
  <c r="ED49" i="2632"/>
  <c r="EC49" i="2632"/>
  <c r="EB49" i="2632"/>
  <c r="FA48" i="2632"/>
  <c r="ER48" i="2632"/>
  <c r="EQ48" i="2632"/>
  <c r="EP48" i="2632"/>
  <c r="EO48" i="2632"/>
  <c r="EM48" i="2632"/>
  <c r="EL48" i="2632"/>
  <c r="EK48" i="2632"/>
  <c r="EJ48" i="2632"/>
  <c r="EI48" i="2632"/>
  <c r="EH48" i="2632"/>
  <c r="EG48" i="2632"/>
  <c r="EF48" i="2632"/>
  <c r="EE48" i="2632"/>
  <c r="FE48" i="2632" s="1"/>
  <c r="ED48" i="2632"/>
  <c r="EC48" i="2632"/>
  <c r="EB48" i="2632"/>
  <c r="ER47" i="2632"/>
  <c r="EQ47" i="2632"/>
  <c r="EP47" i="2632"/>
  <c r="EO47" i="2632"/>
  <c r="EM47" i="2632"/>
  <c r="EL47" i="2632"/>
  <c r="EK47" i="2632"/>
  <c r="EJ47" i="2632"/>
  <c r="EI47" i="2632"/>
  <c r="EH47" i="2632"/>
  <c r="EG47" i="2632"/>
  <c r="EF47" i="2632"/>
  <c r="EE47" i="2632"/>
  <c r="ED47" i="2632"/>
  <c r="EC47" i="2632"/>
  <c r="EB47" i="2632"/>
  <c r="FE47" i="2632" s="1"/>
  <c r="ER46" i="2632"/>
  <c r="EQ46" i="2632"/>
  <c r="EP46" i="2632"/>
  <c r="EO46" i="2632"/>
  <c r="EM46" i="2632"/>
  <c r="EL46" i="2632"/>
  <c r="EK46" i="2632"/>
  <c r="EJ46" i="2632"/>
  <c r="EI46" i="2632"/>
  <c r="EH46" i="2632"/>
  <c r="EG46" i="2632"/>
  <c r="EF46" i="2632"/>
  <c r="EE46" i="2632"/>
  <c r="ED46" i="2632"/>
  <c r="EC46" i="2632"/>
  <c r="EB46" i="2632"/>
  <c r="FC45" i="2632"/>
  <c r="ER45" i="2632"/>
  <c r="EQ45" i="2632"/>
  <c r="EP45" i="2632"/>
  <c r="EO45" i="2632"/>
  <c r="FA45" i="2632" s="1"/>
  <c r="EM45" i="2632"/>
  <c r="EL45" i="2632"/>
  <c r="EK45" i="2632"/>
  <c r="EJ45" i="2632"/>
  <c r="EI45" i="2632"/>
  <c r="EH45" i="2632"/>
  <c r="EG45" i="2632"/>
  <c r="EF45" i="2632"/>
  <c r="EE45" i="2632"/>
  <c r="ED45" i="2632"/>
  <c r="EC45" i="2632"/>
  <c r="EB45" i="2632"/>
  <c r="EQ44" i="2632"/>
  <c r="EP44" i="2632"/>
  <c r="EL44" i="2632"/>
  <c r="EK44" i="2632"/>
  <c r="EE44" i="2632"/>
  <c r="ED44" i="2632"/>
  <c r="EC44" i="2632"/>
  <c r="EQ43" i="2632"/>
  <c r="EP43" i="2632"/>
  <c r="EE43" i="2632"/>
  <c r="ED43" i="2632"/>
  <c r="FD41" i="2632"/>
  <c r="FF41" i="2632" s="1"/>
  <c r="FA41" i="2632"/>
  <c r="EN41" i="2632"/>
  <c r="FF40" i="2632"/>
  <c r="FE40" i="2632"/>
  <c r="FC40" i="2632"/>
  <c r="ER37" i="2632"/>
  <c r="EQ37" i="2632"/>
  <c r="EP37" i="2632"/>
  <c r="EO37" i="2632"/>
  <c r="EM37" i="2632"/>
  <c r="EL37" i="2632"/>
  <c r="EK37" i="2632"/>
  <c r="EJ37" i="2632"/>
  <c r="EI37" i="2632"/>
  <c r="EH37" i="2632"/>
  <c r="EG37" i="2632"/>
  <c r="EF37" i="2632"/>
  <c r="EE37" i="2632"/>
  <c r="ED37" i="2632"/>
  <c r="EC37" i="2632"/>
  <c r="EB37" i="2632"/>
  <c r="FF31" i="2632"/>
  <c r="FE31" i="2632"/>
  <c r="FA31" i="2632"/>
  <c r="EN31" i="2632"/>
  <c r="FC30" i="2632"/>
  <c r="FA30" i="2632"/>
  <c r="EN30" i="2632"/>
  <c r="FF29" i="2632"/>
  <c r="FE29" i="2632"/>
  <c r="FD29" i="2632" s="1"/>
  <c r="FA29" i="2632"/>
  <c r="EN29" i="2632"/>
  <c r="FC28" i="2632"/>
  <c r="FA28" i="2632"/>
  <c r="EN28" i="2632"/>
  <c r="FF27" i="2632"/>
  <c r="FE27" i="2632"/>
  <c r="FA27" i="2632"/>
  <c r="EN27" i="2632"/>
  <c r="FA26" i="2632"/>
  <c r="EN26" i="2632"/>
  <c r="FF25" i="2632"/>
  <c r="FE25" i="2632"/>
  <c r="FA25" i="2632"/>
  <c r="EN25" i="2632"/>
  <c r="FF24" i="2632"/>
  <c r="FA24" i="2632"/>
  <c r="EN24" i="2632"/>
  <c r="FF23" i="2632"/>
  <c r="ER23" i="2632"/>
  <c r="ER59" i="2632" s="1"/>
  <c r="FC59" i="2632" s="1"/>
  <c r="EQ23" i="2632"/>
  <c r="EQ59" i="2632" s="1"/>
  <c r="EP23" i="2632"/>
  <c r="EP59" i="2632" s="1"/>
  <c r="EO23" i="2632"/>
  <c r="FA23" i="2632" s="1"/>
  <c r="EM59" i="2632"/>
  <c r="EL23" i="2632"/>
  <c r="EK23" i="2632"/>
  <c r="EJ23" i="2632"/>
  <c r="EI23" i="2632"/>
  <c r="EI59" i="2632" s="1"/>
  <c r="EH23" i="2632"/>
  <c r="EG23" i="2632"/>
  <c r="EF23" i="2632"/>
  <c r="EF59" i="2632" s="1"/>
  <c r="EE23" i="2632"/>
  <c r="EE59" i="2632" s="1"/>
  <c r="FE59" i="2632" s="1"/>
  <c r="ED23" i="2632"/>
  <c r="ED59" i="2632" s="1"/>
  <c r="EC23" i="2632"/>
  <c r="EC59" i="2632" s="1"/>
  <c r="EB23" i="2632"/>
  <c r="EB59" i="2632" s="1"/>
  <c r="FC22" i="2632"/>
  <c r="FC21" i="2632"/>
  <c r="FA21" i="2632"/>
  <c r="EN21" i="2632"/>
  <c r="FF20" i="2632"/>
  <c r="FE20" i="2632"/>
  <c r="FC20" i="2632"/>
  <c r="FA20" i="2632"/>
  <c r="EN20" i="2632"/>
  <c r="FC19" i="2632"/>
  <c r="FA19" i="2632"/>
  <c r="EN19" i="2632"/>
  <c r="FF18" i="2632"/>
  <c r="FE18" i="2632"/>
  <c r="FC18" i="2632"/>
  <c r="FA18" i="2632"/>
  <c r="EN18" i="2632"/>
  <c r="FC17" i="2632"/>
  <c r="FA17" i="2632"/>
  <c r="EN17" i="2632"/>
  <c r="FF16" i="2632"/>
  <c r="FE16" i="2632"/>
  <c r="FC16" i="2632"/>
  <c r="FA16" i="2632"/>
  <c r="EN16" i="2632"/>
  <c r="FE15" i="2632"/>
  <c r="FC15" i="2632"/>
  <c r="FA15" i="2632"/>
  <c r="EN15" i="2632"/>
  <c r="FC14" i="2632"/>
  <c r="ER14" i="2632"/>
  <c r="EQ14" i="2632"/>
  <c r="EP14" i="2632"/>
  <c r="EP50" i="2632" s="1"/>
  <c r="EO14" i="2632"/>
  <c r="EL14" i="2632"/>
  <c r="EK14" i="2632"/>
  <c r="EJ14" i="2632"/>
  <c r="EJ50" i="2632" s="1"/>
  <c r="EI14" i="2632"/>
  <c r="EI50" i="2632" s="1"/>
  <c r="EH14" i="2632"/>
  <c r="EH50" i="2632" s="1"/>
  <c r="EG14" i="2632"/>
  <c r="EF14" i="2632"/>
  <c r="EE14" i="2632"/>
  <c r="ED14" i="2632"/>
  <c r="ED50" i="2632" s="1"/>
  <c r="EC14" i="2632"/>
  <c r="EC50" i="2632" s="1"/>
  <c r="EB14" i="2632"/>
  <c r="EB50" i="2632" s="1"/>
  <c r="FC13" i="2632"/>
  <c r="FA13" i="2632"/>
  <c r="EN13" i="2632"/>
  <c r="FF12" i="2632"/>
  <c r="FE12" i="2632"/>
  <c r="FA12" i="2632"/>
  <c r="EN12" i="2632"/>
  <c r="FC11" i="2632"/>
  <c r="FA11" i="2632"/>
  <c r="EN11" i="2632"/>
  <c r="FF10" i="2632"/>
  <c r="FE10" i="2632"/>
  <c r="FC10" i="2632"/>
  <c r="FA10" i="2632"/>
  <c r="EN10" i="2632"/>
  <c r="FC9" i="2632"/>
  <c r="FA9" i="2632"/>
  <c r="EN9" i="2632"/>
  <c r="FF8" i="2632"/>
  <c r="FE8" i="2632"/>
  <c r="ER8" i="2632"/>
  <c r="FC8" i="2632" s="1"/>
  <c r="EQ8" i="2632"/>
  <c r="EP8" i="2632"/>
  <c r="EO8" i="2632"/>
  <c r="EL8" i="2632"/>
  <c r="EL7" i="2632" s="1"/>
  <c r="EL43" i="2632" s="1"/>
  <c r="EK8" i="2632"/>
  <c r="EK7" i="2632" s="1"/>
  <c r="EK43" i="2632" s="1"/>
  <c r="EJ8" i="2632"/>
  <c r="EI8" i="2632"/>
  <c r="EI44" i="2632" s="1"/>
  <c r="EH8" i="2632"/>
  <c r="EH7" i="2632" s="1"/>
  <c r="EH43" i="2632" s="1"/>
  <c r="EG8" i="2632"/>
  <c r="EG44" i="2632" s="1"/>
  <c r="EF8" i="2632"/>
  <c r="EF44" i="2632" s="1"/>
  <c r="EE8" i="2632"/>
  <c r="ED8" i="2632"/>
  <c r="EC8" i="2632"/>
  <c r="EB8" i="2632"/>
  <c r="ER7" i="2632"/>
  <c r="ER43" i="2632" s="1"/>
  <c r="EQ7" i="2632"/>
  <c r="EP7" i="2632"/>
  <c r="EG7" i="2632"/>
  <c r="EG43" i="2632" s="1"/>
  <c r="EF7" i="2632"/>
  <c r="EF43" i="2632" s="1"/>
  <c r="EE7" i="2632"/>
  <c r="ED7" i="2632"/>
  <c r="FD5" i="2632"/>
  <c r="FF5" i="2632" s="1"/>
  <c r="FE114" i="2632"/>
  <c r="FA5" i="2632"/>
  <c r="EN5" i="2632"/>
  <c r="FF21" i="2632" s="1"/>
  <c r="FF4" i="2632"/>
  <c r="FF71" i="2632" s="1"/>
  <c r="FE71" i="2632" s="1"/>
  <c r="FF91" i="2631"/>
  <c r="FD91" i="2631" s="1"/>
  <c r="EN91" i="2631"/>
  <c r="FF90" i="2631"/>
  <c r="FD90" i="2631" s="1"/>
  <c r="EN90" i="2631"/>
  <c r="FF89" i="2631"/>
  <c r="EN89" i="2631"/>
  <c r="FF88" i="2631"/>
  <c r="FD88" i="2631" s="1"/>
  <c r="EN88" i="2631"/>
  <c r="FF87" i="2631"/>
  <c r="FD87" i="2631" s="1"/>
  <c r="EN87" i="2631"/>
  <c r="ER86" i="2631"/>
  <c r="ER83" i="2631" s="1"/>
  <c r="EQ86" i="2631"/>
  <c r="EQ83" i="2631" s="1"/>
  <c r="EP86" i="2631"/>
  <c r="EP83" i="2631" s="1"/>
  <c r="EO86" i="2631"/>
  <c r="EM86" i="2631"/>
  <c r="EL86" i="2631"/>
  <c r="EL83" i="2631" s="1"/>
  <c r="EK86" i="2631"/>
  <c r="EJ86" i="2631"/>
  <c r="EJ46" i="2631" s="1"/>
  <c r="EI86" i="2631"/>
  <c r="EI46" i="2631" s="1"/>
  <c r="EH86" i="2631"/>
  <c r="EG86" i="2631"/>
  <c r="EF86" i="2631"/>
  <c r="EE86" i="2631"/>
  <c r="EE83" i="2631" s="1"/>
  <c r="ED86" i="2631"/>
  <c r="ED83" i="2631" s="1"/>
  <c r="EC86" i="2631"/>
  <c r="EB86" i="2631"/>
  <c r="FF85" i="2631"/>
  <c r="EN85" i="2631"/>
  <c r="FF84" i="2631"/>
  <c r="FD84" i="2631" s="1"/>
  <c r="EN84" i="2631"/>
  <c r="EK83" i="2631"/>
  <c r="EJ83" i="2631"/>
  <c r="EI83" i="2631"/>
  <c r="EH83" i="2631"/>
  <c r="EG83" i="2631"/>
  <c r="ER82" i="2631"/>
  <c r="ER51" i="2631" s="1"/>
  <c r="EQ82" i="2631"/>
  <c r="EQ51" i="2631" s="1"/>
  <c r="EP82" i="2631"/>
  <c r="EP51" i="2631" s="1"/>
  <c r="EO82" i="2631"/>
  <c r="EM82" i="2631"/>
  <c r="EN82" i="2631" s="1"/>
  <c r="FF81" i="2631"/>
  <c r="EN81" i="2631"/>
  <c r="FF80" i="2631"/>
  <c r="FD80" i="2631" s="1"/>
  <c r="EN80" i="2631"/>
  <c r="ER79" i="2631"/>
  <c r="EQ79" i="2631"/>
  <c r="EP79" i="2631"/>
  <c r="EO79" i="2631"/>
  <c r="EN79" i="2631"/>
  <c r="FF78" i="2631"/>
  <c r="FD78" i="2631" s="1"/>
  <c r="EN78" i="2631"/>
  <c r="FF77" i="2631"/>
  <c r="EN77" i="2631"/>
  <c r="FF76" i="2631"/>
  <c r="FD76" i="2631" s="1"/>
  <c r="EN76" i="2631"/>
  <c r="FF75" i="2631"/>
  <c r="FD75" i="2631" s="1"/>
  <c r="EN75" i="2631"/>
  <c r="FF74" i="2631"/>
  <c r="FD74" i="2631" s="1"/>
  <c r="EN74" i="2631"/>
  <c r="ER73" i="2631"/>
  <c r="EQ73" i="2631"/>
  <c r="EQ72" i="2631" s="1"/>
  <c r="EP73" i="2631"/>
  <c r="EO73" i="2631"/>
  <c r="EM73" i="2631"/>
  <c r="EM72" i="2631" s="1"/>
  <c r="EM63" i="2631" s="1"/>
  <c r="EL73" i="2631"/>
  <c r="EL72" i="2631" s="1"/>
  <c r="EL63" i="2631" s="1"/>
  <c r="EL62" i="2631" s="1"/>
  <c r="EK73" i="2631"/>
  <c r="EK72" i="2631" s="1"/>
  <c r="EK63" i="2631" s="1"/>
  <c r="EK62" i="2631" s="1"/>
  <c r="EJ73" i="2631"/>
  <c r="EJ72" i="2631" s="1"/>
  <c r="EI73" i="2631"/>
  <c r="EI72" i="2631" s="1"/>
  <c r="EH73" i="2631"/>
  <c r="EH72" i="2631" s="1"/>
  <c r="EG73" i="2631"/>
  <c r="EG72" i="2631" s="1"/>
  <c r="EF73" i="2631"/>
  <c r="EE73" i="2631"/>
  <c r="EE72" i="2631" s="1"/>
  <c r="ED73" i="2631"/>
  <c r="ED72" i="2631" s="1"/>
  <c r="EC73" i="2631"/>
  <c r="EC72" i="2631" s="1"/>
  <c r="EB73" i="2631"/>
  <c r="ER72" i="2631"/>
  <c r="EF72" i="2631"/>
  <c r="FF71" i="2631"/>
  <c r="EN71" i="2631"/>
  <c r="FF70" i="2631"/>
  <c r="EN70" i="2631"/>
  <c r="FF69" i="2631"/>
  <c r="EN69" i="2631"/>
  <c r="FF68" i="2631"/>
  <c r="FD68" i="2631" s="1"/>
  <c r="EN68" i="2631"/>
  <c r="FF67" i="2631"/>
  <c r="FD67" i="2631" s="1"/>
  <c r="EN67" i="2631"/>
  <c r="ER66" i="2631"/>
  <c r="EQ66" i="2631"/>
  <c r="EP66" i="2631"/>
  <c r="EO66" i="2631"/>
  <c r="EM66" i="2631"/>
  <c r="EL66" i="2631"/>
  <c r="EK66" i="2631"/>
  <c r="EJ66" i="2631"/>
  <c r="EI66" i="2631"/>
  <c r="EH66" i="2631"/>
  <c r="EH46" i="2631" s="1"/>
  <c r="EG66" i="2631"/>
  <c r="EF66" i="2631"/>
  <c r="EE66" i="2631"/>
  <c r="ED66" i="2631"/>
  <c r="EC66" i="2631"/>
  <c r="EC63" i="2631" s="1"/>
  <c r="EB66" i="2631"/>
  <c r="FF65" i="2631"/>
  <c r="EN65" i="2631"/>
  <c r="FF64" i="2631"/>
  <c r="FD64" i="2631" s="1"/>
  <c r="EN64" i="2631"/>
  <c r="FD61" i="2631"/>
  <c r="FA61" i="2631"/>
  <c r="EN61" i="2631"/>
  <c r="FF60" i="2631"/>
  <c r="FE60" i="2631" s="1"/>
  <c r="FC60" i="2631" s="1"/>
  <c r="EY59" i="2631"/>
  <c r="EX59" i="2631"/>
  <c r="EU59" i="2631"/>
  <c r="ET59" i="2631"/>
  <c r="ER59" i="2631"/>
  <c r="EQ59" i="2631"/>
  <c r="EP59" i="2631"/>
  <c r="EO59" i="2631"/>
  <c r="EM59" i="2631"/>
  <c r="EL59" i="2631"/>
  <c r="EK59" i="2631"/>
  <c r="EJ59" i="2631"/>
  <c r="EI59" i="2631"/>
  <c r="EH59" i="2631"/>
  <c r="EG59" i="2631"/>
  <c r="EF59" i="2631"/>
  <c r="EE59" i="2631"/>
  <c r="ED59" i="2631"/>
  <c r="EC59" i="2631"/>
  <c r="EB59" i="2631"/>
  <c r="ER54" i="2631"/>
  <c r="EQ54" i="2631"/>
  <c r="EP54" i="2631"/>
  <c r="EO54" i="2631"/>
  <c r="EM54" i="2631"/>
  <c r="EL54" i="2631"/>
  <c r="EK54" i="2631"/>
  <c r="EJ54" i="2631"/>
  <c r="EI54" i="2631"/>
  <c r="EH54" i="2631"/>
  <c r="EG54" i="2631"/>
  <c r="EF54" i="2631"/>
  <c r="EE54" i="2631"/>
  <c r="ED54" i="2631"/>
  <c r="EC54" i="2631"/>
  <c r="EB54" i="2631"/>
  <c r="ER52" i="2631"/>
  <c r="EQ52" i="2631"/>
  <c r="EP52" i="2631"/>
  <c r="EO52" i="2631"/>
  <c r="FF52" i="2631" s="1"/>
  <c r="EM52" i="2631"/>
  <c r="EL52" i="2631"/>
  <c r="EK52" i="2631"/>
  <c r="EJ52" i="2631"/>
  <c r="EI52" i="2631"/>
  <c r="EH52" i="2631"/>
  <c r="EG52" i="2631"/>
  <c r="EF52" i="2631"/>
  <c r="EE52" i="2631"/>
  <c r="ED52" i="2631"/>
  <c r="EC52" i="2631"/>
  <c r="EB52" i="2631"/>
  <c r="EM51" i="2631"/>
  <c r="EL51" i="2631"/>
  <c r="EK51" i="2631"/>
  <c r="EJ51" i="2631"/>
  <c r="EI51" i="2631"/>
  <c r="EH51" i="2631"/>
  <c r="EG51" i="2631"/>
  <c r="EF51" i="2631"/>
  <c r="EE51" i="2631"/>
  <c r="ED51" i="2631"/>
  <c r="EC51" i="2631"/>
  <c r="EB51" i="2631"/>
  <c r="ER50" i="2631"/>
  <c r="EQ50" i="2631"/>
  <c r="EP50" i="2631"/>
  <c r="EO50" i="2631"/>
  <c r="FF50" i="2631" s="1"/>
  <c r="FD50" i="2631" s="1"/>
  <c r="EM50" i="2631"/>
  <c r="EL50" i="2631"/>
  <c r="EK50" i="2631"/>
  <c r="EJ50" i="2631"/>
  <c r="EI50" i="2631"/>
  <c r="EH50" i="2631"/>
  <c r="EG50" i="2631"/>
  <c r="EF50" i="2631"/>
  <c r="EE50" i="2631"/>
  <c r="ED50" i="2631"/>
  <c r="EC50" i="2631"/>
  <c r="EB50" i="2631"/>
  <c r="ER49" i="2631"/>
  <c r="EQ49" i="2631"/>
  <c r="EP49" i="2631"/>
  <c r="EO49" i="2631"/>
  <c r="EM49" i="2631"/>
  <c r="EL49" i="2631"/>
  <c r="EK49" i="2631"/>
  <c r="EJ49" i="2631"/>
  <c r="EI49" i="2631"/>
  <c r="EH49" i="2631"/>
  <c r="EG49" i="2631"/>
  <c r="EF49" i="2631"/>
  <c r="EE49" i="2631"/>
  <c r="ED49" i="2631"/>
  <c r="EC49" i="2631"/>
  <c r="EB49" i="2631"/>
  <c r="ER48" i="2631"/>
  <c r="EQ48" i="2631"/>
  <c r="EQ47" i="2631" s="1"/>
  <c r="EP48" i="2631"/>
  <c r="EP47" i="2631" s="1"/>
  <c r="EO48" i="2631"/>
  <c r="FF48" i="2631" s="1"/>
  <c r="EM48" i="2631"/>
  <c r="EL48" i="2631"/>
  <c r="EK48" i="2631"/>
  <c r="EK47" i="2631" s="1"/>
  <c r="EJ48" i="2631"/>
  <c r="EI48" i="2631"/>
  <c r="EH48" i="2631"/>
  <c r="EG48" i="2631"/>
  <c r="EF48" i="2631"/>
  <c r="EE48" i="2631"/>
  <c r="EE47" i="2631" s="1"/>
  <c r="ED48" i="2631"/>
  <c r="ED47" i="2631" s="1"/>
  <c r="EC48" i="2631"/>
  <c r="EC47" i="2631" s="1"/>
  <c r="EB48" i="2631"/>
  <c r="EN48" i="2631" s="1"/>
  <c r="EO47" i="2631"/>
  <c r="EM47" i="2631"/>
  <c r="EL47" i="2631"/>
  <c r="EL46" i="2631"/>
  <c r="EK46" i="2631"/>
  <c r="EK44" i="2631"/>
  <c r="EJ44" i="2631"/>
  <c r="EI44" i="2631"/>
  <c r="EH44" i="2631"/>
  <c r="EG44" i="2631"/>
  <c r="EF44" i="2631"/>
  <c r="EE44" i="2631"/>
  <c r="ED44" i="2631"/>
  <c r="EB44" i="2631"/>
  <c r="FD40" i="2631"/>
  <c r="FA40" i="2631"/>
  <c r="EN40" i="2631"/>
  <c r="FF39" i="2631"/>
  <c r="FE39" i="2631" s="1"/>
  <c r="FC39" i="2631" s="1"/>
  <c r="FC33" i="2631"/>
  <c r="FA33" i="2631"/>
  <c r="EN33" i="2631"/>
  <c r="FC32" i="2631"/>
  <c r="FA32" i="2631"/>
  <c r="EN32" i="2631"/>
  <c r="FC31" i="2631"/>
  <c r="FA31" i="2631"/>
  <c r="EN31" i="2631"/>
  <c r="FA30" i="2631"/>
  <c r="EN30" i="2631"/>
  <c r="FA29" i="2631"/>
  <c r="EN29" i="2631"/>
  <c r="FA28" i="2631"/>
  <c r="EN28" i="2631"/>
  <c r="ER27" i="2631"/>
  <c r="EQ27" i="2631"/>
  <c r="EP27" i="2631"/>
  <c r="EO27" i="2631"/>
  <c r="FA27" i="2631" s="1"/>
  <c r="EM27" i="2631"/>
  <c r="EL27" i="2631"/>
  <c r="EK27" i="2631"/>
  <c r="EJ27" i="2631"/>
  <c r="EI27" i="2631"/>
  <c r="EH27" i="2631"/>
  <c r="EG27" i="2631"/>
  <c r="EF27" i="2631"/>
  <c r="EE27" i="2631"/>
  <c r="ED27" i="2631"/>
  <c r="EC27" i="2631"/>
  <c r="EB27" i="2631"/>
  <c r="FA25" i="2631"/>
  <c r="EN25" i="2631"/>
  <c r="FA24" i="2631"/>
  <c r="EN24" i="2631"/>
  <c r="ER23" i="2631"/>
  <c r="EQ23" i="2631"/>
  <c r="EP23" i="2631"/>
  <c r="EO23" i="2631"/>
  <c r="EM23" i="2631"/>
  <c r="EL23" i="2631"/>
  <c r="EK23" i="2631"/>
  <c r="EK7" i="2631" s="1"/>
  <c r="EK37" i="2631" s="1"/>
  <c r="EJ23" i="2631"/>
  <c r="EI23" i="2631"/>
  <c r="EH23" i="2631"/>
  <c r="EG23" i="2631"/>
  <c r="EF23" i="2631"/>
  <c r="EE23" i="2631"/>
  <c r="ED23" i="2631"/>
  <c r="EC23" i="2631"/>
  <c r="EB23" i="2631"/>
  <c r="FA22" i="2631"/>
  <c r="EN22" i="2631"/>
  <c r="ER21" i="2631"/>
  <c r="EQ21" i="2631"/>
  <c r="EP21" i="2631"/>
  <c r="EO21" i="2631"/>
  <c r="FA21" i="2631" s="1"/>
  <c r="EM21" i="2631"/>
  <c r="EL21" i="2631"/>
  <c r="EK21" i="2631"/>
  <c r="EJ21" i="2631"/>
  <c r="EI21" i="2631"/>
  <c r="EH21" i="2631"/>
  <c r="EG21" i="2631"/>
  <c r="EF21" i="2631"/>
  <c r="EE21" i="2631"/>
  <c r="ED21" i="2631"/>
  <c r="EC21" i="2631"/>
  <c r="EB21" i="2631"/>
  <c r="FA20" i="2631"/>
  <c r="EN20" i="2631"/>
  <c r="FA19" i="2631"/>
  <c r="EN19" i="2631"/>
  <c r="FA18" i="2631"/>
  <c r="EN18" i="2631"/>
  <c r="FA17" i="2631"/>
  <c r="EN17" i="2631"/>
  <c r="FA16" i="2631"/>
  <c r="EN16" i="2631"/>
  <c r="FA15" i="2631"/>
  <c r="EN15" i="2631"/>
  <c r="FA14" i="2631"/>
  <c r="EN14" i="2631"/>
  <c r="FA13" i="2631"/>
  <c r="EN13" i="2631"/>
  <c r="FA12" i="2631"/>
  <c r="EN12" i="2631"/>
  <c r="FA11" i="2631"/>
  <c r="EN11" i="2631"/>
  <c r="ER10" i="2631"/>
  <c r="EQ10" i="2631"/>
  <c r="EQ8" i="2631" s="1"/>
  <c r="EQ7" i="2631" s="1"/>
  <c r="EQ37" i="2631" s="1"/>
  <c r="EP10" i="2631"/>
  <c r="EP8" i="2631" s="1"/>
  <c r="EO10" i="2631"/>
  <c r="EM10" i="2631"/>
  <c r="EM44" i="2631" s="1"/>
  <c r="EL10" i="2631"/>
  <c r="EC10" i="2631"/>
  <c r="EC44" i="2631" s="1"/>
  <c r="FA9" i="2631"/>
  <c r="EN9" i="2631"/>
  <c r="EK8" i="2631"/>
  <c r="EJ8" i="2631"/>
  <c r="EI8" i="2631"/>
  <c r="EI7" i="2631" s="1"/>
  <c r="EI37" i="2631" s="1"/>
  <c r="EH8" i="2631"/>
  <c r="EH7" i="2631" s="1"/>
  <c r="EH37" i="2631" s="1"/>
  <c r="EG8" i="2631"/>
  <c r="EG7" i="2631" s="1"/>
  <c r="EG37" i="2631" s="1"/>
  <c r="EF8" i="2631"/>
  <c r="EE8" i="2631"/>
  <c r="EE7" i="2631" s="1"/>
  <c r="EE37" i="2631" s="1"/>
  <c r="ED8" i="2631"/>
  <c r="ED7" i="2631" s="1"/>
  <c r="ED37" i="2631" s="1"/>
  <c r="EC8" i="2631"/>
  <c r="EC7" i="2631" s="1"/>
  <c r="EC37" i="2631" s="1"/>
  <c r="EB8" i="2631"/>
  <c r="FD5" i="2631"/>
  <c r="FA5" i="2631"/>
  <c r="EN5" i="2631"/>
  <c r="FF4" i="2631"/>
  <c r="FE4" i="2631" s="1"/>
  <c r="FC4" i="2631" s="1"/>
  <c r="FA34" i="2630"/>
  <c r="EN34" i="2630"/>
  <c r="FF33" i="2630"/>
  <c r="FC33" i="2630"/>
  <c r="FA33" i="2630"/>
  <c r="EN33" i="2630"/>
  <c r="FA32" i="2630"/>
  <c r="EN32" i="2630"/>
  <c r="FF31" i="2630"/>
  <c r="FC31" i="2630"/>
  <c r="FA31" i="2630"/>
  <c r="EN31" i="2630"/>
  <c r="FA30" i="2630"/>
  <c r="EN30" i="2630"/>
  <c r="FF29" i="2630"/>
  <c r="EQ29" i="2630"/>
  <c r="EP29" i="2630"/>
  <c r="EO29" i="2630"/>
  <c r="EM29" i="2630"/>
  <c r="EL29" i="2630"/>
  <c r="EK29" i="2630"/>
  <c r="EJ29" i="2630"/>
  <c r="EI29" i="2630"/>
  <c r="EH29" i="2630"/>
  <c r="EG29" i="2630"/>
  <c r="EF29" i="2630"/>
  <c r="EE29" i="2630"/>
  <c r="ED29" i="2630"/>
  <c r="EC29" i="2630"/>
  <c r="EB29" i="2630"/>
  <c r="EN29" i="2630" s="1"/>
  <c r="FF27" i="2630"/>
  <c r="FE27" i="2630"/>
  <c r="FA27" i="2630"/>
  <c r="EN27" i="2630"/>
  <c r="FA26" i="2630"/>
  <c r="EN26" i="2630"/>
  <c r="FE25" i="2630"/>
  <c r="FC25" i="2630"/>
  <c r="FA25" i="2630"/>
  <c r="EN25" i="2630"/>
  <c r="FC24" i="2630"/>
  <c r="FA24" i="2630"/>
  <c r="EN24" i="2630"/>
  <c r="FF23" i="2630"/>
  <c r="FE23" i="2630"/>
  <c r="FA23" i="2630"/>
  <c r="EN23" i="2630"/>
  <c r="FE22" i="2630"/>
  <c r="FA22" i="2630"/>
  <c r="EN22" i="2630"/>
  <c r="FF21" i="2630"/>
  <c r="FA21" i="2630"/>
  <c r="EN21" i="2630"/>
  <c r="FF20" i="2630"/>
  <c r="FC20" i="2630"/>
  <c r="FA20" i="2630"/>
  <c r="EN20" i="2630"/>
  <c r="FA19" i="2630"/>
  <c r="EN19" i="2630"/>
  <c r="FF18" i="2630"/>
  <c r="FE18" i="2630"/>
  <c r="FC18" i="2630"/>
  <c r="FA18" i="2630"/>
  <c r="EN18" i="2630"/>
  <c r="FE17" i="2630"/>
  <c r="FC17" i="2630"/>
  <c r="FA17" i="2630"/>
  <c r="EN17" i="2630"/>
  <c r="FF16" i="2630"/>
  <c r="FE16" i="2630"/>
  <c r="FA16" i="2630"/>
  <c r="EN16" i="2630"/>
  <c r="FF15" i="2630"/>
  <c r="FE15" i="2630"/>
  <c r="FC15" i="2630"/>
  <c r="FA15" i="2630"/>
  <c r="EN15" i="2630"/>
  <c r="FA14" i="2630"/>
  <c r="EN14" i="2630"/>
  <c r="FE13" i="2630"/>
  <c r="FC13" i="2630"/>
  <c r="FA13" i="2630"/>
  <c r="EN13" i="2630"/>
  <c r="FC12" i="2630"/>
  <c r="FA12" i="2630"/>
  <c r="EN12" i="2630"/>
  <c r="FF11" i="2630"/>
  <c r="FE11" i="2630"/>
  <c r="FA11" i="2630"/>
  <c r="EN11" i="2630"/>
  <c r="FF10" i="2630"/>
  <c r="FE10" i="2630"/>
  <c r="FA10" i="2630"/>
  <c r="EN10" i="2630"/>
  <c r="FF9" i="2630"/>
  <c r="FA9" i="2630"/>
  <c r="EN9" i="2630"/>
  <c r="FF8" i="2630"/>
  <c r="FC8" i="2630"/>
  <c r="FA8" i="2630"/>
  <c r="EN8" i="2630"/>
  <c r="EQ7" i="2630"/>
  <c r="EP7" i="2630"/>
  <c r="EO7" i="2630"/>
  <c r="FA7" i="2630" s="1"/>
  <c r="EM7" i="2630"/>
  <c r="EL7" i="2630"/>
  <c r="EK7" i="2630"/>
  <c r="EJ7" i="2630"/>
  <c r="EI7" i="2630"/>
  <c r="EH7" i="2630"/>
  <c r="EG7" i="2630"/>
  <c r="EF7" i="2630"/>
  <c r="EE7" i="2630"/>
  <c r="ED7" i="2630"/>
  <c r="EC7" i="2630"/>
  <c r="EB7" i="2630"/>
  <c r="EN7" i="2630" s="1"/>
  <c r="FD5" i="2630"/>
  <c r="FE5" i="2630" s="1"/>
  <c r="FF34" i="2630"/>
  <c r="FA5" i="2630"/>
  <c r="EN5" i="2630"/>
  <c r="FF19" i="2630" s="1"/>
  <c r="FF4" i="2630"/>
  <c r="FE4" i="2630" s="1"/>
  <c r="FC71" i="2629"/>
  <c r="FC47" i="2629"/>
  <c r="ER71" i="2629"/>
  <c r="EQ71" i="2629"/>
  <c r="EP71" i="2629"/>
  <c r="EO71" i="2629"/>
  <c r="EM71" i="2629"/>
  <c r="EL71" i="2629"/>
  <c r="EK71" i="2629"/>
  <c r="EJ71" i="2629"/>
  <c r="EI71" i="2629"/>
  <c r="EH71" i="2629"/>
  <c r="EG71" i="2629"/>
  <c r="EF71" i="2629"/>
  <c r="EE71" i="2629"/>
  <c r="ED71" i="2629"/>
  <c r="EC71" i="2629"/>
  <c r="EB71" i="2629"/>
  <c r="EN71" i="2629" s="1"/>
  <c r="FF70" i="2629"/>
  <c r="FE70" i="2629"/>
  <c r="EQ68" i="2629"/>
  <c r="EP68" i="2629"/>
  <c r="EO68" i="2629"/>
  <c r="EM68" i="2629"/>
  <c r="EL68" i="2629"/>
  <c r="EK68" i="2629"/>
  <c r="EJ68" i="2629"/>
  <c r="EI68" i="2629"/>
  <c r="EH68" i="2629"/>
  <c r="EG68" i="2629"/>
  <c r="EF68" i="2629"/>
  <c r="EE68" i="2629"/>
  <c r="ED68" i="2629"/>
  <c r="EC68" i="2629"/>
  <c r="EB68" i="2629"/>
  <c r="FA64" i="2629"/>
  <c r="EN64" i="2629"/>
  <c r="FF63" i="2629"/>
  <c r="FA63" i="2629"/>
  <c r="EN63" i="2629"/>
  <c r="FC62" i="2629"/>
  <c r="ER62" i="2629"/>
  <c r="EQ62" i="2629"/>
  <c r="FA62" i="2629" s="1"/>
  <c r="EP62" i="2629"/>
  <c r="EO62" i="2629"/>
  <c r="EM62" i="2629"/>
  <c r="EL62" i="2629"/>
  <c r="EK62" i="2629"/>
  <c r="EJ62" i="2629"/>
  <c r="EI62" i="2629"/>
  <c r="EH62" i="2629"/>
  <c r="EG62" i="2629"/>
  <c r="EF62" i="2629"/>
  <c r="EE62" i="2629"/>
  <c r="ED62" i="2629"/>
  <c r="EC62" i="2629"/>
  <c r="EB62" i="2629"/>
  <c r="ER61" i="2629"/>
  <c r="EQ61" i="2629"/>
  <c r="EP61" i="2629"/>
  <c r="EO61" i="2629"/>
  <c r="FA61" i="2629" s="1"/>
  <c r="EM61" i="2629"/>
  <c r="EL61" i="2629"/>
  <c r="EK61" i="2629"/>
  <c r="EJ61" i="2629"/>
  <c r="EI61" i="2629"/>
  <c r="EH61" i="2629"/>
  <c r="EG61" i="2629"/>
  <c r="EF61" i="2629"/>
  <c r="EE61" i="2629"/>
  <c r="ED61" i="2629"/>
  <c r="EC61" i="2629"/>
  <c r="EB61" i="2629"/>
  <c r="ER60" i="2629"/>
  <c r="EQ60" i="2629"/>
  <c r="EP60" i="2629"/>
  <c r="EO60" i="2629"/>
  <c r="EM60" i="2629"/>
  <c r="EL60" i="2629"/>
  <c r="EK60" i="2629"/>
  <c r="EJ60" i="2629"/>
  <c r="EI60" i="2629"/>
  <c r="EH60" i="2629"/>
  <c r="EG60" i="2629"/>
  <c r="EF60" i="2629"/>
  <c r="EE60" i="2629"/>
  <c r="ED60" i="2629"/>
  <c r="EC60" i="2629"/>
  <c r="EB60" i="2629"/>
  <c r="EN60" i="2629" s="1"/>
  <c r="FF59" i="2629"/>
  <c r="ER59" i="2629"/>
  <c r="EQ59" i="2629"/>
  <c r="EP59" i="2629"/>
  <c r="EO59" i="2629"/>
  <c r="FA59" i="2629" s="1"/>
  <c r="EM59" i="2629"/>
  <c r="EL59" i="2629"/>
  <c r="EK59" i="2629"/>
  <c r="EJ59" i="2629"/>
  <c r="EI59" i="2629"/>
  <c r="EH59" i="2629"/>
  <c r="EG59" i="2629"/>
  <c r="EF59" i="2629"/>
  <c r="EE59" i="2629"/>
  <c r="ED59" i="2629"/>
  <c r="EC59" i="2629"/>
  <c r="EB59" i="2629"/>
  <c r="EN59" i="2629" s="1"/>
  <c r="FF58" i="2629"/>
  <c r="FE58" i="2629"/>
  <c r="ER58" i="2629"/>
  <c r="EQ58" i="2629"/>
  <c r="EP58" i="2629"/>
  <c r="EO58" i="2629"/>
  <c r="FA58" i="2629" s="1"/>
  <c r="EM58" i="2629"/>
  <c r="EL58" i="2629"/>
  <c r="EK58" i="2629"/>
  <c r="EJ58" i="2629"/>
  <c r="EI58" i="2629"/>
  <c r="EH58" i="2629"/>
  <c r="EG58" i="2629"/>
  <c r="EF58" i="2629"/>
  <c r="EE58" i="2629"/>
  <c r="ED58" i="2629"/>
  <c r="EC58" i="2629"/>
  <c r="EB58" i="2629"/>
  <c r="EM57" i="2629"/>
  <c r="EL57" i="2629"/>
  <c r="EK57" i="2629"/>
  <c r="EJ57" i="2629"/>
  <c r="EI57" i="2629"/>
  <c r="EH57" i="2629"/>
  <c r="EG57" i="2629"/>
  <c r="EB57" i="2629"/>
  <c r="FD56" i="2629"/>
  <c r="FE55" i="2629"/>
  <c r="FA55" i="2629"/>
  <c r="ER55" i="2629"/>
  <c r="EQ55" i="2629"/>
  <c r="EP55" i="2629"/>
  <c r="EO55" i="2629"/>
  <c r="EM55" i="2629"/>
  <c r="EL55" i="2629"/>
  <c r="EK55" i="2629"/>
  <c r="EJ55" i="2629"/>
  <c r="EI55" i="2629"/>
  <c r="EH55" i="2629"/>
  <c r="EG55" i="2629"/>
  <c r="EF55" i="2629"/>
  <c r="EE55" i="2629"/>
  <c r="ED55" i="2629"/>
  <c r="EC55" i="2629"/>
  <c r="EB55" i="2629"/>
  <c r="ER54" i="2629"/>
  <c r="FC54" i="2629" s="1"/>
  <c r="EQ54" i="2629"/>
  <c r="FA54" i="2629" s="1"/>
  <c r="EP54" i="2629"/>
  <c r="EO54" i="2629"/>
  <c r="EM54" i="2629"/>
  <c r="EL54" i="2629"/>
  <c r="EK54" i="2629"/>
  <c r="EJ54" i="2629"/>
  <c r="EI54" i="2629"/>
  <c r="EH54" i="2629"/>
  <c r="EG54" i="2629"/>
  <c r="EF54" i="2629"/>
  <c r="EE54" i="2629"/>
  <c r="ED54" i="2629"/>
  <c r="EC54" i="2629"/>
  <c r="EB54" i="2629"/>
  <c r="EO53" i="2629"/>
  <c r="ER52" i="2629"/>
  <c r="EQ52" i="2629"/>
  <c r="EP52" i="2629"/>
  <c r="EO52" i="2629"/>
  <c r="EM52" i="2629"/>
  <c r="EL52" i="2629"/>
  <c r="EK52" i="2629"/>
  <c r="EJ52" i="2629"/>
  <c r="EI52" i="2629"/>
  <c r="EH52" i="2629"/>
  <c r="EG52" i="2629"/>
  <c r="EF52" i="2629"/>
  <c r="EE52" i="2629"/>
  <c r="ED52" i="2629"/>
  <c r="EC52" i="2629"/>
  <c r="EB52" i="2629"/>
  <c r="EN52" i="2629" s="1"/>
  <c r="ER51" i="2629"/>
  <c r="EQ51" i="2629"/>
  <c r="EP51" i="2629"/>
  <c r="EO51" i="2629"/>
  <c r="EM51" i="2629"/>
  <c r="EL51" i="2629"/>
  <c r="EK51" i="2629"/>
  <c r="EJ51" i="2629"/>
  <c r="EI51" i="2629"/>
  <c r="EH51" i="2629"/>
  <c r="EG51" i="2629"/>
  <c r="EF51" i="2629"/>
  <c r="EE51" i="2629"/>
  <c r="ED51" i="2629"/>
  <c r="EC51" i="2629"/>
  <c r="EB51" i="2629"/>
  <c r="EN51" i="2629" s="1"/>
  <c r="ER50" i="2629"/>
  <c r="EQ50" i="2629"/>
  <c r="EP50" i="2629"/>
  <c r="EO50" i="2629"/>
  <c r="FA50" i="2629" s="1"/>
  <c r="EM50" i="2629"/>
  <c r="EL50" i="2629"/>
  <c r="EK50" i="2629"/>
  <c r="EJ50" i="2629"/>
  <c r="EI50" i="2629"/>
  <c r="EH50" i="2629"/>
  <c r="EG50" i="2629"/>
  <c r="EF50" i="2629"/>
  <c r="EE50" i="2629"/>
  <c r="ED50" i="2629"/>
  <c r="EC50" i="2629"/>
  <c r="EB50" i="2629"/>
  <c r="EN50" i="2629" s="1"/>
  <c r="ER49" i="2629"/>
  <c r="EQ49" i="2629"/>
  <c r="EP49" i="2629"/>
  <c r="EO49" i="2629"/>
  <c r="FA49" i="2629" s="1"/>
  <c r="EM49" i="2629"/>
  <c r="EL49" i="2629"/>
  <c r="EK49" i="2629"/>
  <c r="EJ49" i="2629"/>
  <c r="EI49" i="2629"/>
  <c r="EH49" i="2629"/>
  <c r="EG49" i="2629"/>
  <c r="EF49" i="2629"/>
  <c r="EE49" i="2629"/>
  <c r="ED49" i="2629"/>
  <c r="EC49" i="2629"/>
  <c r="EB49" i="2629"/>
  <c r="EN49" i="2629" s="1"/>
  <c r="FE48" i="2629"/>
  <c r="EQ48" i="2629"/>
  <c r="EP48" i="2629"/>
  <c r="EO48" i="2629"/>
  <c r="EM48" i="2629"/>
  <c r="EL48" i="2629"/>
  <c r="EK48" i="2629"/>
  <c r="EJ48" i="2629"/>
  <c r="EF48" i="2629"/>
  <c r="EE48" i="2629"/>
  <c r="ED48" i="2629"/>
  <c r="EC48" i="2629"/>
  <c r="EB48" i="2629"/>
  <c r="EN48" i="2629" s="1"/>
  <c r="ER47" i="2629"/>
  <c r="EQ47" i="2629"/>
  <c r="EP47" i="2629"/>
  <c r="EO47" i="2629"/>
  <c r="FA47" i="2629" s="1"/>
  <c r="EM47" i="2629"/>
  <c r="EL47" i="2629"/>
  <c r="EK47" i="2629"/>
  <c r="EJ47" i="2629"/>
  <c r="EI47" i="2629"/>
  <c r="EH47" i="2629"/>
  <c r="EG47" i="2629"/>
  <c r="EF47" i="2629"/>
  <c r="EE47" i="2629"/>
  <c r="ED47" i="2629"/>
  <c r="EC47" i="2629"/>
  <c r="EB47" i="2629"/>
  <c r="FF46" i="2629"/>
  <c r="FE46" i="2629"/>
  <c r="ER46" i="2629"/>
  <c r="EQ46" i="2629"/>
  <c r="EP46" i="2629"/>
  <c r="EO46" i="2629"/>
  <c r="FA46" i="2629" s="1"/>
  <c r="EM46" i="2629"/>
  <c r="EL46" i="2629"/>
  <c r="EK46" i="2629"/>
  <c r="EJ46" i="2629"/>
  <c r="EI46" i="2629"/>
  <c r="EH46" i="2629"/>
  <c r="EG46" i="2629"/>
  <c r="EF46" i="2629"/>
  <c r="EE46" i="2629"/>
  <c r="ED46" i="2629"/>
  <c r="EC46" i="2629"/>
  <c r="EB46" i="2629"/>
  <c r="FE45" i="2629"/>
  <c r="FC45" i="2629"/>
  <c r="FA45" i="2629"/>
  <c r="ER45" i="2629"/>
  <c r="EQ45" i="2629"/>
  <c r="EP45" i="2629"/>
  <c r="EO45" i="2629"/>
  <c r="EM45" i="2629"/>
  <c r="EL45" i="2629"/>
  <c r="EK45" i="2629"/>
  <c r="EJ45" i="2629"/>
  <c r="EI45" i="2629"/>
  <c r="EH45" i="2629"/>
  <c r="EG45" i="2629"/>
  <c r="EF45" i="2629"/>
  <c r="EE45" i="2629"/>
  <c r="ED45" i="2629"/>
  <c r="EC45" i="2629"/>
  <c r="EB45" i="2629"/>
  <c r="ER44" i="2629"/>
  <c r="EQ44" i="2629"/>
  <c r="EP44" i="2629"/>
  <c r="EO44" i="2629"/>
  <c r="EM44" i="2629"/>
  <c r="EL44" i="2629"/>
  <c r="EK44" i="2629"/>
  <c r="EJ44" i="2629"/>
  <c r="EI44" i="2629"/>
  <c r="EH44" i="2629"/>
  <c r="EG44" i="2629"/>
  <c r="EF44" i="2629"/>
  <c r="EE44" i="2629"/>
  <c r="ED44" i="2629"/>
  <c r="EC44" i="2629"/>
  <c r="EB44" i="2629"/>
  <c r="EN44" i="2629" s="1"/>
  <c r="ER43" i="2629"/>
  <c r="EQ43" i="2629"/>
  <c r="EP43" i="2629"/>
  <c r="EO43" i="2629"/>
  <c r="EM43" i="2629"/>
  <c r="EL43" i="2629"/>
  <c r="EK43" i="2629"/>
  <c r="EJ43" i="2629"/>
  <c r="EI43" i="2629"/>
  <c r="EH43" i="2629"/>
  <c r="EG43" i="2629"/>
  <c r="EF43" i="2629"/>
  <c r="EE43" i="2629"/>
  <c r="ED43" i="2629"/>
  <c r="EC43" i="2629"/>
  <c r="EB43" i="2629"/>
  <c r="ER42" i="2629"/>
  <c r="EQ42" i="2629"/>
  <c r="EP42" i="2629"/>
  <c r="EK42" i="2629"/>
  <c r="EJ42" i="2629"/>
  <c r="EI42" i="2629"/>
  <c r="EH42" i="2629"/>
  <c r="EG42" i="2629"/>
  <c r="EF42" i="2629"/>
  <c r="EE42" i="2629"/>
  <c r="ED42" i="2629"/>
  <c r="FA39" i="2629"/>
  <c r="EN39" i="2629"/>
  <c r="ER34" i="2629"/>
  <c r="EQ34" i="2629"/>
  <c r="EP34" i="2629"/>
  <c r="EO34" i="2629"/>
  <c r="EM34" i="2629"/>
  <c r="EL34" i="2629"/>
  <c r="EK34" i="2629"/>
  <c r="EJ34" i="2629"/>
  <c r="EI34" i="2629"/>
  <c r="EH34" i="2629"/>
  <c r="EG34" i="2629"/>
  <c r="EF34" i="2629"/>
  <c r="EE34" i="2629"/>
  <c r="ED34" i="2629"/>
  <c r="EC34" i="2629"/>
  <c r="EB34" i="2629"/>
  <c r="FA30" i="2629"/>
  <c r="EN30" i="2629"/>
  <c r="FF29" i="2629"/>
  <c r="FE29" i="2629"/>
  <c r="FA29" i="2629"/>
  <c r="EN29" i="2629"/>
  <c r="FA28" i="2629"/>
  <c r="EN28" i="2629"/>
  <c r="FF27" i="2629"/>
  <c r="FE27" i="2629"/>
  <c r="FC27" i="2629"/>
  <c r="FA27" i="2629"/>
  <c r="EN27" i="2629"/>
  <c r="FA26" i="2629"/>
  <c r="EN26" i="2629"/>
  <c r="FE25" i="2629"/>
  <c r="FC25" i="2629"/>
  <c r="FA25" i="2629"/>
  <c r="EN25" i="2629"/>
  <c r="FA24" i="2629"/>
  <c r="EN24" i="2629"/>
  <c r="EY23" i="2629"/>
  <c r="EX23" i="2629"/>
  <c r="EW23" i="2629"/>
  <c r="ER23" i="2629"/>
  <c r="ER57" i="2629" s="1"/>
  <c r="EQ23" i="2629"/>
  <c r="EQ57" i="2629" s="1"/>
  <c r="EP23" i="2629"/>
  <c r="EP57" i="2629" s="1"/>
  <c r="EO23" i="2629"/>
  <c r="EM23" i="2629"/>
  <c r="EL23" i="2629"/>
  <c r="EK23" i="2629"/>
  <c r="EJ23" i="2629"/>
  <c r="EI23" i="2629"/>
  <c r="EH23" i="2629"/>
  <c r="EG23" i="2629"/>
  <c r="EF23" i="2629"/>
  <c r="EF57" i="2629" s="1"/>
  <c r="EE23" i="2629"/>
  <c r="EE57" i="2629" s="1"/>
  <c r="ED23" i="2629"/>
  <c r="ED57" i="2629" s="1"/>
  <c r="EC23" i="2629"/>
  <c r="EC57" i="2629" s="1"/>
  <c r="EN57" i="2629" s="1"/>
  <c r="EB23" i="2629"/>
  <c r="EN23" i="2629" s="1"/>
  <c r="FA21" i="2629"/>
  <c r="EN21" i="2629"/>
  <c r="FF20" i="2629"/>
  <c r="FE20" i="2629"/>
  <c r="FC20" i="2629"/>
  <c r="FA20" i="2629"/>
  <c r="EN20" i="2629"/>
  <c r="EO19" i="2629"/>
  <c r="EB19" i="2629"/>
  <c r="EB53" i="2629" s="1"/>
  <c r="FF18" i="2629"/>
  <c r="FE18" i="2629"/>
  <c r="FC18" i="2629"/>
  <c r="FA18" i="2629"/>
  <c r="EN18" i="2629"/>
  <c r="FA17" i="2629"/>
  <c r="EN17" i="2629"/>
  <c r="FF16" i="2629"/>
  <c r="FE16" i="2629"/>
  <c r="FA16" i="2629"/>
  <c r="EN16" i="2629"/>
  <c r="FC15" i="2629"/>
  <c r="FA15" i="2629"/>
  <c r="EN15" i="2629"/>
  <c r="EY14" i="2629"/>
  <c r="EX14" i="2629"/>
  <c r="EW14" i="2629"/>
  <c r="ER14" i="2629"/>
  <c r="ER48" i="2629" s="1"/>
  <c r="FF48" i="2629" s="1"/>
  <c r="EQ14" i="2629"/>
  <c r="EP14" i="2629"/>
  <c r="EO14" i="2629"/>
  <c r="EM14" i="2629"/>
  <c r="EL14" i="2629"/>
  <c r="EK14" i="2629"/>
  <c r="EJ14" i="2629"/>
  <c r="EI14" i="2629"/>
  <c r="EI48" i="2629" s="1"/>
  <c r="EH14" i="2629"/>
  <c r="EH48" i="2629" s="1"/>
  <c r="EG14" i="2629"/>
  <c r="EG48" i="2629" s="1"/>
  <c r="EF14" i="2629"/>
  <c r="EE14" i="2629"/>
  <c r="ED14" i="2629"/>
  <c r="EC14" i="2629"/>
  <c r="EB14" i="2629"/>
  <c r="FC13" i="2629"/>
  <c r="FA13" i="2629"/>
  <c r="EN13" i="2629"/>
  <c r="FA12" i="2629"/>
  <c r="EN12" i="2629"/>
  <c r="FF11" i="2629"/>
  <c r="FE11" i="2629"/>
  <c r="FA11" i="2629"/>
  <c r="EN11" i="2629"/>
  <c r="FA10" i="2629"/>
  <c r="EN10" i="2629"/>
  <c r="FF9" i="2629"/>
  <c r="FE9" i="2629"/>
  <c r="FA9" i="2629"/>
  <c r="EN9" i="2629"/>
  <c r="EY8" i="2629"/>
  <c r="EX8" i="2629"/>
  <c r="EW8" i="2629"/>
  <c r="ER8" i="2629"/>
  <c r="EQ8" i="2629"/>
  <c r="EP8" i="2629"/>
  <c r="EO8" i="2629"/>
  <c r="EM8" i="2629"/>
  <c r="EL8" i="2629"/>
  <c r="EK8" i="2629"/>
  <c r="EJ8" i="2629"/>
  <c r="EI8" i="2629"/>
  <c r="EH8" i="2629"/>
  <c r="EG8" i="2629"/>
  <c r="EF8" i="2629"/>
  <c r="EE8" i="2629"/>
  <c r="ED8" i="2629"/>
  <c r="EC8" i="2629"/>
  <c r="EB8" i="2629"/>
  <c r="FA5" i="2629"/>
  <c r="EN5" i="2629"/>
  <c r="FC64" i="2629" s="1"/>
  <c r="FF4" i="2629"/>
  <c r="FE4" i="2629" s="1"/>
  <c r="ER44" i="2628"/>
  <c r="EQ44" i="2628"/>
  <c r="EP44" i="2628"/>
  <c r="EO44" i="2628"/>
  <c r="FA44" i="2628" s="1"/>
  <c r="EM44" i="2628"/>
  <c r="EL44" i="2628"/>
  <c r="EK44" i="2628"/>
  <c r="EJ44" i="2628"/>
  <c r="EI44" i="2628"/>
  <c r="EH44" i="2628"/>
  <c r="EG44" i="2628"/>
  <c r="EF44" i="2628"/>
  <c r="EE44" i="2628"/>
  <c r="ED44" i="2628"/>
  <c r="EC44" i="2628"/>
  <c r="EB44" i="2628"/>
  <c r="ER42" i="2628"/>
  <c r="EQ42" i="2628"/>
  <c r="EP42" i="2628"/>
  <c r="EO42" i="2628"/>
  <c r="EM42" i="2628"/>
  <c r="EL42" i="2628"/>
  <c r="EK42" i="2628"/>
  <c r="EJ42" i="2628"/>
  <c r="EI42" i="2628"/>
  <c r="EH42" i="2628"/>
  <c r="EG42" i="2628"/>
  <c r="EF42" i="2628"/>
  <c r="EE42" i="2628"/>
  <c r="ED42" i="2628"/>
  <c r="EC42" i="2628"/>
  <c r="EB42" i="2628"/>
  <c r="ER41" i="2628"/>
  <c r="EQ41" i="2628"/>
  <c r="EP41" i="2628"/>
  <c r="EO41" i="2628"/>
  <c r="EM41" i="2628"/>
  <c r="EL41" i="2628"/>
  <c r="EK41" i="2628"/>
  <c r="EJ41" i="2628"/>
  <c r="EI41" i="2628"/>
  <c r="EH41" i="2628"/>
  <c r="EG41" i="2628"/>
  <c r="EF41" i="2628"/>
  <c r="EE41" i="2628"/>
  <c r="ED41" i="2628"/>
  <c r="EC41" i="2628"/>
  <c r="EB41" i="2628"/>
  <c r="ER40" i="2628"/>
  <c r="EQ40" i="2628"/>
  <c r="EP40" i="2628"/>
  <c r="EO40" i="2628"/>
  <c r="EM40" i="2628"/>
  <c r="EL40" i="2628"/>
  <c r="EK40" i="2628"/>
  <c r="EJ40" i="2628"/>
  <c r="EI40" i="2628"/>
  <c r="EH40" i="2628"/>
  <c r="EG40" i="2628"/>
  <c r="EF40" i="2628"/>
  <c r="EE40" i="2628"/>
  <c r="ED40" i="2628"/>
  <c r="EC40" i="2628"/>
  <c r="EB40" i="2628"/>
  <c r="ER39" i="2628"/>
  <c r="EQ39" i="2628"/>
  <c r="EP39" i="2628"/>
  <c r="EO39" i="2628"/>
  <c r="EM39" i="2628"/>
  <c r="EL39" i="2628"/>
  <c r="EK39" i="2628"/>
  <c r="EJ39" i="2628"/>
  <c r="EI39" i="2628"/>
  <c r="EH39" i="2628"/>
  <c r="EG39" i="2628"/>
  <c r="EF39" i="2628"/>
  <c r="EE39" i="2628"/>
  <c r="ED39" i="2628"/>
  <c r="EC39" i="2628"/>
  <c r="EB39" i="2628"/>
  <c r="ER38" i="2628"/>
  <c r="EQ38" i="2628"/>
  <c r="EP38" i="2628"/>
  <c r="EO38" i="2628"/>
  <c r="EM38" i="2628"/>
  <c r="EL38" i="2628"/>
  <c r="EK38" i="2628"/>
  <c r="EJ38" i="2628"/>
  <c r="EI38" i="2628"/>
  <c r="EH38" i="2628"/>
  <c r="EG38" i="2628"/>
  <c r="EF38" i="2628"/>
  <c r="EE38" i="2628"/>
  <c r="ED38" i="2628"/>
  <c r="EC38" i="2628"/>
  <c r="EB38" i="2628"/>
  <c r="ER37" i="2628"/>
  <c r="EQ37" i="2628"/>
  <c r="EP37" i="2628"/>
  <c r="EO37" i="2628"/>
  <c r="FA37" i="2628" s="1"/>
  <c r="EM37" i="2628"/>
  <c r="EL37" i="2628"/>
  <c r="EN37" i="2628" s="1"/>
  <c r="EK37" i="2628"/>
  <c r="EJ37" i="2628"/>
  <c r="EI37" i="2628"/>
  <c r="EH37" i="2628"/>
  <c r="EG37" i="2628"/>
  <c r="EF37" i="2628"/>
  <c r="EE37" i="2628"/>
  <c r="ED37" i="2628"/>
  <c r="EC37" i="2628"/>
  <c r="EB37" i="2628"/>
  <c r="ER36" i="2628"/>
  <c r="EQ36" i="2628"/>
  <c r="EP36" i="2628"/>
  <c r="EO36" i="2628"/>
  <c r="EM36" i="2628"/>
  <c r="EL36" i="2628"/>
  <c r="EK36" i="2628"/>
  <c r="EJ36" i="2628"/>
  <c r="EI36" i="2628"/>
  <c r="EH36" i="2628"/>
  <c r="EG36" i="2628"/>
  <c r="EF36" i="2628"/>
  <c r="EE36" i="2628"/>
  <c r="ED36" i="2628"/>
  <c r="EC36" i="2628"/>
  <c r="EB36" i="2628"/>
  <c r="ER35" i="2628"/>
  <c r="EQ35" i="2628"/>
  <c r="EP35" i="2628"/>
  <c r="EO35" i="2628"/>
  <c r="FA35" i="2628" s="1"/>
  <c r="EM35" i="2628"/>
  <c r="EL35" i="2628"/>
  <c r="EK35" i="2628"/>
  <c r="EJ35" i="2628"/>
  <c r="EI35" i="2628"/>
  <c r="EH35" i="2628"/>
  <c r="EG35" i="2628"/>
  <c r="EF35" i="2628"/>
  <c r="EE35" i="2628"/>
  <c r="ED35" i="2628"/>
  <c r="EC35" i="2628"/>
  <c r="EB35" i="2628"/>
  <c r="ER34" i="2628"/>
  <c r="EQ34" i="2628"/>
  <c r="EP34" i="2628"/>
  <c r="EO34" i="2628"/>
  <c r="EM34" i="2628"/>
  <c r="EL34" i="2628"/>
  <c r="EK34" i="2628"/>
  <c r="EJ34" i="2628"/>
  <c r="EI34" i="2628"/>
  <c r="EH34" i="2628"/>
  <c r="EG34" i="2628"/>
  <c r="EF34" i="2628"/>
  <c r="EE34" i="2628"/>
  <c r="ED34" i="2628"/>
  <c r="EC34" i="2628"/>
  <c r="EB34" i="2628"/>
  <c r="ER33" i="2628"/>
  <c r="EQ33" i="2628"/>
  <c r="EP33" i="2628"/>
  <c r="EO33" i="2628"/>
  <c r="EM33" i="2628"/>
  <c r="EL33" i="2628"/>
  <c r="EK33" i="2628"/>
  <c r="EJ33" i="2628"/>
  <c r="EI33" i="2628"/>
  <c r="EH33" i="2628"/>
  <c r="EG33" i="2628"/>
  <c r="EF33" i="2628"/>
  <c r="EE33" i="2628"/>
  <c r="ED33" i="2628"/>
  <c r="EC33" i="2628"/>
  <c r="EB33" i="2628"/>
  <c r="ER32" i="2628"/>
  <c r="EQ32" i="2628"/>
  <c r="EP32" i="2628"/>
  <c r="EO32" i="2628"/>
  <c r="FA32" i="2628" s="1"/>
  <c r="EM32" i="2628"/>
  <c r="EL32" i="2628"/>
  <c r="EK32" i="2628"/>
  <c r="EJ32" i="2628"/>
  <c r="EN32" i="2628" s="1"/>
  <c r="EI32" i="2628"/>
  <c r="EH32" i="2628"/>
  <c r="EG32" i="2628"/>
  <c r="EF32" i="2628"/>
  <c r="EE32" i="2628"/>
  <c r="ED32" i="2628"/>
  <c r="EC32" i="2628"/>
  <c r="EB32" i="2628"/>
  <c r="EP30" i="2628"/>
  <c r="EO30" i="2628"/>
  <c r="EM30" i="2628"/>
  <c r="EL30" i="2628"/>
  <c r="EK30" i="2628"/>
  <c r="EJ30" i="2628"/>
  <c r="EI30" i="2628"/>
  <c r="EH30" i="2628"/>
  <c r="EG30" i="2628"/>
  <c r="EF30" i="2628"/>
  <c r="EE30" i="2628"/>
  <c r="ED30" i="2628"/>
  <c r="EC30" i="2628"/>
  <c r="EB30" i="2628"/>
  <c r="FA28" i="2628"/>
  <c r="EN28" i="2628"/>
  <c r="FA21" i="2628"/>
  <c r="EN21" i="2628"/>
  <c r="FA19" i="2628"/>
  <c r="EN19" i="2628"/>
  <c r="FA18" i="2628"/>
  <c r="EN18" i="2628"/>
  <c r="FA17" i="2628"/>
  <c r="EN17" i="2628"/>
  <c r="FA16" i="2628"/>
  <c r="EN16" i="2628"/>
  <c r="FA15" i="2628"/>
  <c r="EN15" i="2628"/>
  <c r="FA14" i="2628"/>
  <c r="EN14" i="2628"/>
  <c r="FA13" i="2628"/>
  <c r="EN13" i="2628"/>
  <c r="FA12" i="2628"/>
  <c r="EN12" i="2628"/>
  <c r="FA11" i="2628"/>
  <c r="EN11" i="2628"/>
  <c r="FA10" i="2628"/>
  <c r="EN10" i="2628"/>
  <c r="FA9" i="2628"/>
  <c r="EN9" i="2628"/>
  <c r="FA7" i="2628"/>
  <c r="EN7" i="2628"/>
  <c r="FA5" i="2628"/>
  <c r="EN5" i="2628"/>
  <c r="FF4" i="2628"/>
  <c r="FE4" i="2628" s="1"/>
  <c r="FE4" i="2632" l="1"/>
  <c r="FC4" i="2632" s="1"/>
  <c r="FD29" i="2629"/>
  <c r="FD31" i="2633"/>
  <c r="EN108" i="2632"/>
  <c r="FE113" i="2632"/>
  <c r="EN109" i="2632"/>
  <c r="FC104" i="2632"/>
  <c r="EN115" i="2632"/>
  <c r="FE108" i="2632"/>
  <c r="FD108" i="2632" s="1"/>
  <c r="EN53" i="2632"/>
  <c r="EN50" i="2632"/>
  <c r="EN56" i="2632"/>
  <c r="EN45" i="2632"/>
  <c r="FD20" i="2632"/>
  <c r="FD62" i="2632"/>
  <c r="EN103" i="2632"/>
  <c r="FD10" i="2630"/>
  <c r="FA14" i="2629"/>
  <c r="FA48" i="2629"/>
  <c r="FA51" i="2629"/>
  <c r="FF23" i="2629"/>
  <c r="FD23" i="2629" s="1"/>
  <c r="FC4" i="2636"/>
  <c r="FD16" i="2636"/>
  <c r="FD63" i="2635"/>
  <c r="FD17" i="2635"/>
  <c r="FD49" i="2635"/>
  <c r="FD50" i="2635"/>
  <c r="FD60" i="2635"/>
  <c r="FD25" i="2633"/>
  <c r="FE5" i="2632"/>
  <c r="FF5" i="2630"/>
  <c r="FD23" i="2630"/>
  <c r="FD18" i="2630"/>
  <c r="FD19" i="2634"/>
  <c r="FD24" i="2634"/>
  <c r="EF83" i="2631"/>
  <c r="EQ44" i="2631"/>
  <c r="EI63" i="2631"/>
  <c r="EI62" i="2631" s="1"/>
  <c r="FD48" i="2631"/>
  <c r="EJ63" i="2631"/>
  <c r="EJ62" i="2631" s="1"/>
  <c r="EB72" i="2631"/>
  <c r="FF82" i="2631"/>
  <c r="EN21" i="2631"/>
  <c r="EN27" i="2631"/>
  <c r="EF7" i="2631"/>
  <c r="EN86" i="2631"/>
  <c r="FF49" i="2631"/>
  <c r="EN10" i="2631"/>
  <c r="EJ47" i="2631"/>
  <c r="EJ45" i="2631" s="1"/>
  <c r="EJ43" i="2631" s="1"/>
  <c r="EJ41" i="2631" s="1"/>
  <c r="EJ38" i="2631" s="1"/>
  <c r="FF54" i="2631"/>
  <c r="FD54" i="2631" s="1"/>
  <c r="FF73" i="2631"/>
  <c r="FF79" i="2631"/>
  <c r="FD79" i="2631" s="1"/>
  <c r="FA23" i="2631"/>
  <c r="FC38" i="2634"/>
  <c r="FD85" i="2634"/>
  <c r="FD21" i="2634"/>
  <c r="FD30" i="2634"/>
  <c r="FD28" i="2634"/>
  <c r="FD65" i="2631"/>
  <c r="FD71" i="2631"/>
  <c r="FD81" i="2631"/>
  <c r="FD70" i="2631"/>
  <c r="FD77" i="2631"/>
  <c r="FD69" i="2631"/>
  <c r="FD11" i="2636"/>
  <c r="FD18" i="2636"/>
  <c r="FD20" i="2636"/>
  <c r="FD15" i="2636"/>
  <c r="FD31" i="2636"/>
  <c r="FD13" i="2636"/>
  <c r="FD9" i="2636"/>
  <c r="FD29" i="2636"/>
  <c r="FD23" i="2636"/>
  <c r="FD14" i="2636"/>
  <c r="FD21" i="2636"/>
  <c r="FD8" i="2636"/>
  <c r="FD25" i="2636"/>
  <c r="FD15" i="2633"/>
  <c r="FD20" i="2633"/>
  <c r="FD33" i="2633"/>
  <c r="FD13" i="2633"/>
  <c r="FD18" i="2633"/>
  <c r="FD8" i="2633"/>
  <c r="FD29" i="2633"/>
  <c r="FD27" i="2633"/>
  <c r="FD11" i="2633"/>
  <c r="FD23" i="2633"/>
  <c r="FC4" i="2630"/>
  <c r="FD11" i="2630"/>
  <c r="FD16" i="2630"/>
  <c r="FD15" i="2630"/>
  <c r="FD27" i="2630"/>
  <c r="FD61" i="2635"/>
  <c r="FD51" i="2635"/>
  <c r="FD20" i="2635"/>
  <c r="FD15" i="2635"/>
  <c r="DG113" i="2632"/>
  <c r="FD84" i="2632"/>
  <c r="FD102" i="2632"/>
  <c r="FD54" i="2632"/>
  <c r="FD53" i="2632"/>
  <c r="FD57" i="2632"/>
  <c r="FD60" i="2632"/>
  <c r="FD10" i="2632"/>
  <c r="FD8" i="2632"/>
  <c r="FD16" i="2632"/>
  <c r="FD27" i="2632"/>
  <c r="FD18" i="2632"/>
  <c r="FD70" i="2629"/>
  <c r="FD58" i="2629"/>
  <c r="FD46" i="2629"/>
  <c r="FD18" i="2629"/>
  <c r="FD27" i="2629"/>
  <c r="FD20" i="2629"/>
  <c r="FD11" i="2629"/>
  <c r="EN35" i="2628"/>
  <c r="EN44" i="2628"/>
  <c r="EN38" i="2628"/>
  <c r="FA38" i="2628"/>
  <c r="EN40" i="2628"/>
  <c r="EN41" i="2628"/>
  <c r="FA41" i="2628"/>
  <c r="EN33" i="2628"/>
  <c r="EN36" i="2628"/>
  <c r="FA36" i="2628"/>
  <c r="EN30" i="2628"/>
  <c r="FA30" i="2628"/>
  <c r="FA33" i="2628"/>
  <c r="EN39" i="2628"/>
  <c r="EN34" i="2628"/>
  <c r="EN42" i="2628"/>
  <c r="FA39" i="2628"/>
  <c r="FA42" i="2628"/>
  <c r="FC4" i="2628"/>
  <c r="FA27" i="2636"/>
  <c r="FF27" i="2636"/>
  <c r="FD27" i="2636" s="1"/>
  <c r="FC7" i="2636"/>
  <c r="FF10" i="2636"/>
  <c r="FD10" i="2636" s="1"/>
  <c r="FE17" i="2636"/>
  <c r="FC19" i="2636"/>
  <c r="FF22" i="2636"/>
  <c r="FD22" i="2636" s="1"/>
  <c r="FE5" i="2636"/>
  <c r="FE12" i="2636"/>
  <c r="FC14" i="2636"/>
  <c r="FF17" i="2636"/>
  <c r="FE24" i="2636"/>
  <c r="FE28" i="2636"/>
  <c r="FE30" i="2636"/>
  <c r="FE32" i="2636"/>
  <c r="FD32" i="2636" s="1"/>
  <c r="FE7" i="2636"/>
  <c r="FD7" i="2636" s="1"/>
  <c r="FC9" i="2636"/>
  <c r="FF12" i="2636"/>
  <c r="FE19" i="2636"/>
  <c r="FD19" i="2636" s="1"/>
  <c r="FC21" i="2636"/>
  <c r="FF24" i="2636"/>
  <c r="FF28" i="2636"/>
  <c r="FF30" i="2636"/>
  <c r="FD46" i="2635"/>
  <c r="EB41" i="2635"/>
  <c r="FC48" i="2635"/>
  <c r="FA47" i="2635"/>
  <c r="EE7" i="2635"/>
  <c r="EE41" i="2635" s="1"/>
  <c r="EQ7" i="2635"/>
  <c r="EQ41" i="2635" s="1"/>
  <c r="FC46" i="2635"/>
  <c r="FE8" i="2635"/>
  <c r="FE10" i="2635"/>
  <c r="DF94" i="2632" s="1"/>
  <c r="DF114" i="2632" s="1"/>
  <c r="FC21" i="2635"/>
  <c r="FE25" i="2635"/>
  <c r="FE29" i="2635"/>
  <c r="EF42" i="2635"/>
  <c r="EN42" i="2635" s="1"/>
  <c r="ER42" i="2635"/>
  <c r="FC44" i="2635"/>
  <c r="FF47" i="2635"/>
  <c r="FD47" i="2635" s="1"/>
  <c r="FF59" i="2635"/>
  <c r="FD59" i="2635" s="1"/>
  <c r="FC47" i="2635"/>
  <c r="FC23" i="2635"/>
  <c r="FD95" i="2632"/>
  <c r="EG7" i="2635"/>
  <c r="EG41" i="2635" s="1"/>
  <c r="EH7" i="2635"/>
  <c r="EH41" i="2635" s="1"/>
  <c r="FE12" i="2635"/>
  <c r="DF95" i="2632" s="1"/>
  <c r="DF115" i="2632" s="1"/>
  <c r="FF10" i="2635"/>
  <c r="FF25" i="2635"/>
  <c r="FC43" i="2635"/>
  <c r="EJ7" i="2635"/>
  <c r="EJ41" i="2635" s="1"/>
  <c r="FC14" i="2635"/>
  <c r="FE21" i="2635"/>
  <c r="FE44" i="2635"/>
  <c r="FF45" i="2635"/>
  <c r="FD45" i="2635" s="1"/>
  <c r="EB48" i="2635"/>
  <c r="FF58" i="2635"/>
  <c r="FD58" i="2635" s="1"/>
  <c r="FD93" i="2632"/>
  <c r="FD5" i="2635"/>
  <c r="EK7" i="2635"/>
  <c r="EK41" i="2635" s="1"/>
  <c r="FF19" i="2635"/>
  <c r="FF21" i="2635"/>
  <c r="EI42" i="2635"/>
  <c r="FE43" i="2635"/>
  <c r="FF44" i="2635"/>
  <c r="EO48" i="2635"/>
  <c r="FC53" i="2635"/>
  <c r="FE55" i="2635"/>
  <c r="FE57" i="2635"/>
  <c r="FC62" i="2635"/>
  <c r="FE64" i="2635"/>
  <c r="FA59" i="2635"/>
  <c r="EO53" i="2635"/>
  <c r="FA53" i="2635" s="1"/>
  <c r="EE57" i="2635"/>
  <c r="EN57" i="2635" s="1"/>
  <c r="EQ57" i="2635"/>
  <c r="FA57" i="2635" s="1"/>
  <c r="FE27" i="2635"/>
  <c r="FF23" i="2635"/>
  <c r="FD23" i="2635" s="1"/>
  <c r="FC64" i="2635"/>
  <c r="EL7" i="2635"/>
  <c r="EL41" i="2635" s="1"/>
  <c r="FC9" i="2635"/>
  <c r="DD93" i="2632" s="1"/>
  <c r="FC11" i="2635"/>
  <c r="DD97" i="2632" s="1"/>
  <c r="DD117" i="2632" s="1"/>
  <c r="FC13" i="2635"/>
  <c r="DD96" i="2632" s="1"/>
  <c r="DD116" i="2632" s="1"/>
  <c r="FE14" i="2635"/>
  <c r="FE16" i="2635"/>
  <c r="FE18" i="2635"/>
  <c r="FC24" i="2635"/>
  <c r="FC26" i="2635"/>
  <c r="FC28" i="2635"/>
  <c r="FC30" i="2635"/>
  <c r="FE42" i="2635"/>
  <c r="FF43" i="2635"/>
  <c r="FC52" i="2635"/>
  <c r="FE54" i="2635"/>
  <c r="FF55" i="2635"/>
  <c r="FF57" i="2635"/>
  <c r="FF64" i="2635"/>
  <c r="EN14" i="2635"/>
  <c r="ER7" i="2635"/>
  <c r="EQ42" i="2635"/>
  <c r="FA42" i="2635" s="1"/>
  <c r="FF8" i="2635"/>
  <c r="FF29" i="2635"/>
  <c r="FC55" i="2635"/>
  <c r="FC16" i="2635"/>
  <c r="FC18" i="2635"/>
  <c r="FE19" i="2635"/>
  <c r="FC42" i="2635"/>
  <c r="FC54" i="2635"/>
  <c r="FF14" i="2635"/>
  <c r="FF16" i="2635"/>
  <c r="FF18" i="2635"/>
  <c r="FC51" i="2635"/>
  <c r="FE53" i="2635"/>
  <c r="FF54" i="2635"/>
  <c r="FC61" i="2635"/>
  <c r="FE62" i="2635"/>
  <c r="FC19" i="2635"/>
  <c r="FF12" i="2635"/>
  <c r="FF27" i="2635"/>
  <c r="FE9" i="2635"/>
  <c r="FE11" i="2635"/>
  <c r="FE13" i="2635"/>
  <c r="FC20" i="2635"/>
  <c r="FE24" i="2635"/>
  <c r="FD24" i="2635" s="1"/>
  <c r="FE26" i="2635"/>
  <c r="FD26" i="2635" s="1"/>
  <c r="FE28" i="2635"/>
  <c r="FD28" i="2635" s="1"/>
  <c r="FE30" i="2635"/>
  <c r="FD30" i="2635" s="1"/>
  <c r="FC50" i="2635"/>
  <c r="FE52" i="2635"/>
  <c r="FD52" i="2635" s="1"/>
  <c r="FF62" i="2635"/>
  <c r="EQ42" i="2634"/>
  <c r="EQ40" i="2634" s="1"/>
  <c r="EQ36" i="2634" s="1"/>
  <c r="ER35" i="2634"/>
  <c r="EB35" i="2634"/>
  <c r="EN7" i="2634"/>
  <c r="EN53" i="2634"/>
  <c r="EK45" i="2634"/>
  <c r="EK42" i="2634" s="1"/>
  <c r="EK40" i="2634" s="1"/>
  <c r="EK36" i="2634" s="1"/>
  <c r="EQ51" i="2634"/>
  <c r="EI42" i="2634"/>
  <c r="EI40" i="2634" s="1"/>
  <c r="EI36" i="2634" s="1"/>
  <c r="EG51" i="2634"/>
  <c r="FA8" i="2634"/>
  <c r="EP45" i="2634"/>
  <c r="EP42" i="2634" s="1"/>
  <c r="EP40" i="2634" s="1"/>
  <c r="EP36" i="2634" s="1"/>
  <c r="FA49" i="2634"/>
  <c r="EH51" i="2634"/>
  <c r="EH45" i="2634" s="1"/>
  <c r="EH42" i="2634" s="1"/>
  <c r="EH40" i="2634" s="1"/>
  <c r="EH36" i="2634" s="1"/>
  <c r="EL42" i="2634"/>
  <c r="EL40" i="2634" s="1"/>
  <c r="EL36" i="2634" s="1"/>
  <c r="FA44" i="2634"/>
  <c r="EQ45" i="2634"/>
  <c r="EN70" i="2634"/>
  <c r="FD84" i="2634"/>
  <c r="EE51" i="2634"/>
  <c r="EE45" i="2634" s="1"/>
  <c r="EE42" i="2634" s="1"/>
  <c r="EE40" i="2634" s="1"/>
  <c r="EE36" i="2634" s="1"/>
  <c r="FE57" i="2634"/>
  <c r="FC57" i="2634" s="1"/>
  <c r="FD15" i="2634"/>
  <c r="FF56" i="2634"/>
  <c r="EJ42" i="2634"/>
  <c r="EJ40" i="2634" s="1"/>
  <c r="EJ36" i="2634" s="1"/>
  <c r="FF47" i="2634"/>
  <c r="FD47" i="2634" s="1"/>
  <c r="FA47" i="2634"/>
  <c r="EO46" i="2634"/>
  <c r="FD58" i="2634"/>
  <c r="ED45" i="2634"/>
  <c r="ED42" i="2634" s="1"/>
  <c r="ED40" i="2634" s="1"/>
  <c r="ED36" i="2634" s="1"/>
  <c r="ED59" i="2634"/>
  <c r="FC4" i="2634"/>
  <c r="FD13" i="2634"/>
  <c r="EM42" i="2634"/>
  <c r="EM40" i="2634" s="1"/>
  <c r="EM36" i="2634" s="1"/>
  <c r="EB46" i="2634"/>
  <c r="EF45" i="2634"/>
  <c r="EF42" i="2634" s="1"/>
  <c r="EF40" i="2634" s="1"/>
  <c r="EF36" i="2634" s="1"/>
  <c r="EO53" i="2634"/>
  <c r="EB59" i="2634"/>
  <c r="FF70" i="2634"/>
  <c r="FD70" i="2634" s="1"/>
  <c r="FA70" i="2634"/>
  <c r="EO69" i="2634"/>
  <c r="FA86" i="2634"/>
  <c r="EO7" i="2634"/>
  <c r="EN43" i="2634"/>
  <c r="EG45" i="2634"/>
  <c r="EN48" i="2634"/>
  <c r="EN50" i="2634"/>
  <c r="EN47" i="2634"/>
  <c r="EF60" i="2634"/>
  <c r="EF59" i="2634" s="1"/>
  <c r="EF51" i="2634"/>
  <c r="EB51" i="2634"/>
  <c r="EN63" i="2634"/>
  <c r="EN79" i="2634"/>
  <c r="ER83" i="2634"/>
  <c r="FD11" i="2634"/>
  <c r="FD9" i="2634"/>
  <c r="FD17" i="2634"/>
  <c r="EN23" i="2634"/>
  <c r="FE39" i="2634"/>
  <c r="FA43" i="2634"/>
  <c r="EO51" i="2634"/>
  <c r="FF63" i="2634"/>
  <c r="FA63" i="2634"/>
  <c r="FF79" i="2634"/>
  <c r="FD79" i="2634" s="1"/>
  <c r="FA79" i="2634"/>
  <c r="EN83" i="2634"/>
  <c r="ER60" i="2634"/>
  <c r="FF48" i="2634"/>
  <c r="FA48" i="2634"/>
  <c r="EE69" i="2634"/>
  <c r="EE60" i="2634" s="1"/>
  <c r="EQ69" i="2634"/>
  <c r="EQ60" i="2634" s="1"/>
  <c r="EQ59" i="2634" s="1"/>
  <c r="EP59" i="2634"/>
  <c r="EF69" i="2634"/>
  <c r="ER69" i="2634"/>
  <c r="EN8" i="2634"/>
  <c r="EN18" i="2634"/>
  <c r="EG42" i="2634"/>
  <c r="EG40" i="2634" s="1"/>
  <c r="EG36" i="2634" s="1"/>
  <c r="EN49" i="2634"/>
  <c r="ED51" i="2634"/>
  <c r="EP51" i="2634"/>
  <c r="FE12" i="2634"/>
  <c r="FF14" i="2634"/>
  <c r="FE31" i="2634"/>
  <c r="ER53" i="2634"/>
  <c r="FE23" i="2634"/>
  <c r="FF27" i="2634"/>
  <c r="FD27" i="2634" s="1"/>
  <c r="FF31" i="2634"/>
  <c r="FD5" i="2634"/>
  <c r="FF7" i="2634"/>
  <c r="FF23" i="2634"/>
  <c r="FF25" i="2634"/>
  <c r="FE16" i="2634"/>
  <c r="FF10" i="2634"/>
  <c r="FD10" i="2634" s="1"/>
  <c r="FF16" i="2634"/>
  <c r="EG60" i="2634"/>
  <c r="EG59" i="2634" s="1"/>
  <c r="FE25" i="2634"/>
  <c r="EN86" i="2634"/>
  <c r="FE20" i="2634"/>
  <c r="FE22" i="2634"/>
  <c r="FD22" i="2634" s="1"/>
  <c r="FE14" i="2634"/>
  <c r="FF8" i="2634"/>
  <c r="FD8" i="2634" s="1"/>
  <c r="FF12" i="2634"/>
  <c r="FF29" i="2634"/>
  <c r="FD29" i="2634" s="1"/>
  <c r="EH60" i="2634"/>
  <c r="EH59" i="2634" s="1"/>
  <c r="FF18" i="2634"/>
  <c r="FF20" i="2634"/>
  <c r="FF10" i="2633"/>
  <c r="FD10" i="2633" s="1"/>
  <c r="FC19" i="2633"/>
  <c r="FE12" i="2633"/>
  <c r="FC14" i="2633"/>
  <c r="FE24" i="2633"/>
  <c r="FC26" i="2633"/>
  <c r="FE17" i="2633"/>
  <c r="FF22" i="2633"/>
  <c r="FD22" i="2633" s="1"/>
  <c r="FF17" i="2633"/>
  <c r="FC9" i="2633"/>
  <c r="FF12" i="2633"/>
  <c r="FE19" i="2633"/>
  <c r="FC21" i="2633"/>
  <c r="FF24" i="2633"/>
  <c r="FC30" i="2633"/>
  <c r="FC32" i="2633"/>
  <c r="FC34" i="2633"/>
  <c r="FF7" i="2633"/>
  <c r="FE14" i="2633"/>
  <c r="FC16" i="2633"/>
  <c r="FF19" i="2633"/>
  <c r="FE26" i="2633"/>
  <c r="FE5" i="2633"/>
  <c r="FE9" i="2633"/>
  <c r="FC11" i="2633"/>
  <c r="FF14" i="2633"/>
  <c r="FE21" i="2633"/>
  <c r="FC23" i="2633"/>
  <c r="FF26" i="2633"/>
  <c r="FE30" i="2633"/>
  <c r="FE32" i="2633"/>
  <c r="FD32" i="2633" s="1"/>
  <c r="FE34" i="2633"/>
  <c r="FD34" i="2633" s="1"/>
  <c r="FF9" i="2633"/>
  <c r="FE16" i="2633"/>
  <c r="FD16" i="2633" s="1"/>
  <c r="FC18" i="2633"/>
  <c r="FF21" i="2633"/>
  <c r="FF30" i="2633"/>
  <c r="FC105" i="2632"/>
  <c r="FC121" i="2632"/>
  <c r="FC101" i="2632"/>
  <c r="EH44" i="2632"/>
  <c r="FD97" i="2632"/>
  <c r="FC51" i="2632"/>
  <c r="FE55" i="2632"/>
  <c r="FD55" i="2632" s="1"/>
  <c r="EN55" i="2632"/>
  <c r="EN57" i="2632"/>
  <c r="EN63" i="2632"/>
  <c r="FE72" i="2632"/>
  <c r="FA81" i="2632"/>
  <c r="FC47" i="2632"/>
  <c r="FA51" i="2632"/>
  <c r="FE52" i="2632"/>
  <c r="FA57" i="2632"/>
  <c r="EN73" i="2632"/>
  <c r="FA47" i="2632"/>
  <c r="FE23" i="2632"/>
  <c r="FD23" i="2632" s="1"/>
  <c r="FE81" i="2632"/>
  <c r="EN81" i="2632"/>
  <c r="EM43" i="2632"/>
  <c r="EM44" i="2632"/>
  <c r="ER44" i="2632"/>
  <c r="EN46" i="2632"/>
  <c r="FA46" i="2632"/>
  <c r="EO59" i="2632"/>
  <c r="FA59" i="2632" s="1"/>
  <c r="FD65" i="2632"/>
  <c r="FE85" i="2632"/>
  <c r="EN85" i="2632"/>
  <c r="EN14" i="2632"/>
  <c r="EJ44" i="2632"/>
  <c r="EJ7" i="2632"/>
  <c r="EJ43" i="2632" s="1"/>
  <c r="FA85" i="2632"/>
  <c r="FD12" i="2632"/>
  <c r="FE14" i="2632"/>
  <c r="FC48" i="2632"/>
  <c r="FE77" i="2632"/>
  <c r="FF81" i="2632"/>
  <c r="FC110" i="2632"/>
  <c r="EO50" i="2632"/>
  <c r="FA50" i="2632" s="1"/>
  <c r="FA14" i="2632"/>
  <c r="EN113" i="2632"/>
  <c r="FF14" i="2632"/>
  <c r="EN60" i="2632"/>
  <c r="EN82" i="2632"/>
  <c r="EN54" i="2632"/>
  <c r="EN51" i="2632"/>
  <c r="FE64" i="2632"/>
  <c r="EN64" i="2632"/>
  <c r="FA102" i="2632"/>
  <c r="FA8" i="2632"/>
  <c r="FA64" i="2632"/>
  <c r="EN104" i="2632"/>
  <c r="FE104" i="2632"/>
  <c r="FF85" i="2632"/>
  <c r="EN92" i="2632"/>
  <c r="EN107" i="2632"/>
  <c r="FC71" i="2632"/>
  <c r="EN62" i="2632"/>
  <c r="EI7" i="2632"/>
  <c r="EI43" i="2632" s="1"/>
  <c r="FD31" i="2632"/>
  <c r="FE41" i="2632"/>
  <c r="FD25" i="2632"/>
  <c r="FF48" i="2632"/>
  <c r="FD48" i="2632" s="1"/>
  <c r="FF73" i="2632"/>
  <c r="FD73" i="2632" s="1"/>
  <c r="FF80" i="2632"/>
  <c r="FA122" i="2632"/>
  <c r="EN47" i="2632"/>
  <c r="EN52" i="2632"/>
  <c r="FA53" i="2632"/>
  <c r="FC87" i="2632"/>
  <c r="FE89" i="2632"/>
  <c r="FD89" i="2632" s="1"/>
  <c r="FA108" i="2632"/>
  <c r="FC109" i="2632"/>
  <c r="FC113" i="2632"/>
  <c r="FC116" i="2632"/>
  <c r="FE49" i="2632"/>
  <c r="FD49" i="2632" s="1"/>
  <c r="FF59" i="2632"/>
  <c r="FD59" i="2632" s="1"/>
  <c r="FF63" i="2632"/>
  <c r="FF87" i="2632"/>
  <c r="FD87" i="2632" s="1"/>
  <c r="FA107" i="2632"/>
  <c r="FF113" i="2632"/>
  <c r="FE17" i="2632"/>
  <c r="FC26" i="2632"/>
  <c r="FC91" i="2632"/>
  <c r="FF94" i="2632"/>
  <c r="FD94" i="2632" s="1"/>
  <c r="FA113" i="2632"/>
  <c r="FF17" i="2632"/>
  <c r="FC24" i="2632"/>
  <c r="FF30" i="2632"/>
  <c r="FD30" i="2632" s="1"/>
  <c r="FF47" i="2632"/>
  <c r="FD47" i="2632" s="1"/>
  <c r="FF52" i="2632"/>
  <c r="FE82" i="2632"/>
  <c r="EN84" i="2632"/>
  <c r="FE107" i="2632"/>
  <c r="FE110" i="2632"/>
  <c r="FE19" i="2632"/>
  <c r="FE30" i="2632"/>
  <c r="FC50" i="2632"/>
  <c r="FC61" i="2632"/>
  <c r="FC66" i="2632"/>
  <c r="FC86" i="2632"/>
  <c r="FF96" i="2632"/>
  <c r="FD96" i="2632" s="1"/>
  <c r="EC7" i="2632"/>
  <c r="EC43" i="2632" s="1"/>
  <c r="EO7" i="2632"/>
  <c r="FF15" i="2632"/>
  <c r="FD15" i="2632" s="1"/>
  <c r="FF19" i="2632"/>
  <c r="FE28" i="2632"/>
  <c r="FC46" i="2632"/>
  <c r="FF122" i="2632"/>
  <c r="FF115" i="2632"/>
  <c r="FF109" i="2632"/>
  <c r="FF103" i="2632"/>
  <c r="FF90" i="2632"/>
  <c r="FF88" i="2632"/>
  <c r="FF86" i="2632"/>
  <c r="FE63" i="2632"/>
  <c r="FC62" i="2632"/>
  <c r="FF56" i="2632"/>
  <c r="FC54" i="2632"/>
  <c r="FF45" i="2632"/>
  <c r="FC31" i="2632"/>
  <c r="FC29" i="2632"/>
  <c r="FC27" i="2632"/>
  <c r="FC25" i="2632"/>
  <c r="FC23" i="2632"/>
  <c r="FF13" i="2632"/>
  <c r="FF11" i="2632"/>
  <c r="FF9" i="2632"/>
  <c r="FF110" i="2632"/>
  <c r="FE122" i="2632"/>
  <c r="FE115" i="2632"/>
  <c r="FC114" i="2632"/>
  <c r="FE109" i="2632"/>
  <c r="FC108" i="2632"/>
  <c r="FE103" i="2632"/>
  <c r="FC102" i="2632"/>
  <c r="FE90" i="2632"/>
  <c r="FE88" i="2632"/>
  <c r="FE86" i="2632"/>
  <c r="FC85" i="2632"/>
  <c r="FF66" i="2632"/>
  <c r="FD66" i="2632" s="1"/>
  <c r="FF64" i="2632"/>
  <c r="FE56" i="2632"/>
  <c r="FC55" i="2632"/>
  <c r="FF46" i="2632"/>
  <c r="FE45" i="2632"/>
  <c r="FE13" i="2632"/>
  <c r="FE11" i="2632"/>
  <c r="FE9" i="2632"/>
  <c r="FF116" i="2632"/>
  <c r="FD116" i="2632" s="1"/>
  <c r="FF104" i="2632"/>
  <c r="FC12" i="2632"/>
  <c r="FE26" i="2632"/>
  <c r="FF28" i="2632"/>
  <c r="EO44" i="2632"/>
  <c r="EN48" i="2632"/>
  <c r="FE50" i="2632"/>
  <c r="FF51" i="2632"/>
  <c r="FD51" i="2632" s="1"/>
  <c r="FA54" i="2632"/>
  <c r="FC60" i="2632"/>
  <c r="FE61" i="2632"/>
  <c r="FC64" i="2632"/>
  <c r="FE66" i="2632"/>
  <c r="FC81" i="2632"/>
  <c r="FF82" i="2632"/>
  <c r="FA84" i="2632"/>
  <c r="FC89" i="2632"/>
  <c r="FE91" i="2632"/>
  <c r="FC106" i="2632"/>
  <c r="FF107" i="2632"/>
  <c r="FC112" i="2632"/>
  <c r="FF114" i="2632"/>
  <c r="FD114" i="2632" s="1"/>
  <c r="EB7" i="2632"/>
  <c r="EN8" i="2632"/>
  <c r="FE21" i="2632"/>
  <c r="FD21" i="2632" s="1"/>
  <c r="EN49" i="2632"/>
  <c r="FC56" i="2632"/>
  <c r="FF83" i="2632"/>
  <c r="FD83" i="2632" s="1"/>
  <c r="FF92" i="2632"/>
  <c r="FD92" i="2632" s="1"/>
  <c r="EN59" i="2632"/>
  <c r="EN23" i="2632"/>
  <c r="FE24" i="2632"/>
  <c r="FD24" i="2632" s="1"/>
  <c r="FF26" i="2632"/>
  <c r="EB44" i="2632"/>
  <c r="EN44" i="2632" s="1"/>
  <c r="FE46" i="2632"/>
  <c r="FF50" i="2632"/>
  <c r="FF61" i="2632"/>
  <c r="FF91" i="2632"/>
  <c r="FC93" i="2632"/>
  <c r="FC95" i="2632"/>
  <c r="FC97" i="2632"/>
  <c r="FC111" i="2632"/>
  <c r="FC122" i="2632"/>
  <c r="FF61" i="2631"/>
  <c r="FE61" i="2631"/>
  <c r="FF40" i="2631"/>
  <c r="FE40" i="2631"/>
  <c r="EN44" i="2631"/>
  <c r="FD89" i="2631"/>
  <c r="EN66" i="2631"/>
  <c r="EN23" i="2631"/>
  <c r="FF66" i="2631"/>
  <c r="EP46" i="2631"/>
  <c r="EP45" i="2631" s="1"/>
  <c r="FD85" i="2631"/>
  <c r="EM83" i="2631"/>
  <c r="EM62" i="2631" s="1"/>
  <c r="EM46" i="2631"/>
  <c r="EM45" i="2631" s="1"/>
  <c r="EM43" i="2631" s="1"/>
  <c r="EM41" i="2631" s="1"/>
  <c r="EM38" i="2631" s="1"/>
  <c r="EN52" i="2631"/>
  <c r="EL45" i="2631"/>
  <c r="EJ7" i="2631"/>
  <c r="EJ37" i="2631" s="1"/>
  <c r="ER47" i="2631"/>
  <c r="ED46" i="2631"/>
  <c r="ED45" i="2631" s="1"/>
  <c r="ED43" i="2631" s="1"/>
  <c r="ED41" i="2631" s="1"/>
  <c r="ED38" i="2631" s="1"/>
  <c r="ED63" i="2631"/>
  <c r="ED62" i="2631" s="1"/>
  <c r="EB46" i="2631"/>
  <c r="EB83" i="2631"/>
  <c r="EB47" i="2631"/>
  <c r="EN49" i="2631"/>
  <c r="EN54" i="2631"/>
  <c r="EE63" i="2631"/>
  <c r="EE62" i="2631" s="1"/>
  <c r="EE46" i="2631"/>
  <c r="EE45" i="2631" s="1"/>
  <c r="ER46" i="2631"/>
  <c r="ER63" i="2631"/>
  <c r="EM8" i="2631"/>
  <c r="EM7" i="2631" s="1"/>
  <c r="EM37" i="2631" s="1"/>
  <c r="EH47" i="2631"/>
  <c r="EH45" i="2631" s="1"/>
  <c r="EH43" i="2631" s="1"/>
  <c r="EH41" i="2631" s="1"/>
  <c r="EH38" i="2631" s="1"/>
  <c r="EF46" i="2631"/>
  <c r="EF63" i="2631"/>
  <c r="EP72" i="2631"/>
  <c r="EP63" i="2631" s="1"/>
  <c r="EP62" i="2631" s="1"/>
  <c r="ER44" i="2631"/>
  <c r="FD52" i="2631"/>
  <c r="EE43" i="2631"/>
  <c r="EE41" i="2631" s="1"/>
  <c r="EE38" i="2631" s="1"/>
  <c r="EK45" i="2631"/>
  <c r="EK43" i="2631" s="1"/>
  <c r="EK41" i="2631" s="1"/>
  <c r="EK38" i="2631" s="1"/>
  <c r="EN50" i="2631"/>
  <c r="EL44" i="2631"/>
  <c r="EL43" i="2631" s="1"/>
  <c r="EL41" i="2631" s="1"/>
  <c r="EL38" i="2631" s="1"/>
  <c r="EL8" i="2631"/>
  <c r="EL7" i="2631" s="1"/>
  <c r="EL37" i="2631" s="1"/>
  <c r="EQ46" i="2631"/>
  <c r="EQ45" i="2631" s="1"/>
  <c r="EQ43" i="2631" s="1"/>
  <c r="EQ41" i="2631" s="1"/>
  <c r="EQ38" i="2631" s="1"/>
  <c r="EQ63" i="2631"/>
  <c r="EQ62" i="2631" s="1"/>
  <c r="FF5" i="2631"/>
  <c r="FE5" i="2631"/>
  <c r="EO8" i="2631"/>
  <c r="FA10" i="2631"/>
  <c r="EO44" i="2631"/>
  <c r="EI47" i="2631"/>
  <c r="EI45" i="2631" s="1"/>
  <c r="EI43" i="2631" s="1"/>
  <c r="EI41" i="2631" s="1"/>
  <c r="EI38" i="2631" s="1"/>
  <c r="EN51" i="2631"/>
  <c r="EG46" i="2631"/>
  <c r="EG63" i="2631"/>
  <c r="EG62" i="2631" s="1"/>
  <c r="FF47" i="2631"/>
  <c r="EF47" i="2631"/>
  <c r="EG47" i="2631"/>
  <c r="EO72" i="2631"/>
  <c r="EC83" i="2631"/>
  <c r="EC62" i="2631" s="1"/>
  <c r="EC46" i="2631"/>
  <c r="EC45" i="2631" s="1"/>
  <c r="EC43" i="2631" s="1"/>
  <c r="EC41" i="2631" s="1"/>
  <c r="EC38" i="2631" s="1"/>
  <c r="EO83" i="2631"/>
  <c r="FF83" i="2631" s="1"/>
  <c r="FF86" i="2631"/>
  <c r="EO46" i="2631"/>
  <c r="EB7" i="2631"/>
  <c r="EP7" i="2631"/>
  <c r="EP37" i="2631" s="1"/>
  <c r="EP44" i="2631"/>
  <c r="EP43" i="2631" s="1"/>
  <c r="EP41" i="2631" s="1"/>
  <c r="EP38" i="2631" s="1"/>
  <c r="EO51" i="2631"/>
  <c r="FF51" i="2631" s="1"/>
  <c r="FD51" i="2631" s="1"/>
  <c r="EH63" i="2631"/>
  <c r="EH62" i="2631" s="1"/>
  <c r="EN73" i="2631"/>
  <c r="EN8" i="2631"/>
  <c r="FC29" i="2630"/>
  <c r="FC27" i="2630"/>
  <c r="FE8" i="2630"/>
  <c r="FD8" i="2630" s="1"/>
  <c r="FC10" i="2630"/>
  <c r="FF13" i="2630"/>
  <c r="FD13" i="2630" s="1"/>
  <c r="FE20" i="2630"/>
  <c r="FD20" i="2630" s="1"/>
  <c r="FC22" i="2630"/>
  <c r="FF25" i="2630"/>
  <c r="FD25" i="2630" s="1"/>
  <c r="FE29" i="2630"/>
  <c r="FD29" i="2630" s="1"/>
  <c r="FE31" i="2630"/>
  <c r="FD31" i="2630" s="1"/>
  <c r="FE33" i="2630"/>
  <c r="FD33" i="2630" s="1"/>
  <c r="FA29" i="2630"/>
  <c r="FE12" i="2630"/>
  <c r="FF17" i="2630"/>
  <c r="FD17" i="2630" s="1"/>
  <c r="FC26" i="2630"/>
  <c r="FC34" i="2630"/>
  <c r="FC7" i="2630"/>
  <c r="FC19" i="2630"/>
  <c r="FC14" i="2630"/>
  <c r="FE24" i="2630"/>
  <c r="FC30" i="2630"/>
  <c r="FC32" i="2630"/>
  <c r="FE7" i="2630"/>
  <c r="FC9" i="2630"/>
  <c r="FF12" i="2630"/>
  <c r="FE19" i="2630"/>
  <c r="FD19" i="2630" s="1"/>
  <c r="FC21" i="2630"/>
  <c r="FF24" i="2630"/>
  <c r="FF22" i="2630"/>
  <c r="FD22" i="2630" s="1"/>
  <c r="FF7" i="2630"/>
  <c r="FE14" i="2630"/>
  <c r="FE26" i="2630"/>
  <c r="FE30" i="2630"/>
  <c r="FE32" i="2630"/>
  <c r="FE34" i="2630"/>
  <c r="FD34" i="2630" s="1"/>
  <c r="FC16" i="2630"/>
  <c r="FE9" i="2630"/>
  <c r="FD9" i="2630" s="1"/>
  <c r="FC11" i="2630"/>
  <c r="FF14" i="2630"/>
  <c r="FE21" i="2630"/>
  <c r="FD21" i="2630" s="1"/>
  <c r="FC23" i="2630"/>
  <c r="FF26" i="2630"/>
  <c r="FF30" i="2630"/>
  <c r="FF32" i="2630"/>
  <c r="EN45" i="2629"/>
  <c r="EN62" i="2629"/>
  <c r="EN47" i="2629"/>
  <c r="FA60" i="2629"/>
  <c r="FE57" i="2629"/>
  <c r="FC43" i="2629"/>
  <c r="FD16" i="2629"/>
  <c r="FA44" i="2629"/>
  <c r="FD9" i="2629"/>
  <c r="EN43" i="2629"/>
  <c r="FA23" i="2629"/>
  <c r="EO57" i="2629"/>
  <c r="FA57" i="2629" s="1"/>
  <c r="FA43" i="2629"/>
  <c r="EN58" i="2629"/>
  <c r="FC4" i="2629"/>
  <c r="EN61" i="2629"/>
  <c r="EM42" i="2629"/>
  <c r="FE47" i="2629"/>
  <c r="FC11" i="2629"/>
  <c r="FF25" i="2629"/>
  <c r="FD25" i="2629" s="1"/>
  <c r="FF47" i="2629"/>
  <c r="EN55" i="2629"/>
  <c r="FC55" i="2629"/>
  <c r="FD48" i="2629"/>
  <c r="EN46" i="2629"/>
  <c r="EL42" i="2629"/>
  <c r="FC44" i="2629"/>
  <c r="FF49" i="2629"/>
  <c r="EB42" i="2629"/>
  <c r="EN42" i="2629" s="1"/>
  <c r="EB7" i="2629"/>
  <c r="EN8" i="2629"/>
  <c r="FA8" i="2629"/>
  <c r="FF71" i="2629"/>
  <c r="EC42" i="2629"/>
  <c r="EO42" i="2629"/>
  <c r="FA42" i="2629" s="1"/>
  <c r="EO7" i="2629"/>
  <c r="FC8" i="2629"/>
  <c r="EN14" i="2629"/>
  <c r="FC23" i="2629"/>
  <c r="FC29" i="2629"/>
  <c r="FC46" i="2629"/>
  <c r="FA52" i="2629"/>
  <c r="EN54" i="2629"/>
  <c r="FC57" i="2629"/>
  <c r="FE8" i="2629"/>
  <c r="FE43" i="2629"/>
  <c r="FF44" i="2629"/>
  <c r="FE54" i="2629"/>
  <c r="FC56" i="2629"/>
  <c r="FC61" i="2629"/>
  <c r="FE62" i="2629"/>
  <c r="FE64" i="2629"/>
  <c r="FF43" i="2629"/>
  <c r="FF64" i="2629"/>
  <c r="FD64" i="2629" s="1"/>
  <c r="FC14" i="2629"/>
  <c r="FE21" i="2629"/>
  <c r="FE24" i="2629"/>
  <c r="FE28" i="2629"/>
  <c r="FC50" i="2629"/>
  <c r="FE52" i="2629"/>
  <c r="FF61" i="2629"/>
  <c r="FC42" i="2629"/>
  <c r="FF57" i="2629"/>
  <c r="FC52" i="2629"/>
  <c r="FF54" i="2629"/>
  <c r="ED19" i="2629"/>
  <c r="ED53" i="2629" s="1"/>
  <c r="FC60" i="2629"/>
  <c r="FF10" i="2629"/>
  <c r="FF21" i="2629"/>
  <c r="FF24" i="2629"/>
  <c r="FF30" i="2629"/>
  <c r="FE13" i="2629"/>
  <c r="FF45" i="2629"/>
  <c r="FD45" i="2629" s="1"/>
  <c r="FF55" i="2629"/>
  <c r="FD55" i="2629" s="1"/>
  <c r="FD5" i="2629"/>
  <c r="FF13" i="2629"/>
  <c r="FE15" i="2629"/>
  <c r="FC26" i="2629"/>
  <c r="FF62" i="2629"/>
  <c r="FC12" i="2629"/>
  <c r="FE26" i="2629"/>
  <c r="FE12" i="2629"/>
  <c r="FC49" i="2629"/>
  <c r="FC63" i="2629"/>
  <c r="FC9" i="2629"/>
  <c r="FF12" i="2629"/>
  <c r="FE14" i="2629"/>
  <c r="FC16" i="2629"/>
  <c r="FC22" i="2629"/>
  <c r="FC48" i="2629"/>
  <c r="FE50" i="2629"/>
  <c r="FF51" i="2629"/>
  <c r="FF60" i="2629"/>
  <c r="FE71" i="2629"/>
  <c r="FE44" i="2629"/>
  <c r="FC10" i="2629"/>
  <c r="FC17" i="2629"/>
  <c r="FF8" i="2629"/>
  <c r="FF15" i="2629"/>
  <c r="EC19" i="2629"/>
  <c r="EC7" i="2629" s="1"/>
  <c r="FC21" i="2629"/>
  <c r="FC24" i="2629"/>
  <c r="FC28" i="2629"/>
  <c r="FC30" i="2629"/>
  <c r="FE42" i="2629"/>
  <c r="FE10" i="2629"/>
  <c r="FE17" i="2629"/>
  <c r="FF42" i="2629"/>
  <c r="FC51" i="2629"/>
  <c r="FE61" i="2629"/>
  <c r="FF17" i="2629"/>
  <c r="FE30" i="2629"/>
  <c r="FF26" i="2629"/>
  <c r="FF28" i="2629"/>
  <c r="FE51" i="2629"/>
  <c r="FF52" i="2629"/>
  <c r="FC59" i="2629"/>
  <c r="FE60" i="2629"/>
  <c r="FF14" i="2629"/>
  <c r="FE49" i="2629"/>
  <c r="FF50" i="2629"/>
  <c r="FC58" i="2629"/>
  <c r="FE59" i="2629"/>
  <c r="FD59" i="2629" s="1"/>
  <c r="FE63" i="2629"/>
  <c r="FD63" i="2629" s="1"/>
  <c r="FA40" i="2628"/>
  <c r="FD5" i="2628"/>
  <c r="FA34" i="2628"/>
  <c r="FD7" i="2630" l="1"/>
  <c r="FD26" i="2629"/>
  <c r="FD113" i="2632"/>
  <c r="FD64" i="2632"/>
  <c r="FD57" i="2635"/>
  <c r="FD64" i="2635"/>
  <c r="FD25" i="2635"/>
  <c r="FD52" i="2632"/>
  <c r="FD63" i="2632"/>
  <c r="FD14" i="2630"/>
  <c r="FD50" i="2629"/>
  <c r="FD57" i="2629"/>
  <c r="FD8" i="2629"/>
  <c r="EB63" i="2631"/>
  <c r="EF62" i="2631"/>
  <c r="EF37" i="2631"/>
  <c r="FD73" i="2631"/>
  <c r="EN72" i="2631"/>
  <c r="FD49" i="2631"/>
  <c r="FD12" i="2634"/>
  <c r="FD31" i="2634"/>
  <c r="FD18" i="2634"/>
  <c r="FD14" i="2634"/>
  <c r="FD7" i="2634"/>
  <c r="FD24" i="2636"/>
  <c r="FD7" i="2633"/>
  <c r="FD26" i="2633"/>
  <c r="FD26" i="2630"/>
  <c r="FD12" i="2630"/>
  <c r="FD32" i="2630"/>
  <c r="FD54" i="2635"/>
  <c r="FD43" i="2635"/>
  <c r="FD29" i="2635"/>
  <c r="FD13" i="2635"/>
  <c r="DE96" i="2632" s="1"/>
  <c r="DE116" i="2632" s="1"/>
  <c r="DF96" i="2632"/>
  <c r="DF116" i="2632" s="1"/>
  <c r="FD27" i="2635"/>
  <c r="FD14" i="2635"/>
  <c r="FD12" i="2635"/>
  <c r="DE95" i="2632" s="1"/>
  <c r="DE115" i="2632" s="1"/>
  <c r="DG95" i="2632"/>
  <c r="DG115" i="2632" s="1"/>
  <c r="FD10" i="2635"/>
  <c r="DE94" i="2632" s="1"/>
  <c r="DE114" i="2632" s="1"/>
  <c r="DG94" i="2632"/>
  <c r="DD92" i="2632"/>
  <c r="DD79" i="2632" s="1"/>
  <c r="DD113" i="2632"/>
  <c r="DD112" i="2632" s="1"/>
  <c r="FD11" i="2635"/>
  <c r="DE97" i="2632" s="1"/>
  <c r="DE117" i="2632" s="1"/>
  <c r="DF97" i="2632"/>
  <c r="DF117" i="2632" s="1"/>
  <c r="FD9" i="2635"/>
  <c r="DE93" i="2632" s="1"/>
  <c r="DF93" i="2632"/>
  <c r="FD81" i="2632"/>
  <c r="FD109" i="2632"/>
  <c r="FD104" i="2632"/>
  <c r="FD82" i="2632"/>
  <c r="FD91" i="2632"/>
  <c r="FD110" i="2632"/>
  <c r="FD85" i="2632"/>
  <c r="FD56" i="2632"/>
  <c r="FD14" i="2632"/>
  <c r="FD17" i="2632"/>
  <c r="FD19" i="2632"/>
  <c r="FD11" i="2632"/>
  <c r="FD28" i="2629"/>
  <c r="FD12" i="2629"/>
  <c r="FD47" i="2629"/>
  <c r="FD62" i="2629"/>
  <c r="FD52" i="2629"/>
  <c r="FD49" i="2629"/>
  <c r="FD13" i="2629"/>
  <c r="FD15" i="2629"/>
  <c r="FD10" i="2629"/>
  <c r="FD12" i="2636"/>
  <c r="FD30" i="2636"/>
  <c r="FD17" i="2636"/>
  <c r="FD28" i="2636"/>
  <c r="EN41" i="2635"/>
  <c r="FD21" i="2635"/>
  <c r="EN7" i="2635"/>
  <c r="FD55" i="2635"/>
  <c r="FD19" i="2635"/>
  <c r="FC57" i="2635"/>
  <c r="FF7" i="2635"/>
  <c r="FD7" i="2635" s="1"/>
  <c r="FF5" i="2635"/>
  <c r="FE5" i="2635"/>
  <c r="FF42" i="2635"/>
  <c r="FD42" i="2635" s="1"/>
  <c r="FF48" i="2635"/>
  <c r="FA48" i="2635"/>
  <c r="FD122" i="2632"/>
  <c r="FD62" i="2635"/>
  <c r="FD39" i="2635"/>
  <c r="FF38" i="2635"/>
  <c r="FD8" i="2635"/>
  <c r="EN48" i="2635"/>
  <c r="FE48" i="2635"/>
  <c r="FA7" i="2635"/>
  <c r="FF53" i="2635"/>
  <c r="FD53" i="2635" s="1"/>
  <c r="FD18" i="2635"/>
  <c r="FD44" i="2635"/>
  <c r="FD16" i="2635"/>
  <c r="ER41" i="2635"/>
  <c r="EE59" i="2634"/>
  <c r="EN60" i="2634"/>
  <c r="FF5" i="2634"/>
  <c r="FE5" i="2634"/>
  <c r="ER59" i="2634"/>
  <c r="FA69" i="2634"/>
  <c r="EO60" i="2634"/>
  <c r="FF69" i="2634"/>
  <c r="ER51" i="2634"/>
  <c r="FD20" i="2634"/>
  <c r="EN59" i="2634"/>
  <c r="FF83" i="2634"/>
  <c r="FD83" i="2634" s="1"/>
  <c r="FA53" i="2634"/>
  <c r="FF53" i="2634"/>
  <c r="FD53" i="2634" s="1"/>
  <c r="FD16" i="2634"/>
  <c r="FF58" i="2634"/>
  <c r="FE58" i="2634"/>
  <c r="EN69" i="2634"/>
  <c r="EB45" i="2634"/>
  <c r="EN46" i="2634"/>
  <c r="EO45" i="2634"/>
  <c r="FA46" i="2634"/>
  <c r="FF46" i="2634"/>
  <c r="EN51" i="2634"/>
  <c r="FD25" i="2634"/>
  <c r="EO35" i="2634"/>
  <c r="FA7" i="2634"/>
  <c r="FA83" i="2634"/>
  <c r="FD23" i="2634"/>
  <c r="FD63" i="2634"/>
  <c r="FD21" i="2633"/>
  <c r="FD12" i="2633"/>
  <c r="FD24" i="2633"/>
  <c r="FD14" i="2633"/>
  <c r="FD30" i="2633"/>
  <c r="FD9" i="2633"/>
  <c r="FD19" i="2633"/>
  <c r="FD17" i="2633"/>
  <c r="FD26" i="2632"/>
  <c r="EN7" i="2632"/>
  <c r="EB43" i="2632"/>
  <c r="FE7" i="2632"/>
  <c r="FD7" i="2632" s="1"/>
  <c r="FD45" i="2632"/>
  <c r="FE44" i="2632"/>
  <c r="FE80" i="2632"/>
  <c r="FD80" i="2632" s="1"/>
  <c r="FE101" i="2632"/>
  <c r="EN101" i="2632"/>
  <c r="EN80" i="2632"/>
  <c r="FE79" i="2632"/>
  <c r="FD115" i="2632"/>
  <c r="FC100" i="2632"/>
  <c r="FD9" i="2632"/>
  <c r="FD107" i="2632"/>
  <c r="FD13" i="2632"/>
  <c r="EO43" i="2632"/>
  <c r="FA7" i="2632"/>
  <c r="FC80" i="2632"/>
  <c r="FD86" i="2632"/>
  <c r="FA106" i="2632"/>
  <c r="FF106" i="2632"/>
  <c r="FC44" i="2632"/>
  <c r="FA101" i="2632"/>
  <c r="FC117" i="2632"/>
  <c r="FD88" i="2632"/>
  <c r="FD61" i="2632"/>
  <c r="FA44" i="2632"/>
  <c r="FF44" i="2632"/>
  <c r="FD90" i="2632"/>
  <c r="FF101" i="2632"/>
  <c r="FA112" i="2632"/>
  <c r="FF112" i="2632"/>
  <c r="FD46" i="2632"/>
  <c r="FD50" i="2632"/>
  <c r="FD28" i="2632"/>
  <c r="FD103" i="2632"/>
  <c r="FA80" i="2632"/>
  <c r="EO7" i="2631"/>
  <c r="FA8" i="2631"/>
  <c r="EN83" i="2631"/>
  <c r="EB62" i="2631"/>
  <c r="EB45" i="2631"/>
  <c r="EN46" i="2631"/>
  <c r="EO45" i="2631"/>
  <c r="FF46" i="2631"/>
  <c r="ER62" i="2631"/>
  <c r="EN7" i="2631"/>
  <c r="EB37" i="2631"/>
  <c r="FD86" i="2631"/>
  <c r="ER45" i="2631"/>
  <c r="ER43" i="2631" s="1"/>
  <c r="FD83" i="2631"/>
  <c r="FD66" i="2631"/>
  <c r="FF44" i="2631"/>
  <c r="FD44" i="2631" s="1"/>
  <c r="EO43" i="2631"/>
  <c r="EN63" i="2631"/>
  <c r="EG45" i="2631"/>
  <c r="EG43" i="2631" s="1"/>
  <c r="EG41" i="2631" s="1"/>
  <c r="EG38" i="2631" s="1"/>
  <c r="FF72" i="2631"/>
  <c r="FD72" i="2631" s="1"/>
  <c r="EO63" i="2631"/>
  <c r="EF45" i="2631"/>
  <c r="FD47" i="2631"/>
  <c r="EN47" i="2631"/>
  <c r="FD30" i="2630"/>
  <c r="FD24" i="2630"/>
  <c r="EC41" i="2629"/>
  <c r="FF38" i="2629"/>
  <c r="FD39" i="2629"/>
  <c r="FD44" i="2629"/>
  <c r="FF5" i="2629"/>
  <c r="FE5" i="2629"/>
  <c r="FD54" i="2629"/>
  <c r="EO41" i="2629"/>
  <c r="FD51" i="2629"/>
  <c r="FD30" i="2629"/>
  <c r="FD43" i="2629"/>
  <c r="FD71" i="2629"/>
  <c r="FD60" i="2629"/>
  <c r="FD17" i="2629"/>
  <c r="FD14" i="2629"/>
  <c r="EC53" i="2629"/>
  <c r="EE19" i="2629"/>
  <c r="FD24" i="2629"/>
  <c r="FD61" i="2629"/>
  <c r="FD21" i="2629"/>
  <c r="FD42" i="2629"/>
  <c r="EB41" i="2629"/>
  <c r="ED7" i="2629"/>
  <c r="ED41" i="2629" s="1"/>
  <c r="FF5" i="2628"/>
  <c r="FE5" i="2628"/>
  <c r="FD28" i="2628"/>
  <c r="FF27" i="2628"/>
  <c r="EF43" i="2631" l="1"/>
  <c r="DD122" i="2632"/>
  <c r="DD119" i="2632" s="1"/>
  <c r="DD99" i="2632"/>
  <c r="DG114" i="2632"/>
  <c r="DG112" i="2632" s="1"/>
  <c r="DG92" i="2632"/>
  <c r="DG79" i="2632" s="1"/>
  <c r="DF113" i="2632"/>
  <c r="DF112" i="2632" s="1"/>
  <c r="DF92" i="2632"/>
  <c r="DF79" i="2632" s="1"/>
  <c r="DE113" i="2632"/>
  <c r="DE112" i="2632" s="1"/>
  <c r="DE92" i="2632"/>
  <c r="DE79" i="2632" s="1"/>
  <c r="FD101" i="2632"/>
  <c r="FE39" i="2635"/>
  <c r="FF39" i="2635"/>
  <c r="FE38" i="2635"/>
  <c r="FC38" i="2635" s="1"/>
  <c r="FC41" i="2635"/>
  <c r="FF41" i="2635"/>
  <c r="FD41" i="2635" s="1"/>
  <c r="FD48" i="2635"/>
  <c r="FA41" i="2635"/>
  <c r="EN45" i="2634"/>
  <c r="EB42" i="2634"/>
  <c r="ER45" i="2634"/>
  <c r="FD69" i="2634"/>
  <c r="FF51" i="2634"/>
  <c r="FD51" i="2634" s="1"/>
  <c r="FF60" i="2634"/>
  <c r="FD60" i="2634" s="1"/>
  <c r="FA60" i="2634"/>
  <c r="EO59" i="2634"/>
  <c r="FA51" i="2634"/>
  <c r="FD46" i="2634"/>
  <c r="EO42" i="2634"/>
  <c r="FF79" i="2632"/>
  <c r="EN79" i="2632"/>
  <c r="FC99" i="2632"/>
  <c r="FA100" i="2632"/>
  <c r="FF100" i="2632"/>
  <c r="FA43" i="2632"/>
  <c r="FF43" i="2632"/>
  <c r="FC119" i="2632"/>
  <c r="FC120" i="2632"/>
  <c r="EN121" i="2632"/>
  <c r="FE121" i="2632"/>
  <c r="EN100" i="2632"/>
  <c r="FE100" i="2632"/>
  <c r="EN43" i="2632"/>
  <c r="FD44" i="2632"/>
  <c r="FA121" i="2632"/>
  <c r="FF121" i="2632"/>
  <c r="EN45" i="2631"/>
  <c r="EB43" i="2631"/>
  <c r="ER41" i="2631"/>
  <c r="EN62" i="2631"/>
  <c r="FF63" i="2631"/>
  <c r="FD63" i="2631" s="1"/>
  <c r="EO62" i="2631"/>
  <c r="FF62" i="2631" s="1"/>
  <c r="FD62" i="2631" s="1"/>
  <c r="FF43" i="2631"/>
  <c r="EO41" i="2631"/>
  <c r="ER37" i="2631"/>
  <c r="FA7" i="2631"/>
  <c r="EO37" i="2631"/>
  <c r="FD46" i="2631"/>
  <c r="FF45" i="2631"/>
  <c r="FD45" i="2631" s="1"/>
  <c r="EE53" i="2629"/>
  <c r="FE19" i="2629"/>
  <c r="EF19" i="2629"/>
  <c r="EE7" i="2629"/>
  <c r="EE41" i="2629" s="1"/>
  <c r="FE41" i="2629" s="1"/>
  <c r="FE53" i="2629"/>
  <c r="FE7" i="2629"/>
  <c r="FE39" i="2629"/>
  <c r="FF39" i="2629"/>
  <c r="FE38" i="2629"/>
  <c r="FC38" i="2629" s="1"/>
  <c r="FE28" i="2628"/>
  <c r="FF28" i="2628"/>
  <c r="FE27" i="2628"/>
  <c r="FC27" i="2628"/>
  <c r="EN106" i="2632" l="1"/>
  <c r="FE106" i="2632"/>
  <c r="FD106" i="2632" s="1"/>
  <c r="EN112" i="2632"/>
  <c r="FE112" i="2632"/>
  <c r="FD112" i="2632" s="1"/>
  <c r="EF41" i="2631"/>
  <c r="DE122" i="2632"/>
  <c r="DE119" i="2632" s="1"/>
  <c r="DE99" i="2632"/>
  <c r="DF122" i="2632"/>
  <c r="DF119" i="2632" s="1"/>
  <c r="DF99" i="2632"/>
  <c r="DG122" i="2632"/>
  <c r="DG119" i="2632" s="1"/>
  <c r="DG99" i="2632"/>
  <c r="FD121" i="2632"/>
  <c r="FD100" i="2632"/>
  <c r="FA59" i="2634"/>
  <c r="FD59" i="2634"/>
  <c r="ER42" i="2634"/>
  <c r="FF42" i="2634" s="1"/>
  <c r="FD42" i="2634" s="1"/>
  <c r="EO40" i="2634"/>
  <c r="FF45" i="2634"/>
  <c r="FD45" i="2634" s="1"/>
  <c r="FA45" i="2634"/>
  <c r="EN42" i="2634"/>
  <c r="EB40" i="2634"/>
  <c r="FA99" i="2632"/>
  <c r="FF99" i="2632"/>
  <c r="FD43" i="2632"/>
  <c r="EN117" i="2632"/>
  <c r="FE117" i="2632"/>
  <c r="EN99" i="2632"/>
  <c r="FE99" i="2632"/>
  <c r="FA105" i="2632"/>
  <c r="FF105" i="2632"/>
  <c r="EN120" i="2632"/>
  <c r="FE120" i="2632"/>
  <c r="FD79" i="2632"/>
  <c r="FF117" i="2632"/>
  <c r="FA117" i="2632"/>
  <c r="EN111" i="2632"/>
  <c r="FE111" i="2632"/>
  <c r="FA120" i="2632"/>
  <c r="FF120" i="2632"/>
  <c r="FA111" i="2632"/>
  <c r="FF111" i="2632"/>
  <c r="EN105" i="2632"/>
  <c r="FE105" i="2632"/>
  <c r="EO38" i="2631"/>
  <c r="FF41" i="2631"/>
  <c r="FD43" i="2631"/>
  <c r="EN43" i="2631"/>
  <c r="EB41" i="2631"/>
  <c r="ER38" i="2631"/>
  <c r="EF53" i="2629"/>
  <c r="EF7" i="2629"/>
  <c r="EG19" i="2629"/>
  <c r="EH19" i="2629"/>
  <c r="EF38" i="2631" l="1"/>
  <c r="FD111" i="2632"/>
  <c r="EB36" i="2634"/>
  <c r="EN40" i="2634"/>
  <c r="EO36" i="2634"/>
  <c r="FA42" i="2634"/>
  <c r="ER40" i="2634"/>
  <c r="FA40" i="2634" s="1"/>
  <c r="EN119" i="2632"/>
  <c r="FE119" i="2632"/>
  <c r="FD105" i="2632"/>
  <c r="FA119" i="2632"/>
  <c r="FF119" i="2632"/>
  <c r="FD120" i="2632"/>
  <c r="FD117" i="2632"/>
  <c r="FD99" i="2632"/>
  <c r="EN41" i="2631"/>
  <c r="EB38" i="2631"/>
  <c r="FD41" i="2631"/>
  <c r="EH53" i="2629"/>
  <c r="EH7" i="2629"/>
  <c r="EH41" i="2629" s="1"/>
  <c r="EG53" i="2629"/>
  <c r="EG7" i="2629"/>
  <c r="EG41" i="2629" s="1"/>
  <c r="EF41" i="2629"/>
  <c r="EI19" i="2629"/>
  <c r="FD119" i="2632" l="1"/>
  <c r="ER36" i="2634"/>
  <c r="FF40" i="2634"/>
  <c r="FD40" i="2634" s="1"/>
  <c r="EI53" i="2629"/>
  <c r="EI7" i="2629"/>
  <c r="EJ19" i="2629"/>
  <c r="EL19" i="2629"/>
  <c r="EK19" i="2629"/>
  <c r="EL53" i="2629" l="1"/>
  <c r="EL7" i="2629"/>
  <c r="EL41" i="2629" s="1"/>
  <c r="EK53" i="2629"/>
  <c r="EK7" i="2629"/>
  <c r="EK41" i="2629" s="1"/>
  <c r="EJ53" i="2629"/>
  <c r="EJ7" i="2629"/>
  <c r="EJ41" i="2629" s="1"/>
  <c r="EM19" i="2629"/>
  <c r="EI41" i="2629"/>
  <c r="EM53" i="2629" l="1"/>
  <c r="EN53" i="2629" s="1"/>
  <c r="EM7" i="2629"/>
  <c r="EM41" i="2629" s="1"/>
  <c r="EN19" i="2629"/>
  <c r="EP19" i="2629" s="1"/>
  <c r="EN7" i="2629"/>
  <c r="EN41" i="2629"/>
  <c r="EP53" i="2629" l="1"/>
  <c r="EP7" i="2629"/>
  <c r="EQ19" i="2629"/>
  <c r="EQ53" i="2629" l="1"/>
  <c r="EQ7" i="2629"/>
  <c r="EQ41" i="2629" s="1"/>
  <c r="ER19" i="2629"/>
  <c r="EP41" i="2629"/>
  <c r="ER53" i="2629" l="1"/>
  <c r="ER7" i="2629"/>
  <c r="FC19" i="2629"/>
  <c r="FF19" i="2629"/>
  <c r="FD19" i="2629" s="1"/>
  <c r="ER41" i="2629" l="1"/>
  <c r="FC7" i="2629"/>
  <c r="FF7" i="2629"/>
  <c r="FD7" i="2629" s="1"/>
  <c r="FC53" i="2629"/>
  <c r="FA53" i="2629"/>
  <c r="FF53" i="2629"/>
  <c r="FD53" i="2629" s="1"/>
  <c r="FC41" i="2629" l="1"/>
  <c r="FA41" i="2629"/>
  <c r="FF41" i="2629"/>
  <c r="FD41" i="2629" s="1"/>
  <c r="EW19" i="2629" l="1"/>
  <c r="EW7" i="2629" l="1"/>
  <c r="EX19" i="2629"/>
  <c r="EX7" i="2629" l="1"/>
  <c r="EY19" i="2629"/>
  <c r="EY7" i="2629" l="1"/>
  <c r="FA7" i="2629" s="1"/>
  <c r="FA19" i="2629"/>
  <c r="FC5" i="2638" l="1"/>
  <c r="DP39" i="2638"/>
  <c r="DQ39" i="2638"/>
  <c r="DR39" i="2638"/>
  <c r="DS39" i="2638"/>
  <c r="DT39" i="2638"/>
  <c r="DU39" i="2638"/>
  <c r="DV39" i="2638"/>
  <c r="DW39" i="2638"/>
  <c r="DX39" i="2638"/>
  <c r="DY39" i="2638"/>
  <c r="DZ39" i="2638"/>
  <c r="EA39" i="2638"/>
  <c r="EB39" i="2638"/>
  <c r="EC39" i="2638"/>
  <c r="ED39" i="2638"/>
  <c r="EE39" i="2638"/>
  <c r="EF39" i="2638"/>
  <c r="EG39" i="2638"/>
  <c r="EH39" i="2638"/>
  <c r="EI39" i="2638"/>
  <c r="EJ39" i="2638"/>
  <c r="EK39" i="2638"/>
  <c r="EM39" i="2638"/>
  <c r="DO39" i="2638"/>
  <c r="FI67" i="1720" l="1"/>
  <c r="FI66" i="1720"/>
  <c r="FI65" i="1720"/>
  <c r="FI64" i="1720"/>
  <c r="FI63" i="1720"/>
  <c r="FI62" i="1720"/>
  <c r="FI61" i="1720"/>
  <c r="FI54" i="1720"/>
  <c r="FI52" i="1720"/>
  <c r="FI51" i="1720"/>
  <c r="FI50" i="1720"/>
  <c r="FI49" i="1720"/>
  <c r="FI48" i="1720"/>
  <c r="FI47" i="1720"/>
  <c r="FI46" i="1720"/>
  <c r="FI45" i="1720"/>
  <c r="FI44" i="1720"/>
  <c r="FI43" i="1720"/>
  <c r="FI42" i="1720"/>
  <c r="FI41" i="1720"/>
  <c r="FI40" i="1720"/>
  <c r="FI39" i="1720"/>
  <c r="FI38" i="1720"/>
  <c r="FI37" i="1720"/>
  <c r="FI36" i="1720"/>
  <c r="FI35" i="1720"/>
  <c r="FI34" i="1720"/>
  <c r="FI33" i="1720"/>
  <c r="FI32" i="1720"/>
  <c r="FI31" i="1720"/>
  <c r="FI30" i="1720"/>
  <c r="FI29" i="1720"/>
  <c r="FI28" i="1720"/>
  <c r="FI27" i="1720"/>
  <c r="FI26" i="1720"/>
  <c r="FI25" i="1720"/>
  <c r="FI24" i="1720"/>
  <c r="FI23" i="1720"/>
  <c r="FI22" i="1720"/>
  <c r="FI21" i="1720"/>
  <c r="FI20" i="1720"/>
  <c r="FI19" i="1720"/>
  <c r="FI18" i="1720"/>
  <c r="FI17" i="1720"/>
  <c r="FI16" i="1720"/>
  <c r="FI15" i="1720"/>
  <c r="FI14" i="1720"/>
  <c r="FI13" i="1720"/>
  <c r="FI12" i="1720"/>
  <c r="FI11" i="1720"/>
  <c r="FI9" i="1720"/>
  <c r="FI8" i="1720"/>
  <c r="FI7" i="1720"/>
  <c r="EO11" i="1720" l="1"/>
  <c r="EP24" i="2638"/>
  <c r="EO24" i="2638"/>
  <c r="EP20" i="2638"/>
  <c r="EO20" i="2638"/>
  <c r="EP10" i="2638"/>
  <c r="EO10" i="2638"/>
  <c r="EP9" i="2638"/>
  <c r="EP7" i="2638" s="1"/>
  <c r="EP39" i="2638" s="1"/>
  <c r="EO9" i="2638"/>
  <c r="EO7" i="2638" s="1"/>
  <c r="EO39" i="2638" s="1"/>
  <c r="EM24" i="2638"/>
  <c r="EM20" i="2638"/>
  <c r="EM10" i="2638"/>
  <c r="EM9" i="2638"/>
  <c r="EM7" i="2638" s="1"/>
  <c r="DP20" i="2074" l="1"/>
  <c r="DQ20" i="2074"/>
  <c r="DR20" i="2074"/>
  <c r="DS20" i="2074"/>
  <c r="DT20" i="2074"/>
  <c r="DU20" i="2074"/>
  <c r="DV20" i="2074"/>
  <c r="DW20" i="2074"/>
  <c r="DX20" i="2074"/>
  <c r="DY20" i="2074"/>
  <c r="DZ20" i="2074"/>
  <c r="EA20" i="2074"/>
  <c r="EB20" i="2074"/>
  <c r="EC20" i="2074"/>
  <c r="ED20" i="2074"/>
  <c r="EE20" i="2074"/>
  <c r="EF20" i="2074"/>
  <c r="EG20" i="2074"/>
  <c r="EH20" i="2074"/>
  <c r="EI20" i="2074"/>
  <c r="EJ20" i="2074"/>
  <c r="EK20" i="2074"/>
  <c r="EL20" i="2074"/>
  <c r="EM20" i="2074"/>
  <c r="DP21" i="2074"/>
  <c r="DQ21" i="2074"/>
  <c r="DR21" i="2074"/>
  <c r="DS21" i="2074"/>
  <c r="DT21" i="2074"/>
  <c r="DU21" i="2074"/>
  <c r="DV21" i="2074"/>
  <c r="DW21" i="2074"/>
  <c r="DX21" i="2074"/>
  <c r="DY21" i="2074"/>
  <c r="DZ21" i="2074"/>
  <c r="EA21" i="2074"/>
  <c r="EB21" i="2074"/>
  <c r="EC21" i="2074"/>
  <c r="ED21" i="2074"/>
  <c r="EE21" i="2074"/>
  <c r="EF21" i="2074"/>
  <c r="EG21" i="2074"/>
  <c r="EH21" i="2074"/>
  <c r="EI21" i="2074"/>
  <c r="EJ21" i="2074"/>
  <c r="EK21" i="2074"/>
  <c r="EL21" i="2074"/>
  <c r="EM21" i="2074"/>
  <c r="DP22" i="2074"/>
  <c r="DQ22" i="2074"/>
  <c r="DR22" i="2074"/>
  <c r="DS22" i="2074"/>
  <c r="DT22" i="2074"/>
  <c r="DU22" i="2074"/>
  <c r="DV22" i="2074"/>
  <c r="DW22" i="2074"/>
  <c r="DX22" i="2074"/>
  <c r="DY22" i="2074"/>
  <c r="DZ22" i="2074"/>
  <c r="EA22" i="2074"/>
  <c r="EB22" i="2074"/>
  <c r="EC22" i="2074"/>
  <c r="ED22" i="2074"/>
  <c r="EE22" i="2074"/>
  <c r="EF22" i="2074"/>
  <c r="EG22" i="2074"/>
  <c r="EH22" i="2074"/>
  <c r="EI22" i="2074"/>
  <c r="EJ22" i="2074"/>
  <c r="EK22" i="2074"/>
  <c r="EL22" i="2074"/>
  <c r="EM22" i="2074"/>
  <c r="DO21" i="2074"/>
  <c r="DO22" i="2074"/>
  <c r="DP15" i="2074"/>
  <c r="DQ15" i="2074"/>
  <c r="DR15" i="2074"/>
  <c r="DS15" i="2074"/>
  <c r="DT15" i="2074"/>
  <c r="DU15" i="2074"/>
  <c r="DV15" i="2074"/>
  <c r="DW15" i="2074"/>
  <c r="DX15" i="2074"/>
  <c r="DY15" i="2074"/>
  <c r="DZ15" i="2074"/>
  <c r="EA15" i="2074"/>
  <c r="EB15" i="2074"/>
  <c r="EC15" i="2074"/>
  <c r="ED15" i="2074"/>
  <c r="EE15" i="2074"/>
  <c r="EF15" i="2074"/>
  <c r="EG15" i="2074"/>
  <c r="EH15" i="2074"/>
  <c r="EI15" i="2074"/>
  <c r="EJ15" i="2074"/>
  <c r="EK15" i="2074"/>
  <c r="EL15" i="2074"/>
  <c r="EM15" i="2074"/>
  <c r="DP16" i="2074"/>
  <c r="DQ16" i="2074"/>
  <c r="DR16" i="2074"/>
  <c r="DS16" i="2074"/>
  <c r="DT16" i="2074"/>
  <c r="DU16" i="2074"/>
  <c r="DV16" i="2074"/>
  <c r="DW16" i="2074"/>
  <c r="DX16" i="2074"/>
  <c r="DY16" i="2074"/>
  <c r="DZ16" i="2074"/>
  <c r="EA16" i="2074"/>
  <c r="EB16" i="2074"/>
  <c r="EC16" i="2074"/>
  <c r="ED16" i="2074"/>
  <c r="EE16" i="2074"/>
  <c r="EF16" i="2074"/>
  <c r="EG16" i="2074"/>
  <c r="EH16" i="2074"/>
  <c r="EI16" i="2074"/>
  <c r="EJ16" i="2074"/>
  <c r="EK16" i="2074"/>
  <c r="EL16" i="2074"/>
  <c r="EM16" i="2074"/>
  <c r="DP17" i="2074"/>
  <c r="DQ17" i="2074"/>
  <c r="DR17" i="2074"/>
  <c r="DS17" i="2074"/>
  <c r="DT17" i="2074"/>
  <c r="DU17" i="2074"/>
  <c r="DV17" i="2074"/>
  <c r="DW17" i="2074"/>
  <c r="DX17" i="2074"/>
  <c r="DY17" i="2074"/>
  <c r="DZ17" i="2074"/>
  <c r="EA17" i="2074"/>
  <c r="EB17" i="2074"/>
  <c r="EC17" i="2074"/>
  <c r="ED17" i="2074"/>
  <c r="EE17" i="2074"/>
  <c r="EF17" i="2074"/>
  <c r="EG17" i="2074"/>
  <c r="EH17" i="2074"/>
  <c r="EI17" i="2074"/>
  <c r="EJ17" i="2074"/>
  <c r="EK17" i="2074"/>
  <c r="EL17" i="2074"/>
  <c r="EM17" i="2074"/>
  <c r="DO16" i="2074"/>
  <c r="DO17" i="2074"/>
  <c r="DO15" i="2074"/>
  <c r="DO20" i="2074"/>
  <c r="FA9" i="2626" l="1"/>
  <c r="FA25" i="2626" s="1"/>
  <c r="FA24" i="2626"/>
  <c r="FA32" i="2626"/>
  <c r="FA23" i="2626"/>
  <c r="FA7" i="2626"/>
  <c r="EQ26" i="2626"/>
  <c r="EQ27" i="2626"/>
  <c r="EQ28" i="2626"/>
  <c r="EQ29" i="2626"/>
  <c r="EQ30" i="2626"/>
  <c r="EQ31" i="2626"/>
  <c r="EQ32" i="2626"/>
  <c r="EQ25" i="2626"/>
  <c r="EP26" i="2626"/>
  <c r="EP27" i="2626"/>
  <c r="EP29" i="2626"/>
  <c r="EP30" i="2626"/>
  <c r="EP31" i="2626"/>
  <c r="EP32" i="2626"/>
  <c r="EO26" i="2626"/>
  <c r="EO27" i="2626"/>
  <c r="EO28" i="2626"/>
  <c r="EO29" i="2626"/>
  <c r="EO30" i="2626"/>
  <c r="EO31" i="2626"/>
  <c r="EO32" i="2626"/>
  <c r="EO25" i="2626"/>
  <c r="EN33" i="2626"/>
  <c r="ED25" i="2626"/>
  <c r="EB26" i="2626"/>
  <c r="EC26" i="2626"/>
  <c r="ED26" i="2626"/>
  <c r="EE26" i="2626"/>
  <c r="EF26" i="2626"/>
  <c r="EG26" i="2626"/>
  <c r="EH26" i="2626"/>
  <c r="EI26" i="2626"/>
  <c r="EJ26" i="2626"/>
  <c r="EK26" i="2626"/>
  <c r="EL26" i="2626"/>
  <c r="EM26" i="2626"/>
  <c r="EB27" i="2626"/>
  <c r="EC27" i="2626"/>
  <c r="ED27" i="2626"/>
  <c r="EE27" i="2626"/>
  <c r="EF27" i="2626"/>
  <c r="EG27" i="2626"/>
  <c r="EH27" i="2626"/>
  <c r="EI27" i="2626"/>
  <c r="EJ27" i="2626"/>
  <c r="EK27" i="2626"/>
  <c r="EL27" i="2626"/>
  <c r="EM27" i="2626"/>
  <c r="EB28" i="2626"/>
  <c r="EC28" i="2626"/>
  <c r="ED28" i="2626"/>
  <c r="EE28" i="2626"/>
  <c r="EF28" i="2626"/>
  <c r="EG28" i="2626"/>
  <c r="EH28" i="2626"/>
  <c r="EI28" i="2626"/>
  <c r="EJ28" i="2626"/>
  <c r="EK28" i="2626"/>
  <c r="EL28" i="2626"/>
  <c r="EM28" i="2626"/>
  <c r="EB29" i="2626"/>
  <c r="EC29" i="2626"/>
  <c r="ED29" i="2626"/>
  <c r="EE29" i="2626"/>
  <c r="EF29" i="2626"/>
  <c r="EG29" i="2626"/>
  <c r="EH29" i="2626"/>
  <c r="EI29" i="2626"/>
  <c r="EJ29" i="2626"/>
  <c r="EK29" i="2626"/>
  <c r="EL29" i="2626"/>
  <c r="EM29" i="2626"/>
  <c r="EB30" i="2626"/>
  <c r="EC30" i="2626"/>
  <c r="ED30" i="2626"/>
  <c r="EE30" i="2626"/>
  <c r="EF30" i="2626"/>
  <c r="EG30" i="2626"/>
  <c r="EH30" i="2626"/>
  <c r="EI30" i="2626"/>
  <c r="EJ30" i="2626"/>
  <c r="EK30" i="2626"/>
  <c r="EL30" i="2626"/>
  <c r="EM30" i="2626"/>
  <c r="EB31" i="2626"/>
  <c r="EC31" i="2626"/>
  <c r="ED31" i="2626"/>
  <c r="EE31" i="2626"/>
  <c r="EF31" i="2626"/>
  <c r="EG31" i="2626"/>
  <c r="EH31" i="2626"/>
  <c r="EI31" i="2626"/>
  <c r="EJ31" i="2626"/>
  <c r="EK31" i="2626"/>
  <c r="EL31" i="2626"/>
  <c r="EM31" i="2626"/>
  <c r="EB32" i="2626"/>
  <c r="EC32" i="2626"/>
  <c r="ED32" i="2626"/>
  <c r="EE32" i="2626"/>
  <c r="EF32" i="2626"/>
  <c r="EG32" i="2626"/>
  <c r="EH32" i="2626"/>
  <c r="EI32" i="2626"/>
  <c r="EJ32" i="2626"/>
  <c r="EK32" i="2626"/>
  <c r="EL32" i="2626"/>
  <c r="EM32" i="2626"/>
  <c r="EB33" i="2626"/>
  <c r="EC33" i="2626"/>
  <c r="ED33" i="2626"/>
  <c r="EE33" i="2626"/>
  <c r="EF33" i="2626"/>
  <c r="EG33" i="2626"/>
  <c r="EH33" i="2626"/>
  <c r="EI33" i="2626"/>
  <c r="EJ33" i="2626"/>
  <c r="EK33" i="2626"/>
  <c r="EL33" i="2626"/>
  <c r="EM33" i="2626"/>
  <c r="EM25" i="2626"/>
  <c r="EL25" i="2626"/>
  <c r="EK25" i="2626"/>
  <c r="EJ25" i="2626"/>
  <c r="EI25" i="2626"/>
  <c r="EH25" i="2626"/>
  <c r="EG25" i="2626"/>
  <c r="EF25" i="2626"/>
  <c r="EE25" i="2626"/>
  <c r="EC25" i="2626"/>
  <c r="EB25" i="2626"/>
  <c r="FA5" i="2638" l="1"/>
  <c r="EN34" i="2638"/>
  <c r="EN33" i="2638"/>
  <c r="EN32" i="2638"/>
  <c r="EN31" i="2638"/>
  <c r="EN30" i="2638"/>
  <c r="EN29" i="2638"/>
  <c r="EN28" i="2638"/>
  <c r="EN27" i="2638"/>
  <c r="EN26" i="2638"/>
  <c r="EN25" i="2638"/>
  <c r="EL24" i="2638"/>
  <c r="EK24" i="2638"/>
  <c r="EJ24" i="2638"/>
  <c r="EI24" i="2638"/>
  <c r="EH24" i="2638"/>
  <c r="EG24" i="2638"/>
  <c r="EF24" i="2638"/>
  <c r="EE24" i="2638"/>
  <c r="ED24" i="2638"/>
  <c r="EC24" i="2638"/>
  <c r="EB24" i="2638"/>
  <c r="EN23" i="2638"/>
  <c r="EN22" i="2638"/>
  <c r="EN21" i="2638"/>
  <c r="EL20" i="2638"/>
  <c r="EK20" i="2638"/>
  <c r="EK9" i="2638" s="1"/>
  <c r="EK7" i="2638" s="1"/>
  <c r="EJ20" i="2638"/>
  <c r="EI20" i="2638"/>
  <c r="EH20" i="2638"/>
  <c r="EG20" i="2638"/>
  <c r="EG9" i="2638" s="1"/>
  <c r="EG7" i="2638" s="1"/>
  <c r="EF20" i="2638"/>
  <c r="EE20" i="2638"/>
  <c r="ED20" i="2638"/>
  <c r="EC20" i="2638"/>
  <c r="EB20" i="2638"/>
  <c r="EN19" i="2638"/>
  <c r="EN18" i="2638"/>
  <c r="EN17" i="2638"/>
  <c r="EN16" i="2638"/>
  <c r="EN15" i="2638"/>
  <c r="EN14" i="2638"/>
  <c r="EN13" i="2638"/>
  <c r="EN12" i="2638"/>
  <c r="EN11" i="2638"/>
  <c r="EL10" i="2638"/>
  <c r="EK10" i="2638"/>
  <c r="EJ10" i="2638"/>
  <c r="EI10" i="2638"/>
  <c r="EI9" i="2638" s="1"/>
  <c r="EI7" i="2638" s="1"/>
  <c r="EH10" i="2638"/>
  <c r="EH9" i="2638" s="1"/>
  <c r="EH7" i="2638" s="1"/>
  <c r="EG10" i="2638"/>
  <c r="EF10" i="2638"/>
  <c r="EE10" i="2638"/>
  <c r="ED10" i="2638"/>
  <c r="ED9" i="2638" s="1"/>
  <c r="ED7" i="2638" s="1"/>
  <c r="EC10" i="2638"/>
  <c r="EC9" i="2638" s="1"/>
  <c r="EC7" i="2638" s="1"/>
  <c r="EB10" i="2638"/>
  <c r="EN5" i="2638"/>
  <c r="FA41" i="2083"/>
  <c r="EN41" i="2083"/>
  <c r="EA41" i="2083"/>
  <c r="DN41" i="2083"/>
  <c r="DA41" i="2083"/>
  <c r="CN41" i="2083"/>
  <c r="CA41" i="2083"/>
  <c r="BN41" i="2083"/>
  <c r="BA41" i="2083"/>
  <c r="AN41" i="2083"/>
  <c r="AA41" i="2083"/>
  <c r="N41" i="2083"/>
  <c r="FA29" i="2083"/>
  <c r="EN29" i="2083"/>
  <c r="EA29" i="2083"/>
  <c r="DN29" i="2083"/>
  <c r="DA29" i="2083"/>
  <c r="CN29" i="2083"/>
  <c r="CA29" i="2083"/>
  <c r="BN29" i="2083"/>
  <c r="BA29" i="2083"/>
  <c r="AN29" i="2083"/>
  <c r="AA29" i="2083"/>
  <c r="N29" i="2083"/>
  <c r="FA19" i="2083"/>
  <c r="EN19" i="2083"/>
  <c r="EA19" i="2083"/>
  <c r="DN19" i="2083"/>
  <c r="DA19" i="2083"/>
  <c r="CN19" i="2083"/>
  <c r="CA19" i="2083"/>
  <c r="BN19" i="2083"/>
  <c r="BA19" i="2083"/>
  <c r="AN19" i="2083"/>
  <c r="AA19" i="2083"/>
  <c r="N19" i="2083"/>
  <c r="FC5" i="2083"/>
  <c r="FC41" i="2083" s="1"/>
  <c r="FC29" i="2083"/>
  <c r="FD29" i="2083" s="1"/>
  <c r="FF28" i="2083"/>
  <c r="FC28" i="2083" s="1"/>
  <c r="FC19" i="2083"/>
  <c r="FD19" i="2083"/>
  <c r="FF18" i="2083"/>
  <c r="FC18" i="2083" s="1"/>
  <c r="EZ21" i="2083"/>
  <c r="EY21" i="2083"/>
  <c r="EX21" i="2083"/>
  <c r="EW21" i="2083"/>
  <c r="EV21" i="2083"/>
  <c r="EU21" i="2083"/>
  <c r="ET21" i="2083"/>
  <c r="ES21" i="2083"/>
  <c r="ER21" i="2083"/>
  <c r="EQ21" i="2083"/>
  <c r="EP21" i="2083"/>
  <c r="EO21" i="2083"/>
  <c r="FA21" i="2083" s="1"/>
  <c r="EM21" i="2083"/>
  <c r="EL21" i="2083"/>
  <c r="EK21" i="2083"/>
  <c r="EJ21" i="2083"/>
  <c r="EI21" i="2083"/>
  <c r="EH21" i="2083"/>
  <c r="EG21" i="2083"/>
  <c r="EF21" i="2083"/>
  <c r="EE21" i="2083"/>
  <c r="ED21" i="2083"/>
  <c r="EC21" i="2083"/>
  <c r="EB21" i="2083"/>
  <c r="EN21" i="2083" s="1"/>
  <c r="DZ21" i="2083"/>
  <c r="DY21" i="2083"/>
  <c r="DX21" i="2083"/>
  <c r="DW21" i="2083"/>
  <c r="DV21" i="2083"/>
  <c r="DU21" i="2083"/>
  <c r="DT21" i="2083"/>
  <c r="DS21" i="2083"/>
  <c r="DR21" i="2083"/>
  <c r="DQ21" i="2083"/>
  <c r="DP21" i="2083"/>
  <c r="DO21" i="2083"/>
  <c r="EA21" i="2083" s="1"/>
  <c r="DM21" i="2083"/>
  <c r="DL21" i="2083"/>
  <c r="DK21" i="2083"/>
  <c r="DJ21" i="2083"/>
  <c r="DI21" i="2083"/>
  <c r="DH21" i="2083"/>
  <c r="DG21" i="2083"/>
  <c r="DF21" i="2083"/>
  <c r="DE21" i="2083"/>
  <c r="DD21" i="2083"/>
  <c r="DC21" i="2083"/>
  <c r="DB21" i="2083"/>
  <c r="CZ21" i="2083"/>
  <c r="CY21" i="2083"/>
  <c r="CX21" i="2083"/>
  <c r="CW21" i="2083"/>
  <c r="CV21" i="2083"/>
  <c r="CU21" i="2083"/>
  <c r="CT21" i="2083"/>
  <c r="CS21" i="2083"/>
  <c r="CR21" i="2083"/>
  <c r="CQ21" i="2083"/>
  <c r="CP21" i="2083"/>
  <c r="CO21" i="2083"/>
  <c r="CM21" i="2083"/>
  <c r="CL21" i="2083"/>
  <c r="CK21" i="2083"/>
  <c r="CJ21" i="2083"/>
  <c r="CI21" i="2083"/>
  <c r="CH21" i="2083"/>
  <c r="CG21" i="2083"/>
  <c r="CF21" i="2083"/>
  <c r="CE21" i="2083"/>
  <c r="CD21" i="2083"/>
  <c r="CC21" i="2083"/>
  <c r="CB21" i="2083"/>
  <c r="BZ21" i="2083"/>
  <c r="BY21" i="2083"/>
  <c r="BX21" i="2083"/>
  <c r="BW21" i="2083"/>
  <c r="BV21" i="2083"/>
  <c r="BU21" i="2083"/>
  <c r="BT21" i="2083"/>
  <c r="BS21" i="2083"/>
  <c r="BR21" i="2083"/>
  <c r="BQ21" i="2083"/>
  <c r="BP21" i="2083"/>
  <c r="BO21" i="2083"/>
  <c r="BM21" i="2083"/>
  <c r="BL21" i="2083"/>
  <c r="BK21" i="2083"/>
  <c r="BJ21" i="2083"/>
  <c r="BI21" i="2083"/>
  <c r="BH21" i="2083"/>
  <c r="BG21" i="2083"/>
  <c r="BF21" i="2083"/>
  <c r="BE21" i="2083"/>
  <c r="BD21" i="2083"/>
  <c r="BC21" i="2083"/>
  <c r="BB21" i="2083"/>
  <c r="BN21" i="2083" s="1"/>
  <c r="AZ21" i="2083"/>
  <c r="AY21" i="2083"/>
  <c r="AX21" i="2083"/>
  <c r="AW21" i="2083"/>
  <c r="AV21" i="2083"/>
  <c r="AU21" i="2083"/>
  <c r="AT21" i="2083"/>
  <c r="AS21" i="2083"/>
  <c r="AR21" i="2083"/>
  <c r="AQ21" i="2083"/>
  <c r="AP21" i="2083"/>
  <c r="AO21" i="2083"/>
  <c r="BA21" i="2083" s="1"/>
  <c r="AM21" i="2083"/>
  <c r="AL21" i="2083"/>
  <c r="AK21" i="2083"/>
  <c r="AJ21" i="2083"/>
  <c r="AI21" i="2083"/>
  <c r="AH21" i="2083"/>
  <c r="AG21" i="2083"/>
  <c r="AF21" i="2083"/>
  <c r="AE21" i="2083"/>
  <c r="AD21" i="2083"/>
  <c r="AC21" i="2083"/>
  <c r="AB21" i="2083"/>
  <c r="AN21" i="2083" s="1"/>
  <c r="Z21" i="2083"/>
  <c r="Y21" i="2083"/>
  <c r="X21" i="2083"/>
  <c r="W21" i="2083"/>
  <c r="V21" i="2083"/>
  <c r="U21" i="2083"/>
  <c r="T21" i="2083"/>
  <c r="S21" i="2083"/>
  <c r="R21" i="2083"/>
  <c r="Q21" i="2083"/>
  <c r="P21" i="2083"/>
  <c r="O21" i="2083"/>
  <c r="M21" i="2083"/>
  <c r="L21" i="2083"/>
  <c r="K21" i="2083"/>
  <c r="J21" i="2083"/>
  <c r="I21" i="2083"/>
  <c r="H21" i="2083"/>
  <c r="G21" i="2083"/>
  <c r="F21" i="2083"/>
  <c r="E21" i="2083"/>
  <c r="D21" i="2083"/>
  <c r="C21" i="2083"/>
  <c r="N5" i="2083"/>
  <c r="AA5" i="2083"/>
  <c r="AN5" i="2083"/>
  <c r="BA5" i="2083"/>
  <c r="BN5" i="2083"/>
  <c r="CA5" i="2083"/>
  <c r="CN5" i="2083"/>
  <c r="DA5" i="2083"/>
  <c r="DN5" i="2083"/>
  <c r="EA5" i="2083"/>
  <c r="EN5" i="2083"/>
  <c r="FA5" i="2083"/>
  <c r="EN47" i="2083"/>
  <c r="EN46" i="2083"/>
  <c r="EN45" i="2083"/>
  <c r="EN44" i="2083"/>
  <c r="EM43" i="2083"/>
  <c r="EL43" i="2083"/>
  <c r="EK43" i="2083"/>
  <c r="EJ43" i="2083"/>
  <c r="EI43" i="2083"/>
  <c r="EH43" i="2083"/>
  <c r="EG43" i="2083"/>
  <c r="EF43" i="2083"/>
  <c r="EE43" i="2083"/>
  <c r="ED43" i="2083"/>
  <c r="EC43" i="2083"/>
  <c r="EB43" i="2083"/>
  <c r="EN35" i="2083"/>
  <c r="EN34" i="2083"/>
  <c r="EN33" i="2083"/>
  <c r="EN32" i="2083"/>
  <c r="EM31" i="2083"/>
  <c r="EL31" i="2083"/>
  <c r="EK31" i="2083"/>
  <c r="EJ31" i="2083"/>
  <c r="EI31" i="2083"/>
  <c r="EH31" i="2083"/>
  <c r="EG31" i="2083"/>
  <c r="EF31" i="2083"/>
  <c r="EE31" i="2083"/>
  <c r="ED31" i="2083"/>
  <c r="EC31" i="2083"/>
  <c r="EB31" i="2083"/>
  <c r="EN22" i="2083"/>
  <c r="EN14" i="2083"/>
  <c r="EM13" i="2083"/>
  <c r="EL13" i="2083"/>
  <c r="EK13" i="2083"/>
  <c r="EJ13" i="2083"/>
  <c r="EI13" i="2083"/>
  <c r="EH13" i="2083"/>
  <c r="EG13" i="2083"/>
  <c r="EF13" i="2083"/>
  <c r="EE13" i="2083"/>
  <c r="ED13" i="2083"/>
  <c r="EC13" i="2083"/>
  <c r="EB13" i="2083"/>
  <c r="EN11" i="2083"/>
  <c r="EN10" i="2083"/>
  <c r="EN9" i="2083"/>
  <c r="EN8" i="2083"/>
  <c r="EN7" i="2083"/>
  <c r="FF4" i="2074"/>
  <c r="FF4" i="2639"/>
  <c r="FF4" i="2082"/>
  <c r="FF4" i="2081"/>
  <c r="FC5" i="1720"/>
  <c r="FF4" i="1897"/>
  <c r="FF4" i="1896"/>
  <c r="FS4" i="1895"/>
  <c r="FS4" i="1894"/>
  <c r="FA5" i="2074"/>
  <c r="EN13" i="2074"/>
  <c r="EN12" i="2074"/>
  <c r="EM11" i="2074"/>
  <c r="EL11" i="2074"/>
  <c r="EK11" i="2074"/>
  <c r="EJ11" i="2074"/>
  <c r="EI11" i="2074"/>
  <c r="EH11" i="2074"/>
  <c r="EG11" i="2074"/>
  <c r="EF11" i="2074"/>
  <c r="EE11" i="2074"/>
  <c r="ED11" i="2074"/>
  <c r="EC11" i="2074"/>
  <c r="EB11" i="2074"/>
  <c r="EN9" i="2074"/>
  <c r="EN8" i="2074"/>
  <c r="EM7" i="2074"/>
  <c r="EL7" i="2074"/>
  <c r="EK7" i="2074"/>
  <c r="EJ7" i="2074"/>
  <c r="EI7" i="2074"/>
  <c r="EH7" i="2074"/>
  <c r="EG7" i="2074"/>
  <c r="EF7" i="2074"/>
  <c r="EE7" i="2074"/>
  <c r="ED7" i="2074"/>
  <c r="EC7" i="2074"/>
  <c r="EB7" i="2074"/>
  <c r="EN7" i="2074" s="1"/>
  <c r="EN5" i="2074"/>
  <c r="EO4" i="2626"/>
  <c r="FA5" i="2626"/>
  <c r="EM24" i="2626"/>
  <c r="EL24" i="2626"/>
  <c r="EK24" i="2626"/>
  <c r="EJ24" i="2626"/>
  <c r="EI24" i="2626"/>
  <c r="EH24" i="2626"/>
  <c r="EG24" i="2626"/>
  <c r="EF24" i="2626"/>
  <c r="EE24" i="2626"/>
  <c r="ED24" i="2626"/>
  <c r="EC24" i="2626"/>
  <c r="EB24" i="2626"/>
  <c r="EM23" i="2626"/>
  <c r="EL23" i="2626"/>
  <c r="EK23" i="2626"/>
  <c r="EJ23" i="2626"/>
  <c r="EI23" i="2626"/>
  <c r="EH23" i="2626"/>
  <c r="EG23" i="2626"/>
  <c r="EF23" i="2626"/>
  <c r="EE23" i="2626"/>
  <c r="ED23" i="2626"/>
  <c r="EC23" i="2626"/>
  <c r="EB23" i="2626"/>
  <c r="EN17" i="2626"/>
  <c r="EN15" i="2626"/>
  <c r="EN14" i="2626"/>
  <c r="EN13" i="2626"/>
  <c r="EN12" i="2626"/>
  <c r="EN11" i="2626"/>
  <c r="EN10" i="2626"/>
  <c r="EN9" i="2626"/>
  <c r="EN8" i="2626"/>
  <c r="EN7" i="2626"/>
  <c r="EN5" i="2626"/>
  <c r="EB4" i="2626"/>
  <c r="EP67" i="1720"/>
  <c r="EQ67" i="1720"/>
  <c r="EO67" i="1720"/>
  <c r="EL9" i="2638" l="1"/>
  <c r="EL7" i="2638" s="1"/>
  <c r="EL39" i="2638" s="1"/>
  <c r="EN10" i="2638"/>
  <c r="EE9" i="2638"/>
  <c r="EE7" i="2638" s="1"/>
  <c r="EF9" i="2638"/>
  <c r="EF7" i="2638" s="1"/>
  <c r="EJ9" i="2638"/>
  <c r="EJ7" i="2638" s="1"/>
  <c r="EN20" i="2638"/>
  <c r="EB9" i="2638"/>
  <c r="EB7" i="2638"/>
  <c r="EN24" i="2638"/>
  <c r="FD41" i="2083"/>
  <c r="FE41" i="2083" s="1"/>
  <c r="FF40" i="2083"/>
  <c r="FE28" i="2083"/>
  <c r="FF29" i="2083"/>
  <c r="FE29" i="2083"/>
  <c r="FE18" i="2083"/>
  <c r="FF19" i="2083"/>
  <c r="FE19" i="2083"/>
  <c r="DA21" i="2083"/>
  <c r="DN21" i="2083"/>
  <c r="CN21" i="2083"/>
  <c r="CA21" i="2083"/>
  <c r="AA21" i="2083"/>
  <c r="FF4" i="2083"/>
  <c r="FD5" i="2083"/>
  <c r="EN31" i="2083"/>
  <c r="EN43" i="2083"/>
  <c r="EN13" i="2083"/>
  <c r="FF4" i="1720"/>
  <c r="FD5" i="1720"/>
  <c r="EN11" i="2074"/>
  <c r="EO68" i="1720"/>
  <c r="EO70" i="1720" s="1"/>
  <c r="EP68" i="1720"/>
  <c r="EP70" i="1720" s="1"/>
  <c r="EQ68" i="1720"/>
  <c r="EQ70" i="1720" s="1"/>
  <c r="EN9" i="2638" l="1"/>
  <c r="EN7" i="2638"/>
  <c r="EN39" i="2638" s="1"/>
  <c r="FF41" i="2083"/>
  <c r="FE40" i="2083"/>
  <c r="FC40" i="2083"/>
  <c r="FE4" i="2083"/>
  <c r="FC4" i="2083"/>
  <c r="FF5" i="2083"/>
  <c r="FE5" i="2083"/>
  <c r="FF5" i="1720"/>
  <c r="FE5" i="1720"/>
  <c r="FE4" i="1720"/>
  <c r="FC4" i="1720"/>
  <c r="FA5" i="1720"/>
  <c r="EM68" i="1720"/>
  <c r="EM70" i="1720" s="1"/>
  <c r="EL68" i="1720"/>
  <c r="EL70" i="1720" s="1"/>
  <c r="EK68" i="1720"/>
  <c r="EK70" i="1720" s="1"/>
  <c r="EJ68" i="1720"/>
  <c r="EJ70" i="1720" s="1"/>
  <c r="EI68" i="1720"/>
  <c r="EI70" i="1720" s="1"/>
  <c r="EH68" i="1720"/>
  <c r="EH70" i="1720" s="1"/>
  <c r="EG68" i="1720"/>
  <c r="EG70" i="1720" s="1"/>
  <c r="EF68" i="1720"/>
  <c r="EF70" i="1720" s="1"/>
  <c r="EE68" i="1720"/>
  <c r="EE70" i="1720" s="1"/>
  <c r="ED68" i="1720"/>
  <c r="ED70" i="1720" s="1"/>
  <c r="EC68" i="1720"/>
  <c r="EC70" i="1720" s="1"/>
  <c r="EB68" i="1720"/>
  <c r="EB70" i="1720" s="1"/>
  <c r="EN67" i="1720"/>
  <c r="EN66" i="1720"/>
  <c r="EN63" i="1720"/>
  <c r="EN64" i="1720"/>
  <c r="EN62" i="1720"/>
  <c r="EN65" i="1720"/>
  <c r="EN61" i="1720"/>
  <c r="EN54" i="1720"/>
  <c r="EN52" i="1720"/>
  <c r="EN51" i="1720"/>
  <c r="EN50" i="1720"/>
  <c r="EN49" i="1720"/>
  <c r="EN48" i="1720"/>
  <c r="EN47" i="1720"/>
  <c r="EN46" i="1720"/>
  <c r="EN45" i="1720"/>
  <c r="EN44" i="1720"/>
  <c r="EN43" i="1720"/>
  <c r="EN42" i="1720"/>
  <c r="EN41" i="1720"/>
  <c r="EN40" i="1720"/>
  <c r="EN39" i="1720"/>
  <c r="EN38" i="1720"/>
  <c r="EN37" i="1720"/>
  <c r="EN36" i="1720"/>
  <c r="EN35" i="1720"/>
  <c r="EN34" i="1720"/>
  <c r="EN33" i="1720"/>
  <c r="EN32" i="1720"/>
  <c r="EN31" i="1720"/>
  <c r="EN30" i="1720"/>
  <c r="EN29" i="1720"/>
  <c r="EN28" i="1720"/>
  <c r="EN27" i="1720"/>
  <c r="EN26" i="1720"/>
  <c r="EN25" i="1720"/>
  <c r="EN24" i="1720"/>
  <c r="EN23" i="1720"/>
  <c r="EN22" i="1720"/>
  <c r="EN21" i="1720"/>
  <c r="EN20" i="1720"/>
  <c r="EN19" i="1720"/>
  <c r="EN18" i="1720"/>
  <c r="EN17" i="1720"/>
  <c r="EN16" i="1720"/>
  <c r="EN15" i="1720"/>
  <c r="EN14" i="1720"/>
  <c r="EN13" i="1720"/>
  <c r="EN12" i="1720"/>
  <c r="EM11" i="1720"/>
  <c r="EL11" i="1720"/>
  <c r="EK11" i="1720"/>
  <c r="EJ11" i="1720"/>
  <c r="EI11" i="1720"/>
  <c r="EH11" i="1720"/>
  <c r="EG11" i="1720"/>
  <c r="EF11" i="1720"/>
  <c r="EE11" i="1720"/>
  <c r="ED11" i="1720"/>
  <c r="EC11" i="1720"/>
  <c r="EB11" i="1720"/>
  <c r="EN9" i="1720"/>
  <c r="EN8" i="1720"/>
  <c r="EM7" i="1720"/>
  <c r="EL7" i="1720"/>
  <c r="EK7" i="1720"/>
  <c r="EJ7" i="1720"/>
  <c r="EI7" i="1720"/>
  <c r="EH7" i="1720"/>
  <c r="EG7" i="1720"/>
  <c r="EF7" i="1720"/>
  <c r="EE7" i="1720"/>
  <c r="ED7" i="1720"/>
  <c r="EC7" i="1720"/>
  <c r="EB7" i="1720"/>
  <c r="EN5" i="1720"/>
  <c r="EH71" i="1720" l="1"/>
  <c r="EF71" i="1720"/>
  <c r="EE71" i="1720"/>
  <c r="EK71" i="1720"/>
  <c r="EL71" i="1720"/>
  <c r="ED71" i="1720"/>
  <c r="EI71" i="1720"/>
  <c r="EJ71" i="1720"/>
  <c r="EM71" i="1720"/>
  <c r="EG71" i="1720"/>
  <c r="EN7" i="1720"/>
  <c r="EN68" i="1720"/>
  <c r="EC71" i="1720"/>
  <c r="EN11" i="1720"/>
  <c r="EB71" i="1720"/>
  <c r="FF14" i="2639" l="1"/>
  <c r="FE14" i="2639"/>
  <c r="FD14" i="2639"/>
  <c r="FC14" i="2639"/>
  <c r="FA14" i="2639"/>
  <c r="EN14" i="2639"/>
  <c r="EA14" i="2639"/>
  <c r="DN14" i="2639"/>
  <c r="DA14" i="2639"/>
  <c r="CN14" i="2639"/>
  <c r="CA14" i="2639"/>
  <c r="BN14" i="2639"/>
  <c r="BA14" i="2639"/>
  <c r="AN14" i="2639"/>
  <c r="AA14" i="2639"/>
  <c r="N14" i="2639"/>
  <c r="FF13" i="2639"/>
  <c r="FC13" i="2639"/>
  <c r="FA13" i="2639"/>
  <c r="EN13" i="2639"/>
  <c r="DZ13" i="2639"/>
  <c r="EA13" i="2639" s="1"/>
  <c r="DY13" i="2639"/>
  <c r="DX13" i="2639"/>
  <c r="DW13" i="2639"/>
  <c r="DV13" i="2639"/>
  <c r="DU13" i="2639"/>
  <c r="DT13" i="2639"/>
  <c r="DS13" i="2639"/>
  <c r="DR13" i="2639"/>
  <c r="DQ13" i="2639"/>
  <c r="DP13" i="2639"/>
  <c r="DO13" i="2639"/>
  <c r="FE13" i="2639" s="1"/>
  <c r="FD13" i="2639" s="1"/>
  <c r="DM13" i="2639"/>
  <c r="DL13" i="2639"/>
  <c r="DK13" i="2639"/>
  <c r="DJ13" i="2639"/>
  <c r="DI13" i="2639"/>
  <c r="DH13" i="2639"/>
  <c r="DG13" i="2639"/>
  <c r="DF13" i="2639"/>
  <c r="DE13" i="2639"/>
  <c r="DD13" i="2639"/>
  <c r="DC13" i="2639"/>
  <c r="DB13" i="2639"/>
  <c r="DN13" i="2639" s="1"/>
  <c r="CZ13" i="2639"/>
  <c r="CY13" i="2639"/>
  <c r="CX13" i="2639"/>
  <c r="CW13" i="2639"/>
  <c r="CV13" i="2639"/>
  <c r="CU13" i="2639"/>
  <c r="CT13" i="2639"/>
  <c r="CS13" i="2639"/>
  <c r="CR13" i="2639"/>
  <c r="CQ13" i="2639"/>
  <c r="CP13" i="2639"/>
  <c r="CO13" i="2639"/>
  <c r="DA13" i="2639" s="1"/>
  <c r="CM13" i="2639"/>
  <c r="CL13" i="2639"/>
  <c r="CK13" i="2639"/>
  <c r="CJ13" i="2639"/>
  <c r="CI13" i="2639"/>
  <c r="CH13" i="2639"/>
  <c r="CG13" i="2639"/>
  <c r="CF13" i="2639"/>
  <c r="CE13" i="2639"/>
  <c r="CD13" i="2639"/>
  <c r="CC13" i="2639"/>
  <c r="CB13" i="2639"/>
  <c r="CN13" i="2639" s="1"/>
  <c r="BZ13" i="2639"/>
  <c r="BY13" i="2639"/>
  <c r="BX13" i="2639"/>
  <c r="BW13" i="2639"/>
  <c r="BV13" i="2639"/>
  <c r="BU13" i="2639"/>
  <c r="BT13" i="2639"/>
  <c r="BS13" i="2639"/>
  <c r="BR13" i="2639"/>
  <c r="BQ13" i="2639"/>
  <c r="BP13" i="2639"/>
  <c r="BO13" i="2639"/>
  <c r="CA13" i="2639" s="1"/>
  <c r="BM13" i="2639"/>
  <c r="BL13" i="2639"/>
  <c r="BK13" i="2639"/>
  <c r="BJ13" i="2639"/>
  <c r="BI13" i="2639"/>
  <c r="BH13" i="2639"/>
  <c r="BG13" i="2639"/>
  <c r="BF13" i="2639"/>
  <c r="BE13" i="2639"/>
  <c r="BD13" i="2639"/>
  <c r="BC13" i="2639"/>
  <c r="BB13" i="2639"/>
  <c r="BN13" i="2639" s="1"/>
  <c r="AZ13" i="2639"/>
  <c r="AY13" i="2639"/>
  <c r="AX13" i="2639"/>
  <c r="AW13" i="2639"/>
  <c r="AV13" i="2639"/>
  <c r="AU13" i="2639"/>
  <c r="AT13" i="2639"/>
  <c r="AS13" i="2639"/>
  <c r="AR13" i="2639"/>
  <c r="AQ13" i="2639"/>
  <c r="AP13" i="2639"/>
  <c r="AO13" i="2639"/>
  <c r="BA13" i="2639" s="1"/>
  <c r="AM13" i="2639"/>
  <c r="AL13" i="2639"/>
  <c r="AK13" i="2639"/>
  <c r="AJ13" i="2639"/>
  <c r="AI13" i="2639"/>
  <c r="AH13" i="2639"/>
  <c r="AG13" i="2639"/>
  <c r="AF13" i="2639"/>
  <c r="AE13" i="2639"/>
  <c r="AD13" i="2639"/>
  <c r="AC13" i="2639"/>
  <c r="AB13" i="2639"/>
  <c r="AN13" i="2639" s="1"/>
  <c r="Z13" i="2639"/>
  <c r="Y13" i="2639"/>
  <c r="X13" i="2639"/>
  <c r="W13" i="2639"/>
  <c r="V13" i="2639"/>
  <c r="AA13" i="2639" s="1"/>
  <c r="U13" i="2639"/>
  <c r="T13" i="2639"/>
  <c r="S13" i="2639"/>
  <c r="R13" i="2639"/>
  <c r="Q13" i="2639"/>
  <c r="P13" i="2639"/>
  <c r="O13" i="2639"/>
  <c r="M13" i="2639"/>
  <c r="L13" i="2639"/>
  <c r="K13" i="2639"/>
  <c r="J13" i="2639"/>
  <c r="N13" i="2639" s="1"/>
  <c r="I13" i="2639"/>
  <c r="H13" i="2639"/>
  <c r="G13" i="2639"/>
  <c r="F13" i="2639"/>
  <c r="E13" i="2639"/>
  <c r="D13" i="2639"/>
  <c r="C13" i="2639"/>
  <c r="B13" i="2639"/>
  <c r="FD12" i="2639"/>
  <c r="FC12" i="2639"/>
  <c r="FF11" i="2639"/>
  <c r="FD11" i="2639" s="1"/>
  <c r="FE11" i="2639"/>
  <c r="FC11" i="2639"/>
  <c r="FA11" i="2639"/>
  <c r="EN11" i="2639"/>
  <c r="EA11" i="2639"/>
  <c r="DN11" i="2639"/>
  <c r="DA11" i="2639"/>
  <c r="CN11" i="2639"/>
  <c r="CA11" i="2639"/>
  <c r="BN11" i="2639"/>
  <c r="BA11" i="2639"/>
  <c r="AN11" i="2639"/>
  <c r="AA11" i="2639"/>
  <c r="N11" i="2639"/>
  <c r="FF10" i="2639"/>
  <c r="FA10" i="2639"/>
  <c r="EN10" i="2639"/>
  <c r="DZ10" i="2639"/>
  <c r="DY10" i="2639"/>
  <c r="FC10" i="2639" s="1"/>
  <c r="DX10" i="2639"/>
  <c r="EA10" i="2639" s="1"/>
  <c r="DW10" i="2639"/>
  <c r="DV10" i="2639"/>
  <c r="DU10" i="2639"/>
  <c r="DT10" i="2639"/>
  <c r="DS10" i="2639"/>
  <c r="DR10" i="2639"/>
  <c r="DQ10" i="2639"/>
  <c r="DP10" i="2639"/>
  <c r="DO10" i="2639"/>
  <c r="FE10" i="2639" s="1"/>
  <c r="FD10" i="2639" s="1"/>
  <c r="DM10" i="2639"/>
  <c r="DL10" i="2639"/>
  <c r="DK10" i="2639"/>
  <c r="DJ10" i="2639"/>
  <c r="DI10" i="2639"/>
  <c r="DH10" i="2639"/>
  <c r="DG10" i="2639"/>
  <c r="DF10" i="2639"/>
  <c r="DE10" i="2639"/>
  <c r="DD10" i="2639"/>
  <c r="DC10" i="2639"/>
  <c r="DB10" i="2639"/>
  <c r="DN10" i="2639" s="1"/>
  <c r="CZ10" i="2639"/>
  <c r="CY10" i="2639"/>
  <c r="CX10" i="2639"/>
  <c r="CW10" i="2639"/>
  <c r="CV10" i="2639"/>
  <c r="CU10" i="2639"/>
  <c r="CT10" i="2639"/>
  <c r="CS10" i="2639"/>
  <c r="CR10" i="2639"/>
  <c r="CQ10" i="2639"/>
  <c r="CP10" i="2639"/>
  <c r="CO10" i="2639"/>
  <c r="DA10" i="2639" s="1"/>
  <c r="CN10" i="2639"/>
  <c r="CM10" i="2639"/>
  <c r="CL10" i="2639"/>
  <c r="CK10" i="2639"/>
  <c r="CJ10" i="2639"/>
  <c r="CI10" i="2639"/>
  <c r="CH10" i="2639"/>
  <c r="CG10" i="2639"/>
  <c r="CF10" i="2639"/>
  <c r="CE10" i="2639"/>
  <c r="CD10" i="2639"/>
  <c r="CC10" i="2639"/>
  <c r="CB10" i="2639"/>
  <c r="BZ10" i="2639"/>
  <c r="BY10" i="2639"/>
  <c r="BX10" i="2639"/>
  <c r="BW10" i="2639"/>
  <c r="BV10" i="2639"/>
  <c r="BU10" i="2639"/>
  <c r="BT10" i="2639"/>
  <c r="BS10" i="2639"/>
  <c r="BR10" i="2639"/>
  <c r="BQ10" i="2639"/>
  <c r="BP10" i="2639"/>
  <c r="BO10" i="2639"/>
  <c r="CA10" i="2639" s="1"/>
  <c r="BM10" i="2639"/>
  <c r="BL10" i="2639"/>
  <c r="BK10" i="2639"/>
  <c r="BJ10" i="2639"/>
  <c r="BI10" i="2639"/>
  <c r="BH10" i="2639"/>
  <c r="BG10" i="2639"/>
  <c r="BF10" i="2639"/>
  <c r="BE10" i="2639"/>
  <c r="BD10" i="2639"/>
  <c r="BC10" i="2639"/>
  <c r="BB10" i="2639"/>
  <c r="BN10" i="2639" s="1"/>
  <c r="AZ10" i="2639"/>
  <c r="AY10" i="2639"/>
  <c r="AX10" i="2639"/>
  <c r="AW10" i="2639"/>
  <c r="AV10" i="2639"/>
  <c r="AU10" i="2639"/>
  <c r="AT10" i="2639"/>
  <c r="AS10" i="2639"/>
  <c r="AR10" i="2639"/>
  <c r="AQ10" i="2639"/>
  <c r="AP10" i="2639"/>
  <c r="AO10" i="2639"/>
  <c r="BA10" i="2639" s="1"/>
  <c r="AM10" i="2639"/>
  <c r="AL10" i="2639"/>
  <c r="AK10" i="2639"/>
  <c r="AJ10" i="2639"/>
  <c r="AI10" i="2639"/>
  <c r="AH10" i="2639"/>
  <c r="AG10" i="2639"/>
  <c r="AF10" i="2639"/>
  <c r="AE10" i="2639"/>
  <c r="AD10" i="2639"/>
  <c r="AC10" i="2639"/>
  <c r="AB10" i="2639"/>
  <c r="AN10" i="2639" s="1"/>
  <c r="Z10" i="2639"/>
  <c r="Y10" i="2639"/>
  <c r="X10" i="2639"/>
  <c r="W10" i="2639"/>
  <c r="V10" i="2639"/>
  <c r="U10" i="2639"/>
  <c r="T10" i="2639"/>
  <c r="AA10" i="2639" s="1"/>
  <c r="S10" i="2639"/>
  <c r="R10" i="2639"/>
  <c r="Q10" i="2639"/>
  <c r="P10" i="2639"/>
  <c r="O10" i="2639"/>
  <c r="M10" i="2639"/>
  <c r="L10" i="2639"/>
  <c r="K10" i="2639"/>
  <c r="J10" i="2639"/>
  <c r="I10" i="2639"/>
  <c r="H10" i="2639"/>
  <c r="G10" i="2639"/>
  <c r="F10" i="2639"/>
  <c r="E10" i="2639"/>
  <c r="D10" i="2639"/>
  <c r="C10" i="2639"/>
  <c r="B10" i="2639"/>
  <c r="N10" i="2639" s="1"/>
  <c r="FD9" i="2639"/>
  <c r="FC9" i="2639"/>
  <c r="FF8" i="2639"/>
  <c r="FE8" i="2639"/>
  <c r="FD8" i="2639"/>
  <c r="FC8" i="2639"/>
  <c r="FA8" i="2639"/>
  <c r="EN8" i="2639"/>
  <c r="EA8" i="2639"/>
  <c r="DN8" i="2639"/>
  <c r="DA8" i="2639"/>
  <c r="CN8" i="2639"/>
  <c r="CA8" i="2639"/>
  <c r="BN8" i="2639"/>
  <c r="BA8" i="2639"/>
  <c r="AN8" i="2639"/>
  <c r="AA8" i="2639"/>
  <c r="N8" i="2639"/>
  <c r="FF7" i="2639"/>
  <c r="FA7" i="2639"/>
  <c r="EN7" i="2639"/>
  <c r="DZ7" i="2639"/>
  <c r="DY7" i="2639"/>
  <c r="FC7" i="2639" s="1"/>
  <c r="DX7" i="2639"/>
  <c r="DW7" i="2639"/>
  <c r="DV7" i="2639"/>
  <c r="DU7" i="2639"/>
  <c r="DT7" i="2639"/>
  <c r="DS7" i="2639"/>
  <c r="DR7" i="2639"/>
  <c r="DQ7" i="2639"/>
  <c r="DP7" i="2639"/>
  <c r="DO7" i="2639"/>
  <c r="EA7" i="2639" s="1"/>
  <c r="DM7" i="2639"/>
  <c r="DL7" i="2639"/>
  <c r="DK7" i="2639"/>
  <c r="DJ7" i="2639"/>
  <c r="DI7" i="2639"/>
  <c r="DH7" i="2639"/>
  <c r="DG7" i="2639"/>
  <c r="DF7" i="2639"/>
  <c r="DE7" i="2639"/>
  <c r="DD7" i="2639"/>
  <c r="DC7" i="2639"/>
  <c r="DB7" i="2639"/>
  <c r="DN7" i="2639" s="1"/>
  <c r="CZ7" i="2639"/>
  <c r="CY7" i="2639"/>
  <c r="CX7" i="2639"/>
  <c r="CW7" i="2639"/>
  <c r="CV7" i="2639"/>
  <c r="CU7" i="2639"/>
  <c r="CT7" i="2639"/>
  <c r="CS7" i="2639"/>
  <c r="CR7" i="2639"/>
  <c r="CQ7" i="2639"/>
  <c r="CP7" i="2639"/>
  <c r="CO7" i="2639"/>
  <c r="DA7" i="2639" s="1"/>
  <c r="CM7" i="2639"/>
  <c r="CL7" i="2639"/>
  <c r="CK7" i="2639"/>
  <c r="CJ7" i="2639"/>
  <c r="CI7" i="2639"/>
  <c r="CH7" i="2639"/>
  <c r="CG7" i="2639"/>
  <c r="CF7" i="2639"/>
  <c r="CE7" i="2639"/>
  <c r="CD7" i="2639"/>
  <c r="CC7" i="2639"/>
  <c r="CB7" i="2639"/>
  <c r="CN7" i="2639" s="1"/>
  <c r="BZ7" i="2639"/>
  <c r="CA7" i="2639" s="1"/>
  <c r="BY7" i="2639"/>
  <c r="BX7" i="2639"/>
  <c r="BW7" i="2639"/>
  <c r="BV7" i="2639"/>
  <c r="BU7" i="2639"/>
  <c r="BT7" i="2639"/>
  <c r="BS7" i="2639"/>
  <c r="BR7" i="2639"/>
  <c r="BQ7" i="2639"/>
  <c r="BP7" i="2639"/>
  <c r="BO7" i="2639"/>
  <c r="BN7" i="2639"/>
  <c r="BM7" i="2639"/>
  <c r="BL7" i="2639"/>
  <c r="BK7" i="2639"/>
  <c r="BJ7" i="2639"/>
  <c r="BI7" i="2639"/>
  <c r="BH7" i="2639"/>
  <c r="BG7" i="2639"/>
  <c r="BF7" i="2639"/>
  <c r="BE7" i="2639"/>
  <c r="BD7" i="2639"/>
  <c r="BC7" i="2639"/>
  <c r="BB7" i="2639"/>
  <c r="AZ7" i="2639"/>
  <c r="AY7" i="2639"/>
  <c r="AX7" i="2639"/>
  <c r="AW7" i="2639"/>
  <c r="AV7" i="2639"/>
  <c r="AU7" i="2639"/>
  <c r="AT7" i="2639"/>
  <c r="AS7" i="2639"/>
  <c r="AR7" i="2639"/>
  <c r="AQ7" i="2639"/>
  <c r="AP7" i="2639"/>
  <c r="AO7" i="2639"/>
  <c r="BA7" i="2639" s="1"/>
  <c r="AM7" i="2639"/>
  <c r="AL7" i="2639"/>
  <c r="AK7" i="2639"/>
  <c r="AJ7" i="2639"/>
  <c r="AI7" i="2639"/>
  <c r="AH7" i="2639"/>
  <c r="AG7" i="2639"/>
  <c r="AF7" i="2639"/>
  <c r="AE7" i="2639"/>
  <c r="AD7" i="2639"/>
  <c r="AC7" i="2639"/>
  <c r="AB7" i="2639"/>
  <c r="AN7" i="2639" s="1"/>
  <c r="Z7" i="2639"/>
  <c r="Y7" i="2639"/>
  <c r="X7" i="2639"/>
  <c r="W7" i="2639"/>
  <c r="V7" i="2639"/>
  <c r="U7" i="2639"/>
  <c r="T7" i="2639"/>
  <c r="S7" i="2639"/>
  <c r="R7" i="2639"/>
  <c r="Q7" i="2639"/>
  <c r="P7" i="2639"/>
  <c r="O7" i="2639"/>
  <c r="AA7" i="2639" s="1"/>
  <c r="M7" i="2639"/>
  <c r="L7" i="2639"/>
  <c r="K7" i="2639"/>
  <c r="J7" i="2639"/>
  <c r="I7" i="2639"/>
  <c r="H7" i="2639"/>
  <c r="G7" i="2639"/>
  <c r="F7" i="2639"/>
  <c r="E7" i="2639"/>
  <c r="D7" i="2639"/>
  <c r="C7" i="2639"/>
  <c r="B7" i="2639"/>
  <c r="N7" i="2639" s="1"/>
  <c r="FC5" i="2639"/>
  <c r="FD5" i="2639" s="1"/>
  <c r="FA5" i="2639"/>
  <c r="EN5" i="2639"/>
  <c r="EA5" i="2639"/>
  <c r="DN5" i="2639"/>
  <c r="DA5" i="2639"/>
  <c r="CN5" i="2639"/>
  <c r="CA5" i="2639"/>
  <c r="BN5" i="2639"/>
  <c r="BA5" i="2639"/>
  <c r="AN5" i="2639"/>
  <c r="AA5" i="2639"/>
  <c r="N5" i="2639"/>
  <c r="FE4" i="2639"/>
  <c r="FC4" i="2639" s="1"/>
  <c r="FE5" i="2639" l="1"/>
  <c r="FF5" i="2639"/>
  <c r="FE7" i="2639"/>
  <c r="FD7" i="2639" s="1"/>
  <c r="N17" i="2626" l="1"/>
  <c r="N15" i="2626"/>
  <c r="N14" i="2626"/>
  <c r="N13" i="2626"/>
  <c r="N12" i="2626"/>
  <c r="N11" i="2626"/>
  <c r="N10" i="2626"/>
  <c r="N9" i="2626"/>
  <c r="N8" i="2626"/>
  <c r="N7" i="2626"/>
  <c r="N5" i="2626"/>
  <c r="AA17" i="2626"/>
  <c r="AA15" i="2626"/>
  <c r="AA14" i="2626"/>
  <c r="AA13" i="2626"/>
  <c r="AA12" i="2626"/>
  <c r="AA11" i="2626"/>
  <c r="AA10" i="2626"/>
  <c r="AA9" i="2626"/>
  <c r="AA8" i="2626"/>
  <c r="AA7" i="2626"/>
  <c r="AA5" i="2626"/>
  <c r="AN17" i="2626"/>
  <c r="AN15" i="2626"/>
  <c r="AN14" i="2626"/>
  <c r="AN13" i="2626"/>
  <c r="AN12" i="2626"/>
  <c r="AN11" i="2626"/>
  <c r="AN10" i="2626"/>
  <c r="AN9" i="2626"/>
  <c r="AN8" i="2626"/>
  <c r="AN7" i="2626"/>
  <c r="AN5" i="2626"/>
  <c r="BA17" i="2626"/>
  <c r="BA15" i="2626"/>
  <c r="BA14" i="2626"/>
  <c r="BA13" i="2626"/>
  <c r="BA12" i="2626"/>
  <c r="BA11" i="2626"/>
  <c r="BA10" i="2626"/>
  <c r="BA9" i="2626"/>
  <c r="BA8" i="2626"/>
  <c r="BA7" i="2626"/>
  <c r="BA5" i="2626"/>
  <c r="BN17" i="2626"/>
  <c r="BN15" i="2626"/>
  <c r="BN14" i="2626"/>
  <c r="BN13" i="2626"/>
  <c r="BN12" i="2626"/>
  <c r="BN11" i="2626"/>
  <c r="BN10" i="2626"/>
  <c r="BN9" i="2626"/>
  <c r="BN8" i="2626"/>
  <c r="BN7" i="2626"/>
  <c r="BN5" i="2626"/>
  <c r="CA17" i="2626"/>
  <c r="CA15" i="2626"/>
  <c r="CA14" i="2626"/>
  <c r="CA13" i="2626"/>
  <c r="CA12" i="2626"/>
  <c r="CA11" i="2626"/>
  <c r="CA10" i="2626"/>
  <c r="CA9" i="2626"/>
  <c r="CA8" i="2626"/>
  <c r="CA7" i="2626"/>
  <c r="CA5" i="2626"/>
  <c r="CN17" i="2626"/>
  <c r="CN15" i="2626"/>
  <c r="CN14" i="2626"/>
  <c r="CN13" i="2626"/>
  <c r="CN12" i="2626"/>
  <c r="CN11" i="2626"/>
  <c r="CN10" i="2626"/>
  <c r="CN9" i="2626"/>
  <c r="CN8" i="2626"/>
  <c r="CN7" i="2626"/>
  <c r="CN5" i="2626"/>
  <c r="DA17" i="2626"/>
  <c r="DA15" i="2626"/>
  <c r="DA14" i="2626"/>
  <c r="DA13" i="2626"/>
  <c r="DA12" i="2626"/>
  <c r="DA11" i="2626"/>
  <c r="DA10" i="2626"/>
  <c r="DA9" i="2626"/>
  <c r="DA8" i="2626"/>
  <c r="DA7" i="2626"/>
  <c r="DA5" i="2626"/>
  <c r="DN17" i="2626"/>
  <c r="DN15" i="2626"/>
  <c r="EN31" i="2626" s="1"/>
  <c r="DN14" i="2626"/>
  <c r="EN30" i="2626" s="1"/>
  <c r="DN13" i="2626"/>
  <c r="EN29" i="2626" s="1"/>
  <c r="DN12" i="2626"/>
  <c r="EN28" i="2626" s="1"/>
  <c r="DN11" i="2626"/>
  <c r="EN27" i="2626" s="1"/>
  <c r="DN10" i="2626"/>
  <c r="EN26" i="2626" s="1"/>
  <c r="DN9" i="2626"/>
  <c r="EN25" i="2626" s="1"/>
  <c r="DN8" i="2626"/>
  <c r="EN24" i="2626" s="1"/>
  <c r="DN7" i="2626"/>
  <c r="EN23" i="2626" s="1"/>
  <c r="DN5" i="2626"/>
  <c r="EA17" i="2626"/>
  <c r="EA15" i="2626"/>
  <c r="EA14" i="2626"/>
  <c r="EA13" i="2626"/>
  <c r="EA12" i="2626"/>
  <c r="EA11" i="2626"/>
  <c r="EA10" i="2626"/>
  <c r="EA9" i="2626"/>
  <c r="EA8" i="2626"/>
  <c r="EA7" i="2626"/>
  <c r="EA5" i="2626"/>
  <c r="FA33" i="2626"/>
  <c r="FA15" i="2626"/>
  <c r="FA31" i="2626" s="1"/>
  <c r="FA14" i="2626"/>
  <c r="FA30" i="2626" s="1"/>
  <c r="FA13" i="2626"/>
  <c r="FA29" i="2626" s="1"/>
  <c r="FA12" i="2626"/>
  <c r="FA28" i="2626" s="1"/>
  <c r="FA11" i="2626"/>
  <c r="FA27" i="2626" s="1"/>
  <c r="FA10" i="2626"/>
  <c r="FA26" i="2626" s="1"/>
  <c r="FA8" i="2626"/>
  <c r="FF15" i="2626" l="1" a="1"/>
  <c r="FF15" i="2626" s="1"/>
  <c r="FE17" i="2626" a="1"/>
  <c r="FE17" i="2626" s="1"/>
  <c r="FF17" i="2626" a="1"/>
  <c r="FF17" i="2626" s="1"/>
  <c r="FC13" i="2626" a="1"/>
  <c r="FC13" i="2626" s="1"/>
  <c r="FC14" i="2626" a="1"/>
  <c r="FC14" i="2626" s="1"/>
  <c r="FE10" i="2626" a="1"/>
  <c r="FE10" i="2626" s="1"/>
  <c r="FF10" i="2626" a="1"/>
  <c r="FF10" i="2626" s="1"/>
  <c r="FF11" i="2626" a="1"/>
  <c r="FF11" i="2626" s="1"/>
  <c r="FC15" i="2626" a="1"/>
  <c r="FC15" i="2626" s="1"/>
  <c r="FE11" i="2626" a="1"/>
  <c r="FE11" i="2626" s="1"/>
  <c r="FE12" i="2626" a="1"/>
  <c r="FE12" i="2626" s="1"/>
  <c r="FF12" i="2626" a="1"/>
  <c r="FF12" i="2626" s="1"/>
  <c r="FE13" i="2626" a="1"/>
  <c r="FE13" i="2626" s="1"/>
  <c r="FF7" i="2626" a="1"/>
  <c r="FF7" i="2626" s="1"/>
  <c r="FE8" i="2626" a="1"/>
  <c r="FE8" i="2626" s="1"/>
  <c r="FF14" i="2626" a="1"/>
  <c r="FF14" i="2626" s="1"/>
  <c r="FF13" i="2626" a="1"/>
  <c r="FF13" i="2626" s="1"/>
  <c r="FC7" i="2626" a="1"/>
  <c r="FC7" i="2626" s="1"/>
  <c r="FC8" i="2626" a="1"/>
  <c r="FC8" i="2626" s="1"/>
  <c r="FF8" i="2626" a="1"/>
  <c r="FF8" i="2626" s="1"/>
  <c r="FC9" i="2626" a="1"/>
  <c r="FC9" i="2626" s="1"/>
  <c r="FE9" i="2626" a="1"/>
  <c r="FE9" i="2626" s="1"/>
  <c r="FE15" i="2626" a="1"/>
  <c r="FE15" i="2626" s="1"/>
  <c r="FC12" i="2626" a="1"/>
  <c r="FC12" i="2626" s="1"/>
  <c r="FC17" i="2626" a="1"/>
  <c r="FC17" i="2626" s="1"/>
  <c r="FE7" i="2626" a="1"/>
  <c r="FE7" i="2626" s="1"/>
  <c r="FD7" i="2626" s="1"/>
  <c r="FE14" i="2626" a="1"/>
  <c r="FE14" i="2626" s="1"/>
  <c r="FC10" i="2626" a="1"/>
  <c r="FC10" i="2626" s="1"/>
  <c r="FF9" i="2626" a="1"/>
  <c r="FF9" i="2626" s="1"/>
  <c r="FD5" i="2626"/>
  <c r="FE5" i="2626" s="1"/>
  <c r="FF4" i="2626"/>
  <c r="FD10" i="2626" l="1"/>
  <c r="FD17" i="2626"/>
  <c r="FD9" i="2626"/>
  <c r="FD8" i="2626"/>
  <c r="FD11" i="2626"/>
  <c r="FD14" i="2626"/>
  <c r="FD12" i="2626"/>
  <c r="FD15" i="2626"/>
  <c r="FE4" i="2626"/>
  <c r="FC4" i="2626"/>
  <c r="FF5" i="2626"/>
  <c r="FD13" i="2626"/>
  <c r="FF4" i="2638" l="1"/>
  <c r="N40" i="2081"/>
  <c r="N39" i="2081"/>
  <c r="N38" i="2081"/>
  <c r="N37" i="2081"/>
  <c r="N36" i="2081"/>
  <c r="N35" i="2081"/>
  <c r="N34" i="2081"/>
  <c r="N33" i="2081"/>
  <c r="N32" i="2081"/>
  <c r="N31" i="2081"/>
  <c r="N30" i="2081"/>
  <c r="N29" i="2081"/>
  <c r="N28" i="2081"/>
  <c r="N27" i="2081"/>
  <c r="N26" i="2081"/>
  <c r="N25" i="2081"/>
  <c r="N24" i="2081"/>
  <c r="N23" i="2081"/>
  <c r="N22" i="2081"/>
  <c r="N21" i="2081"/>
  <c r="N20" i="2081"/>
  <c r="N19" i="2081"/>
  <c r="N18" i="2081"/>
  <c r="N17" i="2081"/>
  <c r="N16" i="2081"/>
  <c r="N15" i="2081"/>
  <c r="N14" i="2081"/>
  <c r="N13" i="2081"/>
  <c r="N12" i="2081"/>
  <c r="N11" i="2081"/>
  <c r="N9" i="2081"/>
  <c r="N5" i="2081"/>
  <c r="AA40" i="2081"/>
  <c r="AA39" i="2081"/>
  <c r="AA38" i="2081"/>
  <c r="AA37" i="2081"/>
  <c r="AA36" i="2081"/>
  <c r="AA35" i="2081"/>
  <c r="AA34" i="2081"/>
  <c r="AA33" i="2081"/>
  <c r="AA32" i="2081"/>
  <c r="AA31" i="2081"/>
  <c r="AA30" i="2081"/>
  <c r="AA29" i="2081"/>
  <c r="AA28" i="2081"/>
  <c r="AA27" i="2081"/>
  <c r="AA26" i="2081"/>
  <c r="AA25" i="2081"/>
  <c r="AA24" i="2081"/>
  <c r="AA23" i="2081"/>
  <c r="AA22" i="2081"/>
  <c r="AA21" i="2081"/>
  <c r="AA20" i="2081"/>
  <c r="AA19" i="2081"/>
  <c r="AA18" i="2081"/>
  <c r="AA17" i="2081"/>
  <c r="AA16" i="2081"/>
  <c r="AA15" i="2081"/>
  <c r="AA14" i="2081"/>
  <c r="AA13" i="2081"/>
  <c r="AA12" i="2081"/>
  <c r="AA11" i="2081"/>
  <c r="AA9" i="2081"/>
  <c r="AA5" i="2081"/>
  <c r="AN40" i="2081"/>
  <c r="AN39" i="2081"/>
  <c r="AN38" i="2081"/>
  <c r="AN37" i="2081"/>
  <c r="AN36" i="2081"/>
  <c r="AN35" i="2081"/>
  <c r="AN34" i="2081"/>
  <c r="AN33" i="2081"/>
  <c r="AN32" i="2081"/>
  <c r="AN31" i="2081"/>
  <c r="AN30" i="2081"/>
  <c r="AN29" i="2081"/>
  <c r="AN28" i="2081"/>
  <c r="AN27" i="2081"/>
  <c r="AN26" i="2081"/>
  <c r="AN25" i="2081"/>
  <c r="AN24" i="2081"/>
  <c r="AN23" i="2081"/>
  <c r="AN22" i="2081"/>
  <c r="AN21" i="2081"/>
  <c r="AN20" i="2081"/>
  <c r="AN19" i="2081"/>
  <c r="AN18" i="2081"/>
  <c r="AN17" i="2081"/>
  <c r="AN16" i="2081"/>
  <c r="AN15" i="2081"/>
  <c r="AN14" i="2081"/>
  <c r="AN13" i="2081"/>
  <c r="AN12" i="2081"/>
  <c r="AN11" i="2081"/>
  <c r="AN10" i="2081"/>
  <c r="AN9" i="2081"/>
  <c r="AN5" i="2081"/>
  <c r="BA41" i="2081"/>
  <c r="BA40" i="2081"/>
  <c r="BA39" i="2081"/>
  <c r="BA38" i="2081"/>
  <c r="BA37" i="2081"/>
  <c r="BA36" i="2081"/>
  <c r="BA35" i="2081"/>
  <c r="BA34" i="2081"/>
  <c r="BA33" i="2081"/>
  <c r="BA32" i="2081"/>
  <c r="BA31" i="2081"/>
  <c r="BA30" i="2081"/>
  <c r="BA29" i="2081"/>
  <c r="BA28" i="2081"/>
  <c r="BA27" i="2081"/>
  <c r="BA26" i="2081"/>
  <c r="BA25" i="2081"/>
  <c r="BA24" i="2081"/>
  <c r="BA23" i="2081"/>
  <c r="BA22" i="2081"/>
  <c r="BA21" i="2081"/>
  <c r="BA20" i="2081"/>
  <c r="BA19" i="2081"/>
  <c r="BA18" i="2081"/>
  <c r="BA17" i="2081"/>
  <c r="BA16" i="2081"/>
  <c r="BA15" i="2081"/>
  <c r="BA14" i="2081"/>
  <c r="BA13" i="2081"/>
  <c r="BA12" i="2081"/>
  <c r="BA11" i="2081"/>
  <c r="BA10" i="2081"/>
  <c r="BA9" i="2081"/>
  <c r="BA5" i="2081"/>
  <c r="BN40" i="2081"/>
  <c r="BN39" i="2081"/>
  <c r="BN38" i="2081"/>
  <c r="BN37" i="2081"/>
  <c r="BN36" i="2081"/>
  <c r="BN35" i="2081"/>
  <c r="BN34" i="2081"/>
  <c r="BN33" i="2081"/>
  <c r="BN32" i="2081"/>
  <c r="BN31" i="2081"/>
  <c r="BN30" i="2081"/>
  <c r="BN29" i="2081"/>
  <c r="BN27" i="2081"/>
  <c r="BN26" i="2081"/>
  <c r="BN25" i="2081"/>
  <c r="BN24" i="2081"/>
  <c r="BN23" i="2081"/>
  <c r="BN22" i="2081"/>
  <c r="BN21" i="2081"/>
  <c r="BN20" i="2081"/>
  <c r="BN19" i="2081"/>
  <c r="BN18" i="2081"/>
  <c r="BN17" i="2081"/>
  <c r="BN16" i="2081"/>
  <c r="BN15" i="2081"/>
  <c r="BN14" i="2081"/>
  <c r="BN13" i="2081"/>
  <c r="BN12" i="2081"/>
  <c r="BN11" i="2081"/>
  <c r="BN10" i="2081"/>
  <c r="BN9" i="2081"/>
  <c r="BN5" i="2081"/>
  <c r="CA39" i="2081"/>
  <c r="CA38" i="2081"/>
  <c r="CA37" i="2081"/>
  <c r="CA34" i="2081"/>
  <c r="CA33" i="2081"/>
  <c r="CA32" i="2081"/>
  <c r="CA31" i="2081"/>
  <c r="CA27" i="2081"/>
  <c r="CA26" i="2081"/>
  <c r="CA25" i="2081"/>
  <c r="CA24" i="2081"/>
  <c r="CA23" i="2081"/>
  <c r="CA22" i="2081"/>
  <c r="CA21" i="2081"/>
  <c r="CA18" i="2081"/>
  <c r="CA16" i="2081"/>
  <c r="CA15" i="2081"/>
  <c r="CA14" i="2081"/>
  <c r="CA13" i="2081"/>
  <c r="CA12" i="2081"/>
  <c r="CA10" i="2081"/>
  <c r="CA5" i="2081"/>
  <c r="CN40" i="2081"/>
  <c r="CN39" i="2081"/>
  <c r="CN38" i="2081"/>
  <c r="CN37" i="2081"/>
  <c r="CN36" i="2081"/>
  <c r="CN35" i="2081"/>
  <c r="CN34" i="2081"/>
  <c r="CN33" i="2081"/>
  <c r="CN32" i="2081"/>
  <c r="CN31" i="2081"/>
  <c r="CN30" i="2081"/>
  <c r="CN29" i="2081"/>
  <c r="CN28" i="2081"/>
  <c r="CN27" i="2081"/>
  <c r="CN26" i="2081"/>
  <c r="CN25" i="2081"/>
  <c r="CN24" i="2081"/>
  <c r="CN23" i="2081"/>
  <c r="CN22" i="2081"/>
  <c r="CN21" i="2081"/>
  <c r="CN20" i="2081"/>
  <c r="CN19" i="2081"/>
  <c r="CN18" i="2081"/>
  <c r="CN17" i="2081"/>
  <c r="CN16" i="2081"/>
  <c r="CN15" i="2081"/>
  <c r="CN14" i="2081"/>
  <c r="CN13" i="2081"/>
  <c r="CN12" i="2081"/>
  <c r="CN11" i="2081"/>
  <c r="CN10" i="2081"/>
  <c r="CN9" i="2081"/>
  <c r="CN5" i="2081"/>
  <c r="DA40" i="2081"/>
  <c r="DA39" i="2081"/>
  <c r="DA38" i="2081"/>
  <c r="DA37" i="2081"/>
  <c r="DA36" i="2081"/>
  <c r="DA35" i="2081"/>
  <c r="DA34" i="2081"/>
  <c r="DA33" i="2081"/>
  <c r="DA32" i="2081"/>
  <c r="DA31" i="2081"/>
  <c r="DA30" i="2081"/>
  <c r="DA29" i="2081"/>
  <c r="DA28" i="2081"/>
  <c r="DA27" i="2081"/>
  <c r="DA26" i="2081"/>
  <c r="DA25" i="2081"/>
  <c r="DA24" i="2081"/>
  <c r="DA23" i="2081"/>
  <c r="DA22" i="2081"/>
  <c r="DA21" i="2081"/>
  <c r="DA20" i="2081"/>
  <c r="DA19" i="2081"/>
  <c r="DA18" i="2081"/>
  <c r="DA17" i="2081"/>
  <c r="DA16" i="2081"/>
  <c r="DA15" i="2081"/>
  <c r="DA14" i="2081"/>
  <c r="DA13" i="2081"/>
  <c r="DA12" i="2081"/>
  <c r="DA11" i="2081"/>
  <c r="DA10" i="2081"/>
  <c r="DA9" i="2081"/>
  <c r="DA5" i="2081"/>
  <c r="DN39" i="2081"/>
  <c r="DN38" i="2081"/>
  <c r="DN37" i="2081"/>
  <c r="DN36" i="2081"/>
  <c r="DN35" i="2081"/>
  <c r="DN34" i="2081"/>
  <c r="DN33" i="2081"/>
  <c r="DN32" i="2081"/>
  <c r="DN31" i="2081"/>
  <c r="DN27" i="2081"/>
  <c r="DN26" i="2081"/>
  <c r="DN25" i="2081"/>
  <c r="DN24" i="2081"/>
  <c r="DN22" i="2081"/>
  <c r="DN21" i="2081"/>
  <c r="DN20" i="2081"/>
  <c r="DN18" i="2081"/>
  <c r="DN15" i="2081"/>
  <c r="DN14" i="2081"/>
  <c r="DN13" i="2081"/>
  <c r="DN12" i="2081"/>
  <c r="DN10" i="2081"/>
  <c r="DN9" i="2081"/>
  <c r="DN5" i="2081"/>
  <c r="EA39" i="2081"/>
  <c r="EA37" i="2081"/>
  <c r="EA36" i="2081"/>
  <c r="EA35" i="2081"/>
  <c r="EA34" i="2081"/>
  <c r="EA33" i="2081"/>
  <c r="EA32" i="2081"/>
  <c r="EA31" i="2081"/>
  <c r="EA27" i="2081"/>
  <c r="EA26" i="2081"/>
  <c r="EA25" i="2081"/>
  <c r="EA24" i="2081"/>
  <c r="EA22" i="2081"/>
  <c r="EA19" i="2081"/>
  <c r="EA18" i="2081"/>
  <c r="EA16" i="2081"/>
  <c r="EA15" i="2081"/>
  <c r="EA14" i="2081"/>
  <c r="EA13" i="2081"/>
  <c r="EA12" i="2081"/>
  <c r="EA5" i="2081"/>
  <c r="EN41" i="2081"/>
  <c r="EN40" i="2081"/>
  <c r="EN39" i="2081"/>
  <c r="EN38" i="2081"/>
  <c r="EN37" i="2081"/>
  <c r="EN36" i="2081"/>
  <c r="EN35" i="2081"/>
  <c r="EN34" i="2081"/>
  <c r="EN33" i="2081"/>
  <c r="EN32" i="2081"/>
  <c r="EN31" i="2081"/>
  <c r="EN30" i="2081"/>
  <c r="EN29" i="2081"/>
  <c r="EN28" i="2081"/>
  <c r="EN27" i="2081"/>
  <c r="EN26" i="2081"/>
  <c r="EN25" i="2081"/>
  <c r="EN24" i="2081"/>
  <c r="EN23" i="2081"/>
  <c r="EN22" i="2081"/>
  <c r="EN21" i="2081"/>
  <c r="EN20" i="2081"/>
  <c r="EN19" i="2081"/>
  <c r="EN18" i="2081"/>
  <c r="EN17" i="2081"/>
  <c r="EN16" i="2081"/>
  <c r="EN15" i="2081"/>
  <c r="EN14" i="2081"/>
  <c r="EN13" i="2081"/>
  <c r="EN12" i="2081"/>
  <c r="EN11" i="2081"/>
  <c r="EN10" i="2081"/>
  <c r="EN9" i="2081"/>
  <c r="EN5" i="2081"/>
  <c r="FA41" i="2081"/>
  <c r="FA40" i="2081"/>
  <c r="FA39" i="2081"/>
  <c r="FA38" i="2081"/>
  <c r="FA37" i="2081"/>
  <c r="FA36" i="2081"/>
  <c r="FA35" i="2081"/>
  <c r="FA34" i="2081"/>
  <c r="FA33" i="2081"/>
  <c r="FA32" i="2081"/>
  <c r="FA31" i="2081"/>
  <c r="FA30" i="2081"/>
  <c r="FA29" i="2081"/>
  <c r="FA28" i="2081"/>
  <c r="FA27" i="2081"/>
  <c r="FA26" i="2081"/>
  <c r="FA25" i="2081"/>
  <c r="FA24" i="2081"/>
  <c r="FA23" i="2081"/>
  <c r="FA22" i="2081"/>
  <c r="FA21" i="2081"/>
  <c r="FA20" i="2081"/>
  <c r="FA19" i="2081"/>
  <c r="FA18" i="2081"/>
  <c r="FA17" i="2081"/>
  <c r="FA16" i="2081"/>
  <c r="FA15" i="2081"/>
  <c r="FA14" i="2081"/>
  <c r="FA13" i="2081"/>
  <c r="FA12" i="2081"/>
  <c r="FA11" i="2081"/>
  <c r="FA10" i="2081"/>
  <c r="FA9" i="2081"/>
  <c r="N41" i="2082"/>
  <c r="N40" i="2082"/>
  <c r="N39" i="2082"/>
  <c r="N38" i="2082"/>
  <c r="N37" i="2082"/>
  <c r="N36" i="2082"/>
  <c r="N35" i="2082"/>
  <c r="N34" i="2082"/>
  <c r="N33" i="2082"/>
  <c r="N32" i="2082"/>
  <c r="N31" i="2082"/>
  <c r="N30" i="2082"/>
  <c r="N29" i="2082"/>
  <c r="N28" i="2082"/>
  <c r="N27" i="2082"/>
  <c r="N26" i="2082"/>
  <c r="N25" i="2082"/>
  <c r="N24" i="2082"/>
  <c r="N23" i="2082"/>
  <c r="N22" i="2082"/>
  <c r="N21" i="2082"/>
  <c r="N20" i="2082"/>
  <c r="N19" i="2082"/>
  <c r="N18" i="2082"/>
  <c r="N17" i="2082"/>
  <c r="N16" i="2082"/>
  <c r="N15" i="2082"/>
  <c r="N14" i="2082"/>
  <c r="N13" i="2082"/>
  <c r="N12" i="2082"/>
  <c r="N11" i="2082"/>
  <c r="N10" i="2082"/>
  <c r="N9" i="2082"/>
  <c r="N7" i="2082"/>
  <c r="N5" i="2082"/>
  <c r="AA41" i="2082"/>
  <c r="AA40" i="2082"/>
  <c r="AA39" i="2082"/>
  <c r="AA38" i="2082"/>
  <c r="AA37" i="2082"/>
  <c r="AA36" i="2082"/>
  <c r="AA35" i="2082"/>
  <c r="AA34" i="2082"/>
  <c r="AA33" i="2082"/>
  <c r="AA32" i="2082"/>
  <c r="AA31" i="2082"/>
  <c r="AA30" i="2082"/>
  <c r="AA29" i="2082"/>
  <c r="AA28" i="2082"/>
  <c r="AA27" i="2082"/>
  <c r="AA26" i="2082"/>
  <c r="AA25" i="2082"/>
  <c r="AA24" i="2082"/>
  <c r="AA23" i="2082"/>
  <c r="AA22" i="2082"/>
  <c r="AA21" i="2082"/>
  <c r="AA20" i="2082"/>
  <c r="AA19" i="2082"/>
  <c r="AA18" i="2082"/>
  <c r="AA17" i="2082"/>
  <c r="AA16" i="2082"/>
  <c r="AA15" i="2082"/>
  <c r="AA14" i="2082"/>
  <c r="AA13" i="2082"/>
  <c r="AA12" i="2082"/>
  <c r="AA11" i="2082"/>
  <c r="AA10" i="2082"/>
  <c r="AA9" i="2082"/>
  <c r="AA7" i="2082"/>
  <c r="AA5" i="2082"/>
  <c r="AN41" i="2082"/>
  <c r="AN40" i="2082"/>
  <c r="AN39" i="2082"/>
  <c r="AN38" i="2082"/>
  <c r="AN37" i="2082"/>
  <c r="AN36" i="2082"/>
  <c r="AN35" i="2082"/>
  <c r="AN34" i="2082"/>
  <c r="AN33" i="2082"/>
  <c r="AN32" i="2082"/>
  <c r="AN31" i="2082"/>
  <c r="AN30" i="2082"/>
  <c r="AN29" i="2082"/>
  <c r="AN28" i="2082"/>
  <c r="AN27" i="2082"/>
  <c r="AN26" i="2082"/>
  <c r="AN25" i="2082"/>
  <c r="AN24" i="2082"/>
  <c r="AN23" i="2082"/>
  <c r="AN22" i="2082"/>
  <c r="AN21" i="2082"/>
  <c r="AN20" i="2082"/>
  <c r="AN19" i="2082"/>
  <c r="AN18" i="2082"/>
  <c r="AN17" i="2082"/>
  <c r="AN16" i="2082"/>
  <c r="AN15" i="2082"/>
  <c r="AN14" i="2082"/>
  <c r="AN13" i="2082"/>
  <c r="AN12" i="2082"/>
  <c r="AN11" i="2082"/>
  <c r="AN10" i="2082"/>
  <c r="AN9" i="2082"/>
  <c r="AN7" i="2082"/>
  <c r="AN5" i="2082"/>
  <c r="BA41" i="2082"/>
  <c r="BA40" i="2082"/>
  <c r="BA39" i="2082"/>
  <c r="BA38" i="2082"/>
  <c r="BA37" i="2082"/>
  <c r="BA36" i="2082"/>
  <c r="BA35" i="2082"/>
  <c r="BA34" i="2082"/>
  <c r="BA33" i="2082"/>
  <c r="BA32" i="2082"/>
  <c r="BA31" i="2082"/>
  <c r="BA30" i="2082"/>
  <c r="BA29" i="2082"/>
  <c r="BA28" i="2082"/>
  <c r="BA27" i="2082"/>
  <c r="BA26" i="2082"/>
  <c r="BA25" i="2082"/>
  <c r="BA24" i="2082"/>
  <c r="BA23" i="2082"/>
  <c r="BA22" i="2082"/>
  <c r="BA21" i="2082"/>
  <c r="BA20" i="2082"/>
  <c r="BA19" i="2082"/>
  <c r="BA18" i="2082"/>
  <c r="BA17" i="2082"/>
  <c r="BA16" i="2082"/>
  <c r="BA15" i="2082"/>
  <c r="BA14" i="2082"/>
  <c r="BA13" i="2082"/>
  <c r="BA12" i="2082"/>
  <c r="BA11" i="2082"/>
  <c r="BA10" i="2082"/>
  <c r="BA9" i="2082"/>
  <c r="BA7" i="2082"/>
  <c r="BA5" i="2082"/>
  <c r="BN41" i="2082"/>
  <c r="BN40" i="2082"/>
  <c r="BN39" i="2082"/>
  <c r="BN38" i="2082"/>
  <c r="BN37" i="2082"/>
  <c r="BN36" i="2082"/>
  <c r="BN35" i="2082"/>
  <c r="BN34" i="2082"/>
  <c r="BN33" i="2082"/>
  <c r="BN32" i="2082"/>
  <c r="BN31" i="2082"/>
  <c r="BN30" i="2082"/>
  <c r="BN29" i="2082"/>
  <c r="BN28" i="2082"/>
  <c r="BN27" i="2082"/>
  <c r="BN26" i="2082"/>
  <c r="BN25" i="2082"/>
  <c r="BN24" i="2082"/>
  <c r="BN23" i="2082"/>
  <c r="BN22" i="2082"/>
  <c r="BN21" i="2082"/>
  <c r="BN20" i="2082"/>
  <c r="BN19" i="2082"/>
  <c r="BN18" i="2082"/>
  <c r="BN17" i="2082"/>
  <c r="BN16" i="2082"/>
  <c r="BN15" i="2082"/>
  <c r="BN14" i="2082"/>
  <c r="BN13" i="2082"/>
  <c r="BN12" i="2082"/>
  <c r="BN11" i="2082"/>
  <c r="BN10" i="2082"/>
  <c r="BN9" i="2082"/>
  <c r="BN7" i="2082"/>
  <c r="BN5" i="2082"/>
  <c r="CA41" i="2082"/>
  <c r="CA40" i="2082"/>
  <c r="CA39" i="2082"/>
  <c r="CA38" i="2082"/>
  <c r="CA37" i="2082"/>
  <c r="CA36" i="2082"/>
  <c r="CA35" i="2082"/>
  <c r="CA34" i="2082"/>
  <c r="CA33" i="2082"/>
  <c r="CA32" i="2082"/>
  <c r="CA31" i="2082"/>
  <c r="CA30" i="2082"/>
  <c r="CA29" i="2082"/>
  <c r="CA28" i="2082"/>
  <c r="CA27" i="2082"/>
  <c r="CA26" i="2082"/>
  <c r="CA25" i="2082"/>
  <c r="CA24" i="2082"/>
  <c r="CA23" i="2082"/>
  <c r="CA22" i="2082"/>
  <c r="CA21" i="2082"/>
  <c r="CA20" i="2082"/>
  <c r="CA19" i="2082"/>
  <c r="CA18" i="2082"/>
  <c r="CA17" i="2082"/>
  <c r="CA16" i="2082"/>
  <c r="CA15" i="2082"/>
  <c r="CA14" i="2082"/>
  <c r="CA13" i="2082"/>
  <c r="CA12" i="2082"/>
  <c r="CA11" i="2082"/>
  <c r="CA10" i="2082"/>
  <c r="CA9" i="2082"/>
  <c r="CA7" i="2082"/>
  <c r="CA5" i="2082"/>
  <c r="CN41" i="2082"/>
  <c r="CN40" i="2082"/>
  <c r="CN39" i="2082"/>
  <c r="CN38" i="2082"/>
  <c r="CN37" i="2082"/>
  <c r="CN36" i="2082"/>
  <c r="CN35" i="2082"/>
  <c r="CN34" i="2082"/>
  <c r="CN33" i="2082"/>
  <c r="CN32" i="2082"/>
  <c r="CN31" i="2082"/>
  <c r="CN30" i="2082"/>
  <c r="CN29" i="2082"/>
  <c r="CN28" i="2082"/>
  <c r="CN27" i="2082"/>
  <c r="CN26" i="2082"/>
  <c r="CN25" i="2082"/>
  <c r="CN24" i="2082"/>
  <c r="CN23" i="2082"/>
  <c r="CN22" i="2082"/>
  <c r="CN21" i="2082"/>
  <c r="CN20" i="2082"/>
  <c r="CN19" i="2082"/>
  <c r="CN18" i="2082"/>
  <c r="CN17" i="2082"/>
  <c r="CN16" i="2082"/>
  <c r="CN15" i="2082"/>
  <c r="CN14" i="2082"/>
  <c r="CN13" i="2082"/>
  <c r="CN12" i="2082"/>
  <c r="CN11" i="2082"/>
  <c r="CN10" i="2082"/>
  <c r="CN9" i="2082"/>
  <c r="CN7" i="2082"/>
  <c r="CN5" i="2082"/>
  <c r="DA41" i="2082"/>
  <c r="DA40" i="2082"/>
  <c r="DA39" i="2082"/>
  <c r="DA38" i="2082"/>
  <c r="DA37" i="2082"/>
  <c r="DA36" i="2082"/>
  <c r="DA35" i="2082"/>
  <c r="DA34" i="2082"/>
  <c r="DA33" i="2082"/>
  <c r="DA32" i="2082"/>
  <c r="DA31" i="2082"/>
  <c r="DA30" i="2082"/>
  <c r="DA29" i="2082"/>
  <c r="DA28" i="2082"/>
  <c r="DA27" i="2082"/>
  <c r="DA26" i="2082"/>
  <c r="DA25" i="2082"/>
  <c r="DA24" i="2082"/>
  <c r="DA23" i="2082"/>
  <c r="DA22" i="2082"/>
  <c r="DA21" i="2082"/>
  <c r="DA20" i="2082"/>
  <c r="DA19" i="2082"/>
  <c r="DA18" i="2082"/>
  <c r="DA17" i="2082"/>
  <c r="DA16" i="2082"/>
  <c r="DA15" i="2082"/>
  <c r="DA14" i="2082"/>
  <c r="DA13" i="2082"/>
  <c r="DA12" i="2082"/>
  <c r="DA11" i="2082"/>
  <c r="DA10" i="2082"/>
  <c r="DA9" i="2082"/>
  <c r="DA7" i="2082"/>
  <c r="DA5" i="2082"/>
  <c r="DN41" i="2082"/>
  <c r="DN40" i="2082"/>
  <c r="DN39" i="2082"/>
  <c r="DN38" i="2082"/>
  <c r="DN37" i="2082"/>
  <c r="DN36" i="2082"/>
  <c r="DN35" i="2082"/>
  <c r="DN34" i="2082"/>
  <c r="DN33" i="2082"/>
  <c r="DN32" i="2082"/>
  <c r="DN31" i="2082"/>
  <c r="DN30" i="2082"/>
  <c r="DN29" i="2082"/>
  <c r="DN28" i="2082"/>
  <c r="DN27" i="2082"/>
  <c r="DN26" i="2082"/>
  <c r="DN25" i="2082"/>
  <c r="DN24" i="2082"/>
  <c r="DN23" i="2082"/>
  <c r="DN22" i="2082"/>
  <c r="DN21" i="2082"/>
  <c r="DN20" i="2082"/>
  <c r="DN19" i="2082"/>
  <c r="DN18" i="2082"/>
  <c r="DN17" i="2082"/>
  <c r="DN16" i="2082"/>
  <c r="DN15" i="2082"/>
  <c r="DN14" i="2082"/>
  <c r="DN13" i="2082"/>
  <c r="DN12" i="2082"/>
  <c r="DN11" i="2082"/>
  <c r="DN10" i="2082"/>
  <c r="DN9" i="2082"/>
  <c r="DN7" i="2082"/>
  <c r="DN5" i="2082"/>
  <c r="EA41" i="2082"/>
  <c r="EA40" i="2082"/>
  <c r="EA39" i="2082"/>
  <c r="EA38" i="2082"/>
  <c r="EA37" i="2082"/>
  <c r="EA36" i="2082"/>
  <c r="EA35" i="2082"/>
  <c r="EA34" i="2082"/>
  <c r="EA33" i="2082"/>
  <c r="EA32" i="2082"/>
  <c r="EA31" i="2082"/>
  <c r="EA30" i="2082"/>
  <c r="EA29" i="2082"/>
  <c r="EA28" i="2082"/>
  <c r="EA27" i="2082"/>
  <c r="EA26" i="2082"/>
  <c r="EA25" i="2082"/>
  <c r="EA24" i="2082"/>
  <c r="EA23" i="2082"/>
  <c r="EA22" i="2082"/>
  <c r="EA21" i="2082"/>
  <c r="EA20" i="2082"/>
  <c r="EA19" i="2082"/>
  <c r="EA18" i="2082"/>
  <c r="EA17" i="2082"/>
  <c r="EA16" i="2082"/>
  <c r="EA15" i="2082"/>
  <c r="EA14" i="2082"/>
  <c r="EA13" i="2082"/>
  <c r="EA12" i="2082"/>
  <c r="EA11" i="2082"/>
  <c r="EA10" i="2082"/>
  <c r="EA9" i="2082"/>
  <c r="EA7" i="2082"/>
  <c r="EA5" i="2082"/>
  <c r="EN41" i="2082"/>
  <c r="EN40" i="2082"/>
  <c r="EN39" i="2082"/>
  <c r="EN38" i="2082"/>
  <c r="EN37" i="2082"/>
  <c r="EN36" i="2082"/>
  <c r="EN35" i="2082"/>
  <c r="EN34" i="2082"/>
  <c r="EN33" i="2082"/>
  <c r="EN32" i="2082"/>
  <c r="EN31" i="2082"/>
  <c r="EN30" i="2082"/>
  <c r="EN29" i="2082"/>
  <c r="EN28" i="2082"/>
  <c r="EN27" i="2082"/>
  <c r="EN26" i="2082"/>
  <c r="EN25" i="2082"/>
  <c r="EN24" i="2082"/>
  <c r="EN23" i="2082"/>
  <c r="EN22" i="2082"/>
  <c r="EN21" i="2082"/>
  <c r="EN20" i="2082"/>
  <c r="EN19" i="2082"/>
  <c r="EN18" i="2082"/>
  <c r="EN17" i="2082"/>
  <c r="EN16" i="2082"/>
  <c r="EN15" i="2082"/>
  <c r="EN14" i="2082"/>
  <c r="EN13" i="2082"/>
  <c r="EN12" i="2082"/>
  <c r="EN11" i="2082"/>
  <c r="EN10" i="2082"/>
  <c r="EN9" i="2082"/>
  <c r="EN7" i="2082"/>
  <c r="EN5" i="2082"/>
  <c r="FA41" i="2082"/>
  <c r="FA40" i="2082"/>
  <c r="FA39" i="2082"/>
  <c r="FA38" i="2082"/>
  <c r="FA37" i="2082"/>
  <c r="FA36" i="2082"/>
  <c r="FA35" i="2082"/>
  <c r="FA34" i="2082"/>
  <c r="FA33" i="2082"/>
  <c r="FA32" i="2082"/>
  <c r="FA31" i="2082"/>
  <c r="FA30" i="2082"/>
  <c r="FA29" i="2082"/>
  <c r="FA28" i="2082"/>
  <c r="FA27" i="2082"/>
  <c r="FA26" i="2082"/>
  <c r="FA25" i="2082"/>
  <c r="FA24" i="2082"/>
  <c r="FA23" i="2082"/>
  <c r="FA22" i="2082"/>
  <c r="FA21" i="2082"/>
  <c r="FA20" i="2082"/>
  <c r="FA19" i="2082"/>
  <c r="FA18" i="2082"/>
  <c r="FA17" i="2082"/>
  <c r="FA16" i="2082"/>
  <c r="FA15" i="2082"/>
  <c r="FA14" i="2082"/>
  <c r="FA13" i="2082"/>
  <c r="FA12" i="2082"/>
  <c r="FA11" i="2082"/>
  <c r="FA10" i="2082"/>
  <c r="FA9" i="2082"/>
  <c r="FK36" i="2082"/>
  <c r="FK29" i="2082"/>
  <c r="FK10" i="2082"/>
  <c r="FK11" i="2082"/>
  <c r="FK12" i="2082"/>
  <c r="FK13" i="2082"/>
  <c r="FK14" i="2082"/>
  <c r="FK15" i="2082"/>
  <c r="FK16" i="2082"/>
  <c r="FK17" i="2082"/>
  <c r="FK18" i="2082"/>
  <c r="FK19" i="2082"/>
  <c r="FK20" i="2082"/>
  <c r="FK21" i="2082"/>
  <c r="FK22" i="2082"/>
  <c r="FK23" i="2082"/>
  <c r="FK24" i="2082"/>
  <c r="FK25" i="2082"/>
  <c r="FK26" i="2082"/>
  <c r="FK27" i="2082"/>
  <c r="FK28" i="2082"/>
  <c r="FK30" i="2082"/>
  <c r="FK31" i="2082"/>
  <c r="FK32" i="2082"/>
  <c r="FK33" i="2082"/>
  <c r="FK34" i="2082"/>
  <c r="FK35" i="2082"/>
  <c r="FK37" i="2082"/>
  <c r="FK38" i="2082"/>
  <c r="FK39" i="2082"/>
  <c r="FK40" i="2082"/>
  <c r="FJ38" i="2081"/>
  <c r="DV38" i="2081"/>
  <c r="DU38" i="2081"/>
  <c r="DT38" i="2081"/>
  <c r="DS38" i="2081"/>
  <c r="DR38" i="2081"/>
  <c r="DQ38" i="2081"/>
  <c r="DP38" i="2081"/>
  <c r="EA38" i="2081" s="1"/>
  <c r="DI38" i="2081"/>
  <c r="DH38" i="2081"/>
  <c r="DG38" i="2081"/>
  <c r="BW38" i="2081"/>
  <c r="BV38" i="2081"/>
  <c r="FJ31" i="2081"/>
  <c r="FJ27" i="2081"/>
  <c r="FK9" i="2082"/>
  <c r="FC5" i="2082"/>
  <c r="FA5" i="2082"/>
  <c r="EM7" i="2082"/>
  <c r="EL7" i="2082"/>
  <c r="EK7" i="2082"/>
  <c r="EJ7" i="2082"/>
  <c r="EI7" i="2082"/>
  <c r="EH7" i="2082"/>
  <c r="EG7" i="2082"/>
  <c r="EF7" i="2082"/>
  <c r="EE7" i="2082"/>
  <c r="ED7" i="2082"/>
  <c r="EC7" i="2082"/>
  <c r="EB7" i="2082"/>
  <c r="FJ36" i="2081"/>
  <c r="FJ37" i="2081"/>
  <c r="FJ39" i="2081"/>
  <c r="FJ40" i="2081"/>
  <c r="FC5" i="2081"/>
  <c r="FJ30" i="2081"/>
  <c r="FJ29" i="2081"/>
  <c r="FJ28" i="2081"/>
  <c r="FJ18" i="2081"/>
  <c r="FJ17" i="2081"/>
  <c r="FJ16" i="2081"/>
  <c r="FJ15" i="2081"/>
  <c r="EM7" i="2081"/>
  <c r="EL7" i="2081"/>
  <c r="EK7" i="2081"/>
  <c r="EJ7" i="2081"/>
  <c r="EI7" i="2081"/>
  <c r="EH7" i="2081"/>
  <c r="EG7" i="2081"/>
  <c r="EF7" i="2081"/>
  <c r="EE7" i="2081"/>
  <c r="ED7" i="2081"/>
  <c r="EC7" i="2081"/>
  <c r="EB7" i="2081"/>
  <c r="EB47" i="2081" s="1"/>
  <c r="DE7" i="2081"/>
  <c r="DD7" i="2081"/>
  <c r="CL7" i="2081"/>
  <c r="CK7" i="2081"/>
  <c r="CJ7" i="2081"/>
  <c r="CI7" i="2081"/>
  <c r="CH7" i="2081"/>
  <c r="CG7" i="2081"/>
  <c r="CF7" i="2081"/>
  <c r="CE7" i="2081"/>
  <c r="CD7" i="2081"/>
  <c r="CC7" i="2081"/>
  <c r="CB7" i="2081"/>
  <c r="BZ7" i="2081"/>
  <c r="BY7" i="2081"/>
  <c r="BX7" i="2081"/>
  <c r="BU7" i="2081"/>
  <c r="BS7" i="2081"/>
  <c r="BR7" i="2081"/>
  <c r="BQ7" i="2081"/>
  <c r="BP7" i="2081"/>
  <c r="BO7" i="2081"/>
  <c r="AZ7" i="2081"/>
  <c r="AY7" i="2081"/>
  <c r="AX7" i="2081"/>
  <c r="AW7" i="2081"/>
  <c r="AV7" i="2081"/>
  <c r="AU7" i="2081"/>
  <c r="AT7" i="2081"/>
  <c r="AS7" i="2081"/>
  <c r="AR7" i="2081"/>
  <c r="AQ7" i="2081"/>
  <c r="AP7" i="2081"/>
  <c r="AO7" i="2081"/>
  <c r="BA7" i="2081" s="1"/>
  <c r="F7" i="2081"/>
  <c r="EZ7" i="2081"/>
  <c r="EY7" i="2081"/>
  <c r="EX7" i="2081"/>
  <c r="EW7" i="2081"/>
  <c r="EV7" i="2081"/>
  <c r="EU7" i="2081"/>
  <c r="ET7" i="2081"/>
  <c r="ES7" i="2081"/>
  <c r="ER7" i="2081"/>
  <c r="EQ7" i="2081"/>
  <c r="EP7" i="2081"/>
  <c r="FJ35" i="2081"/>
  <c r="FJ34" i="2081"/>
  <c r="FJ33" i="2081"/>
  <c r="FJ32" i="2081"/>
  <c r="FJ26" i="2081"/>
  <c r="FJ25" i="2081"/>
  <c r="FJ24" i="2081"/>
  <c r="FJ23" i="2081"/>
  <c r="FJ22" i="2081"/>
  <c r="FJ21" i="2081"/>
  <c r="FJ20" i="2081"/>
  <c r="FJ19" i="2081"/>
  <c r="FJ14" i="2081"/>
  <c r="FJ11" i="2081"/>
  <c r="FJ13" i="2081"/>
  <c r="FJ12" i="2081"/>
  <c r="FJ10" i="2081"/>
  <c r="FJ9" i="2081"/>
  <c r="FA5" i="2081"/>
  <c r="EO4" i="1896"/>
  <c r="FA5" i="1896"/>
  <c r="EN33" i="1896"/>
  <c r="EN32" i="1896"/>
  <c r="EN31" i="1896"/>
  <c r="EN30" i="1896"/>
  <c r="EN29" i="1896"/>
  <c r="EN28" i="1896"/>
  <c r="EN27" i="1896"/>
  <c r="EN26" i="1896"/>
  <c r="EN25" i="1896"/>
  <c r="EN24" i="1896"/>
  <c r="EN23" i="1896"/>
  <c r="EN22" i="1896"/>
  <c r="EN21" i="1896"/>
  <c r="EN20" i="1896"/>
  <c r="EN19" i="1896"/>
  <c r="EN18" i="1896"/>
  <c r="EN17" i="1896"/>
  <c r="EN16" i="1896"/>
  <c r="EN15" i="1896"/>
  <c r="EN14" i="1896"/>
  <c r="EN13" i="1896"/>
  <c r="EN12" i="1896"/>
  <c r="EN11" i="1896"/>
  <c r="EN10" i="1896"/>
  <c r="EN9" i="1896"/>
  <c r="EN5" i="1896"/>
  <c r="EB4" i="1896"/>
  <c r="FJ29" i="1896"/>
  <c r="FA29" i="1896"/>
  <c r="EA29" i="1896"/>
  <c r="DN29" i="1896"/>
  <c r="DA29" i="1896"/>
  <c r="CN29" i="1896"/>
  <c r="CA29" i="1896"/>
  <c r="BN29" i="1896"/>
  <c r="BA29" i="1896"/>
  <c r="AN29" i="1896"/>
  <c r="AA29" i="1896"/>
  <c r="N29" i="1896"/>
  <c r="FJ42" i="1897"/>
  <c r="FJ41" i="1897"/>
  <c r="FJ40" i="1897"/>
  <c r="FJ39" i="1897"/>
  <c r="FJ38" i="1897"/>
  <c r="FJ35" i="1897"/>
  <c r="FJ34" i="1897"/>
  <c r="FJ33" i="1897"/>
  <c r="FJ32" i="1897"/>
  <c r="FJ31" i="1897"/>
  <c r="FJ30" i="1897"/>
  <c r="FJ29" i="1897"/>
  <c r="FJ28" i="1897"/>
  <c r="FJ27" i="1897"/>
  <c r="FJ21" i="1897"/>
  <c r="FJ16" i="1897"/>
  <c r="FJ15" i="1897"/>
  <c r="FJ14" i="1897"/>
  <c r="N49" i="1897"/>
  <c r="N48" i="1897"/>
  <c r="N47" i="1897"/>
  <c r="N46" i="1897"/>
  <c r="N45" i="1897"/>
  <c r="N44" i="1897"/>
  <c r="N43" i="1897"/>
  <c r="N42" i="1897"/>
  <c r="N41" i="1897"/>
  <c r="N40" i="1897"/>
  <c r="N39" i="1897"/>
  <c r="N38" i="1897"/>
  <c r="N37" i="1897"/>
  <c r="N36" i="1897"/>
  <c r="N35" i="1897"/>
  <c r="N34" i="1897"/>
  <c r="N33" i="1897"/>
  <c r="N32" i="1897"/>
  <c r="N31" i="1897"/>
  <c r="N30" i="1897"/>
  <c r="N29" i="1897"/>
  <c r="N28" i="1897"/>
  <c r="N27" i="1897"/>
  <c r="N26" i="1897"/>
  <c r="N25" i="1897"/>
  <c r="N24" i="1897"/>
  <c r="N23" i="1897"/>
  <c r="N22" i="1897"/>
  <c r="N21" i="1897"/>
  <c r="N20" i="1897"/>
  <c r="N19" i="1897"/>
  <c r="N18" i="1897"/>
  <c r="N17" i="1897"/>
  <c r="N16" i="1897"/>
  <c r="N15" i="1897"/>
  <c r="N14" i="1897"/>
  <c r="N13" i="1897"/>
  <c r="N12" i="1897"/>
  <c r="N11" i="1897"/>
  <c r="N10" i="1897"/>
  <c r="N9" i="1897"/>
  <c r="N5" i="1897"/>
  <c r="AA49" i="1897"/>
  <c r="AA48" i="1897"/>
  <c r="AA47" i="1897"/>
  <c r="AA46" i="1897"/>
  <c r="AA45" i="1897"/>
  <c r="AA44" i="1897"/>
  <c r="AA43" i="1897"/>
  <c r="AA42" i="1897"/>
  <c r="AA41" i="1897"/>
  <c r="AA40" i="1897"/>
  <c r="AA39" i="1897"/>
  <c r="AA38" i="1897"/>
  <c r="AA37" i="1897"/>
  <c r="AA36" i="1897"/>
  <c r="AA35" i="1897"/>
  <c r="AA34" i="1897"/>
  <c r="AA33" i="1897"/>
  <c r="AA32" i="1897"/>
  <c r="AA31" i="1897"/>
  <c r="AA30" i="1897"/>
  <c r="AA29" i="1897"/>
  <c r="AA28" i="1897"/>
  <c r="AA27" i="1897"/>
  <c r="AA26" i="1897"/>
  <c r="AA25" i="1897"/>
  <c r="AA24" i="1897"/>
  <c r="AA23" i="1897"/>
  <c r="AA22" i="1897"/>
  <c r="AA21" i="1897"/>
  <c r="AA20" i="1897"/>
  <c r="AA19" i="1897"/>
  <c r="AA18" i="1897"/>
  <c r="AA17" i="1897"/>
  <c r="AA16" i="1897"/>
  <c r="AA15" i="1897"/>
  <c r="AA14" i="1897"/>
  <c r="AA13" i="1897"/>
  <c r="AA12" i="1897"/>
  <c r="AA11" i="1897"/>
  <c r="AA10" i="1897"/>
  <c r="AA9" i="1897"/>
  <c r="AA5" i="1897"/>
  <c r="AN49" i="1897"/>
  <c r="AN48" i="1897"/>
  <c r="AN47" i="1897"/>
  <c r="AN46" i="1897"/>
  <c r="AN45" i="1897"/>
  <c r="AN44" i="1897"/>
  <c r="AN43" i="1897"/>
  <c r="AN42" i="1897"/>
  <c r="AN41" i="1897"/>
  <c r="AN40" i="1897"/>
  <c r="AN39" i="1897"/>
  <c r="AN38" i="1897"/>
  <c r="AN37" i="1897"/>
  <c r="AN36" i="1897"/>
  <c r="AN35" i="1897"/>
  <c r="AN34" i="1897"/>
  <c r="AN33" i="1897"/>
  <c r="AN32" i="1897"/>
  <c r="AN31" i="1897"/>
  <c r="AN30" i="1897"/>
  <c r="AN29" i="1897"/>
  <c r="AN28" i="1897"/>
  <c r="AN27" i="1897"/>
  <c r="AN26" i="1897"/>
  <c r="AN25" i="1897"/>
  <c r="AN24" i="1897"/>
  <c r="AN23" i="1897"/>
  <c r="AN22" i="1897"/>
  <c r="AN21" i="1897"/>
  <c r="AN20" i="1897"/>
  <c r="AN19" i="1897"/>
  <c r="AN18" i="1897"/>
  <c r="AN17" i="1897"/>
  <c r="AN16" i="1897"/>
  <c r="AN15" i="1897"/>
  <c r="AN14" i="1897"/>
  <c r="AN13" i="1897"/>
  <c r="AN12" i="1897"/>
  <c r="AN11" i="1897"/>
  <c r="AN10" i="1897"/>
  <c r="AN9" i="1897"/>
  <c r="AN5" i="1897"/>
  <c r="BA49" i="1897"/>
  <c r="BA48" i="1897"/>
  <c r="BA47" i="1897"/>
  <c r="BA46" i="1897"/>
  <c r="BA45" i="1897"/>
  <c r="BA44" i="1897"/>
  <c r="BA43" i="1897"/>
  <c r="BA42" i="1897"/>
  <c r="BA41" i="1897"/>
  <c r="BA40" i="1897"/>
  <c r="BA39" i="1897"/>
  <c r="BA38" i="1897"/>
  <c r="BA37" i="1897"/>
  <c r="BA36" i="1897"/>
  <c r="BA35" i="1897"/>
  <c r="BA34" i="1897"/>
  <c r="BA33" i="1897"/>
  <c r="BA32" i="1897"/>
  <c r="BA31" i="1897"/>
  <c r="BA30" i="1897"/>
  <c r="BA29" i="1897"/>
  <c r="BA28" i="1897"/>
  <c r="BA27" i="1897"/>
  <c r="BA26" i="1897"/>
  <c r="BA25" i="1897"/>
  <c r="BA24" i="1897"/>
  <c r="BA23" i="1897"/>
  <c r="BA22" i="1897"/>
  <c r="BA21" i="1897"/>
  <c r="BA20" i="1897"/>
  <c r="BA19" i="1897"/>
  <c r="BA18" i="1897"/>
  <c r="BA17" i="1897"/>
  <c r="BA16" i="1897"/>
  <c r="BA15" i="1897"/>
  <c r="BA14" i="1897"/>
  <c r="BA13" i="1897"/>
  <c r="BA12" i="1897"/>
  <c r="BA11" i="1897"/>
  <c r="BA10" i="1897"/>
  <c r="BA9" i="1897"/>
  <c r="BA5" i="1897"/>
  <c r="BN49" i="1897"/>
  <c r="BN48" i="1897"/>
  <c r="BN47" i="1897"/>
  <c r="BN46" i="1897"/>
  <c r="BN45" i="1897"/>
  <c r="BN44" i="1897"/>
  <c r="BN43" i="1897"/>
  <c r="BN42" i="1897"/>
  <c r="BN41" i="1897"/>
  <c r="BN40" i="1897"/>
  <c r="BN39" i="1897"/>
  <c r="BN38" i="1897"/>
  <c r="BN37" i="1897"/>
  <c r="BN36" i="1897"/>
  <c r="BN35" i="1897"/>
  <c r="BN34" i="1897"/>
  <c r="BN33" i="1897"/>
  <c r="BN32" i="1897"/>
  <c r="BN31" i="1897"/>
  <c r="BN30" i="1897"/>
  <c r="BN29" i="1897"/>
  <c r="BN28" i="1897"/>
  <c r="BN27" i="1897"/>
  <c r="BN26" i="1897"/>
  <c r="BN25" i="1897"/>
  <c r="BN24" i="1897"/>
  <c r="BN23" i="1897"/>
  <c r="BN22" i="1897"/>
  <c r="BN21" i="1897"/>
  <c r="BN20" i="1897"/>
  <c r="BN19" i="1897"/>
  <c r="BN18" i="1897"/>
  <c r="BN17" i="1897"/>
  <c r="BN16" i="1897"/>
  <c r="BN15" i="1897"/>
  <c r="BN14" i="1897"/>
  <c r="BN13" i="1897"/>
  <c r="BN12" i="1897"/>
  <c r="BN11" i="1897"/>
  <c r="BN10" i="1897"/>
  <c r="BN9" i="1897"/>
  <c r="BN5" i="1897"/>
  <c r="CA49" i="1897"/>
  <c r="CA48" i="1897"/>
  <c r="CA47" i="1897"/>
  <c r="CA46" i="1897"/>
  <c r="CA45" i="1897"/>
  <c r="CA44" i="1897"/>
  <c r="CA43" i="1897"/>
  <c r="CA42" i="1897"/>
  <c r="CA41" i="1897"/>
  <c r="CA40" i="1897"/>
  <c r="CA39" i="1897"/>
  <c r="CA38" i="1897"/>
  <c r="CA37" i="1897"/>
  <c r="CA36" i="1897"/>
  <c r="CA35" i="1897"/>
  <c r="CA34" i="1897"/>
  <c r="CA33" i="1897"/>
  <c r="CA32" i="1897"/>
  <c r="CA31" i="1897"/>
  <c r="CA30" i="1897"/>
  <c r="CA29" i="1897"/>
  <c r="CA28" i="1897"/>
  <c r="CA27" i="1897"/>
  <c r="CA26" i="1897"/>
  <c r="CA25" i="1897"/>
  <c r="CA24" i="1897"/>
  <c r="CA23" i="1897"/>
  <c r="CA22" i="1897"/>
  <c r="CA21" i="1897"/>
  <c r="CA20" i="1897"/>
  <c r="CA19" i="1897"/>
  <c r="CA18" i="1897"/>
  <c r="CA17" i="1897"/>
  <c r="CA16" i="1897"/>
  <c r="CA15" i="1897"/>
  <c r="CA14" i="1897"/>
  <c r="CA13" i="1897"/>
  <c r="CA12" i="1897"/>
  <c r="CA11" i="1897"/>
  <c r="CA10" i="1897"/>
  <c r="CA9" i="1897"/>
  <c r="CA5" i="1897"/>
  <c r="CN49" i="1897"/>
  <c r="CN48" i="1897"/>
  <c r="CN47" i="1897"/>
  <c r="CN46" i="1897"/>
  <c r="CN45" i="1897"/>
  <c r="CN44" i="1897"/>
  <c r="CN43" i="1897"/>
  <c r="CN42" i="1897"/>
  <c r="CN41" i="1897"/>
  <c r="CN40" i="1897"/>
  <c r="CN39" i="1897"/>
  <c r="CN38" i="1897"/>
  <c r="CN37" i="1897"/>
  <c r="CN36" i="1897"/>
  <c r="CN35" i="1897"/>
  <c r="CN34" i="1897"/>
  <c r="CN33" i="1897"/>
  <c r="CN32" i="1897"/>
  <c r="CN31" i="1897"/>
  <c r="CN30" i="1897"/>
  <c r="CN29" i="1897"/>
  <c r="CN28" i="1897"/>
  <c r="CN27" i="1897"/>
  <c r="CN26" i="1897"/>
  <c r="CN25" i="1897"/>
  <c r="CN24" i="1897"/>
  <c r="CN23" i="1897"/>
  <c r="CN22" i="1897"/>
  <c r="CN21" i="1897"/>
  <c r="CN20" i="1897"/>
  <c r="CN19" i="1897"/>
  <c r="CN18" i="1897"/>
  <c r="CN17" i="1897"/>
  <c r="CN16" i="1897"/>
  <c r="CN15" i="1897"/>
  <c r="CN14" i="1897"/>
  <c r="CN13" i="1897"/>
  <c r="CN12" i="1897"/>
  <c r="CN11" i="1897"/>
  <c r="CN10" i="1897"/>
  <c r="CN9" i="1897"/>
  <c r="CN5" i="1897"/>
  <c r="DA49" i="1897"/>
  <c r="DA48" i="1897"/>
  <c r="DA47" i="1897"/>
  <c r="DA46" i="1897"/>
  <c r="DA45" i="1897"/>
  <c r="DA44" i="1897"/>
  <c r="DA43" i="1897"/>
  <c r="DA42" i="1897"/>
  <c r="DA41" i="1897"/>
  <c r="DA40" i="1897"/>
  <c r="DA39" i="1897"/>
  <c r="DA38" i="1897"/>
  <c r="DA37" i="1897"/>
  <c r="DA36" i="1897"/>
  <c r="DA35" i="1897"/>
  <c r="DA34" i="1897"/>
  <c r="DA33" i="1897"/>
  <c r="DA32" i="1897"/>
  <c r="DA31" i="1897"/>
  <c r="DA30" i="1897"/>
  <c r="DA29" i="1897"/>
  <c r="DA28" i="1897"/>
  <c r="DA27" i="1897"/>
  <c r="DA26" i="1897"/>
  <c r="DA25" i="1897"/>
  <c r="DA24" i="1897"/>
  <c r="DA23" i="1897"/>
  <c r="DA22" i="1897"/>
  <c r="DA21" i="1897"/>
  <c r="DA20" i="1897"/>
  <c r="DA19" i="1897"/>
  <c r="DA18" i="1897"/>
  <c r="DA17" i="1897"/>
  <c r="DA16" i="1897"/>
  <c r="DA15" i="1897"/>
  <c r="DA14" i="1897"/>
  <c r="DA13" i="1897"/>
  <c r="DA12" i="1897"/>
  <c r="DA11" i="1897"/>
  <c r="DA10" i="1897"/>
  <c r="DA9" i="1897"/>
  <c r="DA5" i="1897"/>
  <c r="DN49" i="1897"/>
  <c r="DN48" i="1897"/>
  <c r="DN47" i="1897"/>
  <c r="DN46" i="1897"/>
  <c r="DN45" i="1897"/>
  <c r="DN44" i="1897"/>
  <c r="DN43" i="1897"/>
  <c r="DN42" i="1897"/>
  <c r="DN41" i="1897"/>
  <c r="DN40" i="1897"/>
  <c r="DN39" i="1897"/>
  <c r="DN38" i="1897"/>
  <c r="DN37" i="1897"/>
  <c r="DN36" i="1897"/>
  <c r="DN35" i="1897"/>
  <c r="DN34" i="1897"/>
  <c r="DN33" i="1897"/>
  <c r="DN32" i="1897"/>
  <c r="DN31" i="1897"/>
  <c r="DN30" i="1897"/>
  <c r="DN29" i="1897"/>
  <c r="DN28" i="1897"/>
  <c r="DN27" i="1897"/>
  <c r="DN26" i="1897"/>
  <c r="DN25" i="1897"/>
  <c r="DN24" i="1897"/>
  <c r="DN23" i="1897"/>
  <c r="DN22" i="1897"/>
  <c r="DN21" i="1897"/>
  <c r="DN20" i="1897"/>
  <c r="DN19" i="1897"/>
  <c r="DN18" i="1897"/>
  <c r="DN17" i="1897"/>
  <c r="DN16" i="1897"/>
  <c r="DN15" i="1897"/>
  <c r="DN14" i="1897"/>
  <c r="DN13" i="1897"/>
  <c r="DN12" i="1897"/>
  <c r="DN11" i="1897"/>
  <c r="DN10" i="1897"/>
  <c r="DN9" i="1897"/>
  <c r="DN5" i="1897"/>
  <c r="EA49" i="1897"/>
  <c r="EA48" i="1897"/>
  <c r="EA47" i="1897"/>
  <c r="EA46" i="1897"/>
  <c r="EA45" i="1897"/>
  <c r="EA44" i="1897"/>
  <c r="EA43" i="1897"/>
  <c r="EA42" i="1897"/>
  <c r="EA41" i="1897"/>
  <c r="EA40" i="1897"/>
  <c r="EA39" i="1897"/>
  <c r="EA38" i="1897"/>
  <c r="EA37" i="1897"/>
  <c r="EA36" i="1897"/>
  <c r="EA35" i="1897"/>
  <c r="EA34" i="1897"/>
  <c r="EA33" i="1897"/>
  <c r="EA32" i="1897"/>
  <c r="EA31" i="1897"/>
  <c r="EA30" i="1897"/>
  <c r="EA29" i="1897"/>
  <c r="EA28" i="1897"/>
  <c r="EA27" i="1897"/>
  <c r="EA26" i="1897"/>
  <c r="EA25" i="1897"/>
  <c r="EA24" i="1897"/>
  <c r="EA23" i="1897"/>
  <c r="EA22" i="1897"/>
  <c r="EA21" i="1897"/>
  <c r="EA20" i="1897"/>
  <c r="EA19" i="1897"/>
  <c r="EA18" i="1897"/>
  <c r="EA17" i="1897"/>
  <c r="EA16" i="1897"/>
  <c r="EA15" i="1897"/>
  <c r="EA14" i="1897"/>
  <c r="EA13" i="1897"/>
  <c r="EA12" i="1897"/>
  <c r="EA11" i="1897"/>
  <c r="EA10" i="1897"/>
  <c r="EA9" i="1897"/>
  <c r="EA5" i="1897"/>
  <c r="EN49" i="1897"/>
  <c r="EN48" i="1897"/>
  <c r="EN47" i="1897"/>
  <c r="EN46" i="1897"/>
  <c r="EN45" i="1897"/>
  <c r="EN44" i="1897"/>
  <c r="EN43" i="1897"/>
  <c r="EN42" i="1897"/>
  <c r="EN41" i="1897"/>
  <c r="EN40" i="1897"/>
  <c r="EN39" i="1897"/>
  <c r="EN38" i="1897"/>
  <c r="EN37" i="1897"/>
  <c r="EN36" i="1897"/>
  <c r="EN35" i="1897"/>
  <c r="EN34" i="1897"/>
  <c r="EN33" i="1897"/>
  <c r="EN32" i="1897"/>
  <c r="EN31" i="1897"/>
  <c r="EN30" i="1897"/>
  <c r="EN29" i="1897"/>
  <c r="EN28" i="1897"/>
  <c r="EN27" i="1897"/>
  <c r="EN26" i="1897"/>
  <c r="EN25" i="1897"/>
  <c r="EN24" i="1897"/>
  <c r="EN23" i="1897"/>
  <c r="EN22" i="1897"/>
  <c r="EN21" i="1897"/>
  <c r="EN20" i="1897"/>
  <c r="EN19" i="1897"/>
  <c r="EN18" i="1897"/>
  <c r="EN17" i="1897"/>
  <c r="EN16" i="1897"/>
  <c r="EN15" i="1897"/>
  <c r="EN14" i="1897"/>
  <c r="EN13" i="1897"/>
  <c r="EN12" i="1897"/>
  <c r="EN11" i="1897"/>
  <c r="EN10" i="1897"/>
  <c r="EN9" i="1897"/>
  <c r="EN5" i="1897"/>
  <c r="FA49" i="1897"/>
  <c r="FA48" i="1897"/>
  <c r="FA47" i="1897"/>
  <c r="FA46" i="1897"/>
  <c r="FA45" i="1897"/>
  <c r="FA44" i="1897"/>
  <c r="FA43" i="1897"/>
  <c r="FA42" i="1897"/>
  <c r="FA41" i="1897"/>
  <c r="FA40" i="1897"/>
  <c r="FA39" i="1897"/>
  <c r="FA38" i="1897"/>
  <c r="FA37" i="1897"/>
  <c r="FA36" i="1897"/>
  <c r="FA35" i="1897"/>
  <c r="FA34" i="1897"/>
  <c r="FA33" i="1897"/>
  <c r="FA32" i="1897"/>
  <c r="FA31" i="1897"/>
  <c r="FA30" i="1897"/>
  <c r="FA29" i="1897"/>
  <c r="FA28" i="1897"/>
  <c r="FA27" i="1897"/>
  <c r="FA26" i="1897"/>
  <c r="FA25" i="1897"/>
  <c r="FA24" i="1897"/>
  <c r="FA23" i="1897"/>
  <c r="FA22" i="1897"/>
  <c r="FA21" i="1897"/>
  <c r="FA20" i="1897"/>
  <c r="FA19" i="1897"/>
  <c r="FA18" i="1897"/>
  <c r="FA17" i="1897"/>
  <c r="FA16" i="1897"/>
  <c r="FA15" i="1897"/>
  <c r="FA14" i="1897"/>
  <c r="FA13" i="1897"/>
  <c r="FA12" i="1897"/>
  <c r="FA11" i="1897"/>
  <c r="FA10" i="1897"/>
  <c r="FA9" i="1897"/>
  <c r="FA5" i="1897"/>
  <c r="EM7" i="1897"/>
  <c r="EL7" i="1897"/>
  <c r="EK7" i="1897"/>
  <c r="EJ7" i="1897"/>
  <c r="EI7" i="1897"/>
  <c r="EH7" i="1897"/>
  <c r="EG7" i="1897"/>
  <c r="EF7" i="1897"/>
  <c r="EE7" i="1897"/>
  <c r="ED7" i="1897"/>
  <c r="EC7" i="1897"/>
  <c r="EN7" i="1897" s="1"/>
  <c r="EB7" i="1897"/>
  <c r="FC5" i="1897"/>
  <c r="FJ48" i="1897"/>
  <c r="DZ7" i="1897"/>
  <c r="DY7" i="1897"/>
  <c r="DX7" i="1897"/>
  <c r="DW7" i="1897"/>
  <c r="DV7" i="1897"/>
  <c r="DU7" i="1897"/>
  <c r="DT7" i="1897"/>
  <c r="DS7" i="1897"/>
  <c r="DR7" i="1897"/>
  <c r="EA7" i="1897" s="1"/>
  <c r="DQ7" i="1897"/>
  <c r="DP7" i="1897"/>
  <c r="DO7" i="1897"/>
  <c r="DM7" i="1897"/>
  <c r="DL7" i="1897"/>
  <c r="DK7" i="1897"/>
  <c r="DJ7" i="1897"/>
  <c r="DI7" i="1897"/>
  <c r="DH7" i="1897"/>
  <c r="DG7" i="1897"/>
  <c r="DF7" i="1897"/>
  <c r="DE7" i="1897"/>
  <c r="DN7" i="1897" s="1"/>
  <c r="DD7" i="1897"/>
  <c r="DC7" i="1897"/>
  <c r="DB7" i="1897"/>
  <c r="CZ7" i="1897"/>
  <c r="CY7" i="1897"/>
  <c r="CX7" i="1897"/>
  <c r="CW7" i="1897"/>
  <c r="CV7" i="1897"/>
  <c r="CU7" i="1897"/>
  <c r="CT7" i="1897"/>
  <c r="CS7" i="1897"/>
  <c r="CR7" i="1897"/>
  <c r="DA7" i="1897" s="1"/>
  <c r="CQ7" i="1897"/>
  <c r="CP7" i="1897"/>
  <c r="CO7" i="1897"/>
  <c r="CM7" i="1897"/>
  <c r="CL7" i="1897"/>
  <c r="CK7" i="1897"/>
  <c r="CJ7" i="1897"/>
  <c r="CI7" i="1897"/>
  <c r="CH7" i="1897"/>
  <c r="CG7" i="1897"/>
  <c r="CF7" i="1897"/>
  <c r="CE7" i="1897"/>
  <c r="CD7" i="1897"/>
  <c r="CC7" i="1897"/>
  <c r="CB7" i="1897"/>
  <c r="CN7" i="1897" s="1"/>
  <c r="BZ7" i="1897"/>
  <c r="BY7" i="1897"/>
  <c r="BX7" i="1897"/>
  <c r="BW7" i="1897"/>
  <c r="BV7" i="1897"/>
  <c r="BU7" i="1897"/>
  <c r="BT7" i="1897"/>
  <c r="BS7" i="1897"/>
  <c r="BR7" i="1897"/>
  <c r="CA7" i="1897" s="1"/>
  <c r="BQ7" i="1897"/>
  <c r="BP7" i="1897"/>
  <c r="BO7" i="1897"/>
  <c r="BM7" i="1897"/>
  <c r="BL7" i="1897"/>
  <c r="BK7" i="1897"/>
  <c r="BJ7" i="1897"/>
  <c r="BI7" i="1897"/>
  <c r="BH7" i="1897"/>
  <c r="BG7" i="1897"/>
  <c r="BF7" i="1897"/>
  <c r="BE7" i="1897"/>
  <c r="BN7" i="1897" s="1"/>
  <c r="BD7" i="1897"/>
  <c r="BC7" i="1897"/>
  <c r="BB7" i="1897"/>
  <c r="AZ7" i="1897"/>
  <c r="AY7" i="1897"/>
  <c r="AX7" i="1897"/>
  <c r="AW7" i="1897"/>
  <c r="AV7" i="1897"/>
  <c r="AU7" i="1897"/>
  <c r="AT7" i="1897"/>
  <c r="AS7" i="1897"/>
  <c r="AR7" i="1897"/>
  <c r="BA7" i="1897" s="1"/>
  <c r="AQ7" i="1897"/>
  <c r="AP7" i="1897"/>
  <c r="AO7" i="1897"/>
  <c r="AM7" i="1897"/>
  <c r="AL7" i="1897"/>
  <c r="AK7" i="1897"/>
  <c r="AJ7" i="1897"/>
  <c r="AI7" i="1897"/>
  <c r="AH7" i="1897"/>
  <c r="AG7" i="1897"/>
  <c r="AF7" i="1897"/>
  <c r="AE7" i="1897"/>
  <c r="AN7" i="1897" s="1"/>
  <c r="AD7" i="1897"/>
  <c r="AC7" i="1897"/>
  <c r="AB7" i="1897"/>
  <c r="Z7" i="1897"/>
  <c r="Y7" i="1897"/>
  <c r="X7" i="1897"/>
  <c r="W7" i="1897"/>
  <c r="V7" i="1897"/>
  <c r="U7" i="1897"/>
  <c r="T7" i="1897"/>
  <c r="S7" i="1897"/>
  <c r="R7" i="1897"/>
  <c r="Q7" i="1897"/>
  <c r="P7" i="1897"/>
  <c r="O7" i="1897"/>
  <c r="AA7" i="1897" s="1"/>
  <c r="M7" i="1897"/>
  <c r="L7" i="1897"/>
  <c r="K7" i="1897"/>
  <c r="J7" i="1897"/>
  <c r="I7" i="1897"/>
  <c r="H7" i="1897"/>
  <c r="G7" i="1897"/>
  <c r="F7" i="1897"/>
  <c r="E7" i="1897"/>
  <c r="D7" i="1897"/>
  <c r="C7" i="1897"/>
  <c r="B7" i="1897"/>
  <c r="EZ7" i="1897"/>
  <c r="EY7" i="1897"/>
  <c r="EX7" i="1897"/>
  <c r="EW7" i="1897"/>
  <c r="EV7" i="1897"/>
  <c r="EU7" i="1897"/>
  <c r="ET7" i="1897"/>
  <c r="ES7" i="1897"/>
  <c r="ER7" i="1897"/>
  <c r="EQ7" i="1897"/>
  <c r="EP7" i="1897"/>
  <c r="EO7" i="1897"/>
  <c r="FJ37" i="1897"/>
  <c r="FJ36" i="1897"/>
  <c r="FJ49" i="1897"/>
  <c r="FJ47" i="1897"/>
  <c r="FJ46" i="1897"/>
  <c r="FJ26" i="1897"/>
  <c r="FJ25" i="1897"/>
  <c r="FJ24" i="1897"/>
  <c r="FJ23" i="1897"/>
  <c r="FJ22" i="1897"/>
  <c r="FJ45" i="1897"/>
  <c r="FJ44" i="1897"/>
  <c r="FJ20" i="1897"/>
  <c r="FJ19" i="1897"/>
  <c r="FJ18" i="1897"/>
  <c r="FJ17" i="1897"/>
  <c r="FJ43" i="1897"/>
  <c r="FJ13" i="1897"/>
  <c r="FJ12" i="1897"/>
  <c r="FJ11" i="1897"/>
  <c r="FJ10" i="1897"/>
  <c r="FJ9" i="1897"/>
  <c r="EA5" i="1896"/>
  <c r="DN5" i="1896"/>
  <c r="DA5" i="1896"/>
  <c r="CN5" i="1896"/>
  <c r="CA5" i="1896"/>
  <c r="BN5" i="1896"/>
  <c r="BA5" i="1896"/>
  <c r="AN5" i="1896"/>
  <c r="AA5" i="1896"/>
  <c r="N5" i="1896"/>
  <c r="DO4" i="1896"/>
  <c r="DB4" i="1896"/>
  <c r="CO4" i="1896"/>
  <c r="CB4" i="1896"/>
  <c r="BO4" i="1896"/>
  <c r="BB4" i="1896"/>
  <c r="AO4" i="1896"/>
  <c r="AB4" i="1896"/>
  <c r="O4" i="1896"/>
  <c r="B4" i="1896"/>
  <c r="FE4" i="1896"/>
  <c r="FJ12" i="1896"/>
  <c r="FJ18" i="1896"/>
  <c r="FJ13" i="1896"/>
  <c r="FJ21" i="1896"/>
  <c r="FJ14" i="1896"/>
  <c r="FJ20" i="1896"/>
  <c r="FJ27" i="1896"/>
  <c r="FJ19" i="1896"/>
  <c r="FJ24" i="1896"/>
  <c r="FJ22" i="1896"/>
  <c r="N26" i="1896"/>
  <c r="N25" i="1896"/>
  <c r="N12" i="1896"/>
  <c r="N33" i="1896"/>
  <c r="N11" i="1896"/>
  <c r="N10" i="1896"/>
  <c r="N23" i="1896"/>
  <c r="N18" i="1896"/>
  <c r="N13" i="1896"/>
  <c r="N21" i="1896"/>
  <c r="N14" i="1896"/>
  <c r="N30" i="1896"/>
  <c r="N31" i="1896"/>
  <c r="N20" i="1896"/>
  <c r="N27" i="1896"/>
  <c r="N19" i="1896"/>
  <c r="N24" i="1896"/>
  <c r="N22" i="1896"/>
  <c r="N17" i="1896"/>
  <c r="N32" i="1896"/>
  <c r="N28" i="1896"/>
  <c r="N15" i="1896"/>
  <c r="N16" i="1896"/>
  <c r="N9" i="1896"/>
  <c r="AA26" i="1896"/>
  <c r="AA25" i="1896"/>
  <c r="AA12" i="1896"/>
  <c r="AA33" i="1896"/>
  <c r="AA11" i="1896"/>
  <c r="AA10" i="1896"/>
  <c r="AA23" i="1896"/>
  <c r="AA18" i="1896"/>
  <c r="AA13" i="1896"/>
  <c r="AA21" i="1896"/>
  <c r="AA14" i="1896"/>
  <c r="AA30" i="1896"/>
  <c r="AA31" i="1896"/>
  <c r="AA20" i="1896"/>
  <c r="AA27" i="1896"/>
  <c r="AA19" i="1896"/>
  <c r="AA24" i="1896"/>
  <c r="AA22" i="1896"/>
  <c r="AA17" i="1896"/>
  <c r="AA32" i="1896"/>
  <c r="AA28" i="1896"/>
  <c r="AA15" i="1896"/>
  <c r="AA16" i="1896"/>
  <c r="AA9" i="1896"/>
  <c r="AN26" i="1896"/>
  <c r="AN25" i="1896"/>
  <c r="AN12" i="1896"/>
  <c r="AN33" i="1896"/>
  <c r="AN11" i="1896"/>
  <c r="AN10" i="1896"/>
  <c r="AN23" i="1896"/>
  <c r="AN18" i="1896"/>
  <c r="AN13" i="1896"/>
  <c r="AN21" i="1896"/>
  <c r="AN14" i="1896"/>
  <c r="AN30" i="1896"/>
  <c r="AN31" i="1896"/>
  <c r="AN20" i="1896"/>
  <c r="AN27" i="1896"/>
  <c r="AN19" i="1896"/>
  <c r="AN24" i="1896"/>
  <c r="AN22" i="1896"/>
  <c r="AN17" i="1896"/>
  <c r="AN32" i="1896"/>
  <c r="AN28" i="1896"/>
  <c r="AN15" i="1896"/>
  <c r="AN16" i="1896"/>
  <c r="AN9" i="1896"/>
  <c r="BA26" i="1896"/>
  <c r="BA25" i="1896"/>
  <c r="BA12" i="1896"/>
  <c r="BA33" i="1896"/>
  <c r="BA11" i="1896"/>
  <c r="BA10" i="1896"/>
  <c r="BA23" i="1896"/>
  <c r="BA18" i="1896"/>
  <c r="BA13" i="1896"/>
  <c r="BA21" i="1896"/>
  <c r="BA14" i="1896"/>
  <c r="BA30" i="1896"/>
  <c r="BA31" i="1896"/>
  <c r="BA20" i="1896"/>
  <c r="BA27" i="1896"/>
  <c r="BA19" i="1896"/>
  <c r="BA24" i="1896"/>
  <c r="BA22" i="1896"/>
  <c r="BA17" i="1896"/>
  <c r="BA32" i="1896"/>
  <c r="BA28" i="1896"/>
  <c r="BA15" i="1896"/>
  <c r="BA16" i="1896"/>
  <c r="BA9" i="1896"/>
  <c r="BN26" i="1896"/>
  <c r="BN25" i="1896"/>
  <c r="BN12" i="1896"/>
  <c r="BN33" i="1896"/>
  <c r="BN11" i="1896"/>
  <c r="BN10" i="1896"/>
  <c r="BN23" i="1896"/>
  <c r="BN18" i="1896"/>
  <c r="BN13" i="1896"/>
  <c r="BN21" i="1896"/>
  <c r="BN14" i="1896"/>
  <c r="BN30" i="1896"/>
  <c r="BN31" i="1896"/>
  <c r="BN20" i="1896"/>
  <c r="BN27" i="1896"/>
  <c r="BN19" i="1896"/>
  <c r="BN24" i="1896"/>
  <c r="BN22" i="1896"/>
  <c r="BN17" i="1896"/>
  <c r="BN32" i="1896"/>
  <c r="BN28" i="1896"/>
  <c r="BN15" i="1896"/>
  <c r="BN16" i="1896"/>
  <c r="BN9" i="1896"/>
  <c r="CA26" i="1896"/>
  <c r="CA25" i="1896"/>
  <c r="CA12" i="1896"/>
  <c r="CA33" i="1896"/>
  <c r="CA11" i="1896"/>
  <c r="CA10" i="1896"/>
  <c r="CA23" i="1896"/>
  <c r="CA18" i="1896"/>
  <c r="CA13" i="1896"/>
  <c r="CA21" i="1896"/>
  <c r="CA14" i="1896"/>
  <c r="CA30" i="1896"/>
  <c r="CA31" i="1896"/>
  <c r="CA20" i="1896"/>
  <c r="CA27" i="1896"/>
  <c r="CA19" i="1896"/>
  <c r="CA24" i="1896"/>
  <c r="CA22" i="1896"/>
  <c r="CA17" i="1896"/>
  <c r="CA32" i="1896"/>
  <c r="CA28" i="1896"/>
  <c r="CA15" i="1896"/>
  <c r="CA16" i="1896"/>
  <c r="CA9" i="1896"/>
  <c r="CN26" i="1896"/>
  <c r="CN25" i="1896"/>
  <c r="CN12" i="1896"/>
  <c r="CN33" i="1896"/>
  <c r="CN11" i="1896"/>
  <c r="CN10" i="1896"/>
  <c r="CN23" i="1896"/>
  <c r="CN18" i="1896"/>
  <c r="CN13" i="1896"/>
  <c r="CN21" i="1896"/>
  <c r="CN14" i="1896"/>
  <c r="CN30" i="1896"/>
  <c r="CN31" i="1896"/>
  <c r="CN20" i="1896"/>
  <c r="CN27" i="1896"/>
  <c r="CN19" i="1896"/>
  <c r="CN24" i="1896"/>
  <c r="CN22" i="1896"/>
  <c r="CN17" i="1896"/>
  <c r="CN32" i="1896"/>
  <c r="CN28" i="1896"/>
  <c r="CN15" i="1896"/>
  <c r="CN16" i="1896"/>
  <c r="CN9" i="1896"/>
  <c r="DA26" i="1896"/>
  <c r="DA25" i="1896"/>
  <c r="DA12" i="1896"/>
  <c r="DA33" i="1896"/>
  <c r="DA11" i="1896"/>
  <c r="DA10" i="1896"/>
  <c r="DA23" i="1896"/>
  <c r="DA18" i="1896"/>
  <c r="DA13" i="1896"/>
  <c r="DA21" i="1896"/>
  <c r="DA14" i="1896"/>
  <c r="DA30" i="1896"/>
  <c r="DA31" i="1896"/>
  <c r="DA20" i="1896"/>
  <c r="DA27" i="1896"/>
  <c r="DA19" i="1896"/>
  <c r="DA24" i="1896"/>
  <c r="DA22" i="1896"/>
  <c r="DA17" i="1896"/>
  <c r="DA32" i="1896"/>
  <c r="DA28" i="1896"/>
  <c r="DA15" i="1896"/>
  <c r="DA16" i="1896"/>
  <c r="DA9" i="1896"/>
  <c r="DN26" i="1896"/>
  <c r="DN25" i="1896"/>
  <c r="DN12" i="1896"/>
  <c r="DN33" i="1896"/>
  <c r="DN11" i="1896"/>
  <c r="DN10" i="1896"/>
  <c r="DN23" i="1896"/>
  <c r="DN18" i="1896"/>
  <c r="DN13" i="1896"/>
  <c r="DN21" i="1896"/>
  <c r="DN14" i="1896"/>
  <c r="DN30" i="1896"/>
  <c r="DN31" i="1896"/>
  <c r="DN20" i="1896"/>
  <c r="DN27" i="1896"/>
  <c r="DN19" i="1896"/>
  <c r="DN24" i="1896"/>
  <c r="DN22" i="1896"/>
  <c r="DN17" i="1896"/>
  <c r="DN32" i="1896"/>
  <c r="DN28" i="1896"/>
  <c r="DN15" i="1896"/>
  <c r="DN16" i="1896"/>
  <c r="DN9" i="1896"/>
  <c r="EA26" i="1896"/>
  <c r="EA25" i="1896"/>
  <c r="EA12" i="1896"/>
  <c r="EA33" i="1896"/>
  <c r="EA11" i="1896"/>
  <c r="EA10" i="1896"/>
  <c r="EA23" i="1896"/>
  <c r="EA18" i="1896"/>
  <c r="EA13" i="1896"/>
  <c r="EA21" i="1896"/>
  <c r="EA14" i="1896"/>
  <c r="EA30" i="1896"/>
  <c r="EA31" i="1896"/>
  <c r="EA20" i="1896"/>
  <c r="EA27" i="1896"/>
  <c r="EA19" i="1896"/>
  <c r="EA24" i="1896"/>
  <c r="EA22" i="1896"/>
  <c r="EA17" i="1896"/>
  <c r="EA32" i="1896"/>
  <c r="EA28" i="1896"/>
  <c r="EA15" i="1896"/>
  <c r="EA16" i="1896"/>
  <c r="EA9" i="1896"/>
  <c r="FJ23" i="1896"/>
  <c r="FJ10" i="1896"/>
  <c r="FJ11" i="1896"/>
  <c r="FJ33" i="1896"/>
  <c r="FJ25" i="1896"/>
  <c r="FJ26" i="1896"/>
  <c r="FJ30" i="1896"/>
  <c r="FJ31" i="1896"/>
  <c r="FJ17" i="1896"/>
  <c r="FJ32" i="1896"/>
  <c r="FJ28" i="1896"/>
  <c r="FJ15" i="1896"/>
  <c r="FJ16" i="1896"/>
  <c r="FJ9" i="1896"/>
  <c r="FC5" i="1896"/>
  <c r="FP5" i="1895"/>
  <c r="FW41" i="1895"/>
  <c r="FW40" i="1895"/>
  <c r="FW39" i="1895"/>
  <c r="FW38" i="1895"/>
  <c r="FW31" i="1895"/>
  <c r="FW30" i="1895"/>
  <c r="FW29" i="1895"/>
  <c r="FW28" i="1895"/>
  <c r="FW27" i="1895"/>
  <c r="FW26" i="1895"/>
  <c r="FW21" i="1895"/>
  <c r="FW20" i="1895"/>
  <c r="FW19" i="1895"/>
  <c r="FW18" i="1895"/>
  <c r="FW17" i="1895"/>
  <c r="FW16" i="1895"/>
  <c r="FW15" i="1895"/>
  <c r="FW14" i="1895"/>
  <c r="FW10" i="1895"/>
  <c r="FW9" i="1895"/>
  <c r="N49" i="1895"/>
  <c r="FU49" i="1895" s="1"/>
  <c r="N48" i="1895"/>
  <c r="N47" i="1895"/>
  <c r="N46" i="1895"/>
  <c r="N45" i="1895"/>
  <c r="N44" i="1895"/>
  <c r="N43" i="1895"/>
  <c r="N42" i="1895"/>
  <c r="N41" i="1895"/>
  <c r="N40" i="1895"/>
  <c r="N39" i="1895"/>
  <c r="N38" i="1895"/>
  <c r="N37" i="1895"/>
  <c r="FU37" i="1895" s="1"/>
  <c r="N36" i="1895"/>
  <c r="N35" i="1895"/>
  <c r="N34" i="1895"/>
  <c r="N33" i="1895"/>
  <c r="N32" i="1895"/>
  <c r="N31" i="1895"/>
  <c r="N30" i="1895"/>
  <c r="N29" i="1895"/>
  <c r="N28" i="1895"/>
  <c r="N27" i="1895"/>
  <c r="N26" i="1895"/>
  <c r="N25" i="1895"/>
  <c r="FU25" i="1895" s="1"/>
  <c r="N24" i="1895"/>
  <c r="N23" i="1895"/>
  <c r="N22" i="1895"/>
  <c r="N21" i="1895"/>
  <c r="N20" i="1895"/>
  <c r="N19" i="1895"/>
  <c r="N18" i="1895"/>
  <c r="N17" i="1895"/>
  <c r="N16" i="1895"/>
  <c r="N15" i="1895"/>
  <c r="N14" i="1895"/>
  <c r="N13" i="1895"/>
  <c r="FU13" i="1895" s="1"/>
  <c r="N12" i="1895"/>
  <c r="N11" i="1895"/>
  <c r="N10" i="1895"/>
  <c r="N9" i="1895"/>
  <c r="N5" i="1895"/>
  <c r="FS9" i="1895" s="1"/>
  <c r="AA49" i="1895"/>
  <c r="AA48" i="1895"/>
  <c r="AA47" i="1895"/>
  <c r="AA46" i="1895"/>
  <c r="AA45" i="1895"/>
  <c r="AA44" i="1895"/>
  <c r="AA43" i="1895"/>
  <c r="AA42" i="1895"/>
  <c r="AA41" i="1895"/>
  <c r="AA40" i="1895"/>
  <c r="AA39" i="1895"/>
  <c r="AA38" i="1895"/>
  <c r="AA37" i="1895"/>
  <c r="AA36" i="1895"/>
  <c r="AA35" i="1895"/>
  <c r="AA34" i="1895"/>
  <c r="AA33" i="1895"/>
  <c r="AA32" i="1895"/>
  <c r="AA31" i="1895"/>
  <c r="AA30" i="1895"/>
  <c r="AA29" i="1895"/>
  <c r="AA28" i="1895"/>
  <c r="AA27" i="1895"/>
  <c r="AA26" i="1895"/>
  <c r="AA25" i="1895"/>
  <c r="AA24" i="1895"/>
  <c r="FU24" i="1895" s="1"/>
  <c r="AA23" i="1895"/>
  <c r="AA22" i="1895"/>
  <c r="AA21" i="1895"/>
  <c r="AA20" i="1895"/>
  <c r="AA19" i="1895"/>
  <c r="AA18" i="1895"/>
  <c r="AA17" i="1895"/>
  <c r="AA16" i="1895"/>
  <c r="AA15" i="1895"/>
  <c r="AA14" i="1895"/>
  <c r="AA13" i="1895"/>
  <c r="AA12" i="1895"/>
  <c r="AA11" i="1895"/>
  <c r="AA10" i="1895"/>
  <c r="AA9" i="1895"/>
  <c r="AA5" i="1895"/>
  <c r="AN49" i="1895"/>
  <c r="AN48" i="1895"/>
  <c r="AN47" i="1895"/>
  <c r="AN46" i="1895"/>
  <c r="AN45" i="1895"/>
  <c r="AN44" i="1895"/>
  <c r="AN43" i="1895"/>
  <c r="AN42" i="1895"/>
  <c r="AN41" i="1895"/>
  <c r="AN40" i="1895"/>
  <c r="AN39" i="1895"/>
  <c r="AN38" i="1895"/>
  <c r="AN37" i="1895"/>
  <c r="AN36" i="1895"/>
  <c r="AN35" i="1895"/>
  <c r="AN34" i="1895"/>
  <c r="AN33" i="1895"/>
  <c r="AN32" i="1895"/>
  <c r="AN31" i="1895"/>
  <c r="AN30" i="1895"/>
  <c r="AN29" i="1895"/>
  <c r="AN28" i="1895"/>
  <c r="AN27" i="1895"/>
  <c r="AN26" i="1895"/>
  <c r="AN25" i="1895"/>
  <c r="AN24" i="1895"/>
  <c r="AN23" i="1895"/>
  <c r="AN22" i="1895"/>
  <c r="AN21" i="1895"/>
  <c r="AN20" i="1895"/>
  <c r="AN19" i="1895"/>
  <c r="AN18" i="1895"/>
  <c r="AN17" i="1895"/>
  <c r="AN16" i="1895"/>
  <c r="AN15" i="1895"/>
  <c r="AN14" i="1895"/>
  <c r="AN13" i="1895"/>
  <c r="AN12" i="1895"/>
  <c r="AN11" i="1895"/>
  <c r="AN10" i="1895"/>
  <c r="AN9" i="1895"/>
  <c r="AN5" i="1895"/>
  <c r="BA49" i="1895"/>
  <c r="BA48" i="1895"/>
  <c r="BA47" i="1895"/>
  <c r="BA46" i="1895"/>
  <c r="BA45" i="1895"/>
  <c r="BA44" i="1895"/>
  <c r="BA43" i="1895"/>
  <c r="BA42" i="1895"/>
  <c r="BA41" i="1895"/>
  <c r="BA40" i="1895"/>
  <c r="BA39" i="1895"/>
  <c r="BA38" i="1895"/>
  <c r="BA37" i="1895"/>
  <c r="BA36" i="1895"/>
  <c r="FU36" i="1895" s="1"/>
  <c r="BA35" i="1895"/>
  <c r="BA34" i="1895"/>
  <c r="BA33" i="1895"/>
  <c r="BA32" i="1895"/>
  <c r="BA31" i="1895"/>
  <c r="BA30" i="1895"/>
  <c r="BA29" i="1895"/>
  <c r="BA28" i="1895"/>
  <c r="BA27" i="1895"/>
  <c r="BA26" i="1895"/>
  <c r="BA25" i="1895"/>
  <c r="BA24" i="1895"/>
  <c r="BA23" i="1895"/>
  <c r="BA22" i="1895"/>
  <c r="BA21" i="1895"/>
  <c r="BA20" i="1895"/>
  <c r="BA19" i="1895"/>
  <c r="BA18" i="1895"/>
  <c r="BA17" i="1895"/>
  <c r="BA16" i="1895"/>
  <c r="BA15" i="1895"/>
  <c r="BA14" i="1895"/>
  <c r="BA13" i="1895"/>
  <c r="BA12" i="1895"/>
  <c r="BA11" i="1895"/>
  <c r="BA10" i="1895"/>
  <c r="BA9" i="1895"/>
  <c r="BA5" i="1895"/>
  <c r="BN49" i="1895"/>
  <c r="BN48" i="1895"/>
  <c r="BN47" i="1895"/>
  <c r="BN46" i="1895"/>
  <c r="BN45" i="1895"/>
  <c r="BN44" i="1895"/>
  <c r="BN43" i="1895"/>
  <c r="BN42" i="1895"/>
  <c r="BN41" i="1895"/>
  <c r="BN40" i="1895"/>
  <c r="BN39" i="1895"/>
  <c r="BN38" i="1895"/>
  <c r="BN37" i="1895"/>
  <c r="BN36" i="1895"/>
  <c r="BN35" i="1895"/>
  <c r="BN34" i="1895"/>
  <c r="BN33" i="1895"/>
  <c r="BN32" i="1895"/>
  <c r="BN31" i="1895"/>
  <c r="BN30" i="1895"/>
  <c r="BN29" i="1895"/>
  <c r="BN28" i="1895"/>
  <c r="BN27" i="1895"/>
  <c r="BN26" i="1895"/>
  <c r="BN25" i="1895"/>
  <c r="BN24" i="1895"/>
  <c r="BN23" i="1895"/>
  <c r="BN22" i="1895"/>
  <c r="BN21" i="1895"/>
  <c r="BN20" i="1895"/>
  <c r="BN19" i="1895"/>
  <c r="BN18" i="1895"/>
  <c r="BN17" i="1895"/>
  <c r="BN16" i="1895"/>
  <c r="BN15" i="1895"/>
  <c r="BN14" i="1895"/>
  <c r="BN13" i="1895"/>
  <c r="BN12" i="1895"/>
  <c r="BN11" i="1895"/>
  <c r="BN10" i="1895"/>
  <c r="BN9" i="1895"/>
  <c r="BN5" i="1895"/>
  <c r="CA49" i="1895"/>
  <c r="CA48" i="1895"/>
  <c r="FU48" i="1895" s="1"/>
  <c r="CA47" i="1895"/>
  <c r="CA46" i="1895"/>
  <c r="CA45" i="1895"/>
  <c r="CA44" i="1895"/>
  <c r="CA43" i="1895"/>
  <c r="CA42" i="1895"/>
  <c r="CA41" i="1895"/>
  <c r="CA40" i="1895"/>
  <c r="CA39" i="1895"/>
  <c r="CA38" i="1895"/>
  <c r="CA37" i="1895"/>
  <c r="CA36" i="1895"/>
  <c r="CA35" i="1895"/>
  <c r="CA34" i="1895"/>
  <c r="CA33" i="1895"/>
  <c r="CA32" i="1895"/>
  <c r="CA31" i="1895"/>
  <c r="CA30" i="1895"/>
  <c r="CA29" i="1895"/>
  <c r="CA28" i="1895"/>
  <c r="CA27" i="1895"/>
  <c r="CA26" i="1895"/>
  <c r="CA25" i="1895"/>
  <c r="CA24" i="1895"/>
  <c r="CA23" i="1895"/>
  <c r="CA22" i="1895"/>
  <c r="CA21" i="1895"/>
  <c r="CA20" i="1895"/>
  <c r="CA19" i="1895"/>
  <c r="CA18" i="1895"/>
  <c r="CA17" i="1895"/>
  <c r="CA16" i="1895"/>
  <c r="CA15" i="1895"/>
  <c r="CA14" i="1895"/>
  <c r="CA13" i="1895"/>
  <c r="CA12" i="1895"/>
  <c r="CA11" i="1895"/>
  <c r="CA10" i="1895"/>
  <c r="CA9" i="1895"/>
  <c r="CA5" i="1895"/>
  <c r="CN49" i="1895"/>
  <c r="CN48" i="1895"/>
  <c r="CN47" i="1895"/>
  <c r="CN46" i="1895"/>
  <c r="CN45" i="1895"/>
  <c r="CN44" i="1895"/>
  <c r="CN43" i="1895"/>
  <c r="CN42" i="1895"/>
  <c r="CN41" i="1895"/>
  <c r="CN40" i="1895"/>
  <c r="CN39" i="1895"/>
  <c r="CN38" i="1895"/>
  <c r="CN37" i="1895"/>
  <c r="CN36" i="1895"/>
  <c r="CN35" i="1895"/>
  <c r="CN34" i="1895"/>
  <c r="CN33" i="1895"/>
  <c r="CN32" i="1895"/>
  <c r="CN31" i="1895"/>
  <c r="CN30" i="1895"/>
  <c r="CN29" i="1895"/>
  <c r="CN28" i="1895"/>
  <c r="CN27" i="1895"/>
  <c r="CN26" i="1895"/>
  <c r="CN25" i="1895"/>
  <c r="CN24" i="1895"/>
  <c r="CN23" i="1895"/>
  <c r="CN22" i="1895"/>
  <c r="CN21" i="1895"/>
  <c r="CN20" i="1895"/>
  <c r="CN19" i="1895"/>
  <c r="CN18" i="1895"/>
  <c r="CN17" i="1895"/>
  <c r="CN16" i="1895"/>
  <c r="CN15" i="1895"/>
  <c r="CN14" i="1895"/>
  <c r="CN13" i="1895"/>
  <c r="CN12" i="1895"/>
  <c r="CN11" i="1895"/>
  <c r="CN10" i="1895"/>
  <c r="CN9" i="1895"/>
  <c r="CN5" i="1895"/>
  <c r="DA49" i="1895"/>
  <c r="DA48" i="1895"/>
  <c r="DA47" i="1895"/>
  <c r="DA46" i="1895"/>
  <c r="DA45" i="1895"/>
  <c r="DA44" i="1895"/>
  <c r="DA43" i="1895"/>
  <c r="DA42" i="1895"/>
  <c r="DA41" i="1895"/>
  <c r="DA40" i="1895"/>
  <c r="DA39" i="1895"/>
  <c r="DA38" i="1895"/>
  <c r="DA37" i="1895"/>
  <c r="DA36" i="1895"/>
  <c r="DA35" i="1895"/>
  <c r="DA34" i="1895"/>
  <c r="DA33" i="1895"/>
  <c r="DA32" i="1895"/>
  <c r="DA31" i="1895"/>
  <c r="DA30" i="1895"/>
  <c r="DA29" i="1895"/>
  <c r="DA28" i="1895"/>
  <c r="DA27" i="1895"/>
  <c r="DA26" i="1895"/>
  <c r="DA25" i="1895"/>
  <c r="DA24" i="1895"/>
  <c r="DA23" i="1895"/>
  <c r="DA22" i="1895"/>
  <c r="DA21" i="1895"/>
  <c r="DA20" i="1895"/>
  <c r="DA19" i="1895"/>
  <c r="DA18" i="1895"/>
  <c r="DA17" i="1895"/>
  <c r="DA16" i="1895"/>
  <c r="DA15" i="1895"/>
  <c r="DA14" i="1895"/>
  <c r="DA13" i="1895"/>
  <c r="DA12" i="1895"/>
  <c r="DA11" i="1895"/>
  <c r="DA10" i="1895"/>
  <c r="DA9" i="1895"/>
  <c r="DA5" i="1895"/>
  <c r="DN49" i="1895"/>
  <c r="DN48" i="1895"/>
  <c r="DN47" i="1895"/>
  <c r="DN46" i="1895"/>
  <c r="DN45" i="1895"/>
  <c r="DN44" i="1895"/>
  <c r="DN43" i="1895"/>
  <c r="DN42" i="1895"/>
  <c r="DN41" i="1895"/>
  <c r="DN40" i="1895"/>
  <c r="DN39" i="1895"/>
  <c r="DN38" i="1895"/>
  <c r="DN37" i="1895"/>
  <c r="DN36" i="1895"/>
  <c r="DN35" i="1895"/>
  <c r="DN34" i="1895"/>
  <c r="DN33" i="1895"/>
  <c r="DN32" i="1895"/>
  <c r="DN31" i="1895"/>
  <c r="DN30" i="1895"/>
  <c r="DN29" i="1895"/>
  <c r="DN28" i="1895"/>
  <c r="DN27" i="1895"/>
  <c r="DN26" i="1895"/>
  <c r="DN25" i="1895"/>
  <c r="DN24" i="1895"/>
  <c r="DN23" i="1895"/>
  <c r="DN22" i="1895"/>
  <c r="DN21" i="1895"/>
  <c r="DN20" i="1895"/>
  <c r="DN19" i="1895"/>
  <c r="DN18" i="1895"/>
  <c r="DN17" i="1895"/>
  <c r="DN16" i="1895"/>
  <c r="DN15" i="1895"/>
  <c r="DN14" i="1895"/>
  <c r="DN13" i="1895"/>
  <c r="DN12" i="1895"/>
  <c r="DN11" i="1895"/>
  <c r="DN10" i="1895"/>
  <c r="DN9" i="1895"/>
  <c r="DN5" i="1895"/>
  <c r="EA49" i="1895"/>
  <c r="EA48" i="1895"/>
  <c r="EA47" i="1895"/>
  <c r="EA46" i="1895"/>
  <c r="EA45" i="1895"/>
  <c r="EA44" i="1895"/>
  <c r="EA43" i="1895"/>
  <c r="EA42" i="1895"/>
  <c r="EA41" i="1895"/>
  <c r="EA40" i="1895"/>
  <c r="EA39" i="1895"/>
  <c r="EA38" i="1895"/>
  <c r="EA37" i="1895"/>
  <c r="EA36" i="1895"/>
  <c r="EA35" i="1895"/>
  <c r="EA34" i="1895"/>
  <c r="EA33" i="1895"/>
  <c r="EA32" i="1895"/>
  <c r="EA31" i="1895"/>
  <c r="EA30" i="1895"/>
  <c r="EA29" i="1895"/>
  <c r="EA28" i="1895"/>
  <c r="EA27" i="1895"/>
  <c r="EA26" i="1895"/>
  <c r="EA25" i="1895"/>
  <c r="EA24" i="1895"/>
  <c r="EA23" i="1895"/>
  <c r="EA22" i="1895"/>
  <c r="EA21" i="1895"/>
  <c r="EA20" i="1895"/>
  <c r="EA19" i="1895"/>
  <c r="EA18" i="1895"/>
  <c r="EA17" i="1895"/>
  <c r="EA16" i="1895"/>
  <c r="EA15" i="1895"/>
  <c r="EA14" i="1895"/>
  <c r="EA13" i="1895"/>
  <c r="EA12" i="1895"/>
  <c r="EA11" i="1895"/>
  <c r="EA10" i="1895"/>
  <c r="EA9" i="1895"/>
  <c r="EA5" i="1895"/>
  <c r="EN49" i="1895"/>
  <c r="EN48" i="1895"/>
  <c r="EN47" i="1895"/>
  <c r="EN46" i="1895"/>
  <c r="EN45" i="1895"/>
  <c r="EN44" i="1895"/>
  <c r="EN43" i="1895"/>
  <c r="EN42" i="1895"/>
  <c r="EN41" i="1895"/>
  <c r="EN40" i="1895"/>
  <c r="EN39" i="1895"/>
  <c r="EN38" i="1895"/>
  <c r="EN37" i="1895"/>
  <c r="EN36" i="1895"/>
  <c r="EN35" i="1895"/>
  <c r="EN34" i="1895"/>
  <c r="EN33" i="1895"/>
  <c r="EN32" i="1895"/>
  <c r="EN31" i="1895"/>
  <c r="EN30" i="1895"/>
  <c r="EN29" i="1895"/>
  <c r="EN28" i="1895"/>
  <c r="EN27" i="1895"/>
  <c r="EN26" i="1895"/>
  <c r="EN25" i="1895"/>
  <c r="EN24" i="1895"/>
  <c r="EN23" i="1895"/>
  <c r="EN22" i="1895"/>
  <c r="EN21" i="1895"/>
  <c r="EN20" i="1895"/>
  <c r="EN19" i="1895"/>
  <c r="EN18" i="1895"/>
  <c r="EN17" i="1895"/>
  <c r="EN16" i="1895"/>
  <c r="EN15" i="1895"/>
  <c r="EN14" i="1895"/>
  <c r="EN13" i="1895"/>
  <c r="EN12" i="1895"/>
  <c r="EN11" i="1895"/>
  <c r="EN10" i="1895"/>
  <c r="EN9" i="1895"/>
  <c r="EN5" i="1895"/>
  <c r="FA49" i="1895"/>
  <c r="FA48" i="1895"/>
  <c r="FA47" i="1895"/>
  <c r="FA46" i="1895"/>
  <c r="FA45" i="1895"/>
  <c r="FA44" i="1895"/>
  <c r="FA43" i="1895"/>
  <c r="FA42" i="1895"/>
  <c r="FA41" i="1895"/>
  <c r="FA40" i="1895"/>
  <c r="FA39" i="1895"/>
  <c r="FA38" i="1895"/>
  <c r="FA37" i="1895"/>
  <c r="FA36" i="1895"/>
  <c r="FA35" i="1895"/>
  <c r="FA34" i="1895"/>
  <c r="FA33" i="1895"/>
  <c r="FA32" i="1895"/>
  <c r="FA31" i="1895"/>
  <c r="FA30" i="1895"/>
  <c r="FA29" i="1895"/>
  <c r="FA28" i="1895"/>
  <c r="FA27" i="1895"/>
  <c r="FA26" i="1895"/>
  <c r="FA25" i="1895"/>
  <c r="FA24" i="1895"/>
  <c r="FA23" i="1895"/>
  <c r="FA22" i="1895"/>
  <c r="FA21" i="1895"/>
  <c r="FA20" i="1895"/>
  <c r="FA19" i="1895"/>
  <c r="FA18" i="1895"/>
  <c r="FA17" i="1895"/>
  <c r="FA16" i="1895"/>
  <c r="FA15" i="1895"/>
  <c r="FA14" i="1895"/>
  <c r="FA13" i="1895"/>
  <c r="FA12" i="1895"/>
  <c r="FA11" i="1895"/>
  <c r="FA10" i="1895"/>
  <c r="FA9" i="1895"/>
  <c r="FA5" i="1895"/>
  <c r="EZ7" i="1895"/>
  <c r="EY7" i="1895"/>
  <c r="EX7" i="1895"/>
  <c r="EW7" i="1895"/>
  <c r="EV7" i="1895"/>
  <c r="EU7" i="1895"/>
  <c r="ET7" i="1895"/>
  <c r="ES7" i="1895"/>
  <c r="ER7" i="1895"/>
  <c r="EQ7" i="1895"/>
  <c r="EP7" i="1895"/>
  <c r="EO7" i="1895"/>
  <c r="FA7" i="1895" s="1"/>
  <c r="EM7" i="1895"/>
  <c r="EL7" i="1895"/>
  <c r="EK7" i="1895"/>
  <c r="EJ7" i="1895"/>
  <c r="EI7" i="1895"/>
  <c r="EH7" i="1895"/>
  <c r="EG7" i="1895"/>
  <c r="EF7" i="1895"/>
  <c r="EE7" i="1895"/>
  <c r="ED7" i="1895"/>
  <c r="EC7" i="1895"/>
  <c r="EB7" i="1895"/>
  <c r="EN7" i="1895" s="1"/>
  <c r="DZ7" i="1895"/>
  <c r="DY7" i="1895"/>
  <c r="DX7" i="1895"/>
  <c r="DW7" i="1895"/>
  <c r="DV7" i="1895"/>
  <c r="DU7" i="1895"/>
  <c r="DT7" i="1895"/>
  <c r="DS7" i="1895"/>
  <c r="DR7" i="1895"/>
  <c r="DQ7" i="1895"/>
  <c r="DP7" i="1895"/>
  <c r="DO7" i="1895"/>
  <c r="EA7" i="1895" s="1"/>
  <c r="DM7" i="1895"/>
  <c r="DL7" i="1895"/>
  <c r="DK7" i="1895"/>
  <c r="DJ7" i="1895"/>
  <c r="DI7" i="1895"/>
  <c r="DH7" i="1895"/>
  <c r="DG7" i="1895"/>
  <c r="DF7" i="1895"/>
  <c r="DE7" i="1895"/>
  <c r="DD7" i="1895"/>
  <c r="DC7" i="1895"/>
  <c r="DB7" i="1895"/>
  <c r="DN7" i="1895" s="1"/>
  <c r="CZ7" i="1895"/>
  <c r="CY7" i="1895"/>
  <c r="CX7" i="1895"/>
  <c r="CW7" i="1895"/>
  <c r="CV7" i="1895"/>
  <c r="CU7" i="1895"/>
  <c r="CT7" i="1895"/>
  <c r="CS7" i="1895"/>
  <c r="CR7" i="1895"/>
  <c r="CQ7" i="1895"/>
  <c r="CP7" i="1895"/>
  <c r="CO7" i="1895"/>
  <c r="DA7" i="1895" s="1"/>
  <c r="CM7" i="1895"/>
  <c r="CL7" i="1895"/>
  <c r="CK7" i="1895"/>
  <c r="CJ7" i="1895"/>
  <c r="CI7" i="1895"/>
  <c r="CH7" i="1895"/>
  <c r="CG7" i="1895"/>
  <c r="CF7" i="1895"/>
  <c r="CE7" i="1895"/>
  <c r="CD7" i="1895"/>
  <c r="CC7" i="1895"/>
  <c r="CB7" i="1895"/>
  <c r="CN7" i="1895" s="1"/>
  <c r="BZ7" i="1895"/>
  <c r="BY7" i="1895"/>
  <c r="BX7" i="1895"/>
  <c r="BW7" i="1895"/>
  <c r="BV7" i="1895"/>
  <c r="BU7" i="1895"/>
  <c r="BT7" i="1895"/>
  <c r="BS7" i="1895"/>
  <c r="BR7" i="1895"/>
  <c r="BQ7" i="1895"/>
  <c r="BP7" i="1895"/>
  <c r="BO7" i="1895"/>
  <c r="CA7" i="1895" s="1"/>
  <c r="BM7" i="1895"/>
  <c r="BL7" i="1895"/>
  <c r="BK7" i="1895"/>
  <c r="BJ7" i="1895"/>
  <c r="BI7" i="1895"/>
  <c r="BH7" i="1895"/>
  <c r="BG7" i="1895"/>
  <c r="BF7" i="1895"/>
  <c r="BE7" i="1895"/>
  <c r="BD7" i="1895"/>
  <c r="BC7" i="1895"/>
  <c r="BB7" i="1895"/>
  <c r="BN7" i="1895" s="1"/>
  <c r="AZ7" i="1895"/>
  <c r="AY7" i="1895"/>
  <c r="AX7" i="1895"/>
  <c r="AW7" i="1895"/>
  <c r="AV7" i="1895"/>
  <c r="AU7" i="1895"/>
  <c r="AT7" i="1895"/>
  <c r="AS7" i="1895"/>
  <c r="AR7" i="1895"/>
  <c r="AQ7" i="1895"/>
  <c r="AP7" i="1895"/>
  <c r="AO7" i="1895"/>
  <c r="BA7" i="1895" s="1"/>
  <c r="AM7" i="1895"/>
  <c r="AL7" i="1895"/>
  <c r="AK7" i="1895"/>
  <c r="AJ7" i="1895"/>
  <c r="AI7" i="1895"/>
  <c r="AH7" i="1895"/>
  <c r="AG7" i="1895"/>
  <c r="AF7" i="1895"/>
  <c r="AE7" i="1895"/>
  <c r="AD7" i="1895"/>
  <c r="AC7" i="1895"/>
  <c r="AB7" i="1895"/>
  <c r="AN7" i="1895" s="1"/>
  <c r="Z7" i="1895"/>
  <c r="AA7" i="1895" s="1"/>
  <c r="Y7" i="1895"/>
  <c r="X7" i="1895"/>
  <c r="W7" i="1895"/>
  <c r="V7" i="1895"/>
  <c r="U7" i="1895"/>
  <c r="T7" i="1895"/>
  <c r="S7" i="1895"/>
  <c r="R7" i="1895"/>
  <c r="Q7" i="1895"/>
  <c r="P7" i="1895"/>
  <c r="O7" i="1895"/>
  <c r="M7" i="1895"/>
  <c r="L7" i="1895"/>
  <c r="K7" i="1895"/>
  <c r="J7" i="1895"/>
  <c r="I7" i="1895"/>
  <c r="H7" i="1895"/>
  <c r="G7" i="1895"/>
  <c r="F7" i="1895"/>
  <c r="E7" i="1895"/>
  <c r="D7" i="1895"/>
  <c r="C7" i="1895"/>
  <c r="B7" i="1895"/>
  <c r="N7" i="1895" s="1"/>
  <c r="FN49" i="1895"/>
  <c r="FN48" i="1895"/>
  <c r="FN47" i="1895"/>
  <c r="FN46" i="1895"/>
  <c r="FN45" i="1895"/>
  <c r="FN44" i="1895"/>
  <c r="FN43" i="1895"/>
  <c r="FN42" i="1895"/>
  <c r="FN41" i="1895"/>
  <c r="FN40" i="1895"/>
  <c r="FN39" i="1895"/>
  <c r="FN38" i="1895"/>
  <c r="FN37" i="1895"/>
  <c r="FN36" i="1895"/>
  <c r="FN35" i="1895"/>
  <c r="FN34" i="1895"/>
  <c r="FN33" i="1895"/>
  <c r="FN32" i="1895"/>
  <c r="FN31" i="1895"/>
  <c r="FN30" i="1895"/>
  <c r="FN29" i="1895"/>
  <c r="FN28" i="1895"/>
  <c r="FN27" i="1895"/>
  <c r="FN26" i="1895"/>
  <c r="FN25" i="1895"/>
  <c r="FN24" i="1895"/>
  <c r="FN23" i="1895"/>
  <c r="FN22" i="1895"/>
  <c r="FN21" i="1895"/>
  <c r="FN20" i="1895"/>
  <c r="FN19" i="1895"/>
  <c r="FN18" i="1895"/>
  <c r="FN17" i="1895"/>
  <c r="FN16" i="1895"/>
  <c r="FN15" i="1895"/>
  <c r="FN14" i="1895"/>
  <c r="FN13" i="1895"/>
  <c r="FN12" i="1895"/>
  <c r="FN11" i="1895"/>
  <c r="FN10" i="1895"/>
  <c r="FN9" i="1895"/>
  <c r="FM7" i="1895"/>
  <c r="FL7" i="1895"/>
  <c r="FK7" i="1895"/>
  <c r="FJ7" i="1895"/>
  <c r="FI7" i="1895"/>
  <c r="FH7" i="1895"/>
  <c r="FG7" i="1895"/>
  <c r="FF7" i="1895"/>
  <c r="FE7" i="1895"/>
  <c r="FD7" i="1895"/>
  <c r="FC7" i="1895"/>
  <c r="FB7" i="1895"/>
  <c r="FW49" i="1895"/>
  <c r="FW48" i="1895"/>
  <c r="FW47" i="1895"/>
  <c r="FW46" i="1895"/>
  <c r="FW45" i="1895"/>
  <c r="FW44" i="1895"/>
  <c r="FW43" i="1895"/>
  <c r="FW42" i="1895"/>
  <c r="FW37" i="1895"/>
  <c r="FW36" i="1895"/>
  <c r="FW35" i="1895"/>
  <c r="FW34" i="1895"/>
  <c r="FW33" i="1895"/>
  <c r="FW32" i="1895"/>
  <c r="FW25" i="1895"/>
  <c r="FW24" i="1895"/>
  <c r="FW23" i="1895"/>
  <c r="FW22" i="1895"/>
  <c r="FW13" i="1895"/>
  <c r="FW12" i="1895"/>
  <c r="FW11" i="1895"/>
  <c r="FB4" i="1895"/>
  <c r="FN5" i="1895"/>
  <c r="EO4" i="1895"/>
  <c r="B4" i="1895"/>
  <c r="O4" i="1895"/>
  <c r="AB4" i="1895"/>
  <c r="AO4" i="1895"/>
  <c r="BB4" i="1895"/>
  <c r="BO4" i="1895"/>
  <c r="CB4" i="1895"/>
  <c r="CO4" i="1895"/>
  <c r="DB4" i="1895"/>
  <c r="DO4" i="1895"/>
  <c r="EB4" i="1895"/>
  <c r="N34" i="1894"/>
  <c r="N33" i="1894"/>
  <c r="N32" i="1894"/>
  <c r="N31" i="1894"/>
  <c r="N30" i="1894"/>
  <c r="N29" i="1894"/>
  <c r="N28" i="1894"/>
  <c r="N27" i="1894"/>
  <c r="N26" i="1894"/>
  <c r="N25" i="1894"/>
  <c r="N24" i="1894"/>
  <c r="N23" i="1894"/>
  <c r="N22" i="1894"/>
  <c r="N21" i="1894"/>
  <c r="N20" i="1894"/>
  <c r="N19" i="1894"/>
  <c r="N18" i="1894"/>
  <c r="N17" i="1894"/>
  <c r="N16" i="1894"/>
  <c r="N15" i="1894"/>
  <c r="N14" i="1894"/>
  <c r="N13" i="1894"/>
  <c r="N12" i="1894"/>
  <c r="N11" i="1894"/>
  <c r="N10" i="1894"/>
  <c r="N9" i="1894"/>
  <c r="N5" i="1894"/>
  <c r="AA34" i="1894"/>
  <c r="AA33" i="1894"/>
  <c r="AA32" i="1894"/>
  <c r="AA31" i="1894"/>
  <c r="AA30" i="1894"/>
  <c r="AA29" i="1894"/>
  <c r="AA28" i="1894"/>
  <c r="AA27" i="1894"/>
  <c r="AA26" i="1894"/>
  <c r="AA25" i="1894"/>
  <c r="AA24" i="1894"/>
  <c r="AA23" i="1894"/>
  <c r="AA22" i="1894"/>
  <c r="AA21" i="1894"/>
  <c r="AA20" i="1894"/>
  <c r="AA19" i="1894"/>
  <c r="AA18" i="1894"/>
  <c r="AA17" i="1894"/>
  <c r="AA16" i="1894"/>
  <c r="AA15" i="1894"/>
  <c r="AA14" i="1894"/>
  <c r="AA13" i="1894"/>
  <c r="AA12" i="1894"/>
  <c r="AA11" i="1894"/>
  <c r="AA10" i="1894"/>
  <c r="AA9" i="1894"/>
  <c r="AA5" i="1894"/>
  <c r="AN34" i="1894"/>
  <c r="AN33" i="1894"/>
  <c r="AN32" i="1894"/>
  <c r="AN31" i="1894"/>
  <c r="AN30" i="1894"/>
  <c r="AN29" i="1894"/>
  <c r="AN28" i="1894"/>
  <c r="AN27" i="1894"/>
  <c r="AN26" i="1894"/>
  <c r="AN25" i="1894"/>
  <c r="AN24" i="1894"/>
  <c r="AN23" i="1894"/>
  <c r="AN22" i="1894"/>
  <c r="AN21" i="1894"/>
  <c r="AN20" i="1894"/>
  <c r="AN19" i="1894"/>
  <c r="AN18" i="1894"/>
  <c r="AN17" i="1894"/>
  <c r="AN16" i="1894"/>
  <c r="AN15" i="1894"/>
  <c r="AN14" i="1894"/>
  <c r="AN13" i="1894"/>
  <c r="AN12" i="1894"/>
  <c r="AN11" i="1894"/>
  <c r="AN10" i="1894"/>
  <c r="AN9" i="1894"/>
  <c r="AN5" i="1894"/>
  <c r="BA34" i="1894"/>
  <c r="BA33" i="1894"/>
  <c r="BA32" i="1894"/>
  <c r="BA31" i="1894"/>
  <c r="BA30" i="1894"/>
  <c r="BA29" i="1894"/>
  <c r="BA28" i="1894"/>
  <c r="BA27" i="1894"/>
  <c r="BA26" i="1894"/>
  <c r="BA25" i="1894"/>
  <c r="BA24" i="1894"/>
  <c r="BA23" i="1894"/>
  <c r="BA22" i="1894"/>
  <c r="BA21" i="1894"/>
  <c r="BA20" i="1894"/>
  <c r="BA19" i="1894"/>
  <c r="BA18" i="1894"/>
  <c r="BA17" i="1894"/>
  <c r="BA16" i="1894"/>
  <c r="BA15" i="1894"/>
  <c r="BA14" i="1894"/>
  <c r="BA13" i="1894"/>
  <c r="BA12" i="1894"/>
  <c r="BA11" i="1894"/>
  <c r="BA10" i="1894"/>
  <c r="BA9" i="1894"/>
  <c r="BA5" i="1894"/>
  <c r="BN34" i="1894"/>
  <c r="BN33" i="1894"/>
  <c r="BN32" i="1894"/>
  <c r="BN31" i="1894"/>
  <c r="BN30" i="1894"/>
  <c r="BN29" i="1894"/>
  <c r="BN28" i="1894"/>
  <c r="BN27" i="1894"/>
  <c r="BN26" i="1894"/>
  <c r="BN25" i="1894"/>
  <c r="BN24" i="1894"/>
  <c r="BN23" i="1894"/>
  <c r="BN22" i="1894"/>
  <c r="BN21" i="1894"/>
  <c r="BN20" i="1894"/>
  <c r="BN19" i="1894"/>
  <c r="BN18" i="1894"/>
  <c r="BN17" i="1894"/>
  <c r="BN16" i="1894"/>
  <c r="BN15" i="1894"/>
  <c r="BN14" i="1894"/>
  <c r="BN13" i="1894"/>
  <c r="BN12" i="1894"/>
  <c r="BN11" i="1894"/>
  <c r="BN10" i="1894"/>
  <c r="BN9" i="1894"/>
  <c r="BN5" i="1894"/>
  <c r="CA34" i="1894"/>
  <c r="CA33" i="1894"/>
  <c r="CA32" i="1894"/>
  <c r="CA31" i="1894"/>
  <c r="CA30" i="1894"/>
  <c r="CA29" i="1894"/>
  <c r="CA28" i="1894"/>
  <c r="CA27" i="1894"/>
  <c r="CA26" i="1894"/>
  <c r="CA25" i="1894"/>
  <c r="CA24" i="1894"/>
  <c r="CA23" i="1894"/>
  <c r="CA22" i="1894"/>
  <c r="CA21" i="1894"/>
  <c r="CA20" i="1894"/>
  <c r="CA19" i="1894"/>
  <c r="CA18" i="1894"/>
  <c r="CA17" i="1894"/>
  <c r="CA16" i="1894"/>
  <c r="CA15" i="1894"/>
  <c r="CA14" i="1894"/>
  <c r="CA13" i="1894"/>
  <c r="CA12" i="1894"/>
  <c r="CA11" i="1894"/>
  <c r="CA10" i="1894"/>
  <c r="CA9" i="1894"/>
  <c r="CA5" i="1894"/>
  <c r="CN34" i="1894"/>
  <c r="CN33" i="1894"/>
  <c r="CN32" i="1894"/>
  <c r="CN31" i="1894"/>
  <c r="CN30" i="1894"/>
  <c r="CN29" i="1894"/>
  <c r="CN28" i="1894"/>
  <c r="CN27" i="1894"/>
  <c r="CN26" i="1894"/>
  <c r="CN25" i="1894"/>
  <c r="CN24" i="1894"/>
  <c r="CN23" i="1894"/>
  <c r="CN22" i="1894"/>
  <c r="CN21" i="1894"/>
  <c r="CN20" i="1894"/>
  <c r="CN19" i="1894"/>
  <c r="CN18" i="1894"/>
  <c r="CN17" i="1894"/>
  <c r="CN16" i="1894"/>
  <c r="CN15" i="1894"/>
  <c r="CN14" i="1894"/>
  <c r="CN13" i="1894"/>
  <c r="CN12" i="1894"/>
  <c r="CN11" i="1894"/>
  <c r="CN10" i="1894"/>
  <c r="CN9" i="1894"/>
  <c r="CN5" i="1894"/>
  <c r="DA34" i="1894"/>
  <c r="DA33" i="1894"/>
  <c r="DA32" i="1894"/>
  <c r="DA31" i="1894"/>
  <c r="DA30" i="1894"/>
  <c r="DA29" i="1894"/>
  <c r="DA28" i="1894"/>
  <c r="DA27" i="1894"/>
  <c r="DA26" i="1894"/>
  <c r="DA25" i="1894"/>
  <c r="DA24" i="1894"/>
  <c r="DA23" i="1894"/>
  <c r="DA22" i="1894"/>
  <c r="DA21" i="1894"/>
  <c r="DA20" i="1894"/>
  <c r="DA19" i="1894"/>
  <c r="DA18" i="1894"/>
  <c r="DA17" i="1894"/>
  <c r="DA16" i="1894"/>
  <c r="DA15" i="1894"/>
  <c r="DA14" i="1894"/>
  <c r="DA13" i="1894"/>
  <c r="DA12" i="1894"/>
  <c r="DA11" i="1894"/>
  <c r="DA10" i="1894"/>
  <c r="DA9" i="1894"/>
  <c r="DA5" i="1894"/>
  <c r="DN34" i="1894"/>
  <c r="DN33" i="1894"/>
  <c r="DN32" i="1894"/>
  <c r="DN31" i="1894"/>
  <c r="DN30" i="1894"/>
  <c r="DN29" i="1894"/>
  <c r="DN28" i="1894"/>
  <c r="DN27" i="1894"/>
  <c r="DN26" i="1894"/>
  <c r="DN25" i="1894"/>
  <c r="DN24" i="1894"/>
  <c r="DN23" i="1894"/>
  <c r="DN22" i="1894"/>
  <c r="DN21" i="1894"/>
  <c r="DN20" i="1894"/>
  <c r="DN19" i="1894"/>
  <c r="DN18" i="1894"/>
  <c r="DN17" i="1894"/>
  <c r="DN16" i="1894"/>
  <c r="DN15" i="1894"/>
  <c r="DN14" i="1894"/>
  <c r="DN13" i="1894"/>
  <c r="DN12" i="1894"/>
  <c r="DN11" i="1894"/>
  <c r="DN10" i="1894"/>
  <c r="DN9" i="1894"/>
  <c r="DN5" i="1894"/>
  <c r="FR16" i="1894" s="1"/>
  <c r="EA34" i="1894"/>
  <c r="EA33" i="1894"/>
  <c r="EA32" i="1894"/>
  <c r="EA31" i="1894"/>
  <c r="EA30" i="1894"/>
  <c r="EA29" i="1894"/>
  <c r="EA28" i="1894"/>
  <c r="EA27" i="1894"/>
  <c r="EA26" i="1894"/>
  <c r="EA25" i="1894"/>
  <c r="EA24" i="1894"/>
  <c r="EA23" i="1894"/>
  <c r="EA22" i="1894"/>
  <c r="EA21" i="1894"/>
  <c r="EA20" i="1894"/>
  <c r="EA19" i="1894"/>
  <c r="EA18" i="1894"/>
  <c r="EA17" i="1894"/>
  <c r="EA16" i="1894"/>
  <c r="EA15" i="1894"/>
  <c r="EA14" i="1894"/>
  <c r="EA13" i="1894"/>
  <c r="EA12" i="1894"/>
  <c r="EA11" i="1894"/>
  <c r="EA10" i="1894"/>
  <c r="EA9" i="1894"/>
  <c r="EA5" i="1894"/>
  <c r="EN34" i="1894"/>
  <c r="EN33" i="1894"/>
  <c r="EN32" i="1894"/>
  <c r="EN31" i="1894"/>
  <c r="EN30" i="1894"/>
  <c r="EN29" i="1894"/>
  <c r="EN28" i="1894"/>
  <c r="EN27" i="1894"/>
  <c r="EN26" i="1894"/>
  <c r="EN25" i="1894"/>
  <c r="EN24" i="1894"/>
  <c r="EN23" i="1894"/>
  <c r="EN22" i="1894"/>
  <c r="EN21" i="1894"/>
  <c r="EN20" i="1894"/>
  <c r="EN19" i="1894"/>
  <c r="EN18" i="1894"/>
  <c r="EN17" i="1894"/>
  <c r="EN16" i="1894"/>
  <c r="EN15" i="1894"/>
  <c r="EN14" i="1894"/>
  <c r="EN13" i="1894"/>
  <c r="EN12" i="1894"/>
  <c r="EN11" i="1894"/>
  <c r="EN10" i="1894"/>
  <c r="EN9" i="1894"/>
  <c r="EN5" i="1894"/>
  <c r="FA34" i="1894"/>
  <c r="FA33" i="1894"/>
  <c r="FA32" i="1894"/>
  <c r="FA31" i="1894"/>
  <c r="FA30" i="1894"/>
  <c r="FA29" i="1894"/>
  <c r="FA28" i="1894"/>
  <c r="FA27" i="1894"/>
  <c r="FA26" i="1894"/>
  <c r="FA25" i="1894"/>
  <c r="FA24" i="1894"/>
  <c r="FA23" i="1894"/>
  <c r="FA22" i="1894"/>
  <c r="FA21" i="1894"/>
  <c r="FA20" i="1894"/>
  <c r="FA19" i="1894"/>
  <c r="FA18" i="1894"/>
  <c r="FA17" i="1894"/>
  <c r="FA16" i="1894"/>
  <c r="FA15" i="1894"/>
  <c r="FA14" i="1894"/>
  <c r="FA13" i="1894"/>
  <c r="FA12" i="1894"/>
  <c r="FA11" i="1894"/>
  <c r="FA10" i="1894"/>
  <c r="FA9" i="1894"/>
  <c r="FA5" i="1894"/>
  <c r="B4" i="1894"/>
  <c r="O4" i="1894"/>
  <c r="AB4" i="1894"/>
  <c r="AO4" i="1894"/>
  <c r="BB4" i="1894"/>
  <c r="BO4" i="1894"/>
  <c r="CB4" i="1894"/>
  <c r="CO4" i="1894"/>
  <c r="DB4" i="1894"/>
  <c r="DO4" i="1894"/>
  <c r="EB4" i="1894"/>
  <c r="EO4" i="1894"/>
  <c r="FN5" i="1894"/>
  <c r="FB4" i="1894"/>
  <c r="FW29" i="1894"/>
  <c r="FN29" i="1894"/>
  <c r="FN33" i="1894"/>
  <c r="FW33" i="1894"/>
  <c r="FP5" i="1894"/>
  <c r="FW11" i="1894"/>
  <c r="FW10" i="1894"/>
  <c r="FW13" i="1894"/>
  <c r="FW21" i="1894"/>
  <c r="FW31" i="1894"/>
  <c r="FW20" i="1894"/>
  <c r="FW27" i="1894"/>
  <c r="FW19" i="1894"/>
  <c r="FW17" i="1894"/>
  <c r="FW32" i="1894"/>
  <c r="FW28" i="1894"/>
  <c r="FW15" i="1894"/>
  <c r="EZ7" i="1894"/>
  <c r="EY7" i="1894"/>
  <c r="EX7" i="1894"/>
  <c r="EW7" i="1894"/>
  <c r="EV7" i="1894"/>
  <c r="FA7" i="1894" s="1"/>
  <c r="EU7" i="1894"/>
  <c r="ET7" i="1894"/>
  <c r="ES7" i="1894"/>
  <c r="ER7" i="1894"/>
  <c r="EQ7" i="1894"/>
  <c r="EP7" i="1894"/>
  <c r="EO7" i="1894"/>
  <c r="EM7" i="1894"/>
  <c r="EL7" i="1894"/>
  <c r="EK7" i="1894"/>
  <c r="EJ7" i="1894"/>
  <c r="EI7" i="1894"/>
  <c r="EH7" i="1894"/>
  <c r="EG7" i="1894"/>
  <c r="EF7" i="1894"/>
  <c r="EE7" i="1894"/>
  <c r="ED7" i="1894"/>
  <c r="EC7" i="1894"/>
  <c r="EB7" i="1894"/>
  <c r="EN7" i="1894" s="1"/>
  <c r="DZ7" i="1894"/>
  <c r="DY7" i="1894"/>
  <c r="DX7" i="1894"/>
  <c r="DW7" i="1894"/>
  <c r="DV7" i="1894"/>
  <c r="DU7" i="1894"/>
  <c r="DT7" i="1894"/>
  <c r="DS7" i="1894"/>
  <c r="DR7" i="1894"/>
  <c r="DQ7" i="1894"/>
  <c r="DP7" i="1894"/>
  <c r="DO7" i="1894"/>
  <c r="EA7" i="1894" s="1"/>
  <c r="DM7" i="1894"/>
  <c r="DL7" i="1894"/>
  <c r="DK7" i="1894"/>
  <c r="DJ7" i="1894"/>
  <c r="DI7" i="1894"/>
  <c r="DN7" i="1894" s="1"/>
  <c r="DH7" i="1894"/>
  <c r="DG7" i="1894"/>
  <c r="DF7" i="1894"/>
  <c r="DE7" i="1894"/>
  <c r="DD7" i="1894"/>
  <c r="DC7" i="1894"/>
  <c r="DB7" i="1894"/>
  <c r="CZ7" i="1894"/>
  <c r="CY7" i="1894"/>
  <c r="CX7" i="1894"/>
  <c r="CW7" i="1894"/>
  <c r="CV7" i="1894"/>
  <c r="CU7" i="1894"/>
  <c r="CT7" i="1894"/>
  <c r="CS7" i="1894"/>
  <c r="CR7" i="1894"/>
  <c r="CQ7" i="1894"/>
  <c r="CP7" i="1894"/>
  <c r="CO7" i="1894"/>
  <c r="DA7" i="1894" s="1"/>
  <c r="CM7" i="1894"/>
  <c r="CL7" i="1894"/>
  <c r="CK7" i="1894"/>
  <c r="CJ7" i="1894"/>
  <c r="CI7" i="1894"/>
  <c r="CH7" i="1894"/>
  <c r="CG7" i="1894"/>
  <c r="CF7" i="1894"/>
  <c r="CE7" i="1894"/>
  <c r="CD7" i="1894"/>
  <c r="CC7" i="1894"/>
  <c r="CB7" i="1894"/>
  <c r="CN7" i="1894" s="1"/>
  <c r="BZ7" i="1894"/>
  <c r="BY7" i="1894"/>
  <c r="BX7" i="1894"/>
  <c r="BW7" i="1894"/>
  <c r="BV7" i="1894"/>
  <c r="CA7" i="1894" s="1"/>
  <c r="BU7" i="1894"/>
  <c r="BT7" i="1894"/>
  <c r="BS7" i="1894"/>
  <c r="BR7" i="1894"/>
  <c r="BQ7" i="1894"/>
  <c r="BP7" i="1894"/>
  <c r="BO7" i="1894"/>
  <c r="BM7" i="1894"/>
  <c r="BL7" i="1894"/>
  <c r="BK7" i="1894"/>
  <c r="BJ7" i="1894"/>
  <c r="BI7" i="1894"/>
  <c r="BH7" i="1894"/>
  <c r="BG7" i="1894"/>
  <c r="BF7" i="1894"/>
  <c r="BE7" i="1894"/>
  <c r="BD7" i="1894"/>
  <c r="BC7" i="1894"/>
  <c r="BB7" i="1894"/>
  <c r="BN7" i="1894" s="1"/>
  <c r="AZ7" i="1894"/>
  <c r="AY7" i="1894"/>
  <c r="AX7" i="1894"/>
  <c r="AW7" i="1894"/>
  <c r="AV7" i="1894"/>
  <c r="AU7" i="1894"/>
  <c r="AT7" i="1894"/>
  <c r="AS7" i="1894"/>
  <c r="AR7" i="1894"/>
  <c r="AQ7" i="1894"/>
  <c r="AP7" i="1894"/>
  <c r="AO7" i="1894"/>
  <c r="BA7" i="1894" s="1"/>
  <c r="AM7" i="1894"/>
  <c r="AL7" i="1894"/>
  <c r="AK7" i="1894"/>
  <c r="AJ7" i="1894"/>
  <c r="AI7" i="1894"/>
  <c r="AN7" i="1894" s="1"/>
  <c r="AH7" i="1894"/>
  <c r="AG7" i="1894"/>
  <c r="AF7" i="1894"/>
  <c r="AE7" i="1894"/>
  <c r="AD7" i="1894"/>
  <c r="AC7" i="1894"/>
  <c r="AB7" i="1894"/>
  <c r="Z7" i="1894"/>
  <c r="Y7" i="1894"/>
  <c r="X7" i="1894"/>
  <c r="W7" i="1894"/>
  <c r="V7" i="1894"/>
  <c r="U7" i="1894"/>
  <c r="T7" i="1894"/>
  <c r="S7" i="1894"/>
  <c r="R7" i="1894"/>
  <c r="Q7" i="1894"/>
  <c r="P7" i="1894"/>
  <c r="O7" i="1894"/>
  <c r="AA7" i="1894" s="1"/>
  <c r="M7" i="1894"/>
  <c r="L7" i="1894"/>
  <c r="K7" i="1894"/>
  <c r="J7" i="1894"/>
  <c r="I7" i="1894"/>
  <c r="H7" i="1894"/>
  <c r="G7" i="1894"/>
  <c r="F7" i="1894"/>
  <c r="E7" i="1894"/>
  <c r="D7" i="1894"/>
  <c r="C7" i="1894"/>
  <c r="B7" i="1894"/>
  <c r="N7" i="1894" s="1"/>
  <c r="FN26" i="1894"/>
  <c r="FN25" i="1894"/>
  <c r="FN12" i="1894"/>
  <c r="FN11" i="1894"/>
  <c r="FN10" i="1894"/>
  <c r="FN23" i="1894"/>
  <c r="FN18" i="1894"/>
  <c r="FN13" i="1894"/>
  <c r="FN21" i="1894"/>
  <c r="FN14" i="1894"/>
  <c r="FN30" i="1894"/>
  <c r="FN31" i="1894"/>
  <c r="FN20" i="1894"/>
  <c r="FN27" i="1894"/>
  <c r="FN19" i="1894"/>
  <c r="FN24" i="1894"/>
  <c r="FN22" i="1894"/>
  <c r="FN17" i="1894"/>
  <c r="FN32" i="1894"/>
  <c r="FN28" i="1894"/>
  <c r="FN15" i="1894"/>
  <c r="FN16" i="1894"/>
  <c r="FN9" i="1894"/>
  <c r="FP4" i="1894"/>
  <c r="FW18" i="1894"/>
  <c r="FW23" i="1894"/>
  <c r="FW12" i="1894"/>
  <c r="FW25" i="1894"/>
  <c r="FW26" i="1894"/>
  <c r="FW14" i="1894"/>
  <c r="FW30" i="1894"/>
  <c r="FW24" i="1894"/>
  <c r="FW22" i="1894"/>
  <c r="FW16" i="1894"/>
  <c r="FW9" i="1894"/>
  <c r="EN7" i="2081" l="1"/>
  <c r="N7" i="1897"/>
  <c r="FU35" i="1895"/>
  <c r="FU11" i="1895"/>
  <c r="FU47" i="1895"/>
  <c r="FU46" i="1895"/>
  <c r="FU23" i="1895"/>
  <c r="FP19" i="1894"/>
  <c r="FR19" i="1894"/>
  <c r="FH38" i="2081"/>
  <c r="FC31" i="2081"/>
  <c r="FE27" i="2081"/>
  <c r="FH31" i="2081"/>
  <c r="FE31" i="2081"/>
  <c r="FI10" i="2082"/>
  <c r="FI29" i="2082"/>
  <c r="FI36" i="2082"/>
  <c r="FC4" i="2082"/>
  <c r="FE4" i="2082"/>
  <c r="FH27" i="2081"/>
  <c r="FC27" i="2081"/>
  <c r="FC38" i="2081"/>
  <c r="FE38" i="2081"/>
  <c r="FF27" i="2081"/>
  <c r="FF38" i="2081"/>
  <c r="FF31" i="2081"/>
  <c r="FD31" i="2081" s="1"/>
  <c r="FH39" i="2081"/>
  <c r="FF30" i="2081"/>
  <c r="FE39" i="2081"/>
  <c r="FC23" i="2081"/>
  <c r="FE4" i="2081"/>
  <c r="FC4" i="2081"/>
  <c r="FF9" i="2081"/>
  <c r="FE18" i="2081"/>
  <c r="FF10" i="2081"/>
  <c r="FF26" i="2081"/>
  <c r="FH37" i="2081"/>
  <c r="FC12" i="2081"/>
  <c r="FC28" i="2081"/>
  <c r="FC33" i="2081"/>
  <c r="FC37" i="2081"/>
  <c r="FE12" i="2081"/>
  <c r="FE15" i="2081"/>
  <c r="FE19" i="2081"/>
  <c r="FE33" i="2081"/>
  <c r="FF11" i="2081"/>
  <c r="FF32" i="2081"/>
  <c r="FE14" i="2081"/>
  <c r="FF22" i="2081"/>
  <c r="FE13" i="2081"/>
  <c r="FE16" i="2081"/>
  <c r="FE24" i="2081"/>
  <c r="FE34" i="2081"/>
  <c r="FC40" i="2081"/>
  <c r="FC36" i="2081"/>
  <c r="FF25" i="2081"/>
  <c r="FC39" i="2081"/>
  <c r="FC18" i="2081"/>
  <c r="FC32" i="2081"/>
  <c r="FE32" i="2081"/>
  <c r="FC15" i="2081"/>
  <c r="FF19" i="2081"/>
  <c r="FF36" i="2081"/>
  <c r="FH26" i="2081"/>
  <c r="FC20" i="2081"/>
  <c r="FF13" i="2081"/>
  <c r="FF16" i="2081"/>
  <c r="FF20" i="2081"/>
  <c r="FF24" i="2081"/>
  <c r="FF29" i="2081"/>
  <c r="FF34" i="2081"/>
  <c r="FF17" i="2081"/>
  <c r="FF35" i="2081"/>
  <c r="FC14" i="2081"/>
  <c r="FC26" i="2081"/>
  <c r="FE26" i="2081"/>
  <c r="FF37" i="2081"/>
  <c r="FF14" i="2081"/>
  <c r="FF41" i="2081"/>
  <c r="FC19" i="2081"/>
  <c r="FF12" i="2081"/>
  <c r="FF23" i="2081"/>
  <c r="FF33" i="2081"/>
  <c r="FH14" i="2081"/>
  <c r="FC16" i="2081"/>
  <c r="FC29" i="2081"/>
  <c r="FC34" i="2081"/>
  <c r="FC9" i="2081"/>
  <c r="FC11" i="2081"/>
  <c r="FC17" i="2081"/>
  <c r="FC21" i="2081"/>
  <c r="FC25" i="2081"/>
  <c r="FC30" i="2081"/>
  <c r="FC35" i="2081"/>
  <c r="FF39" i="2081"/>
  <c r="FF21" i="2081"/>
  <c r="FC10" i="2081"/>
  <c r="FC22" i="2081"/>
  <c r="FE22" i="2081"/>
  <c r="FF18" i="2081"/>
  <c r="FE37" i="2081"/>
  <c r="FH25" i="2081"/>
  <c r="FF15" i="2081"/>
  <c r="FF28" i="2081"/>
  <c r="FF40" i="2081"/>
  <c r="FC13" i="2081"/>
  <c r="FC24" i="2081"/>
  <c r="FE36" i="2081"/>
  <c r="FE25" i="2081"/>
  <c r="FE35" i="2081"/>
  <c r="FD5" i="2082"/>
  <c r="FF7" i="2081"/>
  <c r="FH13" i="2081"/>
  <c r="FH24" i="2081"/>
  <c r="FH12" i="2081"/>
  <c r="FH34" i="2081"/>
  <c r="FH22" i="2081"/>
  <c r="FH15" i="2081"/>
  <c r="FH18" i="2081"/>
  <c r="FH32" i="2081"/>
  <c r="FH33" i="2081"/>
  <c r="FD5" i="2081"/>
  <c r="FE12" i="1896" a="1"/>
  <c r="FE12" i="1896" s="1"/>
  <c r="FH29" i="1896"/>
  <c r="FC29" i="1896" a="1"/>
  <c r="FC29" i="1896" s="1"/>
  <c r="FE29" i="1896" a="1"/>
  <c r="FE29" i="1896" s="1"/>
  <c r="FF29" i="1896" a="1"/>
  <c r="FF29" i="1896" s="1"/>
  <c r="FH48" i="1897"/>
  <c r="FD5" i="1897"/>
  <c r="FF16" i="1896" a="1"/>
  <c r="FF16" i="1896" s="1"/>
  <c r="FE24" i="1896" a="1"/>
  <c r="FE24" i="1896" s="1"/>
  <c r="FC21" i="1896" a="1"/>
  <c r="FC21" i="1896" s="1"/>
  <c r="FC25" i="1896" a="1"/>
  <c r="FC25" i="1896" s="1"/>
  <c r="FC16" i="1896" a="1"/>
  <c r="FC16" i="1896" s="1"/>
  <c r="FF22" i="1896" a="1"/>
  <c r="FF22" i="1896" s="1"/>
  <c r="FC14" i="1896" a="1"/>
  <c r="FC14" i="1896" s="1"/>
  <c r="FE11" i="1896" a="1"/>
  <c r="FE11" i="1896" s="1"/>
  <c r="FC15" i="1896" a="1"/>
  <c r="FC15" i="1896" s="1"/>
  <c r="FE19" i="1896" a="1"/>
  <c r="FE19" i="1896" s="1"/>
  <c r="FC13" i="1896" a="1"/>
  <c r="FC13" i="1896" s="1"/>
  <c r="FE25" i="1896" a="1"/>
  <c r="FE25" i="1896" s="1"/>
  <c r="FF15" i="1896" a="1"/>
  <c r="FF15" i="1896" s="1"/>
  <c r="FC20" i="1896" a="1"/>
  <c r="FC20" i="1896" s="1"/>
  <c r="FE18" i="1896" a="1"/>
  <c r="FE18" i="1896" s="1"/>
  <c r="FC26" i="1896" a="1"/>
  <c r="FC26" i="1896" s="1"/>
  <c r="FE16" i="1896" a="1"/>
  <c r="FE16" i="1896" s="1"/>
  <c r="FC24" i="1896" a="1"/>
  <c r="FC24" i="1896" s="1"/>
  <c r="FE14" i="1896" a="1"/>
  <c r="FE14" i="1896" s="1"/>
  <c r="FF12" i="1896" a="1"/>
  <c r="FF12" i="1896" s="1"/>
  <c r="FE15" i="1896" a="1"/>
  <c r="FE15" i="1896" s="1"/>
  <c r="FF19" i="1896" a="1"/>
  <c r="FF19" i="1896" s="1"/>
  <c r="FE13" i="1896" a="1"/>
  <c r="FE13" i="1896" s="1"/>
  <c r="FF25" i="1896" a="1"/>
  <c r="FF25" i="1896" s="1"/>
  <c r="FD25" i="1896" s="1"/>
  <c r="FC28" i="1896" a="1"/>
  <c r="FC28" i="1896" s="1"/>
  <c r="FE20" i="1896" a="1"/>
  <c r="FE20" i="1896" s="1"/>
  <c r="FF18" i="1896" a="1"/>
  <c r="FF18" i="1896" s="1"/>
  <c r="FE26" i="1896" a="1"/>
  <c r="FE26" i="1896" s="1"/>
  <c r="FC17" i="1896" a="1"/>
  <c r="FC17" i="1896" s="1"/>
  <c r="FF20" i="1896" a="1"/>
  <c r="FF20" i="1896" s="1"/>
  <c r="FC23" i="1896" a="1"/>
  <c r="FC23" i="1896" s="1"/>
  <c r="FE17" i="1896" a="1"/>
  <c r="FE17" i="1896" s="1"/>
  <c r="FC31" i="1896" a="1"/>
  <c r="FC31" i="1896" s="1"/>
  <c r="FE23" i="1896" a="1"/>
  <c r="FE23" i="1896" s="1"/>
  <c r="FF26" i="1896" a="1"/>
  <c r="FF26" i="1896" s="1"/>
  <c r="FF17" i="1896" a="1"/>
  <c r="FF17" i="1896" s="1"/>
  <c r="FE31" i="1896" a="1"/>
  <c r="FE31" i="1896" s="1"/>
  <c r="FF23" i="1896" a="1"/>
  <c r="FF23" i="1896" s="1"/>
  <c r="FF33" i="1896" a="1"/>
  <c r="FF33" i="1896" s="1"/>
  <c r="FE9" i="1896" a="1"/>
  <c r="FE9" i="1896" s="1"/>
  <c r="FC22" i="1896" a="1"/>
  <c r="FC22" i="1896" s="1"/>
  <c r="FE30" i="1896" a="1"/>
  <c r="FE30" i="1896" s="1"/>
  <c r="FC10" i="1896" a="1"/>
  <c r="FC10" i="1896" s="1"/>
  <c r="FC11" i="1896" a="1"/>
  <c r="FC11" i="1896" s="1"/>
  <c r="FF9" i="1896" a="1"/>
  <c r="FF9" i="1896" s="1"/>
  <c r="FE22" i="1896" a="1"/>
  <c r="FE22" i="1896" s="1"/>
  <c r="FF30" i="1896" a="1"/>
  <c r="FF30" i="1896" s="1"/>
  <c r="FF10" i="1896" a="1"/>
  <c r="FF10" i="1896" s="1"/>
  <c r="FC4" i="1896"/>
  <c r="FE27" i="1896" a="1"/>
  <c r="FE27" i="1896" s="1"/>
  <c r="FE21" i="1896" a="1"/>
  <c r="FE21" i="1896" s="1"/>
  <c r="FC12" i="1896" a="1"/>
  <c r="FC12" i="1896" s="1"/>
  <c r="FE28" i="1896" a="1"/>
  <c r="FE28" i="1896" s="1"/>
  <c r="FF32" i="1896" a="1"/>
  <c r="FF32" i="1896" s="1"/>
  <c r="FF27" i="1896" a="1"/>
  <c r="FF27" i="1896" s="1"/>
  <c r="FF21" i="1896" a="1"/>
  <c r="FF21" i="1896" s="1"/>
  <c r="FE32" i="1896" a="1"/>
  <c r="FE32" i="1896" s="1"/>
  <c r="FC27" i="1896" a="1"/>
  <c r="FC27" i="1896" s="1"/>
  <c r="FF14" i="1896" a="1"/>
  <c r="FF14" i="1896" s="1"/>
  <c r="FE10" i="1896" a="1"/>
  <c r="FE10" i="1896" s="1"/>
  <c r="FF28" i="1896" a="1"/>
  <c r="FF28" i="1896" s="1"/>
  <c r="FF24" i="1896" a="1"/>
  <c r="FF24" i="1896" s="1"/>
  <c r="FD24" i="1896" s="1"/>
  <c r="FF31" i="1896" a="1"/>
  <c r="FF31" i="1896" s="1"/>
  <c r="FF13" i="1896" a="1"/>
  <c r="FF13" i="1896" s="1"/>
  <c r="FC33" i="1896" a="1"/>
  <c r="FC33" i="1896" s="1"/>
  <c r="FC9" i="1896" a="1"/>
  <c r="FC9" i="1896" s="1"/>
  <c r="FC32" i="1896" a="1"/>
  <c r="FC32" i="1896" s="1"/>
  <c r="FC19" i="1896" a="1"/>
  <c r="FC19" i="1896" s="1"/>
  <c r="FC30" i="1896" a="1"/>
  <c r="FC30" i="1896" s="1"/>
  <c r="FC18" i="1896" a="1"/>
  <c r="FC18" i="1896" s="1"/>
  <c r="FE33" i="1896" a="1"/>
  <c r="FE33" i="1896" s="1"/>
  <c r="FF11" i="1896" a="1"/>
  <c r="FF11" i="1896" s="1"/>
  <c r="FD5" i="1896"/>
  <c r="FU22" i="1895"/>
  <c r="FS30" i="1895"/>
  <c r="FP31" i="1895"/>
  <c r="FS12" i="1895"/>
  <c r="FU12" i="1895"/>
  <c r="FU10" i="1895"/>
  <c r="FS47" i="1895"/>
  <c r="FU45" i="1895"/>
  <c r="FR31" i="1895"/>
  <c r="FR33" i="1895"/>
  <c r="FS23" i="1895"/>
  <c r="FS31" i="1895"/>
  <c r="FU20" i="1895"/>
  <c r="FS14" i="1895"/>
  <c r="FP15" i="1895"/>
  <c r="FR14" i="1895"/>
  <c r="FR16" i="1895"/>
  <c r="FU21" i="1895"/>
  <c r="FS44" i="1895"/>
  <c r="FP34" i="1895"/>
  <c r="FP22" i="1895"/>
  <c r="FR22" i="1895"/>
  <c r="FR43" i="1895"/>
  <c r="FP7" i="1895"/>
  <c r="FP23" i="1895"/>
  <c r="FP44" i="1895"/>
  <c r="FS40" i="1895"/>
  <c r="FS16" i="1895"/>
  <c r="FS42" i="1895"/>
  <c r="FP43" i="1895"/>
  <c r="FS22" i="1895"/>
  <c r="FR9" i="1895"/>
  <c r="FR23" i="1895"/>
  <c r="FU34" i="1895"/>
  <c r="FR17" i="1895"/>
  <c r="FP24" i="1895"/>
  <c r="FR35" i="1895"/>
  <c r="FP48" i="1895"/>
  <c r="FR26" i="1895"/>
  <c r="FS10" i="1895"/>
  <c r="FP18" i="1895"/>
  <c r="FS26" i="1895"/>
  <c r="FS36" i="1895"/>
  <c r="FS11" i="1895"/>
  <c r="FR18" i="1895"/>
  <c r="FS27" i="1895"/>
  <c r="FP38" i="1895"/>
  <c r="FP10" i="1895"/>
  <c r="FS17" i="1895"/>
  <c r="FS48" i="1895"/>
  <c r="FP19" i="1895"/>
  <c r="FR47" i="1895"/>
  <c r="FQ47" i="1895" s="1"/>
  <c r="FR10" i="1895"/>
  <c r="FR36" i="1895"/>
  <c r="FP12" i="1895"/>
  <c r="FR28" i="1895"/>
  <c r="FS38" i="1895"/>
  <c r="FR12" i="1895"/>
  <c r="FR21" i="1895"/>
  <c r="FS28" i="1895"/>
  <c r="FU9" i="1895"/>
  <c r="FU33" i="1895"/>
  <c r="FS13" i="1895"/>
  <c r="FR19" i="1895"/>
  <c r="FP27" i="1895"/>
  <c r="FS35" i="1895"/>
  <c r="FP47" i="1895"/>
  <c r="FR42" i="1895"/>
  <c r="FP14" i="1895"/>
  <c r="FS20" i="1895"/>
  <c r="FR27" i="1895"/>
  <c r="FP36" i="1895"/>
  <c r="FU41" i="1895"/>
  <c r="FU39" i="1895"/>
  <c r="FU18" i="1895"/>
  <c r="FR13" i="1895"/>
  <c r="FS18" i="1895"/>
  <c r="FP26" i="1895"/>
  <c r="FP32" i="1895"/>
  <c r="FP42" i="1895"/>
  <c r="FS46" i="1895"/>
  <c r="FR32" i="1895"/>
  <c r="FP28" i="1895"/>
  <c r="FS32" i="1895"/>
  <c r="FR38" i="1895"/>
  <c r="FS43" i="1895"/>
  <c r="FS7" i="1895"/>
  <c r="FU27" i="1895"/>
  <c r="FP39" i="1895"/>
  <c r="FU17" i="1895"/>
  <c r="FP11" i="1895"/>
  <c r="FR15" i="1895"/>
  <c r="FS19" i="1895"/>
  <c r="FR24" i="1895"/>
  <c r="FR29" i="1895"/>
  <c r="FR34" i="1895"/>
  <c r="FR39" i="1895"/>
  <c r="FP46" i="1895"/>
  <c r="FU28" i="1895"/>
  <c r="FU29" i="1895"/>
  <c r="FR11" i="1895"/>
  <c r="FS15" i="1895"/>
  <c r="FP20" i="1895"/>
  <c r="FS24" i="1895"/>
  <c r="FP30" i="1895"/>
  <c r="FS34" i="1895"/>
  <c r="FS39" i="1895"/>
  <c r="FR46" i="1895"/>
  <c r="FS49" i="1895"/>
  <c r="FU16" i="1895"/>
  <c r="FP16" i="1895"/>
  <c r="FR20" i="1895"/>
  <c r="FR25" i="1895"/>
  <c r="FR30" i="1895"/>
  <c r="FP35" i="1895"/>
  <c r="FP40" i="1895"/>
  <c r="FR7" i="1895"/>
  <c r="FU44" i="1895"/>
  <c r="FU14" i="1895"/>
  <c r="FU26" i="1895"/>
  <c r="FU38" i="1895"/>
  <c r="FU15" i="1895"/>
  <c r="FR40" i="1895"/>
  <c r="FR44" i="1895"/>
  <c r="FR48" i="1895"/>
  <c r="FU40" i="1895"/>
  <c r="FP9" i="1895"/>
  <c r="FP13" i="1895"/>
  <c r="FP17" i="1895"/>
  <c r="FP21" i="1895"/>
  <c r="FP25" i="1895"/>
  <c r="FP29" i="1895"/>
  <c r="FP33" i="1895"/>
  <c r="FP37" i="1895"/>
  <c r="FP41" i="1895"/>
  <c r="FP45" i="1895"/>
  <c r="FP49" i="1895"/>
  <c r="FU30" i="1895"/>
  <c r="FU42" i="1895"/>
  <c r="FR37" i="1895"/>
  <c r="FR41" i="1895"/>
  <c r="FR45" i="1895"/>
  <c r="FR49" i="1895"/>
  <c r="FU19" i="1895"/>
  <c r="FU31" i="1895"/>
  <c r="FU43" i="1895"/>
  <c r="FS21" i="1895"/>
  <c r="FS25" i="1895"/>
  <c r="FS29" i="1895"/>
  <c r="FS33" i="1895"/>
  <c r="FS37" i="1895"/>
  <c r="FS41" i="1895"/>
  <c r="FS45" i="1895"/>
  <c r="FU32" i="1895"/>
  <c r="FQ5" i="1895"/>
  <c r="FR4" i="1895"/>
  <c r="FP4" i="1895"/>
  <c r="FR30" i="1894"/>
  <c r="FS9" i="1894"/>
  <c r="FS28" i="1894"/>
  <c r="FS16" i="1894"/>
  <c r="FP29" i="1894"/>
  <c r="FR31" i="1894"/>
  <c r="FR32" i="1894"/>
  <c r="FP30" i="1894"/>
  <c r="FR27" i="1894"/>
  <c r="FP32" i="1894"/>
  <c r="FR17" i="1894"/>
  <c r="FS30" i="1894"/>
  <c r="FS31" i="1894"/>
  <c r="FS17" i="1894"/>
  <c r="FR14" i="1894"/>
  <c r="FS19" i="1894"/>
  <c r="FS32" i="1894"/>
  <c r="FP22" i="1894"/>
  <c r="FS14" i="1894"/>
  <c r="FS27" i="1894"/>
  <c r="FP9" i="1894"/>
  <c r="FS24" i="1894"/>
  <c r="FR9" i="1894"/>
  <c r="FP16" i="1894"/>
  <c r="FP17" i="1894"/>
  <c r="FP27" i="1894"/>
  <c r="FP14" i="1894"/>
  <c r="FR15" i="1894"/>
  <c r="FR34" i="1894"/>
  <c r="FS15" i="1894"/>
  <c r="FS22" i="1894"/>
  <c r="FS20" i="1894"/>
  <c r="FR22" i="1894"/>
  <c r="FP33" i="1894"/>
  <c r="FP28" i="1894"/>
  <c r="FP24" i="1894"/>
  <c r="FP31" i="1894"/>
  <c r="FP15" i="1894"/>
  <c r="FP20" i="1894"/>
  <c r="FR20" i="1894"/>
  <c r="FR7" i="1894"/>
  <c r="FR28" i="1894"/>
  <c r="FR24" i="1894"/>
  <c r="FU29" i="1894"/>
  <c r="FU16" i="1894"/>
  <c r="FU33" i="1894"/>
  <c r="FU14" i="1894"/>
  <c r="FU9" i="1894"/>
  <c r="FU30" i="1894"/>
  <c r="FP23" i="1894"/>
  <c r="FU31" i="1894"/>
  <c r="FU26" i="1894"/>
  <c r="FU20" i="1894"/>
  <c r="FP21" i="1894"/>
  <c r="FP10" i="1894"/>
  <c r="FP25" i="1894"/>
  <c r="FP12" i="1894"/>
  <c r="FP11" i="1894"/>
  <c r="FU25" i="1894"/>
  <c r="FP13" i="1894"/>
  <c r="FP26" i="1894"/>
  <c r="FP18" i="1894"/>
  <c r="FU11" i="1894"/>
  <c r="FU10" i="1894"/>
  <c r="FU19" i="1894"/>
  <c r="FU27" i="1894"/>
  <c r="FU12" i="1894"/>
  <c r="FU15" i="1894"/>
  <c r="FU24" i="1894"/>
  <c r="FU22" i="1894"/>
  <c r="FU21" i="1894"/>
  <c r="FU28" i="1894"/>
  <c r="FU18" i="1894"/>
  <c r="FU13" i="1894"/>
  <c r="FU32" i="1894"/>
  <c r="FU17" i="1894"/>
  <c r="FU23" i="1894"/>
  <c r="FR4" i="1894"/>
  <c r="FQ5" i="1894"/>
  <c r="FD9" i="1896" l="1"/>
  <c r="FD23" i="1896"/>
  <c r="FQ30" i="1895"/>
  <c r="FD20" i="1896"/>
  <c r="FQ12" i="1895"/>
  <c r="FQ26" i="1895"/>
  <c r="FD29" i="1896"/>
  <c r="FD12" i="1896"/>
  <c r="FD16" i="1896"/>
  <c r="FD27" i="2081"/>
  <c r="FD38" i="2081"/>
  <c r="FD39" i="2081"/>
  <c r="FD37" i="2081"/>
  <c r="FD36" i="2081"/>
  <c r="FF5" i="2082"/>
  <c r="FE5" i="2082"/>
  <c r="FD22" i="2081"/>
  <c r="FD26" i="2081"/>
  <c r="FD33" i="2081"/>
  <c r="FD19" i="2081"/>
  <c r="FD16" i="2081"/>
  <c r="FD25" i="2081"/>
  <c r="FD24" i="2081"/>
  <c r="FD18" i="2081"/>
  <c r="FF5" i="2081"/>
  <c r="FE5" i="2081"/>
  <c r="FD14" i="2081"/>
  <c r="FD13" i="2081"/>
  <c r="FD12" i="2081"/>
  <c r="FD34" i="2081"/>
  <c r="FD15" i="2081"/>
  <c r="FD35" i="2081"/>
  <c r="FD32" i="2081"/>
  <c r="FD31" i="1896"/>
  <c r="FD15" i="1896"/>
  <c r="FD33" i="1896"/>
  <c r="FD19" i="1896"/>
  <c r="FD17" i="1896"/>
  <c r="FF5" i="1897"/>
  <c r="FE5" i="1897"/>
  <c r="FD11" i="1896"/>
  <c r="FD22" i="1896"/>
  <c r="FD26" i="1896"/>
  <c r="FD14" i="1896"/>
  <c r="FD32" i="1896"/>
  <c r="FD13" i="1896"/>
  <c r="FD21" i="1896"/>
  <c r="FD30" i="1896"/>
  <c r="FD18" i="1896"/>
  <c r="FD27" i="1896"/>
  <c r="FD10" i="1896"/>
  <c r="FD28" i="1896"/>
  <c r="FF5" i="1896"/>
  <c r="FE5" i="1896"/>
  <c r="FQ23" i="1895"/>
  <c r="FQ14" i="1895"/>
  <c r="FQ17" i="1895"/>
  <c r="FQ48" i="1895"/>
  <c r="FQ10" i="1895"/>
  <c r="FQ44" i="1895"/>
  <c r="FQ20" i="1895"/>
  <c r="FQ35" i="1895"/>
  <c r="FQ36" i="1895"/>
  <c r="FQ42" i="1895"/>
  <c r="FQ28" i="1895"/>
  <c r="FQ11" i="1895"/>
  <c r="FQ18" i="1895"/>
  <c r="FQ38" i="1895"/>
  <c r="FQ32" i="1895"/>
  <c r="FQ29" i="1895"/>
  <c r="FQ24" i="1895"/>
  <c r="FQ7" i="1895"/>
  <c r="FQ41" i="1895"/>
  <c r="FQ31" i="1895"/>
  <c r="FQ9" i="1895"/>
  <c r="FQ33" i="1895"/>
  <c r="FQ13" i="1895"/>
  <c r="FQ37" i="1895"/>
  <c r="FQ15" i="1895"/>
  <c r="FQ39" i="1895"/>
  <c r="FQ43" i="1895"/>
  <c r="FQ46" i="1895"/>
  <c r="FQ19" i="1895"/>
  <c r="FQ34" i="1895"/>
  <c r="FQ21" i="1895"/>
  <c r="FQ45" i="1895"/>
  <c r="FQ22" i="1895"/>
  <c r="FQ25" i="1895"/>
  <c r="FQ49" i="1895"/>
  <c r="FQ40" i="1895"/>
  <c r="FQ16" i="1895"/>
  <c r="FQ27" i="1895"/>
  <c r="FS5" i="1895"/>
  <c r="FR5" i="1895"/>
  <c r="FS5" i="1894"/>
  <c r="FR5" i="1894"/>
  <c r="FJ33" i="2080" l="1"/>
  <c r="FA33" i="2080"/>
  <c r="BN33" i="2080"/>
  <c r="BA33" i="2080"/>
  <c r="AN33" i="2080"/>
  <c r="AA33" i="2080"/>
  <c r="N33" i="2080"/>
  <c r="FH33" i="2080" l="1"/>
  <c r="FJ39" i="1893"/>
  <c r="FA39" i="1893"/>
  <c r="DN39" i="1893"/>
  <c r="DA39" i="1893"/>
  <c r="CN39" i="1893"/>
  <c r="CA39" i="1893"/>
  <c r="BN39" i="1893"/>
  <c r="BA39" i="1893"/>
  <c r="AN39" i="1893"/>
  <c r="AA39" i="1893"/>
  <c r="N39" i="1893"/>
  <c r="FJ17" i="2080"/>
  <c r="FJ22" i="2080"/>
  <c r="FJ27" i="2080"/>
  <c r="FJ14" i="2080"/>
  <c r="FJ15" i="2080"/>
  <c r="FJ37" i="2080"/>
  <c r="FJ16" i="2080"/>
  <c r="FJ29" i="2080"/>
  <c r="FJ30" i="2080"/>
  <c r="FJ39" i="2080"/>
  <c r="FJ40" i="2080"/>
  <c r="FJ41" i="2080"/>
  <c r="FJ44" i="2080"/>
  <c r="FJ42" i="2080"/>
  <c r="FJ43" i="2080"/>
  <c r="FJ45" i="2080"/>
  <c r="FJ47" i="2080"/>
  <c r="FJ49" i="2080"/>
  <c r="FJ50" i="2080"/>
  <c r="FJ51" i="2080"/>
  <c r="FJ52" i="2080"/>
  <c r="FJ53" i="2080"/>
  <c r="FJ54" i="2080"/>
  <c r="FJ55" i="2080"/>
  <c r="EO9" i="1893"/>
  <c r="N51" i="1893"/>
  <c r="N38" i="1893"/>
  <c r="N50" i="1893"/>
  <c r="N49" i="1893"/>
  <c r="N37" i="1893"/>
  <c r="N36" i="1893"/>
  <c r="N35" i="1893"/>
  <c r="N34" i="1893"/>
  <c r="N33" i="1893"/>
  <c r="N32" i="1893"/>
  <c r="N31" i="1893"/>
  <c r="N30" i="1893"/>
  <c r="N41" i="1893"/>
  <c r="N29" i="1893"/>
  <c r="N48" i="1893"/>
  <c r="N28" i="1893"/>
  <c r="N27" i="1893"/>
  <c r="N26" i="1893"/>
  <c r="N25" i="1893"/>
  <c r="N24" i="1893"/>
  <c r="N23" i="1893"/>
  <c r="N47" i="1893"/>
  <c r="N46" i="1893"/>
  <c r="N22" i="1893"/>
  <c r="N21" i="1893"/>
  <c r="N20" i="1893"/>
  <c r="N19" i="1893"/>
  <c r="N45" i="1893"/>
  <c r="N44" i="1893"/>
  <c r="N18" i="1893"/>
  <c r="N17" i="1893"/>
  <c r="N43" i="1893"/>
  <c r="N16" i="1893"/>
  <c r="N15" i="1893"/>
  <c r="N42" i="1893"/>
  <c r="N14" i="1893"/>
  <c r="N13" i="1893"/>
  <c r="N40" i="1893"/>
  <c r="N12" i="1893"/>
  <c r="N11" i="1893"/>
  <c r="N7" i="1893"/>
  <c r="N5" i="1893"/>
  <c r="AA51" i="1893"/>
  <c r="AA38" i="1893"/>
  <c r="AA50" i="1893"/>
  <c r="AA49" i="1893"/>
  <c r="AA37" i="1893"/>
  <c r="AA36" i="1893"/>
  <c r="AA35" i="1893"/>
  <c r="AA34" i="1893"/>
  <c r="AA33" i="1893"/>
  <c r="AA32" i="1893"/>
  <c r="AA31" i="1893"/>
  <c r="AA30" i="1893"/>
  <c r="AA41" i="1893"/>
  <c r="AA29" i="1893"/>
  <c r="AA48" i="1893"/>
  <c r="AA28" i="1893"/>
  <c r="AA27" i="1893"/>
  <c r="AA26" i="1893"/>
  <c r="AA25" i="1893"/>
  <c r="AA24" i="1893"/>
  <c r="AA23" i="1893"/>
  <c r="AA47" i="1893"/>
  <c r="AA46" i="1893"/>
  <c r="AA22" i="1893"/>
  <c r="AA21" i="1893"/>
  <c r="AA20" i="1893"/>
  <c r="AA19" i="1893"/>
  <c r="AA45" i="1893"/>
  <c r="AA44" i="1893"/>
  <c r="AA18" i="1893"/>
  <c r="AA17" i="1893"/>
  <c r="AA43" i="1893"/>
  <c r="AA16" i="1893"/>
  <c r="AA15" i="1893"/>
  <c r="AA42" i="1893"/>
  <c r="AA14" i="1893"/>
  <c r="AA13" i="1893"/>
  <c r="AA40" i="1893"/>
  <c r="AA12" i="1893"/>
  <c r="AA11" i="1893"/>
  <c r="AA7" i="1893"/>
  <c r="AA5" i="1893"/>
  <c r="AN51" i="1893"/>
  <c r="AN38" i="1893"/>
  <c r="AN50" i="1893"/>
  <c r="AN49" i="1893"/>
  <c r="AN37" i="1893"/>
  <c r="AN36" i="1893"/>
  <c r="AN35" i="1893"/>
  <c r="AN34" i="1893"/>
  <c r="AN33" i="1893"/>
  <c r="AN32" i="1893"/>
  <c r="AN31" i="1893"/>
  <c r="AN30" i="1893"/>
  <c r="AN41" i="1893"/>
  <c r="AN29" i="1893"/>
  <c r="AN48" i="1893"/>
  <c r="AN28" i="1893"/>
  <c r="AN27" i="1893"/>
  <c r="AN26" i="1893"/>
  <c r="AN25" i="1893"/>
  <c r="AN24" i="1893"/>
  <c r="AN23" i="1893"/>
  <c r="AN47" i="1893"/>
  <c r="AN46" i="1893"/>
  <c r="AN22" i="1893"/>
  <c r="AN21" i="1893"/>
  <c r="AN20" i="1893"/>
  <c r="AN19" i="1893"/>
  <c r="AN45" i="1893"/>
  <c r="AN44" i="1893"/>
  <c r="AN18" i="1893"/>
  <c r="AN17" i="1893"/>
  <c r="AN43" i="1893"/>
  <c r="AN16" i="1893"/>
  <c r="AN15" i="1893"/>
  <c r="AN42" i="1893"/>
  <c r="AN14" i="1893"/>
  <c r="AN13" i="1893"/>
  <c r="AN40" i="1893"/>
  <c r="AN12" i="1893"/>
  <c r="AN11" i="1893"/>
  <c r="AN7" i="1893"/>
  <c r="AN5" i="1893"/>
  <c r="BA51" i="1893"/>
  <c r="BA38" i="1893"/>
  <c r="BA50" i="1893"/>
  <c r="BA49" i="1893"/>
  <c r="BA37" i="1893"/>
  <c r="BA36" i="1893"/>
  <c r="BA35" i="1893"/>
  <c r="BA34" i="1893"/>
  <c r="BA33" i="1893"/>
  <c r="BA32" i="1893"/>
  <c r="BA31" i="1893"/>
  <c r="BA30" i="1893"/>
  <c r="BA41" i="1893"/>
  <c r="BA29" i="1893"/>
  <c r="BA48" i="1893"/>
  <c r="BA28" i="1893"/>
  <c r="BA27" i="1893"/>
  <c r="BA26" i="1893"/>
  <c r="BA25" i="1893"/>
  <c r="BA24" i="1893"/>
  <c r="BA23" i="1893"/>
  <c r="BA47" i="1893"/>
  <c r="BA46" i="1893"/>
  <c r="BA22" i="1893"/>
  <c r="BA21" i="1893"/>
  <c r="BA20" i="1893"/>
  <c r="BA19" i="1893"/>
  <c r="BA45" i="1893"/>
  <c r="BA44" i="1893"/>
  <c r="BA18" i="1893"/>
  <c r="BA17" i="1893"/>
  <c r="BA43" i="1893"/>
  <c r="BA16" i="1893"/>
  <c r="BA15" i="1893"/>
  <c r="BA42" i="1893"/>
  <c r="BA14" i="1893"/>
  <c r="BA13" i="1893"/>
  <c r="BA40" i="1893"/>
  <c r="BA12" i="1893"/>
  <c r="BA11" i="1893"/>
  <c r="BA7" i="1893"/>
  <c r="BA5" i="1893"/>
  <c r="BN51" i="1893"/>
  <c r="BN38" i="1893"/>
  <c r="BN50" i="1893"/>
  <c r="BN49" i="1893"/>
  <c r="BN37" i="1893"/>
  <c r="BN36" i="1893"/>
  <c r="BN35" i="1893"/>
  <c r="BN34" i="1893"/>
  <c r="BN33" i="1893"/>
  <c r="BN32" i="1893"/>
  <c r="BN31" i="1893"/>
  <c r="BN30" i="1893"/>
  <c r="BN41" i="1893"/>
  <c r="BN29" i="1893"/>
  <c r="BN48" i="1893"/>
  <c r="BN28" i="1893"/>
  <c r="BN27" i="1893"/>
  <c r="BN26" i="1893"/>
  <c r="BN25" i="1893"/>
  <c r="BN24" i="1893"/>
  <c r="BN23" i="1893"/>
  <c r="BN47" i="1893"/>
  <c r="BN46" i="1893"/>
  <c r="BN22" i="1893"/>
  <c r="BN21" i="1893"/>
  <c r="BN20" i="1893"/>
  <c r="BN19" i="1893"/>
  <c r="BN45" i="1893"/>
  <c r="BN44" i="1893"/>
  <c r="BN18" i="1893"/>
  <c r="BN17" i="1893"/>
  <c r="BN43" i="1893"/>
  <c r="BN16" i="1893"/>
  <c r="BN15" i="1893"/>
  <c r="BN42" i="1893"/>
  <c r="BN14" i="1893"/>
  <c r="BN13" i="1893"/>
  <c r="BN40" i="1893"/>
  <c r="BN12" i="1893"/>
  <c r="BN11" i="1893"/>
  <c r="BN7" i="1893"/>
  <c r="BN5" i="1893"/>
  <c r="CA51" i="1893"/>
  <c r="CA38" i="1893"/>
  <c r="CA50" i="1893"/>
  <c r="CA49" i="1893"/>
  <c r="CA37" i="1893"/>
  <c r="CA36" i="1893"/>
  <c r="CA35" i="1893"/>
  <c r="CA34" i="1893"/>
  <c r="CA33" i="1893"/>
  <c r="CA32" i="1893"/>
  <c r="CA31" i="1893"/>
  <c r="CA30" i="1893"/>
  <c r="CA41" i="1893"/>
  <c r="CA29" i="1893"/>
  <c r="CA48" i="1893"/>
  <c r="CA28" i="1893"/>
  <c r="CA27" i="1893"/>
  <c r="CA26" i="1893"/>
  <c r="CA25" i="1893"/>
  <c r="CA24" i="1893"/>
  <c r="CA23" i="1893"/>
  <c r="CA47" i="1893"/>
  <c r="CA46" i="1893"/>
  <c r="CA22" i="1893"/>
  <c r="CA21" i="1893"/>
  <c r="CA20" i="1893"/>
  <c r="CA19" i="1893"/>
  <c r="CA45" i="1893"/>
  <c r="CA44" i="1893"/>
  <c r="CA18" i="1893"/>
  <c r="CA17" i="1893"/>
  <c r="CA43" i="1893"/>
  <c r="CA16" i="1893"/>
  <c r="CA15" i="1893"/>
  <c r="CA42" i="1893"/>
  <c r="CA14" i="1893"/>
  <c r="CA13" i="1893"/>
  <c r="CA40" i="1893"/>
  <c r="CA12" i="1893"/>
  <c r="CA11" i="1893"/>
  <c r="CA7" i="1893"/>
  <c r="CA5" i="1893"/>
  <c r="CN51" i="1893"/>
  <c r="CN38" i="1893"/>
  <c r="CN50" i="1893"/>
  <c r="CN49" i="1893"/>
  <c r="CN37" i="1893"/>
  <c r="CN36" i="1893"/>
  <c r="CN35" i="1893"/>
  <c r="CN34" i="1893"/>
  <c r="CN33" i="1893"/>
  <c r="CN32" i="1893"/>
  <c r="CN31" i="1893"/>
  <c r="CN30" i="1893"/>
  <c r="CN41" i="1893"/>
  <c r="CN29" i="1893"/>
  <c r="CN48" i="1893"/>
  <c r="CN28" i="1893"/>
  <c r="CN27" i="1893"/>
  <c r="CN26" i="1893"/>
  <c r="CN25" i="1893"/>
  <c r="CN24" i="1893"/>
  <c r="CN23" i="1893"/>
  <c r="CN47" i="1893"/>
  <c r="CN46" i="1893"/>
  <c r="CN22" i="1893"/>
  <c r="CN21" i="1893"/>
  <c r="CN20" i="1893"/>
  <c r="CN19" i="1893"/>
  <c r="CN45" i="1893"/>
  <c r="CN44" i="1893"/>
  <c r="CN18" i="1893"/>
  <c r="CN17" i="1893"/>
  <c r="CN43" i="1893"/>
  <c r="CN16" i="1893"/>
  <c r="CN15" i="1893"/>
  <c r="CN42" i="1893"/>
  <c r="CN14" i="1893"/>
  <c r="CN13" i="1893"/>
  <c r="CN40" i="1893"/>
  <c r="CN12" i="1893"/>
  <c r="CN11" i="1893"/>
  <c r="CN7" i="1893"/>
  <c r="CN5" i="1893"/>
  <c r="DA51" i="1893"/>
  <c r="DA38" i="1893"/>
  <c r="DA50" i="1893"/>
  <c r="DA49" i="1893"/>
  <c r="DA37" i="1893"/>
  <c r="DA36" i="1893"/>
  <c r="DA35" i="1893"/>
  <c r="DA34" i="1893"/>
  <c r="DA33" i="1893"/>
  <c r="DA32" i="1893"/>
  <c r="DA31" i="1893"/>
  <c r="DA30" i="1893"/>
  <c r="DA41" i="1893"/>
  <c r="DA29" i="1893"/>
  <c r="DA48" i="1893"/>
  <c r="DA28" i="1893"/>
  <c r="DA27" i="1893"/>
  <c r="DA26" i="1893"/>
  <c r="DA25" i="1893"/>
  <c r="DA24" i="1893"/>
  <c r="DA23" i="1893"/>
  <c r="DA47" i="1893"/>
  <c r="DA46" i="1893"/>
  <c r="DA22" i="1893"/>
  <c r="DA21" i="1893"/>
  <c r="DA20" i="1893"/>
  <c r="DA19" i="1893"/>
  <c r="DA45" i="1893"/>
  <c r="DA44" i="1893"/>
  <c r="DA18" i="1893"/>
  <c r="DA17" i="1893"/>
  <c r="DA43" i="1893"/>
  <c r="DA16" i="1893"/>
  <c r="DA15" i="1893"/>
  <c r="DA42" i="1893"/>
  <c r="DA14" i="1893"/>
  <c r="DA13" i="1893"/>
  <c r="DA40" i="1893"/>
  <c r="DA12" i="1893"/>
  <c r="DA11" i="1893"/>
  <c r="DA7" i="1893"/>
  <c r="DA5" i="1893"/>
  <c r="DN51" i="1893"/>
  <c r="DN38" i="1893"/>
  <c r="DN50" i="1893"/>
  <c r="DN49" i="1893"/>
  <c r="DN37" i="1893"/>
  <c r="DN36" i="1893"/>
  <c r="DN35" i="1893"/>
  <c r="DN34" i="1893"/>
  <c r="DN33" i="1893"/>
  <c r="DN32" i="1893"/>
  <c r="DN31" i="1893"/>
  <c r="DN30" i="1893"/>
  <c r="DN41" i="1893"/>
  <c r="DN29" i="1893"/>
  <c r="DN48" i="1893"/>
  <c r="DN28" i="1893"/>
  <c r="DN27" i="1893"/>
  <c r="DN26" i="1893"/>
  <c r="DN25" i="1893"/>
  <c r="DN24" i="1893"/>
  <c r="DN23" i="1893"/>
  <c r="DN47" i="1893"/>
  <c r="DN46" i="1893"/>
  <c r="DN22" i="1893"/>
  <c r="DN21" i="1893"/>
  <c r="DN20" i="1893"/>
  <c r="DN19" i="1893"/>
  <c r="DN45" i="1893"/>
  <c r="DN44" i="1893"/>
  <c r="DN18" i="1893"/>
  <c r="DN17" i="1893"/>
  <c r="DN43" i="1893"/>
  <c r="DN16" i="1893"/>
  <c r="DN15" i="1893"/>
  <c r="DN42" i="1893"/>
  <c r="DN14" i="1893"/>
  <c r="DN13" i="1893"/>
  <c r="DN40" i="1893"/>
  <c r="DN12" i="1893"/>
  <c r="DN11" i="1893"/>
  <c r="DN7" i="1893"/>
  <c r="DN5" i="1893"/>
  <c r="EA51" i="1893"/>
  <c r="EA50" i="1893"/>
  <c r="EA49" i="1893"/>
  <c r="EA41" i="1893"/>
  <c r="EA48" i="1893"/>
  <c r="EA47" i="1893"/>
  <c r="EA46" i="1893"/>
  <c r="EA45" i="1893"/>
  <c r="EA44" i="1893"/>
  <c r="EA43" i="1893"/>
  <c r="EA42" i="1893"/>
  <c r="EA40" i="1893"/>
  <c r="EA5" i="1893"/>
  <c r="EN51" i="1893"/>
  <c r="EN50" i="1893"/>
  <c r="EN49" i="1893"/>
  <c r="EN41" i="1893"/>
  <c r="EN48" i="1893"/>
  <c r="EN47" i="1893"/>
  <c r="EN46" i="1893"/>
  <c r="EN45" i="1893"/>
  <c r="EN44" i="1893"/>
  <c r="EN43" i="1893"/>
  <c r="EN42" i="1893"/>
  <c r="EN40" i="1893"/>
  <c r="EN5" i="1893"/>
  <c r="FC5" i="1893"/>
  <c r="EM9" i="1893"/>
  <c r="EL9" i="1893"/>
  <c r="EK9" i="1893"/>
  <c r="EJ9" i="1893"/>
  <c r="EI9" i="1893"/>
  <c r="EH9" i="1893"/>
  <c r="EG9" i="1893"/>
  <c r="EF9" i="1893"/>
  <c r="EE9" i="1893"/>
  <c r="ED9" i="1893"/>
  <c r="EC9" i="1893"/>
  <c r="EB9" i="1893"/>
  <c r="DZ9" i="1893"/>
  <c r="DY9" i="1893"/>
  <c r="DX9" i="1893"/>
  <c r="DW9" i="1893"/>
  <c r="DV9" i="1893"/>
  <c r="DU9" i="1893"/>
  <c r="DT9" i="1893"/>
  <c r="DS9" i="1893"/>
  <c r="DR9" i="1893"/>
  <c r="DQ9" i="1893"/>
  <c r="DP9" i="1893"/>
  <c r="DO9" i="1893"/>
  <c r="DM9" i="1893"/>
  <c r="DL9" i="1893"/>
  <c r="DK9" i="1893"/>
  <c r="DJ9" i="1893"/>
  <c r="DI9" i="1893"/>
  <c r="DH9" i="1893"/>
  <c r="DG9" i="1893"/>
  <c r="DF9" i="1893"/>
  <c r="DE9" i="1893"/>
  <c r="DD9" i="1893"/>
  <c r="DC9" i="1893"/>
  <c r="DB9" i="1893"/>
  <c r="CZ9" i="1893"/>
  <c r="CY9" i="1893"/>
  <c r="CX9" i="1893"/>
  <c r="CW9" i="1893"/>
  <c r="CV9" i="1893"/>
  <c r="CU9" i="1893"/>
  <c r="CT9" i="1893"/>
  <c r="CS9" i="1893"/>
  <c r="CR9" i="1893"/>
  <c r="CQ9" i="1893"/>
  <c r="CP9" i="1893"/>
  <c r="CO9" i="1893"/>
  <c r="CM9" i="1893"/>
  <c r="CL9" i="1893"/>
  <c r="CK9" i="1893"/>
  <c r="CJ9" i="1893"/>
  <c r="CI9" i="1893"/>
  <c r="CH9" i="1893"/>
  <c r="CG9" i="1893"/>
  <c r="CF9" i="1893"/>
  <c r="CE9" i="1893"/>
  <c r="CD9" i="1893"/>
  <c r="CC9" i="1893"/>
  <c r="CB9" i="1893"/>
  <c r="BZ9" i="1893"/>
  <c r="BY9" i="1893"/>
  <c r="BX9" i="1893"/>
  <c r="BW9" i="1893"/>
  <c r="BV9" i="1893"/>
  <c r="BU9" i="1893"/>
  <c r="BT9" i="1893"/>
  <c r="BS9" i="1893"/>
  <c r="BR9" i="1893"/>
  <c r="BQ9" i="1893"/>
  <c r="BP9" i="1893"/>
  <c r="BO9" i="1893"/>
  <c r="BM9" i="1893"/>
  <c r="BL9" i="1893"/>
  <c r="BK9" i="1893"/>
  <c r="BJ9" i="1893"/>
  <c r="BI9" i="1893"/>
  <c r="BH9" i="1893"/>
  <c r="BG9" i="1893"/>
  <c r="BF9" i="1893"/>
  <c r="BE9" i="1893"/>
  <c r="BD9" i="1893"/>
  <c r="BC9" i="1893"/>
  <c r="BB9" i="1893"/>
  <c r="AZ9" i="1893"/>
  <c r="AY9" i="1893"/>
  <c r="AX9" i="1893"/>
  <c r="AW9" i="1893"/>
  <c r="AV9" i="1893"/>
  <c r="AU9" i="1893"/>
  <c r="AT9" i="1893"/>
  <c r="AS9" i="1893"/>
  <c r="AR9" i="1893"/>
  <c r="AQ9" i="1893"/>
  <c r="AP9" i="1893"/>
  <c r="AO9" i="1893"/>
  <c r="AM9" i="1893"/>
  <c r="AL9" i="1893"/>
  <c r="AK9" i="1893"/>
  <c r="AJ9" i="1893"/>
  <c r="AI9" i="1893"/>
  <c r="AH9" i="1893"/>
  <c r="AG9" i="1893"/>
  <c r="AF9" i="1893"/>
  <c r="AE9" i="1893"/>
  <c r="AD9" i="1893"/>
  <c r="AC9" i="1893"/>
  <c r="AB9" i="1893"/>
  <c r="Z9" i="1893"/>
  <c r="Y9" i="1893"/>
  <c r="X9" i="1893"/>
  <c r="W9" i="1893"/>
  <c r="V9" i="1893"/>
  <c r="U9" i="1893"/>
  <c r="T9" i="1893"/>
  <c r="S9" i="1893"/>
  <c r="R9" i="1893"/>
  <c r="Q9" i="1893"/>
  <c r="P9" i="1893"/>
  <c r="O9" i="1893"/>
  <c r="M9" i="1893"/>
  <c r="L9" i="1893"/>
  <c r="K9" i="1893"/>
  <c r="J9" i="1893"/>
  <c r="I9" i="1893"/>
  <c r="H9" i="1893"/>
  <c r="G9" i="1893"/>
  <c r="F9" i="1893"/>
  <c r="E9" i="1893"/>
  <c r="D9" i="1893"/>
  <c r="C9" i="1893"/>
  <c r="B9" i="1893"/>
  <c r="EZ9" i="1893"/>
  <c r="EY9" i="1893"/>
  <c r="EX9" i="1893"/>
  <c r="EW9" i="1893"/>
  <c r="EV9" i="1893"/>
  <c r="EU9" i="1893"/>
  <c r="ET9" i="1893"/>
  <c r="ES9" i="1893"/>
  <c r="ER9" i="1893"/>
  <c r="EQ9" i="1893"/>
  <c r="EP9" i="1893"/>
  <c r="FH39" i="1893" l="1"/>
  <c r="FC7" i="1893"/>
  <c r="FC41" i="1893"/>
  <c r="FC21" i="1893"/>
  <c r="FC37" i="1893"/>
  <c r="FC11" i="1893"/>
  <c r="FC14" i="1893"/>
  <c r="FC24" i="1893"/>
  <c r="FC28" i="1893"/>
  <c r="FC16" i="1893"/>
  <c r="FC27" i="1893"/>
  <c r="FC9" i="1893"/>
  <c r="FC45" i="1893"/>
  <c r="FC34" i="1893"/>
  <c r="FC42" i="1893"/>
  <c r="FC19" i="1893"/>
  <c r="FC48" i="1893"/>
  <c r="FC50" i="1893"/>
  <c r="FC44" i="1893"/>
  <c r="FC33" i="1893"/>
  <c r="FC22" i="1893"/>
  <c r="FC49" i="1893"/>
  <c r="FC39" i="1893"/>
  <c r="FC12" i="1893"/>
  <c r="FC46" i="1893"/>
  <c r="FC35" i="1893"/>
  <c r="FC40" i="1893"/>
  <c r="FC15" i="1893"/>
  <c r="FC18" i="1893"/>
  <c r="FC20" i="1893"/>
  <c r="FC47" i="1893"/>
  <c r="FC26" i="1893"/>
  <c r="FC29" i="1893"/>
  <c r="FC32" i="1893"/>
  <c r="FC36" i="1893"/>
  <c r="FC38" i="1893"/>
  <c r="FC13" i="1893"/>
  <c r="FC23" i="1893"/>
  <c r="FC51" i="1893"/>
  <c r="FC43" i="1893"/>
  <c r="FC30" i="1893"/>
  <c r="FC17" i="1893"/>
  <c r="FC25" i="1893"/>
  <c r="FC31" i="1893"/>
  <c r="N9" i="1893"/>
  <c r="AA9" i="1893"/>
  <c r="AN9" i="1893"/>
  <c r="BA9" i="1893"/>
  <c r="BN9" i="1893"/>
  <c r="CA9" i="1893"/>
  <c r="CN9" i="1893"/>
  <c r="DA9" i="1893"/>
  <c r="DN9" i="1893"/>
  <c r="EA9" i="1893"/>
  <c r="EN9" i="1893"/>
  <c r="FJ51" i="1893" l="1"/>
  <c r="FJ38" i="1893"/>
  <c r="FJ50" i="1893"/>
  <c r="FJ49" i="1893"/>
  <c r="FJ37" i="1893"/>
  <c r="FJ36" i="1893"/>
  <c r="FJ35" i="1893"/>
  <c r="FJ34" i="1893"/>
  <c r="FJ33" i="1893"/>
  <c r="FJ32" i="1893"/>
  <c r="FJ31" i="1893"/>
  <c r="FJ30" i="1893"/>
  <c r="FJ41" i="1893"/>
  <c r="FJ29" i="1893"/>
  <c r="FJ48" i="1893"/>
  <c r="FJ28" i="1893"/>
  <c r="FJ27" i="1893"/>
  <c r="FJ26" i="1893"/>
  <c r="FJ25" i="1893"/>
  <c r="FJ24" i="1893"/>
  <c r="FJ23" i="1893"/>
  <c r="FJ47" i="1893"/>
  <c r="FJ46" i="1893"/>
  <c r="FJ22" i="1893"/>
  <c r="FJ21" i="1893"/>
  <c r="FJ20" i="1893"/>
  <c r="FJ19" i="1893"/>
  <c r="FJ45" i="1893"/>
  <c r="FJ44" i="1893"/>
  <c r="FJ18" i="1893"/>
  <c r="FJ17" i="1893"/>
  <c r="FJ43" i="1893"/>
  <c r="FJ16" i="1893"/>
  <c r="FJ15" i="1893"/>
  <c r="FJ42" i="1893"/>
  <c r="FJ14" i="1893"/>
  <c r="FJ13" i="1893"/>
  <c r="FJ40" i="1893"/>
  <c r="FJ12" i="1893"/>
  <c r="FJ11" i="1893"/>
  <c r="FA51" i="1893"/>
  <c r="FA38" i="1893"/>
  <c r="FA50" i="1893"/>
  <c r="FA49" i="1893"/>
  <c r="FA37" i="1893"/>
  <c r="FA36" i="1893"/>
  <c r="FA35" i="1893"/>
  <c r="FA34" i="1893"/>
  <c r="FA33" i="1893"/>
  <c r="FA32" i="1893"/>
  <c r="FA31" i="1893"/>
  <c r="FA30" i="1893"/>
  <c r="FA41" i="1893"/>
  <c r="FA29" i="1893"/>
  <c r="FA48" i="1893"/>
  <c r="FA28" i="1893"/>
  <c r="FA27" i="1893"/>
  <c r="FA26" i="1893"/>
  <c r="FA25" i="1893"/>
  <c r="FA24" i="1893"/>
  <c r="FA23" i="1893"/>
  <c r="FA47" i="1893"/>
  <c r="FA46" i="1893"/>
  <c r="FA22" i="1893"/>
  <c r="FA21" i="1893"/>
  <c r="FA20" i="1893"/>
  <c r="FA19" i="1893"/>
  <c r="FA45" i="1893"/>
  <c r="FA44" i="1893"/>
  <c r="FA18" i="1893"/>
  <c r="FA17" i="1893"/>
  <c r="FA43" i="1893"/>
  <c r="FA16" i="1893"/>
  <c r="FA15" i="1893"/>
  <c r="FA42" i="1893"/>
  <c r="FA14" i="1893"/>
  <c r="FA13" i="1893"/>
  <c r="FA40" i="1893"/>
  <c r="FA12" i="1893"/>
  <c r="FA11" i="1893"/>
  <c r="FA9" i="1893"/>
  <c r="FA7" i="1893"/>
  <c r="FA5" i="1893"/>
  <c r="FD5" i="1893"/>
  <c r="ES39" i="2080" a="1"/>
  <c r="ES39" i="2080" s="1"/>
  <c r="EQ39" i="2080" a="1"/>
  <c r="EQ39" i="2080" s="1"/>
  <c r="EP39" i="2080" l="1" a="1"/>
  <c r="EP39" i="2080" s="1"/>
  <c r="FE38" i="1893"/>
  <c r="FF32" i="1893"/>
  <c r="FF33" i="1893"/>
  <c r="FF48" i="1893"/>
  <c r="FE40" i="1893"/>
  <c r="FE28" i="1893"/>
  <c r="FE20" i="1893"/>
  <c r="FE47" i="1893"/>
  <c r="FE24" i="1893"/>
  <c r="FE26" i="1893"/>
  <c r="FF12" i="1893"/>
  <c r="FF45" i="1893"/>
  <c r="FE7" i="1893"/>
  <c r="FF23" i="1893"/>
  <c r="FE34" i="1893"/>
  <c r="FF36" i="1893"/>
  <c r="FF31" i="1893"/>
  <c r="FE15" i="1893"/>
  <c r="FE22" i="1893"/>
  <c r="FF34" i="1893"/>
  <c r="FE39" i="1893"/>
  <c r="FF15" i="1893"/>
  <c r="FF42" i="1893"/>
  <c r="FE44" i="1893"/>
  <c r="FF27" i="1893"/>
  <c r="FF38" i="1893"/>
  <c r="FE17" i="1893"/>
  <c r="FF35" i="1893"/>
  <c r="FE43" i="1893"/>
  <c r="FE9" i="1893"/>
  <c r="FE18" i="1893"/>
  <c r="FF22" i="1893"/>
  <c r="FF40" i="1893"/>
  <c r="FE31" i="1893"/>
  <c r="FE23" i="1893"/>
  <c r="FF43" i="1893"/>
  <c r="FF49" i="1893"/>
  <c r="FE37" i="1893"/>
  <c r="FE25" i="1893"/>
  <c r="FF50" i="1893"/>
  <c r="FE42" i="1893"/>
  <c r="FE45" i="1893"/>
  <c r="FF11" i="1893"/>
  <c r="FE49" i="1893"/>
  <c r="FF14" i="1893"/>
  <c r="FF18" i="1893"/>
  <c r="FE16" i="1893"/>
  <c r="FF30" i="1893"/>
  <c r="FF26" i="1893"/>
  <c r="FE27" i="1893"/>
  <c r="FE14" i="1893"/>
  <c r="FE11" i="1893"/>
  <c r="FE35" i="1893"/>
  <c r="FF39" i="1893"/>
  <c r="FE30" i="1893"/>
  <c r="FE46" i="1893"/>
  <c r="FE13" i="1893"/>
  <c r="FF9" i="1893"/>
  <c r="FE41" i="1893"/>
  <c r="FF7" i="1893"/>
  <c r="FD7" i="1893" s="1"/>
  <c r="FF46" i="1893"/>
  <c r="FF44" i="1893"/>
  <c r="FF20" i="1893"/>
  <c r="FF13" i="1893"/>
  <c r="FF28" i="1893"/>
  <c r="FF17" i="1893"/>
  <c r="FE33" i="1893"/>
  <c r="FF24" i="1893"/>
  <c r="FE21" i="1893"/>
  <c r="FE12" i="1893"/>
  <c r="FE36" i="1893"/>
  <c r="FF47" i="1893"/>
  <c r="FF16" i="1893"/>
  <c r="FF19" i="1893"/>
  <c r="FE19" i="1893"/>
  <c r="FF29" i="1893"/>
  <c r="FF37" i="1893"/>
  <c r="FF21" i="1893"/>
  <c r="FF25" i="1893"/>
  <c r="FF41" i="1893"/>
  <c r="FF51" i="1893"/>
  <c r="FE50" i="1893"/>
  <c r="FE29" i="1893"/>
  <c r="FE32" i="1893"/>
  <c r="FE51" i="1893"/>
  <c r="FE48" i="1893"/>
  <c r="EZ39" i="2080" a="1"/>
  <c r="EZ39" i="2080" s="1"/>
  <c r="EZ45" i="2080" a="1"/>
  <c r="EZ45" i="2080" s="1"/>
  <c r="EI45" i="2080" a="1"/>
  <c r="EI45" i="2080" s="1"/>
  <c r="DY45" i="2080" a="1"/>
  <c r="DY45" i="2080" s="1"/>
  <c r="DF45" i="2080" a="1"/>
  <c r="DF45" i="2080" s="1"/>
  <c r="CW45" i="2080" a="1"/>
  <c r="CW45" i="2080" s="1"/>
  <c r="CO45" i="2080" a="1"/>
  <c r="CO45" i="2080" s="1"/>
  <c r="CE45" i="2080" a="1"/>
  <c r="CE45" i="2080" s="1"/>
  <c r="BC45" i="2080" a="1"/>
  <c r="BC45" i="2080" s="1"/>
  <c r="AT45" i="2080" a="1"/>
  <c r="AT45" i="2080" s="1"/>
  <c r="AL45" i="2080" a="1"/>
  <c r="AL45" i="2080" s="1"/>
  <c r="AB45" i="2080" a="1"/>
  <c r="AB45" i="2080" s="1"/>
  <c r="T45" i="2080" a="1"/>
  <c r="T45" i="2080" s="1"/>
  <c r="K45" i="2080" a="1"/>
  <c r="K45" i="2080" s="1"/>
  <c r="EZ43" i="2080" a="1"/>
  <c r="EZ43" i="2080" s="1"/>
  <c r="ES43" i="2080" a="1"/>
  <c r="ES43" i="2080" s="1"/>
  <c r="EJ43" i="2080" a="1"/>
  <c r="EJ43" i="2080" s="1"/>
  <c r="DZ43" i="2080" a="1"/>
  <c r="DZ43" i="2080" s="1"/>
  <c r="DS43" i="2080" a="1"/>
  <c r="DS43" i="2080" s="1"/>
  <c r="DI43" i="2080" a="1"/>
  <c r="DI43" i="2080" s="1"/>
  <c r="CZ43" i="2080" a="1"/>
  <c r="CZ43" i="2080" s="1"/>
  <c r="CS43" i="2080" a="1"/>
  <c r="CS43" i="2080" s="1"/>
  <c r="BZ43" i="2080" a="1"/>
  <c r="BZ43" i="2080" s="1"/>
  <c r="BJ43" i="2080" a="1"/>
  <c r="BJ43" i="2080" s="1"/>
  <c r="AR43" i="2080" a="1"/>
  <c r="AR43" i="2080" s="1"/>
  <c r="AJ43" i="2080" a="1"/>
  <c r="AJ43" i="2080" s="1"/>
  <c r="S43" i="2080" a="1"/>
  <c r="S43" i="2080" s="1"/>
  <c r="J43" i="2080" a="1"/>
  <c r="J43" i="2080" s="1"/>
  <c r="EZ42" i="2080" a="1"/>
  <c r="EZ42" i="2080" s="1"/>
  <c r="ES42" i="2080" a="1"/>
  <c r="ES42" i="2080" s="1"/>
  <c r="EJ42" i="2080" a="1"/>
  <c r="EJ42" i="2080" s="1"/>
  <c r="DJ42" i="2080" a="1"/>
  <c r="DJ42" i="2080" s="1"/>
  <c r="CJ42" i="2080" a="1"/>
  <c r="CJ42" i="2080" s="1"/>
  <c r="BS42" i="2080" a="1"/>
  <c r="BS42" i="2080" s="1"/>
  <c r="AZ42" i="2080" a="1"/>
  <c r="AZ42" i="2080" s="1"/>
  <c r="AS42" i="2080" a="1"/>
  <c r="AS42" i="2080" s="1"/>
  <c r="AK42" i="2080" a="1"/>
  <c r="AK42" i="2080" s="1"/>
  <c r="S42" i="2080" a="1"/>
  <c r="S42" i="2080" s="1"/>
  <c r="J42" i="2080" a="1"/>
  <c r="J42" i="2080" s="1"/>
  <c r="EZ44" i="2080" a="1"/>
  <c r="EZ44" i="2080" s="1"/>
  <c r="ER45" i="2080" a="1"/>
  <c r="ER45" i="2080" s="1"/>
  <c r="EH45" i="2080" a="1"/>
  <c r="EH45" i="2080" s="1"/>
  <c r="DX45" i="2080" a="1"/>
  <c r="DX45" i="2080" s="1"/>
  <c r="DP45" i="2080" a="1"/>
  <c r="DP45" i="2080" s="1"/>
  <c r="DE45" i="2080" a="1"/>
  <c r="DE45" i="2080" s="1"/>
  <c r="CV45" i="2080" a="1"/>
  <c r="CV45" i="2080" s="1"/>
  <c r="CM45" i="2080" a="1"/>
  <c r="CM45" i="2080" s="1"/>
  <c r="CD45" i="2080" a="1"/>
  <c r="CD45" i="2080" s="1"/>
  <c r="BU45" i="2080" a="1"/>
  <c r="BU45" i="2080" s="1"/>
  <c r="BL45" i="2080" a="1"/>
  <c r="BL45" i="2080" s="1"/>
  <c r="BB45" i="2080" a="1"/>
  <c r="BB45" i="2080" s="1"/>
  <c r="S45" i="2080" a="1"/>
  <c r="S45" i="2080" s="1"/>
  <c r="J45" i="2080" a="1"/>
  <c r="J45" i="2080" s="1"/>
  <c r="CR43" i="2080" a="1"/>
  <c r="CR43" i="2080" s="1"/>
  <c r="CI43" i="2080" a="1"/>
  <c r="CI43" i="2080" s="1"/>
  <c r="BY43" i="2080" a="1"/>
  <c r="BY43" i="2080" s="1"/>
  <c r="BR43" i="2080" a="1"/>
  <c r="BR43" i="2080" s="1"/>
  <c r="BI43" i="2080" a="1"/>
  <c r="BI43" i="2080" s="1"/>
  <c r="AY43" i="2080" a="1"/>
  <c r="AY43" i="2080" s="1"/>
  <c r="AI43" i="2080" a="1"/>
  <c r="AI43" i="2080" s="1"/>
  <c r="Z43" i="2080" a="1"/>
  <c r="Z43" i="2080" s="1"/>
  <c r="I43" i="2080" a="1"/>
  <c r="I43" i="2080" s="1"/>
  <c r="DZ42" i="2080" a="1"/>
  <c r="DZ42" i="2080" s="1"/>
  <c r="DS42" i="2080" a="1"/>
  <c r="DS42" i="2080" s="1"/>
  <c r="DI42" i="2080" a="1"/>
  <c r="DI42" i="2080" s="1"/>
  <c r="CZ42" i="2080" a="1"/>
  <c r="CZ42" i="2080" s="1"/>
  <c r="CS42" i="2080" a="1"/>
  <c r="CS42" i="2080" s="1"/>
  <c r="BZ42" i="2080" a="1"/>
  <c r="BZ42" i="2080" s="1"/>
  <c r="BJ42" i="2080" a="1"/>
  <c r="BJ42" i="2080" s="1"/>
  <c r="AR42" i="2080" a="1"/>
  <c r="AR42" i="2080" s="1"/>
  <c r="AJ42" i="2080" a="1"/>
  <c r="AJ42" i="2080" s="1"/>
  <c r="Z42" i="2080" a="1"/>
  <c r="Z42" i="2080" s="1"/>
  <c r="I42" i="2080" a="1"/>
  <c r="I42" i="2080" s="1"/>
  <c r="DZ44" i="2080" a="1"/>
  <c r="DZ44" i="2080" s="1"/>
  <c r="DS44" i="2080" a="1"/>
  <c r="DS44" i="2080" s="1"/>
  <c r="DI44" i="2080" a="1"/>
  <c r="DI44" i="2080" s="1"/>
  <c r="CZ44" i="2080" a="1"/>
  <c r="CZ44" i="2080" s="1"/>
  <c r="CS44" i="2080" a="1"/>
  <c r="CS44" i="2080" s="1"/>
  <c r="BZ44" i="2080" a="1"/>
  <c r="BZ44" i="2080" s="1"/>
  <c r="BJ44" i="2080" a="1"/>
  <c r="BJ44" i="2080" s="1"/>
  <c r="EY45" i="2080" a="1"/>
  <c r="EY45" i="2080" s="1"/>
  <c r="EQ45" i="2080" a="1"/>
  <c r="EQ45" i="2080" s="1"/>
  <c r="EG45" i="2080" a="1"/>
  <c r="EG45" i="2080" s="1"/>
  <c r="DW45" i="2080" a="1"/>
  <c r="DW45" i="2080" s="1"/>
  <c r="DO45" i="2080" a="1"/>
  <c r="DO45" i="2080" s="1"/>
  <c r="CL45" i="2080" a="1"/>
  <c r="CL45" i="2080" s="1"/>
  <c r="CC45" i="2080" a="1"/>
  <c r="CC45" i="2080" s="1"/>
  <c r="BT45" i="2080" a="1"/>
  <c r="BT45" i="2080" s="1"/>
  <c r="BK45" i="2080" a="1"/>
  <c r="BK45" i="2080" s="1"/>
  <c r="AZ45" i="2080" a="1"/>
  <c r="AZ45" i="2080" s="1"/>
  <c r="AS45" i="2080" a="1"/>
  <c r="AS45" i="2080" s="1"/>
  <c r="AK45" i="2080" a="1"/>
  <c r="AK45" i="2080" s="1"/>
  <c r="Z45" i="2080" a="1"/>
  <c r="Z45" i="2080" s="1"/>
  <c r="I45" i="2080" a="1"/>
  <c r="I45" i="2080" s="1"/>
  <c r="EY43" i="2080" a="1"/>
  <c r="EY43" i="2080" s="1"/>
  <c r="ER43" i="2080" a="1"/>
  <c r="ER43" i="2080" s="1"/>
  <c r="EI43" i="2080" a="1"/>
  <c r="EI43" i="2080" s="1"/>
  <c r="DY43" i="2080" a="1"/>
  <c r="DY43" i="2080" s="1"/>
  <c r="DR43" i="2080" a="1"/>
  <c r="DR43" i="2080" s="1"/>
  <c r="DH43" i="2080" a="1"/>
  <c r="DH43" i="2080" s="1"/>
  <c r="CY43" i="2080" a="1"/>
  <c r="CY43" i="2080" s="1"/>
  <c r="CH43" i="2080" a="1"/>
  <c r="CH43" i="2080" s="1"/>
  <c r="BQ43" i="2080" a="1"/>
  <c r="BQ43" i="2080" s="1"/>
  <c r="BH43" i="2080" a="1"/>
  <c r="BH43" i="2080" s="1"/>
  <c r="AX43" i="2080" a="1"/>
  <c r="AX43" i="2080" s="1"/>
  <c r="AQ43" i="2080" a="1"/>
  <c r="AQ43" i="2080" s="1"/>
  <c r="AH43" i="2080" a="1"/>
  <c r="AH43" i="2080" s="1"/>
  <c r="Y43" i="2080" a="1"/>
  <c r="Y43" i="2080" s="1"/>
  <c r="R43" i="2080" a="1"/>
  <c r="R43" i="2080" s="1"/>
  <c r="EY42" i="2080" a="1"/>
  <c r="EY42" i="2080" s="1"/>
  <c r="ER42" i="2080" a="1"/>
  <c r="ER42" i="2080" s="1"/>
  <c r="EI42" i="2080" a="1"/>
  <c r="EI42" i="2080" s="1"/>
  <c r="CR42" i="2080" a="1"/>
  <c r="CR42" i="2080" s="1"/>
  <c r="CI42" i="2080" a="1"/>
  <c r="CI42" i="2080" s="1"/>
  <c r="BY42" i="2080" a="1"/>
  <c r="BY42" i="2080" s="1"/>
  <c r="BR42" i="2080" a="1"/>
  <c r="BR42" i="2080" s="1"/>
  <c r="BI42" i="2080" a="1"/>
  <c r="BI42" i="2080" s="1"/>
  <c r="AY42" i="2080" a="1"/>
  <c r="AY42" i="2080" s="1"/>
  <c r="AI42" i="2080" a="1"/>
  <c r="AI42" i="2080" s="1"/>
  <c r="EP45" i="2080" a="1"/>
  <c r="EP45" i="2080" s="1"/>
  <c r="EF45" i="2080" a="1"/>
  <c r="EF45" i="2080" s="1"/>
  <c r="DM45" i="2080" a="1"/>
  <c r="DM45" i="2080" s="1"/>
  <c r="DD45" i="2080" a="1"/>
  <c r="DD45" i="2080" s="1"/>
  <c r="CU45" i="2080" a="1"/>
  <c r="CU45" i="2080" s="1"/>
  <c r="CB45" i="2080" a="1"/>
  <c r="CB45" i="2080" s="1"/>
  <c r="BS45" i="2080" a="1"/>
  <c r="BS45" i="2080" s="1"/>
  <c r="AR45" i="2080" a="1"/>
  <c r="AR45" i="2080" s="1"/>
  <c r="AJ45" i="2080" a="1"/>
  <c r="AJ45" i="2080" s="1"/>
  <c r="Y45" i="2080" a="1"/>
  <c r="Y45" i="2080" s="1"/>
  <c r="R45" i="2080" a="1"/>
  <c r="R45" i="2080" s="1"/>
  <c r="EH43" i="2080" a="1"/>
  <c r="EH43" i="2080" s="1"/>
  <c r="DQ43" i="2080" a="1"/>
  <c r="DQ43" i="2080" s="1"/>
  <c r="DG43" i="2080" a="1"/>
  <c r="DG43" i="2080" s="1"/>
  <c r="CX43" i="2080" a="1"/>
  <c r="CX43" i="2080" s="1"/>
  <c r="CQ43" i="2080" a="1"/>
  <c r="CQ43" i="2080" s="1"/>
  <c r="CG43" i="2080" a="1"/>
  <c r="CG43" i="2080" s="1"/>
  <c r="BX43" i="2080" a="1"/>
  <c r="BX43" i="2080" s="1"/>
  <c r="BG43" i="2080" a="1"/>
  <c r="BG43" i="2080" s="1"/>
  <c r="H43" i="2080" a="1"/>
  <c r="H43" i="2080" s="1"/>
  <c r="EH42" i="2080" a="1"/>
  <c r="EH42" i="2080" s="1"/>
  <c r="DY42" i="2080" a="1"/>
  <c r="DY42" i="2080" s="1"/>
  <c r="DR42" i="2080" a="1"/>
  <c r="DR42" i="2080" s="1"/>
  <c r="DH42" i="2080" a="1"/>
  <c r="DH42" i="2080" s="1"/>
  <c r="CY42" i="2080" a="1"/>
  <c r="CY42" i="2080" s="1"/>
  <c r="CH42" i="2080" a="1"/>
  <c r="CH42" i="2080" s="1"/>
  <c r="BQ42" i="2080" a="1"/>
  <c r="BQ42" i="2080" s="1"/>
  <c r="BH42" i="2080" a="1"/>
  <c r="BH42" i="2080" s="1"/>
  <c r="AX42" i="2080" a="1"/>
  <c r="AX42" i="2080" s="1"/>
  <c r="AQ42" i="2080" a="1"/>
  <c r="AQ42" i="2080" s="1"/>
  <c r="AH42" i="2080" a="1"/>
  <c r="AH42" i="2080" s="1"/>
  <c r="H42" i="2080" a="1"/>
  <c r="H42" i="2080" s="1"/>
  <c r="EH44" i="2080" a="1"/>
  <c r="EH44" i="2080" s="1"/>
  <c r="DY44" i="2080" a="1"/>
  <c r="DY44" i="2080" s="1"/>
  <c r="DR44" i="2080" a="1"/>
  <c r="DR44" i="2080" s="1"/>
  <c r="DH44" i="2080" a="1"/>
  <c r="DH44" i="2080" s="1"/>
  <c r="CY44" i="2080" a="1"/>
  <c r="CY44" i="2080" s="1"/>
  <c r="CH44" i="2080" a="1"/>
  <c r="CH44" i="2080" s="1"/>
  <c r="BQ44" i="2080" a="1"/>
  <c r="BQ44" i="2080" s="1"/>
  <c r="EX45" i="2080" a="1"/>
  <c r="EX45" i="2080" s="1"/>
  <c r="EE45" i="2080" a="1"/>
  <c r="EE45" i="2080" s="1"/>
  <c r="DV45" i="2080" a="1"/>
  <c r="DV45" i="2080" s="1"/>
  <c r="DL45" i="2080" a="1"/>
  <c r="DL45" i="2080" s="1"/>
  <c r="DC45" i="2080" a="1"/>
  <c r="DC45" i="2080" s="1"/>
  <c r="CK45" i="2080" a="1"/>
  <c r="CK45" i="2080" s="1"/>
  <c r="BJ45" i="2080" a="1"/>
  <c r="BJ45" i="2080" s="1"/>
  <c r="AY45" i="2080" a="1"/>
  <c r="AY45" i="2080" s="1"/>
  <c r="AI45" i="2080" a="1"/>
  <c r="AI45" i="2080" s="1"/>
  <c r="H45" i="2080" a="1"/>
  <c r="H45" i="2080" s="1"/>
  <c r="EX43" i="2080" a="1"/>
  <c r="EX43" i="2080" s="1"/>
  <c r="EQ43" i="2080" a="1"/>
  <c r="EQ43" i="2080" s="1"/>
  <c r="EG43" i="2080" a="1"/>
  <c r="EG43" i="2080" s="1"/>
  <c r="DX43" i="2080" a="1"/>
  <c r="DX43" i="2080" s="1"/>
  <c r="DF43" i="2080" a="1"/>
  <c r="DF43" i="2080" s="1"/>
  <c r="CP43" i="2080" a="1"/>
  <c r="CP43" i="2080" s="1"/>
  <c r="CF43" i="2080" a="1"/>
  <c r="CF43" i="2080" s="1"/>
  <c r="BW43" i="2080" a="1"/>
  <c r="BW43" i="2080" s="1"/>
  <c r="BP43" i="2080" a="1"/>
  <c r="BP43" i="2080" s="1"/>
  <c r="AW43" i="2080" a="1"/>
  <c r="AW43" i="2080" s="1"/>
  <c r="AP43" i="2080" a="1"/>
  <c r="AP43" i="2080" s="1"/>
  <c r="AG43" i="2080" a="1"/>
  <c r="AG43" i="2080" s="1"/>
  <c r="X43" i="2080" a="1"/>
  <c r="X43" i="2080" s="1"/>
  <c r="Q43" i="2080" a="1"/>
  <c r="Q43" i="2080" s="1"/>
  <c r="G43" i="2080" a="1"/>
  <c r="G43" i="2080" s="1"/>
  <c r="EX42" i="2080" a="1"/>
  <c r="EX42" i="2080" s="1"/>
  <c r="EQ42" i="2080" a="1"/>
  <c r="EQ42" i="2080" s="1"/>
  <c r="DQ42" i="2080" a="1"/>
  <c r="DQ42" i="2080" s="1"/>
  <c r="DG42" i="2080" a="1"/>
  <c r="DG42" i="2080" s="1"/>
  <c r="CX42" i="2080" a="1"/>
  <c r="CX42" i="2080" s="1"/>
  <c r="CQ42" i="2080" a="1"/>
  <c r="CQ42" i="2080" s="1"/>
  <c r="CG42" i="2080" a="1"/>
  <c r="CG42" i="2080" s="1"/>
  <c r="BX42" i="2080" a="1"/>
  <c r="BX42" i="2080" s="1"/>
  <c r="BG42" i="2080" a="1"/>
  <c r="BG42" i="2080" s="1"/>
  <c r="X42" i="2080" a="1"/>
  <c r="X42" i="2080" s="1"/>
  <c r="Q42" i="2080" a="1"/>
  <c r="Q42" i="2080" s="1"/>
  <c r="G42" i="2080" a="1"/>
  <c r="G42" i="2080" s="1"/>
  <c r="EX44" i="2080" a="1"/>
  <c r="EX44" i="2080" s="1"/>
  <c r="EQ44" i="2080" a="1"/>
  <c r="EQ44" i="2080" s="1"/>
  <c r="EW45" i="2080" a="1"/>
  <c r="EW45" i="2080" s="1"/>
  <c r="EO45" i="2080" a="1"/>
  <c r="EO45" i="2080" s="1"/>
  <c r="ED45" i="2080" a="1"/>
  <c r="ED45" i="2080" s="1"/>
  <c r="DU45" i="2080" a="1"/>
  <c r="DU45" i="2080" s="1"/>
  <c r="DK45" i="2080" a="1"/>
  <c r="DK45" i="2080" s="1"/>
  <c r="DB45" i="2080" a="1"/>
  <c r="DB45" i="2080" s="1"/>
  <c r="CT45" i="2080" a="1"/>
  <c r="CT45" i="2080" s="1"/>
  <c r="CJ45" i="2080" a="1"/>
  <c r="CJ45" i="2080" s="1"/>
  <c r="BZ45" i="2080" a="1"/>
  <c r="BZ45" i="2080" s="1"/>
  <c r="BR45" i="2080" a="1"/>
  <c r="BR45" i="2080" s="1"/>
  <c r="BI45" i="2080" a="1"/>
  <c r="BI45" i="2080" s="1"/>
  <c r="AX45" i="2080" a="1"/>
  <c r="AX45" i="2080" s="1"/>
  <c r="AQ45" i="2080" a="1"/>
  <c r="AQ45" i="2080" s="1"/>
  <c r="AH45" i="2080" a="1"/>
  <c r="AH45" i="2080" s="1"/>
  <c r="X45" i="2080" a="1"/>
  <c r="X45" i="2080" s="1"/>
  <c r="Q45" i="2080" a="1"/>
  <c r="Q45" i="2080" s="1"/>
  <c r="G45" i="2080" a="1"/>
  <c r="G45" i="2080" s="1"/>
  <c r="EP43" i="2080" a="1"/>
  <c r="EP43" i="2080" s="1"/>
  <c r="EF43" i="2080" a="1"/>
  <c r="EF43" i="2080" s="1"/>
  <c r="DW43" i="2080" a="1"/>
  <c r="DW43" i="2080" s="1"/>
  <c r="DP43" i="2080" a="1"/>
  <c r="DP43" i="2080" s="1"/>
  <c r="DE43" i="2080" a="1"/>
  <c r="DE43" i="2080" s="1"/>
  <c r="CW43" i="2080" a="1"/>
  <c r="CW43" i="2080" s="1"/>
  <c r="BF43" i="2080" a="1"/>
  <c r="BF43" i="2080" s="1"/>
  <c r="AF43" i="2080" a="1"/>
  <c r="AF43" i="2080" s="1"/>
  <c r="EP42" i="2080" a="1"/>
  <c r="EP42" i="2080" s="1"/>
  <c r="EG42" i="2080" a="1"/>
  <c r="EG42" i="2080" s="1"/>
  <c r="DX42" i="2080" a="1"/>
  <c r="DX42" i="2080" s="1"/>
  <c r="DF42" i="2080" a="1"/>
  <c r="DF42" i="2080" s="1"/>
  <c r="CP42" i="2080" a="1"/>
  <c r="CP42" i="2080" s="1"/>
  <c r="CF42" i="2080" a="1"/>
  <c r="CF42" i="2080" s="1"/>
  <c r="BW42" i="2080" a="1"/>
  <c r="BW42" i="2080" s="1"/>
  <c r="BP42" i="2080" a="1"/>
  <c r="BP42" i="2080" s="1"/>
  <c r="AW42" i="2080" a="1"/>
  <c r="AW42" i="2080" s="1"/>
  <c r="AP42" i="2080" a="1"/>
  <c r="AP42" i="2080" s="1"/>
  <c r="AG42" i="2080" a="1"/>
  <c r="AG42" i="2080" s="1"/>
  <c r="EP44" i="2080" a="1"/>
  <c r="EP44" i="2080" s="1"/>
  <c r="EG44" i="2080" a="1"/>
  <c r="EG44" i="2080" s="1"/>
  <c r="DX44" i="2080" a="1"/>
  <c r="DX44" i="2080" s="1"/>
  <c r="DF44" i="2080" a="1"/>
  <c r="DF44" i="2080" s="1"/>
  <c r="CP44" i="2080" a="1"/>
  <c r="CP44" i="2080" s="1"/>
  <c r="CF44" i="2080" a="1"/>
  <c r="CF44" i="2080" s="1"/>
  <c r="BW44" i="2080" a="1"/>
  <c r="BW44" i="2080" s="1"/>
  <c r="EV45" i="2080" a="1"/>
  <c r="EV45" i="2080" s="1"/>
  <c r="CS45" i="2080" a="1"/>
  <c r="CS45" i="2080" s="1"/>
  <c r="BY45" i="2080" a="1"/>
  <c r="BY45" i="2080" s="1"/>
  <c r="BQ45" i="2080" a="1"/>
  <c r="BQ45" i="2080" s="1"/>
  <c r="BH45" i="2080" a="1"/>
  <c r="BH45" i="2080" s="1"/>
  <c r="F45" i="2080" a="1"/>
  <c r="F45" i="2080" s="1"/>
  <c r="EW43" i="2080" a="1"/>
  <c r="EW43" i="2080" s="1"/>
  <c r="EE43" i="2080" a="1"/>
  <c r="EE43" i="2080" s="1"/>
  <c r="DO43" i="2080" a="1"/>
  <c r="DO43" i="2080" s="1"/>
  <c r="CV43" i="2080" a="1"/>
  <c r="CV43" i="2080" s="1"/>
  <c r="CO43" i="2080" a="1"/>
  <c r="CO43" i="2080" s="1"/>
  <c r="CE43" i="2080" a="1"/>
  <c r="CE43" i="2080" s="1"/>
  <c r="BV43" i="2080" a="1"/>
  <c r="BV43" i="2080" s="1"/>
  <c r="BO43" i="2080" a="1"/>
  <c r="BO43" i="2080" s="1"/>
  <c r="BE43" i="2080" a="1"/>
  <c r="BE43" i="2080" s="1"/>
  <c r="AV43" i="2080" a="1"/>
  <c r="AV43" i="2080" s="1"/>
  <c r="AO43" i="2080" a="1"/>
  <c r="AO43" i="2080" s="1"/>
  <c r="W43" i="2080" a="1"/>
  <c r="W43" i="2080" s="1"/>
  <c r="P43" i="2080" a="1"/>
  <c r="P43" i="2080" s="1"/>
  <c r="F43" i="2080" a="1"/>
  <c r="F43" i="2080" s="1"/>
  <c r="EW42" i="2080" a="1"/>
  <c r="EW42" i="2080" s="1"/>
  <c r="EF42" i="2080" a="1"/>
  <c r="EF42" i="2080" s="1"/>
  <c r="DW42" i="2080" a="1"/>
  <c r="DW42" i="2080" s="1"/>
  <c r="DP42" i="2080" a="1"/>
  <c r="DP42" i="2080" s="1"/>
  <c r="DE42" i="2080" a="1"/>
  <c r="DE42" i="2080" s="1"/>
  <c r="CW42" i="2080" a="1"/>
  <c r="CW42" i="2080" s="1"/>
  <c r="BF42" i="2080" a="1"/>
  <c r="BF42" i="2080" s="1"/>
  <c r="AF42" i="2080" a="1"/>
  <c r="AF42" i="2080" s="1"/>
  <c r="W42" i="2080" a="1"/>
  <c r="W42" i="2080" s="1"/>
  <c r="P42" i="2080" a="1"/>
  <c r="P42" i="2080" s="1"/>
  <c r="F42" i="2080" a="1"/>
  <c r="F42" i="2080" s="1"/>
  <c r="EW44" i="2080" a="1"/>
  <c r="EW44" i="2080" s="1"/>
  <c r="EF44" i="2080" a="1"/>
  <c r="EF44" i="2080" s="1"/>
  <c r="DW44" i="2080" a="1"/>
  <c r="DW44" i="2080" s="1"/>
  <c r="DP44" i="2080" a="1"/>
  <c r="DP44" i="2080" s="1"/>
  <c r="DE44" i="2080" a="1"/>
  <c r="DE44" i="2080" s="1"/>
  <c r="CW44" i="2080" a="1"/>
  <c r="CW44" i="2080" s="1"/>
  <c r="BE44" i="2080" a="1"/>
  <c r="BE44" i="2080" s="1"/>
  <c r="AO44" i="2080" a="1"/>
  <c r="AO44" i="2080" s="1"/>
  <c r="AE44" i="2080" a="1"/>
  <c r="AE44" i="2080" s="1"/>
  <c r="U44" i="2080" a="1"/>
  <c r="U44" i="2080" s="1"/>
  <c r="C44" i="2080" a="1"/>
  <c r="C44" i="2080" s="1"/>
  <c r="ET41" i="2080" a="1"/>
  <c r="ET41" i="2080" s="1"/>
  <c r="EL41" i="2080" a="1"/>
  <c r="EL41" i="2080" s="1"/>
  <c r="DI41" i="2080" a="1"/>
  <c r="DI41" i="2080" s="1"/>
  <c r="CY41" i="2080" a="1"/>
  <c r="CY41" i="2080" s="1"/>
  <c r="CH41" i="2080" a="1"/>
  <c r="CH41" i="2080" s="1"/>
  <c r="BF41" i="2080" a="1"/>
  <c r="BF41" i="2080" s="1"/>
  <c r="AV41" i="2080" a="1"/>
  <c r="AV41" i="2080" s="1"/>
  <c r="AM41" i="2080" a="1"/>
  <c r="AM41" i="2080" s="1"/>
  <c r="AD41" i="2080" a="1"/>
  <c r="AD41" i="2080" s="1"/>
  <c r="EM45" i="2080" a="1"/>
  <c r="EM45" i="2080" s="1"/>
  <c r="EC45" i="2080" a="1"/>
  <c r="EC45" i="2080" s="1"/>
  <c r="DT45" i="2080" a="1"/>
  <c r="DT45" i="2080" s="1"/>
  <c r="DJ45" i="2080" a="1"/>
  <c r="DJ45" i="2080" s="1"/>
  <c r="CZ45" i="2080" a="1"/>
  <c r="CZ45" i="2080" s="1"/>
  <c r="CR45" i="2080" a="1"/>
  <c r="CR45" i="2080" s="1"/>
  <c r="CI45" i="2080" a="1"/>
  <c r="CI45" i="2080" s="1"/>
  <c r="BG45" i="2080" a="1"/>
  <c r="BG45" i="2080" s="1"/>
  <c r="AW45" i="2080" a="1"/>
  <c r="AW45" i="2080" s="1"/>
  <c r="AP45" i="2080" a="1"/>
  <c r="AP45" i="2080" s="1"/>
  <c r="AG45" i="2080" a="1"/>
  <c r="AG45" i="2080" s="1"/>
  <c r="W45" i="2080" a="1"/>
  <c r="W45" i="2080" s="1"/>
  <c r="P45" i="2080" a="1"/>
  <c r="P45" i="2080" s="1"/>
  <c r="E45" i="2080" a="1"/>
  <c r="E45" i="2080" s="1"/>
  <c r="EV43" i="2080" a="1"/>
  <c r="EV43" i="2080" s="1"/>
  <c r="EO43" i="2080" a="1"/>
  <c r="EO43" i="2080" s="1"/>
  <c r="ED43" i="2080" a="1"/>
  <c r="ED43" i="2080" s="1"/>
  <c r="DV43" i="2080" a="1"/>
  <c r="DV43" i="2080" s="1"/>
  <c r="DM43" i="2080" a="1"/>
  <c r="DM43" i="2080" s="1"/>
  <c r="DD43" i="2080" a="1"/>
  <c r="DD43" i="2080" s="1"/>
  <c r="CM43" i="2080" a="1"/>
  <c r="CM43" i="2080" s="1"/>
  <c r="CD43" i="2080" a="1"/>
  <c r="CD43" i="2080" s="1"/>
  <c r="BM43" i="2080" a="1"/>
  <c r="BM43" i="2080" s="1"/>
  <c r="AE43" i="2080" a="1"/>
  <c r="AE43" i="2080" s="1"/>
  <c r="O43" i="2080" a="1"/>
  <c r="O43" i="2080" s="1"/>
  <c r="E43" i="2080" a="1"/>
  <c r="E43" i="2080" s="1"/>
  <c r="EV42" i="2080" a="1"/>
  <c r="EV42" i="2080" s="1"/>
  <c r="EO42" i="2080" a="1"/>
  <c r="EO42" i="2080" s="1"/>
  <c r="EE42" i="2080" a="1"/>
  <c r="EE42" i="2080" s="1"/>
  <c r="DO42" i="2080" a="1"/>
  <c r="DO42" i="2080" s="1"/>
  <c r="CV42" i="2080" a="1"/>
  <c r="CV42" i="2080" s="1"/>
  <c r="CO42" i="2080" a="1"/>
  <c r="CO42" i="2080" s="1"/>
  <c r="CE42" i="2080" a="1"/>
  <c r="CE42" i="2080" s="1"/>
  <c r="EU45" i="2080" a="1"/>
  <c r="EU45" i="2080" s="1"/>
  <c r="EL45" i="2080" a="1"/>
  <c r="EL45" i="2080" s="1"/>
  <c r="EB45" i="2080" a="1"/>
  <c r="EB45" i="2080" s="1"/>
  <c r="DI45" i="2080" a="1"/>
  <c r="DI45" i="2080" s="1"/>
  <c r="CH45" i="2080" a="1"/>
  <c r="CH45" i="2080" s="1"/>
  <c r="BX45" i="2080" a="1"/>
  <c r="BX45" i="2080" s="1"/>
  <c r="BP45" i="2080" a="1"/>
  <c r="BP45" i="2080" s="1"/>
  <c r="AF45" i="2080" a="1"/>
  <c r="AF45" i="2080" s="1"/>
  <c r="O45" i="2080" a="1"/>
  <c r="O45" i="2080" s="1"/>
  <c r="D45" i="2080" a="1"/>
  <c r="D45" i="2080" s="1"/>
  <c r="DU43" i="2080" a="1"/>
  <c r="DU43" i="2080" s="1"/>
  <c r="DL43" i="2080" a="1"/>
  <c r="DL43" i="2080" s="1"/>
  <c r="DC43" i="2080" a="1"/>
  <c r="DC43" i="2080" s="1"/>
  <c r="CU43" i="2080" a="1"/>
  <c r="CU43" i="2080" s="1"/>
  <c r="CL43" i="2080" a="1"/>
  <c r="CL43" i="2080" s="1"/>
  <c r="BU43" i="2080" a="1"/>
  <c r="BU43" i="2080" s="1"/>
  <c r="BD43" i="2080" a="1"/>
  <c r="BD43" i="2080" s="1"/>
  <c r="AU43" i="2080" a="1"/>
  <c r="AU43" i="2080" s="1"/>
  <c r="AM43" i="2080" a="1"/>
  <c r="AM43" i="2080" s="1"/>
  <c r="AD43" i="2080" a="1"/>
  <c r="AD43" i="2080" s="1"/>
  <c r="V43" i="2080" a="1"/>
  <c r="V43" i="2080" s="1"/>
  <c r="M43" i="2080" a="1"/>
  <c r="M43" i="2080" s="1"/>
  <c r="D43" i="2080" a="1"/>
  <c r="D43" i="2080" s="1"/>
  <c r="ED42" i="2080" a="1"/>
  <c r="ED42" i="2080" s="1"/>
  <c r="DV42" i="2080" a="1"/>
  <c r="DV42" i="2080" s="1"/>
  <c r="DM42" i="2080" a="1"/>
  <c r="DM42" i="2080" s="1"/>
  <c r="DD42" i="2080" a="1"/>
  <c r="DD42" i="2080" s="1"/>
  <c r="CM42" i="2080" a="1"/>
  <c r="CM42" i="2080" s="1"/>
  <c r="CD42" i="2080" a="1"/>
  <c r="CD42" i="2080" s="1"/>
  <c r="BM42" i="2080" a="1"/>
  <c r="BM42" i="2080" s="1"/>
  <c r="AE42" i="2080" a="1"/>
  <c r="AE42" i="2080" s="1"/>
  <c r="V42" i="2080" a="1"/>
  <c r="V42" i="2080" s="1"/>
  <c r="ET45" i="2080" a="1"/>
  <c r="ET45" i="2080" s="1"/>
  <c r="EK45" i="2080" a="1"/>
  <c r="EK45" i="2080" s="1"/>
  <c r="DS45" i="2080" a="1"/>
  <c r="DS45" i="2080" s="1"/>
  <c r="CY45" i="2080" a="1"/>
  <c r="CY45" i="2080" s="1"/>
  <c r="CQ45" i="2080" a="1"/>
  <c r="CQ45" i="2080" s="1"/>
  <c r="CG45" i="2080" a="1"/>
  <c r="CG45" i="2080" s="1"/>
  <c r="BW45" i="2080" a="1"/>
  <c r="BW45" i="2080" s="1"/>
  <c r="BF45" i="2080" a="1"/>
  <c r="BF45" i="2080" s="1"/>
  <c r="AV45" i="2080" a="1"/>
  <c r="AV45" i="2080" s="1"/>
  <c r="AO45" i="2080" a="1"/>
  <c r="AO45" i="2080" s="1"/>
  <c r="AE45" i="2080" a="1"/>
  <c r="AE45" i="2080" s="1"/>
  <c r="V45" i="2080" a="1"/>
  <c r="V45" i="2080" s="1"/>
  <c r="M45" i="2080" a="1"/>
  <c r="M45" i="2080" s="1"/>
  <c r="C45" i="2080" a="1"/>
  <c r="C45" i="2080" s="1"/>
  <c r="EU43" i="2080" a="1"/>
  <c r="EU43" i="2080" s="1"/>
  <c r="EM43" i="2080" a="1"/>
  <c r="EM43" i="2080" s="1"/>
  <c r="EC43" i="2080" a="1"/>
  <c r="EC43" i="2080" s="1"/>
  <c r="DK43" i="2080" a="1"/>
  <c r="DK43" i="2080" s="1"/>
  <c r="CC43" i="2080" a="1"/>
  <c r="CC43" i="2080" s="1"/>
  <c r="BL43" i="2080" a="1"/>
  <c r="BL43" i="2080" s="1"/>
  <c r="BC43" i="2080" a="1"/>
  <c r="BC43" i="2080" s="1"/>
  <c r="AT43" i="2080" a="1"/>
  <c r="AT43" i="2080" s="1"/>
  <c r="AL43" i="2080" a="1"/>
  <c r="AL43" i="2080" s="1"/>
  <c r="AC43" i="2080" a="1"/>
  <c r="AC43" i="2080" s="1"/>
  <c r="U43" i="2080" a="1"/>
  <c r="U43" i="2080" s="1"/>
  <c r="C43" i="2080" a="1"/>
  <c r="C43" i="2080" s="1"/>
  <c r="EU42" i="2080" a="1"/>
  <c r="EU42" i="2080" s="1"/>
  <c r="EM42" i="2080" a="1"/>
  <c r="EM42" i="2080" s="1"/>
  <c r="DU42" i="2080" a="1"/>
  <c r="DU42" i="2080" s="1"/>
  <c r="DL42" i="2080" a="1"/>
  <c r="DL42" i="2080" s="1"/>
  <c r="DC42" i="2080" a="1"/>
  <c r="DC42" i="2080" s="1"/>
  <c r="EJ45" i="2080" a="1"/>
  <c r="EJ45" i="2080" s="1"/>
  <c r="DZ45" i="2080" a="1"/>
  <c r="DZ45" i="2080" s="1"/>
  <c r="DR45" i="2080" a="1"/>
  <c r="DR45" i="2080" s="1"/>
  <c r="DH45" i="2080" a="1"/>
  <c r="DH45" i="2080" s="1"/>
  <c r="CX45" i="2080" a="1"/>
  <c r="CX45" i="2080" s="1"/>
  <c r="CP45" i="2080" a="1"/>
  <c r="CP45" i="2080" s="1"/>
  <c r="CF45" i="2080" a="1"/>
  <c r="CF45" i="2080" s="1"/>
  <c r="BO45" i="2080" a="1"/>
  <c r="BO45" i="2080" s="1"/>
  <c r="BE45" i="2080" a="1"/>
  <c r="BE45" i="2080" s="1"/>
  <c r="AD45" i="2080" a="1"/>
  <c r="AD45" i="2080" s="1"/>
  <c r="U45" i="2080" a="1"/>
  <c r="U45" i="2080" s="1"/>
  <c r="ET43" i="2080" a="1"/>
  <c r="ET43" i="2080" s="1"/>
  <c r="EL43" i="2080" a="1"/>
  <c r="EL43" i="2080" s="1"/>
  <c r="EB43" i="2080" a="1"/>
  <c r="EB43" i="2080" s="1"/>
  <c r="DT43" i="2080" a="1"/>
  <c r="DT43" i="2080" s="1"/>
  <c r="DB43" i="2080" a="1"/>
  <c r="DB43" i="2080" s="1"/>
  <c r="CT43" i="2080" a="1"/>
  <c r="CT43" i="2080" s="1"/>
  <c r="CK43" i="2080" a="1"/>
  <c r="CK43" i="2080" s="1"/>
  <c r="CB43" i="2080" a="1"/>
  <c r="CB43" i="2080" s="1"/>
  <c r="BT43" i="2080" a="1"/>
  <c r="BT43" i="2080" s="1"/>
  <c r="BK43" i="2080" a="1"/>
  <c r="BK43" i="2080" s="1"/>
  <c r="BB43" i="2080" a="1"/>
  <c r="BB43" i="2080" s="1"/>
  <c r="AB43" i="2080" a="1"/>
  <c r="AB43" i="2080" s="1"/>
  <c r="L43" i="2080" a="1"/>
  <c r="L43" i="2080" s="1"/>
  <c r="ET42" i="2080" a="1"/>
  <c r="ET42" i="2080" s="1"/>
  <c r="EL42" i="2080" a="1"/>
  <c r="EL42" i="2080" s="1"/>
  <c r="EC42" i="2080" a="1"/>
  <c r="EC42" i="2080" s="1"/>
  <c r="DK42" i="2080" a="1"/>
  <c r="DK42" i="2080" s="1"/>
  <c r="CC42" i="2080" a="1"/>
  <c r="CC42" i="2080" s="1"/>
  <c r="BL42" i="2080" a="1"/>
  <c r="BL42" i="2080" s="1"/>
  <c r="BC42" i="2080" a="1"/>
  <c r="BC42" i="2080" s="1"/>
  <c r="ES45" i="2080" a="1"/>
  <c r="ES45" i="2080" s="1"/>
  <c r="AM45" i="2080" a="1"/>
  <c r="AM45" i="2080" s="1"/>
  <c r="CJ43" i="2080" a="1"/>
  <c r="CJ43" i="2080" s="1"/>
  <c r="EK42" i="2080" a="1"/>
  <c r="EK42" i="2080" s="1"/>
  <c r="BU42" i="2080" a="1"/>
  <c r="BU42" i="2080" s="1"/>
  <c r="AO42" i="2080" a="1"/>
  <c r="AO42" i="2080" s="1"/>
  <c r="T42" i="2080" a="1"/>
  <c r="T42" i="2080" s="1"/>
  <c r="B42" i="2080" a="1"/>
  <c r="B42" i="2080" s="1"/>
  <c r="EL44" i="2080" a="1"/>
  <c r="EL44" i="2080" s="1"/>
  <c r="DK44" i="2080" a="1"/>
  <c r="DK44" i="2080" s="1"/>
  <c r="CX44" i="2080" a="1"/>
  <c r="CX44" i="2080" s="1"/>
  <c r="BX44" i="2080" a="1"/>
  <c r="BX44" i="2080" s="1"/>
  <c r="AR44" i="2080" a="1"/>
  <c r="AR44" i="2080" s="1"/>
  <c r="AI44" i="2080" a="1"/>
  <c r="AI44" i="2080" s="1"/>
  <c r="X44" i="2080" a="1"/>
  <c r="X44" i="2080" s="1"/>
  <c r="D44" i="2080" a="1"/>
  <c r="D44" i="2080" s="1"/>
  <c r="EU41" i="2080" a="1"/>
  <c r="EU41" i="2080" s="1"/>
  <c r="EK41" i="2080" a="1"/>
  <c r="EK41" i="2080" s="1"/>
  <c r="DF41" i="2080" a="1"/>
  <c r="DF41" i="2080" s="1"/>
  <c r="CL41" i="2080" a="1"/>
  <c r="CL41" i="2080" s="1"/>
  <c r="BZ41" i="2080" a="1"/>
  <c r="BZ41" i="2080" s="1"/>
  <c r="BR41" i="2080" a="1"/>
  <c r="BR41" i="2080" s="1"/>
  <c r="BH41" i="2080" a="1"/>
  <c r="BH41" i="2080" s="1"/>
  <c r="AW41" i="2080" a="1"/>
  <c r="AW41" i="2080" s="1"/>
  <c r="AO41" i="2080" a="1"/>
  <c r="AO41" i="2080" s="1"/>
  <c r="AC41" i="2080" a="1"/>
  <c r="AC41" i="2080" s="1"/>
  <c r="J41" i="2080" a="1"/>
  <c r="J41" i="2080" s="1"/>
  <c r="EI40" i="2080" a="1"/>
  <c r="EI40" i="2080" s="1"/>
  <c r="DY40" i="2080" a="1"/>
  <c r="DY40" i="2080" s="1"/>
  <c r="CY40" i="2080" a="1"/>
  <c r="CY40" i="2080" s="1"/>
  <c r="CG40" i="2080" a="1"/>
  <c r="CG40" i="2080" s="1"/>
  <c r="BW40" i="2080" a="1"/>
  <c r="BW40" i="2080" s="1"/>
  <c r="BP40" i="2080" a="1"/>
  <c r="BP40" i="2080" s="1"/>
  <c r="BE40" i="2080" a="1"/>
  <c r="BE40" i="2080" s="1"/>
  <c r="AV40" i="2080" a="1"/>
  <c r="AV40" i="2080" s="1"/>
  <c r="AM40" i="2080" a="1"/>
  <c r="AM40" i="2080" s="1"/>
  <c r="T40" i="2080" a="1"/>
  <c r="T40" i="2080" s="1"/>
  <c r="I40" i="2080" a="1"/>
  <c r="I40" i="2080" s="1"/>
  <c r="EL39" i="2080" a="1"/>
  <c r="EL39" i="2080" s="1"/>
  <c r="EF39" i="2080" a="1"/>
  <c r="EF39" i="2080" s="1"/>
  <c r="DW39" i="2080" a="1"/>
  <c r="DW39" i="2080" s="1"/>
  <c r="DF39" i="2080" a="1"/>
  <c r="DF39" i="2080" s="1"/>
  <c r="CW39" i="2080" a="1"/>
  <c r="CW39" i="2080" s="1"/>
  <c r="CL39" i="2080" a="1"/>
  <c r="CL39" i="2080" s="1"/>
  <c r="BU39" i="2080" a="1"/>
  <c r="BU39" i="2080" s="1"/>
  <c r="BK39" i="2080" a="1"/>
  <c r="BK39" i="2080" s="1"/>
  <c r="BB39" i="2080" a="1"/>
  <c r="BB39" i="2080" s="1"/>
  <c r="AC45" i="2080" a="1"/>
  <c r="AC45" i="2080" s="1"/>
  <c r="EB42" i="2080" a="1"/>
  <c r="EB42" i="2080" s="1"/>
  <c r="BT42" i="2080" a="1"/>
  <c r="BT42" i="2080" s="1"/>
  <c r="AM42" i="2080" a="1"/>
  <c r="AM42" i="2080" s="1"/>
  <c r="R42" i="2080" a="1"/>
  <c r="R42" i="2080" s="1"/>
  <c r="EY44" i="2080" a="1"/>
  <c r="EY44" i="2080" s="1"/>
  <c r="EK44" i="2080" a="1"/>
  <c r="EK44" i="2080" s="1"/>
  <c r="CV44" i="2080" a="1"/>
  <c r="CV44" i="2080" s="1"/>
  <c r="CK44" i="2080" a="1"/>
  <c r="CK44" i="2080" s="1"/>
  <c r="BV44" i="2080" a="1"/>
  <c r="BV44" i="2080" s="1"/>
  <c r="BL44" i="2080" a="1"/>
  <c r="BL44" i="2080" s="1"/>
  <c r="AY44" i="2080" a="1"/>
  <c r="AY44" i="2080" s="1"/>
  <c r="AH44" i="2080" a="1"/>
  <c r="AH44" i="2080" s="1"/>
  <c r="O44" i="2080" a="1"/>
  <c r="O44" i="2080" s="1"/>
  <c r="EJ41" i="2080" a="1"/>
  <c r="EJ41" i="2080" s="1"/>
  <c r="DY41" i="2080" a="1"/>
  <c r="DY41" i="2080" s="1"/>
  <c r="DQ41" i="2080" a="1"/>
  <c r="DQ41" i="2080" s="1"/>
  <c r="DE41" i="2080" a="1"/>
  <c r="DE41" i="2080" s="1"/>
  <c r="CU41" i="2080" a="1"/>
  <c r="CU41" i="2080" s="1"/>
  <c r="BY41" i="2080" a="1"/>
  <c r="BY41" i="2080" s="1"/>
  <c r="BQ41" i="2080" a="1"/>
  <c r="BQ41" i="2080" s="1"/>
  <c r="BG41" i="2080" a="1"/>
  <c r="BG41" i="2080" s="1"/>
  <c r="AL41" i="2080" a="1"/>
  <c r="AL41" i="2080" s="1"/>
  <c r="AB41" i="2080" a="1"/>
  <c r="AB41" i="2080" s="1"/>
  <c r="T41" i="2080" a="1"/>
  <c r="T41" i="2080" s="1"/>
  <c r="EY40" i="2080" a="1"/>
  <c r="EY40" i="2080" s="1"/>
  <c r="ER40" i="2080" a="1"/>
  <c r="ER40" i="2080" s="1"/>
  <c r="EH40" i="2080" a="1"/>
  <c r="EH40" i="2080" s="1"/>
  <c r="DR40" i="2080" a="1"/>
  <c r="DR40" i="2080" s="1"/>
  <c r="DH40" i="2080" a="1"/>
  <c r="DH40" i="2080" s="1"/>
  <c r="CQ40" i="2080" a="1"/>
  <c r="CQ40" i="2080" s="1"/>
  <c r="CF40" i="2080" a="1"/>
  <c r="CF40" i="2080" s="1"/>
  <c r="BD40" i="2080" a="1"/>
  <c r="BD40" i="2080" s="1"/>
  <c r="AU40" i="2080" a="1"/>
  <c r="AU40" i="2080" s="1"/>
  <c r="AL40" i="2080" a="1"/>
  <c r="AL40" i="2080" s="1"/>
  <c r="AB40" i="2080" a="1"/>
  <c r="AB40" i="2080" s="1"/>
  <c r="S40" i="2080" a="1"/>
  <c r="S40" i="2080" s="1"/>
  <c r="H40" i="2080" a="1"/>
  <c r="H40" i="2080" s="1"/>
  <c r="DV39" i="2080" a="1"/>
  <c r="DV39" i="2080" s="1"/>
  <c r="DL39" i="2080" a="1"/>
  <c r="DL39" i="2080" s="1"/>
  <c r="DE39" i="2080" a="1"/>
  <c r="DE39" i="2080" s="1"/>
  <c r="CV39" i="2080" a="1"/>
  <c r="CV39" i="2080" s="1"/>
  <c r="CK39" i="2080" a="1"/>
  <c r="CK39" i="2080" s="1"/>
  <c r="CD39" i="2080" a="1"/>
  <c r="CD39" i="2080" s="1"/>
  <c r="BT39" i="2080" a="1"/>
  <c r="BT39" i="2080" s="1"/>
  <c r="BJ39" i="2080" a="1"/>
  <c r="BJ39" i="2080" s="1"/>
  <c r="AS39" i="2080" a="1"/>
  <c r="AS39" i="2080" s="1"/>
  <c r="BS43" i="2080" a="1"/>
  <c r="BS43" i="2080" s="1"/>
  <c r="DT42" i="2080" a="1"/>
  <c r="DT42" i="2080" s="1"/>
  <c r="BO42" i="2080" a="1"/>
  <c r="BO42" i="2080" s="1"/>
  <c r="AL42" i="2080" a="1"/>
  <c r="AL42" i="2080" s="1"/>
  <c r="O42" i="2080" a="1"/>
  <c r="O42" i="2080" s="1"/>
  <c r="EV44" i="2080" a="1"/>
  <c r="EV44" i="2080" s="1"/>
  <c r="EJ44" i="2080" a="1"/>
  <c r="EJ44" i="2080" s="1"/>
  <c r="DV44" i="2080" a="1"/>
  <c r="DV44" i="2080" s="1"/>
  <c r="DJ44" i="2080" a="1"/>
  <c r="DJ44" i="2080" s="1"/>
  <c r="CJ44" i="2080" a="1"/>
  <c r="CJ44" i="2080" s="1"/>
  <c r="BK44" i="2080" a="1"/>
  <c r="BK44" i="2080" s="1"/>
  <c r="AX44" i="2080" a="1"/>
  <c r="AX44" i="2080" s="1"/>
  <c r="AQ44" i="2080" a="1"/>
  <c r="AQ44" i="2080" s="1"/>
  <c r="W44" i="2080" a="1"/>
  <c r="W44" i="2080" s="1"/>
  <c r="M44" i="2080" a="1"/>
  <c r="M44" i="2080" s="1"/>
  <c r="B44" i="2080" a="1"/>
  <c r="B44" i="2080" s="1"/>
  <c r="ES41" i="2080" a="1"/>
  <c r="ES41" i="2080" s="1"/>
  <c r="DD41" i="2080" a="1"/>
  <c r="DD41" i="2080" s="1"/>
  <c r="CK41" i="2080" a="1"/>
  <c r="CK41" i="2080" s="1"/>
  <c r="AU41" i="2080" a="1"/>
  <c r="AU41" i="2080" s="1"/>
  <c r="S41" i="2080" a="1"/>
  <c r="S41" i="2080" s="1"/>
  <c r="I41" i="2080" a="1"/>
  <c r="I41" i="2080" s="1"/>
  <c r="EQ40" i="2080" a="1"/>
  <c r="EQ40" i="2080" s="1"/>
  <c r="EG40" i="2080" a="1"/>
  <c r="EG40" i="2080" s="1"/>
  <c r="DX40" i="2080" a="1"/>
  <c r="DX40" i="2080" s="1"/>
  <c r="DQ40" i="2080" a="1"/>
  <c r="DQ40" i="2080" s="1"/>
  <c r="DG40" i="2080" a="1"/>
  <c r="DG40" i="2080" s="1"/>
  <c r="CX40" i="2080" a="1"/>
  <c r="CX40" i="2080" s="1"/>
  <c r="CP40" i="2080" a="1"/>
  <c r="CP40" i="2080" s="1"/>
  <c r="BV40" i="2080" a="1"/>
  <c r="BV40" i="2080" s="1"/>
  <c r="BO40" i="2080" a="1"/>
  <c r="BO40" i="2080" s="1"/>
  <c r="BC40" i="2080" a="1"/>
  <c r="BC40" i="2080" s="1"/>
  <c r="AK40" i="2080" a="1"/>
  <c r="AK40" i="2080" s="1"/>
  <c r="G40" i="2080" a="1"/>
  <c r="G40" i="2080" s="1"/>
  <c r="EK39" i="2080" a="1"/>
  <c r="EK39" i="2080" s="1"/>
  <c r="EE39" i="2080" a="1"/>
  <c r="EE39" i="2080" s="1"/>
  <c r="DU39" i="2080" a="1"/>
  <c r="DU39" i="2080" s="1"/>
  <c r="DK39" i="2080" a="1"/>
  <c r="DK39" i="2080" s="1"/>
  <c r="CU39" i="2080" a="1"/>
  <c r="CU39" i="2080" s="1"/>
  <c r="CC39" i="2080" a="1"/>
  <c r="CC39" i="2080" s="1"/>
  <c r="BS39" i="2080" a="1"/>
  <c r="BS39" i="2080" s="1"/>
  <c r="BI39" i="2080" a="1"/>
  <c r="BI39" i="2080" s="1"/>
  <c r="AZ39" i="2080" a="1"/>
  <c r="AZ39" i="2080" s="1"/>
  <c r="AR39" i="2080" a="1"/>
  <c r="AR39" i="2080" s="1"/>
  <c r="DQ45" i="2080" a="1"/>
  <c r="DQ45" i="2080" s="1"/>
  <c r="L45" i="2080" a="1"/>
  <c r="L45" i="2080" s="1"/>
  <c r="M42" i="2080" a="1"/>
  <c r="M42" i="2080" s="1"/>
  <c r="EI44" i="2080" a="1"/>
  <c r="EI44" i="2080" s="1"/>
  <c r="DU44" i="2080" a="1"/>
  <c r="DU44" i="2080" s="1"/>
  <c r="CU44" i="2080" a="1"/>
  <c r="CU44" i="2080" s="1"/>
  <c r="CI44" i="2080" a="1"/>
  <c r="CI44" i="2080" s="1"/>
  <c r="BU44" i="2080" a="1"/>
  <c r="BU44" i="2080" s="1"/>
  <c r="AG44" i="2080" a="1"/>
  <c r="AG44" i="2080" s="1"/>
  <c r="V44" i="2080" a="1"/>
  <c r="V44" i="2080" s="1"/>
  <c r="L44" i="2080" a="1"/>
  <c r="L44" i="2080" s="1"/>
  <c r="EZ41" i="2080" a="1"/>
  <c r="EZ41" i="2080" s="1"/>
  <c r="EI41" i="2080" a="1"/>
  <c r="EI41" i="2080" s="1"/>
  <c r="DX41" i="2080" a="1"/>
  <c r="DX41" i="2080" s="1"/>
  <c r="DP41" i="2080" a="1"/>
  <c r="DP41" i="2080" s="1"/>
  <c r="DC41" i="2080" a="1"/>
  <c r="DC41" i="2080" s="1"/>
  <c r="CT41" i="2080" a="1"/>
  <c r="CT41" i="2080" s="1"/>
  <c r="CJ41" i="2080" a="1"/>
  <c r="CJ41" i="2080" s="1"/>
  <c r="BX41" i="2080" a="1"/>
  <c r="BX41" i="2080" s="1"/>
  <c r="BP41" i="2080" a="1"/>
  <c r="BP41" i="2080" s="1"/>
  <c r="BE41" i="2080" a="1"/>
  <c r="BE41" i="2080" s="1"/>
  <c r="AT41" i="2080" a="1"/>
  <c r="AT41" i="2080" s="1"/>
  <c r="AK41" i="2080" a="1"/>
  <c r="AK41" i="2080" s="1"/>
  <c r="Z41" i="2080" a="1"/>
  <c r="Z41" i="2080" s="1"/>
  <c r="H41" i="2080" a="1"/>
  <c r="H41" i="2080" s="1"/>
  <c r="EX40" i="2080" a="1"/>
  <c r="EX40" i="2080" s="1"/>
  <c r="EF40" i="2080" a="1"/>
  <c r="EF40" i="2080" s="1"/>
  <c r="DF40" i="2080" a="1"/>
  <c r="DF40" i="2080" s="1"/>
  <c r="CE40" i="2080" a="1"/>
  <c r="CE40" i="2080" s="1"/>
  <c r="BB40" i="2080" a="1"/>
  <c r="BB40" i="2080" s="1"/>
  <c r="AT40" i="2080" a="1"/>
  <c r="AT40" i="2080" s="1"/>
  <c r="AJ40" i="2080" a="1"/>
  <c r="AJ40" i="2080" s="1"/>
  <c r="Z40" i="2080" a="1"/>
  <c r="Z40" i="2080" s="1"/>
  <c r="R40" i="2080" a="1"/>
  <c r="R40" i="2080" s="1"/>
  <c r="F40" i="2080" a="1"/>
  <c r="F40" i="2080" s="1"/>
  <c r="DT39" i="2080" a="1"/>
  <c r="DT39" i="2080" s="1"/>
  <c r="DD39" i="2080" a="1"/>
  <c r="DD39" i="2080" s="1"/>
  <c r="CT39" i="2080" a="1"/>
  <c r="CT39" i="2080" s="1"/>
  <c r="CJ39" i="2080" a="1"/>
  <c r="CJ39" i="2080" s="1"/>
  <c r="AG39" i="2080" a="1"/>
  <c r="AG39" i="2080" s="1"/>
  <c r="V39" i="2080" a="1"/>
  <c r="V39" i="2080" s="1"/>
  <c r="M39" i="2080" a="1"/>
  <c r="M39" i="2080" s="1"/>
  <c r="B39" i="2080" a="1"/>
  <c r="B39" i="2080" s="1"/>
  <c r="CB39" i="2080" a="1"/>
  <c r="CB39" i="2080" s="1"/>
  <c r="BH39" i="2080" a="1"/>
  <c r="BH39" i="2080" s="1"/>
  <c r="AQ39" i="2080" a="1"/>
  <c r="AQ39" i="2080" s="1"/>
  <c r="DG45" i="2080" a="1"/>
  <c r="DG45" i="2080" s="1"/>
  <c r="B45" i="2080" a="1"/>
  <c r="B45" i="2080" s="1"/>
  <c r="AZ43" i="2080" a="1"/>
  <c r="AZ43" i="2080" s="1"/>
  <c r="DB42" i="2080" a="1"/>
  <c r="DB42" i="2080" s="1"/>
  <c r="BK42" i="2080" a="1"/>
  <c r="BK42" i="2080" s="1"/>
  <c r="EU44" i="2080" a="1"/>
  <c r="EU44" i="2080" s="1"/>
  <c r="DG44" i="2080" a="1"/>
  <c r="DG44" i="2080" s="1"/>
  <c r="CG44" i="2080" a="1"/>
  <c r="CG44" i="2080" s="1"/>
  <c r="BI44" i="2080" a="1"/>
  <c r="BI44" i="2080" s="1"/>
  <c r="AW44" i="2080" a="1"/>
  <c r="AW44" i="2080" s="1"/>
  <c r="AP44" i="2080" a="1"/>
  <c r="AP44" i="2080" s="1"/>
  <c r="AF44" i="2080" a="1"/>
  <c r="AF44" i="2080" s="1"/>
  <c r="K44" i="2080" a="1"/>
  <c r="K44" i="2080" s="1"/>
  <c r="ER41" i="2080" a="1"/>
  <c r="ER41" i="2080" s="1"/>
  <c r="EH41" i="2080" a="1"/>
  <c r="EH41" i="2080" s="1"/>
  <c r="DW41" i="2080" a="1"/>
  <c r="DW41" i="2080" s="1"/>
  <c r="DO41" i="2080" a="1"/>
  <c r="DO41" i="2080" s="1"/>
  <c r="DB41" i="2080" a="1"/>
  <c r="DB41" i="2080" s="1"/>
  <c r="BW41" i="2080" a="1"/>
  <c r="BW41" i="2080" s="1"/>
  <c r="BO41" i="2080" a="1"/>
  <c r="BO41" i="2080" s="1"/>
  <c r="BD41" i="2080" a="1"/>
  <c r="BD41" i="2080" s="1"/>
  <c r="AJ41" i="2080" a="1"/>
  <c r="AJ41" i="2080" s="1"/>
  <c r="Y41" i="2080" a="1"/>
  <c r="Y41" i="2080" s="1"/>
  <c r="R41" i="2080" a="1"/>
  <c r="R41" i="2080" s="1"/>
  <c r="G41" i="2080" a="1"/>
  <c r="G41" i="2080" s="1"/>
  <c r="EP40" i="2080" a="1"/>
  <c r="EP40" i="2080" s="1"/>
  <c r="EE40" i="2080" a="1"/>
  <c r="EE40" i="2080" s="1"/>
  <c r="DW40" i="2080" a="1"/>
  <c r="DW40" i="2080" s="1"/>
  <c r="DP40" i="2080" a="1"/>
  <c r="DP40" i="2080" s="1"/>
  <c r="DE40" i="2080" a="1"/>
  <c r="DE40" i="2080" s="1"/>
  <c r="CW40" i="2080" a="1"/>
  <c r="CW40" i="2080" s="1"/>
  <c r="CO40" i="2080" a="1"/>
  <c r="CO40" i="2080" s="1"/>
  <c r="CD40" i="2080" a="1"/>
  <c r="CD40" i="2080" s="1"/>
  <c r="BU40" i="2080" a="1"/>
  <c r="BU40" i="2080" s="1"/>
  <c r="BM40" i="2080" a="1"/>
  <c r="BM40" i="2080" s="1"/>
  <c r="AI40" i="2080" a="1"/>
  <c r="AI40" i="2080" s="1"/>
  <c r="Y40" i="2080" a="1"/>
  <c r="Y40" i="2080" s="1"/>
  <c r="E40" i="2080" a="1"/>
  <c r="E40" i="2080" s="1"/>
  <c r="EJ39" i="2080" a="1"/>
  <c r="EJ39" i="2080" s="1"/>
  <c r="ED39" i="2080" a="1"/>
  <c r="ED39" i="2080" s="1"/>
  <c r="DS39" i="2080" a="1"/>
  <c r="DS39" i="2080" s="1"/>
  <c r="DJ39" i="2080" a="1"/>
  <c r="DJ39" i="2080" s="1"/>
  <c r="CS39" i="2080" a="1"/>
  <c r="CS39" i="2080" s="1"/>
  <c r="CI39" i="2080" a="1"/>
  <c r="CI39" i="2080" s="1"/>
  <c r="BR39" i="2080" a="1"/>
  <c r="BR39" i="2080" s="1"/>
  <c r="AY39" i="2080" a="1"/>
  <c r="AY39" i="2080" s="1"/>
  <c r="L39" i="2080" a="1"/>
  <c r="L39" i="2080" s="1"/>
  <c r="AS43" i="2080" a="1"/>
  <c r="AS43" i="2080" s="1"/>
  <c r="CU42" i="2080" a="1"/>
  <c r="CU42" i="2080" s="1"/>
  <c r="BE42" i="2080" a="1"/>
  <c r="BE42" i="2080" s="1"/>
  <c r="AD42" i="2080" a="1"/>
  <c r="AD42" i="2080" s="1"/>
  <c r="L42" i="2080" a="1"/>
  <c r="L42" i="2080" s="1"/>
  <c r="ET44" i="2080" a="1"/>
  <c r="ET44" i="2080" s="1"/>
  <c r="EE44" i="2080" a="1"/>
  <c r="EE44" i="2080" s="1"/>
  <c r="DT44" i="2080" a="1"/>
  <c r="DT44" i="2080" s="1"/>
  <c r="CT44" i="2080" a="1"/>
  <c r="CT44" i="2080" s="1"/>
  <c r="CE44" i="2080" a="1"/>
  <c r="CE44" i="2080" s="1"/>
  <c r="BT44" i="2080" a="1"/>
  <c r="BT44" i="2080" s="1"/>
  <c r="BH44" i="2080" a="1"/>
  <c r="BH44" i="2080" s="1"/>
  <c r="AD44" i="2080" a="1"/>
  <c r="AD44" i="2080" s="1"/>
  <c r="T44" i="2080" a="1"/>
  <c r="T44" i="2080" s="1"/>
  <c r="J44" i="2080" a="1"/>
  <c r="J44" i="2080" s="1"/>
  <c r="EY41" i="2080" a="1"/>
  <c r="EY41" i="2080" s="1"/>
  <c r="EG41" i="2080" a="1"/>
  <c r="EG41" i="2080" s="1"/>
  <c r="DM41" i="2080" a="1"/>
  <c r="DM41" i="2080" s="1"/>
  <c r="CS41" i="2080" a="1"/>
  <c r="CS41" i="2080" s="1"/>
  <c r="CI41" i="2080" a="1"/>
  <c r="CI41" i="2080" s="1"/>
  <c r="BV41" i="2080" a="1"/>
  <c r="BV41" i="2080" s="1"/>
  <c r="BM41" i="2080" a="1"/>
  <c r="BM41" i="2080" s="1"/>
  <c r="BC41" i="2080" a="1"/>
  <c r="BC41" i="2080" s="1"/>
  <c r="AS41" i="2080" a="1"/>
  <c r="AS41" i="2080" s="1"/>
  <c r="AI41" i="2080" a="1"/>
  <c r="AI41" i="2080" s="1"/>
  <c r="F41" i="2080" a="1"/>
  <c r="F41" i="2080" s="1"/>
  <c r="EK43" i="2080" a="1"/>
  <c r="EK43" i="2080" s="1"/>
  <c r="AK43" i="2080" a="1"/>
  <c r="AK43" i="2080" s="1"/>
  <c r="CT42" i="2080" a="1"/>
  <c r="CT42" i="2080" s="1"/>
  <c r="BD42" i="2080" a="1"/>
  <c r="BD42" i="2080" s="1"/>
  <c r="AC42" i="2080" a="1"/>
  <c r="AC42" i="2080" s="1"/>
  <c r="K42" i="2080" a="1"/>
  <c r="K42" i="2080" s="1"/>
  <c r="ED44" i="2080" a="1"/>
  <c r="ED44" i="2080" s="1"/>
  <c r="DD44" i="2080" a="1"/>
  <c r="DD44" i="2080" s="1"/>
  <c r="CD44" i="2080" a="1"/>
  <c r="CD44" i="2080" s="1"/>
  <c r="BS44" i="2080" a="1"/>
  <c r="BS44" i="2080" s="1"/>
  <c r="BG44" i="2080" a="1"/>
  <c r="BG44" i="2080" s="1"/>
  <c r="AV44" i="2080" a="1"/>
  <c r="AV44" i="2080" s="1"/>
  <c r="AC44" i="2080" a="1"/>
  <c r="AC44" i="2080" s="1"/>
  <c r="S44" i="2080" a="1"/>
  <c r="S44" i="2080" s="1"/>
  <c r="EQ41" i="2080" a="1"/>
  <c r="EQ41" i="2080" s="1"/>
  <c r="EF41" i="2080" a="1"/>
  <c r="EF41" i="2080" s="1"/>
  <c r="DV41" i="2080" a="1"/>
  <c r="DV41" i="2080" s="1"/>
  <c r="DL41" i="2080" a="1"/>
  <c r="DL41" i="2080" s="1"/>
  <c r="CZ41" i="2080" a="1"/>
  <c r="CZ41" i="2080" s="1"/>
  <c r="CR41" i="2080" a="1"/>
  <c r="CR41" i="2080" s="1"/>
  <c r="CG41" i="2080" a="1"/>
  <c r="CG41" i="2080" s="1"/>
  <c r="BB41" i="2080" a="1"/>
  <c r="BB41" i="2080" s="1"/>
  <c r="AR41" i="2080" a="1"/>
  <c r="AR41" i="2080" s="1"/>
  <c r="AH41" i="2080" a="1"/>
  <c r="AH41" i="2080" s="1"/>
  <c r="X41" i="2080" a="1"/>
  <c r="X41" i="2080" s="1"/>
  <c r="Q41" i="2080" a="1"/>
  <c r="Q41" i="2080" s="1"/>
  <c r="E41" i="2080" a="1"/>
  <c r="E41" i="2080" s="1"/>
  <c r="EV40" i="2080" a="1"/>
  <c r="EV40" i="2080" s="1"/>
  <c r="EO40" i="2080" a="1"/>
  <c r="EO40" i="2080" s="1"/>
  <c r="ED40" i="2080" a="1"/>
  <c r="ED40" i="2080" s="1"/>
  <c r="DV40" i="2080" a="1"/>
  <c r="DV40" i="2080" s="1"/>
  <c r="DM40" i="2080" a="1"/>
  <c r="DM40" i="2080" s="1"/>
  <c r="DD40" i="2080" a="1"/>
  <c r="DD40" i="2080" s="1"/>
  <c r="CL40" i="2080" a="1"/>
  <c r="CL40" i="2080" s="1"/>
  <c r="CB40" i="2080" a="1"/>
  <c r="CB40" i="2080" s="1"/>
  <c r="BT40" i="2080" a="1"/>
  <c r="BT40" i="2080" s="1"/>
  <c r="BK40" i="2080" a="1"/>
  <c r="BK40" i="2080" s="1"/>
  <c r="AR40" i="2080" a="1"/>
  <c r="AR40" i="2080" s="1"/>
  <c r="AH40" i="2080" a="1"/>
  <c r="AH40" i="2080" s="1"/>
  <c r="X40" i="2080" a="1"/>
  <c r="X40" i="2080" s="1"/>
  <c r="P40" i="2080" a="1"/>
  <c r="P40" i="2080" s="1"/>
  <c r="EI39" i="2080" a="1"/>
  <c r="EI39" i="2080" s="1"/>
  <c r="DI39" i="2080" a="1"/>
  <c r="DI39" i="2080" s="1"/>
  <c r="CQ39" i="2080" a="1"/>
  <c r="CQ39" i="2080" s="1"/>
  <c r="CH39" i="2080" a="1"/>
  <c r="CH39" i="2080" s="1"/>
  <c r="BP39" i="2080" a="1"/>
  <c r="BP39" i="2080" s="1"/>
  <c r="BF39" i="2080" a="1"/>
  <c r="BF39" i="2080" s="1"/>
  <c r="CL42" i="2080" a="1"/>
  <c r="CL42" i="2080" s="1"/>
  <c r="BB42" i="2080" a="1"/>
  <c r="BB42" i="2080" s="1"/>
  <c r="AB42" i="2080" a="1"/>
  <c r="AB42" i="2080" s="1"/>
  <c r="ES44" i="2080" a="1"/>
  <c r="ES44" i="2080" s="1"/>
  <c r="DC44" i="2080" a="1"/>
  <c r="DC44" i="2080" s="1"/>
  <c r="CR44" i="2080" a="1"/>
  <c r="CR44" i="2080" s="1"/>
  <c r="BR44" i="2080" a="1"/>
  <c r="BR44" i="2080" s="1"/>
  <c r="BF44" i="2080" a="1"/>
  <c r="BF44" i="2080" s="1"/>
  <c r="AU44" i="2080" a="1"/>
  <c r="AU44" i="2080" s="1"/>
  <c r="AM44" i="2080" a="1"/>
  <c r="AM44" i="2080" s="1"/>
  <c r="AB44" i="2080" a="1"/>
  <c r="AB44" i="2080" s="1"/>
  <c r="I44" i="2080" a="1"/>
  <c r="I44" i="2080" s="1"/>
  <c r="EX41" i="2080" a="1"/>
  <c r="EX41" i="2080" s="1"/>
  <c r="EP41" i="2080" a="1"/>
  <c r="EP41" i="2080" s="1"/>
  <c r="EE41" i="2080" a="1"/>
  <c r="EE41" i="2080" s="1"/>
  <c r="DU41" i="2080" a="1"/>
  <c r="DU41" i="2080" s="1"/>
  <c r="DK41" i="2080" a="1"/>
  <c r="DK41" i="2080" s="1"/>
  <c r="CQ41" i="2080" a="1"/>
  <c r="CQ41" i="2080" s="1"/>
  <c r="CF41" i="2080" a="1"/>
  <c r="CF41" i="2080" s="1"/>
  <c r="BU41" i="2080" a="1"/>
  <c r="BU41" i="2080" s="1"/>
  <c r="BL41" i="2080" a="1"/>
  <c r="BL41" i="2080" s="1"/>
  <c r="AZ41" i="2080" a="1"/>
  <c r="AZ41" i="2080" s="1"/>
  <c r="P41" i="2080" a="1"/>
  <c r="P41" i="2080" s="1"/>
  <c r="D41" i="2080" a="1"/>
  <c r="D41" i="2080" s="1"/>
  <c r="EM40" i="2080" a="1"/>
  <c r="EM40" i="2080" s="1"/>
  <c r="EC40" i="2080" a="1"/>
  <c r="EC40" i="2080" s="1"/>
  <c r="DU40" i="2080" a="1"/>
  <c r="DU40" i="2080" s="1"/>
  <c r="DL40" i="2080" a="1"/>
  <c r="DL40" i="2080" s="1"/>
  <c r="DC40" i="2080" a="1"/>
  <c r="DC40" i="2080" s="1"/>
  <c r="CU40" i="2080" a="1"/>
  <c r="CU40" i="2080" s="1"/>
  <c r="BZ40" i="2080" a="1"/>
  <c r="BZ40" i="2080" s="1"/>
  <c r="BS40" i="2080" a="1"/>
  <c r="BS40" i="2080" s="1"/>
  <c r="BJ40" i="2080" a="1"/>
  <c r="BJ40" i="2080" s="1"/>
  <c r="AY40" i="2080" a="1"/>
  <c r="AY40" i="2080" s="1"/>
  <c r="AG40" i="2080" a="1"/>
  <c r="AG40" i="2080" s="1"/>
  <c r="O40" i="2080" a="1"/>
  <c r="O40" i="2080" s="1"/>
  <c r="C40" i="2080" a="1"/>
  <c r="C40" i="2080" s="1"/>
  <c r="EB39" i="2080" a="1"/>
  <c r="EB39" i="2080" s="1"/>
  <c r="DQ39" i="2080" a="1"/>
  <c r="DQ39" i="2080" s="1"/>
  <c r="DB39" i="2080" a="1"/>
  <c r="DB39" i="2080" s="1"/>
  <c r="CP39" i="2080" a="1"/>
  <c r="CP39" i="2080" s="1"/>
  <c r="BY39" i="2080" a="1"/>
  <c r="BY39" i="2080" s="1"/>
  <c r="AW39" i="2080" a="1"/>
  <c r="AW39" i="2080" s="1"/>
  <c r="AM39" i="2080" a="1"/>
  <c r="AM39" i="2080" s="1"/>
  <c r="AD39" i="2080" a="1"/>
  <c r="AD39" i="2080" s="1"/>
  <c r="S39" i="2080" a="1"/>
  <c r="S39" i="2080" s="1"/>
  <c r="I39" i="2080" a="1"/>
  <c r="I39" i="2080" s="1"/>
  <c r="W40" i="2080" a="1"/>
  <c r="W40" i="2080" s="1"/>
  <c r="B40" i="2080" a="1"/>
  <c r="B40" i="2080" s="1"/>
  <c r="DZ39" i="2080" a="1"/>
  <c r="DZ39" i="2080" s="1"/>
  <c r="DH39" i="2080" a="1"/>
  <c r="DH39" i="2080" s="1"/>
  <c r="CO39" i="2080" a="1"/>
  <c r="CO39" i="2080" s="1"/>
  <c r="CG39" i="2080" a="1"/>
  <c r="CG39" i="2080" s="1"/>
  <c r="BO39" i="2080" a="1"/>
  <c r="BO39" i="2080" s="1"/>
  <c r="AV39" i="2080" a="1"/>
  <c r="AV39" i="2080" s="1"/>
  <c r="H39" i="2080" a="1"/>
  <c r="H39" i="2080" s="1"/>
  <c r="EB41" i="2080" a="1"/>
  <c r="EB41" i="2080" s="1"/>
  <c r="CW41" i="2080" a="1"/>
  <c r="CW41" i="2080" s="1"/>
  <c r="CC41" i="2080" a="1"/>
  <c r="CC41" i="2080" s="1"/>
  <c r="AP41" i="2080" a="1"/>
  <c r="AP41" i="2080" s="1"/>
  <c r="BV45" i="2080" a="1"/>
  <c r="BV45" i="2080" s="1"/>
  <c r="T43" i="2080" a="1"/>
  <c r="T43" i="2080" s="1"/>
  <c r="CK42" i="2080" a="1"/>
  <c r="CK42" i="2080" s="1"/>
  <c r="AV42" i="2080" a="1"/>
  <c r="AV42" i="2080" s="1"/>
  <c r="Y42" i="2080" a="1"/>
  <c r="Y42" i="2080" s="1"/>
  <c r="E42" i="2080" a="1"/>
  <c r="E42" i="2080" s="1"/>
  <c r="ER44" i="2080" a="1"/>
  <c r="ER44" i="2080" s="1"/>
  <c r="EC44" i="2080" a="1"/>
  <c r="EC44" i="2080" s="1"/>
  <c r="DQ44" i="2080" a="1"/>
  <c r="DQ44" i="2080" s="1"/>
  <c r="CQ44" i="2080" a="1"/>
  <c r="CQ44" i="2080" s="1"/>
  <c r="CC44" i="2080" a="1"/>
  <c r="CC44" i="2080" s="1"/>
  <c r="BD44" i="2080" a="1"/>
  <c r="BD44" i="2080" s="1"/>
  <c r="AL44" i="2080" a="1"/>
  <c r="AL44" i="2080" s="1"/>
  <c r="R44" i="2080" a="1"/>
  <c r="R44" i="2080" s="1"/>
  <c r="H44" i="2080" a="1"/>
  <c r="H44" i="2080" s="1"/>
  <c r="EW41" i="2080" a="1"/>
  <c r="EW41" i="2080" s="1"/>
  <c r="ED41" i="2080" a="1"/>
  <c r="ED41" i="2080" s="1"/>
  <c r="DJ41" i="2080" a="1"/>
  <c r="DJ41" i="2080" s="1"/>
  <c r="CX41" i="2080" a="1"/>
  <c r="CX41" i="2080" s="1"/>
  <c r="CP41" i="2080" a="1"/>
  <c r="CP41" i="2080" s="1"/>
  <c r="CE41" i="2080" a="1"/>
  <c r="CE41" i="2080" s="1"/>
  <c r="BT41" i="2080" a="1"/>
  <c r="BT41" i="2080" s="1"/>
  <c r="BK41" i="2080" a="1"/>
  <c r="BK41" i="2080" s="1"/>
  <c r="AQ41" i="2080" a="1"/>
  <c r="AQ41" i="2080" s="1"/>
  <c r="AG41" i="2080" a="1"/>
  <c r="AG41" i="2080" s="1"/>
  <c r="W41" i="2080" a="1"/>
  <c r="W41" i="2080" s="1"/>
  <c r="O41" i="2080" a="1"/>
  <c r="O41" i="2080" s="1"/>
  <c r="EU40" i="2080" a="1"/>
  <c r="EU40" i="2080" s="1"/>
  <c r="EL40" i="2080" a="1"/>
  <c r="EL40" i="2080" s="1"/>
  <c r="EB40" i="2080" a="1"/>
  <c r="EB40" i="2080" s="1"/>
  <c r="DB40" i="2080" a="1"/>
  <c r="DB40" i="2080" s="1"/>
  <c r="CK40" i="2080" a="1"/>
  <c r="CK40" i="2080" s="1"/>
  <c r="BI40" i="2080" a="1"/>
  <c r="BI40" i="2080" s="1"/>
  <c r="AX40" i="2080" a="1"/>
  <c r="AX40" i="2080" s="1"/>
  <c r="AQ40" i="2080" a="1"/>
  <c r="AQ40" i="2080" s="1"/>
  <c r="AF40" i="2080" a="1"/>
  <c r="AF40" i="2080" s="1"/>
  <c r="M40" i="2080" a="1"/>
  <c r="M40" i="2080" s="1"/>
  <c r="EH39" i="2080" a="1"/>
  <c r="EH39" i="2080" s="1"/>
  <c r="DP39" i="2080" a="1"/>
  <c r="DP39" i="2080" s="1"/>
  <c r="CZ39" i="2080" a="1"/>
  <c r="CZ39" i="2080" s="1"/>
  <c r="BX39" i="2080" a="1"/>
  <c r="BX39" i="2080" s="1"/>
  <c r="BE39" i="2080" a="1"/>
  <c r="BE39" i="2080" s="1"/>
  <c r="AC39" i="2080" a="1"/>
  <c r="AC39" i="2080" s="1"/>
  <c r="R39" i="2080" a="1"/>
  <c r="R39" i="2080" s="1"/>
  <c r="CO41" i="2080" a="1"/>
  <c r="CO41" i="2080" s="1"/>
  <c r="AX41" i="2080" a="1"/>
  <c r="AX41" i="2080" s="1"/>
  <c r="B41" i="2080" a="1"/>
  <c r="B41" i="2080" s="1"/>
  <c r="BM45" i="2080" a="1"/>
  <c r="BM45" i="2080" s="1"/>
  <c r="DJ43" i="2080" a="1"/>
  <c r="DJ43" i="2080" s="1"/>
  <c r="K43" i="2080" a="1"/>
  <c r="K43" i="2080" s="1"/>
  <c r="AU42" i="2080" a="1"/>
  <c r="AU42" i="2080" s="1"/>
  <c r="D42" i="2080" a="1"/>
  <c r="D42" i="2080" s="1"/>
  <c r="EO44" i="2080" a="1"/>
  <c r="EO44" i="2080" s="1"/>
  <c r="EB44" i="2080" a="1"/>
  <c r="EB44" i="2080" s="1"/>
  <c r="DO44" i="2080" a="1"/>
  <c r="DO44" i="2080" s="1"/>
  <c r="DB44" i="2080" a="1"/>
  <c r="DB44" i="2080" s="1"/>
  <c r="CO44" i="2080" a="1"/>
  <c r="CO44" i="2080" s="1"/>
  <c r="CB44" i="2080" a="1"/>
  <c r="CB44" i="2080" s="1"/>
  <c r="BP44" i="2080" a="1"/>
  <c r="BP44" i="2080" s="1"/>
  <c r="BC44" i="2080" a="1"/>
  <c r="BC44" i="2080" s="1"/>
  <c r="AT44" i="2080" a="1"/>
  <c r="AT44" i="2080" s="1"/>
  <c r="Z44" i="2080" a="1"/>
  <c r="Z44" i="2080" s="1"/>
  <c r="G44" i="2080" a="1"/>
  <c r="G44" i="2080" s="1"/>
  <c r="EO41" i="2080" a="1"/>
  <c r="EO41" i="2080" s="1"/>
  <c r="EC41" i="2080" a="1"/>
  <c r="EC41" i="2080" s="1"/>
  <c r="DT41" i="2080" a="1"/>
  <c r="DT41" i="2080" s="1"/>
  <c r="CD41" i="2080" a="1"/>
  <c r="CD41" i="2080" s="1"/>
  <c r="AY41" i="2080" a="1"/>
  <c r="AY41" i="2080" s="1"/>
  <c r="AF41" i="2080" a="1"/>
  <c r="AF41" i="2080" s="1"/>
  <c r="M41" i="2080" a="1"/>
  <c r="M41" i="2080" s="1"/>
  <c r="C41" i="2080" a="1"/>
  <c r="C41" i="2080" s="1"/>
  <c r="ET40" i="2080" a="1"/>
  <c r="ET40" i="2080" s="1"/>
  <c r="EK40" i="2080" a="1"/>
  <c r="EK40" i="2080" s="1"/>
  <c r="DT40" i="2080" a="1"/>
  <c r="DT40" i="2080" s="1"/>
  <c r="DK40" i="2080" a="1"/>
  <c r="DK40" i="2080" s="1"/>
  <c r="CT40" i="2080" a="1"/>
  <c r="CT40" i="2080" s="1"/>
  <c r="CJ40" i="2080" a="1"/>
  <c r="CJ40" i="2080" s="1"/>
  <c r="BY40" i="2080" a="1"/>
  <c r="BY40" i="2080" s="1"/>
  <c r="BR40" i="2080" a="1"/>
  <c r="BR40" i="2080" s="1"/>
  <c r="BH40" i="2080" a="1"/>
  <c r="BH40" i="2080" s="1"/>
  <c r="AE40" i="2080" a="1"/>
  <c r="AE40" i="2080" s="1"/>
  <c r="V40" i="2080" a="1"/>
  <c r="V40" i="2080" s="1"/>
  <c r="L40" i="2080" a="1"/>
  <c r="L40" i="2080" s="1"/>
  <c r="DY39" i="2080" a="1"/>
  <c r="DY39" i="2080" s="1"/>
  <c r="DO39" i="2080" a="1"/>
  <c r="DO39" i="2080" s="1"/>
  <c r="CY39" i="2080" a="1"/>
  <c r="CY39" i="2080" s="1"/>
  <c r="BM39" i="2080" a="1"/>
  <c r="BM39" i="2080" s="1"/>
  <c r="BD39" i="2080" a="1"/>
  <c r="BD39" i="2080" s="1"/>
  <c r="AU39" i="2080" a="1"/>
  <c r="AU39" i="2080" s="1"/>
  <c r="AL39" i="2080" a="1"/>
  <c r="AL39" i="2080" s="1"/>
  <c r="AB39" i="2080" a="1"/>
  <c r="AB39" i="2080" s="1"/>
  <c r="DH41" i="2080" a="1"/>
  <c r="DH41" i="2080" s="1"/>
  <c r="BJ41" i="2080" a="1"/>
  <c r="BJ41" i="2080" s="1"/>
  <c r="L41" i="2080" a="1"/>
  <c r="L41" i="2080" s="1"/>
  <c r="BD45" i="2080" a="1"/>
  <c r="BD45" i="2080" s="1"/>
  <c r="B43" i="2080" a="1"/>
  <c r="B43" i="2080" s="1"/>
  <c r="CB42" i="2080" a="1"/>
  <c r="CB42" i="2080" s="1"/>
  <c r="AT42" i="2080" a="1"/>
  <c r="AT42" i="2080" s="1"/>
  <c r="U42" i="2080" a="1"/>
  <c r="U42" i="2080" s="1"/>
  <c r="C42" i="2080" a="1"/>
  <c r="C42" i="2080" s="1"/>
  <c r="DM44" i="2080" a="1"/>
  <c r="DM44" i="2080" s="1"/>
  <c r="CM44" i="2080" a="1"/>
  <c r="CM44" i="2080" s="1"/>
  <c r="BO44" i="2080" a="1"/>
  <c r="BO44" i="2080" s="1"/>
  <c r="BB44" i="2080" a="1"/>
  <c r="BB44" i="2080" s="1"/>
  <c r="AK44" i="2080" a="1"/>
  <c r="AK44" i="2080" s="1"/>
  <c r="Y44" i="2080" a="1"/>
  <c r="Y44" i="2080" s="1"/>
  <c r="Q44" i="2080" a="1"/>
  <c r="Q44" i="2080" s="1"/>
  <c r="F44" i="2080" a="1"/>
  <c r="F44" i="2080" s="1"/>
  <c r="EV41" i="2080" a="1"/>
  <c r="EV41" i="2080" s="1"/>
  <c r="DS41" i="2080" a="1"/>
  <c r="DS41" i="2080" s="1"/>
  <c r="BS41" i="2080" a="1"/>
  <c r="BS41" i="2080" s="1"/>
  <c r="V41" i="2080" a="1"/>
  <c r="V41" i="2080" s="1"/>
  <c r="AU45" i="2080" a="1"/>
  <c r="AU45" i="2080" s="1"/>
  <c r="BV42" i="2080" a="1"/>
  <c r="BV42" i="2080" s="1"/>
  <c r="EM44" i="2080" a="1"/>
  <c r="EM44" i="2080" s="1"/>
  <c r="DL44" i="2080" a="1"/>
  <c r="DL44" i="2080" s="1"/>
  <c r="CL44" i="2080" a="1"/>
  <c r="CL44" i="2080" s="1"/>
  <c r="BY44" i="2080" a="1"/>
  <c r="BY44" i="2080" s="1"/>
  <c r="BM44" i="2080" a="1"/>
  <c r="BM44" i="2080" s="1"/>
  <c r="AZ44" i="2080" a="1"/>
  <c r="AZ44" i="2080" s="1"/>
  <c r="AS44" i="2080" a="1"/>
  <c r="AS44" i="2080" s="1"/>
  <c r="AJ44" i="2080" a="1"/>
  <c r="AJ44" i="2080" s="1"/>
  <c r="P44" i="2080" a="1"/>
  <c r="P44" i="2080" s="1"/>
  <c r="E44" i="2080" a="1"/>
  <c r="E44" i="2080" s="1"/>
  <c r="EM41" i="2080" a="1"/>
  <c r="EM41" i="2080" s="1"/>
  <c r="DZ41" i="2080" a="1"/>
  <c r="DZ41" i="2080" s="1"/>
  <c r="DR41" i="2080" a="1"/>
  <c r="DR41" i="2080" s="1"/>
  <c r="DG41" i="2080" a="1"/>
  <c r="DG41" i="2080" s="1"/>
  <c r="CV41" i="2080" a="1"/>
  <c r="CV41" i="2080" s="1"/>
  <c r="CM41" i="2080" a="1"/>
  <c r="CM41" i="2080" s="1"/>
  <c r="CB41" i="2080" a="1"/>
  <c r="CB41" i="2080" s="1"/>
  <c r="BI41" i="2080" a="1"/>
  <c r="BI41" i="2080" s="1"/>
  <c r="AE41" i="2080" a="1"/>
  <c r="AE41" i="2080" s="1"/>
  <c r="U41" i="2080" a="1"/>
  <c r="U41" i="2080" s="1"/>
  <c r="K41" i="2080" a="1"/>
  <c r="K41" i="2080" s="1"/>
  <c r="EZ40" i="2080" a="1"/>
  <c r="EZ40" i="2080" s="1"/>
  <c r="EW40" i="2080" a="1"/>
  <c r="EW40" i="2080" s="1"/>
  <c r="DJ40" i="2080" a="1"/>
  <c r="DJ40" i="2080" s="1"/>
  <c r="AP40" i="2080" a="1"/>
  <c r="AP40" i="2080" s="1"/>
  <c r="EM39" i="2080" a="1"/>
  <c r="EM39" i="2080" s="1"/>
  <c r="DG39" i="2080" a="1"/>
  <c r="DG39" i="2080" s="1"/>
  <c r="BW39" i="2080" a="1"/>
  <c r="BW39" i="2080" s="1"/>
  <c r="G39" i="2080" a="1"/>
  <c r="G39" i="2080" s="1"/>
  <c r="ES40" i="2080" a="1"/>
  <c r="ES40" i="2080" s="1"/>
  <c r="DI40" i="2080" a="1"/>
  <c r="DI40" i="2080" s="1"/>
  <c r="BX40" i="2080" a="1"/>
  <c r="BX40" i="2080" s="1"/>
  <c r="AO40" i="2080" a="1"/>
  <c r="AO40" i="2080" s="1"/>
  <c r="BV39" i="2080" a="1"/>
  <c r="BV39" i="2080" s="1"/>
  <c r="AP39" i="2080" a="1"/>
  <c r="AP39" i="2080" s="1"/>
  <c r="DC39" i="2080" a="1"/>
  <c r="DC39" i="2080" s="1"/>
  <c r="BQ39" i="2080" a="1"/>
  <c r="BQ39" i="2080" s="1"/>
  <c r="AO39" i="2080" a="1"/>
  <c r="AO39" i="2080" s="1"/>
  <c r="W39" i="2080" a="1"/>
  <c r="W39" i="2080" s="1"/>
  <c r="E39" i="2080" a="1"/>
  <c r="E39" i="2080" s="1"/>
  <c r="U39" i="2080" a="1"/>
  <c r="U39" i="2080" s="1"/>
  <c r="J39" i="2080" a="1"/>
  <c r="J39" i="2080" s="1"/>
  <c r="CZ40" i="2080" a="1"/>
  <c r="CZ40" i="2080" s="1"/>
  <c r="BQ40" i="2080" a="1"/>
  <c r="BQ40" i="2080" s="1"/>
  <c r="AD40" i="2080" a="1"/>
  <c r="AD40" i="2080" s="1"/>
  <c r="EG39" i="2080" a="1"/>
  <c r="EG39" i="2080" s="1"/>
  <c r="BL39" i="2080" a="1"/>
  <c r="BL39" i="2080" s="1"/>
  <c r="AK39" i="2080" a="1"/>
  <c r="AK39" i="2080" s="1"/>
  <c r="D39" i="2080" a="1"/>
  <c r="D39" i="2080" s="1"/>
  <c r="F39" i="2080" a="1"/>
  <c r="F39" i="2080" s="1"/>
  <c r="EJ40" i="2080" a="1"/>
  <c r="EJ40" i="2080" s="1"/>
  <c r="AC40" i="2080" a="1"/>
  <c r="AC40" i="2080" s="1"/>
  <c r="CX39" i="2080" a="1"/>
  <c r="CX39" i="2080" s="1"/>
  <c r="AJ39" i="2080" a="1"/>
  <c r="AJ39" i="2080" s="1"/>
  <c r="T39" i="2080" a="1"/>
  <c r="T39" i="2080" s="1"/>
  <c r="C39" i="2080" a="1"/>
  <c r="C39" i="2080" s="1"/>
  <c r="P39" i="2080" a="1"/>
  <c r="P39" i="2080" s="1"/>
  <c r="CV40" i="2080" a="1"/>
  <c r="CV40" i="2080" s="1"/>
  <c r="BL40" i="2080" a="1"/>
  <c r="BL40" i="2080" s="1"/>
  <c r="EC39" i="2080" a="1"/>
  <c r="EC39" i="2080" s="1"/>
  <c r="CR39" i="2080" a="1"/>
  <c r="CR39" i="2080" s="1"/>
  <c r="BG39" i="2080" a="1"/>
  <c r="BG39" i="2080" s="1"/>
  <c r="Q39" i="2080" a="1"/>
  <c r="Q39" i="2080" s="1"/>
  <c r="BC39" i="2080" a="1"/>
  <c r="BC39" i="2080" s="1"/>
  <c r="DZ40" i="2080" a="1"/>
  <c r="DZ40" i="2080" s="1"/>
  <c r="CS40" i="2080" a="1"/>
  <c r="CS40" i="2080" s="1"/>
  <c r="BG40" i="2080" a="1"/>
  <c r="BG40" i="2080" s="1"/>
  <c r="U40" i="2080" a="1"/>
  <c r="U40" i="2080" s="1"/>
  <c r="DX39" i="2080" a="1"/>
  <c r="DX39" i="2080" s="1"/>
  <c r="CM39" i="2080" a="1"/>
  <c r="CM39" i="2080" s="1"/>
  <c r="AI39" i="2080" a="1"/>
  <c r="AI39" i="2080" s="1"/>
  <c r="CR40" i="2080" a="1"/>
  <c r="CR40" i="2080" s="1"/>
  <c r="BF40" i="2080" a="1"/>
  <c r="BF40" i="2080" s="1"/>
  <c r="AH39" i="2080" a="1"/>
  <c r="AH39" i="2080" s="1"/>
  <c r="DR39" i="2080" a="1"/>
  <c r="DR39" i="2080" s="1"/>
  <c r="AF39" i="2080" a="1"/>
  <c r="AF39" i="2080" s="1"/>
  <c r="AE39" i="2080" a="1"/>
  <c r="AE39" i="2080" s="1"/>
  <c r="CC40" i="2080" a="1"/>
  <c r="CC40" i="2080" s="1"/>
  <c r="Y39" i="2080" a="1"/>
  <c r="Y39" i="2080" s="1"/>
  <c r="CM40" i="2080" a="1"/>
  <c r="CM40" i="2080" s="1"/>
  <c r="AZ40" i="2080" a="1"/>
  <c r="AZ40" i="2080" s="1"/>
  <c r="Q40" i="2080" a="1"/>
  <c r="Q40" i="2080" s="1"/>
  <c r="AX39" i="2080" a="1"/>
  <c r="AX39" i="2080" s="1"/>
  <c r="O39" i="2080" a="1"/>
  <c r="O39" i="2080" s="1"/>
  <c r="DO40" i="2080" a="1"/>
  <c r="DO40" i="2080" s="1"/>
  <c r="AT39" i="2080" a="1"/>
  <c r="AT39" i="2080" s="1"/>
  <c r="CI40" i="2080" a="1"/>
  <c r="CI40" i="2080" s="1"/>
  <c r="AW40" i="2080" a="1"/>
  <c r="AW40" i="2080" s="1"/>
  <c r="K40" i="2080" a="1"/>
  <c r="K40" i="2080" s="1"/>
  <c r="CF39" i="2080" a="1"/>
  <c r="CF39" i="2080" s="1"/>
  <c r="Z39" i="2080" a="1"/>
  <c r="Z39" i="2080" s="1"/>
  <c r="AS40" i="2080" a="1"/>
  <c r="AS40" i="2080" s="1"/>
  <c r="X39" i="2080" a="1"/>
  <c r="X39" i="2080" s="1"/>
  <c r="DS40" i="2080" a="1"/>
  <c r="DS40" i="2080" s="1"/>
  <c r="CH40" i="2080" a="1"/>
  <c r="CH40" i="2080" s="1"/>
  <c r="J40" i="2080" a="1"/>
  <c r="J40" i="2080" s="1"/>
  <c r="DM39" i="2080" a="1"/>
  <c r="DM39" i="2080" s="1"/>
  <c r="CE39" i="2080" a="1"/>
  <c r="CE39" i="2080" s="1"/>
  <c r="K39" i="2080" a="1"/>
  <c r="K39" i="2080" s="1"/>
  <c r="D40" i="2080" a="1"/>
  <c r="D40" i="2080" s="1"/>
  <c r="BZ39" i="2080" a="1"/>
  <c r="BZ39" i="2080" s="1"/>
  <c r="EO39" i="2080" a="1"/>
  <c r="EO39" i="2080" s="1"/>
  <c r="ER39" i="2080" a="1"/>
  <c r="ER39" i="2080" s="1"/>
  <c r="ET39" i="2080" a="1"/>
  <c r="ET39" i="2080" s="1"/>
  <c r="EU39" i="2080" a="1"/>
  <c r="EU39" i="2080" s="1"/>
  <c r="EV39" i="2080" a="1"/>
  <c r="EV39" i="2080" s="1"/>
  <c r="EW39" i="2080" a="1"/>
  <c r="EW39" i="2080" s="1"/>
  <c r="EX39" i="2080" a="1"/>
  <c r="EX39" i="2080" s="1"/>
  <c r="EY39" i="2080" a="1"/>
  <c r="EY39" i="2080" s="1"/>
  <c r="FD26" i="1893"/>
  <c r="FD40" i="1893"/>
  <c r="FD24" i="1893"/>
  <c r="FD43" i="1893"/>
  <c r="FD27" i="1893"/>
  <c r="FD46" i="1893"/>
  <c r="FD41" i="1893"/>
  <c r="FD17" i="1893"/>
  <c r="FD13" i="1893"/>
  <c r="FD18" i="1893"/>
  <c r="FD28" i="1893"/>
  <c r="FD45" i="1893"/>
  <c r="FD29" i="1893"/>
  <c r="FD15" i="1893"/>
  <c r="FF4" i="1893"/>
  <c r="FD20" i="1893"/>
  <c r="FD25" i="1893"/>
  <c r="FD36" i="1893"/>
  <c r="FD42" i="1893"/>
  <c r="FD11" i="1893"/>
  <c r="FD16" i="1893"/>
  <c r="FD34" i="1893"/>
  <c r="FD31" i="1893"/>
  <c r="FD9" i="1893"/>
  <c r="FD14" i="1893"/>
  <c r="FD44" i="1893"/>
  <c r="FD21" i="1893"/>
  <c r="FD48" i="1893"/>
  <c r="FD30" i="1893"/>
  <c r="FD37" i="1893"/>
  <c r="FF5" i="1893"/>
  <c r="FE5" i="1893"/>
  <c r="FD51" i="1893" l="1"/>
  <c r="FD19" i="1893"/>
  <c r="FD23" i="1893"/>
  <c r="FD12" i="1893"/>
  <c r="FD22" i="1893"/>
  <c r="FD39" i="1893"/>
  <c r="FD35" i="1893"/>
  <c r="FD32" i="1893"/>
  <c r="FD49" i="1893"/>
  <c r="FA44" i="2080"/>
  <c r="BN42" i="2080"/>
  <c r="CN42" i="2080"/>
  <c r="EA44" i="2080"/>
  <c r="DN42" i="2080"/>
  <c r="AN42" i="2080"/>
  <c r="N45" i="2080"/>
  <c r="N43" i="2080"/>
  <c r="DA44" i="2080"/>
  <c r="EA40" i="2080"/>
  <c r="CA44" i="2080"/>
  <c r="AA44" i="2080"/>
  <c r="CN41" i="2080"/>
  <c r="BN43" i="2080"/>
  <c r="CN44" i="2080"/>
  <c r="CN39" i="2080"/>
  <c r="N44" i="2080"/>
  <c r="AN45" i="2080"/>
  <c r="DA41" i="2080"/>
  <c r="EN41" i="2080"/>
  <c r="N39" i="2080"/>
  <c r="CA42" i="2080"/>
  <c r="EN42" i="2080"/>
  <c r="BA41" i="2080"/>
  <c r="CA45" i="2080"/>
  <c r="DA42" i="2080"/>
  <c r="DA43" i="2080"/>
  <c r="DN45" i="2080"/>
  <c r="BA39" i="2080"/>
  <c r="BN44" i="2080"/>
  <c r="DN44" i="2080"/>
  <c r="DA40" i="2080"/>
  <c r="CA41" i="2080"/>
  <c r="CN43" i="2080"/>
  <c r="AN39" i="2080"/>
  <c r="DN40" i="2080"/>
  <c r="AN40" i="2080"/>
  <c r="AN41" i="2080"/>
  <c r="BN39" i="2080"/>
  <c r="AA45" i="2080"/>
  <c r="EA42" i="2080"/>
  <c r="EA43" i="2080"/>
  <c r="AA39" i="2080"/>
  <c r="EN44" i="2080"/>
  <c r="EN40" i="2080"/>
  <c r="CA39" i="2080"/>
  <c r="FA40" i="2080"/>
  <c r="DN41" i="2080"/>
  <c r="EA41" i="2080"/>
  <c r="DN43" i="2080"/>
  <c r="FA42" i="2080"/>
  <c r="FA43" i="2080"/>
  <c r="FA45" i="2080"/>
  <c r="DA45" i="2080"/>
  <c r="FA41" i="2080"/>
  <c r="DA39" i="2080"/>
  <c r="DN39" i="2080"/>
  <c r="N42" i="2080"/>
  <c r="BA45" i="2080"/>
  <c r="BA40" i="2080"/>
  <c r="AA41" i="2080"/>
  <c r="EN43" i="2080"/>
  <c r="BA43" i="2080"/>
  <c r="CN45" i="2080"/>
  <c r="EN39" i="2080"/>
  <c r="BN40" i="2080"/>
  <c r="BA42" i="2080"/>
  <c r="AA43" i="2080"/>
  <c r="EA39" i="2080"/>
  <c r="N40" i="2080"/>
  <c r="CA40" i="2080"/>
  <c r="EN45" i="2080"/>
  <c r="BA44" i="2080"/>
  <c r="BN45" i="2080"/>
  <c r="AA40" i="2080"/>
  <c r="CN40" i="2080"/>
  <c r="AN43" i="2080"/>
  <c r="CA43" i="2080"/>
  <c r="N41" i="2080"/>
  <c r="AN44" i="2080"/>
  <c r="BN41" i="2080"/>
  <c r="AA42" i="2080"/>
  <c r="EA45" i="2080"/>
  <c r="FA39" i="2080"/>
  <c r="FD50" i="1893"/>
  <c r="FD47" i="1893"/>
  <c r="FD33" i="1893"/>
  <c r="FD38" i="1893"/>
  <c r="FE4" i="1893"/>
  <c r="FC4" i="1893"/>
  <c r="FH41" i="2080" l="1"/>
  <c r="FH45" i="2080"/>
  <c r="FH44" i="2080"/>
  <c r="FH40" i="2080"/>
  <c r="FH42" i="2080"/>
  <c r="FH43" i="2080"/>
  <c r="FH39" i="2080"/>
  <c r="EM7" i="2080"/>
  <c r="EL7" i="2080"/>
  <c r="EK7" i="2080"/>
  <c r="EJ7" i="2080"/>
  <c r="EI7" i="2080"/>
  <c r="EH7" i="2080"/>
  <c r="EG7" i="2080"/>
  <c r="EF7" i="2080"/>
  <c r="EE7" i="2080"/>
  <c r="ED7" i="2080"/>
  <c r="EC7" i="2080"/>
  <c r="EB7" i="2080"/>
  <c r="DZ7" i="2080"/>
  <c r="DY7" i="2080"/>
  <c r="DX7" i="2080"/>
  <c r="DW7" i="2080"/>
  <c r="DV7" i="2080"/>
  <c r="DU7" i="2080"/>
  <c r="DT7" i="2080"/>
  <c r="DS7" i="2080"/>
  <c r="DR7" i="2080"/>
  <c r="DQ7" i="2080"/>
  <c r="DP7" i="2080"/>
  <c r="DO7" i="2080"/>
  <c r="DM7" i="2080"/>
  <c r="DL7" i="2080"/>
  <c r="DK7" i="2080"/>
  <c r="DJ7" i="2080"/>
  <c r="DI7" i="2080"/>
  <c r="DH7" i="2080"/>
  <c r="DG7" i="2080"/>
  <c r="DF7" i="2080"/>
  <c r="DE7" i="2080"/>
  <c r="DD7" i="2080"/>
  <c r="DC7" i="2080"/>
  <c r="DB7" i="2080"/>
  <c r="CZ7" i="2080"/>
  <c r="CY7" i="2080"/>
  <c r="CX7" i="2080"/>
  <c r="CW7" i="2080"/>
  <c r="CV7" i="2080"/>
  <c r="CU7" i="2080"/>
  <c r="CT7" i="2080"/>
  <c r="CS7" i="2080"/>
  <c r="CR7" i="2080"/>
  <c r="CQ7" i="2080"/>
  <c r="CP7" i="2080"/>
  <c r="CO7" i="2080"/>
  <c r="CM7" i="2080"/>
  <c r="CL7" i="2080"/>
  <c r="CK7" i="2080"/>
  <c r="CJ7" i="2080"/>
  <c r="CI7" i="2080"/>
  <c r="CH7" i="2080"/>
  <c r="CG7" i="2080"/>
  <c r="CF7" i="2080"/>
  <c r="CE7" i="2080"/>
  <c r="CD7" i="2080"/>
  <c r="CC7" i="2080"/>
  <c r="CB7" i="2080"/>
  <c r="BZ7" i="2080"/>
  <c r="BY7" i="2080"/>
  <c r="BX7" i="2080"/>
  <c r="BW7" i="2080"/>
  <c r="BV7" i="2080"/>
  <c r="BU7" i="2080"/>
  <c r="BT7" i="2080"/>
  <c r="BS7" i="2080"/>
  <c r="BR7" i="2080"/>
  <c r="BQ7" i="2080"/>
  <c r="BP7" i="2080"/>
  <c r="BO7" i="2080"/>
  <c r="BM7" i="2080"/>
  <c r="BL7" i="2080"/>
  <c r="BK7" i="2080"/>
  <c r="BJ7" i="2080"/>
  <c r="BI7" i="2080"/>
  <c r="BH7" i="2080"/>
  <c r="BG7" i="2080"/>
  <c r="BF7" i="2080"/>
  <c r="BE7" i="2080"/>
  <c r="BD7" i="2080"/>
  <c r="BC7" i="2080"/>
  <c r="BB7" i="2080"/>
  <c r="AZ7" i="2080"/>
  <c r="AY7" i="2080"/>
  <c r="AX7" i="2080"/>
  <c r="AW7" i="2080"/>
  <c r="AV7" i="2080"/>
  <c r="AU7" i="2080"/>
  <c r="AT7" i="2080"/>
  <c r="AS7" i="2080"/>
  <c r="AR7" i="2080"/>
  <c r="AQ7" i="2080"/>
  <c r="AP7" i="2080"/>
  <c r="AO7" i="2080"/>
  <c r="AM7" i="2080"/>
  <c r="AL7" i="2080"/>
  <c r="AK7" i="2080"/>
  <c r="AJ7" i="2080"/>
  <c r="AI7" i="2080"/>
  <c r="AH7" i="2080"/>
  <c r="AG7" i="2080"/>
  <c r="AF7" i="2080"/>
  <c r="AE7" i="2080"/>
  <c r="AD7" i="2080"/>
  <c r="AC7" i="2080"/>
  <c r="AB7" i="2080"/>
  <c r="Z7" i="2080"/>
  <c r="Y7" i="2080"/>
  <c r="X7" i="2080"/>
  <c r="W7" i="2080"/>
  <c r="V7" i="2080"/>
  <c r="U7" i="2080"/>
  <c r="T7" i="2080"/>
  <c r="S7" i="2080"/>
  <c r="R7" i="2080"/>
  <c r="Q7" i="2080"/>
  <c r="P7" i="2080"/>
  <c r="O7" i="2080"/>
  <c r="M7" i="2080"/>
  <c r="L7" i="2080"/>
  <c r="K7" i="2080"/>
  <c r="J7" i="2080"/>
  <c r="I7" i="2080"/>
  <c r="H7" i="2080"/>
  <c r="G7" i="2080"/>
  <c r="F7" i="2080"/>
  <c r="E7" i="2080"/>
  <c r="D7" i="2080"/>
  <c r="C7" i="2080"/>
  <c r="B7" i="2080"/>
  <c r="EM11" i="2080"/>
  <c r="EM59" i="2080" s="1"/>
  <c r="EL11" i="2080"/>
  <c r="EL59" i="2080" s="1"/>
  <c r="EK11" i="2080"/>
  <c r="EK59" i="2080" s="1"/>
  <c r="EJ11" i="2080"/>
  <c r="EJ59" i="2080" s="1"/>
  <c r="EI11" i="2080"/>
  <c r="EI59" i="2080" s="1"/>
  <c r="EH11" i="2080"/>
  <c r="EH59" i="2080" s="1"/>
  <c r="EG11" i="2080"/>
  <c r="EG59" i="2080" s="1"/>
  <c r="EF11" i="2080"/>
  <c r="EF59" i="2080" s="1"/>
  <c r="EE11" i="2080"/>
  <c r="EE59" i="2080" s="1"/>
  <c r="ED11" i="2080"/>
  <c r="ED59" i="2080" s="1"/>
  <c r="EC11" i="2080"/>
  <c r="EC59" i="2080" s="1"/>
  <c r="EB11" i="2080"/>
  <c r="EB59" i="2080" s="1"/>
  <c r="DZ11" i="2080"/>
  <c r="DY11" i="2080"/>
  <c r="DX11" i="2080"/>
  <c r="DW11" i="2080"/>
  <c r="DV11" i="2080"/>
  <c r="DU11" i="2080"/>
  <c r="DT11" i="2080"/>
  <c r="DS11" i="2080"/>
  <c r="DR11" i="2080"/>
  <c r="DQ11" i="2080"/>
  <c r="DP11" i="2080"/>
  <c r="DO11" i="2080"/>
  <c r="DM11" i="2080"/>
  <c r="DL11" i="2080"/>
  <c r="DK11" i="2080"/>
  <c r="DJ11" i="2080"/>
  <c r="DI11" i="2080"/>
  <c r="DH11" i="2080"/>
  <c r="DG11" i="2080"/>
  <c r="DF11" i="2080"/>
  <c r="DE11" i="2080"/>
  <c r="DD11" i="2080"/>
  <c r="DC11" i="2080"/>
  <c r="DB11" i="2080"/>
  <c r="CZ11" i="2080"/>
  <c r="CY11" i="2080"/>
  <c r="CX11" i="2080"/>
  <c r="CW11" i="2080"/>
  <c r="CV11" i="2080"/>
  <c r="CU11" i="2080"/>
  <c r="CT11" i="2080"/>
  <c r="CS11" i="2080"/>
  <c r="CR11" i="2080"/>
  <c r="CQ11" i="2080"/>
  <c r="CP11" i="2080"/>
  <c r="CO11" i="2080"/>
  <c r="CM11" i="2080"/>
  <c r="CL11" i="2080"/>
  <c r="CK11" i="2080"/>
  <c r="CJ11" i="2080"/>
  <c r="CI11" i="2080"/>
  <c r="CH11" i="2080"/>
  <c r="CG11" i="2080"/>
  <c r="CF11" i="2080"/>
  <c r="CE11" i="2080"/>
  <c r="CD11" i="2080"/>
  <c r="CC11" i="2080"/>
  <c r="CB11" i="2080"/>
  <c r="BZ11" i="2080"/>
  <c r="BY11" i="2080"/>
  <c r="BX11" i="2080"/>
  <c r="BW11" i="2080"/>
  <c r="BV11" i="2080"/>
  <c r="BU11" i="2080"/>
  <c r="BT11" i="2080"/>
  <c r="BS11" i="2080"/>
  <c r="BR11" i="2080"/>
  <c r="BQ11" i="2080"/>
  <c r="BP11" i="2080"/>
  <c r="BO11" i="2080"/>
  <c r="BM11" i="2080"/>
  <c r="BL11" i="2080"/>
  <c r="BK11" i="2080"/>
  <c r="BJ11" i="2080"/>
  <c r="BI11" i="2080"/>
  <c r="BH11" i="2080"/>
  <c r="BG11" i="2080"/>
  <c r="BF11" i="2080"/>
  <c r="BE11" i="2080"/>
  <c r="BD11" i="2080"/>
  <c r="BC11" i="2080"/>
  <c r="BB11" i="2080"/>
  <c r="AZ11" i="2080"/>
  <c r="AY11" i="2080"/>
  <c r="AX11" i="2080"/>
  <c r="AW11" i="2080"/>
  <c r="AV11" i="2080"/>
  <c r="AU11" i="2080"/>
  <c r="AT11" i="2080"/>
  <c r="AS11" i="2080"/>
  <c r="AR11" i="2080"/>
  <c r="AQ11" i="2080"/>
  <c r="AP11" i="2080"/>
  <c r="AO11" i="2080"/>
  <c r="AM11" i="2080"/>
  <c r="AL11" i="2080"/>
  <c r="AK11" i="2080"/>
  <c r="AJ11" i="2080"/>
  <c r="AI11" i="2080"/>
  <c r="AH11" i="2080"/>
  <c r="AG11" i="2080"/>
  <c r="AF11" i="2080"/>
  <c r="AE11" i="2080"/>
  <c r="AD11" i="2080"/>
  <c r="AC11" i="2080"/>
  <c r="AB11" i="2080"/>
  <c r="Z11" i="2080"/>
  <c r="Y11" i="2080"/>
  <c r="X11" i="2080"/>
  <c r="W11" i="2080"/>
  <c r="V11" i="2080"/>
  <c r="U11" i="2080"/>
  <c r="T11" i="2080"/>
  <c r="S11" i="2080"/>
  <c r="R11" i="2080"/>
  <c r="Q11" i="2080"/>
  <c r="P11" i="2080"/>
  <c r="O11" i="2080"/>
  <c r="M11" i="2080"/>
  <c r="L11" i="2080"/>
  <c r="K11" i="2080"/>
  <c r="J11" i="2080"/>
  <c r="I11" i="2080"/>
  <c r="H11" i="2080"/>
  <c r="G11" i="2080"/>
  <c r="F11" i="2080"/>
  <c r="E11" i="2080"/>
  <c r="D11" i="2080"/>
  <c r="C11" i="2080"/>
  <c r="B11" i="2080"/>
  <c r="EM49" i="2080"/>
  <c r="EM47" i="2080" s="1"/>
  <c r="EL49" i="2080"/>
  <c r="EL47" i="2080" s="1"/>
  <c r="EK49" i="2080"/>
  <c r="EK47" i="2080" s="1"/>
  <c r="EJ49" i="2080"/>
  <c r="EJ47" i="2080" s="1"/>
  <c r="EI49" i="2080"/>
  <c r="EI47" i="2080" s="1"/>
  <c r="EH49" i="2080"/>
  <c r="EH47" i="2080" s="1"/>
  <c r="EG49" i="2080"/>
  <c r="EG47" i="2080" s="1"/>
  <c r="EF49" i="2080"/>
  <c r="EF47" i="2080" s="1"/>
  <c r="EE49" i="2080"/>
  <c r="EE47" i="2080" s="1"/>
  <c r="ED49" i="2080"/>
  <c r="ED47" i="2080" s="1"/>
  <c r="EC49" i="2080"/>
  <c r="EC47" i="2080" s="1"/>
  <c r="EB49" i="2080"/>
  <c r="DZ49" i="2080"/>
  <c r="DZ47" i="2080" s="1"/>
  <c r="DY49" i="2080"/>
  <c r="DY47" i="2080" s="1"/>
  <c r="DX49" i="2080"/>
  <c r="DX47" i="2080" s="1"/>
  <c r="DW49" i="2080"/>
  <c r="DW47" i="2080" s="1"/>
  <c r="DV49" i="2080"/>
  <c r="DV47" i="2080" s="1"/>
  <c r="DU49" i="2080"/>
  <c r="DU47" i="2080" s="1"/>
  <c r="DT49" i="2080"/>
  <c r="DT47" i="2080" s="1"/>
  <c r="DS49" i="2080"/>
  <c r="DS47" i="2080" s="1"/>
  <c r="DR49" i="2080"/>
  <c r="DR47" i="2080" s="1"/>
  <c r="DQ49" i="2080"/>
  <c r="DQ47" i="2080" s="1"/>
  <c r="DP49" i="2080"/>
  <c r="DP47" i="2080" s="1"/>
  <c r="DO49" i="2080"/>
  <c r="DM49" i="2080"/>
  <c r="DM47" i="2080" s="1"/>
  <c r="DL49" i="2080"/>
  <c r="DL47" i="2080" s="1"/>
  <c r="DK49" i="2080"/>
  <c r="DK47" i="2080" s="1"/>
  <c r="DJ49" i="2080"/>
  <c r="DJ47" i="2080" s="1"/>
  <c r="DI49" i="2080"/>
  <c r="DI47" i="2080" s="1"/>
  <c r="DH49" i="2080"/>
  <c r="DH47" i="2080" s="1"/>
  <c r="DG49" i="2080"/>
  <c r="DG47" i="2080" s="1"/>
  <c r="DF49" i="2080"/>
  <c r="DF47" i="2080" s="1"/>
  <c r="DE49" i="2080"/>
  <c r="DE47" i="2080" s="1"/>
  <c r="DD49" i="2080"/>
  <c r="DD47" i="2080" s="1"/>
  <c r="DC49" i="2080"/>
  <c r="DC47" i="2080" s="1"/>
  <c r="DB49" i="2080"/>
  <c r="CZ49" i="2080"/>
  <c r="CZ47" i="2080" s="1"/>
  <c r="CY49" i="2080"/>
  <c r="CY47" i="2080" s="1"/>
  <c r="CX49" i="2080"/>
  <c r="CX47" i="2080" s="1"/>
  <c r="CW49" i="2080"/>
  <c r="CW47" i="2080" s="1"/>
  <c r="CV49" i="2080"/>
  <c r="CV47" i="2080" s="1"/>
  <c r="CU49" i="2080"/>
  <c r="CU47" i="2080" s="1"/>
  <c r="CT49" i="2080"/>
  <c r="CT47" i="2080" s="1"/>
  <c r="CS49" i="2080"/>
  <c r="CS47" i="2080" s="1"/>
  <c r="CR49" i="2080"/>
  <c r="CR47" i="2080" s="1"/>
  <c r="CQ49" i="2080"/>
  <c r="CQ47" i="2080" s="1"/>
  <c r="CP49" i="2080"/>
  <c r="CP47" i="2080" s="1"/>
  <c r="CO49" i="2080"/>
  <c r="CM49" i="2080"/>
  <c r="CM47" i="2080" s="1"/>
  <c r="CL49" i="2080"/>
  <c r="CL47" i="2080" s="1"/>
  <c r="CK49" i="2080"/>
  <c r="CK47" i="2080" s="1"/>
  <c r="CJ49" i="2080"/>
  <c r="CJ47" i="2080" s="1"/>
  <c r="CI49" i="2080"/>
  <c r="CI47" i="2080" s="1"/>
  <c r="CH49" i="2080"/>
  <c r="CH47" i="2080" s="1"/>
  <c r="CG49" i="2080"/>
  <c r="CG47" i="2080" s="1"/>
  <c r="CF49" i="2080"/>
  <c r="CF47" i="2080" s="1"/>
  <c r="CE49" i="2080"/>
  <c r="CE47" i="2080" s="1"/>
  <c r="CD49" i="2080"/>
  <c r="CD47" i="2080" s="1"/>
  <c r="CC49" i="2080"/>
  <c r="CC47" i="2080" s="1"/>
  <c r="CB49" i="2080"/>
  <c r="BZ49" i="2080"/>
  <c r="BZ47" i="2080" s="1"/>
  <c r="BY49" i="2080"/>
  <c r="BY47" i="2080" s="1"/>
  <c r="BX49" i="2080"/>
  <c r="BX47" i="2080" s="1"/>
  <c r="BW49" i="2080"/>
  <c r="BW47" i="2080" s="1"/>
  <c r="BV49" i="2080"/>
  <c r="BV47" i="2080" s="1"/>
  <c r="BU49" i="2080"/>
  <c r="BU47" i="2080" s="1"/>
  <c r="BT49" i="2080"/>
  <c r="BT47" i="2080" s="1"/>
  <c r="BS49" i="2080"/>
  <c r="BS47" i="2080" s="1"/>
  <c r="BR49" i="2080"/>
  <c r="BR47" i="2080" s="1"/>
  <c r="BQ49" i="2080"/>
  <c r="BQ47" i="2080" s="1"/>
  <c r="BP49" i="2080"/>
  <c r="BP47" i="2080" s="1"/>
  <c r="BO49" i="2080"/>
  <c r="BM49" i="2080"/>
  <c r="BM47" i="2080" s="1"/>
  <c r="BL49" i="2080"/>
  <c r="BL47" i="2080" s="1"/>
  <c r="BK49" i="2080"/>
  <c r="BK47" i="2080" s="1"/>
  <c r="BJ49" i="2080"/>
  <c r="BJ47" i="2080" s="1"/>
  <c r="BI49" i="2080"/>
  <c r="BI47" i="2080" s="1"/>
  <c r="BH49" i="2080"/>
  <c r="BH47" i="2080" s="1"/>
  <c r="BG49" i="2080"/>
  <c r="BG47" i="2080" s="1"/>
  <c r="BF49" i="2080"/>
  <c r="BF47" i="2080" s="1"/>
  <c r="BE49" i="2080"/>
  <c r="BE47" i="2080" s="1"/>
  <c r="BD49" i="2080"/>
  <c r="BD47" i="2080" s="1"/>
  <c r="BC49" i="2080"/>
  <c r="BC47" i="2080" s="1"/>
  <c r="BB49" i="2080"/>
  <c r="AZ49" i="2080"/>
  <c r="AZ47" i="2080" s="1"/>
  <c r="AY49" i="2080"/>
  <c r="AY47" i="2080" s="1"/>
  <c r="AX49" i="2080"/>
  <c r="AX47" i="2080" s="1"/>
  <c r="AW49" i="2080"/>
  <c r="AW47" i="2080" s="1"/>
  <c r="AV49" i="2080"/>
  <c r="AV47" i="2080" s="1"/>
  <c r="AU49" i="2080"/>
  <c r="AU47" i="2080" s="1"/>
  <c r="AT49" i="2080"/>
  <c r="AT47" i="2080" s="1"/>
  <c r="AS49" i="2080"/>
  <c r="AS47" i="2080" s="1"/>
  <c r="AR49" i="2080"/>
  <c r="AR47" i="2080" s="1"/>
  <c r="AQ49" i="2080"/>
  <c r="AQ47" i="2080" s="1"/>
  <c r="AP49" i="2080"/>
  <c r="AP47" i="2080" s="1"/>
  <c r="AO49" i="2080"/>
  <c r="AM49" i="2080"/>
  <c r="AM47" i="2080" s="1"/>
  <c r="AL49" i="2080"/>
  <c r="AL47" i="2080" s="1"/>
  <c r="AK49" i="2080"/>
  <c r="AK47" i="2080" s="1"/>
  <c r="AJ49" i="2080"/>
  <c r="AJ47" i="2080" s="1"/>
  <c r="AI49" i="2080"/>
  <c r="AI47" i="2080" s="1"/>
  <c r="AH49" i="2080"/>
  <c r="AH47" i="2080" s="1"/>
  <c r="AG49" i="2080"/>
  <c r="AG47" i="2080" s="1"/>
  <c r="AF49" i="2080"/>
  <c r="AF47" i="2080" s="1"/>
  <c r="AE49" i="2080"/>
  <c r="AE47" i="2080" s="1"/>
  <c r="AD49" i="2080"/>
  <c r="AD47" i="2080" s="1"/>
  <c r="AC49" i="2080"/>
  <c r="AC47" i="2080" s="1"/>
  <c r="AB49" i="2080"/>
  <c r="Z49" i="2080"/>
  <c r="Z47" i="2080" s="1"/>
  <c r="Y49" i="2080"/>
  <c r="Y47" i="2080" s="1"/>
  <c r="X49" i="2080"/>
  <c r="X47" i="2080" s="1"/>
  <c r="W49" i="2080"/>
  <c r="W47" i="2080" s="1"/>
  <c r="V49" i="2080"/>
  <c r="V47" i="2080" s="1"/>
  <c r="U49" i="2080"/>
  <c r="U47" i="2080" s="1"/>
  <c r="T49" i="2080"/>
  <c r="T47" i="2080" s="1"/>
  <c r="S49" i="2080"/>
  <c r="S47" i="2080" s="1"/>
  <c r="R49" i="2080"/>
  <c r="R47" i="2080" s="1"/>
  <c r="Q49" i="2080"/>
  <c r="Q47" i="2080" s="1"/>
  <c r="P49" i="2080"/>
  <c r="P47" i="2080" s="1"/>
  <c r="O49" i="2080"/>
  <c r="M49" i="2080"/>
  <c r="M47" i="2080" s="1"/>
  <c r="L49" i="2080"/>
  <c r="L47" i="2080" s="1"/>
  <c r="K49" i="2080"/>
  <c r="K47" i="2080" s="1"/>
  <c r="J49" i="2080"/>
  <c r="J47" i="2080" s="1"/>
  <c r="I49" i="2080"/>
  <c r="I47" i="2080" s="1"/>
  <c r="H49" i="2080"/>
  <c r="H47" i="2080" s="1"/>
  <c r="G49" i="2080"/>
  <c r="G47" i="2080" s="1"/>
  <c r="F49" i="2080"/>
  <c r="F47" i="2080" s="1"/>
  <c r="E49" i="2080"/>
  <c r="E47" i="2080" s="1"/>
  <c r="D49" i="2080"/>
  <c r="D47" i="2080" s="1"/>
  <c r="C49" i="2080"/>
  <c r="C47" i="2080" s="1"/>
  <c r="B49" i="2080"/>
  <c r="EZ49" i="2080"/>
  <c r="EY49" i="2080"/>
  <c r="EX49" i="2080"/>
  <c r="EW49" i="2080"/>
  <c r="EV49" i="2080"/>
  <c r="EU49" i="2080"/>
  <c r="ET49" i="2080"/>
  <c r="ES49" i="2080"/>
  <c r="ER49" i="2080"/>
  <c r="EQ49" i="2080"/>
  <c r="EP49" i="2080"/>
  <c r="EO49" i="2080"/>
  <c r="EO47" i="2080" s="1"/>
  <c r="EZ47" i="2080"/>
  <c r="EY47" i="2080"/>
  <c r="EX47" i="2080"/>
  <c r="EW47" i="2080"/>
  <c r="EV47" i="2080"/>
  <c r="EU47" i="2080"/>
  <c r="ET47" i="2080"/>
  <c r="ES47" i="2080"/>
  <c r="ER47" i="2080"/>
  <c r="EQ47" i="2080"/>
  <c r="EP47" i="2080"/>
  <c r="EZ11" i="2080"/>
  <c r="EY11" i="2080"/>
  <c r="EX11" i="2080"/>
  <c r="EW11" i="2080"/>
  <c r="EV11" i="2080"/>
  <c r="EU11" i="2080"/>
  <c r="ET11" i="2080"/>
  <c r="ES11" i="2080"/>
  <c r="ER11" i="2080"/>
  <c r="EQ11" i="2080"/>
  <c r="EP11" i="2080"/>
  <c r="EO11" i="2080"/>
  <c r="EO59" i="2080" s="1"/>
  <c r="FA55" i="2080"/>
  <c r="FA54" i="2080"/>
  <c r="FA53" i="2080"/>
  <c r="FA52" i="2080"/>
  <c r="FA51" i="2080"/>
  <c r="FA50" i="2080"/>
  <c r="FA30" i="2080"/>
  <c r="FA29" i="2080"/>
  <c r="FA16" i="2080"/>
  <c r="FA37" i="2080"/>
  <c r="FA15" i="2080"/>
  <c r="FA14" i="2080"/>
  <c r="FA27" i="2080"/>
  <c r="FA22" i="2080"/>
  <c r="FA17" i="2080"/>
  <c r="FA25" i="2080"/>
  <c r="FA18" i="2080"/>
  <c r="FA34" i="2080"/>
  <c r="FA35" i="2080"/>
  <c r="FA24" i="2080"/>
  <c r="FA31" i="2080"/>
  <c r="FA23" i="2080"/>
  <c r="FA28" i="2080"/>
  <c r="FA26" i="2080"/>
  <c r="FA21" i="2080"/>
  <c r="FA36" i="2080"/>
  <c r="FA32" i="2080"/>
  <c r="FA19" i="2080"/>
  <c r="FA20" i="2080"/>
  <c r="FA13" i="2080"/>
  <c r="FA9" i="2080"/>
  <c r="FA8" i="2080"/>
  <c r="EZ7" i="2080"/>
  <c r="EY7" i="2080"/>
  <c r="EX7" i="2080"/>
  <c r="EW7" i="2080"/>
  <c r="EV7" i="2080"/>
  <c r="EU7" i="2080"/>
  <c r="ET7" i="2080"/>
  <c r="ES7" i="2080"/>
  <c r="ER7" i="2080"/>
  <c r="EQ7" i="2080"/>
  <c r="EP7" i="2080"/>
  <c r="EO7" i="2080"/>
  <c r="FJ25" i="2080"/>
  <c r="FJ18" i="2080"/>
  <c r="FJ34" i="2080"/>
  <c r="FJ35" i="2080"/>
  <c r="FJ24" i="2080"/>
  <c r="FJ31" i="2080"/>
  <c r="FJ23" i="2080"/>
  <c r="FJ28" i="2080"/>
  <c r="FJ26" i="2080"/>
  <c r="FJ21" i="2080"/>
  <c r="FJ36" i="2080"/>
  <c r="FJ32" i="2080"/>
  <c r="FJ19" i="2080"/>
  <c r="FJ20" i="2080"/>
  <c r="FJ13" i="2080"/>
  <c r="FC5" i="2080"/>
  <c r="FA5" i="2080"/>
  <c r="EN5" i="2080"/>
  <c r="EA5" i="2080"/>
  <c r="DN5" i="2080"/>
  <c r="DA5" i="2080"/>
  <c r="CN5" i="2080"/>
  <c r="CA5" i="2080"/>
  <c r="BN5" i="2080"/>
  <c r="BA5" i="2080"/>
  <c r="AN5" i="2080"/>
  <c r="AA5" i="2080"/>
  <c r="N5" i="2080"/>
  <c r="Y44" i="2079"/>
  <c r="X44" i="2079"/>
  <c r="W44" i="2079"/>
  <c r="V44" i="2079"/>
  <c r="U44" i="2079"/>
  <c r="T44" i="2079"/>
  <c r="S44" i="2079"/>
  <c r="R44" i="2079"/>
  <c r="Q44" i="2079"/>
  <c r="P44" i="2079"/>
  <c r="O44" i="2079"/>
  <c r="N44" i="2079"/>
  <c r="M44" i="2079"/>
  <c r="L44" i="2079"/>
  <c r="K44" i="2079"/>
  <c r="J44" i="2079"/>
  <c r="I44" i="2079"/>
  <c r="H44" i="2079"/>
  <c r="G44" i="2079"/>
  <c r="F44" i="2079"/>
  <c r="E44" i="2079"/>
  <c r="D44" i="2079"/>
  <c r="C44" i="2079"/>
  <c r="B44" i="2079"/>
  <c r="CD18" i="2079"/>
  <c r="BU20" i="2078"/>
  <c r="BT20" i="2078"/>
  <c r="BS20" i="2078"/>
  <c r="BR20" i="2078"/>
  <c r="BQ20" i="2078"/>
  <c r="BP20" i="2078"/>
  <c r="BO20" i="2078"/>
  <c r="BN20" i="2078"/>
  <c r="BM20" i="2078"/>
  <c r="BL20" i="2078"/>
  <c r="BK20" i="2078"/>
  <c r="BJ20" i="2078"/>
  <c r="BI20" i="2078"/>
  <c r="BH20" i="2078"/>
  <c r="BG20" i="2078"/>
  <c r="BF20" i="2078"/>
  <c r="BE20" i="2078"/>
  <c r="BD20" i="2078"/>
  <c r="BC20" i="2078"/>
  <c r="BB20" i="2078"/>
  <c r="BA20" i="2078"/>
  <c r="AZ20" i="2078"/>
  <c r="AY20" i="2078"/>
  <c r="AX20" i="2078"/>
  <c r="DZ71" i="2635"/>
  <c r="DY71" i="2635"/>
  <c r="DX71" i="2635"/>
  <c r="DW71" i="2635"/>
  <c r="DV71" i="2635"/>
  <c r="DU71" i="2635"/>
  <c r="DT71" i="2635"/>
  <c r="DS71" i="2635"/>
  <c r="DR71" i="2635"/>
  <c r="DQ71" i="2635"/>
  <c r="DP71" i="2635"/>
  <c r="DO71" i="2635"/>
  <c r="DM71" i="2635"/>
  <c r="DL71" i="2635"/>
  <c r="DK71" i="2635"/>
  <c r="DJ71" i="2635"/>
  <c r="DI71" i="2635"/>
  <c r="DH71" i="2635"/>
  <c r="DG71" i="2635"/>
  <c r="DF71" i="2635"/>
  <c r="DE71" i="2635"/>
  <c r="DD71" i="2635"/>
  <c r="DC71" i="2635"/>
  <c r="DB71" i="2635"/>
  <c r="CZ71" i="2635"/>
  <c r="CY71" i="2635"/>
  <c r="CX71" i="2635"/>
  <c r="CW71" i="2635"/>
  <c r="CV71" i="2635"/>
  <c r="CU71" i="2635"/>
  <c r="CT71" i="2635"/>
  <c r="CS71" i="2635"/>
  <c r="CR71" i="2635"/>
  <c r="CQ71" i="2635"/>
  <c r="CP71" i="2635"/>
  <c r="CO71" i="2635"/>
  <c r="CM71" i="2635"/>
  <c r="CL71" i="2635"/>
  <c r="CK71" i="2635"/>
  <c r="CJ71" i="2635"/>
  <c r="CI71" i="2635"/>
  <c r="CH71" i="2635"/>
  <c r="CG71" i="2635"/>
  <c r="CF71" i="2635"/>
  <c r="CE71" i="2635"/>
  <c r="CD71" i="2635"/>
  <c r="CC71" i="2635"/>
  <c r="CB71" i="2635"/>
  <c r="BZ71" i="2635"/>
  <c r="BY71" i="2635"/>
  <c r="BX71" i="2635"/>
  <c r="BW71" i="2635"/>
  <c r="BV71" i="2635"/>
  <c r="BU71" i="2635"/>
  <c r="BT71" i="2635"/>
  <c r="BS71" i="2635"/>
  <c r="BR71" i="2635"/>
  <c r="BQ71" i="2635"/>
  <c r="BP71" i="2635"/>
  <c r="BO71" i="2635"/>
  <c r="BM71" i="2635"/>
  <c r="BL71" i="2635"/>
  <c r="BK71" i="2635"/>
  <c r="BJ71" i="2635"/>
  <c r="BI71" i="2635"/>
  <c r="BH71" i="2635"/>
  <c r="BG71" i="2635"/>
  <c r="BF71" i="2635"/>
  <c r="BE71" i="2635"/>
  <c r="BD71" i="2635"/>
  <c r="BC71" i="2635"/>
  <c r="BB71" i="2635"/>
  <c r="AZ71" i="2635"/>
  <c r="AY71" i="2635"/>
  <c r="AX71" i="2635"/>
  <c r="AW71" i="2635"/>
  <c r="AV71" i="2635"/>
  <c r="AU71" i="2635"/>
  <c r="AT71" i="2635"/>
  <c r="AS71" i="2635"/>
  <c r="AR71" i="2635"/>
  <c r="AQ71" i="2635"/>
  <c r="AP71" i="2635"/>
  <c r="AO71" i="2635"/>
  <c r="AM71" i="2635"/>
  <c r="AL71" i="2635"/>
  <c r="AK71" i="2635"/>
  <c r="AJ71" i="2635"/>
  <c r="AI71" i="2635"/>
  <c r="AH71" i="2635"/>
  <c r="AG71" i="2635"/>
  <c r="AF71" i="2635"/>
  <c r="AE71" i="2635"/>
  <c r="AD71" i="2635"/>
  <c r="AC71" i="2635"/>
  <c r="AB71" i="2635"/>
  <c r="Z71" i="2635"/>
  <c r="Y71" i="2635"/>
  <c r="X71" i="2635"/>
  <c r="W71" i="2635"/>
  <c r="V71" i="2635"/>
  <c r="U71" i="2635"/>
  <c r="T71" i="2635"/>
  <c r="S71" i="2635"/>
  <c r="R71" i="2635"/>
  <c r="Q71" i="2635"/>
  <c r="P71" i="2635"/>
  <c r="O71" i="2635"/>
  <c r="M71" i="2635"/>
  <c r="L71" i="2635"/>
  <c r="K71" i="2635"/>
  <c r="J71" i="2635"/>
  <c r="I71" i="2635"/>
  <c r="H71" i="2635"/>
  <c r="G71" i="2635"/>
  <c r="F71" i="2635"/>
  <c r="E71" i="2635"/>
  <c r="D71" i="2635"/>
  <c r="C71" i="2635"/>
  <c r="B71" i="2635"/>
  <c r="DR64" i="2635"/>
  <c r="DQ64" i="2635"/>
  <c r="CU64" i="2635"/>
  <c r="CL64" i="2635"/>
  <c r="CJ64" i="2635"/>
  <c r="CF64" i="2635"/>
  <c r="DR63" i="2635"/>
  <c r="DQ63" i="2635"/>
  <c r="CU63" i="2635"/>
  <c r="CL63" i="2635"/>
  <c r="CJ63" i="2635"/>
  <c r="CF63" i="2635"/>
  <c r="DZ62" i="2635"/>
  <c r="DY62" i="2635"/>
  <c r="DX62" i="2635"/>
  <c r="DW62" i="2635"/>
  <c r="DV62" i="2635"/>
  <c r="DU62" i="2635"/>
  <c r="DT62" i="2635"/>
  <c r="DS62" i="2635"/>
  <c r="DR62" i="2635"/>
  <c r="DQ62" i="2635"/>
  <c r="DP62" i="2635"/>
  <c r="DO62" i="2635"/>
  <c r="DM62" i="2635"/>
  <c r="DL62" i="2635"/>
  <c r="DK62" i="2635"/>
  <c r="DJ62" i="2635"/>
  <c r="DI62" i="2635"/>
  <c r="DH62" i="2635"/>
  <c r="DG62" i="2635"/>
  <c r="DF62" i="2635"/>
  <c r="DE62" i="2635"/>
  <c r="DD62" i="2635"/>
  <c r="DC62" i="2635"/>
  <c r="DB62" i="2635"/>
  <c r="CZ62" i="2635"/>
  <c r="CY62" i="2635"/>
  <c r="CX62" i="2635"/>
  <c r="CW62" i="2635"/>
  <c r="CV62" i="2635"/>
  <c r="CU62" i="2635"/>
  <c r="CT62" i="2635"/>
  <c r="CS62" i="2635"/>
  <c r="CR62" i="2635"/>
  <c r="CQ62" i="2635"/>
  <c r="CP62" i="2635"/>
  <c r="CO62" i="2635"/>
  <c r="CM62" i="2635"/>
  <c r="CL62" i="2635"/>
  <c r="CK62" i="2635"/>
  <c r="CJ62" i="2635"/>
  <c r="CI62" i="2635"/>
  <c r="CH62" i="2635"/>
  <c r="CG62" i="2635"/>
  <c r="CF62" i="2635"/>
  <c r="CE62" i="2635"/>
  <c r="CD62" i="2635"/>
  <c r="CC62" i="2635"/>
  <c r="CB62" i="2635"/>
  <c r="BZ62" i="2635"/>
  <c r="BY62" i="2635"/>
  <c r="BX62" i="2635"/>
  <c r="BW62" i="2635"/>
  <c r="BV62" i="2635"/>
  <c r="BU62" i="2635"/>
  <c r="BT62" i="2635"/>
  <c r="BS62" i="2635"/>
  <c r="BR62" i="2635"/>
  <c r="BQ62" i="2635"/>
  <c r="BP62" i="2635"/>
  <c r="BO62" i="2635"/>
  <c r="BM62" i="2635"/>
  <c r="BL62" i="2635"/>
  <c r="BK62" i="2635"/>
  <c r="BJ62" i="2635"/>
  <c r="BI62" i="2635"/>
  <c r="BH62" i="2635"/>
  <c r="BG62" i="2635"/>
  <c r="BF62" i="2635"/>
  <c r="BE62" i="2635"/>
  <c r="BD62" i="2635"/>
  <c r="BC62" i="2635"/>
  <c r="BB62" i="2635"/>
  <c r="AZ62" i="2635"/>
  <c r="AY62" i="2635"/>
  <c r="AX62" i="2635"/>
  <c r="AW62" i="2635"/>
  <c r="AV62" i="2635"/>
  <c r="AU62" i="2635"/>
  <c r="AT62" i="2635"/>
  <c r="AS62" i="2635"/>
  <c r="AR62" i="2635"/>
  <c r="AQ62" i="2635"/>
  <c r="AP62" i="2635"/>
  <c r="AO62" i="2635"/>
  <c r="AM62" i="2635"/>
  <c r="AL62" i="2635"/>
  <c r="AK62" i="2635"/>
  <c r="AJ62" i="2635"/>
  <c r="AI62" i="2635"/>
  <c r="AH62" i="2635"/>
  <c r="AG62" i="2635"/>
  <c r="AF62" i="2635"/>
  <c r="AE62" i="2635"/>
  <c r="AD62" i="2635"/>
  <c r="AC62" i="2635"/>
  <c r="AB62" i="2635"/>
  <c r="Z62" i="2635"/>
  <c r="Y62" i="2635"/>
  <c r="X62" i="2635"/>
  <c r="W62" i="2635"/>
  <c r="V62" i="2635"/>
  <c r="U62" i="2635"/>
  <c r="T62" i="2635"/>
  <c r="S62" i="2635"/>
  <c r="R62" i="2635"/>
  <c r="Q62" i="2635"/>
  <c r="P62" i="2635"/>
  <c r="O62" i="2635"/>
  <c r="M62" i="2635"/>
  <c r="L62" i="2635"/>
  <c r="K62" i="2635"/>
  <c r="J62" i="2635"/>
  <c r="I62" i="2635"/>
  <c r="H62" i="2635"/>
  <c r="G62" i="2635"/>
  <c r="F62" i="2635"/>
  <c r="E62" i="2635"/>
  <c r="D62" i="2635"/>
  <c r="C62" i="2635"/>
  <c r="B62" i="2635"/>
  <c r="DZ61" i="2635"/>
  <c r="DY61" i="2635"/>
  <c r="DX61" i="2635"/>
  <c r="DW61" i="2635"/>
  <c r="DV61" i="2635"/>
  <c r="DU61" i="2635"/>
  <c r="DT61" i="2635"/>
  <c r="DS61" i="2635"/>
  <c r="DR61" i="2635"/>
  <c r="DQ61" i="2635"/>
  <c r="DP61" i="2635"/>
  <c r="DO61" i="2635"/>
  <c r="DM61" i="2635"/>
  <c r="DL61" i="2635"/>
  <c r="DK61" i="2635"/>
  <c r="DJ61" i="2635"/>
  <c r="DI61" i="2635"/>
  <c r="DH61" i="2635"/>
  <c r="DG61" i="2635"/>
  <c r="DF61" i="2635"/>
  <c r="DE61" i="2635"/>
  <c r="DD61" i="2635"/>
  <c r="DC61" i="2635"/>
  <c r="DB61" i="2635"/>
  <c r="CZ61" i="2635"/>
  <c r="CY61" i="2635"/>
  <c r="CX61" i="2635"/>
  <c r="CW61" i="2635"/>
  <c r="CV61" i="2635"/>
  <c r="CU61" i="2635"/>
  <c r="CT61" i="2635"/>
  <c r="CS61" i="2635"/>
  <c r="CR61" i="2635"/>
  <c r="CQ61" i="2635"/>
  <c r="CP61" i="2635"/>
  <c r="CO61" i="2635"/>
  <c r="CM61" i="2635"/>
  <c r="CL61" i="2635"/>
  <c r="CK61" i="2635"/>
  <c r="CJ61" i="2635"/>
  <c r="CI61" i="2635"/>
  <c r="CH61" i="2635"/>
  <c r="CG61" i="2635"/>
  <c r="CF61" i="2635"/>
  <c r="CE61" i="2635"/>
  <c r="CD61" i="2635"/>
  <c r="CC61" i="2635"/>
  <c r="CB61" i="2635"/>
  <c r="BZ61" i="2635"/>
  <c r="BY61" i="2635"/>
  <c r="BX61" i="2635"/>
  <c r="BW61" i="2635"/>
  <c r="BV61" i="2635"/>
  <c r="BU61" i="2635"/>
  <c r="BT61" i="2635"/>
  <c r="BS61" i="2635"/>
  <c r="BR61" i="2635"/>
  <c r="BQ61" i="2635"/>
  <c r="BP61" i="2635"/>
  <c r="BO61" i="2635"/>
  <c r="BM61" i="2635"/>
  <c r="BL61" i="2635"/>
  <c r="BK61" i="2635"/>
  <c r="BJ61" i="2635"/>
  <c r="BI61" i="2635"/>
  <c r="BH61" i="2635"/>
  <c r="BG61" i="2635"/>
  <c r="BF61" i="2635"/>
  <c r="BE61" i="2635"/>
  <c r="BD61" i="2635"/>
  <c r="BC61" i="2635"/>
  <c r="BB61" i="2635"/>
  <c r="AZ61" i="2635"/>
  <c r="AY61" i="2635"/>
  <c r="AX61" i="2635"/>
  <c r="AW61" i="2635"/>
  <c r="AV61" i="2635"/>
  <c r="AU61" i="2635"/>
  <c r="AT61" i="2635"/>
  <c r="AS61" i="2635"/>
  <c r="AR61" i="2635"/>
  <c r="AQ61" i="2635"/>
  <c r="AP61" i="2635"/>
  <c r="AO61" i="2635"/>
  <c r="AM61" i="2635"/>
  <c r="AL61" i="2635"/>
  <c r="AK61" i="2635"/>
  <c r="AJ61" i="2635"/>
  <c r="AI61" i="2635"/>
  <c r="AH61" i="2635"/>
  <c r="AG61" i="2635"/>
  <c r="AF61" i="2635"/>
  <c r="AE61" i="2635"/>
  <c r="AD61" i="2635"/>
  <c r="AC61" i="2635"/>
  <c r="AB61" i="2635"/>
  <c r="Z61" i="2635"/>
  <c r="Y61" i="2635"/>
  <c r="X61" i="2635"/>
  <c r="W61" i="2635"/>
  <c r="V61" i="2635"/>
  <c r="U61" i="2635"/>
  <c r="T61" i="2635"/>
  <c r="S61" i="2635"/>
  <c r="R61" i="2635"/>
  <c r="Q61" i="2635"/>
  <c r="P61" i="2635"/>
  <c r="O61" i="2635"/>
  <c r="M61" i="2635"/>
  <c r="L61" i="2635"/>
  <c r="K61" i="2635"/>
  <c r="J61" i="2635"/>
  <c r="I61" i="2635"/>
  <c r="H61" i="2635"/>
  <c r="G61" i="2635"/>
  <c r="F61" i="2635"/>
  <c r="E61" i="2635"/>
  <c r="D61" i="2635"/>
  <c r="C61" i="2635"/>
  <c r="B61" i="2635"/>
  <c r="DZ60" i="2635"/>
  <c r="DY60" i="2635"/>
  <c r="DX60" i="2635"/>
  <c r="DW60" i="2635"/>
  <c r="DV60" i="2635"/>
  <c r="DU60" i="2635"/>
  <c r="DT60" i="2635"/>
  <c r="DS60" i="2635"/>
  <c r="DR60" i="2635"/>
  <c r="DQ60" i="2635"/>
  <c r="DP60" i="2635"/>
  <c r="DO60" i="2635"/>
  <c r="DM60" i="2635"/>
  <c r="DL60" i="2635"/>
  <c r="DK60" i="2635"/>
  <c r="DJ60" i="2635"/>
  <c r="DI60" i="2635"/>
  <c r="DH60" i="2635"/>
  <c r="DG60" i="2635"/>
  <c r="DF60" i="2635"/>
  <c r="DE60" i="2635"/>
  <c r="DD60" i="2635"/>
  <c r="DC60" i="2635"/>
  <c r="DB60" i="2635"/>
  <c r="CZ60" i="2635"/>
  <c r="CY60" i="2635"/>
  <c r="CX60" i="2635"/>
  <c r="CW60" i="2635"/>
  <c r="CV60" i="2635"/>
  <c r="CU60" i="2635"/>
  <c r="CT60" i="2635"/>
  <c r="CS60" i="2635"/>
  <c r="CR60" i="2635"/>
  <c r="CQ60" i="2635"/>
  <c r="CP60" i="2635"/>
  <c r="CO60" i="2635"/>
  <c r="CM60" i="2635"/>
  <c r="CL60" i="2635"/>
  <c r="CK60" i="2635"/>
  <c r="CJ60" i="2635"/>
  <c r="CI60" i="2635"/>
  <c r="CH60" i="2635"/>
  <c r="CG60" i="2635"/>
  <c r="CF60" i="2635"/>
  <c r="CE60" i="2635"/>
  <c r="CD60" i="2635"/>
  <c r="CC60" i="2635"/>
  <c r="CB60" i="2635"/>
  <c r="BZ60" i="2635"/>
  <c r="BY60" i="2635"/>
  <c r="BX60" i="2635"/>
  <c r="BW60" i="2635"/>
  <c r="BV60" i="2635"/>
  <c r="BU60" i="2635"/>
  <c r="BT60" i="2635"/>
  <c r="BS60" i="2635"/>
  <c r="BR60" i="2635"/>
  <c r="BQ60" i="2635"/>
  <c r="BP60" i="2635"/>
  <c r="BO60" i="2635"/>
  <c r="BM60" i="2635"/>
  <c r="BL60" i="2635"/>
  <c r="BK60" i="2635"/>
  <c r="BJ60" i="2635"/>
  <c r="BI60" i="2635"/>
  <c r="BH60" i="2635"/>
  <c r="BG60" i="2635"/>
  <c r="BF60" i="2635"/>
  <c r="BE60" i="2635"/>
  <c r="BD60" i="2635"/>
  <c r="BC60" i="2635"/>
  <c r="BB60" i="2635"/>
  <c r="AZ60" i="2635"/>
  <c r="AY60" i="2635"/>
  <c r="AX60" i="2635"/>
  <c r="AW60" i="2635"/>
  <c r="AV60" i="2635"/>
  <c r="AU60" i="2635"/>
  <c r="AT60" i="2635"/>
  <c r="AS60" i="2635"/>
  <c r="AR60" i="2635"/>
  <c r="AQ60" i="2635"/>
  <c r="AP60" i="2635"/>
  <c r="AO60" i="2635"/>
  <c r="AM60" i="2635"/>
  <c r="AL60" i="2635"/>
  <c r="AK60" i="2635"/>
  <c r="AJ60" i="2635"/>
  <c r="AI60" i="2635"/>
  <c r="AH60" i="2635"/>
  <c r="AG60" i="2635"/>
  <c r="AF60" i="2635"/>
  <c r="AE60" i="2635"/>
  <c r="AD60" i="2635"/>
  <c r="AC60" i="2635"/>
  <c r="AB60" i="2635"/>
  <c r="Z60" i="2635"/>
  <c r="Y60" i="2635"/>
  <c r="X60" i="2635"/>
  <c r="W60" i="2635"/>
  <c r="V60" i="2635"/>
  <c r="U60" i="2635"/>
  <c r="T60" i="2635"/>
  <c r="S60" i="2635"/>
  <c r="R60" i="2635"/>
  <c r="Q60" i="2635"/>
  <c r="P60" i="2635"/>
  <c r="O60" i="2635"/>
  <c r="M60" i="2635"/>
  <c r="L60" i="2635"/>
  <c r="K60" i="2635"/>
  <c r="J60" i="2635"/>
  <c r="I60" i="2635"/>
  <c r="H60" i="2635"/>
  <c r="G60" i="2635"/>
  <c r="F60" i="2635"/>
  <c r="E60" i="2635"/>
  <c r="D60" i="2635"/>
  <c r="C60" i="2635"/>
  <c r="B60" i="2635"/>
  <c r="DZ59" i="2635"/>
  <c r="DY59" i="2635"/>
  <c r="DX59" i="2635"/>
  <c r="DW59" i="2635"/>
  <c r="DV59" i="2635"/>
  <c r="DU59" i="2635"/>
  <c r="DT59" i="2635"/>
  <c r="DS59" i="2635"/>
  <c r="DR59" i="2635"/>
  <c r="DQ59" i="2635"/>
  <c r="DP59" i="2635"/>
  <c r="DO59" i="2635"/>
  <c r="DM59" i="2635"/>
  <c r="DL59" i="2635"/>
  <c r="DK59" i="2635"/>
  <c r="DJ59" i="2635"/>
  <c r="DI59" i="2635"/>
  <c r="DH59" i="2635"/>
  <c r="DG59" i="2635"/>
  <c r="DF59" i="2635"/>
  <c r="DE59" i="2635"/>
  <c r="DD59" i="2635"/>
  <c r="DC59" i="2635"/>
  <c r="DB59" i="2635"/>
  <c r="CZ59" i="2635"/>
  <c r="CY59" i="2635"/>
  <c r="CX59" i="2635"/>
  <c r="CW59" i="2635"/>
  <c r="CV59" i="2635"/>
  <c r="CU59" i="2635"/>
  <c r="CT59" i="2635"/>
  <c r="CS59" i="2635"/>
  <c r="CR59" i="2635"/>
  <c r="CQ59" i="2635"/>
  <c r="CP59" i="2635"/>
  <c r="CO59" i="2635"/>
  <c r="CM59" i="2635"/>
  <c r="CL59" i="2635"/>
  <c r="CK59" i="2635"/>
  <c r="CJ59" i="2635"/>
  <c r="CI59" i="2635"/>
  <c r="CH59" i="2635"/>
  <c r="CG59" i="2635"/>
  <c r="CF59" i="2635"/>
  <c r="CE59" i="2635"/>
  <c r="CD59" i="2635"/>
  <c r="CC59" i="2635"/>
  <c r="CB59" i="2635"/>
  <c r="BZ59" i="2635"/>
  <c r="BY59" i="2635"/>
  <c r="BX59" i="2635"/>
  <c r="BW59" i="2635"/>
  <c r="BV59" i="2635"/>
  <c r="BU59" i="2635"/>
  <c r="BT59" i="2635"/>
  <c r="BS59" i="2635"/>
  <c r="BR59" i="2635"/>
  <c r="BQ59" i="2635"/>
  <c r="BP59" i="2635"/>
  <c r="BO59" i="2635"/>
  <c r="BM59" i="2635"/>
  <c r="BL59" i="2635"/>
  <c r="BK59" i="2635"/>
  <c r="BJ59" i="2635"/>
  <c r="BI59" i="2635"/>
  <c r="BH59" i="2635"/>
  <c r="BG59" i="2635"/>
  <c r="BF59" i="2635"/>
  <c r="BE59" i="2635"/>
  <c r="BD59" i="2635"/>
  <c r="BC59" i="2635"/>
  <c r="BB59" i="2635"/>
  <c r="AZ59" i="2635"/>
  <c r="AY59" i="2635"/>
  <c r="AX59" i="2635"/>
  <c r="AW59" i="2635"/>
  <c r="AV59" i="2635"/>
  <c r="AU59" i="2635"/>
  <c r="AT59" i="2635"/>
  <c r="AS59" i="2635"/>
  <c r="AR59" i="2635"/>
  <c r="AQ59" i="2635"/>
  <c r="AP59" i="2635"/>
  <c r="AO59" i="2635"/>
  <c r="AM59" i="2635"/>
  <c r="AL59" i="2635"/>
  <c r="AK59" i="2635"/>
  <c r="AJ59" i="2635"/>
  <c r="AI59" i="2635"/>
  <c r="AH59" i="2635"/>
  <c r="AG59" i="2635"/>
  <c r="AF59" i="2635"/>
  <c r="AE59" i="2635"/>
  <c r="AD59" i="2635"/>
  <c r="AC59" i="2635"/>
  <c r="AB59" i="2635"/>
  <c r="Z59" i="2635"/>
  <c r="Y59" i="2635"/>
  <c r="X59" i="2635"/>
  <c r="W59" i="2635"/>
  <c r="V59" i="2635"/>
  <c r="U59" i="2635"/>
  <c r="T59" i="2635"/>
  <c r="S59" i="2635"/>
  <c r="R59" i="2635"/>
  <c r="Q59" i="2635"/>
  <c r="P59" i="2635"/>
  <c r="O59" i="2635"/>
  <c r="M59" i="2635"/>
  <c r="L59" i="2635"/>
  <c r="K59" i="2635"/>
  <c r="J59" i="2635"/>
  <c r="I59" i="2635"/>
  <c r="H59" i="2635"/>
  <c r="G59" i="2635"/>
  <c r="F59" i="2635"/>
  <c r="E59" i="2635"/>
  <c r="D59" i="2635"/>
  <c r="C59" i="2635"/>
  <c r="B59" i="2635"/>
  <c r="DZ58" i="2635"/>
  <c r="DY58" i="2635"/>
  <c r="DX58" i="2635"/>
  <c r="DW58" i="2635"/>
  <c r="DV58" i="2635"/>
  <c r="DU58" i="2635"/>
  <c r="DT58" i="2635"/>
  <c r="DS58" i="2635"/>
  <c r="DR58" i="2635"/>
  <c r="DQ58" i="2635"/>
  <c r="DP58" i="2635"/>
  <c r="DO58" i="2635"/>
  <c r="DM58" i="2635"/>
  <c r="DL58" i="2635"/>
  <c r="DK58" i="2635"/>
  <c r="DJ58" i="2635"/>
  <c r="DI58" i="2635"/>
  <c r="DH58" i="2635"/>
  <c r="DG58" i="2635"/>
  <c r="DF58" i="2635"/>
  <c r="DE58" i="2635"/>
  <c r="DD58" i="2635"/>
  <c r="DC58" i="2635"/>
  <c r="DB58" i="2635"/>
  <c r="CZ58" i="2635"/>
  <c r="CY58" i="2635"/>
  <c r="CX58" i="2635"/>
  <c r="CW58" i="2635"/>
  <c r="CV58" i="2635"/>
  <c r="CU58" i="2635"/>
  <c r="CT58" i="2635"/>
  <c r="CS58" i="2635"/>
  <c r="CR58" i="2635"/>
  <c r="CQ58" i="2635"/>
  <c r="CP58" i="2635"/>
  <c r="CO58" i="2635"/>
  <c r="CM58" i="2635"/>
  <c r="CL58" i="2635"/>
  <c r="CK58" i="2635"/>
  <c r="CJ58" i="2635"/>
  <c r="CI58" i="2635"/>
  <c r="CH58" i="2635"/>
  <c r="CG58" i="2635"/>
  <c r="CF58" i="2635"/>
  <c r="CE58" i="2635"/>
  <c r="CD58" i="2635"/>
  <c r="CC58" i="2635"/>
  <c r="CB58" i="2635"/>
  <c r="BZ58" i="2635"/>
  <c r="BY58" i="2635"/>
  <c r="BX58" i="2635"/>
  <c r="BW58" i="2635"/>
  <c r="BV58" i="2635"/>
  <c r="BU58" i="2635"/>
  <c r="BT58" i="2635"/>
  <c r="BS58" i="2635"/>
  <c r="BR58" i="2635"/>
  <c r="BQ58" i="2635"/>
  <c r="BP58" i="2635"/>
  <c r="BO58" i="2635"/>
  <c r="BM58" i="2635"/>
  <c r="BL58" i="2635"/>
  <c r="BK58" i="2635"/>
  <c r="BJ58" i="2635"/>
  <c r="BI58" i="2635"/>
  <c r="BH58" i="2635"/>
  <c r="BG58" i="2635"/>
  <c r="BF58" i="2635"/>
  <c r="BE58" i="2635"/>
  <c r="BD58" i="2635"/>
  <c r="BC58" i="2635"/>
  <c r="BB58" i="2635"/>
  <c r="AZ58" i="2635"/>
  <c r="AY58" i="2635"/>
  <c r="AX58" i="2635"/>
  <c r="AW58" i="2635"/>
  <c r="AV58" i="2635"/>
  <c r="AU58" i="2635"/>
  <c r="AT58" i="2635"/>
  <c r="AS58" i="2635"/>
  <c r="AR58" i="2635"/>
  <c r="AQ58" i="2635"/>
  <c r="AP58" i="2635"/>
  <c r="AO58" i="2635"/>
  <c r="AM58" i="2635"/>
  <c r="AL58" i="2635"/>
  <c r="AK58" i="2635"/>
  <c r="AJ58" i="2635"/>
  <c r="AI58" i="2635"/>
  <c r="AH58" i="2635"/>
  <c r="AG58" i="2635"/>
  <c r="AF58" i="2635"/>
  <c r="AE58" i="2635"/>
  <c r="AD58" i="2635"/>
  <c r="AC58" i="2635"/>
  <c r="AB58" i="2635"/>
  <c r="Z58" i="2635"/>
  <c r="Y58" i="2635"/>
  <c r="X58" i="2635"/>
  <c r="W58" i="2635"/>
  <c r="V58" i="2635"/>
  <c r="U58" i="2635"/>
  <c r="T58" i="2635"/>
  <c r="S58" i="2635"/>
  <c r="R58" i="2635"/>
  <c r="Q58" i="2635"/>
  <c r="P58" i="2635"/>
  <c r="O58" i="2635"/>
  <c r="M58" i="2635"/>
  <c r="L58" i="2635"/>
  <c r="K58" i="2635"/>
  <c r="J58" i="2635"/>
  <c r="I58" i="2635"/>
  <c r="H58" i="2635"/>
  <c r="G58" i="2635"/>
  <c r="F58" i="2635"/>
  <c r="E58" i="2635"/>
  <c r="D58" i="2635"/>
  <c r="C58" i="2635"/>
  <c r="B58" i="2635"/>
  <c r="CI56" i="2635"/>
  <c r="DZ55" i="2635"/>
  <c r="DY55" i="2635"/>
  <c r="DX55" i="2635"/>
  <c r="DW55" i="2635"/>
  <c r="DV55" i="2635"/>
  <c r="DU55" i="2635"/>
  <c r="DT55" i="2635"/>
  <c r="DS55" i="2635"/>
  <c r="DR55" i="2635"/>
  <c r="DQ55" i="2635"/>
  <c r="DP55" i="2635"/>
  <c r="DO55" i="2635"/>
  <c r="DM55" i="2635"/>
  <c r="DL55" i="2635"/>
  <c r="DK55" i="2635"/>
  <c r="DJ55" i="2635"/>
  <c r="DI55" i="2635"/>
  <c r="DH55" i="2635"/>
  <c r="DG55" i="2635"/>
  <c r="DF55" i="2635"/>
  <c r="DE55" i="2635"/>
  <c r="DD55" i="2635"/>
  <c r="DC55" i="2635"/>
  <c r="DB55" i="2635"/>
  <c r="CZ55" i="2635"/>
  <c r="CY55" i="2635"/>
  <c r="CX55" i="2635"/>
  <c r="CW55" i="2635"/>
  <c r="CV55" i="2635"/>
  <c r="CU55" i="2635"/>
  <c r="CT55" i="2635"/>
  <c r="CS55" i="2635"/>
  <c r="CR55" i="2635"/>
  <c r="CQ55" i="2635"/>
  <c r="CP55" i="2635"/>
  <c r="CO55" i="2635"/>
  <c r="CM55" i="2635"/>
  <c r="CL55" i="2635"/>
  <c r="CK55" i="2635"/>
  <c r="CJ55" i="2635"/>
  <c r="CI55" i="2635"/>
  <c r="CH55" i="2635"/>
  <c r="CG55" i="2635"/>
  <c r="CF55" i="2635"/>
  <c r="CE55" i="2635"/>
  <c r="CD55" i="2635"/>
  <c r="CC55" i="2635"/>
  <c r="CB55" i="2635"/>
  <c r="BZ55" i="2635"/>
  <c r="BY55" i="2635"/>
  <c r="BX55" i="2635"/>
  <c r="BW55" i="2635"/>
  <c r="BV55" i="2635"/>
  <c r="BU55" i="2635"/>
  <c r="BT55" i="2635"/>
  <c r="BS55" i="2635"/>
  <c r="BR55" i="2635"/>
  <c r="BQ55" i="2635"/>
  <c r="BP55" i="2635"/>
  <c r="BO55" i="2635"/>
  <c r="BM55" i="2635"/>
  <c r="BL55" i="2635"/>
  <c r="BK55" i="2635"/>
  <c r="BJ55" i="2635"/>
  <c r="BI55" i="2635"/>
  <c r="BH55" i="2635"/>
  <c r="BG55" i="2635"/>
  <c r="BF55" i="2635"/>
  <c r="BE55" i="2635"/>
  <c r="BD55" i="2635"/>
  <c r="BC55" i="2635"/>
  <c r="BB55" i="2635"/>
  <c r="AZ55" i="2635"/>
  <c r="AY55" i="2635"/>
  <c r="AX55" i="2635"/>
  <c r="AW55" i="2635"/>
  <c r="AV55" i="2635"/>
  <c r="AU55" i="2635"/>
  <c r="AT55" i="2635"/>
  <c r="AS55" i="2635"/>
  <c r="AR55" i="2635"/>
  <c r="AQ55" i="2635"/>
  <c r="AP55" i="2635"/>
  <c r="AO55" i="2635"/>
  <c r="AM55" i="2635"/>
  <c r="AL55" i="2635"/>
  <c r="AK55" i="2635"/>
  <c r="AJ55" i="2635"/>
  <c r="AI55" i="2635"/>
  <c r="AH55" i="2635"/>
  <c r="AG55" i="2635"/>
  <c r="AF55" i="2635"/>
  <c r="AE55" i="2635"/>
  <c r="AD55" i="2635"/>
  <c r="AC55" i="2635"/>
  <c r="AB55" i="2635"/>
  <c r="Z55" i="2635"/>
  <c r="Y55" i="2635"/>
  <c r="X55" i="2635"/>
  <c r="W55" i="2635"/>
  <c r="V55" i="2635"/>
  <c r="U55" i="2635"/>
  <c r="T55" i="2635"/>
  <c r="S55" i="2635"/>
  <c r="R55" i="2635"/>
  <c r="Q55" i="2635"/>
  <c r="P55" i="2635"/>
  <c r="O55" i="2635"/>
  <c r="L55" i="2635"/>
  <c r="K55" i="2635"/>
  <c r="J55" i="2635"/>
  <c r="I55" i="2635"/>
  <c r="H55" i="2635"/>
  <c r="G55" i="2635"/>
  <c r="F55" i="2635"/>
  <c r="E55" i="2635"/>
  <c r="D55" i="2635"/>
  <c r="C55" i="2635"/>
  <c r="B55" i="2635"/>
  <c r="DZ54" i="2635"/>
  <c r="DY54" i="2635"/>
  <c r="DX54" i="2635"/>
  <c r="DW54" i="2635"/>
  <c r="DV54" i="2635"/>
  <c r="DU54" i="2635"/>
  <c r="DT54" i="2635"/>
  <c r="DS54" i="2635"/>
  <c r="DR54" i="2635"/>
  <c r="DQ54" i="2635"/>
  <c r="DP54" i="2635"/>
  <c r="DO54" i="2635"/>
  <c r="DM54" i="2635"/>
  <c r="DL54" i="2635"/>
  <c r="DK54" i="2635"/>
  <c r="DJ54" i="2635"/>
  <c r="DI54" i="2635"/>
  <c r="DH54" i="2635"/>
  <c r="DG54" i="2635"/>
  <c r="DF54" i="2635"/>
  <c r="DE54" i="2635"/>
  <c r="DD54" i="2635"/>
  <c r="DC54" i="2635"/>
  <c r="DB54" i="2635"/>
  <c r="CZ54" i="2635"/>
  <c r="CY54" i="2635"/>
  <c r="CX54" i="2635"/>
  <c r="CW54" i="2635"/>
  <c r="CV54" i="2635"/>
  <c r="CU54" i="2635"/>
  <c r="CT54" i="2635"/>
  <c r="CS54" i="2635"/>
  <c r="CR54" i="2635"/>
  <c r="CQ54" i="2635"/>
  <c r="CP54" i="2635"/>
  <c r="CO54" i="2635"/>
  <c r="CM54" i="2635"/>
  <c r="CL54" i="2635"/>
  <c r="CK54" i="2635"/>
  <c r="CJ54" i="2635"/>
  <c r="CI54" i="2635"/>
  <c r="CH54" i="2635"/>
  <c r="CG54" i="2635"/>
  <c r="CF54" i="2635"/>
  <c r="CE54" i="2635"/>
  <c r="CD54" i="2635"/>
  <c r="CC54" i="2635"/>
  <c r="CB54" i="2635"/>
  <c r="BZ54" i="2635"/>
  <c r="BY54" i="2635"/>
  <c r="BX54" i="2635"/>
  <c r="BW54" i="2635"/>
  <c r="BV54" i="2635"/>
  <c r="BU54" i="2635"/>
  <c r="BT54" i="2635"/>
  <c r="BS54" i="2635"/>
  <c r="BR54" i="2635"/>
  <c r="BQ54" i="2635"/>
  <c r="BP54" i="2635"/>
  <c r="BO54" i="2635"/>
  <c r="BM54" i="2635"/>
  <c r="BL54" i="2635"/>
  <c r="BK54" i="2635"/>
  <c r="BJ54" i="2635"/>
  <c r="BI54" i="2635"/>
  <c r="BH54" i="2635"/>
  <c r="BG54" i="2635"/>
  <c r="BF54" i="2635"/>
  <c r="BE54" i="2635"/>
  <c r="BD54" i="2635"/>
  <c r="BC54" i="2635"/>
  <c r="BB54" i="2635"/>
  <c r="AZ54" i="2635"/>
  <c r="AY54" i="2635"/>
  <c r="AX54" i="2635"/>
  <c r="AW54" i="2635"/>
  <c r="AV54" i="2635"/>
  <c r="AU54" i="2635"/>
  <c r="AT54" i="2635"/>
  <c r="AS54" i="2635"/>
  <c r="AR54" i="2635"/>
  <c r="AQ54" i="2635"/>
  <c r="AP54" i="2635"/>
  <c r="AO54" i="2635"/>
  <c r="AM54" i="2635"/>
  <c r="AL54" i="2635"/>
  <c r="AK54" i="2635"/>
  <c r="AJ54" i="2635"/>
  <c r="AI54" i="2635"/>
  <c r="AH54" i="2635"/>
  <c r="AG54" i="2635"/>
  <c r="AF54" i="2635"/>
  <c r="AE54" i="2635"/>
  <c r="AD54" i="2635"/>
  <c r="AC54" i="2635"/>
  <c r="AB54" i="2635"/>
  <c r="Z54" i="2635"/>
  <c r="Y54" i="2635"/>
  <c r="X54" i="2635"/>
  <c r="W54" i="2635"/>
  <c r="V54" i="2635"/>
  <c r="U54" i="2635"/>
  <c r="T54" i="2635"/>
  <c r="S54" i="2635"/>
  <c r="R54" i="2635"/>
  <c r="Q54" i="2635"/>
  <c r="P54" i="2635"/>
  <c r="O54" i="2635"/>
  <c r="L54" i="2635"/>
  <c r="K54" i="2635"/>
  <c r="J54" i="2635"/>
  <c r="I54" i="2635"/>
  <c r="H54" i="2635"/>
  <c r="G54" i="2635"/>
  <c r="F54" i="2635"/>
  <c r="E54" i="2635"/>
  <c r="D54" i="2635"/>
  <c r="C54" i="2635"/>
  <c r="B54" i="2635"/>
  <c r="M53" i="2635"/>
  <c r="DZ52" i="2635"/>
  <c r="DY52" i="2635"/>
  <c r="DX52" i="2635"/>
  <c r="DW52" i="2635"/>
  <c r="DV52" i="2635"/>
  <c r="DU52" i="2635"/>
  <c r="DT52" i="2635"/>
  <c r="DS52" i="2635"/>
  <c r="DR52" i="2635"/>
  <c r="DQ52" i="2635"/>
  <c r="DP52" i="2635"/>
  <c r="DO52" i="2635"/>
  <c r="DM52" i="2635"/>
  <c r="DL52" i="2635"/>
  <c r="DK52" i="2635"/>
  <c r="DJ52" i="2635"/>
  <c r="DI52" i="2635"/>
  <c r="DH52" i="2635"/>
  <c r="DG52" i="2635"/>
  <c r="DF52" i="2635"/>
  <c r="DE52" i="2635"/>
  <c r="DD52" i="2635"/>
  <c r="DC52" i="2635"/>
  <c r="DB52" i="2635"/>
  <c r="CZ52" i="2635"/>
  <c r="CY52" i="2635"/>
  <c r="CX52" i="2635"/>
  <c r="CW52" i="2635"/>
  <c r="CV52" i="2635"/>
  <c r="CU52" i="2635"/>
  <c r="CT52" i="2635"/>
  <c r="CS52" i="2635"/>
  <c r="CR52" i="2635"/>
  <c r="CQ52" i="2635"/>
  <c r="CP52" i="2635"/>
  <c r="CO52" i="2635"/>
  <c r="CM52" i="2635"/>
  <c r="CL52" i="2635"/>
  <c r="CK52" i="2635"/>
  <c r="CJ52" i="2635"/>
  <c r="CI52" i="2635"/>
  <c r="CH52" i="2635"/>
  <c r="CG52" i="2635"/>
  <c r="CF52" i="2635"/>
  <c r="CE52" i="2635"/>
  <c r="CD52" i="2635"/>
  <c r="CC52" i="2635"/>
  <c r="CB52" i="2635"/>
  <c r="BZ52" i="2635"/>
  <c r="BY52" i="2635"/>
  <c r="BX52" i="2635"/>
  <c r="BW52" i="2635"/>
  <c r="BV52" i="2635"/>
  <c r="BU52" i="2635"/>
  <c r="BT52" i="2635"/>
  <c r="BS52" i="2635"/>
  <c r="BR52" i="2635"/>
  <c r="BQ52" i="2635"/>
  <c r="BP52" i="2635"/>
  <c r="BO52" i="2635"/>
  <c r="BM52" i="2635"/>
  <c r="BL52" i="2635"/>
  <c r="BK52" i="2635"/>
  <c r="BJ52" i="2635"/>
  <c r="BI52" i="2635"/>
  <c r="BH52" i="2635"/>
  <c r="BG52" i="2635"/>
  <c r="BF52" i="2635"/>
  <c r="BE52" i="2635"/>
  <c r="BD52" i="2635"/>
  <c r="BC52" i="2635"/>
  <c r="BB52" i="2635"/>
  <c r="AZ52" i="2635"/>
  <c r="AY52" i="2635"/>
  <c r="AX52" i="2635"/>
  <c r="AW52" i="2635"/>
  <c r="AV52" i="2635"/>
  <c r="AU52" i="2635"/>
  <c r="AT52" i="2635"/>
  <c r="AS52" i="2635"/>
  <c r="AR52" i="2635"/>
  <c r="AQ52" i="2635"/>
  <c r="AP52" i="2635"/>
  <c r="AO52" i="2635"/>
  <c r="AM52" i="2635"/>
  <c r="AL52" i="2635"/>
  <c r="AK52" i="2635"/>
  <c r="AJ52" i="2635"/>
  <c r="AI52" i="2635"/>
  <c r="AH52" i="2635"/>
  <c r="AG52" i="2635"/>
  <c r="AF52" i="2635"/>
  <c r="AE52" i="2635"/>
  <c r="AD52" i="2635"/>
  <c r="AC52" i="2635"/>
  <c r="AB52" i="2635"/>
  <c r="Z52" i="2635"/>
  <c r="Y52" i="2635"/>
  <c r="X52" i="2635"/>
  <c r="W52" i="2635"/>
  <c r="V52" i="2635"/>
  <c r="U52" i="2635"/>
  <c r="T52" i="2635"/>
  <c r="S52" i="2635"/>
  <c r="R52" i="2635"/>
  <c r="Q52" i="2635"/>
  <c r="P52" i="2635"/>
  <c r="O52" i="2635"/>
  <c r="M52" i="2635"/>
  <c r="L52" i="2635"/>
  <c r="K52" i="2635"/>
  <c r="J52" i="2635"/>
  <c r="I52" i="2635"/>
  <c r="H52" i="2635"/>
  <c r="G52" i="2635"/>
  <c r="F52" i="2635"/>
  <c r="E52" i="2635"/>
  <c r="D52" i="2635"/>
  <c r="C52" i="2635"/>
  <c r="B52" i="2635"/>
  <c r="DZ51" i="2635"/>
  <c r="DY51" i="2635"/>
  <c r="DX51" i="2635"/>
  <c r="DW51" i="2635"/>
  <c r="DV51" i="2635"/>
  <c r="DU51" i="2635"/>
  <c r="DT51" i="2635"/>
  <c r="DS51" i="2635"/>
  <c r="DR51" i="2635"/>
  <c r="DQ51" i="2635"/>
  <c r="DP51" i="2635"/>
  <c r="DO51" i="2635"/>
  <c r="DM51" i="2635"/>
  <c r="DL51" i="2635"/>
  <c r="DK51" i="2635"/>
  <c r="DJ51" i="2635"/>
  <c r="DI51" i="2635"/>
  <c r="DH51" i="2635"/>
  <c r="DG51" i="2635"/>
  <c r="DF51" i="2635"/>
  <c r="DE51" i="2635"/>
  <c r="DD51" i="2635"/>
  <c r="DC51" i="2635"/>
  <c r="DB51" i="2635"/>
  <c r="CZ51" i="2635"/>
  <c r="CY51" i="2635"/>
  <c r="CX51" i="2635"/>
  <c r="CW51" i="2635"/>
  <c r="CV51" i="2635"/>
  <c r="CU51" i="2635"/>
  <c r="CT51" i="2635"/>
  <c r="CS51" i="2635"/>
  <c r="CR51" i="2635"/>
  <c r="CQ51" i="2635"/>
  <c r="CP51" i="2635"/>
  <c r="CO51" i="2635"/>
  <c r="CM51" i="2635"/>
  <c r="CL51" i="2635"/>
  <c r="CK51" i="2635"/>
  <c r="CJ51" i="2635"/>
  <c r="CI51" i="2635"/>
  <c r="CH51" i="2635"/>
  <c r="CG51" i="2635"/>
  <c r="CF51" i="2635"/>
  <c r="CE51" i="2635"/>
  <c r="CD51" i="2635"/>
  <c r="CC51" i="2635"/>
  <c r="CB51" i="2635"/>
  <c r="BZ51" i="2635"/>
  <c r="BY51" i="2635"/>
  <c r="BX51" i="2635"/>
  <c r="BW51" i="2635"/>
  <c r="BV51" i="2635"/>
  <c r="BU51" i="2635"/>
  <c r="BT51" i="2635"/>
  <c r="BS51" i="2635"/>
  <c r="BR51" i="2635"/>
  <c r="BQ51" i="2635"/>
  <c r="BP51" i="2635"/>
  <c r="BO51" i="2635"/>
  <c r="BM51" i="2635"/>
  <c r="BL51" i="2635"/>
  <c r="BK51" i="2635"/>
  <c r="BJ51" i="2635"/>
  <c r="BI51" i="2635"/>
  <c r="BH51" i="2635"/>
  <c r="BG51" i="2635"/>
  <c r="BF51" i="2635"/>
  <c r="BE51" i="2635"/>
  <c r="BD51" i="2635"/>
  <c r="BC51" i="2635"/>
  <c r="BB51" i="2635"/>
  <c r="AZ51" i="2635"/>
  <c r="AY51" i="2635"/>
  <c r="AX51" i="2635"/>
  <c r="AW51" i="2635"/>
  <c r="AV51" i="2635"/>
  <c r="AU51" i="2635"/>
  <c r="AT51" i="2635"/>
  <c r="AS51" i="2635"/>
  <c r="AR51" i="2635"/>
  <c r="AQ51" i="2635"/>
  <c r="AP51" i="2635"/>
  <c r="AO51" i="2635"/>
  <c r="AM51" i="2635"/>
  <c r="AL51" i="2635"/>
  <c r="AK51" i="2635"/>
  <c r="AJ51" i="2635"/>
  <c r="AI51" i="2635"/>
  <c r="AH51" i="2635"/>
  <c r="AG51" i="2635"/>
  <c r="AF51" i="2635"/>
  <c r="AE51" i="2635"/>
  <c r="AD51" i="2635"/>
  <c r="AC51" i="2635"/>
  <c r="AB51" i="2635"/>
  <c r="Z51" i="2635"/>
  <c r="Y51" i="2635"/>
  <c r="X51" i="2635"/>
  <c r="W51" i="2635"/>
  <c r="V51" i="2635"/>
  <c r="U51" i="2635"/>
  <c r="T51" i="2635"/>
  <c r="S51" i="2635"/>
  <c r="R51" i="2635"/>
  <c r="Q51" i="2635"/>
  <c r="P51" i="2635"/>
  <c r="O51" i="2635"/>
  <c r="M51" i="2635"/>
  <c r="L51" i="2635"/>
  <c r="K51" i="2635"/>
  <c r="J51" i="2635"/>
  <c r="I51" i="2635"/>
  <c r="H51" i="2635"/>
  <c r="G51" i="2635"/>
  <c r="F51" i="2635"/>
  <c r="E51" i="2635"/>
  <c r="D51" i="2635"/>
  <c r="C51" i="2635"/>
  <c r="B51" i="2635"/>
  <c r="DZ50" i="2635"/>
  <c r="DY50" i="2635"/>
  <c r="DX50" i="2635"/>
  <c r="DW50" i="2635"/>
  <c r="DV50" i="2635"/>
  <c r="DU50" i="2635"/>
  <c r="DT50" i="2635"/>
  <c r="DS50" i="2635"/>
  <c r="DR50" i="2635"/>
  <c r="DQ50" i="2635"/>
  <c r="DP50" i="2635"/>
  <c r="DO50" i="2635"/>
  <c r="DM50" i="2635"/>
  <c r="DL50" i="2635"/>
  <c r="DK50" i="2635"/>
  <c r="DJ50" i="2635"/>
  <c r="DI50" i="2635"/>
  <c r="DH50" i="2635"/>
  <c r="DG50" i="2635"/>
  <c r="DF50" i="2635"/>
  <c r="DE50" i="2635"/>
  <c r="DD50" i="2635"/>
  <c r="DC50" i="2635"/>
  <c r="DB50" i="2635"/>
  <c r="CZ50" i="2635"/>
  <c r="CY50" i="2635"/>
  <c r="CX50" i="2635"/>
  <c r="CW50" i="2635"/>
  <c r="CV50" i="2635"/>
  <c r="CU50" i="2635"/>
  <c r="CT50" i="2635"/>
  <c r="CS50" i="2635"/>
  <c r="CR50" i="2635"/>
  <c r="CQ50" i="2635"/>
  <c r="CP50" i="2635"/>
  <c r="CO50" i="2635"/>
  <c r="CM50" i="2635"/>
  <c r="CL50" i="2635"/>
  <c r="CK50" i="2635"/>
  <c r="CJ50" i="2635"/>
  <c r="CI50" i="2635"/>
  <c r="CH50" i="2635"/>
  <c r="CG50" i="2635"/>
  <c r="CF50" i="2635"/>
  <c r="CE50" i="2635"/>
  <c r="CD50" i="2635"/>
  <c r="CC50" i="2635"/>
  <c r="CB50" i="2635"/>
  <c r="BZ50" i="2635"/>
  <c r="BY50" i="2635"/>
  <c r="BX50" i="2635"/>
  <c r="BW50" i="2635"/>
  <c r="BV50" i="2635"/>
  <c r="BU50" i="2635"/>
  <c r="BT50" i="2635"/>
  <c r="BS50" i="2635"/>
  <c r="BR50" i="2635"/>
  <c r="BQ50" i="2635"/>
  <c r="BP50" i="2635"/>
  <c r="BO50" i="2635"/>
  <c r="BM50" i="2635"/>
  <c r="BL50" i="2635"/>
  <c r="BK50" i="2635"/>
  <c r="BJ50" i="2635"/>
  <c r="BI50" i="2635"/>
  <c r="BH50" i="2635"/>
  <c r="BG50" i="2635"/>
  <c r="BF50" i="2635"/>
  <c r="BE50" i="2635"/>
  <c r="BD50" i="2635"/>
  <c r="BC50" i="2635"/>
  <c r="BB50" i="2635"/>
  <c r="AZ50" i="2635"/>
  <c r="AY50" i="2635"/>
  <c r="AX50" i="2635"/>
  <c r="AW50" i="2635"/>
  <c r="AV50" i="2635"/>
  <c r="AU50" i="2635"/>
  <c r="AT50" i="2635"/>
  <c r="AS50" i="2635"/>
  <c r="AR50" i="2635"/>
  <c r="AQ50" i="2635"/>
  <c r="AP50" i="2635"/>
  <c r="AO50" i="2635"/>
  <c r="AM50" i="2635"/>
  <c r="AL50" i="2635"/>
  <c r="AK50" i="2635"/>
  <c r="AJ50" i="2635"/>
  <c r="AI50" i="2635"/>
  <c r="AH50" i="2635"/>
  <c r="AG50" i="2635"/>
  <c r="AF50" i="2635"/>
  <c r="AE50" i="2635"/>
  <c r="AD50" i="2635"/>
  <c r="AC50" i="2635"/>
  <c r="AB50" i="2635"/>
  <c r="Z50" i="2635"/>
  <c r="Y50" i="2635"/>
  <c r="X50" i="2635"/>
  <c r="W50" i="2635"/>
  <c r="V50" i="2635"/>
  <c r="U50" i="2635"/>
  <c r="T50" i="2635"/>
  <c r="S50" i="2635"/>
  <c r="R50" i="2635"/>
  <c r="Q50" i="2635"/>
  <c r="P50" i="2635"/>
  <c r="O50" i="2635"/>
  <c r="M50" i="2635"/>
  <c r="L50" i="2635"/>
  <c r="K50" i="2635"/>
  <c r="J50" i="2635"/>
  <c r="I50" i="2635"/>
  <c r="H50" i="2635"/>
  <c r="G50" i="2635"/>
  <c r="F50" i="2635"/>
  <c r="E50" i="2635"/>
  <c r="D50" i="2635"/>
  <c r="C50" i="2635"/>
  <c r="B50" i="2635"/>
  <c r="DZ49" i="2635"/>
  <c r="DY49" i="2635"/>
  <c r="DX49" i="2635"/>
  <c r="DW49" i="2635"/>
  <c r="DV49" i="2635"/>
  <c r="DU49" i="2635"/>
  <c r="DT49" i="2635"/>
  <c r="DS49" i="2635"/>
  <c r="DR49" i="2635"/>
  <c r="DQ49" i="2635"/>
  <c r="DP49" i="2635"/>
  <c r="DO49" i="2635"/>
  <c r="DM49" i="2635"/>
  <c r="DL49" i="2635"/>
  <c r="DK49" i="2635"/>
  <c r="DJ49" i="2635"/>
  <c r="DI49" i="2635"/>
  <c r="DH49" i="2635"/>
  <c r="DG49" i="2635"/>
  <c r="DF49" i="2635"/>
  <c r="DE49" i="2635"/>
  <c r="DD49" i="2635"/>
  <c r="DC49" i="2635"/>
  <c r="DB49" i="2635"/>
  <c r="CZ49" i="2635"/>
  <c r="CY49" i="2635"/>
  <c r="CX49" i="2635"/>
  <c r="CW49" i="2635"/>
  <c r="CV49" i="2635"/>
  <c r="CU49" i="2635"/>
  <c r="CT49" i="2635"/>
  <c r="CS49" i="2635"/>
  <c r="CR49" i="2635"/>
  <c r="CQ49" i="2635"/>
  <c r="CP49" i="2635"/>
  <c r="CO49" i="2635"/>
  <c r="CM49" i="2635"/>
  <c r="CL49" i="2635"/>
  <c r="CK49" i="2635"/>
  <c r="CJ49" i="2635"/>
  <c r="CI49" i="2635"/>
  <c r="CH49" i="2635"/>
  <c r="CG49" i="2635"/>
  <c r="CF49" i="2635"/>
  <c r="CE49" i="2635"/>
  <c r="CD49" i="2635"/>
  <c r="CC49" i="2635"/>
  <c r="CB49" i="2635"/>
  <c r="BZ49" i="2635"/>
  <c r="BY49" i="2635"/>
  <c r="BX49" i="2635"/>
  <c r="BW49" i="2635"/>
  <c r="BV49" i="2635"/>
  <c r="BU49" i="2635"/>
  <c r="BT49" i="2635"/>
  <c r="BS49" i="2635"/>
  <c r="BR49" i="2635"/>
  <c r="BQ49" i="2635"/>
  <c r="BP49" i="2635"/>
  <c r="BO49" i="2635"/>
  <c r="BM49" i="2635"/>
  <c r="BL49" i="2635"/>
  <c r="BK49" i="2635"/>
  <c r="BJ49" i="2635"/>
  <c r="BI49" i="2635"/>
  <c r="BH49" i="2635"/>
  <c r="BG49" i="2635"/>
  <c r="BF49" i="2635"/>
  <c r="BE49" i="2635"/>
  <c r="BD49" i="2635"/>
  <c r="BC49" i="2635"/>
  <c r="BB49" i="2635"/>
  <c r="AZ49" i="2635"/>
  <c r="AY49" i="2635"/>
  <c r="AX49" i="2635"/>
  <c r="AW49" i="2635"/>
  <c r="AV49" i="2635"/>
  <c r="AU49" i="2635"/>
  <c r="AT49" i="2635"/>
  <c r="AS49" i="2635"/>
  <c r="AR49" i="2635"/>
  <c r="AQ49" i="2635"/>
  <c r="AP49" i="2635"/>
  <c r="AO49" i="2635"/>
  <c r="AM49" i="2635"/>
  <c r="AL49" i="2635"/>
  <c r="AK49" i="2635"/>
  <c r="AJ49" i="2635"/>
  <c r="AI49" i="2635"/>
  <c r="AH49" i="2635"/>
  <c r="AG49" i="2635"/>
  <c r="AF49" i="2635"/>
  <c r="AE49" i="2635"/>
  <c r="AD49" i="2635"/>
  <c r="AC49" i="2635"/>
  <c r="AB49" i="2635"/>
  <c r="Z49" i="2635"/>
  <c r="Y49" i="2635"/>
  <c r="X49" i="2635"/>
  <c r="W49" i="2635"/>
  <c r="V49" i="2635"/>
  <c r="U49" i="2635"/>
  <c r="T49" i="2635"/>
  <c r="S49" i="2635"/>
  <c r="R49" i="2635"/>
  <c r="Q49" i="2635"/>
  <c r="P49" i="2635"/>
  <c r="O49" i="2635"/>
  <c r="M49" i="2635"/>
  <c r="L49" i="2635"/>
  <c r="K49" i="2635"/>
  <c r="J49" i="2635"/>
  <c r="I49" i="2635"/>
  <c r="H49" i="2635"/>
  <c r="G49" i="2635"/>
  <c r="F49" i="2635"/>
  <c r="E49" i="2635"/>
  <c r="D49" i="2635"/>
  <c r="C49" i="2635"/>
  <c r="B49" i="2635"/>
  <c r="DZ47" i="2635"/>
  <c r="DY47" i="2635"/>
  <c r="DX47" i="2635"/>
  <c r="DW47" i="2635"/>
  <c r="DV47" i="2635"/>
  <c r="DU47" i="2635"/>
  <c r="DT47" i="2635"/>
  <c r="DS47" i="2635"/>
  <c r="DR47" i="2635"/>
  <c r="DQ47" i="2635"/>
  <c r="DP47" i="2635"/>
  <c r="DO47" i="2635"/>
  <c r="DM47" i="2635"/>
  <c r="DL47" i="2635"/>
  <c r="DK47" i="2635"/>
  <c r="DJ47" i="2635"/>
  <c r="DI47" i="2635"/>
  <c r="DH47" i="2635"/>
  <c r="DG47" i="2635"/>
  <c r="DF47" i="2635"/>
  <c r="DE47" i="2635"/>
  <c r="DD47" i="2635"/>
  <c r="DC47" i="2635"/>
  <c r="DB47" i="2635"/>
  <c r="CZ47" i="2635"/>
  <c r="CY47" i="2635"/>
  <c r="CX47" i="2635"/>
  <c r="CW47" i="2635"/>
  <c r="CV47" i="2635"/>
  <c r="CU47" i="2635"/>
  <c r="CT47" i="2635"/>
  <c r="CS47" i="2635"/>
  <c r="CR47" i="2635"/>
  <c r="CQ47" i="2635"/>
  <c r="CP47" i="2635"/>
  <c r="CO47" i="2635"/>
  <c r="CM47" i="2635"/>
  <c r="CL47" i="2635"/>
  <c r="CK47" i="2635"/>
  <c r="CJ47" i="2635"/>
  <c r="CI47" i="2635"/>
  <c r="CH47" i="2635"/>
  <c r="CG47" i="2635"/>
  <c r="CF47" i="2635"/>
  <c r="CE47" i="2635"/>
  <c r="CD47" i="2635"/>
  <c r="CC47" i="2635"/>
  <c r="CB47" i="2635"/>
  <c r="BZ47" i="2635"/>
  <c r="BY47" i="2635"/>
  <c r="BX47" i="2635"/>
  <c r="BW47" i="2635"/>
  <c r="BV47" i="2635"/>
  <c r="BU47" i="2635"/>
  <c r="BT47" i="2635"/>
  <c r="BS47" i="2635"/>
  <c r="BR47" i="2635"/>
  <c r="BQ47" i="2635"/>
  <c r="BP47" i="2635"/>
  <c r="BO47" i="2635"/>
  <c r="BM47" i="2635"/>
  <c r="BL47" i="2635"/>
  <c r="BK47" i="2635"/>
  <c r="BJ47" i="2635"/>
  <c r="BI47" i="2635"/>
  <c r="BH47" i="2635"/>
  <c r="BG47" i="2635"/>
  <c r="BF47" i="2635"/>
  <c r="BE47" i="2635"/>
  <c r="BD47" i="2635"/>
  <c r="BC47" i="2635"/>
  <c r="BB47" i="2635"/>
  <c r="AZ47" i="2635"/>
  <c r="AY47" i="2635"/>
  <c r="AX47" i="2635"/>
  <c r="AW47" i="2635"/>
  <c r="AV47" i="2635"/>
  <c r="AU47" i="2635"/>
  <c r="AT47" i="2635"/>
  <c r="AS47" i="2635"/>
  <c r="AR47" i="2635"/>
  <c r="AQ47" i="2635"/>
  <c r="AP47" i="2635"/>
  <c r="AO47" i="2635"/>
  <c r="AM47" i="2635"/>
  <c r="AL47" i="2635"/>
  <c r="AK47" i="2635"/>
  <c r="AJ47" i="2635"/>
  <c r="AI47" i="2635"/>
  <c r="AH47" i="2635"/>
  <c r="AG47" i="2635"/>
  <c r="AF47" i="2635"/>
  <c r="AE47" i="2635"/>
  <c r="AD47" i="2635"/>
  <c r="AC47" i="2635"/>
  <c r="AB47" i="2635"/>
  <c r="Z47" i="2635"/>
  <c r="Y47" i="2635"/>
  <c r="X47" i="2635"/>
  <c r="W47" i="2635"/>
  <c r="V47" i="2635"/>
  <c r="U47" i="2635"/>
  <c r="T47" i="2635"/>
  <c r="S47" i="2635"/>
  <c r="R47" i="2635"/>
  <c r="Q47" i="2635"/>
  <c r="P47" i="2635"/>
  <c r="O47" i="2635"/>
  <c r="M47" i="2635"/>
  <c r="L47" i="2635"/>
  <c r="K47" i="2635"/>
  <c r="J47" i="2635"/>
  <c r="I47" i="2635"/>
  <c r="H47" i="2635"/>
  <c r="G47" i="2635"/>
  <c r="F47" i="2635"/>
  <c r="E47" i="2635"/>
  <c r="D47" i="2635"/>
  <c r="C47" i="2635"/>
  <c r="B47" i="2635"/>
  <c r="DZ46" i="2635"/>
  <c r="DY46" i="2635"/>
  <c r="DX46" i="2635"/>
  <c r="DW46" i="2635"/>
  <c r="DV46" i="2635"/>
  <c r="DU46" i="2635"/>
  <c r="DT46" i="2635"/>
  <c r="DS46" i="2635"/>
  <c r="DR46" i="2635"/>
  <c r="DQ46" i="2635"/>
  <c r="DP46" i="2635"/>
  <c r="DO46" i="2635"/>
  <c r="DM46" i="2635"/>
  <c r="DL46" i="2635"/>
  <c r="DK46" i="2635"/>
  <c r="DJ46" i="2635"/>
  <c r="DI46" i="2635"/>
  <c r="DH46" i="2635"/>
  <c r="DG46" i="2635"/>
  <c r="DF46" i="2635"/>
  <c r="DE46" i="2635"/>
  <c r="DD46" i="2635"/>
  <c r="DC46" i="2635"/>
  <c r="DB46" i="2635"/>
  <c r="CZ46" i="2635"/>
  <c r="CY46" i="2635"/>
  <c r="CX46" i="2635"/>
  <c r="CW46" i="2635"/>
  <c r="CV46" i="2635"/>
  <c r="CU46" i="2635"/>
  <c r="CT46" i="2635"/>
  <c r="CS46" i="2635"/>
  <c r="CR46" i="2635"/>
  <c r="CQ46" i="2635"/>
  <c r="CP46" i="2635"/>
  <c r="CO46" i="2635"/>
  <c r="CM46" i="2635"/>
  <c r="CL46" i="2635"/>
  <c r="CK46" i="2635"/>
  <c r="CJ46" i="2635"/>
  <c r="CI46" i="2635"/>
  <c r="CH46" i="2635"/>
  <c r="CG46" i="2635"/>
  <c r="CF46" i="2635"/>
  <c r="CE46" i="2635"/>
  <c r="CD46" i="2635"/>
  <c r="CC46" i="2635"/>
  <c r="CB46" i="2635"/>
  <c r="BZ46" i="2635"/>
  <c r="BY46" i="2635"/>
  <c r="BX46" i="2635"/>
  <c r="BW46" i="2635"/>
  <c r="BV46" i="2635"/>
  <c r="BU46" i="2635"/>
  <c r="BT46" i="2635"/>
  <c r="BS46" i="2635"/>
  <c r="BR46" i="2635"/>
  <c r="BQ46" i="2635"/>
  <c r="BP46" i="2635"/>
  <c r="BO46" i="2635"/>
  <c r="BM46" i="2635"/>
  <c r="BL46" i="2635"/>
  <c r="BK46" i="2635"/>
  <c r="BJ46" i="2635"/>
  <c r="BI46" i="2635"/>
  <c r="BH46" i="2635"/>
  <c r="BG46" i="2635"/>
  <c r="BF46" i="2635"/>
  <c r="BE46" i="2635"/>
  <c r="BD46" i="2635"/>
  <c r="BC46" i="2635"/>
  <c r="BB46" i="2635"/>
  <c r="AZ46" i="2635"/>
  <c r="AY46" i="2635"/>
  <c r="AX46" i="2635"/>
  <c r="AW46" i="2635"/>
  <c r="AV46" i="2635"/>
  <c r="AU46" i="2635"/>
  <c r="AT46" i="2635"/>
  <c r="AS46" i="2635"/>
  <c r="AR46" i="2635"/>
  <c r="AQ46" i="2635"/>
  <c r="AP46" i="2635"/>
  <c r="AO46" i="2635"/>
  <c r="AM46" i="2635"/>
  <c r="AL46" i="2635"/>
  <c r="AK46" i="2635"/>
  <c r="AJ46" i="2635"/>
  <c r="AI46" i="2635"/>
  <c r="AH46" i="2635"/>
  <c r="AG46" i="2635"/>
  <c r="AF46" i="2635"/>
  <c r="AE46" i="2635"/>
  <c r="AD46" i="2635"/>
  <c r="AC46" i="2635"/>
  <c r="AB46" i="2635"/>
  <c r="Z46" i="2635"/>
  <c r="Y46" i="2635"/>
  <c r="X46" i="2635"/>
  <c r="W46" i="2635"/>
  <c r="V46" i="2635"/>
  <c r="U46" i="2635"/>
  <c r="T46" i="2635"/>
  <c r="S46" i="2635"/>
  <c r="R46" i="2635"/>
  <c r="Q46" i="2635"/>
  <c r="P46" i="2635"/>
  <c r="O46" i="2635"/>
  <c r="M46" i="2635"/>
  <c r="L46" i="2635"/>
  <c r="K46" i="2635"/>
  <c r="J46" i="2635"/>
  <c r="I46" i="2635"/>
  <c r="H46" i="2635"/>
  <c r="G46" i="2635"/>
  <c r="F46" i="2635"/>
  <c r="E46" i="2635"/>
  <c r="D46" i="2635"/>
  <c r="C46" i="2635"/>
  <c r="B46" i="2635"/>
  <c r="DZ45" i="2635"/>
  <c r="DY45" i="2635"/>
  <c r="DX45" i="2635"/>
  <c r="DW45" i="2635"/>
  <c r="DV45" i="2635"/>
  <c r="DU45" i="2635"/>
  <c r="DT45" i="2635"/>
  <c r="DS45" i="2635"/>
  <c r="DR45" i="2635"/>
  <c r="DQ45" i="2635"/>
  <c r="DP45" i="2635"/>
  <c r="DO45" i="2635"/>
  <c r="DM45" i="2635"/>
  <c r="DL45" i="2635"/>
  <c r="DK45" i="2635"/>
  <c r="DJ45" i="2635"/>
  <c r="DI45" i="2635"/>
  <c r="DH45" i="2635"/>
  <c r="DG45" i="2635"/>
  <c r="DF45" i="2635"/>
  <c r="DE45" i="2635"/>
  <c r="DD45" i="2635"/>
  <c r="DC45" i="2635"/>
  <c r="DB45" i="2635"/>
  <c r="CZ45" i="2635"/>
  <c r="CY45" i="2635"/>
  <c r="CX45" i="2635"/>
  <c r="CW45" i="2635"/>
  <c r="CV45" i="2635"/>
  <c r="CU45" i="2635"/>
  <c r="CT45" i="2635"/>
  <c r="CS45" i="2635"/>
  <c r="CR45" i="2635"/>
  <c r="CQ45" i="2635"/>
  <c r="CP45" i="2635"/>
  <c r="CO45" i="2635"/>
  <c r="CM45" i="2635"/>
  <c r="CL45" i="2635"/>
  <c r="CK45" i="2635"/>
  <c r="CJ45" i="2635"/>
  <c r="CI45" i="2635"/>
  <c r="CH45" i="2635"/>
  <c r="CG45" i="2635"/>
  <c r="CF45" i="2635"/>
  <c r="CE45" i="2635"/>
  <c r="CD45" i="2635"/>
  <c r="CC45" i="2635"/>
  <c r="CB45" i="2635"/>
  <c r="BZ45" i="2635"/>
  <c r="BY45" i="2635"/>
  <c r="BX45" i="2635"/>
  <c r="BW45" i="2635"/>
  <c r="BV45" i="2635"/>
  <c r="BU45" i="2635"/>
  <c r="BT45" i="2635"/>
  <c r="BS45" i="2635"/>
  <c r="BR45" i="2635"/>
  <c r="BQ45" i="2635"/>
  <c r="BP45" i="2635"/>
  <c r="BO45" i="2635"/>
  <c r="BM45" i="2635"/>
  <c r="BL45" i="2635"/>
  <c r="BK45" i="2635"/>
  <c r="BJ45" i="2635"/>
  <c r="BI45" i="2635"/>
  <c r="BH45" i="2635"/>
  <c r="BG45" i="2635"/>
  <c r="BF45" i="2635"/>
  <c r="BE45" i="2635"/>
  <c r="BD45" i="2635"/>
  <c r="BC45" i="2635"/>
  <c r="BB45" i="2635"/>
  <c r="AZ45" i="2635"/>
  <c r="AY45" i="2635"/>
  <c r="AX45" i="2635"/>
  <c r="AW45" i="2635"/>
  <c r="AV45" i="2635"/>
  <c r="AU45" i="2635"/>
  <c r="AT45" i="2635"/>
  <c r="AS45" i="2635"/>
  <c r="AR45" i="2635"/>
  <c r="AQ45" i="2635"/>
  <c r="AP45" i="2635"/>
  <c r="AO45" i="2635"/>
  <c r="AM45" i="2635"/>
  <c r="AL45" i="2635"/>
  <c r="AK45" i="2635"/>
  <c r="AJ45" i="2635"/>
  <c r="AI45" i="2635"/>
  <c r="AH45" i="2635"/>
  <c r="AG45" i="2635"/>
  <c r="AF45" i="2635"/>
  <c r="AE45" i="2635"/>
  <c r="AD45" i="2635"/>
  <c r="AC45" i="2635"/>
  <c r="AB45" i="2635"/>
  <c r="Z45" i="2635"/>
  <c r="Y45" i="2635"/>
  <c r="X45" i="2635"/>
  <c r="W45" i="2635"/>
  <c r="V45" i="2635"/>
  <c r="U45" i="2635"/>
  <c r="T45" i="2635"/>
  <c r="S45" i="2635"/>
  <c r="R45" i="2635"/>
  <c r="Q45" i="2635"/>
  <c r="P45" i="2635"/>
  <c r="O45" i="2635"/>
  <c r="M45" i="2635"/>
  <c r="L45" i="2635"/>
  <c r="K45" i="2635"/>
  <c r="J45" i="2635"/>
  <c r="I45" i="2635"/>
  <c r="H45" i="2635"/>
  <c r="G45" i="2635"/>
  <c r="F45" i="2635"/>
  <c r="E45" i="2635"/>
  <c r="D45" i="2635"/>
  <c r="C45" i="2635"/>
  <c r="B45" i="2635"/>
  <c r="DZ44" i="2635"/>
  <c r="DY44" i="2635"/>
  <c r="DX44" i="2635"/>
  <c r="DW44" i="2635"/>
  <c r="DV44" i="2635"/>
  <c r="DU44" i="2635"/>
  <c r="DT44" i="2635"/>
  <c r="DS44" i="2635"/>
  <c r="DR44" i="2635"/>
  <c r="DQ44" i="2635"/>
  <c r="DP44" i="2635"/>
  <c r="DO44" i="2635"/>
  <c r="DM44" i="2635"/>
  <c r="DL44" i="2635"/>
  <c r="DK44" i="2635"/>
  <c r="DJ44" i="2635"/>
  <c r="DI44" i="2635"/>
  <c r="DH44" i="2635"/>
  <c r="DG44" i="2635"/>
  <c r="DF44" i="2635"/>
  <c r="DE44" i="2635"/>
  <c r="DD44" i="2635"/>
  <c r="DC44" i="2635"/>
  <c r="DB44" i="2635"/>
  <c r="CZ44" i="2635"/>
  <c r="CY44" i="2635"/>
  <c r="CX44" i="2635"/>
  <c r="CW44" i="2635"/>
  <c r="CV44" i="2635"/>
  <c r="CU44" i="2635"/>
  <c r="CT44" i="2635"/>
  <c r="CS44" i="2635"/>
  <c r="CR44" i="2635"/>
  <c r="CQ44" i="2635"/>
  <c r="CP44" i="2635"/>
  <c r="CO44" i="2635"/>
  <c r="CM44" i="2635"/>
  <c r="CL44" i="2635"/>
  <c r="CK44" i="2635"/>
  <c r="CJ44" i="2635"/>
  <c r="CI44" i="2635"/>
  <c r="CH44" i="2635"/>
  <c r="CG44" i="2635"/>
  <c r="CF44" i="2635"/>
  <c r="CE44" i="2635"/>
  <c r="CD44" i="2635"/>
  <c r="CC44" i="2635"/>
  <c r="CB44" i="2635"/>
  <c r="BZ44" i="2635"/>
  <c r="BY44" i="2635"/>
  <c r="BX44" i="2635"/>
  <c r="BW44" i="2635"/>
  <c r="BV44" i="2635"/>
  <c r="BU44" i="2635"/>
  <c r="BT44" i="2635"/>
  <c r="BS44" i="2635"/>
  <c r="BR44" i="2635"/>
  <c r="BQ44" i="2635"/>
  <c r="BP44" i="2635"/>
  <c r="BO44" i="2635"/>
  <c r="BM44" i="2635"/>
  <c r="BL44" i="2635"/>
  <c r="BK44" i="2635"/>
  <c r="BJ44" i="2635"/>
  <c r="BI44" i="2635"/>
  <c r="BH44" i="2635"/>
  <c r="BG44" i="2635"/>
  <c r="BF44" i="2635"/>
  <c r="BE44" i="2635"/>
  <c r="BD44" i="2635"/>
  <c r="BC44" i="2635"/>
  <c r="BB44" i="2635"/>
  <c r="AZ44" i="2635"/>
  <c r="AY44" i="2635"/>
  <c r="AX44" i="2635"/>
  <c r="AW44" i="2635"/>
  <c r="AV44" i="2635"/>
  <c r="AU44" i="2635"/>
  <c r="AT44" i="2635"/>
  <c r="AS44" i="2635"/>
  <c r="AR44" i="2635"/>
  <c r="AQ44" i="2635"/>
  <c r="AP44" i="2635"/>
  <c r="AO44" i="2635"/>
  <c r="AM44" i="2635"/>
  <c r="AL44" i="2635"/>
  <c r="AK44" i="2635"/>
  <c r="AJ44" i="2635"/>
  <c r="AI44" i="2635"/>
  <c r="AH44" i="2635"/>
  <c r="AG44" i="2635"/>
  <c r="AF44" i="2635"/>
  <c r="AE44" i="2635"/>
  <c r="AD44" i="2635"/>
  <c r="AC44" i="2635"/>
  <c r="AB44" i="2635"/>
  <c r="Z44" i="2635"/>
  <c r="Y44" i="2635"/>
  <c r="X44" i="2635"/>
  <c r="W44" i="2635"/>
  <c r="V44" i="2635"/>
  <c r="U44" i="2635"/>
  <c r="T44" i="2635"/>
  <c r="S44" i="2635"/>
  <c r="R44" i="2635"/>
  <c r="Q44" i="2635"/>
  <c r="P44" i="2635"/>
  <c r="O44" i="2635"/>
  <c r="M44" i="2635"/>
  <c r="L44" i="2635"/>
  <c r="K44" i="2635"/>
  <c r="J44" i="2635"/>
  <c r="I44" i="2635"/>
  <c r="H44" i="2635"/>
  <c r="G44" i="2635"/>
  <c r="F44" i="2635"/>
  <c r="E44" i="2635"/>
  <c r="D44" i="2635"/>
  <c r="C44" i="2635"/>
  <c r="B44" i="2635"/>
  <c r="DZ43" i="2635"/>
  <c r="DY43" i="2635"/>
  <c r="DX43" i="2635"/>
  <c r="DW43" i="2635"/>
  <c r="DV43" i="2635"/>
  <c r="DU43" i="2635"/>
  <c r="DT43" i="2635"/>
  <c r="DS43" i="2635"/>
  <c r="DR43" i="2635"/>
  <c r="DQ43" i="2635"/>
  <c r="DP43" i="2635"/>
  <c r="DO43" i="2635"/>
  <c r="DM43" i="2635"/>
  <c r="DL43" i="2635"/>
  <c r="DK43" i="2635"/>
  <c r="DJ43" i="2635"/>
  <c r="DI43" i="2635"/>
  <c r="DH43" i="2635"/>
  <c r="DG43" i="2635"/>
  <c r="DF43" i="2635"/>
  <c r="DE43" i="2635"/>
  <c r="DD43" i="2635"/>
  <c r="DC43" i="2635"/>
  <c r="DB43" i="2635"/>
  <c r="CZ43" i="2635"/>
  <c r="CY43" i="2635"/>
  <c r="CX43" i="2635"/>
  <c r="CW43" i="2635"/>
  <c r="CV43" i="2635"/>
  <c r="CU43" i="2635"/>
  <c r="CT43" i="2635"/>
  <c r="CS43" i="2635"/>
  <c r="CR43" i="2635"/>
  <c r="CQ43" i="2635"/>
  <c r="CP43" i="2635"/>
  <c r="CO43" i="2635"/>
  <c r="CM43" i="2635"/>
  <c r="CL43" i="2635"/>
  <c r="CK43" i="2635"/>
  <c r="CJ43" i="2635"/>
  <c r="CI43" i="2635"/>
  <c r="CH43" i="2635"/>
  <c r="CG43" i="2635"/>
  <c r="CF43" i="2635"/>
  <c r="CE43" i="2635"/>
  <c r="CD43" i="2635"/>
  <c r="CC43" i="2635"/>
  <c r="CB43" i="2635"/>
  <c r="BZ43" i="2635"/>
  <c r="BY43" i="2635"/>
  <c r="BX43" i="2635"/>
  <c r="BW43" i="2635"/>
  <c r="BV43" i="2635"/>
  <c r="BU43" i="2635"/>
  <c r="BT43" i="2635"/>
  <c r="BS43" i="2635"/>
  <c r="BR43" i="2635"/>
  <c r="BQ43" i="2635"/>
  <c r="BP43" i="2635"/>
  <c r="BO43" i="2635"/>
  <c r="BM43" i="2635"/>
  <c r="BL43" i="2635"/>
  <c r="BK43" i="2635"/>
  <c r="BJ43" i="2635"/>
  <c r="BI43" i="2635"/>
  <c r="BH43" i="2635"/>
  <c r="BG43" i="2635"/>
  <c r="BF43" i="2635"/>
  <c r="BE43" i="2635"/>
  <c r="BD43" i="2635"/>
  <c r="BC43" i="2635"/>
  <c r="BB43" i="2635"/>
  <c r="AZ43" i="2635"/>
  <c r="AY43" i="2635"/>
  <c r="AX43" i="2635"/>
  <c r="AW43" i="2635"/>
  <c r="AV43" i="2635"/>
  <c r="AU43" i="2635"/>
  <c r="AT43" i="2635"/>
  <c r="AS43" i="2635"/>
  <c r="AR43" i="2635"/>
  <c r="AQ43" i="2635"/>
  <c r="AP43" i="2635"/>
  <c r="AO43" i="2635"/>
  <c r="AM43" i="2635"/>
  <c r="AL43" i="2635"/>
  <c r="AK43" i="2635"/>
  <c r="AJ43" i="2635"/>
  <c r="AI43" i="2635"/>
  <c r="AH43" i="2635"/>
  <c r="AG43" i="2635"/>
  <c r="AF43" i="2635"/>
  <c r="AE43" i="2635"/>
  <c r="AD43" i="2635"/>
  <c r="AC43" i="2635"/>
  <c r="AB43" i="2635"/>
  <c r="Z43" i="2635"/>
  <c r="Y43" i="2635"/>
  <c r="X43" i="2635"/>
  <c r="W43" i="2635"/>
  <c r="V43" i="2635"/>
  <c r="U43" i="2635"/>
  <c r="T43" i="2635"/>
  <c r="S43" i="2635"/>
  <c r="R43" i="2635"/>
  <c r="Q43" i="2635"/>
  <c r="P43" i="2635"/>
  <c r="O43" i="2635"/>
  <c r="M43" i="2635"/>
  <c r="L43" i="2635"/>
  <c r="K43" i="2635"/>
  <c r="J43" i="2635"/>
  <c r="I43" i="2635"/>
  <c r="H43" i="2635"/>
  <c r="G43" i="2635"/>
  <c r="F43" i="2635"/>
  <c r="E43" i="2635"/>
  <c r="D43" i="2635"/>
  <c r="C43" i="2635"/>
  <c r="B43" i="2635"/>
  <c r="DZ19" i="2635"/>
  <c r="DZ53" i="2635" s="1"/>
  <c r="DY19" i="2635"/>
  <c r="DX19" i="2635"/>
  <c r="DW19" i="2635"/>
  <c r="DW53" i="2635" s="1"/>
  <c r="DV19" i="2635"/>
  <c r="DV53" i="2635" s="1"/>
  <c r="DU19" i="2635"/>
  <c r="DU53" i="2635" s="1"/>
  <c r="DT19" i="2635"/>
  <c r="DT53" i="2635" s="1"/>
  <c r="DS19" i="2635"/>
  <c r="DS53" i="2635" s="1"/>
  <c r="DR19" i="2635"/>
  <c r="DQ19" i="2635"/>
  <c r="DP19" i="2635"/>
  <c r="DP53" i="2635" s="1"/>
  <c r="DO19" i="2635"/>
  <c r="DM19" i="2635"/>
  <c r="DM53" i="2635" s="1"/>
  <c r="DL19" i="2635"/>
  <c r="DK19" i="2635"/>
  <c r="DJ19" i="2635"/>
  <c r="DJ53" i="2635" s="1"/>
  <c r="DI19" i="2635"/>
  <c r="DI53" i="2635" s="1"/>
  <c r="DH19" i="2635"/>
  <c r="DG19" i="2635"/>
  <c r="DG53" i="2635" s="1"/>
  <c r="DF19" i="2635"/>
  <c r="DF53" i="2635" s="1"/>
  <c r="DE19" i="2635"/>
  <c r="DE53" i="2635" s="1"/>
  <c r="DD19" i="2635"/>
  <c r="DD53" i="2635" s="1"/>
  <c r="DC19" i="2635"/>
  <c r="DC53" i="2635" s="1"/>
  <c r="DB19" i="2635"/>
  <c r="CZ19" i="2635"/>
  <c r="CY19" i="2635"/>
  <c r="CY53" i="2635" s="1"/>
  <c r="CX19" i="2635"/>
  <c r="CW19" i="2635"/>
  <c r="CW53" i="2635" s="1"/>
  <c r="CV19" i="2635"/>
  <c r="CV53" i="2635" s="1"/>
  <c r="CU19" i="2635"/>
  <c r="CU53" i="2635" s="1"/>
  <c r="CT19" i="2635"/>
  <c r="CT53" i="2635" s="1"/>
  <c r="CS19" i="2635"/>
  <c r="CS53" i="2635" s="1"/>
  <c r="CR19" i="2635"/>
  <c r="CR53" i="2635" s="1"/>
  <c r="CQ19" i="2635"/>
  <c r="CQ53" i="2635" s="1"/>
  <c r="CP19" i="2635"/>
  <c r="CP53" i="2635" s="1"/>
  <c r="CO19" i="2635"/>
  <c r="CM19" i="2635"/>
  <c r="CM53" i="2635" s="1"/>
  <c r="CL19" i="2635"/>
  <c r="CL53" i="2635" s="1"/>
  <c r="CK19" i="2635"/>
  <c r="CJ19" i="2635"/>
  <c r="CJ53" i="2635" s="1"/>
  <c r="CI19" i="2635"/>
  <c r="CI53" i="2635" s="1"/>
  <c r="CH19" i="2635"/>
  <c r="CG19" i="2635"/>
  <c r="CG53" i="2635" s="1"/>
  <c r="CF19" i="2635"/>
  <c r="CF53" i="2635" s="1"/>
  <c r="CE19" i="2635"/>
  <c r="CE53" i="2635" s="1"/>
  <c r="CD19" i="2635"/>
  <c r="CD53" i="2635" s="1"/>
  <c r="CC19" i="2635"/>
  <c r="CC53" i="2635" s="1"/>
  <c r="CB19" i="2635"/>
  <c r="CB53" i="2635" s="1"/>
  <c r="BZ19" i="2635"/>
  <c r="BZ53" i="2635" s="1"/>
  <c r="BY19" i="2635"/>
  <c r="BY53" i="2635" s="1"/>
  <c r="BX19" i="2635"/>
  <c r="BW19" i="2635"/>
  <c r="BW53" i="2635" s="1"/>
  <c r="BV19" i="2635"/>
  <c r="BV53" i="2635" s="1"/>
  <c r="BU19" i="2635"/>
  <c r="BU53" i="2635" s="1"/>
  <c r="BT19" i="2635"/>
  <c r="BT53" i="2635" s="1"/>
  <c r="BS19" i="2635"/>
  <c r="BS53" i="2635" s="1"/>
  <c r="BR19" i="2635"/>
  <c r="BQ19" i="2635"/>
  <c r="BP19" i="2635"/>
  <c r="BP53" i="2635" s="1"/>
  <c r="BO19" i="2635"/>
  <c r="BO53" i="2635" s="1"/>
  <c r="BM19" i="2635"/>
  <c r="BM53" i="2635" s="1"/>
  <c r="BL19" i="2635"/>
  <c r="BL53" i="2635" s="1"/>
  <c r="BK19" i="2635"/>
  <c r="BJ19" i="2635"/>
  <c r="BJ53" i="2635" s="1"/>
  <c r="BI19" i="2635"/>
  <c r="BI53" i="2635" s="1"/>
  <c r="BH19" i="2635"/>
  <c r="BG19" i="2635"/>
  <c r="BG53" i="2635" s="1"/>
  <c r="BF19" i="2635"/>
  <c r="BF53" i="2635" s="1"/>
  <c r="BE19" i="2635"/>
  <c r="BD19" i="2635"/>
  <c r="BC19" i="2635"/>
  <c r="BC53" i="2635" s="1"/>
  <c r="BB19" i="2635"/>
  <c r="AZ19" i="2635"/>
  <c r="AY19" i="2635"/>
  <c r="AX19" i="2635"/>
  <c r="AW19" i="2635"/>
  <c r="AW53" i="2635" s="1"/>
  <c r="AV19" i="2635"/>
  <c r="AV53" i="2635" s="1"/>
  <c r="AU19" i="2635"/>
  <c r="AU53" i="2635" s="1"/>
  <c r="AT19" i="2635"/>
  <c r="AT53" i="2635" s="1"/>
  <c r="AS19" i="2635"/>
  <c r="AS53" i="2635" s="1"/>
  <c r="AR19" i="2635"/>
  <c r="AR53" i="2635" s="1"/>
  <c r="AQ19" i="2635"/>
  <c r="AQ53" i="2635" s="1"/>
  <c r="AP19" i="2635"/>
  <c r="AP53" i="2635" s="1"/>
  <c r="AO19" i="2635"/>
  <c r="AO53" i="2635" s="1"/>
  <c r="AM19" i="2635"/>
  <c r="AL19" i="2635"/>
  <c r="AK19" i="2635"/>
  <c r="AJ19" i="2635"/>
  <c r="AJ53" i="2635" s="1"/>
  <c r="AI19" i="2635"/>
  <c r="AI53" i="2635" s="1"/>
  <c r="AH19" i="2635"/>
  <c r="AG19" i="2635"/>
  <c r="AG53" i="2635" s="1"/>
  <c r="AF19" i="2635"/>
  <c r="AF53" i="2635" s="1"/>
  <c r="AE19" i="2635"/>
  <c r="AE53" i="2635" s="1"/>
  <c r="AD19" i="2635"/>
  <c r="AD53" i="2635" s="1"/>
  <c r="AC19" i="2635"/>
  <c r="AC53" i="2635" s="1"/>
  <c r="AB19" i="2635"/>
  <c r="Z19" i="2635"/>
  <c r="Z53" i="2635" s="1"/>
  <c r="Y19" i="2635"/>
  <c r="X19" i="2635"/>
  <c r="W19" i="2635"/>
  <c r="W53" i="2635" s="1"/>
  <c r="V19" i="2635"/>
  <c r="V53" i="2635" s="1"/>
  <c r="U19" i="2635"/>
  <c r="T19" i="2635"/>
  <c r="T53" i="2635" s="1"/>
  <c r="S19" i="2635"/>
  <c r="S53" i="2635" s="1"/>
  <c r="R19" i="2635"/>
  <c r="Q19" i="2635"/>
  <c r="Q53" i="2635" s="1"/>
  <c r="P19" i="2635"/>
  <c r="P53" i="2635" s="1"/>
  <c r="O19" i="2635"/>
  <c r="DZ50" i="2634"/>
  <c r="DY50" i="2634"/>
  <c r="DX50" i="2634"/>
  <c r="DW50" i="2634"/>
  <c r="DV50" i="2634"/>
  <c r="DU50" i="2634"/>
  <c r="DT50" i="2634"/>
  <c r="DS50" i="2634"/>
  <c r="DR50" i="2634"/>
  <c r="DQ50" i="2634"/>
  <c r="DP50" i="2634"/>
  <c r="DO50" i="2634"/>
  <c r="DM50" i="2634"/>
  <c r="DL50" i="2634"/>
  <c r="DK50" i="2634"/>
  <c r="DJ50" i="2634"/>
  <c r="DI50" i="2634"/>
  <c r="DH50" i="2634"/>
  <c r="DG50" i="2634"/>
  <c r="DF50" i="2634"/>
  <c r="DE50" i="2634"/>
  <c r="DD50" i="2634"/>
  <c r="DC50" i="2634"/>
  <c r="DB50" i="2634"/>
  <c r="CZ50" i="2634"/>
  <c r="CY50" i="2634"/>
  <c r="CX50" i="2634"/>
  <c r="CW50" i="2634"/>
  <c r="CV50" i="2634"/>
  <c r="CU50" i="2634"/>
  <c r="CT50" i="2634"/>
  <c r="CS50" i="2634"/>
  <c r="CR50" i="2634"/>
  <c r="CQ50" i="2634"/>
  <c r="CP50" i="2634"/>
  <c r="CO50" i="2634"/>
  <c r="CM50" i="2634"/>
  <c r="CL50" i="2634"/>
  <c r="CK50" i="2634"/>
  <c r="CJ50" i="2634"/>
  <c r="CI50" i="2634"/>
  <c r="CH50" i="2634"/>
  <c r="CG50" i="2634"/>
  <c r="CF50" i="2634"/>
  <c r="CE50" i="2634"/>
  <c r="CD50" i="2634"/>
  <c r="CC50" i="2634"/>
  <c r="CB50" i="2634"/>
  <c r="BZ50" i="2634"/>
  <c r="BY50" i="2634"/>
  <c r="BX50" i="2634"/>
  <c r="BW50" i="2634"/>
  <c r="BV50" i="2634"/>
  <c r="BU50" i="2634"/>
  <c r="BT50" i="2634"/>
  <c r="BS50" i="2634"/>
  <c r="BR50" i="2634"/>
  <c r="BQ50" i="2634"/>
  <c r="BP50" i="2634"/>
  <c r="BO50" i="2634"/>
  <c r="BM50" i="2634"/>
  <c r="BL50" i="2634"/>
  <c r="BK50" i="2634"/>
  <c r="BJ50" i="2634"/>
  <c r="BI50" i="2634"/>
  <c r="BH50" i="2634"/>
  <c r="BG50" i="2634"/>
  <c r="BF50" i="2634"/>
  <c r="BE50" i="2634"/>
  <c r="BD50" i="2634"/>
  <c r="BC50" i="2634"/>
  <c r="BB50" i="2634"/>
  <c r="AZ50" i="2634"/>
  <c r="AY50" i="2634"/>
  <c r="AX50" i="2634"/>
  <c r="AW50" i="2634"/>
  <c r="AV50" i="2634"/>
  <c r="AU50" i="2634"/>
  <c r="AT50" i="2634"/>
  <c r="AS50" i="2634"/>
  <c r="AR50" i="2634"/>
  <c r="AQ50" i="2634"/>
  <c r="AP50" i="2634"/>
  <c r="AO50" i="2634"/>
  <c r="AM50" i="2634"/>
  <c r="AL50" i="2634"/>
  <c r="AK50" i="2634"/>
  <c r="AJ50" i="2634"/>
  <c r="AI50" i="2634"/>
  <c r="AH50" i="2634"/>
  <c r="AG50" i="2634"/>
  <c r="AF50" i="2634"/>
  <c r="AE50" i="2634"/>
  <c r="AD50" i="2634"/>
  <c r="AC50" i="2634"/>
  <c r="AB50" i="2634"/>
  <c r="Z50" i="2634"/>
  <c r="Y50" i="2634"/>
  <c r="X50" i="2634"/>
  <c r="W50" i="2634"/>
  <c r="V50" i="2634"/>
  <c r="U50" i="2634"/>
  <c r="T50" i="2634"/>
  <c r="S50" i="2634"/>
  <c r="R50" i="2634"/>
  <c r="Q50" i="2634"/>
  <c r="P50" i="2634"/>
  <c r="O50" i="2634"/>
  <c r="M50" i="2634"/>
  <c r="L50" i="2634"/>
  <c r="K50" i="2634"/>
  <c r="J50" i="2634"/>
  <c r="I50" i="2634"/>
  <c r="H50" i="2634"/>
  <c r="G50" i="2634"/>
  <c r="F50" i="2634"/>
  <c r="E50" i="2634"/>
  <c r="D50" i="2634"/>
  <c r="C50" i="2634"/>
  <c r="B50" i="2634"/>
  <c r="DZ49" i="2634"/>
  <c r="DY49" i="2634"/>
  <c r="DX49" i="2634"/>
  <c r="DW49" i="2634"/>
  <c r="DV49" i="2634"/>
  <c r="DU49" i="2634"/>
  <c r="DT49" i="2634"/>
  <c r="DS49" i="2634"/>
  <c r="DR49" i="2634"/>
  <c r="DQ49" i="2634"/>
  <c r="DP49" i="2634"/>
  <c r="DO49" i="2634"/>
  <c r="DM49" i="2634"/>
  <c r="DL49" i="2634"/>
  <c r="DK49" i="2634"/>
  <c r="DJ49" i="2634"/>
  <c r="DI49" i="2634"/>
  <c r="DH49" i="2634"/>
  <c r="DG49" i="2634"/>
  <c r="DF49" i="2634"/>
  <c r="DE49" i="2634"/>
  <c r="DD49" i="2634"/>
  <c r="DC49" i="2634"/>
  <c r="DB49" i="2634"/>
  <c r="CZ49" i="2634"/>
  <c r="CY49" i="2634"/>
  <c r="CX49" i="2634"/>
  <c r="CW49" i="2634"/>
  <c r="CV49" i="2634"/>
  <c r="CU49" i="2634"/>
  <c r="CT49" i="2634"/>
  <c r="CS49" i="2634"/>
  <c r="CR49" i="2634"/>
  <c r="CQ49" i="2634"/>
  <c r="CP49" i="2634"/>
  <c r="CO49" i="2634"/>
  <c r="CM49" i="2634"/>
  <c r="CL49" i="2634"/>
  <c r="CK49" i="2634"/>
  <c r="CJ49" i="2634"/>
  <c r="CI49" i="2634"/>
  <c r="CH49" i="2634"/>
  <c r="CG49" i="2634"/>
  <c r="CF49" i="2634"/>
  <c r="CE49" i="2634"/>
  <c r="CD49" i="2634"/>
  <c r="CC49" i="2634"/>
  <c r="CB49" i="2634"/>
  <c r="BZ49" i="2634"/>
  <c r="BX49" i="2634"/>
  <c r="BW49" i="2634"/>
  <c r="BV49" i="2634"/>
  <c r="BU49" i="2634"/>
  <c r="BT49" i="2634"/>
  <c r="BS49" i="2634"/>
  <c r="BR49" i="2634"/>
  <c r="BQ49" i="2634"/>
  <c r="BP49" i="2634"/>
  <c r="BO49" i="2634"/>
  <c r="BM49" i="2634"/>
  <c r="BL49" i="2634"/>
  <c r="BK49" i="2634"/>
  <c r="BJ49" i="2634"/>
  <c r="BI49" i="2634"/>
  <c r="BH49" i="2634"/>
  <c r="BG49" i="2634"/>
  <c r="BF49" i="2634"/>
  <c r="BE49" i="2634"/>
  <c r="BD49" i="2634"/>
  <c r="BC49" i="2634"/>
  <c r="BB49" i="2634"/>
  <c r="AZ49" i="2634"/>
  <c r="AY49" i="2634"/>
  <c r="AX49" i="2634"/>
  <c r="AW49" i="2634"/>
  <c r="AV49" i="2634"/>
  <c r="AU49" i="2634"/>
  <c r="AT49" i="2634"/>
  <c r="AS49" i="2634"/>
  <c r="AR49" i="2634"/>
  <c r="AQ49" i="2634"/>
  <c r="AP49" i="2634"/>
  <c r="AO49" i="2634"/>
  <c r="AM49" i="2634"/>
  <c r="AL49" i="2634"/>
  <c r="AK49" i="2634"/>
  <c r="AJ49" i="2634"/>
  <c r="AI49" i="2634"/>
  <c r="AH49" i="2634"/>
  <c r="AG49" i="2634"/>
  <c r="AF49" i="2634"/>
  <c r="AE49" i="2634"/>
  <c r="AD49" i="2634"/>
  <c r="AC49" i="2634"/>
  <c r="AB49" i="2634"/>
  <c r="Z49" i="2634"/>
  <c r="Y49" i="2634"/>
  <c r="X49" i="2634"/>
  <c r="W49" i="2634"/>
  <c r="V49" i="2634"/>
  <c r="U49" i="2634"/>
  <c r="T49" i="2634"/>
  <c r="S49" i="2634"/>
  <c r="R49" i="2634"/>
  <c r="Q49" i="2634"/>
  <c r="P49" i="2634"/>
  <c r="O49" i="2634"/>
  <c r="M49" i="2634"/>
  <c r="L49" i="2634"/>
  <c r="K49" i="2634"/>
  <c r="J49" i="2634"/>
  <c r="I49" i="2634"/>
  <c r="H49" i="2634"/>
  <c r="G49" i="2634"/>
  <c r="F49" i="2634"/>
  <c r="E49" i="2634"/>
  <c r="D49" i="2634"/>
  <c r="C49" i="2634"/>
  <c r="B49" i="2634"/>
  <c r="DZ48" i="2634"/>
  <c r="DY48" i="2634"/>
  <c r="DX48" i="2634"/>
  <c r="DW48" i="2634"/>
  <c r="DV48" i="2634"/>
  <c r="DU48" i="2634"/>
  <c r="DT48" i="2634"/>
  <c r="DS48" i="2634"/>
  <c r="DR48" i="2634"/>
  <c r="DQ48" i="2634"/>
  <c r="DP48" i="2634"/>
  <c r="DO48" i="2634"/>
  <c r="DM48" i="2634"/>
  <c r="DL48" i="2634"/>
  <c r="DK48" i="2634"/>
  <c r="DJ48" i="2634"/>
  <c r="DI48" i="2634"/>
  <c r="DH48" i="2634"/>
  <c r="DG48" i="2634"/>
  <c r="DF48" i="2634"/>
  <c r="DE48" i="2634"/>
  <c r="DD48" i="2634"/>
  <c r="DD46" i="2634" s="1"/>
  <c r="DC48" i="2634"/>
  <c r="DB48" i="2634"/>
  <c r="DB46" i="2634" s="1"/>
  <c r="CZ48" i="2634"/>
  <c r="CY48" i="2634"/>
  <c r="CX48" i="2634"/>
  <c r="CW48" i="2634"/>
  <c r="CV48" i="2634"/>
  <c r="CU48" i="2634"/>
  <c r="CT48" i="2634"/>
  <c r="CS48" i="2634"/>
  <c r="CR48" i="2634"/>
  <c r="CQ48" i="2634"/>
  <c r="CP48" i="2634"/>
  <c r="CO48" i="2634"/>
  <c r="CM48" i="2634"/>
  <c r="CL48" i="2634"/>
  <c r="CK48" i="2634"/>
  <c r="CJ48" i="2634"/>
  <c r="CI48" i="2634"/>
  <c r="CH48" i="2634"/>
  <c r="CG48" i="2634"/>
  <c r="CF48" i="2634"/>
  <c r="CE48" i="2634"/>
  <c r="CD48" i="2634"/>
  <c r="CD46" i="2634" s="1"/>
  <c r="CC48" i="2634"/>
  <c r="CB48" i="2634"/>
  <c r="CB46" i="2634" s="1"/>
  <c r="BZ48" i="2634"/>
  <c r="BY48" i="2634"/>
  <c r="BX48" i="2634"/>
  <c r="BW48" i="2634"/>
  <c r="BV48" i="2634"/>
  <c r="BU48" i="2634"/>
  <c r="BT48" i="2634"/>
  <c r="BS48" i="2634"/>
  <c r="BR48" i="2634"/>
  <c r="BQ48" i="2634"/>
  <c r="BQ46" i="2634" s="1"/>
  <c r="BP48" i="2634"/>
  <c r="BO48" i="2634"/>
  <c r="BO46" i="2634" s="1"/>
  <c r="BM48" i="2634"/>
  <c r="BL48" i="2634"/>
  <c r="BK48" i="2634"/>
  <c r="BJ48" i="2634"/>
  <c r="BI48" i="2634"/>
  <c r="BH48" i="2634"/>
  <c r="BG48" i="2634"/>
  <c r="BF48" i="2634"/>
  <c r="BE48" i="2634"/>
  <c r="BD48" i="2634"/>
  <c r="BC48" i="2634"/>
  <c r="BB48" i="2634"/>
  <c r="AZ48" i="2634"/>
  <c r="AY48" i="2634"/>
  <c r="AX48" i="2634"/>
  <c r="AW48" i="2634"/>
  <c r="AV48" i="2634"/>
  <c r="AU48" i="2634"/>
  <c r="AT48" i="2634"/>
  <c r="AT46" i="2634" s="1"/>
  <c r="AS48" i="2634"/>
  <c r="AR48" i="2634"/>
  <c r="AQ48" i="2634"/>
  <c r="AQ46" i="2634" s="1"/>
  <c r="AP48" i="2634"/>
  <c r="AO48" i="2634"/>
  <c r="AM48" i="2634"/>
  <c r="AL48" i="2634"/>
  <c r="AK48" i="2634"/>
  <c r="AJ48" i="2634"/>
  <c r="AI48" i="2634"/>
  <c r="AH48" i="2634"/>
  <c r="AG48" i="2634"/>
  <c r="AF48" i="2634"/>
  <c r="AE48" i="2634"/>
  <c r="AD48" i="2634"/>
  <c r="AC48" i="2634"/>
  <c r="AB48" i="2634"/>
  <c r="Z48" i="2634"/>
  <c r="Y48" i="2634"/>
  <c r="X48" i="2634"/>
  <c r="W48" i="2634"/>
  <c r="V48" i="2634"/>
  <c r="U48" i="2634"/>
  <c r="T48" i="2634"/>
  <c r="S48" i="2634"/>
  <c r="R48" i="2634"/>
  <c r="Q48" i="2634"/>
  <c r="P48" i="2634"/>
  <c r="O48" i="2634"/>
  <c r="M48" i="2634"/>
  <c r="M46" i="2634" s="1"/>
  <c r="L48" i="2634"/>
  <c r="K48" i="2634"/>
  <c r="J48" i="2634"/>
  <c r="I48" i="2634"/>
  <c r="H48" i="2634"/>
  <c r="G48" i="2634"/>
  <c r="G46" i="2634" s="1"/>
  <c r="F48" i="2634"/>
  <c r="E48" i="2634"/>
  <c r="D48" i="2634"/>
  <c r="C48" i="2634"/>
  <c r="B48" i="2634"/>
  <c r="DZ47" i="2634"/>
  <c r="DZ46" i="2634" s="1"/>
  <c r="DY47" i="2634"/>
  <c r="DY46" i="2634" s="1"/>
  <c r="DX47" i="2634"/>
  <c r="DW47" i="2634"/>
  <c r="DW46" i="2634" s="1"/>
  <c r="DV47" i="2634"/>
  <c r="DU47" i="2634"/>
  <c r="DU46" i="2634" s="1"/>
  <c r="DT47" i="2634"/>
  <c r="DS47" i="2634"/>
  <c r="DS46" i="2634" s="1"/>
  <c r="DR47" i="2634"/>
  <c r="DQ47" i="2634"/>
  <c r="DP47" i="2634"/>
  <c r="DO47" i="2634"/>
  <c r="DM47" i="2634"/>
  <c r="DL47" i="2634"/>
  <c r="DL46" i="2634" s="1"/>
  <c r="DK47" i="2634"/>
  <c r="DJ47" i="2634"/>
  <c r="DJ46" i="2634" s="1"/>
  <c r="DI47" i="2634"/>
  <c r="DH47" i="2634"/>
  <c r="DG47" i="2634"/>
  <c r="DF47" i="2634"/>
  <c r="DE47" i="2634"/>
  <c r="DD47" i="2634"/>
  <c r="DC47" i="2634"/>
  <c r="DB47" i="2634"/>
  <c r="CZ47" i="2634"/>
  <c r="CZ46" i="2634" s="1"/>
  <c r="CY47" i="2634"/>
  <c r="CY46" i="2634" s="1"/>
  <c r="CX47" i="2634"/>
  <c r="CW47" i="2634"/>
  <c r="CW46" i="2634" s="1"/>
  <c r="CV47" i="2634"/>
  <c r="CU47" i="2634"/>
  <c r="CT47" i="2634"/>
  <c r="CS47" i="2634"/>
  <c r="CR47" i="2634"/>
  <c r="CQ47" i="2634"/>
  <c r="CP47" i="2634"/>
  <c r="CO47" i="2634"/>
  <c r="CM47" i="2634"/>
  <c r="CL47" i="2634"/>
  <c r="CL46" i="2634" s="1"/>
  <c r="CK47" i="2634"/>
  <c r="CJ47" i="2634"/>
  <c r="CJ46" i="2634" s="1"/>
  <c r="CI47" i="2634"/>
  <c r="CH47" i="2634"/>
  <c r="CG47" i="2634"/>
  <c r="CF47" i="2634"/>
  <c r="CE47" i="2634"/>
  <c r="CD47" i="2634"/>
  <c r="CC47" i="2634"/>
  <c r="CB47" i="2634"/>
  <c r="BZ47" i="2634"/>
  <c r="BZ46" i="2634" s="1"/>
  <c r="BY47" i="2634"/>
  <c r="BY46" i="2634" s="1"/>
  <c r="BX47" i="2634"/>
  <c r="BW47" i="2634"/>
  <c r="BW46" i="2634" s="1"/>
  <c r="BV47" i="2634"/>
  <c r="BU47" i="2634"/>
  <c r="BT47" i="2634"/>
  <c r="BS47" i="2634"/>
  <c r="BR47" i="2634"/>
  <c r="BQ47" i="2634"/>
  <c r="BP47" i="2634"/>
  <c r="BO47" i="2634"/>
  <c r="BM47" i="2634"/>
  <c r="BL47" i="2634"/>
  <c r="BL46" i="2634" s="1"/>
  <c r="BK47" i="2634"/>
  <c r="BK46" i="2634" s="1"/>
  <c r="BJ47" i="2634"/>
  <c r="BJ46" i="2634" s="1"/>
  <c r="BI47" i="2634"/>
  <c r="BH47" i="2634"/>
  <c r="BG47" i="2634"/>
  <c r="BF47" i="2634"/>
  <c r="BE47" i="2634"/>
  <c r="BD47" i="2634"/>
  <c r="BC47" i="2634"/>
  <c r="BC46" i="2634" s="1"/>
  <c r="BB47" i="2634"/>
  <c r="AZ47" i="2634"/>
  <c r="AZ46" i="2634" s="1"/>
  <c r="AY47" i="2634"/>
  <c r="AY46" i="2634" s="1"/>
  <c r="AX47" i="2634"/>
  <c r="AW47" i="2634"/>
  <c r="AV47" i="2634"/>
  <c r="AV46" i="2634" s="1"/>
  <c r="AU47" i="2634"/>
  <c r="AT47" i="2634"/>
  <c r="AS47" i="2634"/>
  <c r="AR47" i="2634"/>
  <c r="AQ47" i="2634"/>
  <c r="AP47" i="2634"/>
  <c r="AP46" i="2634" s="1"/>
  <c r="AO47" i="2634"/>
  <c r="AM47" i="2634"/>
  <c r="AM46" i="2634" s="1"/>
  <c r="AL47" i="2634"/>
  <c r="AL46" i="2634" s="1"/>
  <c r="AK47" i="2634"/>
  <c r="AJ47" i="2634"/>
  <c r="AJ46" i="2634" s="1"/>
  <c r="AI47" i="2634"/>
  <c r="AH47" i="2634"/>
  <c r="AG47" i="2634"/>
  <c r="AF47" i="2634"/>
  <c r="AE47" i="2634"/>
  <c r="AD47" i="2634"/>
  <c r="AC47" i="2634"/>
  <c r="AC46" i="2634" s="1"/>
  <c r="AB47" i="2634"/>
  <c r="Z47" i="2634"/>
  <c r="Y47" i="2634"/>
  <c r="X47" i="2634"/>
  <c r="X46" i="2634" s="1"/>
  <c r="W47" i="2634"/>
  <c r="V47" i="2634"/>
  <c r="U47" i="2634"/>
  <c r="T47" i="2634"/>
  <c r="S47" i="2634"/>
  <c r="R47" i="2634"/>
  <c r="R46" i="2634" s="1"/>
  <c r="Q47" i="2634"/>
  <c r="P47" i="2634"/>
  <c r="P46" i="2634" s="1"/>
  <c r="O47" i="2634"/>
  <c r="O46" i="2634" s="1"/>
  <c r="M47" i="2634"/>
  <c r="L47" i="2634"/>
  <c r="L46" i="2634" s="1"/>
  <c r="K47" i="2634"/>
  <c r="J47" i="2634"/>
  <c r="I47" i="2634"/>
  <c r="I46" i="2634" s="1"/>
  <c r="H47" i="2634"/>
  <c r="G47" i="2634"/>
  <c r="F47" i="2634"/>
  <c r="F46" i="2634" s="1"/>
  <c r="E47" i="2634"/>
  <c r="E46" i="2634" s="1"/>
  <c r="D47" i="2634"/>
  <c r="D46" i="2634" s="1"/>
  <c r="C47" i="2634"/>
  <c r="C46" i="2634" s="1"/>
  <c r="B47" i="2634"/>
  <c r="DX46" i="2634"/>
  <c r="DQ46" i="2634"/>
  <c r="DK46" i="2634"/>
  <c r="CQ46" i="2634"/>
  <c r="CM46" i="2634"/>
  <c r="CK46" i="2634"/>
  <c r="CH46" i="2634"/>
  <c r="BX46" i="2634"/>
  <c r="BH46" i="2634"/>
  <c r="BE46" i="2634"/>
  <c r="AD46" i="2634"/>
  <c r="AB46" i="2634"/>
  <c r="DZ44" i="2634"/>
  <c r="DY44" i="2634"/>
  <c r="DX44" i="2634"/>
  <c r="DW44" i="2634"/>
  <c r="DV44" i="2634"/>
  <c r="DU44" i="2634"/>
  <c r="DT44" i="2634"/>
  <c r="DS44" i="2634"/>
  <c r="DR44" i="2634"/>
  <c r="DQ44" i="2634"/>
  <c r="DP44" i="2634"/>
  <c r="DO44" i="2634"/>
  <c r="DM44" i="2634"/>
  <c r="DL44" i="2634"/>
  <c r="DK44" i="2634"/>
  <c r="DJ44" i="2634"/>
  <c r="DI44" i="2634"/>
  <c r="DH44" i="2634"/>
  <c r="DG44" i="2634"/>
  <c r="DF44" i="2634"/>
  <c r="DE44" i="2634"/>
  <c r="DD44" i="2634"/>
  <c r="DC44" i="2634"/>
  <c r="DB44" i="2634"/>
  <c r="CZ44" i="2634"/>
  <c r="CY44" i="2634"/>
  <c r="CX44" i="2634"/>
  <c r="CW44" i="2634"/>
  <c r="CV44" i="2634"/>
  <c r="CU44" i="2634"/>
  <c r="CT44" i="2634"/>
  <c r="CS44" i="2634"/>
  <c r="CR44" i="2634"/>
  <c r="CQ44" i="2634"/>
  <c r="CP44" i="2634"/>
  <c r="CO44" i="2634"/>
  <c r="CM44" i="2634"/>
  <c r="CL44" i="2634"/>
  <c r="CK44" i="2634"/>
  <c r="CJ44" i="2634"/>
  <c r="CI44" i="2634"/>
  <c r="CH44" i="2634"/>
  <c r="CG44" i="2634"/>
  <c r="CF44" i="2634"/>
  <c r="CE44" i="2634"/>
  <c r="CD44" i="2634"/>
  <c r="CC44" i="2634"/>
  <c r="CB44" i="2634"/>
  <c r="BZ44" i="2634"/>
  <c r="BY44" i="2634"/>
  <c r="BX44" i="2634"/>
  <c r="BW44" i="2634"/>
  <c r="BV44" i="2634"/>
  <c r="BU44" i="2634"/>
  <c r="BT44" i="2634"/>
  <c r="BS44" i="2634"/>
  <c r="BR44" i="2634"/>
  <c r="BQ44" i="2634"/>
  <c r="BP44" i="2634"/>
  <c r="BO44" i="2634"/>
  <c r="BM44" i="2634"/>
  <c r="BL44" i="2634"/>
  <c r="BK44" i="2634"/>
  <c r="BJ44" i="2634"/>
  <c r="BI44" i="2634"/>
  <c r="BH44" i="2634"/>
  <c r="BG44" i="2634"/>
  <c r="BF44" i="2634"/>
  <c r="BE44" i="2634"/>
  <c r="BD44" i="2634"/>
  <c r="BC44" i="2634"/>
  <c r="BB44" i="2634"/>
  <c r="AZ44" i="2634"/>
  <c r="AY44" i="2634"/>
  <c r="AX44" i="2634"/>
  <c r="AW44" i="2634"/>
  <c r="AV44" i="2634"/>
  <c r="AU44" i="2634"/>
  <c r="AT44" i="2634"/>
  <c r="AS44" i="2634"/>
  <c r="AR44" i="2634"/>
  <c r="AQ44" i="2634"/>
  <c r="AP44" i="2634"/>
  <c r="AO44" i="2634"/>
  <c r="AM44" i="2634"/>
  <c r="AL44" i="2634"/>
  <c r="AK44" i="2634"/>
  <c r="AJ44" i="2634"/>
  <c r="AI44" i="2634"/>
  <c r="AH44" i="2634"/>
  <c r="AG44" i="2634"/>
  <c r="AF44" i="2634"/>
  <c r="AE44" i="2634"/>
  <c r="AD44" i="2634"/>
  <c r="AC44" i="2634"/>
  <c r="AB44" i="2634"/>
  <c r="Z44" i="2634"/>
  <c r="Y44" i="2634"/>
  <c r="X44" i="2634"/>
  <c r="W44" i="2634"/>
  <c r="V44" i="2634"/>
  <c r="U44" i="2634"/>
  <c r="T44" i="2634"/>
  <c r="S44" i="2634"/>
  <c r="R44" i="2634"/>
  <c r="Q44" i="2634"/>
  <c r="P44" i="2634"/>
  <c r="O44" i="2634"/>
  <c r="M44" i="2634"/>
  <c r="L44" i="2634"/>
  <c r="K44" i="2634"/>
  <c r="J44" i="2634"/>
  <c r="I44" i="2634"/>
  <c r="H44" i="2634"/>
  <c r="G44" i="2634"/>
  <c r="F44" i="2634"/>
  <c r="E44" i="2634"/>
  <c r="D44" i="2634"/>
  <c r="C44" i="2634"/>
  <c r="B44" i="2634"/>
  <c r="DZ43" i="2634"/>
  <c r="DY43" i="2634"/>
  <c r="DX43" i="2634"/>
  <c r="DW43" i="2634"/>
  <c r="DV43" i="2634"/>
  <c r="DU43" i="2634"/>
  <c r="DT43" i="2634"/>
  <c r="DS43" i="2634"/>
  <c r="DR43" i="2634"/>
  <c r="DQ43" i="2634"/>
  <c r="DP43" i="2634"/>
  <c r="DO43" i="2634"/>
  <c r="DM43" i="2634"/>
  <c r="DL43" i="2634"/>
  <c r="DK43" i="2634"/>
  <c r="DJ43" i="2634"/>
  <c r="DI43" i="2634"/>
  <c r="DH43" i="2634"/>
  <c r="DG43" i="2634"/>
  <c r="DF43" i="2634"/>
  <c r="DE43" i="2634"/>
  <c r="DD43" i="2634"/>
  <c r="DC43" i="2634"/>
  <c r="DB43" i="2634"/>
  <c r="CZ43" i="2634"/>
  <c r="CY43" i="2634"/>
  <c r="CX43" i="2634"/>
  <c r="CW43" i="2634"/>
  <c r="CV43" i="2634"/>
  <c r="CU43" i="2634"/>
  <c r="CT43" i="2634"/>
  <c r="CS43" i="2634"/>
  <c r="CR43" i="2634"/>
  <c r="CQ43" i="2634"/>
  <c r="CP43" i="2634"/>
  <c r="CO43" i="2634"/>
  <c r="CM43" i="2634"/>
  <c r="CL43" i="2634"/>
  <c r="CK43" i="2634"/>
  <c r="CJ43" i="2634"/>
  <c r="CI43" i="2634"/>
  <c r="CH43" i="2634"/>
  <c r="CG43" i="2634"/>
  <c r="CF43" i="2634"/>
  <c r="CE43" i="2634"/>
  <c r="CD43" i="2634"/>
  <c r="CC43" i="2634"/>
  <c r="CB43" i="2634"/>
  <c r="BZ43" i="2634"/>
  <c r="BY43" i="2634"/>
  <c r="BX43" i="2634"/>
  <c r="BW43" i="2634"/>
  <c r="BV43" i="2634"/>
  <c r="BU43" i="2634"/>
  <c r="BT43" i="2634"/>
  <c r="BS43" i="2634"/>
  <c r="BR43" i="2634"/>
  <c r="BQ43" i="2634"/>
  <c r="BP43" i="2634"/>
  <c r="BO43" i="2634"/>
  <c r="BM43" i="2634"/>
  <c r="BL43" i="2634"/>
  <c r="BK43" i="2634"/>
  <c r="BJ43" i="2634"/>
  <c r="BI43" i="2634"/>
  <c r="BH43" i="2634"/>
  <c r="BG43" i="2634"/>
  <c r="BF43" i="2634"/>
  <c r="BE43" i="2634"/>
  <c r="BD43" i="2634"/>
  <c r="BC43" i="2634"/>
  <c r="BB43" i="2634"/>
  <c r="AZ43" i="2634"/>
  <c r="AY43" i="2634"/>
  <c r="AX43" i="2634"/>
  <c r="AW43" i="2634"/>
  <c r="AV43" i="2634"/>
  <c r="AU43" i="2634"/>
  <c r="AT43" i="2634"/>
  <c r="AS43" i="2634"/>
  <c r="AR43" i="2634"/>
  <c r="AQ43" i="2634"/>
  <c r="AP43" i="2634"/>
  <c r="AO43" i="2634"/>
  <c r="AM43" i="2634"/>
  <c r="AL43" i="2634"/>
  <c r="AK43" i="2634"/>
  <c r="AJ43" i="2634"/>
  <c r="AI43" i="2634"/>
  <c r="AH43" i="2634"/>
  <c r="AG43" i="2634"/>
  <c r="AF43" i="2634"/>
  <c r="AE43" i="2634"/>
  <c r="AD43" i="2634"/>
  <c r="AC43" i="2634"/>
  <c r="AB43" i="2634"/>
  <c r="Z43" i="2634"/>
  <c r="Y43" i="2634"/>
  <c r="X43" i="2634"/>
  <c r="W43" i="2634"/>
  <c r="V43" i="2634"/>
  <c r="U43" i="2634"/>
  <c r="T43" i="2634"/>
  <c r="S43" i="2634"/>
  <c r="R43" i="2634"/>
  <c r="Q43" i="2634"/>
  <c r="P43" i="2634"/>
  <c r="O43" i="2634"/>
  <c r="M43" i="2634"/>
  <c r="L43" i="2634"/>
  <c r="K43" i="2634"/>
  <c r="J43" i="2634"/>
  <c r="I43" i="2634"/>
  <c r="H43" i="2634"/>
  <c r="G43" i="2634"/>
  <c r="F43" i="2634"/>
  <c r="E43" i="2634"/>
  <c r="D43" i="2634"/>
  <c r="C43" i="2634"/>
  <c r="B43" i="2634"/>
  <c r="AZ117" i="2632"/>
  <c r="AY117" i="2632"/>
  <c r="AX117" i="2632"/>
  <c r="AW117" i="2632"/>
  <c r="AV117" i="2632"/>
  <c r="AU117" i="2632"/>
  <c r="AT117" i="2632"/>
  <c r="AS117" i="2632"/>
  <c r="AR117" i="2632"/>
  <c r="AQ117" i="2632"/>
  <c r="AP117" i="2632"/>
  <c r="AO117" i="2632"/>
  <c r="AM117" i="2632"/>
  <c r="AL117" i="2632"/>
  <c r="AK117" i="2632"/>
  <c r="AJ117" i="2632"/>
  <c r="AI117" i="2632"/>
  <c r="AH117" i="2632"/>
  <c r="AG117" i="2632"/>
  <c r="AF117" i="2632"/>
  <c r="AE117" i="2632"/>
  <c r="AD117" i="2632"/>
  <c r="AC117" i="2632"/>
  <c r="AB117" i="2632"/>
  <c r="Z117" i="2632"/>
  <c r="Y117" i="2632"/>
  <c r="X117" i="2632"/>
  <c r="W117" i="2632"/>
  <c r="V117" i="2632"/>
  <c r="U117" i="2632"/>
  <c r="T117" i="2632"/>
  <c r="S117" i="2632"/>
  <c r="R117" i="2632"/>
  <c r="Q117" i="2632"/>
  <c r="P117" i="2632"/>
  <c r="O117" i="2632"/>
  <c r="M117" i="2632"/>
  <c r="L117" i="2632"/>
  <c r="K117" i="2632"/>
  <c r="J117" i="2632"/>
  <c r="I117" i="2632"/>
  <c r="H117" i="2632"/>
  <c r="G117" i="2632"/>
  <c r="F117" i="2632"/>
  <c r="E117" i="2632"/>
  <c r="D117" i="2632"/>
  <c r="C117" i="2632"/>
  <c r="B117" i="2632"/>
  <c r="AZ116" i="2632"/>
  <c r="AY116" i="2632"/>
  <c r="AX116" i="2632"/>
  <c r="AW116" i="2632"/>
  <c r="AV116" i="2632"/>
  <c r="AU116" i="2632"/>
  <c r="AT116" i="2632"/>
  <c r="AS116" i="2632"/>
  <c r="AR116" i="2632"/>
  <c r="AQ116" i="2632"/>
  <c r="AP116" i="2632"/>
  <c r="AO116" i="2632"/>
  <c r="AM116" i="2632"/>
  <c r="AL116" i="2632"/>
  <c r="AK116" i="2632"/>
  <c r="AJ116" i="2632"/>
  <c r="AI116" i="2632"/>
  <c r="AH116" i="2632"/>
  <c r="AG116" i="2632"/>
  <c r="AF116" i="2632"/>
  <c r="AE116" i="2632"/>
  <c r="AD116" i="2632"/>
  <c r="AC116" i="2632"/>
  <c r="AB116" i="2632"/>
  <c r="Z116" i="2632"/>
  <c r="Y116" i="2632"/>
  <c r="X116" i="2632"/>
  <c r="W116" i="2632"/>
  <c r="V116" i="2632"/>
  <c r="U116" i="2632"/>
  <c r="T116" i="2632"/>
  <c r="S116" i="2632"/>
  <c r="R116" i="2632"/>
  <c r="Q116" i="2632"/>
  <c r="P116" i="2632"/>
  <c r="O116" i="2632"/>
  <c r="M116" i="2632"/>
  <c r="L116" i="2632"/>
  <c r="K116" i="2632"/>
  <c r="J116" i="2632"/>
  <c r="I116" i="2632"/>
  <c r="H116" i="2632"/>
  <c r="G116" i="2632"/>
  <c r="F116" i="2632"/>
  <c r="E116" i="2632"/>
  <c r="D116" i="2632"/>
  <c r="C116" i="2632"/>
  <c r="B116" i="2632"/>
  <c r="AZ115" i="2632"/>
  <c r="AY115" i="2632"/>
  <c r="AX115" i="2632"/>
  <c r="AW115" i="2632"/>
  <c r="AV115" i="2632"/>
  <c r="AU115" i="2632"/>
  <c r="AT115" i="2632"/>
  <c r="AS115" i="2632"/>
  <c r="AR115" i="2632"/>
  <c r="AQ115" i="2632"/>
  <c r="AP115" i="2632"/>
  <c r="AO115" i="2632"/>
  <c r="AM115" i="2632"/>
  <c r="AL115" i="2632"/>
  <c r="AK115" i="2632"/>
  <c r="AJ115" i="2632"/>
  <c r="AI115" i="2632"/>
  <c r="AH115" i="2632"/>
  <c r="AG115" i="2632"/>
  <c r="AF115" i="2632"/>
  <c r="AE115" i="2632"/>
  <c r="AD115" i="2632"/>
  <c r="AC115" i="2632"/>
  <c r="AB115" i="2632"/>
  <c r="Z115" i="2632"/>
  <c r="Y115" i="2632"/>
  <c r="X115" i="2632"/>
  <c r="W115" i="2632"/>
  <c r="V115" i="2632"/>
  <c r="U115" i="2632"/>
  <c r="T115" i="2632"/>
  <c r="S115" i="2632"/>
  <c r="R115" i="2632"/>
  <c r="Q115" i="2632"/>
  <c r="P115" i="2632"/>
  <c r="O115" i="2632"/>
  <c r="M115" i="2632"/>
  <c r="L115" i="2632"/>
  <c r="K115" i="2632"/>
  <c r="J115" i="2632"/>
  <c r="I115" i="2632"/>
  <c r="H115" i="2632"/>
  <c r="G115" i="2632"/>
  <c r="F115" i="2632"/>
  <c r="E115" i="2632"/>
  <c r="D115" i="2632"/>
  <c r="C115" i="2632"/>
  <c r="B115" i="2632"/>
  <c r="AZ114" i="2632"/>
  <c r="AY114" i="2632"/>
  <c r="AX114" i="2632"/>
  <c r="AW114" i="2632"/>
  <c r="AV114" i="2632"/>
  <c r="AU114" i="2632"/>
  <c r="AT114" i="2632"/>
  <c r="AS114" i="2632"/>
  <c r="AR114" i="2632"/>
  <c r="AQ114" i="2632"/>
  <c r="AP114" i="2632"/>
  <c r="AO114" i="2632"/>
  <c r="AM114" i="2632"/>
  <c r="AL114" i="2632"/>
  <c r="AK114" i="2632"/>
  <c r="AJ114" i="2632"/>
  <c r="AI114" i="2632"/>
  <c r="AH114" i="2632"/>
  <c r="AG114" i="2632"/>
  <c r="AF114" i="2632"/>
  <c r="AE114" i="2632"/>
  <c r="AD114" i="2632"/>
  <c r="AC114" i="2632"/>
  <c r="AB114" i="2632"/>
  <c r="Z114" i="2632"/>
  <c r="Y114" i="2632"/>
  <c r="X114" i="2632"/>
  <c r="W114" i="2632"/>
  <c r="V114" i="2632"/>
  <c r="U114" i="2632"/>
  <c r="T114" i="2632"/>
  <c r="S114" i="2632"/>
  <c r="R114" i="2632"/>
  <c r="Q114" i="2632"/>
  <c r="P114" i="2632"/>
  <c r="O114" i="2632"/>
  <c r="M114" i="2632"/>
  <c r="L114" i="2632"/>
  <c r="K114" i="2632"/>
  <c r="J114" i="2632"/>
  <c r="I114" i="2632"/>
  <c r="H114" i="2632"/>
  <c r="G114" i="2632"/>
  <c r="F114" i="2632"/>
  <c r="E114" i="2632"/>
  <c r="D114" i="2632"/>
  <c r="C114" i="2632"/>
  <c r="B114" i="2632"/>
  <c r="AZ113" i="2632"/>
  <c r="AY113" i="2632"/>
  <c r="AX113" i="2632"/>
  <c r="AW113" i="2632"/>
  <c r="AV113" i="2632"/>
  <c r="AU113" i="2632"/>
  <c r="AT113" i="2632"/>
  <c r="AS113" i="2632"/>
  <c r="AR113" i="2632"/>
  <c r="AQ113" i="2632"/>
  <c r="AP113" i="2632"/>
  <c r="AO113" i="2632"/>
  <c r="AM113" i="2632"/>
  <c r="AL113" i="2632"/>
  <c r="AK113" i="2632"/>
  <c r="AJ113" i="2632"/>
  <c r="AI113" i="2632"/>
  <c r="AH113" i="2632"/>
  <c r="AG113" i="2632"/>
  <c r="AF113" i="2632"/>
  <c r="AE113" i="2632"/>
  <c r="AD113" i="2632"/>
  <c r="AC113" i="2632"/>
  <c r="AB113" i="2632"/>
  <c r="Z113" i="2632"/>
  <c r="Y113" i="2632"/>
  <c r="X113" i="2632"/>
  <c r="W113" i="2632"/>
  <c r="V113" i="2632"/>
  <c r="U113" i="2632"/>
  <c r="T113" i="2632"/>
  <c r="S113" i="2632"/>
  <c r="R113" i="2632"/>
  <c r="Q113" i="2632"/>
  <c r="P113" i="2632"/>
  <c r="O113" i="2632"/>
  <c r="M113" i="2632"/>
  <c r="L113" i="2632"/>
  <c r="K113" i="2632"/>
  <c r="J113" i="2632"/>
  <c r="I113" i="2632"/>
  <c r="H113" i="2632"/>
  <c r="G113" i="2632"/>
  <c r="F113" i="2632"/>
  <c r="E113" i="2632"/>
  <c r="D113" i="2632"/>
  <c r="C113" i="2632"/>
  <c r="B113" i="2632"/>
  <c r="AZ111" i="2632"/>
  <c r="AY111" i="2632"/>
  <c r="AX111" i="2632"/>
  <c r="AW111" i="2632"/>
  <c r="AV111" i="2632"/>
  <c r="AU111" i="2632"/>
  <c r="AT111" i="2632"/>
  <c r="AS111" i="2632"/>
  <c r="AR111" i="2632"/>
  <c r="AQ111" i="2632"/>
  <c r="AP111" i="2632"/>
  <c r="AO111" i="2632"/>
  <c r="AM111" i="2632"/>
  <c r="AL111" i="2632"/>
  <c r="AK111" i="2632"/>
  <c r="AJ111" i="2632"/>
  <c r="AI111" i="2632"/>
  <c r="AH111" i="2632"/>
  <c r="AG111" i="2632"/>
  <c r="AF111" i="2632"/>
  <c r="AE111" i="2632"/>
  <c r="AD111" i="2632"/>
  <c r="AC111" i="2632"/>
  <c r="AB111" i="2632"/>
  <c r="Z111" i="2632"/>
  <c r="Y111" i="2632"/>
  <c r="X111" i="2632"/>
  <c r="W111" i="2632"/>
  <c r="V111" i="2632"/>
  <c r="U111" i="2632"/>
  <c r="T111" i="2632"/>
  <c r="S111" i="2632"/>
  <c r="R111" i="2632"/>
  <c r="Q111" i="2632"/>
  <c r="P111" i="2632"/>
  <c r="O111" i="2632"/>
  <c r="L111" i="2632"/>
  <c r="K111" i="2632"/>
  <c r="J111" i="2632"/>
  <c r="I111" i="2632"/>
  <c r="H111" i="2632"/>
  <c r="G111" i="2632"/>
  <c r="F111" i="2632"/>
  <c r="E111" i="2632"/>
  <c r="D111" i="2632"/>
  <c r="C111" i="2632"/>
  <c r="B111" i="2632"/>
  <c r="AZ110" i="2632"/>
  <c r="AY110" i="2632"/>
  <c r="AX110" i="2632"/>
  <c r="AW110" i="2632"/>
  <c r="AV110" i="2632"/>
  <c r="AU110" i="2632"/>
  <c r="AT110" i="2632"/>
  <c r="AS110" i="2632"/>
  <c r="AR110" i="2632"/>
  <c r="AQ110" i="2632"/>
  <c r="AP110" i="2632"/>
  <c r="AO110" i="2632"/>
  <c r="AM110" i="2632"/>
  <c r="AL110" i="2632"/>
  <c r="AK110" i="2632"/>
  <c r="AJ110" i="2632"/>
  <c r="AI110" i="2632"/>
  <c r="AH110" i="2632"/>
  <c r="AG110" i="2632"/>
  <c r="AF110" i="2632"/>
  <c r="AE110" i="2632"/>
  <c r="AD110" i="2632"/>
  <c r="AC110" i="2632"/>
  <c r="AB110" i="2632"/>
  <c r="Z110" i="2632"/>
  <c r="Y110" i="2632"/>
  <c r="X110" i="2632"/>
  <c r="W110" i="2632"/>
  <c r="V110" i="2632"/>
  <c r="U110" i="2632"/>
  <c r="T110" i="2632"/>
  <c r="S110" i="2632"/>
  <c r="R110" i="2632"/>
  <c r="Q110" i="2632"/>
  <c r="P110" i="2632"/>
  <c r="O110" i="2632"/>
  <c r="M110" i="2632"/>
  <c r="L110" i="2632"/>
  <c r="K110" i="2632"/>
  <c r="J110" i="2632"/>
  <c r="I110" i="2632"/>
  <c r="H110" i="2632"/>
  <c r="G110" i="2632"/>
  <c r="F110" i="2632"/>
  <c r="E110" i="2632"/>
  <c r="D110" i="2632"/>
  <c r="C110" i="2632"/>
  <c r="B110" i="2632"/>
  <c r="AZ109" i="2632"/>
  <c r="AY109" i="2632"/>
  <c r="AX109" i="2632"/>
  <c r="AW109" i="2632"/>
  <c r="AV109" i="2632"/>
  <c r="AU109" i="2632"/>
  <c r="AT109" i="2632"/>
  <c r="AS109" i="2632"/>
  <c r="AR109" i="2632"/>
  <c r="AQ109" i="2632"/>
  <c r="AP109" i="2632"/>
  <c r="AO109" i="2632"/>
  <c r="AM109" i="2632"/>
  <c r="AL109" i="2632"/>
  <c r="AK109" i="2632"/>
  <c r="AJ109" i="2632"/>
  <c r="AI109" i="2632"/>
  <c r="AH109" i="2632"/>
  <c r="AG109" i="2632"/>
  <c r="AF109" i="2632"/>
  <c r="AE109" i="2632"/>
  <c r="AD109" i="2632"/>
  <c r="AC109" i="2632"/>
  <c r="AB109" i="2632"/>
  <c r="Z109" i="2632"/>
  <c r="Y109" i="2632"/>
  <c r="X109" i="2632"/>
  <c r="W109" i="2632"/>
  <c r="V109" i="2632"/>
  <c r="U109" i="2632"/>
  <c r="T109" i="2632"/>
  <c r="S109" i="2632"/>
  <c r="R109" i="2632"/>
  <c r="Q109" i="2632"/>
  <c r="P109" i="2632"/>
  <c r="O109" i="2632"/>
  <c r="M109" i="2632"/>
  <c r="L109" i="2632"/>
  <c r="K109" i="2632"/>
  <c r="J109" i="2632"/>
  <c r="I109" i="2632"/>
  <c r="H109" i="2632"/>
  <c r="G109" i="2632"/>
  <c r="F109" i="2632"/>
  <c r="E109" i="2632"/>
  <c r="D109" i="2632"/>
  <c r="C109" i="2632"/>
  <c r="B109" i="2632"/>
  <c r="AZ108" i="2632"/>
  <c r="AY108" i="2632"/>
  <c r="AX108" i="2632"/>
  <c r="AW108" i="2632"/>
  <c r="AV108" i="2632"/>
  <c r="AU108" i="2632"/>
  <c r="AT108" i="2632"/>
  <c r="AS108" i="2632"/>
  <c r="AR108" i="2632"/>
  <c r="AQ108" i="2632"/>
  <c r="AP108" i="2632"/>
  <c r="AO108" i="2632"/>
  <c r="AM108" i="2632"/>
  <c r="AL108" i="2632"/>
  <c r="AK108" i="2632"/>
  <c r="AJ108" i="2632"/>
  <c r="AI108" i="2632"/>
  <c r="AH108" i="2632"/>
  <c r="AG108" i="2632"/>
  <c r="AF108" i="2632"/>
  <c r="AE108" i="2632"/>
  <c r="AD108" i="2632"/>
  <c r="AC108" i="2632"/>
  <c r="AB108" i="2632"/>
  <c r="Z108" i="2632"/>
  <c r="Y108" i="2632"/>
  <c r="X108" i="2632"/>
  <c r="W108" i="2632"/>
  <c r="V108" i="2632"/>
  <c r="U108" i="2632"/>
  <c r="T108" i="2632"/>
  <c r="S108" i="2632"/>
  <c r="R108" i="2632"/>
  <c r="Q108" i="2632"/>
  <c r="P108" i="2632"/>
  <c r="O108" i="2632"/>
  <c r="M108" i="2632"/>
  <c r="L108" i="2632"/>
  <c r="K108" i="2632"/>
  <c r="J108" i="2632"/>
  <c r="I108" i="2632"/>
  <c r="H108" i="2632"/>
  <c r="G108" i="2632"/>
  <c r="F108" i="2632"/>
  <c r="E108" i="2632"/>
  <c r="D108" i="2632"/>
  <c r="C108" i="2632"/>
  <c r="B108" i="2632"/>
  <c r="AZ107" i="2632"/>
  <c r="AY107" i="2632"/>
  <c r="AX107" i="2632"/>
  <c r="AW107" i="2632"/>
  <c r="AV107" i="2632"/>
  <c r="AU107" i="2632"/>
  <c r="AT107" i="2632"/>
  <c r="AS107" i="2632"/>
  <c r="AR107" i="2632"/>
  <c r="AQ107" i="2632"/>
  <c r="AP107" i="2632"/>
  <c r="AO107" i="2632"/>
  <c r="AM107" i="2632"/>
  <c r="AL107" i="2632"/>
  <c r="AK107" i="2632"/>
  <c r="AJ107" i="2632"/>
  <c r="AI107" i="2632"/>
  <c r="AH107" i="2632"/>
  <c r="AG107" i="2632"/>
  <c r="AF107" i="2632"/>
  <c r="AE107" i="2632"/>
  <c r="AD107" i="2632"/>
  <c r="AC107" i="2632"/>
  <c r="AB107" i="2632"/>
  <c r="Z107" i="2632"/>
  <c r="Y107" i="2632"/>
  <c r="X107" i="2632"/>
  <c r="W107" i="2632"/>
  <c r="V107" i="2632"/>
  <c r="U107" i="2632"/>
  <c r="T107" i="2632"/>
  <c r="S107" i="2632"/>
  <c r="R107" i="2632"/>
  <c r="Q107" i="2632"/>
  <c r="P107" i="2632"/>
  <c r="O107" i="2632"/>
  <c r="M107" i="2632"/>
  <c r="L107" i="2632"/>
  <c r="K107" i="2632"/>
  <c r="J107" i="2632"/>
  <c r="I107" i="2632"/>
  <c r="H107" i="2632"/>
  <c r="G107" i="2632"/>
  <c r="F107" i="2632"/>
  <c r="E107" i="2632"/>
  <c r="D107" i="2632"/>
  <c r="C107" i="2632"/>
  <c r="B107" i="2632"/>
  <c r="CZ97" i="2632"/>
  <c r="CZ117" i="2632" s="1"/>
  <c r="CY97" i="2632"/>
  <c r="CY117" i="2632" s="1"/>
  <c r="CX97" i="2632"/>
  <c r="CX117" i="2632" s="1"/>
  <c r="CW97" i="2632"/>
  <c r="CW117" i="2632" s="1"/>
  <c r="CV97" i="2632"/>
  <c r="CV117" i="2632" s="1"/>
  <c r="CU97" i="2632"/>
  <c r="CU117" i="2632" s="1"/>
  <c r="CT97" i="2632"/>
  <c r="CT117" i="2632" s="1"/>
  <c r="CS97" i="2632"/>
  <c r="CS117" i="2632" s="1"/>
  <c r="CR97" i="2632"/>
  <c r="CR117" i="2632" s="1"/>
  <c r="CQ97" i="2632"/>
  <c r="CP97" i="2632"/>
  <c r="CP117" i="2632" s="1"/>
  <c r="CO97" i="2632"/>
  <c r="CO117" i="2632" s="1"/>
  <c r="CM97" i="2632"/>
  <c r="CM117" i="2632" s="1"/>
  <c r="CL97" i="2632"/>
  <c r="CL117" i="2632" s="1"/>
  <c r="CK97" i="2632"/>
  <c r="CK117" i="2632" s="1"/>
  <c r="CJ97" i="2632"/>
  <c r="CJ117" i="2632" s="1"/>
  <c r="CI97" i="2632"/>
  <c r="CI117" i="2632" s="1"/>
  <c r="CH97" i="2632"/>
  <c r="CH117" i="2632" s="1"/>
  <c r="CG97" i="2632"/>
  <c r="CG117" i="2632" s="1"/>
  <c r="CF97" i="2632"/>
  <c r="CF117" i="2632" s="1"/>
  <c r="CE97" i="2632"/>
  <c r="CE117" i="2632" s="1"/>
  <c r="CD97" i="2632"/>
  <c r="CD117" i="2632" s="1"/>
  <c r="CC97" i="2632"/>
  <c r="CC117" i="2632" s="1"/>
  <c r="CB97" i="2632"/>
  <c r="CB117" i="2632" s="1"/>
  <c r="BZ97" i="2632"/>
  <c r="BZ117" i="2632" s="1"/>
  <c r="BY97" i="2632"/>
  <c r="BY117" i="2632" s="1"/>
  <c r="BX97" i="2632"/>
  <c r="BX117" i="2632" s="1"/>
  <c r="BW97" i="2632"/>
  <c r="BW117" i="2632" s="1"/>
  <c r="BV97" i="2632"/>
  <c r="BV117" i="2632" s="1"/>
  <c r="BU97" i="2632"/>
  <c r="BU117" i="2632" s="1"/>
  <c r="BT97" i="2632"/>
  <c r="BT117" i="2632" s="1"/>
  <c r="BS97" i="2632"/>
  <c r="BS117" i="2632" s="1"/>
  <c r="BR97" i="2632"/>
  <c r="BR117" i="2632" s="1"/>
  <c r="BQ97" i="2632"/>
  <c r="BQ117" i="2632" s="1"/>
  <c r="BP97" i="2632"/>
  <c r="BP117" i="2632" s="1"/>
  <c r="BO97" i="2632"/>
  <c r="BO117" i="2632" s="1"/>
  <c r="BM97" i="2632"/>
  <c r="BM117" i="2632" s="1"/>
  <c r="BL97" i="2632"/>
  <c r="BL117" i="2632" s="1"/>
  <c r="BK97" i="2632"/>
  <c r="BK117" i="2632" s="1"/>
  <c r="BJ97" i="2632"/>
  <c r="BJ117" i="2632" s="1"/>
  <c r="BI97" i="2632"/>
  <c r="BI117" i="2632" s="1"/>
  <c r="BH97" i="2632"/>
  <c r="BH117" i="2632" s="1"/>
  <c r="BG97" i="2632"/>
  <c r="BG117" i="2632" s="1"/>
  <c r="BF97" i="2632"/>
  <c r="BF117" i="2632" s="1"/>
  <c r="BE97" i="2632"/>
  <c r="BE117" i="2632" s="1"/>
  <c r="BD97" i="2632"/>
  <c r="BD117" i="2632" s="1"/>
  <c r="BC97" i="2632"/>
  <c r="BC117" i="2632" s="1"/>
  <c r="BB97" i="2632"/>
  <c r="BB117" i="2632" s="1"/>
  <c r="CZ96" i="2632"/>
  <c r="CZ116" i="2632" s="1"/>
  <c r="CY96" i="2632"/>
  <c r="CY116" i="2632" s="1"/>
  <c r="CX96" i="2632"/>
  <c r="CX116" i="2632" s="1"/>
  <c r="CW96" i="2632"/>
  <c r="CW116" i="2632" s="1"/>
  <c r="CV96" i="2632"/>
  <c r="CV116" i="2632" s="1"/>
  <c r="CU96" i="2632"/>
  <c r="CU116" i="2632" s="1"/>
  <c r="CT96" i="2632"/>
  <c r="CT116" i="2632" s="1"/>
  <c r="CS96" i="2632"/>
  <c r="CS116" i="2632" s="1"/>
  <c r="CR96" i="2632"/>
  <c r="CR116" i="2632" s="1"/>
  <c r="CQ96" i="2632"/>
  <c r="CQ116" i="2632" s="1"/>
  <c r="CP96" i="2632"/>
  <c r="CP116" i="2632" s="1"/>
  <c r="CO96" i="2632"/>
  <c r="CO116" i="2632" s="1"/>
  <c r="CM96" i="2632"/>
  <c r="CM116" i="2632" s="1"/>
  <c r="CL96" i="2632"/>
  <c r="CL116" i="2632" s="1"/>
  <c r="CK96" i="2632"/>
  <c r="CK116" i="2632" s="1"/>
  <c r="CJ96" i="2632"/>
  <c r="CJ116" i="2632" s="1"/>
  <c r="CI96" i="2632"/>
  <c r="CI116" i="2632" s="1"/>
  <c r="CH96" i="2632"/>
  <c r="CH116" i="2632" s="1"/>
  <c r="CG96" i="2632"/>
  <c r="CG116" i="2632" s="1"/>
  <c r="CF96" i="2632"/>
  <c r="CF116" i="2632" s="1"/>
  <c r="CE96" i="2632"/>
  <c r="CE116" i="2632" s="1"/>
  <c r="CD96" i="2632"/>
  <c r="CD116" i="2632" s="1"/>
  <c r="CC96" i="2632"/>
  <c r="CC116" i="2632" s="1"/>
  <c r="CB96" i="2632"/>
  <c r="CB116" i="2632" s="1"/>
  <c r="BZ96" i="2632"/>
  <c r="BZ116" i="2632" s="1"/>
  <c r="BY96" i="2632"/>
  <c r="BY116" i="2632" s="1"/>
  <c r="BX96" i="2632"/>
  <c r="BX116" i="2632" s="1"/>
  <c r="BW96" i="2632"/>
  <c r="BW116" i="2632" s="1"/>
  <c r="BV96" i="2632"/>
  <c r="BV116" i="2632" s="1"/>
  <c r="BU96" i="2632"/>
  <c r="BU116" i="2632" s="1"/>
  <c r="BT96" i="2632"/>
  <c r="BT116" i="2632" s="1"/>
  <c r="BS96" i="2632"/>
  <c r="BS116" i="2632" s="1"/>
  <c r="BR96" i="2632"/>
  <c r="BR116" i="2632" s="1"/>
  <c r="BQ96" i="2632"/>
  <c r="BQ116" i="2632" s="1"/>
  <c r="BP96" i="2632"/>
  <c r="BP116" i="2632" s="1"/>
  <c r="BO96" i="2632"/>
  <c r="BO116" i="2632" s="1"/>
  <c r="BM96" i="2632"/>
  <c r="BM116" i="2632" s="1"/>
  <c r="BL96" i="2632"/>
  <c r="BL116" i="2632" s="1"/>
  <c r="BK96" i="2632"/>
  <c r="BK116" i="2632" s="1"/>
  <c r="BJ96" i="2632"/>
  <c r="BJ116" i="2632" s="1"/>
  <c r="BI96" i="2632"/>
  <c r="BI116" i="2632" s="1"/>
  <c r="BH96" i="2632"/>
  <c r="BH116" i="2632" s="1"/>
  <c r="BG96" i="2632"/>
  <c r="BG116" i="2632" s="1"/>
  <c r="BF96" i="2632"/>
  <c r="BF116" i="2632" s="1"/>
  <c r="BE96" i="2632"/>
  <c r="BE116" i="2632" s="1"/>
  <c r="BD96" i="2632"/>
  <c r="BD116" i="2632" s="1"/>
  <c r="BC96" i="2632"/>
  <c r="BC116" i="2632" s="1"/>
  <c r="BB96" i="2632"/>
  <c r="BB116" i="2632" s="1"/>
  <c r="CZ95" i="2632"/>
  <c r="CZ115" i="2632" s="1"/>
  <c r="CY95" i="2632"/>
  <c r="CY115" i="2632" s="1"/>
  <c r="CX95" i="2632"/>
  <c r="CX115" i="2632" s="1"/>
  <c r="CW95" i="2632"/>
  <c r="CW115" i="2632" s="1"/>
  <c r="CV95" i="2632"/>
  <c r="CV115" i="2632" s="1"/>
  <c r="CU95" i="2632"/>
  <c r="CU115" i="2632" s="1"/>
  <c r="CT95" i="2632"/>
  <c r="CT115" i="2632" s="1"/>
  <c r="CS95" i="2632"/>
  <c r="CS115" i="2632" s="1"/>
  <c r="CR95" i="2632"/>
  <c r="CR115" i="2632" s="1"/>
  <c r="CQ95" i="2632"/>
  <c r="CQ115" i="2632" s="1"/>
  <c r="CP95" i="2632"/>
  <c r="CP115" i="2632" s="1"/>
  <c r="CO95" i="2632"/>
  <c r="CO115" i="2632" s="1"/>
  <c r="CM95" i="2632"/>
  <c r="CM115" i="2632" s="1"/>
  <c r="CL95" i="2632"/>
  <c r="CL115" i="2632" s="1"/>
  <c r="CK95" i="2632"/>
  <c r="CK115" i="2632" s="1"/>
  <c r="CJ95" i="2632"/>
  <c r="CJ115" i="2632" s="1"/>
  <c r="CI95" i="2632"/>
  <c r="CI115" i="2632" s="1"/>
  <c r="CH95" i="2632"/>
  <c r="CH115" i="2632" s="1"/>
  <c r="CG95" i="2632"/>
  <c r="CG115" i="2632" s="1"/>
  <c r="CF95" i="2632"/>
  <c r="CF115" i="2632" s="1"/>
  <c r="CE95" i="2632"/>
  <c r="CE115" i="2632" s="1"/>
  <c r="CD95" i="2632"/>
  <c r="CD115" i="2632" s="1"/>
  <c r="CC95" i="2632"/>
  <c r="CC115" i="2632" s="1"/>
  <c r="CB95" i="2632"/>
  <c r="CB115" i="2632" s="1"/>
  <c r="BZ95" i="2632"/>
  <c r="BZ115" i="2632" s="1"/>
  <c r="BY95" i="2632"/>
  <c r="BY115" i="2632" s="1"/>
  <c r="BX95" i="2632"/>
  <c r="BX115" i="2632" s="1"/>
  <c r="BW95" i="2632"/>
  <c r="BW115" i="2632" s="1"/>
  <c r="BV95" i="2632"/>
  <c r="BV115" i="2632" s="1"/>
  <c r="BU95" i="2632"/>
  <c r="BU115" i="2632" s="1"/>
  <c r="BT95" i="2632"/>
  <c r="BT115" i="2632" s="1"/>
  <c r="BS95" i="2632"/>
  <c r="BS115" i="2632" s="1"/>
  <c r="BR95" i="2632"/>
  <c r="BR115" i="2632" s="1"/>
  <c r="BQ95" i="2632"/>
  <c r="BQ115" i="2632" s="1"/>
  <c r="BP95" i="2632"/>
  <c r="BP115" i="2632" s="1"/>
  <c r="BO95" i="2632"/>
  <c r="BO115" i="2632" s="1"/>
  <c r="BM95" i="2632"/>
  <c r="BM115" i="2632" s="1"/>
  <c r="BL95" i="2632"/>
  <c r="BL115" i="2632" s="1"/>
  <c r="BK95" i="2632"/>
  <c r="BK115" i="2632" s="1"/>
  <c r="BJ95" i="2632"/>
  <c r="BJ115" i="2632" s="1"/>
  <c r="BI95" i="2632"/>
  <c r="BI115" i="2632" s="1"/>
  <c r="BH95" i="2632"/>
  <c r="BH115" i="2632" s="1"/>
  <c r="BG95" i="2632"/>
  <c r="BG115" i="2632" s="1"/>
  <c r="BF95" i="2632"/>
  <c r="BF115" i="2632" s="1"/>
  <c r="BE95" i="2632"/>
  <c r="BE115" i="2632" s="1"/>
  <c r="BD95" i="2632"/>
  <c r="BD115" i="2632" s="1"/>
  <c r="BC95" i="2632"/>
  <c r="BC115" i="2632" s="1"/>
  <c r="BB95" i="2632"/>
  <c r="BB115" i="2632" s="1"/>
  <c r="CZ94" i="2632"/>
  <c r="CZ114" i="2632" s="1"/>
  <c r="CY94" i="2632"/>
  <c r="CY114" i="2632" s="1"/>
  <c r="CX94" i="2632"/>
  <c r="CX114" i="2632" s="1"/>
  <c r="CW94" i="2632"/>
  <c r="CW114" i="2632" s="1"/>
  <c r="CV94" i="2632"/>
  <c r="CV114" i="2632" s="1"/>
  <c r="CU94" i="2632"/>
  <c r="CU114" i="2632" s="1"/>
  <c r="CT94" i="2632"/>
  <c r="CT114" i="2632" s="1"/>
  <c r="CS94" i="2632"/>
  <c r="CS114" i="2632" s="1"/>
  <c r="CR94" i="2632"/>
  <c r="CR114" i="2632" s="1"/>
  <c r="CQ94" i="2632"/>
  <c r="CQ114" i="2632" s="1"/>
  <c r="CP94" i="2632"/>
  <c r="CP114" i="2632" s="1"/>
  <c r="CO94" i="2632"/>
  <c r="CO114" i="2632" s="1"/>
  <c r="CM94" i="2632"/>
  <c r="CM114" i="2632" s="1"/>
  <c r="CL94" i="2632"/>
  <c r="CL114" i="2632" s="1"/>
  <c r="CK94" i="2632"/>
  <c r="CK114" i="2632" s="1"/>
  <c r="CJ94" i="2632"/>
  <c r="CJ114" i="2632" s="1"/>
  <c r="CI94" i="2632"/>
  <c r="CI114" i="2632" s="1"/>
  <c r="CH94" i="2632"/>
  <c r="CH114" i="2632" s="1"/>
  <c r="CG94" i="2632"/>
  <c r="CG114" i="2632" s="1"/>
  <c r="CF94" i="2632"/>
  <c r="CF114" i="2632" s="1"/>
  <c r="CE94" i="2632"/>
  <c r="CE114" i="2632" s="1"/>
  <c r="CD94" i="2632"/>
  <c r="CD114" i="2632" s="1"/>
  <c r="CC94" i="2632"/>
  <c r="CC114" i="2632" s="1"/>
  <c r="CB94" i="2632"/>
  <c r="CB114" i="2632" s="1"/>
  <c r="BZ94" i="2632"/>
  <c r="BZ114" i="2632" s="1"/>
  <c r="BY94" i="2632"/>
  <c r="BY114" i="2632" s="1"/>
  <c r="BX94" i="2632"/>
  <c r="BX114" i="2632" s="1"/>
  <c r="BW94" i="2632"/>
  <c r="BW114" i="2632" s="1"/>
  <c r="BV94" i="2632"/>
  <c r="BV114" i="2632" s="1"/>
  <c r="BU94" i="2632"/>
  <c r="BU114" i="2632" s="1"/>
  <c r="BT94" i="2632"/>
  <c r="BT114" i="2632" s="1"/>
  <c r="BS94" i="2632"/>
  <c r="BS114" i="2632" s="1"/>
  <c r="BR94" i="2632"/>
  <c r="BR114" i="2632" s="1"/>
  <c r="BQ94" i="2632"/>
  <c r="BQ114" i="2632" s="1"/>
  <c r="BP94" i="2632"/>
  <c r="BP114" i="2632" s="1"/>
  <c r="BO94" i="2632"/>
  <c r="BO114" i="2632" s="1"/>
  <c r="BM94" i="2632"/>
  <c r="BM114" i="2632" s="1"/>
  <c r="BL94" i="2632"/>
  <c r="BL114" i="2632" s="1"/>
  <c r="BK94" i="2632"/>
  <c r="BK114" i="2632" s="1"/>
  <c r="BJ94" i="2632"/>
  <c r="BJ114" i="2632" s="1"/>
  <c r="BI94" i="2632"/>
  <c r="BI114" i="2632" s="1"/>
  <c r="BH94" i="2632"/>
  <c r="BH114" i="2632" s="1"/>
  <c r="BG94" i="2632"/>
  <c r="BG114" i="2632" s="1"/>
  <c r="BF94" i="2632"/>
  <c r="BF114" i="2632" s="1"/>
  <c r="BE94" i="2632"/>
  <c r="BE114" i="2632" s="1"/>
  <c r="BD94" i="2632"/>
  <c r="BD114" i="2632" s="1"/>
  <c r="BC94" i="2632"/>
  <c r="BC114" i="2632" s="1"/>
  <c r="BB94" i="2632"/>
  <c r="BB114" i="2632" s="1"/>
  <c r="CZ93" i="2632"/>
  <c r="CZ113" i="2632" s="1"/>
  <c r="CY93" i="2632"/>
  <c r="CY113" i="2632" s="1"/>
  <c r="CX93" i="2632"/>
  <c r="CX113" i="2632" s="1"/>
  <c r="CW93" i="2632"/>
  <c r="CW113" i="2632" s="1"/>
  <c r="CV93" i="2632"/>
  <c r="CV113" i="2632" s="1"/>
  <c r="CU93" i="2632"/>
  <c r="CU113" i="2632" s="1"/>
  <c r="CT93" i="2632"/>
  <c r="CT113" i="2632" s="1"/>
  <c r="CS93" i="2632"/>
  <c r="CS113" i="2632" s="1"/>
  <c r="CR93" i="2632"/>
  <c r="CR113" i="2632" s="1"/>
  <c r="CQ93" i="2632"/>
  <c r="CQ113" i="2632" s="1"/>
  <c r="CP93" i="2632"/>
  <c r="CP113" i="2632" s="1"/>
  <c r="CO93" i="2632"/>
  <c r="CO113" i="2632" s="1"/>
  <c r="CM93" i="2632"/>
  <c r="CM113" i="2632" s="1"/>
  <c r="CL93" i="2632"/>
  <c r="CL113" i="2632" s="1"/>
  <c r="CK93" i="2632"/>
  <c r="CK113" i="2632" s="1"/>
  <c r="CJ93" i="2632"/>
  <c r="CJ113" i="2632" s="1"/>
  <c r="CI93" i="2632"/>
  <c r="CI113" i="2632" s="1"/>
  <c r="CH93" i="2632"/>
  <c r="CH113" i="2632" s="1"/>
  <c r="CG93" i="2632"/>
  <c r="CG113" i="2632" s="1"/>
  <c r="CF93" i="2632"/>
  <c r="CF113" i="2632" s="1"/>
  <c r="CE93" i="2632"/>
  <c r="CE113" i="2632" s="1"/>
  <c r="CD93" i="2632"/>
  <c r="CD113" i="2632" s="1"/>
  <c r="CC93" i="2632"/>
  <c r="CC113" i="2632" s="1"/>
  <c r="CB93" i="2632"/>
  <c r="CB113" i="2632" s="1"/>
  <c r="BZ93" i="2632"/>
  <c r="BZ113" i="2632" s="1"/>
  <c r="BY93" i="2632"/>
  <c r="BY113" i="2632" s="1"/>
  <c r="BX93" i="2632"/>
  <c r="BX113" i="2632" s="1"/>
  <c r="BW93" i="2632"/>
  <c r="BW113" i="2632" s="1"/>
  <c r="BV93" i="2632"/>
  <c r="BV113" i="2632" s="1"/>
  <c r="BU93" i="2632"/>
  <c r="BU113" i="2632" s="1"/>
  <c r="BT93" i="2632"/>
  <c r="BT113" i="2632" s="1"/>
  <c r="BS93" i="2632"/>
  <c r="BS113" i="2632" s="1"/>
  <c r="BR93" i="2632"/>
  <c r="BR113" i="2632" s="1"/>
  <c r="BQ93" i="2632"/>
  <c r="BQ113" i="2632" s="1"/>
  <c r="BP93" i="2632"/>
  <c r="BP113" i="2632" s="1"/>
  <c r="BO93" i="2632"/>
  <c r="BO113" i="2632" s="1"/>
  <c r="BM93" i="2632"/>
  <c r="BM113" i="2632" s="1"/>
  <c r="BL93" i="2632"/>
  <c r="BL113" i="2632" s="1"/>
  <c r="BK93" i="2632"/>
  <c r="BK113" i="2632" s="1"/>
  <c r="BJ93" i="2632"/>
  <c r="BJ113" i="2632" s="1"/>
  <c r="BI93" i="2632"/>
  <c r="BI113" i="2632" s="1"/>
  <c r="BH93" i="2632"/>
  <c r="BH113" i="2632" s="1"/>
  <c r="BG93" i="2632"/>
  <c r="BG113" i="2632" s="1"/>
  <c r="BF93" i="2632"/>
  <c r="BF113" i="2632" s="1"/>
  <c r="BE93" i="2632"/>
  <c r="BE113" i="2632" s="1"/>
  <c r="BD93" i="2632"/>
  <c r="BD113" i="2632" s="1"/>
  <c r="BC93" i="2632"/>
  <c r="BC113" i="2632" s="1"/>
  <c r="BB93" i="2632"/>
  <c r="BB113" i="2632" s="1"/>
  <c r="CZ91" i="2632"/>
  <c r="CZ111" i="2632" s="1"/>
  <c r="CY91" i="2632"/>
  <c r="CY111" i="2632" s="1"/>
  <c r="CX91" i="2632"/>
  <c r="CX111" i="2632" s="1"/>
  <c r="CW91" i="2632"/>
  <c r="CW111" i="2632" s="1"/>
  <c r="CV91" i="2632"/>
  <c r="CV111" i="2632" s="1"/>
  <c r="CU91" i="2632"/>
  <c r="CU111" i="2632" s="1"/>
  <c r="CT91" i="2632"/>
  <c r="CT111" i="2632" s="1"/>
  <c r="CS91" i="2632"/>
  <c r="CS111" i="2632" s="1"/>
  <c r="CR91" i="2632"/>
  <c r="CR111" i="2632" s="1"/>
  <c r="CQ91" i="2632"/>
  <c r="CQ111" i="2632" s="1"/>
  <c r="CP91" i="2632"/>
  <c r="CP111" i="2632" s="1"/>
  <c r="CO91" i="2632"/>
  <c r="CO111" i="2632" s="1"/>
  <c r="CM91" i="2632"/>
  <c r="CM111" i="2632" s="1"/>
  <c r="CL91" i="2632"/>
  <c r="CL111" i="2632" s="1"/>
  <c r="CK91" i="2632"/>
  <c r="CK111" i="2632" s="1"/>
  <c r="CJ91" i="2632"/>
  <c r="CJ111" i="2632" s="1"/>
  <c r="CI91" i="2632"/>
  <c r="CI111" i="2632" s="1"/>
  <c r="CH91" i="2632"/>
  <c r="CH111" i="2632" s="1"/>
  <c r="CG91" i="2632"/>
  <c r="CG111" i="2632" s="1"/>
  <c r="CF91" i="2632"/>
  <c r="CF111" i="2632" s="1"/>
  <c r="CE91" i="2632"/>
  <c r="CE111" i="2632" s="1"/>
  <c r="CD91" i="2632"/>
  <c r="CD111" i="2632" s="1"/>
  <c r="CC91" i="2632"/>
  <c r="CC111" i="2632" s="1"/>
  <c r="CB91" i="2632"/>
  <c r="CB111" i="2632" s="1"/>
  <c r="BZ91" i="2632"/>
  <c r="BZ111" i="2632" s="1"/>
  <c r="BY91" i="2632"/>
  <c r="BY111" i="2632" s="1"/>
  <c r="BX91" i="2632"/>
  <c r="BX111" i="2632" s="1"/>
  <c r="BW91" i="2632"/>
  <c r="BW111" i="2632" s="1"/>
  <c r="BV91" i="2632"/>
  <c r="BV111" i="2632" s="1"/>
  <c r="BU91" i="2632"/>
  <c r="BU111" i="2632" s="1"/>
  <c r="BT91" i="2632"/>
  <c r="BT111" i="2632" s="1"/>
  <c r="BS91" i="2632"/>
  <c r="BS111" i="2632" s="1"/>
  <c r="BR91" i="2632"/>
  <c r="BR111" i="2632" s="1"/>
  <c r="BQ91" i="2632"/>
  <c r="BQ111" i="2632" s="1"/>
  <c r="BP91" i="2632"/>
  <c r="BP111" i="2632" s="1"/>
  <c r="BO91" i="2632"/>
  <c r="BO111" i="2632" s="1"/>
  <c r="BM91" i="2632"/>
  <c r="BM111" i="2632" s="1"/>
  <c r="BL91" i="2632"/>
  <c r="BL111" i="2632" s="1"/>
  <c r="BK91" i="2632"/>
  <c r="BK111" i="2632" s="1"/>
  <c r="BJ91" i="2632"/>
  <c r="BJ111" i="2632" s="1"/>
  <c r="BI91" i="2632"/>
  <c r="BI111" i="2632" s="1"/>
  <c r="BH91" i="2632"/>
  <c r="BH111" i="2632" s="1"/>
  <c r="BG91" i="2632"/>
  <c r="BG111" i="2632" s="1"/>
  <c r="BF91" i="2632"/>
  <c r="BF111" i="2632" s="1"/>
  <c r="BE91" i="2632"/>
  <c r="BE111" i="2632" s="1"/>
  <c r="BD91" i="2632"/>
  <c r="BD111" i="2632" s="1"/>
  <c r="BC91" i="2632"/>
  <c r="BC111" i="2632" s="1"/>
  <c r="BB91" i="2632"/>
  <c r="BB111" i="2632" s="1"/>
  <c r="CZ90" i="2632"/>
  <c r="CZ110" i="2632" s="1"/>
  <c r="CY90" i="2632"/>
  <c r="CY110" i="2632" s="1"/>
  <c r="CX90" i="2632"/>
  <c r="CX110" i="2632" s="1"/>
  <c r="CW90" i="2632"/>
  <c r="CW110" i="2632" s="1"/>
  <c r="CV90" i="2632"/>
  <c r="CV110" i="2632" s="1"/>
  <c r="CU90" i="2632"/>
  <c r="CU110" i="2632" s="1"/>
  <c r="CT90" i="2632"/>
  <c r="CT110" i="2632" s="1"/>
  <c r="CS90" i="2632"/>
  <c r="CS110" i="2632" s="1"/>
  <c r="CR90" i="2632"/>
  <c r="CR110" i="2632" s="1"/>
  <c r="CQ90" i="2632"/>
  <c r="CQ110" i="2632" s="1"/>
  <c r="CP90" i="2632"/>
  <c r="CP110" i="2632" s="1"/>
  <c r="CO110" i="2632"/>
  <c r="CM90" i="2632"/>
  <c r="CM110" i="2632" s="1"/>
  <c r="CL90" i="2632"/>
  <c r="CL110" i="2632" s="1"/>
  <c r="CK90" i="2632"/>
  <c r="CK110" i="2632" s="1"/>
  <c r="CJ90" i="2632"/>
  <c r="CJ110" i="2632" s="1"/>
  <c r="CI90" i="2632"/>
  <c r="CI110" i="2632" s="1"/>
  <c r="CH90" i="2632"/>
  <c r="CH110" i="2632" s="1"/>
  <c r="CG90" i="2632"/>
  <c r="CG110" i="2632" s="1"/>
  <c r="CF90" i="2632"/>
  <c r="CF110" i="2632" s="1"/>
  <c r="CE90" i="2632"/>
  <c r="CE110" i="2632" s="1"/>
  <c r="CD90" i="2632"/>
  <c r="CD110" i="2632" s="1"/>
  <c r="CC90" i="2632"/>
  <c r="CC110" i="2632" s="1"/>
  <c r="CB90" i="2632"/>
  <c r="CB110" i="2632" s="1"/>
  <c r="BZ90" i="2632"/>
  <c r="BZ110" i="2632" s="1"/>
  <c r="BY90" i="2632"/>
  <c r="BY110" i="2632" s="1"/>
  <c r="BX90" i="2632"/>
  <c r="BX110" i="2632" s="1"/>
  <c r="BW90" i="2632"/>
  <c r="BW110" i="2632" s="1"/>
  <c r="BV90" i="2632"/>
  <c r="BV110" i="2632" s="1"/>
  <c r="BU90" i="2632"/>
  <c r="BU110" i="2632" s="1"/>
  <c r="BT90" i="2632"/>
  <c r="BT110" i="2632" s="1"/>
  <c r="BS90" i="2632"/>
  <c r="BS110" i="2632" s="1"/>
  <c r="BR90" i="2632"/>
  <c r="BR110" i="2632" s="1"/>
  <c r="BQ90" i="2632"/>
  <c r="BQ110" i="2632" s="1"/>
  <c r="BP90" i="2632"/>
  <c r="BP110" i="2632" s="1"/>
  <c r="BO90" i="2632"/>
  <c r="BO110" i="2632" s="1"/>
  <c r="BM90" i="2632"/>
  <c r="BM110" i="2632" s="1"/>
  <c r="BL90" i="2632"/>
  <c r="BL110" i="2632" s="1"/>
  <c r="BK90" i="2632"/>
  <c r="BK110" i="2632" s="1"/>
  <c r="BJ90" i="2632"/>
  <c r="BJ110" i="2632" s="1"/>
  <c r="BI90" i="2632"/>
  <c r="BI110" i="2632" s="1"/>
  <c r="BH90" i="2632"/>
  <c r="BH110" i="2632" s="1"/>
  <c r="BG90" i="2632"/>
  <c r="BG110" i="2632" s="1"/>
  <c r="BF90" i="2632"/>
  <c r="BF110" i="2632" s="1"/>
  <c r="BE90" i="2632"/>
  <c r="BE110" i="2632" s="1"/>
  <c r="BD90" i="2632"/>
  <c r="BD110" i="2632" s="1"/>
  <c r="BC90" i="2632"/>
  <c r="BC110" i="2632" s="1"/>
  <c r="BB90" i="2632"/>
  <c r="BB110" i="2632" s="1"/>
  <c r="CZ89" i="2632"/>
  <c r="CZ109" i="2632" s="1"/>
  <c r="CY89" i="2632"/>
  <c r="CY109" i="2632" s="1"/>
  <c r="CX89" i="2632"/>
  <c r="CX109" i="2632" s="1"/>
  <c r="CW89" i="2632"/>
  <c r="CW109" i="2632" s="1"/>
  <c r="CV89" i="2632"/>
  <c r="CV109" i="2632" s="1"/>
  <c r="CU89" i="2632"/>
  <c r="CU109" i="2632" s="1"/>
  <c r="CT89" i="2632"/>
  <c r="CT109" i="2632" s="1"/>
  <c r="CS89" i="2632"/>
  <c r="CS109" i="2632" s="1"/>
  <c r="CR89" i="2632"/>
  <c r="CR109" i="2632" s="1"/>
  <c r="CQ89" i="2632"/>
  <c r="CQ109" i="2632" s="1"/>
  <c r="CP109" i="2632"/>
  <c r="CO89" i="2632"/>
  <c r="CO109" i="2632" s="1"/>
  <c r="CM89" i="2632"/>
  <c r="CM109" i="2632" s="1"/>
  <c r="CL89" i="2632"/>
  <c r="CL109" i="2632" s="1"/>
  <c r="CK89" i="2632"/>
  <c r="CK109" i="2632" s="1"/>
  <c r="CJ89" i="2632"/>
  <c r="CJ109" i="2632" s="1"/>
  <c r="CI89" i="2632"/>
  <c r="CI109" i="2632" s="1"/>
  <c r="CH89" i="2632"/>
  <c r="CH109" i="2632" s="1"/>
  <c r="CG89" i="2632"/>
  <c r="CG109" i="2632" s="1"/>
  <c r="CF89" i="2632"/>
  <c r="CF109" i="2632" s="1"/>
  <c r="CE89" i="2632"/>
  <c r="CE109" i="2632" s="1"/>
  <c r="CD89" i="2632"/>
  <c r="CD109" i="2632" s="1"/>
  <c r="CC89" i="2632"/>
  <c r="CC109" i="2632" s="1"/>
  <c r="CB89" i="2632"/>
  <c r="CB109" i="2632" s="1"/>
  <c r="BZ89" i="2632"/>
  <c r="BZ109" i="2632" s="1"/>
  <c r="BY89" i="2632"/>
  <c r="BY109" i="2632" s="1"/>
  <c r="BX89" i="2632"/>
  <c r="BX109" i="2632" s="1"/>
  <c r="BW89" i="2632"/>
  <c r="BW109" i="2632" s="1"/>
  <c r="BV89" i="2632"/>
  <c r="BV109" i="2632" s="1"/>
  <c r="BU89" i="2632"/>
  <c r="BU109" i="2632" s="1"/>
  <c r="BT89" i="2632"/>
  <c r="BT109" i="2632" s="1"/>
  <c r="BS89" i="2632"/>
  <c r="BS109" i="2632" s="1"/>
  <c r="BR89" i="2632"/>
  <c r="BR109" i="2632" s="1"/>
  <c r="BQ89" i="2632"/>
  <c r="BQ109" i="2632" s="1"/>
  <c r="BP89" i="2632"/>
  <c r="BP109" i="2632" s="1"/>
  <c r="BO89" i="2632"/>
  <c r="BO109" i="2632" s="1"/>
  <c r="BM89" i="2632"/>
  <c r="BM109" i="2632" s="1"/>
  <c r="BL89" i="2632"/>
  <c r="BL109" i="2632" s="1"/>
  <c r="BK89" i="2632"/>
  <c r="BK109" i="2632" s="1"/>
  <c r="BJ89" i="2632"/>
  <c r="BJ109" i="2632" s="1"/>
  <c r="BI89" i="2632"/>
  <c r="BI109" i="2632" s="1"/>
  <c r="BH89" i="2632"/>
  <c r="BH109" i="2632" s="1"/>
  <c r="BG89" i="2632"/>
  <c r="BG109" i="2632" s="1"/>
  <c r="BF89" i="2632"/>
  <c r="BF109" i="2632" s="1"/>
  <c r="BE89" i="2632"/>
  <c r="BE109" i="2632" s="1"/>
  <c r="BD89" i="2632"/>
  <c r="BD109" i="2632" s="1"/>
  <c r="BC89" i="2632"/>
  <c r="BC109" i="2632" s="1"/>
  <c r="BB89" i="2632"/>
  <c r="BB109" i="2632" s="1"/>
  <c r="CZ88" i="2632"/>
  <c r="CZ108" i="2632" s="1"/>
  <c r="CY88" i="2632"/>
  <c r="CY108" i="2632" s="1"/>
  <c r="CX88" i="2632"/>
  <c r="CX108" i="2632" s="1"/>
  <c r="CW88" i="2632"/>
  <c r="CW108" i="2632" s="1"/>
  <c r="CV88" i="2632"/>
  <c r="CV108" i="2632" s="1"/>
  <c r="CU88" i="2632"/>
  <c r="CU108" i="2632" s="1"/>
  <c r="CT88" i="2632"/>
  <c r="CT108" i="2632" s="1"/>
  <c r="CS88" i="2632"/>
  <c r="CS108" i="2632" s="1"/>
  <c r="CR88" i="2632"/>
  <c r="CR108" i="2632" s="1"/>
  <c r="CQ88" i="2632"/>
  <c r="CQ108" i="2632" s="1"/>
  <c r="CP88" i="2632"/>
  <c r="CP108" i="2632" s="1"/>
  <c r="CO88" i="2632"/>
  <c r="CO108" i="2632" s="1"/>
  <c r="CM88" i="2632"/>
  <c r="CM108" i="2632" s="1"/>
  <c r="CL88" i="2632"/>
  <c r="CL108" i="2632" s="1"/>
  <c r="CK88" i="2632"/>
  <c r="CK108" i="2632" s="1"/>
  <c r="CJ88" i="2632"/>
  <c r="CJ108" i="2632" s="1"/>
  <c r="CI88" i="2632"/>
  <c r="CI108" i="2632" s="1"/>
  <c r="CH88" i="2632"/>
  <c r="CH108" i="2632" s="1"/>
  <c r="CG88" i="2632"/>
  <c r="CG108" i="2632" s="1"/>
  <c r="CF88" i="2632"/>
  <c r="CF108" i="2632" s="1"/>
  <c r="CE88" i="2632"/>
  <c r="CE108" i="2632" s="1"/>
  <c r="CD88" i="2632"/>
  <c r="CD108" i="2632" s="1"/>
  <c r="CC88" i="2632"/>
  <c r="CC108" i="2632" s="1"/>
  <c r="CB88" i="2632"/>
  <c r="CB108" i="2632" s="1"/>
  <c r="BZ88" i="2632"/>
  <c r="BZ108" i="2632" s="1"/>
  <c r="BY88" i="2632"/>
  <c r="BY108" i="2632" s="1"/>
  <c r="BX88" i="2632"/>
  <c r="BX108" i="2632" s="1"/>
  <c r="BW88" i="2632"/>
  <c r="BW108" i="2632" s="1"/>
  <c r="BV88" i="2632"/>
  <c r="BV108" i="2632" s="1"/>
  <c r="BU88" i="2632"/>
  <c r="BU108" i="2632" s="1"/>
  <c r="BT88" i="2632"/>
  <c r="BT108" i="2632" s="1"/>
  <c r="BS88" i="2632"/>
  <c r="BS108" i="2632" s="1"/>
  <c r="BR88" i="2632"/>
  <c r="BR108" i="2632" s="1"/>
  <c r="BQ88" i="2632"/>
  <c r="BQ108" i="2632" s="1"/>
  <c r="BP88" i="2632"/>
  <c r="BP108" i="2632" s="1"/>
  <c r="BO88" i="2632"/>
  <c r="BO108" i="2632" s="1"/>
  <c r="BM88" i="2632"/>
  <c r="BM108" i="2632" s="1"/>
  <c r="BL88" i="2632"/>
  <c r="BL108" i="2632" s="1"/>
  <c r="BK88" i="2632"/>
  <c r="BK108" i="2632" s="1"/>
  <c r="BJ88" i="2632"/>
  <c r="BJ108" i="2632" s="1"/>
  <c r="BI88" i="2632"/>
  <c r="BI108" i="2632" s="1"/>
  <c r="BH88" i="2632"/>
  <c r="BH108" i="2632" s="1"/>
  <c r="BG88" i="2632"/>
  <c r="BG108" i="2632" s="1"/>
  <c r="BF88" i="2632"/>
  <c r="BF108" i="2632" s="1"/>
  <c r="BE88" i="2632"/>
  <c r="BE108" i="2632" s="1"/>
  <c r="BD88" i="2632"/>
  <c r="BD108" i="2632" s="1"/>
  <c r="BC88" i="2632"/>
  <c r="BC108" i="2632" s="1"/>
  <c r="BB88" i="2632"/>
  <c r="BB108" i="2632" s="1"/>
  <c r="CZ87" i="2632"/>
  <c r="CZ107" i="2632" s="1"/>
  <c r="CY87" i="2632"/>
  <c r="CY107" i="2632" s="1"/>
  <c r="CX87" i="2632"/>
  <c r="CX107" i="2632" s="1"/>
  <c r="CW87" i="2632"/>
  <c r="CW107" i="2632" s="1"/>
  <c r="CV87" i="2632"/>
  <c r="CV107" i="2632" s="1"/>
  <c r="CU87" i="2632"/>
  <c r="CU107" i="2632" s="1"/>
  <c r="CT87" i="2632"/>
  <c r="CT107" i="2632" s="1"/>
  <c r="CS87" i="2632"/>
  <c r="CS107" i="2632" s="1"/>
  <c r="CR87" i="2632"/>
  <c r="CR107" i="2632" s="1"/>
  <c r="CQ87" i="2632"/>
  <c r="CQ107" i="2632" s="1"/>
  <c r="CP87" i="2632"/>
  <c r="CP107" i="2632" s="1"/>
  <c r="CO87" i="2632"/>
  <c r="CO107" i="2632" s="1"/>
  <c r="CM87" i="2632"/>
  <c r="CM107" i="2632" s="1"/>
  <c r="CL87" i="2632"/>
  <c r="CL107" i="2632" s="1"/>
  <c r="CK87" i="2632"/>
  <c r="CK107" i="2632" s="1"/>
  <c r="CJ87" i="2632"/>
  <c r="CJ107" i="2632" s="1"/>
  <c r="CI87" i="2632"/>
  <c r="CI107" i="2632" s="1"/>
  <c r="CH87" i="2632"/>
  <c r="CH107" i="2632" s="1"/>
  <c r="CG87" i="2632"/>
  <c r="CG107" i="2632" s="1"/>
  <c r="CF87" i="2632"/>
  <c r="CF107" i="2632" s="1"/>
  <c r="CE87" i="2632"/>
  <c r="CE107" i="2632" s="1"/>
  <c r="CD87" i="2632"/>
  <c r="CD107" i="2632" s="1"/>
  <c r="CC87" i="2632"/>
  <c r="CC107" i="2632" s="1"/>
  <c r="CB87" i="2632"/>
  <c r="CB107" i="2632" s="1"/>
  <c r="BZ87" i="2632"/>
  <c r="BZ107" i="2632" s="1"/>
  <c r="BY87" i="2632"/>
  <c r="BY107" i="2632" s="1"/>
  <c r="BX87" i="2632"/>
  <c r="BX107" i="2632" s="1"/>
  <c r="BW87" i="2632"/>
  <c r="BW107" i="2632" s="1"/>
  <c r="BV87" i="2632"/>
  <c r="BV107" i="2632" s="1"/>
  <c r="BU87" i="2632"/>
  <c r="BU107" i="2632" s="1"/>
  <c r="BT87" i="2632"/>
  <c r="BT107" i="2632" s="1"/>
  <c r="BS87" i="2632"/>
  <c r="BS107" i="2632" s="1"/>
  <c r="BR87" i="2632"/>
  <c r="BR107" i="2632" s="1"/>
  <c r="BQ87" i="2632"/>
  <c r="BQ107" i="2632" s="1"/>
  <c r="BP87" i="2632"/>
  <c r="BP107" i="2632" s="1"/>
  <c r="BO87" i="2632"/>
  <c r="BO107" i="2632" s="1"/>
  <c r="BM87" i="2632"/>
  <c r="BM107" i="2632" s="1"/>
  <c r="BL87" i="2632"/>
  <c r="BL107" i="2632" s="1"/>
  <c r="BK87" i="2632"/>
  <c r="BK107" i="2632" s="1"/>
  <c r="BJ87" i="2632"/>
  <c r="BJ107" i="2632" s="1"/>
  <c r="BI87" i="2632"/>
  <c r="BI107" i="2632" s="1"/>
  <c r="BH87" i="2632"/>
  <c r="BH107" i="2632" s="1"/>
  <c r="BG87" i="2632"/>
  <c r="BG107" i="2632" s="1"/>
  <c r="BF87" i="2632"/>
  <c r="BF107" i="2632" s="1"/>
  <c r="BE87" i="2632"/>
  <c r="BE107" i="2632" s="1"/>
  <c r="BD87" i="2632"/>
  <c r="BD107" i="2632" s="1"/>
  <c r="BC87" i="2632"/>
  <c r="BC107" i="2632" s="1"/>
  <c r="BB87" i="2632"/>
  <c r="BB107" i="2632" s="1"/>
  <c r="DZ73" i="2632"/>
  <c r="DY73" i="2632"/>
  <c r="DX73" i="2632"/>
  <c r="DW73" i="2632"/>
  <c r="DV73" i="2632"/>
  <c r="DU73" i="2632"/>
  <c r="DT73" i="2632"/>
  <c r="DS73" i="2632"/>
  <c r="DR73" i="2632"/>
  <c r="DQ73" i="2632"/>
  <c r="DP73" i="2632"/>
  <c r="DO73" i="2632"/>
  <c r="DM73" i="2632"/>
  <c r="DL73" i="2632"/>
  <c r="DK73" i="2632"/>
  <c r="DJ73" i="2632"/>
  <c r="DI73" i="2632"/>
  <c r="DH73" i="2632"/>
  <c r="DG73" i="2632"/>
  <c r="DF73" i="2632"/>
  <c r="DE73" i="2632"/>
  <c r="DD73" i="2632"/>
  <c r="DC73" i="2632"/>
  <c r="DB73" i="2632"/>
  <c r="CZ73" i="2632"/>
  <c r="CY73" i="2632"/>
  <c r="CX73" i="2632"/>
  <c r="CW73" i="2632"/>
  <c r="CV73" i="2632"/>
  <c r="CU73" i="2632"/>
  <c r="CT73" i="2632"/>
  <c r="CS73" i="2632"/>
  <c r="CR73" i="2632"/>
  <c r="CQ73" i="2632"/>
  <c r="CP73" i="2632"/>
  <c r="CO73" i="2632"/>
  <c r="CM73" i="2632"/>
  <c r="CL73" i="2632"/>
  <c r="CK73" i="2632"/>
  <c r="CJ73" i="2632"/>
  <c r="CI73" i="2632"/>
  <c r="CH73" i="2632"/>
  <c r="CG73" i="2632"/>
  <c r="CF73" i="2632"/>
  <c r="CE73" i="2632"/>
  <c r="CD73" i="2632"/>
  <c r="CC73" i="2632"/>
  <c r="CB73" i="2632"/>
  <c r="BZ73" i="2632"/>
  <c r="BY73" i="2632"/>
  <c r="BX73" i="2632"/>
  <c r="BW73" i="2632"/>
  <c r="BV73" i="2632"/>
  <c r="BU73" i="2632"/>
  <c r="BT73" i="2632"/>
  <c r="BS73" i="2632"/>
  <c r="BR73" i="2632"/>
  <c r="BQ73" i="2632"/>
  <c r="BP73" i="2632"/>
  <c r="BO73" i="2632"/>
  <c r="BM73" i="2632"/>
  <c r="BL73" i="2632"/>
  <c r="BK73" i="2632"/>
  <c r="BJ73" i="2632"/>
  <c r="BI73" i="2632"/>
  <c r="BH73" i="2632"/>
  <c r="BG73" i="2632"/>
  <c r="BF73" i="2632"/>
  <c r="BE73" i="2632"/>
  <c r="BD73" i="2632"/>
  <c r="BC73" i="2632"/>
  <c r="BB73" i="2632"/>
  <c r="AZ73" i="2632"/>
  <c r="AY73" i="2632"/>
  <c r="AX73" i="2632"/>
  <c r="AW73" i="2632"/>
  <c r="AV73" i="2632"/>
  <c r="AU73" i="2632"/>
  <c r="AT73" i="2632"/>
  <c r="AS73" i="2632"/>
  <c r="AR73" i="2632"/>
  <c r="AQ73" i="2632"/>
  <c r="AP73" i="2632"/>
  <c r="AO73" i="2632"/>
  <c r="AM73" i="2632"/>
  <c r="AL73" i="2632"/>
  <c r="AK73" i="2632"/>
  <c r="AJ73" i="2632"/>
  <c r="AI73" i="2632"/>
  <c r="AH73" i="2632"/>
  <c r="AG73" i="2632"/>
  <c r="AF73" i="2632"/>
  <c r="AE73" i="2632"/>
  <c r="AD73" i="2632"/>
  <c r="AC73" i="2632"/>
  <c r="AB73" i="2632"/>
  <c r="Z73" i="2632"/>
  <c r="Y73" i="2632"/>
  <c r="X73" i="2632"/>
  <c r="W73" i="2632"/>
  <c r="V73" i="2632"/>
  <c r="U73" i="2632"/>
  <c r="T73" i="2632"/>
  <c r="S73" i="2632"/>
  <c r="R73" i="2632"/>
  <c r="Q73" i="2632"/>
  <c r="P73" i="2632"/>
  <c r="O73" i="2632"/>
  <c r="M73" i="2632"/>
  <c r="L73" i="2632"/>
  <c r="K73" i="2632"/>
  <c r="J73" i="2632"/>
  <c r="I73" i="2632"/>
  <c r="H73" i="2632"/>
  <c r="G73" i="2632"/>
  <c r="F73" i="2632"/>
  <c r="E73" i="2632"/>
  <c r="D73" i="2632"/>
  <c r="C73" i="2632"/>
  <c r="B73" i="2632"/>
  <c r="DY66" i="2632"/>
  <c r="DR66" i="2632"/>
  <c r="DQ66" i="2632"/>
  <c r="DO66" i="2632"/>
  <c r="DM66" i="2632"/>
  <c r="DI66" i="2632"/>
  <c r="DB66" i="2632"/>
  <c r="DY65" i="2632"/>
  <c r="DR65" i="2632"/>
  <c r="DQ65" i="2632"/>
  <c r="DO65" i="2632"/>
  <c r="DM65" i="2632"/>
  <c r="DI65" i="2632"/>
  <c r="DB65" i="2632"/>
  <c r="DZ64" i="2632"/>
  <c r="DY64" i="2632"/>
  <c r="DX64" i="2632"/>
  <c r="DW64" i="2632"/>
  <c r="DV64" i="2632"/>
  <c r="DU64" i="2632"/>
  <c r="DT64" i="2632"/>
  <c r="DS64" i="2632"/>
  <c r="DR64" i="2632"/>
  <c r="DQ64" i="2632"/>
  <c r="DP64" i="2632"/>
  <c r="DO64" i="2632"/>
  <c r="DM64" i="2632"/>
  <c r="DL64" i="2632"/>
  <c r="DK64" i="2632"/>
  <c r="DJ64" i="2632"/>
  <c r="DI64" i="2632"/>
  <c r="DH64" i="2632"/>
  <c r="DG64" i="2632"/>
  <c r="DF64" i="2632"/>
  <c r="DE64" i="2632"/>
  <c r="DD64" i="2632"/>
  <c r="DC64" i="2632"/>
  <c r="DB64" i="2632"/>
  <c r="CZ64" i="2632"/>
  <c r="CY64" i="2632"/>
  <c r="CX64" i="2632"/>
  <c r="CW64" i="2632"/>
  <c r="CV64" i="2632"/>
  <c r="CU64" i="2632"/>
  <c r="CT64" i="2632"/>
  <c r="CS64" i="2632"/>
  <c r="CR64" i="2632"/>
  <c r="CQ64" i="2632"/>
  <c r="CP64" i="2632"/>
  <c r="CO64" i="2632"/>
  <c r="CM64" i="2632"/>
  <c r="CL64" i="2632"/>
  <c r="CK64" i="2632"/>
  <c r="CJ64" i="2632"/>
  <c r="CI64" i="2632"/>
  <c r="CH64" i="2632"/>
  <c r="CG64" i="2632"/>
  <c r="CF64" i="2632"/>
  <c r="CE64" i="2632"/>
  <c r="CD64" i="2632"/>
  <c r="CC64" i="2632"/>
  <c r="CB64" i="2632"/>
  <c r="BZ64" i="2632"/>
  <c r="BY64" i="2632"/>
  <c r="BX64" i="2632"/>
  <c r="BW64" i="2632"/>
  <c r="BV64" i="2632"/>
  <c r="BU64" i="2632"/>
  <c r="BT64" i="2632"/>
  <c r="BS64" i="2632"/>
  <c r="BR64" i="2632"/>
  <c r="BQ64" i="2632"/>
  <c r="BP64" i="2632"/>
  <c r="BO64" i="2632"/>
  <c r="BM64" i="2632"/>
  <c r="BL64" i="2632"/>
  <c r="BK64" i="2632"/>
  <c r="BJ64" i="2632"/>
  <c r="BI64" i="2632"/>
  <c r="BH64" i="2632"/>
  <c r="BG64" i="2632"/>
  <c r="BF64" i="2632"/>
  <c r="BE64" i="2632"/>
  <c r="BD64" i="2632"/>
  <c r="BC64" i="2632"/>
  <c r="BB64" i="2632"/>
  <c r="AZ64" i="2632"/>
  <c r="AY64" i="2632"/>
  <c r="AX64" i="2632"/>
  <c r="AW64" i="2632"/>
  <c r="AV64" i="2632"/>
  <c r="AU64" i="2632"/>
  <c r="AT64" i="2632"/>
  <c r="AS64" i="2632"/>
  <c r="AR64" i="2632"/>
  <c r="AQ64" i="2632"/>
  <c r="AP64" i="2632"/>
  <c r="AO64" i="2632"/>
  <c r="AM64" i="2632"/>
  <c r="AL64" i="2632"/>
  <c r="AK64" i="2632"/>
  <c r="AJ64" i="2632"/>
  <c r="AI64" i="2632"/>
  <c r="AH64" i="2632"/>
  <c r="AG64" i="2632"/>
  <c r="AF64" i="2632"/>
  <c r="AE64" i="2632"/>
  <c r="AD64" i="2632"/>
  <c r="AC64" i="2632"/>
  <c r="AB64" i="2632"/>
  <c r="Z64" i="2632"/>
  <c r="Y64" i="2632"/>
  <c r="X64" i="2632"/>
  <c r="W64" i="2632"/>
  <c r="V64" i="2632"/>
  <c r="U64" i="2632"/>
  <c r="T64" i="2632"/>
  <c r="S64" i="2632"/>
  <c r="R64" i="2632"/>
  <c r="Q64" i="2632"/>
  <c r="P64" i="2632"/>
  <c r="O64" i="2632"/>
  <c r="M64" i="2632"/>
  <c r="L64" i="2632"/>
  <c r="K64" i="2632"/>
  <c r="J64" i="2632"/>
  <c r="I64" i="2632"/>
  <c r="H64" i="2632"/>
  <c r="G64" i="2632"/>
  <c r="F64" i="2632"/>
  <c r="E64" i="2632"/>
  <c r="D64" i="2632"/>
  <c r="C64" i="2632"/>
  <c r="B64" i="2632"/>
  <c r="DZ63" i="2632"/>
  <c r="DY63" i="2632"/>
  <c r="DX63" i="2632"/>
  <c r="DW63" i="2632"/>
  <c r="DV63" i="2632"/>
  <c r="DU63" i="2632"/>
  <c r="DT63" i="2632"/>
  <c r="DS63" i="2632"/>
  <c r="DR63" i="2632"/>
  <c r="DQ63" i="2632"/>
  <c r="DP63" i="2632"/>
  <c r="DO63" i="2632"/>
  <c r="DM63" i="2632"/>
  <c r="DL63" i="2632"/>
  <c r="DK63" i="2632"/>
  <c r="DJ63" i="2632"/>
  <c r="DI63" i="2632"/>
  <c r="DH63" i="2632"/>
  <c r="DG63" i="2632"/>
  <c r="DF63" i="2632"/>
  <c r="DE63" i="2632"/>
  <c r="DD63" i="2632"/>
  <c r="DC63" i="2632"/>
  <c r="DB63" i="2632"/>
  <c r="CZ63" i="2632"/>
  <c r="CY63" i="2632"/>
  <c r="CX63" i="2632"/>
  <c r="CW63" i="2632"/>
  <c r="CV63" i="2632"/>
  <c r="CU63" i="2632"/>
  <c r="CT63" i="2632"/>
  <c r="CS63" i="2632"/>
  <c r="CR63" i="2632"/>
  <c r="CQ63" i="2632"/>
  <c r="CP63" i="2632"/>
  <c r="CO63" i="2632"/>
  <c r="CM63" i="2632"/>
  <c r="CL63" i="2632"/>
  <c r="CK63" i="2632"/>
  <c r="CJ63" i="2632"/>
  <c r="CI63" i="2632"/>
  <c r="CH63" i="2632"/>
  <c r="CG63" i="2632"/>
  <c r="CF63" i="2632"/>
  <c r="CE63" i="2632"/>
  <c r="CD63" i="2632"/>
  <c r="CC63" i="2632"/>
  <c r="CB63" i="2632"/>
  <c r="BZ63" i="2632"/>
  <c r="BY63" i="2632"/>
  <c r="BX63" i="2632"/>
  <c r="BW63" i="2632"/>
  <c r="BV63" i="2632"/>
  <c r="BU63" i="2632"/>
  <c r="BT63" i="2632"/>
  <c r="BS63" i="2632"/>
  <c r="BR63" i="2632"/>
  <c r="BQ63" i="2632"/>
  <c r="BP63" i="2632"/>
  <c r="BO63" i="2632"/>
  <c r="BM63" i="2632"/>
  <c r="BL63" i="2632"/>
  <c r="BK63" i="2632"/>
  <c r="BJ63" i="2632"/>
  <c r="BI63" i="2632"/>
  <c r="BH63" i="2632"/>
  <c r="BG63" i="2632"/>
  <c r="BF63" i="2632"/>
  <c r="BE63" i="2632"/>
  <c r="BD63" i="2632"/>
  <c r="BC63" i="2632"/>
  <c r="BB63" i="2632"/>
  <c r="AZ63" i="2632"/>
  <c r="AY63" i="2632"/>
  <c r="AX63" i="2632"/>
  <c r="AW63" i="2632"/>
  <c r="AV63" i="2632"/>
  <c r="AU63" i="2632"/>
  <c r="AT63" i="2632"/>
  <c r="AS63" i="2632"/>
  <c r="AR63" i="2632"/>
  <c r="AQ63" i="2632"/>
  <c r="AP63" i="2632"/>
  <c r="AO63" i="2632"/>
  <c r="AM63" i="2632"/>
  <c r="AL63" i="2632"/>
  <c r="AK63" i="2632"/>
  <c r="AJ63" i="2632"/>
  <c r="AI63" i="2632"/>
  <c r="AH63" i="2632"/>
  <c r="AG63" i="2632"/>
  <c r="AF63" i="2632"/>
  <c r="AE63" i="2632"/>
  <c r="AD63" i="2632"/>
  <c r="AC63" i="2632"/>
  <c r="AB63" i="2632"/>
  <c r="Z63" i="2632"/>
  <c r="Y63" i="2632"/>
  <c r="X63" i="2632"/>
  <c r="W63" i="2632"/>
  <c r="V63" i="2632"/>
  <c r="U63" i="2632"/>
  <c r="T63" i="2632"/>
  <c r="S63" i="2632"/>
  <c r="R63" i="2632"/>
  <c r="Q63" i="2632"/>
  <c r="P63" i="2632"/>
  <c r="O63" i="2632"/>
  <c r="M63" i="2632"/>
  <c r="L63" i="2632"/>
  <c r="K63" i="2632"/>
  <c r="J63" i="2632"/>
  <c r="I63" i="2632"/>
  <c r="H63" i="2632"/>
  <c r="G63" i="2632"/>
  <c r="F63" i="2632"/>
  <c r="E63" i="2632"/>
  <c r="D63" i="2632"/>
  <c r="C63" i="2632"/>
  <c r="B63" i="2632"/>
  <c r="DZ62" i="2632"/>
  <c r="DY62" i="2632"/>
  <c r="DX62" i="2632"/>
  <c r="DW62" i="2632"/>
  <c r="DV62" i="2632"/>
  <c r="DU62" i="2632"/>
  <c r="DT62" i="2632"/>
  <c r="DS62" i="2632"/>
  <c r="DR62" i="2632"/>
  <c r="DQ62" i="2632"/>
  <c r="DP62" i="2632"/>
  <c r="DO62" i="2632"/>
  <c r="DM62" i="2632"/>
  <c r="DL62" i="2632"/>
  <c r="DK62" i="2632"/>
  <c r="DJ62" i="2632"/>
  <c r="DI62" i="2632"/>
  <c r="DH62" i="2632"/>
  <c r="DG62" i="2632"/>
  <c r="DF62" i="2632"/>
  <c r="DE62" i="2632"/>
  <c r="DD62" i="2632"/>
  <c r="DC62" i="2632"/>
  <c r="DB62" i="2632"/>
  <c r="CZ62" i="2632"/>
  <c r="CY62" i="2632"/>
  <c r="CX62" i="2632"/>
  <c r="CW62" i="2632"/>
  <c r="CV62" i="2632"/>
  <c r="CU62" i="2632"/>
  <c r="CT62" i="2632"/>
  <c r="CS62" i="2632"/>
  <c r="CR62" i="2632"/>
  <c r="CQ62" i="2632"/>
  <c r="CP62" i="2632"/>
  <c r="CO62" i="2632"/>
  <c r="CM62" i="2632"/>
  <c r="CL62" i="2632"/>
  <c r="CK62" i="2632"/>
  <c r="CJ62" i="2632"/>
  <c r="CI62" i="2632"/>
  <c r="CH62" i="2632"/>
  <c r="CG62" i="2632"/>
  <c r="CF62" i="2632"/>
  <c r="CE62" i="2632"/>
  <c r="CD62" i="2632"/>
  <c r="CC62" i="2632"/>
  <c r="CB62" i="2632"/>
  <c r="BZ62" i="2632"/>
  <c r="BY62" i="2632"/>
  <c r="BX62" i="2632"/>
  <c r="BW62" i="2632"/>
  <c r="BV62" i="2632"/>
  <c r="BU62" i="2632"/>
  <c r="BT62" i="2632"/>
  <c r="BS62" i="2632"/>
  <c r="BR62" i="2632"/>
  <c r="BQ62" i="2632"/>
  <c r="BP62" i="2632"/>
  <c r="BO62" i="2632"/>
  <c r="BM62" i="2632"/>
  <c r="BL62" i="2632"/>
  <c r="BK62" i="2632"/>
  <c r="BJ62" i="2632"/>
  <c r="BI62" i="2632"/>
  <c r="BH62" i="2632"/>
  <c r="BG62" i="2632"/>
  <c r="BF62" i="2632"/>
  <c r="BE62" i="2632"/>
  <c r="BD62" i="2632"/>
  <c r="BC62" i="2632"/>
  <c r="BB62" i="2632"/>
  <c r="AZ62" i="2632"/>
  <c r="AY62" i="2632"/>
  <c r="AX62" i="2632"/>
  <c r="AW62" i="2632"/>
  <c r="AV62" i="2632"/>
  <c r="AU62" i="2632"/>
  <c r="AT62" i="2632"/>
  <c r="AS62" i="2632"/>
  <c r="AR62" i="2632"/>
  <c r="AQ62" i="2632"/>
  <c r="AP62" i="2632"/>
  <c r="AO62" i="2632"/>
  <c r="AM62" i="2632"/>
  <c r="AL62" i="2632"/>
  <c r="AK62" i="2632"/>
  <c r="AJ62" i="2632"/>
  <c r="AI62" i="2632"/>
  <c r="AH62" i="2632"/>
  <c r="AG62" i="2632"/>
  <c r="AF62" i="2632"/>
  <c r="AE62" i="2632"/>
  <c r="AD62" i="2632"/>
  <c r="AC62" i="2632"/>
  <c r="AB62" i="2632"/>
  <c r="Z62" i="2632"/>
  <c r="Y62" i="2632"/>
  <c r="X62" i="2632"/>
  <c r="W62" i="2632"/>
  <c r="V62" i="2632"/>
  <c r="U62" i="2632"/>
  <c r="T62" i="2632"/>
  <c r="S62" i="2632"/>
  <c r="R62" i="2632"/>
  <c r="Q62" i="2632"/>
  <c r="P62" i="2632"/>
  <c r="O62" i="2632"/>
  <c r="M62" i="2632"/>
  <c r="L62" i="2632"/>
  <c r="K62" i="2632"/>
  <c r="J62" i="2632"/>
  <c r="I62" i="2632"/>
  <c r="H62" i="2632"/>
  <c r="G62" i="2632"/>
  <c r="F62" i="2632"/>
  <c r="E62" i="2632"/>
  <c r="D62" i="2632"/>
  <c r="C62" i="2632"/>
  <c r="B62" i="2632"/>
  <c r="DZ61" i="2632"/>
  <c r="DY61" i="2632"/>
  <c r="DX61" i="2632"/>
  <c r="DW61" i="2632"/>
  <c r="DV61" i="2632"/>
  <c r="DU61" i="2632"/>
  <c r="DT61" i="2632"/>
  <c r="DS61" i="2632"/>
  <c r="DR61" i="2632"/>
  <c r="DQ61" i="2632"/>
  <c r="DP61" i="2632"/>
  <c r="DO61" i="2632"/>
  <c r="DM61" i="2632"/>
  <c r="DL61" i="2632"/>
  <c r="DK61" i="2632"/>
  <c r="DJ61" i="2632"/>
  <c r="DI61" i="2632"/>
  <c r="DH61" i="2632"/>
  <c r="DG61" i="2632"/>
  <c r="DF61" i="2632"/>
  <c r="DE61" i="2632"/>
  <c r="DD61" i="2632"/>
  <c r="DC61" i="2632"/>
  <c r="DB61" i="2632"/>
  <c r="CZ61" i="2632"/>
  <c r="CY61" i="2632"/>
  <c r="CX61" i="2632"/>
  <c r="CW61" i="2632"/>
  <c r="CV61" i="2632"/>
  <c r="CU61" i="2632"/>
  <c r="CT61" i="2632"/>
  <c r="CS61" i="2632"/>
  <c r="CR61" i="2632"/>
  <c r="CQ61" i="2632"/>
  <c r="CP61" i="2632"/>
  <c r="CO61" i="2632"/>
  <c r="CM61" i="2632"/>
  <c r="CL61" i="2632"/>
  <c r="CK61" i="2632"/>
  <c r="CJ61" i="2632"/>
  <c r="CI61" i="2632"/>
  <c r="CH61" i="2632"/>
  <c r="CG61" i="2632"/>
  <c r="CF61" i="2632"/>
  <c r="CE61" i="2632"/>
  <c r="CD61" i="2632"/>
  <c r="CC61" i="2632"/>
  <c r="CB61" i="2632"/>
  <c r="BZ61" i="2632"/>
  <c r="BY61" i="2632"/>
  <c r="BX61" i="2632"/>
  <c r="BW61" i="2632"/>
  <c r="BV61" i="2632"/>
  <c r="BU61" i="2632"/>
  <c r="BT61" i="2632"/>
  <c r="BS61" i="2632"/>
  <c r="BR61" i="2632"/>
  <c r="BQ61" i="2632"/>
  <c r="BP61" i="2632"/>
  <c r="BO61" i="2632"/>
  <c r="BM61" i="2632"/>
  <c r="BL61" i="2632"/>
  <c r="BK61" i="2632"/>
  <c r="BJ61" i="2632"/>
  <c r="BI61" i="2632"/>
  <c r="BH61" i="2632"/>
  <c r="BG61" i="2632"/>
  <c r="BF61" i="2632"/>
  <c r="BE61" i="2632"/>
  <c r="BD61" i="2632"/>
  <c r="BC61" i="2632"/>
  <c r="BB61" i="2632"/>
  <c r="AZ61" i="2632"/>
  <c r="AY61" i="2632"/>
  <c r="AX61" i="2632"/>
  <c r="AW61" i="2632"/>
  <c r="AV61" i="2632"/>
  <c r="AU61" i="2632"/>
  <c r="AT61" i="2632"/>
  <c r="AS61" i="2632"/>
  <c r="AR61" i="2632"/>
  <c r="AQ61" i="2632"/>
  <c r="AP61" i="2632"/>
  <c r="AO61" i="2632"/>
  <c r="AM61" i="2632"/>
  <c r="AL61" i="2632"/>
  <c r="AK61" i="2632"/>
  <c r="AJ61" i="2632"/>
  <c r="AI61" i="2632"/>
  <c r="AH61" i="2632"/>
  <c r="AG61" i="2632"/>
  <c r="AF61" i="2632"/>
  <c r="AE61" i="2632"/>
  <c r="AD61" i="2632"/>
  <c r="AC61" i="2632"/>
  <c r="AB61" i="2632"/>
  <c r="Z61" i="2632"/>
  <c r="Y61" i="2632"/>
  <c r="X61" i="2632"/>
  <c r="W61" i="2632"/>
  <c r="V61" i="2632"/>
  <c r="U61" i="2632"/>
  <c r="T61" i="2632"/>
  <c r="S61" i="2632"/>
  <c r="R61" i="2632"/>
  <c r="Q61" i="2632"/>
  <c r="P61" i="2632"/>
  <c r="O61" i="2632"/>
  <c r="M61" i="2632"/>
  <c r="L61" i="2632"/>
  <c r="K61" i="2632"/>
  <c r="J61" i="2632"/>
  <c r="I61" i="2632"/>
  <c r="H61" i="2632"/>
  <c r="G61" i="2632"/>
  <c r="F61" i="2632"/>
  <c r="E61" i="2632"/>
  <c r="D61" i="2632"/>
  <c r="C61" i="2632"/>
  <c r="B61" i="2632"/>
  <c r="DZ60" i="2632"/>
  <c r="DY60" i="2632"/>
  <c r="DX60" i="2632"/>
  <c r="DW60" i="2632"/>
  <c r="DV60" i="2632"/>
  <c r="DU60" i="2632"/>
  <c r="DT60" i="2632"/>
  <c r="DS60" i="2632"/>
  <c r="DR60" i="2632"/>
  <c r="DQ60" i="2632"/>
  <c r="DP60" i="2632"/>
  <c r="DO60" i="2632"/>
  <c r="DM60" i="2632"/>
  <c r="DL60" i="2632"/>
  <c r="DK60" i="2632"/>
  <c r="DJ60" i="2632"/>
  <c r="DI60" i="2632"/>
  <c r="DH60" i="2632"/>
  <c r="DG60" i="2632"/>
  <c r="DF60" i="2632"/>
  <c r="DE60" i="2632"/>
  <c r="DD60" i="2632"/>
  <c r="DC60" i="2632"/>
  <c r="DB60" i="2632"/>
  <c r="CZ60" i="2632"/>
  <c r="CY60" i="2632"/>
  <c r="CX60" i="2632"/>
  <c r="CW60" i="2632"/>
  <c r="CV60" i="2632"/>
  <c r="CU60" i="2632"/>
  <c r="CT60" i="2632"/>
  <c r="CS60" i="2632"/>
  <c r="CR60" i="2632"/>
  <c r="CQ60" i="2632"/>
  <c r="CP60" i="2632"/>
  <c r="CO60" i="2632"/>
  <c r="CM60" i="2632"/>
  <c r="CL60" i="2632"/>
  <c r="CK60" i="2632"/>
  <c r="CJ60" i="2632"/>
  <c r="CI60" i="2632"/>
  <c r="CH60" i="2632"/>
  <c r="CG60" i="2632"/>
  <c r="CF60" i="2632"/>
  <c r="CE60" i="2632"/>
  <c r="CD60" i="2632"/>
  <c r="CC60" i="2632"/>
  <c r="CB60" i="2632"/>
  <c r="BZ60" i="2632"/>
  <c r="BY60" i="2632"/>
  <c r="BX60" i="2632"/>
  <c r="BW60" i="2632"/>
  <c r="BV60" i="2632"/>
  <c r="BU60" i="2632"/>
  <c r="BT60" i="2632"/>
  <c r="BS60" i="2632"/>
  <c r="BR60" i="2632"/>
  <c r="BQ60" i="2632"/>
  <c r="BP60" i="2632"/>
  <c r="BO60" i="2632"/>
  <c r="BM60" i="2632"/>
  <c r="BL60" i="2632"/>
  <c r="BK60" i="2632"/>
  <c r="BJ60" i="2632"/>
  <c r="BI60" i="2632"/>
  <c r="BH60" i="2632"/>
  <c r="BG60" i="2632"/>
  <c r="BF60" i="2632"/>
  <c r="BE60" i="2632"/>
  <c r="BD60" i="2632"/>
  <c r="BC60" i="2632"/>
  <c r="BB60" i="2632"/>
  <c r="AZ60" i="2632"/>
  <c r="AY60" i="2632"/>
  <c r="AX60" i="2632"/>
  <c r="AW60" i="2632"/>
  <c r="AV60" i="2632"/>
  <c r="AU60" i="2632"/>
  <c r="AT60" i="2632"/>
  <c r="AS60" i="2632"/>
  <c r="AR60" i="2632"/>
  <c r="AQ60" i="2632"/>
  <c r="AP60" i="2632"/>
  <c r="AO60" i="2632"/>
  <c r="AM60" i="2632"/>
  <c r="AL60" i="2632"/>
  <c r="AK60" i="2632"/>
  <c r="AJ60" i="2632"/>
  <c r="AI60" i="2632"/>
  <c r="AH60" i="2632"/>
  <c r="AG60" i="2632"/>
  <c r="AF60" i="2632"/>
  <c r="AE60" i="2632"/>
  <c r="AD60" i="2632"/>
  <c r="AC60" i="2632"/>
  <c r="AB60" i="2632"/>
  <c r="Z60" i="2632"/>
  <c r="Y60" i="2632"/>
  <c r="X60" i="2632"/>
  <c r="W60" i="2632"/>
  <c r="V60" i="2632"/>
  <c r="U60" i="2632"/>
  <c r="T60" i="2632"/>
  <c r="S60" i="2632"/>
  <c r="R60" i="2632"/>
  <c r="Q60" i="2632"/>
  <c r="P60" i="2632"/>
  <c r="O60" i="2632"/>
  <c r="M60" i="2632"/>
  <c r="L60" i="2632"/>
  <c r="K60" i="2632"/>
  <c r="J60" i="2632"/>
  <c r="I60" i="2632"/>
  <c r="H60" i="2632"/>
  <c r="G60" i="2632"/>
  <c r="F60" i="2632"/>
  <c r="E60" i="2632"/>
  <c r="D60" i="2632"/>
  <c r="C60" i="2632"/>
  <c r="B60" i="2632"/>
  <c r="DZ57" i="2632"/>
  <c r="DY57" i="2632"/>
  <c r="DX57" i="2632"/>
  <c r="DW57" i="2632"/>
  <c r="DV57" i="2632"/>
  <c r="DU57" i="2632"/>
  <c r="DT57" i="2632"/>
  <c r="DS57" i="2632"/>
  <c r="DR57" i="2632"/>
  <c r="DQ57" i="2632"/>
  <c r="DP57" i="2632"/>
  <c r="DO57" i="2632"/>
  <c r="DM57" i="2632"/>
  <c r="DL57" i="2632"/>
  <c r="DK57" i="2632"/>
  <c r="DJ57" i="2632"/>
  <c r="DI57" i="2632"/>
  <c r="DH57" i="2632"/>
  <c r="DG57" i="2632"/>
  <c r="DF57" i="2632"/>
  <c r="DE57" i="2632"/>
  <c r="DD57" i="2632"/>
  <c r="DC57" i="2632"/>
  <c r="DB57" i="2632"/>
  <c r="CZ57" i="2632"/>
  <c r="CY57" i="2632"/>
  <c r="CX57" i="2632"/>
  <c r="CW57" i="2632"/>
  <c r="CV57" i="2632"/>
  <c r="CU57" i="2632"/>
  <c r="CT57" i="2632"/>
  <c r="CS57" i="2632"/>
  <c r="CR57" i="2632"/>
  <c r="CQ57" i="2632"/>
  <c r="CP57" i="2632"/>
  <c r="CO57" i="2632"/>
  <c r="CM57" i="2632"/>
  <c r="CL57" i="2632"/>
  <c r="CK57" i="2632"/>
  <c r="CJ57" i="2632"/>
  <c r="CI57" i="2632"/>
  <c r="CH57" i="2632"/>
  <c r="CG57" i="2632"/>
  <c r="CF57" i="2632"/>
  <c r="CE57" i="2632"/>
  <c r="CD57" i="2632"/>
  <c r="CC57" i="2632"/>
  <c r="CB57" i="2632"/>
  <c r="BZ57" i="2632"/>
  <c r="BY57" i="2632"/>
  <c r="BX57" i="2632"/>
  <c r="BW57" i="2632"/>
  <c r="BV57" i="2632"/>
  <c r="BU57" i="2632"/>
  <c r="BT57" i="2632"/>
  <c r="BS57" i="2632"/>
  <c r="BR57" i="2632"/>
  <c r="BQ57" i="2632"/>
  <c r="BP57" i="2632"/>
  <c r="BO57" i="2632"/>
  <c r="BM57" i="2632"/>
  <c r="BL57" i="2632"/>
  <c r="BK57" i="2632"/>
  <c r="BJ57" i="2632"/>
  <c r="BI57" i="2632"/>
  <c r="BH57" i="2632"/>
  <c r="BG57" i="2632"/>
  <c r="BF57" i="2632"/>
  <c r="BE57" i="2632"/>
  <c r="BD57" i="2632"/>
  <c r="BC57" i="2632"/>
  <c r="BB57" i="2632"/>
  <c r="AZ57" i="2632"/>
  <c r="AY57" i="2632"/>
  <c r="AX57" i="2632"/>
  <c r="AW57" i="2632"/>
  <c r="AV57" i="2632"/>
  <c r="AU57" i="2632"/>
  <c r="AT57" i="2632"/>
  <c r="AS57" i="2632"/>
  <c r="AR57" i="2632"/>
  <c r="AQ57" i="2632"/>
  <c r="AP57" i="2632"/>
  <c r="AO57" i="2632"/>
  <c r="AM57" i="2632"/>
  <c r="AL57" i="2632"/>
  <c r="AK57" i="2632"/>
  <c r="AJ57" i="2632"/>
  <c r="AI57" i="2632"/>
  <c r="AH57" i="2632"/>
  <c r="AG57" i="2632"/>
  <c r="AF57" i="2632"/>
  <c r="AE57" i="2632"/>
  <c r="AD57" i="2632"/>
  <c r="AC57" i="2632"/>
  <c r="AB57" i="2632"/>
  <c r="Z57" i="2632"/>
  <c r="Y57" i="2632"/>
  <c r="X57" i="2632"/>
  <c r="W57" i="2632"/>
  <c r="V57" i="2632"/>
  <c r="U57" i="2632"/>
  <c r="T57" i="2632"/>
  <c r="S57" i="2632"/>
  <c r="R57" i="2632"/>
  <c r="Q57" i="2632"/>
  <c r="P57" i="2632"/>
  <c r="O57" i="2632"/>
  <c r="M57" i="2632"/>
  <c r="L57" i="2632"/>
  <c r="K57" i="2632"/>
  <c r="J57" i="2632"/>
  <c r="I57" i="2632"/>
  <c r="H57" i="2632"/>
  <c r="G57" i="2632"/>
  <c r="F57" i="2632"/>
  <c r="E57" i="2632"/>
  <c r="D57" i="2632"/>
  <c r="C57" i="2632"/>
  <c r="B57" i="2632"/>
  <c r="DZ56" i="2632"/>
  <c r="DY56" i="2632"/>
  <c r="DX56" i="2632"/>
  <c r="DW56" i="2632"/>
  <c r="DV56" i="2632"/>
  <c r="DU56" i="2632"/>
  <c r="DT56" i="2632"/>
  <c r="DS56" i="2632"/>
  <c r="DR56" i="2632"/>
  <c r="DQ56" i="2632"/>
  <c r="DP56" i="2632"/>
  <c r="DO56" i="2632"/>
  <c r="DM56" i="2632"/>
  <c r="DL56" i="2632"/>
  <c r="DK56" i="2632"/>
  <c r="DJ56" i="2632"/>
  <c r="DI56" i="2632"/>
  <c r="DH56" i="2632"/>
  <c r="DG56" i="2632"/>
  <c r="DF56" i="2632"/>
  <c r="DE56" i="2632"/>
  <c r="DD56" i="2632"/>
  <c r="DC56" i="2632"/>
  <c r="DB56" i="2632"/>
  <c r="CZ56" i="2632"/>
  <c r="CY56" i="2632"/>
  <c r="CX56" i="2632"/>
  <c r="CW56" i="2632"/>
  <c r="CV56" i="2632"/>
  <c r="CU56" i="2632"/>
  <c r="CT56" i="2632"/>
  <c r="CS56" i="2632"/>
  <c r="CR56" i="2632"/>
  <c r="CQ56" i="2632"/>
  <c r="CP56" i="2632"/>
  <c r="CO56" i="2632"/>
  <c r="CM56" i="2632"/>
  <c r="CL56" i="2632"/>
  <c r="CK56" i="2632"/>
  <c r="CJ56" i="2632"/>
  <c r="CI56" i="2632"/>
  <c r="CH56" i="2632"/>
  <c r="CG56" i="2632"/>
  <c r="CF56" i="2632"/>
  <c r="CE56" i="2632"/>
  <c r="CD56" i="2632"/>
  <c r="CC56" i="2632"/>
  <c r="CB56" i="2632"/>
  <c r="BZ56" i="2632"/>
  <c r="BY56" i="2632"/>
  <c r="BX56" i="2632"/>
  <c r="BW56" i="2632"/>
  <c r="BV56" i="2632"/>
  <c r="BU56" i="2632"/>
  <c r="BT56" i="2632"/>
  <c r="BS56" i="2632"/>
  <c r="BR56" i="2632"/>
  <c r="BQ56" i="2632"/>
  <c r="BP56" i="2632"/>
  <c r="BO56" i="2632"/>
  <c r="BM56" i="2632"/>
  <c r="BL56" i="2632"/>
  <c r="BK56" i="2632"/>
  <c r="BJ56" i="2632"/>
  <c r="BI56" i="2632"/>
  <c r="BH56" i="2632"/>
  <c r="BG56" i="2632"/>
  <c r="BF56" i="2632"/>
  <c r="BE56" i="2632"/>
  <c r="BD56" i="2632"/>
  <c r="BC56" i="2632"/>
  <c r="BB56" i="2632"/>
  <c r="AZ56" i="2632"/>
  <c r="AY56" i="2632"/>
  <c r="AX56" i="2632"/>
  <c r="AW56" i="2632"/>
  <c r="AV56" i="2632"/>
  <c r="AU56" i="2632"/>
  <c r="AT56" i="2632"/>
  <c r="AS56" i="2632"/>
  <c r="AR56" i="2632"/>
  <c r="AQ56" i="2632"/>
  <c r="AP56" i="2632"/>
  <c r="AO56" i="2632"/>
  <c r="AM56" i="2632"/>
  <c r="AL56" i="2632"/>
  <c r="AK56" i="2632"/>
  <c r="AJ56" i="2632"/>
  <c r="AI56" i="2632"/>
  <c r="AH56" i="2632"/>
  <c r="AG56" i="2632"/>
  <c r="AF56" i="2632"/>
  <c r="AE56" i="2632"/>
  <c r="AD56" i="2632"/>
  <c r="AC56" i="2632"/>
  <c r="AB56" i="2632"/>
  <c r="Z56" i="2632"/>
  <c r="Y56" i="2632"/>
  <c r="X56" i="2632"/>
  <c r="W56" i="2632"/>
  <c r="V56" i="2632"/>
  <c r="U56" i="2632"/>
  <c r="T56" i="2632"/>
  <c r="S56" i="2632"/>
  <c r="R56" i="2632"/>
  <c r="Q56" i="2632"/>
  <c r="P56" i="2632"/>
  <c r="O56" i="2632"/>
  <c r="M56" i="2632"/>
  <c r="L56" i="2632"/>
  <c r="K56" i="2632"/>
  <c r="J56" i="2632"/>
  <c r="I56" i="2632"/>
  <c r="H56" i="2632"/>
  <c r="G56" i="2632"/>
  <c r="F56" i="2632"/>
  <c r="E56" i="2632"/>
  <c r="D56" i="2632"/>
  <c r="C56" i="2632"/>
  <c r="B56" i="2632"/>
  <c r="DZ55" i="2632"/>
  <c r="DY55" i="2632"/>
  <c r="DX55" i="2632"/>
  <c r="DW55" i="2632"/>
  <c r="DV55" i="2632"/>
  <c r="DU55" i="2632"/>
  <c r="DT55" i="2632"/>
  <c r="DS55" i="2632"/>
  <c r="DR55" i="2632"/>
  <c r="DQ55" i="2632"/>
  <c r="DP55" i="2632"/>
  <c r="DO55" i="2632"/>
  <c r="DM55" i="2632"/>
  <c r="DL55" i="2632"/>
  <c r="DK55" i="2632"/>
  <c r="DJ55" i="2632"/>
  <c r="DI55" i="2632"/>
  <c r="DH55" i="2632"/>
  <c r="DG55" i="2632"/>
  <c r="DF55" i="2632"/>
  <c r="DE55" i="2632"/>
  <c r="DD55" i="2632"/>
  <c r="DC55" i="2632"/>
  <c r="DB55" i="2632"/>
  <c r="CZ55" i="2632"/>
  <c r="CY55" i="2632"/>
  <c r="CX55" i="2632"/>
  <c r="CW55" i="2632"/>
  <c r="CV55" i="2632"/>
  <c r="CU55" i="2632"/>
  <c r="CT55" i="2632"/>
  <c r="CS55" i="2632"/>
  <c r="CR55" i="2632"/>
  <c r="CQ55" i="2632"/>
  <c r="CP55" i="2632"/>
  <c r="CO55" i="2632"/>
  <c r="CM55" i="2632"/>
  <c r="CL55" i="2632"/>
  <c r="CK55" i="2632"/>
  <c r="CJ55" i="2632"/>
  <c r="CI55" i="2632"/>
  <c r="CH55" i="2632"/>
  <c r="CG55" i="2632"/>
  <c r="CF55" i="2632"/>
  <c r="CE55" i="2632"/>
  <c r="CD55" i="2632"/>
  <c r="BZ55" i="2632"/>
  <c r="BY55" i="2632"/>
  <c r="BX55" i="2632"/>
  <c r="BW55" i="2632"/>
  <c r="BV55" i="2632"/>
  <c r="BU55" i="2632"/>
  <c r="BT55" i="2632"/>
  <c r="BS55" i="2632"/>
  <c r="BR55" i="2632"/>
  <c r="BQ55" i="2632"/>
  <c r="DZ54" i="2632"/>
  <c r="DY54" i="2632"/>
  <c r="DX54" i="2632"/>
  <c r="DW54" i="2632"/>
  <c r="DV54" i="2632"/>
  <c r="DU54" i="2632"/>
  <c r="DT54" i="2632"/>
  <c r="DS54" i="2632"/>
  <c r="DR54" i="2632"/>
  <c r="DQ54" i="2632"/>
  <c r="DP54" i="2632"/>
  <c r="DO54" i="2632"/>
  <c r="DM54" i="2632"/>
  <c r="DL54" i="2632"/>
  <c r="DK54" i="2632"/>
  <c r="DJ54" i="2632"/>
  <c r="DI54" i="2632"/>
  <c r="DH54" i="2632"/>
  <c r="DG54" i="2632"/>
  <c r="DF54" i="2632"/>
  <c r="DE54" i="2632"/>
  <c r="DD54" i="2632"/>
  <c r="DC54" i="2632"/>
  <c r="DB54" i="2632"/>
  <c r="CZ54" i="2632"/>
  <c r="CY54" i="2632"/>
  <c r="CX54" i="2632"/>
  <c r="CW54" i="2632"/>
  <c r="CV54" i="2632"/>
  <c r="CU54" i="2632"/>
  <c r="CT54" i="2632"/>
  <c r="CS54" i="2632"/>
  <c r="CR54" i="2632"/>
  <c r="CQ54" i="2632"/>
  <c r="CP54" i="2632"/>
  <c r="CO54" i="2632"/>
  <c r="CM54" i="2632"/>
  <c r="CL54" i="2632"/>
  <c r="CK54" i="2632"/>
  <c r="CJ54" i="2632"/>
  <c r="CI54" i="2632"/>
  <c r="CH54" i="2632"/>
  <c r="CG54" i="2632"/>
  <c r="CF54" i="2632"/>
  <c r="CE54" i="2632"/>
  <c r="CD54" i="2632"/>
  <c r="CC54" i="2632"/>
  <c r="CB54" i="2632"/>
  <c r="BZ54" i="2632"/>
  <c r="BY54" i="2632"/>
  <c r="BX54" i="2632"/>
  <c r="BW54" i="2632"/>
  <c r="BV54" i="2632"/>
  <c r="BU54" i="2632"/>
  <c r="BT54" i="2632"/>
  <c r="BS54" i="2632"/>
  <c r="BR54" i="2632"/>
  <c r="BQ54" i="2632"/>
  <c r="BP54" i="2632"/>
  <c r="BO54" i="2632"/>
  <c r="BM54" i="2632"/>
  <c r="BL54" i="2632"/>
  <c r="BK54" i="2632"/>
  <c r="BJ54" i="2632"/>
  <c r="BI54" i="2632"/>
  <c r="BH54" i="2632"/>
  <c r="BG54" i="2632"/>
  <c r="BF54" i="2632"/>
  <c r="BE54" i="2632"/>
  <c r="BD54" i="2632"/>
  <c r="BC54" i="2632"/>
  <c r="BB54" i="2632"/>
  <c r="AZ54" i="2632"/>
  <c r="AY54" i="2632"/>
  <c r="AX54" i="2632"/>
  <c r="AW54" i="2632"/>
  <c r="AV54" i="2632"/>
  <c r="AU54" i="2632"/>
  <c r="AT54" i="2632"/>
  <c r="AS54" i="2632"/>
  <c r="AR54" i="2632"/>
  <c r="AQ54" i="2632"/>
  <c r="AP54" i="2632"/>
  <c r="AO54" i="2632"/>
  <c r="AM54" i="2632"/>
  <c r="AL54" i="2632"/>
  <c r="AK54" i="2632"/>
  <c r="AJ54" i="2632"/>
  <c r="AI54" i="2632"/>
  <c r="AH54" i="2632"/>
  <c r="AG54" i="2632"/>
  <c r="AF54" i="2632"/>
  <c r="AE54" i="2632"/>
  <c r="AD54" i="2632"/>
  <c r="AC54" i="2632"/>
  <c r="AB54" i="2632"/>
  <c r="Z54" i="2632"/>
  <c r="Y54" i="2632"/>
  <c r="X54" i="2632"/>
  <c r="W54" i="2632"/>
  <c r="V54" i="2632"/>
  <c r="U54" i="2632"/>
  <c r="T54" i="2632"/>
  <c r="S54" i="2632"/>
  <c r="R54" i="2632"/>
  <c r="Q54" i="2632"/>
  <c r="P54" i="2632"/>
  <c r="O54" i="2632"/>
  <c r="M54" i="2632"/>
  <c r="L54" i="2632"/>
  <c r="K54" i="2632"/>
  <c r="J54" i="2632"/>
  <c r="I54" i="2632"/>
  <c r="H54" i="2632"/>
  <c r="G54" i="2632"/>
  <c r="F54" i="2632"/>
  <c r="E54" i="2632"/>
  <c r="D54" i="2632"/>
  <c r="C54" i="2632"/>
  <c r="B54" i="2632"/>
  <c r="DZ53" i="2632"/>
  <c r="DY53" i="2632"/>
  <c r="DX53" i="2632"/>
  <c r="DW53" i="2632"/>
  <c r="DV53" i="2632"/>
  <c r="DU53" i="2632"/>
  <c r="DT53" i="2632"/>
  <c r="DS53" i="2632"/>
  <c r="DR53" i="2632"/>
  <c r="DQ53" i="2632"/>
  <c r="DP53" i="2632"/>
  <c r="DO53" i="2632"/>
  <c r="DM53" i="2632"/>
  <c r="DL53" i="2632"/>
  <c r="DK53" i="2632"/>
  <c r="DJ53" i="2632"/>
  <c r="DI53" i="2632"/>
  <c r="DH53" i="2632"/>
  <c r="DG53" i="2632"/>
  <c r="DF53" i="2632"/>
  <c r="DE53" i="2632"/>
  <c r="DD53" i="2632"/>
  <c r="DC53" i="2632"/>
  <c r="DB53" i="2632"/>
  <c r="CZ53" i="2632"/>
  <c r="CY53" i="2632"/>
  <c r="CX53" i="2632"/>
  <c r="CW53" i="2632"/>
  <c r="CV53" i="2632"/>
  <c r="CU53" i="2632"/>
  <c r="CT53" i="2632"/>
  <c r="CS53" i="2632"/>
  <c r="CR53" i="2632"/>
  <c r="CQ53" i="2632"/>
  <c r="CP53" i="2632"/>
  <c r="CO53" i="2632"/>
  <c r="CM53" i="2632"/>
  <c r="CL53" i="2632"/>
  <c r="CK53" i="2632"/>
  <c r="CJ53" i="2632"/>
  <c r="CI53" i="2632"/>
  <c r="CH53" i="2632"/>
  <c r="CG53" i="2632"/>
  <c r="CF53" i="2632"/>
  <c r="CE53" i="2632"/>
  <c r="CD53" i="2632"/>
  <c r="CC53" i="2632"/>
  <c r="CB53" i="2632"/>
  <c r="BZ53" i="2632"/>
  <c r="BY53" i="2632"/>
  <c r="BX53" i="2632"/>
  <c r="BW53" i="2632"/>
  <c r="BV53" i="2632"/>
  <c r="BU53" i="2632"/>
  <c r="BT53" i="2632"/>
  <c r="BS53" i="2632"/>
  <c r="BR53" i="2632"/>
  <c r="BQ53" i="2632"/>
  <c r="BP53" i="2632"/>
  <c r="BO53" i="2632"/>
  <c r="BM53" i="2632"/>
  <c r="BL53" i="2632"/>
  <c r="BK53" i="2632"/>
  <c r="BJ53" i="2632"/>
  <c r="BI53" i="2632"/>
  <c r="BH53" i="2632"/>
  <c r="BG53" i="2632"/>
  <c r="BF53" i="2632"/>
  <c r="BE53" i="2632"/>
  <c r="BD53" i="2632"/>
  <c r="BC53" i="2632"/>
  <c r="BB53" i="2632"/>
  <c r="AZ53" i="2632"/>
  <c r="AY53" i="2632"/>
  <c r="AX53" i="2632"/>
  <c r="AW53" i="2632"/>
  <c r="AV53" i="2632"/>
  <c r="AU53" i="2632"/>
  <c r="AT53" i="2632"/>
  <c r="AS53" i="2632"/>
  <c r="AR53" i="2632"/>
  <c r="AQ53" i="2632"/>
  <c r="AP53" i="2632"/>
  <c r="AO53" i="2632"/>
  <c r="AM53" i="2632"/>
  <c r="AL53" i="2632"/>
  <c r="AK53" i="2632"/>
  <c r="AJ53" i="2632"/>
  <c r="AI53" i="2632"/>
  <c r="AH53" i="2632"/>
  <c r="AG53" i="2632"/>
  <c r="AF53" i="2632"/>
  <c r="AE53" i="2632"/>
  <c r="AD53" i="2632"/>
  <c r="AC53" i="2632"/>
  <c r="AB53" i="2632"/>
  <c r="Z53" i="2632"/>
  <c r="Y53" i="2632"/>
  <c r="X53" i="2632"/>
  <c r="W53" i="2632"/>
  <c r="V53" i="2632"/>
  <c r="U53" i="2632"/>
  <c r="T53" i="2632"/>
  <c r="S53" i="2632"/>
  <c r="R53" i="2632"/>
  <c r="Q53" i="2632"/>
  <c r="P53" i="2632"/>
  <c r="O53" i="2632"/>
  <c r="M53" i="2632"/>
  <c r="L53" i="2632"/>
  <c r="K53" i="2632"/>
  <c r="J53" i="2632"/>
  <c r="I53" i="2632"/>
  <c r="H53" i="2632"/>
  <c r="G53" i="2632"/>
  <c r="F53" i="2632"/>
  <c r="E53" i="2632"/>
  <c r="D53" i="2632"/>
  <c r="C53" i="2632"/>
  <c r="B53" i="2632"/>
  <c r="DZ52" i="2632"/>
  <c r="DY52" i="2632"/>
  <c r="DX52" i="2632"/>
  <c r="DW52" i="2632"/>
  <c r="DV52" i="2632"/>
  <c r="DU52" i="2632"/>
  <c r="DT52" i="2632"/>
  <c r="DS52" i="2632"/>
  <c r="DR52" i="2632"/>
  <c r="DQ52" i="2632"/>
  <c r="DP52" i="2632"/>
  <c r="DO52" i="2632"/>
  <c r="DM52" i="2632"/>
  <c r="DL52" i="2632"/>
  <c r="DK52" i="2632"/>
  <c r="DJ52" i="2632"/>
  <c r="DI52" i="2632"/>
  <c r="DH52" i="2632"/>
  <c r="DG52" i="2632"/>
  <c r="DF52" i="2632"/>
  <c r="DE52" i="2632"/>
  <c r="DD52" i="2632"/>
  <c r="DC52" i="2632"/>
  <c r="DB52" i="2632"/>
  <c r="CZ52" i="2632"/>
  <c r="CY52" i="2632"/>
  <c r="CX52" i="2632"/>
  <c r="CW52" i="2632"/>
  <c r="CV52" i="2632"/>
  <c r="CU52" i="2632"/>
  <c r="CT52" i="2632"/>
  <c r="CS52" i="2632"/>
  <c r="CR52" i="2632"/>
  <c r="CQ52" i="2632"/>
  <c r="CP52" i="2632"/>
  <c r="CO52" i="2632"/>
  <c r="CM52" i="2632"/>
  <c r="CL52" i="2632"/>
  <c r="CK52" i="2632"/>
  <c r="CJ52" i="2632"/>
  <c r="CI52" i="2632"/>
  <c r="CH52" i="2632"/>
  <c r="CG52" i="2632"/>
  <c r="CF52" i="2632"/>
  <c r="CE52" i="2632"/>
  <c r="CD52" i="2632"/>
  <c r="CC52" i="2632"/>
  <c r="CB52" i="2632"/>
  <c r="BZ52" i="2632"/>
  <c r="BY52" i="2632"/>
  <c r="BX52" i="2632"/>
  <c r="BW52" i="2632"/>
  <c r="BV52" i="2632"/>
  <c r="BU52" i="2632"/>
  <c r="BT52" i="2632"/>
  <c r="BS52" i="2632"/>
  <c r="BR52" i="2632"/>
  <c r="BQ52" i="2632"/>
  <c r="BP52" i="2632"/>
  <c r="BO52" i="2632"/>
  <c r="BM52" i="2632"/>
  <c r="BL52" i="2632"/>
  <c r="BK52" i="2632"/>
  <c r="BJ52" i="2632"/>
  <c r="BI52" i="2632"/>
  <c r="BH52" i="2632"/>
  <c r="BG52" i="2632"/>
  <c r="BF52" i="2632"/>
  <c r="BE52" i="2632"/>
  <c r="BD52" i="2632"/>
  <c r="BC52" i="2632"/>
  <c r="BB52" i="2632"/>
  <c r="AZ52" i="2632"/>
  <c r="AY52" i="2632"/>
  <c r="AX52" i="2632"/>
  <c r="AW52" i="2632"/>
  <c r="AV52" i="2632"/>
  <c r="AU52" i="2632"/>
  <c r="AT52" i="2632"/>
  <c r="AS52" i="2632"/>
  <c r="AR52" i="2632"/>
  <c r="AQ52" i="2632"/>
  <c r="AP52" i="2632"/>
  <c r="AO52" i="2632"/>
  <c r="AM52" i="2632"/>
  <c r="AL52" i="2632"/>
  <c r="AK52" i="2632"/>
  <c r="AJ52" i="2632"/>
  <c r="AI52" i="2632"/>
  <c r="AH52" i="2632"/>
  <c r="AG52" i="2632"/>
  <c r="AF52" i="2632"/>
  <c r="AE52" i="2632"/>
  <c r="AD52" i="2632"/>
  <c r="AC52" i="2632"/>
  <c r="AB52" i="2632"/>
  <c r="Z52" i="2632"/>
  <c r="Y52" i="2632"/>
  <c r="X52" i="2632"/>
  <c r="W52" i="2632"/>
  <c r="V52" i="2632"/>
  <c r="U52" i="2632"/>
  <c r="T52" i="2632"/>
  <c r="S52" i="2632"/>
  <c r="R52" i="2632"/>
  <c r="Q52" i="2632"/>
  <c r="P52" i="2632"/>
  <c r="O52" i="2632"/>
  <c r="M52" i="2632"/>
  <c r="L52" i="2632"/>
  <c r="K52" i="2632"/>
  <c r="J52" i="2632"/>
  <c r="I52" i="2632"/>
  <c r="H52" i="2632"/>
  <c r="G52" i="2632"/>
  <c r="F52" i="2632"/>
  <c r="E52" i="2632"/>
  <c r="D52" i="2632"/>
  <c r="C52" i="2632"/>
  <c r="B52" i="2632"/>
  <c r="DZ51" i="2632"/>
  <c r="DY51" i="2632"/>
  <c r="DX51" i="2632"/>
  <c r="DW51" i="2632"/>
  <c r="DV51" i="2632"/>
  <c r="DU51" i="2632"/>
  <c r="DT51" i="2632"/>
  <c r="DS51" i="2632"/>
  <c r="DR51" i="2632"/>
  <c r="DQ51" i="2632"/>
  <c r="DP51" i="2632"/>
  <c r="DO51" i="2632"/>
  <c r="DM51" i="2632"/>
  <c r="DL51" i="2632"/>
  <c r="DK51" i="2632"/>
  <c r="DJ51" i="2632"/>
  <c r="DI51" i="2632"/>
  <c r="DH51" i="2632"/>
  <c r="DG51" i="2632"/>
  <c r="DF51" i="2632"/>
  <c r="DE51" i="2632"/>
  <c r="DD51" i="2632"/>
  <c r="DC51" i="2632"/>
  <c r="DB51" i="2632"/>
  <c r="CZ51" i="2632"/>
  <c r="CY51" i="2632"/>
  <c r="CX51" i="2632"/>
  <c r="CW51" i="2632"/>
  <c r="CV51" i="2632"/>
  <c r="CU51" i="2632"/>
  <c r="CT51" i="2632"/>
  <c r="CS51" i="2632"/>
  <c r="CR51" i="2632"/>
  <c r="CQ51" i="2632"/>
  <c r="CP51" i="2632"/>
  <c r="CO51" i="2632"/>
  <c r="CM51" i="2632"/>
  <c r="CL51" i="2632"/>
  <c r="CK51" i="2632"/>
  <c r="CJ51" i="2632"/>
  <c r="CI51" i="2632"/>
  <c r="CH51" i="2632"/>
  <c r="CG51" i="2632"/>
  <c r="CF51" i="2632"/>
  <c r="CE51" i="2632"/>
  <c r="CD51" i="2632"/>
  <c r="CC51" i="2632"/>
  <c r="CB51" i="2632"/>
  <c r="BZ51" i="2632"/>
  <c r="BY51" i="2632"/>
  <c r="BX51" i="2632"/>
  <c r="BW51" i="2632"/>
  <c r="BV51" i="2632"/>
  <c r="BU51" i="2632"/>
  <c r="BT51" i="2632"/>
  <c r="BS51" i="2632"/>
  <c r="BR51" i="2632"/>
  <c r="BQ51" i="2632"/>
  <c r="BP51" i="2632"/>
  <c r="BO51" i="2632"/>
  <c r="BM51" i="2632"/>
  <c r="BL51" i="2632"/>
  <c r="BK51" i="2632"/>
  <c r="BJ51" i="2632"/>
  <c r="BI51" i="2632"/>
  <c r="BH51" i="2632"/>
  <c r="BG51" i="2632"/>
  <c r="BF51" i="2632"/>
  <c r="BE51" i="2632"/>
  <c r="BD51" i="2632"/>
  <c r="BC51" i="2632"/>
  <c r="BB51" i="2632"/>
  <c r="AZ51" i="2632"/>
  <c r="AY51" i="2632"/>
  <c r="AX51" i="2632"/>
  <c r="AW51" i="2632"/>
  <c r="AV51" i="2632"/>
  <c r="AU51" i="2632"/>
  <c r="AT51" i="2632"/>
  <c r="AS51" i="2632"/>
  <c r="AR51" i="2632"/>
  <c r="AQ51" i="2632"/>
  <c r="AP51" i="2632"/>
  <c r="AO51" i="2632"/>
  <c r="AM51" i="2632"/>
  <c r="AL51" i="2632"/>
  <c r="AK51" i="2632"/>
  <c r="AJ51" i="2632"/>
  <c r="AI51" i="2632"/>
  <c r="AH51" i="2632"/>
  <c r="AG51" i="2632"/>
  <c r="AF51" i="2632"/>
  <c r="AE51" i="2632"/>
  <c r="AD51" i="2632"/>
  <c r="AC51" i="2632"/>
  <c r="AB51" i="2632"/>
  <c r="Z51" i="2632"/>
  <c r="Y51" i="2632"/>
  <c r="X51" i="2632"/>
  <c r="W51" i="2632"/>
  <c r="V51" i="2632"/>
  <c r="U51" i="2632"/>
  <c r="T51" i="2632"/>
  <c r="S51" i="2632"/>
  <c r="R51" i="2632"/>
  <c r="Q51" i="2632"/>
  <c r="P51" i="2632"/>
  <c r="O51" i="2632"/>
  <c r="M51" i="2632"/>
  <c r="L51" i="2632"/>
  <c r="K51" i="2632"/>
  <c r="J51" i="2632"/>
  <c r="I51" i="2632"/>
  <c r="H51" i="2632"/>
  <c r="G51" i="2632"/>
  <c r="F51" i="2632"/>
  <c r="E51" i="2632"/>
  <c r="D51" i="2632"/>
  <c r="C51" i="2632"/>
  <c r="B51" i="2632"/>
  <c r="DZ49" i="2632"/>
  <c r="DY49" i="2632"/>
  <c r="DX49" i="2632"/>
  <c r="DW49" i="2632"/>
  <c r="DV49" i="2632"/>
  <c r="DU49" i="2632"/>
  <c r="DT49" i="2632"/>
  <c r="DS49" i="2632"/>
  <c r="DR49" i="2632"/>
  <c r="DQ49" i="2632"/>
  <c r="DP49" i="2632"/>
  <c r="DO49" i="2632"/>
  <c r="DM49" i="2632"/>
  <c r="DL49" i="2632"/>
  <c r="DK49" i="2632"/>
  <c r="DJ49" i="2632"/>
  <c r="DI49" i="2632"/>
  <c r="DH49" i="2632"/>
  <c r="DG49" i="2632"/>
  <c r="DF49" i="2632"/>
  <c r="DE49" i="2632"/>
  <c r="DD49" i="2632"/>
  <c r="DC49" i="2632"/>
  <c r="DB49" i="2632"/>
  <c r="CZ49" i="2632"/>
  <c r="CY49" i="2632"/>
  <c r="CX49" i="2632"/>
  <c r="CW49" i="2632"/>
  <c r="CV49" i="2632"/>
  <c r="CU49" i="2632"/>
  <c r="CT49" i="2632"/>
  <c r="CS49" i="2632"/>
  <c r="CR49" i="2632"/>
  <c r="CQ49" i="2632"/>
  <c r="CP49" i="2632"/>
  <c r="CO49" i="2632"/>
  <c r="CM49" i="2632"/>
  <c r="CL49" i="2632"/>
  <c r="CK49" i="2632"/>
  <c r="CJ49" i="2632"/>
  <c r="CI49" i="2632"/>
  <c r="CH49" i="2632"/>
  <c r="CG49" i="2632"/>
  <c r="CF49" i="2632"/>
  <c r="CE49" i="2632"/>
  <c r="CD49" i="2632"/>
  <c r="CC49" i="2632"/>
  <c r="CB49" i="2632"/>
  <c r="BZ49" i="2632"/>
  <c r="BY49" i="2632"/>
  <c r="BX49" i="2632"/>
  <c r="BW49" i="2632"/>
  <c r="BV49" i="2632"/>
  <c r="BU49" i="2632"/>
  <c r="BT49" i="2632"/>
  <c r="BS49" i="2632"/>
  <c r="BR49" i="2632"/>
  <c r="BQ49" i="2632"/>
  <c r="BP49" i="2632"/>
  <c r="BO49" i="2632"/>
  <c r="BM49" i="2632"/>
  <c r="BL49" i="2632"/>
  <c r="BK49" i="2632"/>
  <c r="BJ49" i="2632"/>
  <c r="BI49" i="2632"/>
  <c r="BH49" i="2632"/>
  <c r="BG49" i="2632"/>
  <c r="BF49" i="2632"/>
  <c r="BE49" i="2632"/>
  <c r="BD49" i="2632"/>
  <c r="BC49" i="2632"/>
  <c r="BB49" i="2632"/>
  <c r="AZ49" i="2632"/>
  <c r="AY49" i="2632"/>
  <c r="AX49" i="2632"/>
  <c r="AW49" i="2632"/>
  <c r="AV49" i="2632"/>
  <c r="AU49" i="2632"/>
  <c r="AT49" i="2632"/>
  <c r="AS49" i="2632"/>
  <c r="AR49" i="2632"/>
  <c r="AQ49" i="2632"/>
  <c r="AP49" i="2632"/>
  <c r="AO49" i="2632"/>
  <c r="AM49" i="2632"/>
  <c r="AL49" i="2632"/>
  <c r="AK49" i="2632"/>
  <c r="AJ49" i="2632"/>
  <c r="AI49" i="2632"/>
  <c r="AH49" i="2632"/>
  <c r="AG49" i="2632"/>
  <c r="AF49" i="2632"/>
  <c r="AE49" i="2632"/>
  <c r="AD49" i="2632"/>
  <c r="AC49" i="2632"/>
  <c r="AB49" i="2632"/>
  <c r="Z49" i="2632"/>
  <c r="Y49" i="2632"/>
  <c r="X49" i="2632"/>
  <c r="W49" i="2632"/>
  <c r="V49" i="2632"/>
  <c r="U49" i="2632"/>
  <c r="T49" i="2632"/>
  <c r="S49" i="2632"/>
  <c r="R49" i="2632"/>
  <c r="Q49" i="2632"/>
  <c r="P49" i="2632"/>
  <c r="O49" i="2632"/>
  <c r="M49" i="2632"/>
  <c r="L49" i="2632"/>
  <c r="K49" i="2632"/>
  <c r="J49" i="2632"/>
  <c r="I49" i="2632"/>
  <c r="H49" i="2632"/>
  <c r="G49" i="2632"/>
  <c r="F49" i="2632"/>
  <c r="E49" i="2632"/>
  <c r="D49" i="2632"/>
  <c r="C49" i="2632"/>
  <c r="B49" i="2632"/>
  <c r="DZ48" i="2632"/>
  <c r="DY48" i="2632"/>
  <c r="DX48" i="2632"/>
  <c r="DW48" i="2632"/>
  <c r="DV48" i="2632"/>
  <c r="DU48" i="2632"/>
  <c r="DT48" i="2632"/>
  <c r="DS48" i="2632"/>
  <c r="DR48" i="2632"/>
  <c r="DQ48" i="2632"/>
  <c r="DP48" i="2632"/>
  <c r="DO48" i="2632"/>
  <c r="DM48" i="2632"/>
  <c r="DL48" i="2632"/>
  <c r="DK48" i="2632"/>
  <c r="DJ48" i="2632"/>
  <c r="DI48" i="2632"/>
  <c r="DH48" i="2632"/>
  <c r="DG48" i="2632"/>
  <c r="DF48" i="2632"/>
  <c r="DE48" i="2632"/>
  <c r="DD48" i="2632"/>
  <c r="DC48" i="2632"/>
  <c r="DB48" i="2632"/>
  <c r="CZ48" i="2632"/>
  <c r="CY48" i="2632"/>
  <c r="CX48" i="2632"/>
  <c r="CW48" i="2632"/>
  <c r="CV48" i="2632"/>
  <c r="CU48" i="2632"/>
  <c r="CT48" i="2632"/>
  <c r="CS48" i="2632"/>
  <c r="CR48" i="2632"/>
  <c r="CQ48" i="2632"/>
  <c r="CP48" i="2632"/>
  <c r="CO48" i="2632"/>
  <c r="CM48" i="2632"/>
  <c r="CL48" i="2632"/>
  <c r="CK48" i="2632"/>
  <c r="CJ48" i="2632"/>
  <c r="CI48" i="2632"/>
  <c r="CH48" i="2632"/>
  <c r="CG48" i="2632"/>
  <c r="CF48" i="2632"/>
  <c r="CE48" i="2632"/>
  <c r="CD48" i="2632"/>
  <c r="CC48" i="2632"/>
  <c r="CB48" i="2632"/>
  <c r="BZ48" i="2632"/>
  <c r="BY48" i="2632"/>
  <c r="BX48" i="2632"/>
  <c r="BW48" i="2632"/>
  <c r="BV48" i="2632"/>
  <c r="BU48" i="2632"/>
  <c r="BT48" i="2632"/>
  <c r="BS48" i="2632"/>
  <c r="BR48" i="2632"/>
  <c r="BQ48" i="2632"/>
  <c r="BP48" i="2632"/>
  <c r="BO48" i="2632"/>
  <c r="BM48" i="2632"/>
  <c r="BL48" i="2632"/>
  <c r="BK48" i="2632"/>
  <c r="BJ48" i="2632"/>
  <c r="BI48" i="2632"/>
  <c r="BH48" i="2632"/>
  <c r="BG48" i="2632"/>
  <c r="BF48" i="2632"/>
  <c r="BE48" i="2632"/>
  <c r="BD48" i="2632"/>
  <c r="BC48" i="2632"/>
  <c r="BB48" i="2632"/>
  <c r="AZ48" i="2632"/>
  <c r="AY48" i="2632"/>
  <c r="AX48" i="2632"/>
  <c r="AW48" i="2632"/>
  <c r="AV48" i="2632"/>
  <c r="AU48" i="2632"/>
  <c r="AT48" i="2632"/>
  <c r="AS48" i="2632"/>
  <c r="AR48" i="2632"/>
  <c r="AQ48" i="2632"/>
  <c r="AP48" i="2632"/>
  <c r="AO48" i="2632"/>
  <c r="AM48" i="2632"/>
  <c r="AL48" i="2632"/>
  <c r="AK48" i="2632"/>
  <c r="AJ48" i="2632"/>
  <c r="AI48" i="2632"/>
  <c r="AH48" i="2632"/>
  <c r="AG48" i="2632"/>
  <c r="AF48" i="2632"/>
  <c r="AE48" i="2632"/>
  <c r="AD48" i="2632"/>
  <c r="AC48" i="2632"/>
  <c r="AB48" i="2632"/>
  <c r="Z48" i="2632"/>
  <c r="Y48" i="2632"/>
  <c r="X48" i="2632"/>
  <c r="W48" i="2632"/>
  <c r="V48" i="2632"/>
  <c r="U48" i="2632"/>
  <c r="T48" i="2632"/>
  <c r="S48" i="2632"/>
  <c r="R48" i="2632"/>
  <c r="Q48" i="2632"/>
  <c r="P48" i="2632"/>
  <c r="O48" i="2632"/>
  <c r="M48" i="2632"/>
  <c r="L48" i="2632"/>
  <c r="K48" i="2632"/>
  <c r="J48" i="2632"/>
  <c r="I48" i="2632"/>
  <c r="H48" i="2632"/>
  <c r="G48" i="2632"/>
  <c r="F48" i="2632"/>
  <c r="E48" i="2632"/>
  <c r="D48" i="2632"/>
  <c r="C48" i="2632"/>
  <c r="B48" i="2632"/>
  <c r="DZ47" i="2632"/>
  <c r="DY47" i="2632"/>
  <c r="DX47" i="2632"/>
  <c r="DW47" i="2632"/>
  <c r="DV47" i="2632"/>
  <c r="DU47" i="2632"/>
  <c r="DT47" i="2632"/>
  <c r="DS47" i="2632"/>
  <c r="DR47" i="2632"/>
  <c r="DQ47" i="2632"/>
  <c r="DP47" i="2632"/>
  <c r="DO47" i="2632"/>
  <c r="DM47" i="2632"/>
  <c r="DL47" i="2632"/>
  <c r="DK47" i="2632"/>
  <c r="DJ47" i="2632"/>
  <c r="DI47" i="2632"/>
  <c r="DH47" i="2632"/>
  <c r="DG47" i="2632"/>
  <c r="DF47" i="2632"/>
  <c r="DE47" i="2632"/>
  <c r="DD47" i="2632"/>
  <c r="DC47" i="2632"/>
  <c r="DB47" i="2632"/>
  <c r="CZ47" i="2632"/>
  <c r="CY47" i="2632"/>
  <c r="CX47" i="2632"/>
  <c r="CW47" i="2632"/>
  <c r="CV47" i="2632"/>
  <c r="CU47" i="2632"/>
  <c r="CT47" i="2632"/>
  <c r="CS47" i="2632"/>
  <c r="CR47" i="2632"/>
  <c r="CQ47" i="2632"/>
  <c r="CP47" i="2632"/>
  <c r="CO47" i="2632"/>
  <c r="CM47" i="2632"/>
  <c r="CL47" i="2632"/>
  <c r="CK47" i="2632"/>
  <c r="CJ47" i="2632"/>
  <c r="CI47" i="2632"/>
  <c r="CH47" i="2632"/>
  <c r="CG47" i="2632"/>
  <c r="CF47" i="2632"/>
  <c r="CE47" i="2632"/>
  <c r="CD47" i="2632"/>
  <c r="CC47" i="2632"/>
  <c r="CB47" i="2632"/>
  <c r="BZ47" i="2632"/>
  <c r="BY47" i="2632"/>
  <c r="BX47" i="2632"/>
  <c r="BW47" i="2632"/>
  <c r="BV47" i="2632"/>
  <c r="BU47" i="2632"/>
  <c r="BT47" i="2632"/>
  <c r="BS47" i="2632"/>
  <c r="BR47" i="2632"/>
  <c r="BQ47" i="2632"/>
  <c r="BP47" i="2632"/>
  <c r="BO47" i="2632"/>
  <c r="BM47" i="2632"/>
  <c r="BL47" i="2632"/>
  <c r="BK47" i="2632"/>
  <c r="BJ47" i="2632"/>
  <c r="BI47" i="2632"/>
  <c r="BH47" i="2632"/>
  <c r="BG47" i="2632"/>
  <c r="BF47" i="2632"/>
  <c r="BE47" i="2632"/>
  <c r="BD47" i="2632"/>
  <c r="BC47" i="2632"/>
  <c r="BB47" i="2632"/>
  <c r="AZ47" i="2632"/>
  <c r="AY47" i="2632"/>
  <c r="AX47" i="2632"/>
  <c r="AW47" i="2632"/>
  <c r="AV47" i="2632"/>
  <c r="AU47" i="2632"/>
  <c r="AT47" i="2632"/>
  <c r="AS47" i="2632"/>
  <c r="AR47" i="2632"/>
  <c r="AQ47" i="2632"/>
  <c r="AP47" i="2632"/>
  <c r="AO47" i="2632"/>
  <c r="AM47" i="2632"/>
  <c r="AL47" i="2632"/>
  <c r="AK47" i="2632"/>
  <c r="AJ47" i="2632"/>
  <c r="AI47" i="2632"/>
  <c r="AH47" i="2632"/>
  <c r="AG47" i="2632"/>
  <c r="AF47" i="2632"/>
  <c r="AE47" i="2632"/>
  <c r="AD47" i="2632"/>
  <c r="AC47" i="2632"/>
  <c r="AB47" i="2632"/>
  <c r="Z47" i="2632"/>
  <c r="Y47" i="2632"/>
  <c r="X47" i="2632"/>
  <c r="W47" i="2632"/>
  <c r="V47" i="2632"/>
  <c r="U47" i="2632"/>
  <c r="T47" i="2632"/>
  <c r="S47" i="2632"/>
  <c r="R47" i="2632"/>
  <c r="Q47" i="2632"/>
  <c r="P47" i="2632"/>
  <c r="O47" i="2632"/>
  <c r="M47" i="2632"/>
  <c r="L47" i="2632"/>
  <c r="K47" i="2632"/>
  <c r="J47" i="2632"/>
  <c r="I47" i="2632"/>
  <c r="H47" i="2632"/>
  <c r="G47" i="2632"/>
  <c r="F47" i="2632"/>
  <c r="E47" i="2632"/>
  <c r="D47" i="2632"/>
  <c r="C47" i="2632"/>
  <c r="B47" i="2632"/>
  <c r="DZ46" i="2632"/>
  <c r="DY46" i="2632"/>
  <c r="DX46" i="2632"/>
  <c r="DW46" i="2632"/>
  <c r="DV46" i="2632"/>
  <c r="DU46" i="2632"/>
  <c r="DT46" i="2632"/>
  <c r="DS46" i="2632"/>
  <c r="DR46" i="2632"/>
  <c r="DQ46" i="2632"/>
  <c r="DP46" i="2632"/>
  <c r="DO46" i="2632"/>
  <c r="DM46" i="2632"/>
  <c r="DL46" i="2632"/>
  <c r="DK46" i="2632"/>
  <c r="DJ46" i="2632"/>
  <c r="DI46" i="2632"/>
  <c r="DH46" i="2632"/>
  <c r="DG46" i="2632"/>
  <c r="DF46" i="2632"/>
  <c r="DE46" i="2632"/>
  <c r="DD46" i="2632"/>
  <c r="DC46" i="2632"/>
  <c r="DB46" i="2632"/>
  <c r="CZ46" i="2632"/>
  <c r="CY46" i="2632"/>
  <c r="CX46" i="2632"/>
  <c r="CW46" i="2632"/>
  <c r="CV46" i="2632"/>
  <c r="CU46" i="2632"/>
  <c r="CT46" i="2632"/>
  <c r="CS46" i="2632"/>
  <c r="CR46" i="2632"/>
  <c r="CQ46" i="2632"/>
  <c r="CP46" i="2632"/>
  <c r="CO46" i="2632"/>
  <c r="CM46" i="2632"/>
  <c r="CL46" i="2632"/>
  <c r="CK46" i="2632"/>
  <c r="CJ46" i="2632"/>
  <c r="CI46" i="2632"/>
  <c r="CH46" i="2632"/>
  <c r="CG46" i="2632"/>
  <c r="CF46" i="2632"/>
  <c r="CE46" i="2632"/>
  <c r="CD46" i="2632"/>
  <c r="CC46" i="2632"/>
  <c r="CB46" i="2632"/>
  <c r="BZ46" i="2632"/>
  <c r="BY46" i="2632"/>
  <c r="BX46" i="2632"/>
  <c r="BW46" i="2632"/>
  <c r="BV46" i="2632"/>
  <c r="BU46" i="2632"/>
  <c r="BT46" i="2632"/>
  <c r="BS46" i="2632"/>
  <c r="BR46" i="2632"/>
  <c r="BQ46" i="2632"/>
  <c r="BP46" i="2632"/>
  <c r="BO46" i="2632"/>
  <c r="BM46" i="2632"/>
  <c r="BL46" i="2632"/>
  <c r="BK46" i="2632"/>
  <c r="BJ46" i="2632"/>
  <c r="BI46" i="2632"/>
  <c r="BH46" i="2632"/>
  <c r="BG46" i="2632"/>
  <c r="BF46" i="2632"/>
  <c r="BE46" i="2632"/>
  <c r="BD46" i="2632"/>
  <c r="BC46" i="2632"/>
  <c r="BB46" i="2632"/>
  <c r="AZ46" i="2632"/>
  <c r="AY46" i="2632"/>
  <c r="AX46" i="2632"/>
  <c r="AW46" i="2632"/>
  <c r="AV46" i="2632"/>
  <c r="AU46" i="2632"/>
  <c r="AT46" i="2632"/>
  <c r="AS46" i="2632"/>
  <c r="AR46" i="2632"/>
  <c r="AQ46" i="2632"/>
  <c r="AP46" i="2632"/>
  <c r="AO46" i="2632"/>
  <c r="AM46" i="2632"/>
  <c r="AL46" i="2632"/>
  <c r="AK46" i="2632"/>
  <c r="AJ46" i="2632"/>
  <c r="AI46" i="2632"/>
  <c r="AH46" i="2632"/>
  <c r="AG46" i="2632"/>
  <c r="AF46" i="2632"/>
  <c r="AE46" i="2632"/>
  <c r="AD46" i="2632"/>
  <c r="AC46" i="2632"/>
  <c r="AB46" i="2632"/>
  <c r="Z46" i="2632"/>
  <c r="Y46" i="2632"/>
  <c r="X46" i="2632"/>
  <c r="W46" i="2632"/>
  <c r="V46" i="2632"/>
  <c r="U46" i="2632"/>
  <c r="T46" i="2632"/>
  <c r="S46" i="2632"/>
  <c r="R46" i="2632"/>
  <c r="Q46" i="2632"/>
  <c r="P46" i="2632"/>
  <c r="O46" i="2632"/>
  <c r="M46" i="2632"/>
  <c r="L46" i="2632"/>
  <c r="K46" i="2632"/>
  <c r="J46" i="2632"/>
  <c r="I46" i="2632"/>
  <c r="H46" i="2632"/>
  <c r="G46" i="2632"/>
  <c r="F46" i="2632"/>
  <c r="E46" i="2632"/>
  <c r="D46" i="2632"/>
  <c r="C46" i="2632"/>
  <c r="B46" i="2632"/>
  <c r="DZ45" i="2632"/>
  <c r="DY45" i="2632"/>
  <c r="DX45" i="2632"/>
  <c r="DW45" i="2632"/>
  <c r="DV45" i="2632"/>
  <c r="DU45" i="2632"/>
  <c r="DT45" i="2632"/>
  <c r="DS45" i="2632"/>
  <c r="DR45" i="2632"/>
  <c r="DQ45" i="2632"/>
  <c r="DP45" i="2632"/>
  <c r="DO45" i="2632"/>
  <c r="DM45" i="2632"/>
  <c r="DL45" i="2632"/>
  <c r="DK45" i="2632"/>
  <c r="DJ45" i="2632"/>
  <c r="DI45" i="2632"/>
  <c r="DH45" i="2632"/>
  <c r="DG45" i="2632"/>
  <c r="DF45" i="2632"/>
  <c r="DE45" i="2632"/>
  <c r="DD45" i="2632"/>
  <c r="DC45" i="2632"/>
  <c r="DB45" i="2632"/>
  <c r="CZ45" i="2632"/>
  <c r="CY45" i="2632"/>
  <c r="CX45" i="2632"/>
  <c r="CW45" i="2632"/>
  <c r="CV45" i="2632"/>
  <c r="CU45" i="2632"/>
  <c r="CT45" i="2632"/>
  <c r="CS45" i="2632"/>
  <c r="CR45" i="2632"/>
  <c r="CQ45" i="2632"/>
  <c r="CP45" i="2632"/>
  <c r="CO45" i="2632"/>
  <c r="CM45" i="2632"/>
  <c r="CL45" i="2632"/>
  <c r="CK45" i="2632"/>
  <c r="CJ45" i="2632"/>
  <c r="CI45" i="2632"/>
  <c r="CH45" i="2632"/>
  <c r="CG45" i="2632"/>
  <c r="CF45" i="2632"/>
  <c r="CE45" i="2632"/>
  <c r="CD45" i="2632"/>
  <c r="CC45" i="2632"/>
  <c r="CB45" i="2632"/>
  <c r="BZ45" i="2632"/>
  <c r="BY45" i="2632"/>
  <c r="BX45" i="2632"/>
  <c r="BW45" i="2632"/>
  <c r="BV45" i="2632"/>
  <c r="BU45" i="2632"/>
  <c r="BT45" i="2632"/>
  <c r="BS45" i="2632"/>
  <c r="BR45" i="2632"/>
  <c r="BQ45" i="2632"/>
  <c r="BP45" i="2632"/>
  <c r="BO45" i="2632"/>
  <c r="BM45" i="2632"/>
  <c r="BL45" i="2632"/>
  <c r="BK45" i="2632"/>
  <c r="BJ45" i="2632"/>
  <c r="BI45" i="2632"/>
  <c r="BH45" i="2632"/>
  <c r="BG45" i="2632"/>
  <c r="BF45" i="2632"/>
  <c r="BE45" i="2632"/>
  <c r="BD45" i="2632"/>
  <c r="BC45" i="2632"/>
  <c r="BB45" i="2632"/>
  <c r="AZ45" i="2632"/>
  <c r="AY45" i="2632"/>
  <c r="AX45" i="2632"/>
  <c r="AW45" i="2632"/>
  <c r="AV45" i="2632"/>
  <c r="AU45" i="2632"/>
  <c r="AT45" i="2632"/>
  <c r="AS45" i="2632"/>
  <c r="AR45" i="2632"/>
  <c r="AQ45" i="2632"/>
  <c r="AP45" i="2632"/>
  <c r="AO45" i="2632"/>
  <c r="AM45" i="2632"/>
  <c r="AL45" i="2632"/>
  <c r="AK45" i="2632"/>
  <c r="AJ45" i="2632"/>
  <c r="AI45" i="2632"/>
  <c r="AH45" i="2632"/>
  <c r="AG45" i="2632"/>
  <c r="AF45" i="2632"/>
  <c r="AE45" i="2632"/>
  <c r="AD45" i="2632"/>
  <c r="AC45" i="2632"/>
  <c r="AB45" i="2632"/>
  <c r="Z45" i="2632"/>
  <c r="Y45" i="2632"/>
  <c r="X45" i="2632"/>
  <c r="W45" i="2632"/>
  <c r="V45" i="2632"/>
  <c r="U45" i="2632"/>
  <c r="T45" i="2632"/>
  <c r="S45" i="2632"/>
  <c r="R45" i="2632"/>
  <c r="Q45" i="2632"/>
  <c r="P45" i="2632"/>
  <c r="O45" i="2632"/>
  <c r="M45" i="2632"/>
  <c r="L45" i="2632"/>
  <c r="K45" i="2632"/>
  <c r="J45" i="2632"/>
  <c r="I45" i="2632"/>
  <c r="H45" i="2632"/>
  <c r="G45" i="2632"/>
  <c r="F45" i="2632"/>
  <c r="E45" i="2632"/>
  <c r="D45" i="2632"/>
  <c r="C45" i="2632"/>
  <c r="B45" i="2632"/>
  <c r="DZ54" i="2631"/>
  <c r="DY54" i="2631"/>
  <c r="DX54" i="2631"/>
  <c r="DW54" i="2631"/>
  <c r="DV54" i="2631"/>
  <c r="DU54" i="2631"/>
  <c r="DT54" i="2631"/>
  <c r="DS54" i="2631"/>
  <c r="DR54" i="2631"/>
  <c r="DQ54" i="2631"/>
  <c r="DP54" i="2631"/>
  <c r="DO54" i="2631"/>
  <c r="DM54" i="2631"/>
  <c r="DL54" i="2631"/>
  <c r="DK54" i="2631"/>
  <c r="DJ54" i="2631"/>
  <c r="DI54" i="2631"/>
  <c r="DH54" i="2631"/>
  <c r="DG54" i="2631"/>
  <c r="DF54" i="2631"/>
  <c r="DE54" i="2631"/>
  <c r="DD54" i="2631"/>
  <c r="DC54" i="2631"/>
  <c r="DB54" i="2631"/>
  <c r="CZ54" i="2631"/>
  <c r="CY54" i="2631"/>
  <c r="CX54" i="2631"/>
  <c r="CW54" i="2631"/>
  <c r="CV54" i="2631"/>
  <c r="CU54" i="2631"/>
  <c r="CT54" i="2631"/>
  <c r="CS54" i="2631"/>
  <c r="CR54" i="2631"/>
  <c r="CQ54" i="2631"/>
  <c r="CP54" i="2631"/>
  <c r="CO54" i="2631"/>
  <c r="CM54" i="2631"/>
  <c r="CL54" i="2631"/>
  <c r="CK54" i="2631"/>
  <c r="CJ54" i="2631"/>
  <c r="CI54" i="2631"/>
  <c r="CH54" i="2631"/>
  <c r="CG54" i="2631"/>
  <c r="CF54" i="2631"/>
  <c r="CE54" i="2631"/>
  <c r="CD54" i="2631"/>
  <c r="BT54" i="2631"/>
  <c r="BS54" i="2631"/>
  <c r="BR54" i="2631"/>
  <c r="BQ54" i="2631"/>
  <c r="DZ52" i="2631"/>
  <c r="DY52" i="2631"/>
  <c r="DX52" i="2631"/>
  <c r="DW52" i="2631"/>
  <c r="DV52" i="2631"/>
  <c r="DU52" i="2631"/>
  <c r="DT52" i="2631"/>
  <c r="DS52" i="2631"/>
  <c r="DR52" i="2631"/>
  <c r="DQ52" i="2631"/>
  <c r="DP52" i="2631"/>
  <c r="DO52" i="2631"/>
  <c r="DM52" i="2631"/>
  <c r="DL52" i="2631"/>
  <c r="DK52" i="2631"/>
  <c r="DJ52" i="2631"/>
  <c r="DI52" i="2631"/>
  <c r="DH52" i="2631"/>
  <c r="DG52" i="2631"/>
  <c r="DF52" i="2631"/>
  <c r="DE52" i="2631"/>
  <c r="DD52" i="2631"/>
  <c r="DC52" i="2631"/>
  <c r="DB52" i="2631"/>
  <c r="CZ52" i="2631"/>
  <c r="CY52" i="2631"/>
  <c r="CX52" i="2631"/>
  <c r="CW52" i="2631"/>
  <c r="CV52" i="2631"/>
  <c r="CU52" i="2631"/>
  <c r="CT52" i="2631"/>
  <c r="CS52" i="2631"/>
  <c r="CR52" i="2631"/>
  <c r="CQ52" i="2631"/>
  <c r="CP52" i="2631"/>
  <c r="CO52" i="2631"/>
  <c r="CM52" i="2631"/>
  <c r="CL52" i="2631"/>
  <c r="CK52" i="2631"/>
  <c r="CJ52" i="2631"/>
  <c r="CI52" i="2631"/>
  <c r="CH52" i="2631"/>
  <c r="CG52" i="2631"/>
  <c r="CF52" i="2631"/>
  <c r="CE52" i="2631"/>
  <c r="CD52" i="2631"/>
  <c r="CC52" i="2631"/>
  <c r="CB52" i="2631"/>
  <c r="BZ52" i="2631"/>
  <c r="BY52" i="2631"/>
  <c r="BX52" i="2631"/>
  <c r="BW52" i="2631"/>
  <c r="BV52" i="2631"/>
  <c r="BU52" i="2631"/>
  <c r="BT52" i="2631"/>
  <c r="BS52" i="2631"/>
  <c r="BR52" i="2631"/>
  <c r="BQ52" i="2631"/>
  <c r="BP52" i="2631"/>
  <c r="BO52" i="2631"/>
  <c r="BM52" i="2631"/>
  <c r="BL52" i="2631"/>
  <c r="BK52" i="2631"/>
  <c r="BJ52" i="2631"/>
  <c r="BI52" i="2631"/>
  <c r="BH52" i="2631"/>
  <c r="BG52" i="2631"/>
  <c r="BF52" i="2631"/>
  <c r="BE52" i="2631"/>
  <c r="BD52" i="2631"/>
  <c r="BC52" i="2631"/>
  <c r="BB52" i="2631"/>
  <c r="AZ52" i="2631"/>
  <c r="AY52" i="2631"/>
  <c r="AX52" i="2631"/>
  <c r="AW52" i="2631"/>
  <c r="AV52" i="2631"/>
  <c r="AU52" i="2631"/>
  <c r="AT52" i="2631"/>
  <c r="AS52" i="2631"/>
  <c r="AR52" i="2631"/>
  <c r="AQ52" i="2631"/>
  <c r="AP52" i="2631"/>
  <c r="AO52" i="2631"/>
  <c r="AM52" i="2631"/>
  <c r="AL52" i="2631"/>
  <c r="AK52" i="2631"/>
  <c r="AJ52" i="2631"/>
  <c r="AI52" i="2631"/>
  <c r="AH52" i="2631"/>
  <c r="AG52" i="2631"/>
  <c r="AF52" i="2631"/>
  <c r="AE52" i="2631"/>
  <c r="AD52" i="2631"/>
  <c r="AC52" i="2631"/>
  <c r="AB52" i="2631"/>
  <c r="Z52" i="2631"/>
  <c r="Y52" i="2631"/>
  <c r="X52" i="2631"/>
  <c r="W52" i="2631"/>
  <c r="V52" i="2631"/>
  <c r="U52" i="2631"/>
  <c r="T52" i="2631"/>
  <c r="S52" i="2631"/>
  <c r="R52" i="2631"/>
  <c r="Q52" i="2631"/>
  <c r="P52" i="2631"/>
  <c r="O52" i="2631"/>
  <c r="M52" i="2631"/>
  <c r="L52" i="2631"/>
  <c r="K52" i="2631"/>
  <c r="J52" i="2631"/>
  <c r="I52" i="2631"/>
  <c r="H52" i="2631"/>
  <c r="G52" i="2631"/>
  <c r="F52" i="2631"/>
  <c r="E52" i="2631"/>
  <c r="D52" i="2631"/>
  <c r="C52" i="2631"/>
  <c r="B52" i="2631"/>
  <c r="DZ51" i="2631"/>
  <c r="DY51" i="2631"/>
  <c r="DX51" i="2631"/>
  <c r="DW51" i="2631"/>
  <c r="DV51" i="2631"/>
  <c r="DU51" i="2631"/>
  <c r="DT51" i="2631"/>
  <c r="DS51" i="2631"/>
  <c r="DR51" i="2631"/>
  <c r="DQ51" i="2631"/>
  <c r="DP51" i="2631"/>
  <c r="DO51" i="2631"/>
  <c r="DK51" i="2631"/>
  <c r="DI51" i="2631"/>
  <c r="CT51" i="2631"/>
  <c r="CS51" i="2631"/>
  <c r="CR51" i="2631"/>
  <c r="CQ51" i="2631"/>
  <c r="CP51" i="2631"/>
  <c r="CO51" i="2631"/>
  <c r="CM51" i="2631"/>
  <c r="CL51" i="2631"/>
  <c r="CK51" i="2631"/>
  <c r="CJ51" i="2631"/>
  <c r="CI51" i="2631"/>
  <c r="CH51" i="2631"/>
  <c r="CG51" i="2631"/>
  <c r="CF51" i="2631"/>
  <c r="CE51" i="2631"/>
  <c r="CD51" i="2631"/>
  <c r="CC51" i="2631"/>
  <c r="CB51" i="2631"/>
  <c r="BZ51" i="2631"/>
  <c r="BY51" i="2631"/>
  <c r="BX51" i="2631"/>
  <c r="BW51" i="2631"/>
  <c r="BV51" i="2631"/>
  <c r="BU51" i="2631"/>
  <c r="BT51" i="2631"/>
  <c r="BS51" i="2631"/>
  <c r="BR51" i="2631"/>
  <c r="BQ51" i="2631"/>
  <c r="BP51" i="2631"/>
  <c r="BO51" i="2631"/>
  <c r="DZ50" i="2631"/>
  <c r="DY50" i="2631"/>
  <c r="DX50" i="2631"/>
  <c r="DW50" i="2631"/>
  <c r="DV50" i="2631"/>
  <c r="DU50" i="2631"/>
  <c r="DT50" i="2631"/>
  <c r="DS50" i="2631"/>
  <c r="DR50" i="2631"/>
  <c r="DQ50" i="2631"/>
  <c r="DP50" i="2631"/>
  <c r="DO50" i="2631"/>
  <c r="DM50" i="2631"/>
  <c r="DL50" i="2631"/>
  <c r="DK50" i="2631"/>
  <c r="DJ50" i="2631"/>
  <c r="DI50" i="2631"/>
  <c r="DH50" i="2631"/>
  <c r="DG50" i="2631"/>
  <c r="DF50" i="2631"/>
  <c r="DE50" i="2631"/>
  <c r="DD50" i="2631"/>
  <c r="DC50" i="2631"/>
  <c r="DB50" i="2631"/>
  <c r="CZ50" i="2631"/>
  <c r="CY50" i="2631"/>
  <c r="CX50" i="2631"/>
  <c r="CW50" i="2631"/>
  <c r="CV50" i="2631"/>
  <c r="CU50" i="2631"/>
  <c r="CT50" i="2631"/>
  <c r="CS50" i="2631"/>
  <c r="CR50" i="2631"/>
  <c r="CQ50" i="2631"/>
  <c r="CP50" i="2631"/>
  <c r="CO50" i="2631"/>
  <c r="CM50" i="2631"/>
  <c r="CL50" i="2631"/>
  <c r="CK50" i="2631"/>
  <c r="CJ50" i="2631"/>
  <c r="CI50" i="2631"/>
  <c r="CH50" i="2631"/>
  <c r="CG50" i="2631"/>
  <c r="CF50" i="2631"/>
  <c r="CE50" i="2631"/>
  <c r="CD50" i="2631"/>
  <c r="CB50" i="2631"/>
  <c r="BZ50" i="2631"/>
  <c r="BY50" i="2631"/>
  <c r="BX50" i="2631"/>
  <c r="BW50" i="2631"/>
  <c r="BV50" i="2631"/>
  <c r="BU50" i="2631"/>
  <c r="BT50" i="2631"/>
  <c r="BS50" i="2631"/>
  <c r="BR50" i="2631"/>
  <c r="BQ50" i="2631"/>
  <c r="BP50" i="2631"/>
  <c r="BO50" i="2631"/>
  <c r="BM50" i="2631"/>
  <c r="BL50" i="2631"/>
  <c r="BK50" i="2631"/>
  <c r="BJ50" i="2631"/>
  <c r="BI50" i="2631"/>
  <c r="BH50" i="2631"/>
  <c r="BG50" i="2631"/>
  <c r="BF50" i="2631"/>
  <c r="BE50" i="2631"/>
  <c r="BD50" i="2631"/>
  <c r="BC50" i="2631"/>
  <c r="BB50" i="2631"/>
  <c r="AZ50" i="2631"/>
  <c r="AY50" i="2631"/>
  <c r="AX50" i="2631"/>
  <c r="AW50" i="2631"/>
  <c r="AV50" i="2631"/>
  <c r="AU50" i="2631"/>
  <c r="AT50" i="2631"/>
  <c r="AS50" i="2631"/>
  <c r="AR50" i="2631"/>
  <c r="AQ50" i="2631"/>
  <c r="AP50" i="2631"/>
  <c r="AO50" i="2631"/>
  <c r="AM50" i="2631"/>
  <c r="AL50" i="2631"/>
  <c r="AK50" i="2631"/>
  <c r="AJ50" i="2631"/>
  <c r="AI50" i="2631"/>
  <c r="AH50" i="2631"/>
  <c r="AG50" i="2631"/>
  <c r="AF50" i="2631"/>
  <c r="AE50" i="2631"/>
  <c r="AD50" i="2631"/>
  <c r="AC50" i="2631"/>
  <c r="AB50" i="2631"/>
  <c r="Z50" i="2631"/>
  <c r="Y50" i="2631"/>
  <c r="X50" i="2631"/>
  <c r="W50" i="2631"/>
  <c r="V50" i="2631"/>
  <c r="U50" i="2631"/>
  <c r="T50" i="2631"/>
  <c r="S50" i="2631"/>
  <c r="R50" i="2631"/>
  <c r="Q50" i="2631"/>
  <c r="P50" i="2631"/>
  <c r="O50" i="2631"/>
  <c r="M50" i="2631"/>
  <c r="L50" i="2631"/>
  <c r="K50" i="2631"/>
  <c r="J50" i="2631"/>
  <c r="I50" i="2631"/>
  <c r="H50" i="2631"/>
  <c r="G50" i="2631"/>
  <c r="F50" i="2631"/>
  <c r="E50" i="2631"/>
  <c r="D50" i="2631"/>
  <c r="C50" i="2631"/>
  <c r="B50" i="2631"/>
  <c r="DZ49" i="2631"/>
  <c r="DY49" i="2631"/>
  <c r="DX49" i="2631"/>
  <c r="DW49" i="2631"/>
  <c r="DV49" i="2631"/>
  <c r="DU49" i="2631"/>
  <c r="DT49" i="2631"/>
  <c r="DS49" i="2631"/>
  <c r="DR49" i="2631"/>
  <c r="DQ49" i="2631"/>
  <c r="DP49" i="2631"/>
  <c r="DO49" i="2631"/>
  <c r="DM49" i="2631"/>
  <c r="DL49" i="2631"/>
  <c r="DK49" i="2631"/>
  <c r="DJ49" i="2631"/>
  <c r="DI49" i="2631"/>
  <c r="DH49" i="2631"/>
  <c r="DG49" i="2631"/>
  <c r="DF49" i="2631"/>
  <c r="DE49" i="2631"/>
  <c r="DD49" i="2631"/>
  <c r="DC49" i="2631"/>
  <c r="DB49" i="2631"/>
  <c r="CZ49" i="2631"/>
  <c r="CY49" i="2631"/>
  <c r="CX49" i="2631"/>
  <c r="CW49" i="2631"/>
  <c r="CV49" i="2631"/>
  <c r="CU49" i="2631"/>
  <c r="CT49" i="2631"/>
  <c r="CS49" i="2631"/>
  <c r="CR49" i="2631"/>
  <c r="CQ49" i="2631"/>
  <c r="CP49" i="2631"/>
  <c r="CO49" i="2631"/>
  <c r="CM49" i="2631"/>
  <c r="CL49" i="2631"/>
  <c r="CK49" i="2631"/>
  <c r="CJ49" i="2631"/>
  <c r="CI49" i="2631"/>
  <c r="CH49" i="2631"/>
  <c r="CG49" i="2631"/>
  <c r="CF49" i="2631"/>
  <c r="CE49" i="2631"/>
  <c r="CD49" i="2631"/>
  <c r="CC49" i="2631"/>
  <c r="CB49" i="2631"/>
  <c r="BZ49" i="2631"/>
  <c r="BY49" i="2631"/>
  <c r="BX49" i="2631"/>
  <c r="BW49" i="2631"/>
  <c r="BV49" i="2631"/>
  <c r="BU49" i="2631"/>
  <c r="BT49" i="2631"/>
  <c r="BS49" i="2631"/>
  <c r="BR49" i="2631"/>
  <c r="BQ49" i="2631"/>
  <c r="BP49" i="2631"/>
  <c r="BO49" i="2631"/>
  <c r="BM49" i="2631"/>
  <c r="BL49" i="2631"/>
  <c r="BK49" i="2631"/>
  <c r="BJ49" i="2631"/>
  <c r="BI49" i="2631"/>
  <c r="BH49" i="2631"/>
  <c r="BG49" i="2631"/>
  <c r="BF49" i="2631"/>
  <c r="BE49" i="2631"/>
  <c r="BD49" i="2631"/>
  <c r="BC49" i="2631"/>
  <c r="BB49" i="2631"/>
  <c r="AZ49" i="2631"/>
  <c r="AY49" i="2631"/>
  <c r="AX49" i="2631"/>
  <c r="AW49" i="2631"/>
  <c r="AV49" i="2631"/>
  <c r="AU49" i="2631"/>
  <c r="AT49" i="2631"/>
  <c r="AS49" i="2631"/>
  <c r="AR49" i="2631"/>
  <c r="AQ49" i="2631"/>
  <c r="AP49" i="2631"/>
  <c r="AO49" i="2631"/>
  <c r="AM49" i="2631"/>
  <c r="AL49" i="2631"/>
  <c r="AK49" i="2631"/>
  <c r="AJ49" i="2631"/>
  <c r="AI49" i="2631"/>
  <c r="AH49" i="2631"/>
  <c r="AG49" i="2631"/>
  <c r="AF49" i="2631"/>
  <c r="AE49" i="2631"/>
  <c r="AD49" i="2631"/>
  <c r="AC49" i="2631"/>
  <c r="AB49" i="2631"/>
  <c r="Z49" i="2631"/>
  <c r="Y49" i="2631"/>
  <c r="X49" i="2631"/>
  <c r="W49" i="2631"/>
  <c r="V49" i="2631"/>
  <c r="U49" i="2631"/>
  <c r="T49" i="2631"/>
  <c r="S49" i="2631"/>
  <c r="R49" i="2631"/>
  <c r="Q49" i="2631"/>
  <c r="P49" i="2631"/>
  <c r="O49" i="2631"/>
  <c r="M49" i="2631"/>
  <c r="L49" i="2631"/>
  <c r="K49" i="2631"/>
  <c r="J49" i="2631"/>
  <c r="I49" i="2631"/>
  <c r="H49" i="2631"/>
  <c r="G49" i="2631"/>
  <c r="F49" i="2631"/>
  <c r="E49" i="2631"/>
  <c r="D49" i="2631"/>
  <c r="C49" i="2631"/>
  <c r="B49" i="2631"/>
  <c r="DZ48" i="2631"/>
  <c r="DY48" i="2631"/>
  <c r="DX48" i="2631"/>
  <c r="DX47" i="2631" s="1"/>
  <c r="DW48" i="2631"/>
  <c r="DV48" i="2631"/>
  <c r="DU48" i="2631"/>
  <c r="DT48" i="2631"/>
  <c r="DS48" i="2631"/>
  <c r="DS47" i="2631" s="1"/>
  <c r="DR48" i="2631"/>
  <c r="DQ48" i="2631"/>
  <c r="DQ47" i="2631" s="1"/>
  <c r="DP48" i="2631"/>
  <c r="DO48" i="2631"/>
  <c r="DM48" i="2631"/>
  <c r="DL48" i="2631"/>
  <c r="DK48" i="2631"/>
  <c r="DJ48" i="2631"/>
  <c r="DI48" i="2631"/>
  <c r="DH48" i="2631"/>
  <c r="DG48" i="2631"/>
  <c r="DF48" i="2631"/>
  <c r="DE48" i="2631"/>
  <c r="DD48" i="2631"/>
  <c r="DD47" i="2631" s="1"/>
  <c r="DC48" i="2631"/>
  <c r="DB48" i="2631"/>
  <c r="CZ48" i="2631"/>
  <c r="CY48" i="2631"/>
  <c r="CX48" i="2631"/>
  <c r="CX47" i="2631" s="1"/>
  <c r="CW48" i="2631"/>
  <c r="CV48" i="2631"/>
  <c r="CU48" i="2631"/>
  <c r="CT48" i="2631"/>
  <c r="CS48" i="2631"/>
  <c r="CS47" i="2631" s="1"/>
  <c r="CR48" i="2631"/>
  <c r="CQ48" i="2631"/>
  <c r="CQ47" i="2631" s="1"/>
  <c r="CP48" i="2631"/>
  <c r="CO48" i="2631"/>
  <c r="CM48" i="2631"/>
  <c r="CL48" i="2631"/>
  <c r="CK48" i="2631"/>
  <c r="CJ48" i="2631"/>
  <c r="CI48" i="2631"/>
  <c r="CH48" i="2631"/>
  <c r="CG48" i="2631"/>
  <c r="CF48" i="2631"/>
  <c r="CE48" i="2631"/>
  <c r="CD48" i="2631"/>
  <c r="CD47" i="2631" s="1"/>
  <c r="CC48" i="2631"/>
  <c r="CB48" i="2631"/>
  <c r="BZ48" i="2631"/>
  <c r="BY48" i="2631"/>
  <c r="BX48" i="2631"/>
  <c r="BX47" i="2631" s="1"/>
  <c r="BW48" i="2631"/>
  <c r="BV48" i="2631"/>
  <c r="BU48" i="2631"/>
  <c r="BT48" i="2631"/>
  <c r="BS48" i="2631"/>
  <c r="BR48" i="2631"/>
  <c r="BR47" i="2631" s="1"/>
  <c r="BQ48" i="2631"/>
  <c r="BQ47" i="2631" s="1"/>
  <c r="BP48" i="2631"/>
  <c r="BO48" i="2631"/>
  <c r="BM48" i="2631"/>
  <c r="BM47" i="2631" s="1"/>
  <c r="BL48" i="2631"/>
  <c r="BK48" i="2631"/>
  <c r="BJ48" i="2631"/>
  <c r="BI48" i="2631"/>
  <c r="BH48" i="2631"/>
  <c r="BG48" i="2631"/>
  <c r="BF48" i="2631"/>
  <c r="BE48" i="2631"/>
  <c r="BE47" i="2631" s="1"/>
  <c r="BD48" i="2631"/>
  <c r="BC48" i="2631"/>
  <c r="BB48" i="2631"/>
  <c r="AZ48" i="2631"/>
  <c r="AY48" i="2631"/>
  <c r="AX48" i="2631"/>
  <c r="AW48" i="2631"/>
  <c r="AV48" i="2631"/>
  <c r="AV47" i="2631" s="1"/>
  <c r="AU48" i="2631"/>
  <c r="AU47" i="2631" s="1"/>
  <c r="AT48" i="2631"/>
  <c r="AS48" i="2631"/>
  <c r="AR48" i="2631"/>
  <c r="AQ48" i="2631"/>
  <c r="AP48" i="2631"/>
  <c r="AO48" i="2631"/>
  <c r="AO47" i="2631" s="1"/>
  <c r="AM48" i="2631"/>
  <c r="AL48" i="2631"/>
  <c r="AK48" i="2631"/>
  <c r="AJ48" i="2631"/>
  <c r="AJ47" i="2631" s="1"/>
  <c r="AI48" i="2631"/>
  <c r="AI47" i="2631" s="1"/>
  <c r="AH48" i="2631"/>
  <c r="AH47" i="2631" s="1"/>
  <c r="AG48" i="2631"/>
  <c r="AF48" i="2631"/>
  <c r="AE48" i="2631"/>
  <c r="AD48" i="2631"/>
  <c r="AC48" i="2631"/>
  <c r="AC47" i="2631" s="1"/>
  <c r="AB48" i="2631"/>
  <c r="AB47" i="2631" s="1"/>
  <c r="Z48" i="2631"/>
  <c r="Y48" i="2631"/>
  <c r="X48" i="2631"/>
  <c r="X47" i="2631" s="1"/>
  <c r="W48" i="2631"/>
  <c r="W47" i="2631" s="1"/>
  <c r="V48" i="2631"/>
  <c r="V47" i="2631" s="1"/>
  <c r="U48" i="2631"/>
  <c r="U47" i="2631" s="1"/>
  <c r="T48" i="2631"/>
  <c r="S48" i="2631"/>
  <c r="R48" i="2631"/>
  <c r="Q48" i="2631"/>
  <c r="Q47" i="2631" s="1"/>
  <c r="P48" i="2631"/>
  <c r="O48" i="2631"/>
  <c r="M48" i="2631"/>
  <c r="L48" i="2631"/>
  <c r="K48" i="2631"/>
  <c r="K47" i="2631" s="1"/>
  <c r="J48" i="2631"/>
  <c r="J47" i="2631" s="1"/>
  <c r="I48" i="2631"/>
  <c r="I47" i="2631" s="1"/>
  <c r="H48" i="2631"/>
  <c r="G48" i="2631"/>
  <c r="F48" i="2631"/>
  <c r="E48" i="2631"/>
  <c r="D48" i="2631"/>
  <c r="D47" i="2631" s="1"/>
  <c r="C48" i="2631"/>
  <c r="C47" i="2631" s="1"/>
  <c r="B48" i="2631"/>
  <c r="CT47" i="2631"/>
  <c r="CR47" i="2631"/>
  <c r="BH47" i="2631"/>
  <c r="AZ47" i="2631"/>
  <c r="DZ44" i="2631"/>
  <c r="DY44" i="2631"/>
  <c r="DX44" i="2631"/>
  <c r="DW44" i="2631"/>
  <c r="DV44" i="2631"/>
  <c r="DU44" i="2631"/>
  <c r="DT44" i="2631"/>
  <c r="DS44" i="2631"/>
  <c r="DR44" i="2631"/>
  <c r="DQ44" i="2631"/>
  <c r="DP44" i="2631"/>
  <c r="DO44" i="2631"/>
  <c r="DL44" i="2631"/>
  <c r="DK44" i="2631"/>
  <c r="DJ44" i="2631"/>
  <c r="DI44" i="2631"/>
  <c r="DH44" i="2631"/>
  <c r="DG44" i="2631"/>
  <c r="DF44" i="2631"/>
  <c r="DE44" i="2631"/>
  <c r="DD44" i="2631"/>
  <c r="DC44" i="2631"/>
  <c r="DB44" i="2631"/>
  <c r="BS44" i="2631"/>
  <c r="BR44" i="2631"/>
  <c r="BQ44" i="2631"/>
  <c r="BP44" i="2631"/>
  <c r="BO44" i="2631"/>
  <c r="BM44" i="2631"/>
  <c r="BL44" i="2631"/>
  <c r="BK44" i="2631"/>
  <c r="BJ44" i="2631"/>
  <c r="BI44" i="2631"/>
  <c r="BH44" i="2631"/>
  <c r="BG44" i="2631"/>
  <c r="BF44" i="2631"/>
  <c r="BE44" i="2631"/>
  <c r="BD44" i="2631"/>
  <c r="BC44" i="2631"/>
  <c r="BB44" i="2631"/>
  <c r="AZ44" i="2631"/>
  <c r="AY44" i="2631"/>
  <c r="AX44" i="2631"/>
  <c r="AW44" i="2631"/>
  <c r="AV44" i="2631"/>
  <c r="AU44" i="2631"/>
  <c r="AT44" i="2631"/>
  <c r="AS44" i="2631"/>
  <c r="AR44" i="2631"/>
  <c r="AQ44" i="2631"/>
  <c r="AP44" i="2631"/>
  <c r="AO44" i="2631"/>
  <c r="AM44" i="2631"/>
  <c r="AL44" i="2631"/>
  <c r="AK44" i="2631"/>
  <c r="AJ44" i="2631"/>
  <c r="AI44" i="2631"/>
  <c r="AH44" i="2631"/>
  <c r="AG44" i="2631"/>
  <c r="AF44" i="2631"/>
  <c r="AE44" i="2631"/>
  <c r="AD44" i="2631"/>
  <c r="AC44" i="2631"/>
  <c r="AB44" i="2631"/>
  <c r="Z44" i="2631"/>
  <c r="Y44" i="2631"/>
  <c r="X44" i="2631"/>
  <c r="W44" i="2631"/>
  <c r="V44" i="2631"/>
  <c r="U44" i="2631"/>
  <c r="T44" i="2631"/>
  <c r="S44" i="2631"/>
  <c r="R44" i="2631"/>
  <c r="Q44" i="2631"/>
  <c r="P44" i="2631"/>
  <c r="O44" i="2631"/>
  <c r="M44" i="2631"/>
  <c r="L44" i="2631"/>
  <c r="K44" i="2631"/>
  <c r="J44" i="2631"/>
  <c r="I44" i="2631"/>
  <c r="H44" i="2631"/>
  <c r="G44" i="2631"/>
  <c r="F44" i="2631"/>
  <c r="E44" i="2631"/>
  <c r="D44" i="2631"/>
  <c r="C44" i="2631"/>
  <c r="B44" i="2631"/>
  <c r="DZ71" i="2629"/>
  <c r="DY71" i="2629"/>
  <c r="DX71" i="2629"/>
  <c r="DW71" i="2629"/>
  <c r="DV71" i="2629"/>
  <c r="DU71" i="2629"/>
  <c r="DT71" i="2629"/>
  <c r="DS71" i="2629"/>
  <c r="DR71" i="2629"/>
  <c r="DQ71" i="2629"/>
  <c r="DP71" i="2629"/>
  <c r="DO71" i="2629"/>
  <c r="DM71" i="2629"/>
  <c r="DL71" i="2629"/>
  <c r="DK71" i="2629"/>
  <c r="DJ71" i="2629"/>
  <c r="DI71" i="2629"/>
  <c r="DH71" i="2629"/>
  <c r="DG71" i="2629"/>
  <c r="DF71" i="2629"/>
  <c r="DE71" i="2629"/>
  <c r="DD71" i="2629"/>
  <c r="DC71" i="2629"/>
  <c r="DB71" i="2629"/>
  <c r="CZ71" i="2629"/>
  <c r="CY71" i="2629"/>
  <c r="CX71" i="2629"/>
  <c r="CW71" i="2629"/>
  <c r="CV71" i="2629"/>
  <c r="CU71" i="2629"/>
  <c r="CT71" i="2629"/>
  <c r="CS71" i="2629"/>
  <c r="CR71" i="2629"/>
  <c r="CQ71" i="2629"/>
  <c r="CP71" i="2629"/>
  <c r="CO71" i="2629"/>
  <c r="CM71" i="2629"/>
  <c r="CL71" i="2629"/>
  <c r="CK71" i="2629"/>
  <c r="CJ71" i="2629"/>
  <c r="CI71" i="2629"/>
  <c r="CH71" i="2629"/>
  <c r="CG71" i="2629"/>
  <c r="CF71" i="2629"/>
  <c r="CE71" i="2629"/>
  <c r="CD71" i="2629"/>
  <c r="CC71" i="2629"/>
  <c r="CB71" i="2629"/>
  <c r="BZ71" i="2629"/>
  <c r="BY71" i="2629"/>
  <c r="BX71" i="2629"/>
  <c r="BW71" i="2629"/>
  <c r="BV71" i="2629"/>
  <c r="BU71" i="2629"/>
  <c r="BT71" i="2629"/>
  <c r="BS71" i="2629"/>
  <c r="BR71" i="2629"/>
  <c r="BQ71" i="2629"/>
  <c r="BP71" i="2629"/>
  <c r="BO71" i="2629"/>
  <c r="BM71" i="2629"/>
  <c r="BL71" i="2629"/>
  <c r="BK71" i="2629"/>
  <c r="BJ71" i="2629"/>
  <c r="BI71" i="2629"/>
  <c r="BH71" i="2629"/>
  <c r="BG71" i="2629"/>
  <c r="BF71" i="2629"/>
  <c r="BE71" i="2629"/>
  <c r="BD71" i="2629"/>
  <c r="BC71" i="2629"/>
  <c r="BB71" i="2629"/>
  <c r="AZ71" i="2629"/>
  <c r="AY71" i="2629"/>
  <c r="AX71" i="2629"/>
  <c r="AW71" i="2629"/>
  <c r="AV71" i="2629"/>
  <c r="AU71" i="2629"/>
  <c r="AT71" i="2629"/>
  <c r="AS71" i="2629"/>
  <c r="AR71" i="2629"/>
  <c r="AQ71" i="2629"/>
  <c r="AP71" i="2629"/>
  <c r="AO71" i="2629"/>
  <c r="AM71" i="2629"/>
  <c r="AL71" i="2629"/>
  <c r="AK71" i="2629"/>
  <c r="AJ71" i="2629"/>
  <c r="AI71" i="2629"/>
  <c r="AH71" i="2629"/>
  <c r="AG71" i="2629"/>
  <c r="AF71" i="2629"/>
  <c r="AE71" i="2629"/>
  <c r="AD71" i="2629"/>
  <c r="AC71" i="2629"/>
  <c r="AB71" i="2629"/>
  <c r="Z71" i="2629"/>
  <c r="Y71" i="2629"/>
  <c r="X71" i="2629"/>
  <c r="W71" i="2629"/>
  <c r="V71" i="2629"/>
  <c r="U71" i="2629"/>
  <c r="T71" i="2629"/>
  <c r="S71" i="2629"/>
  <c r="R71" i="2629"/>
  <c r="Q71" i="2629"/>
  <c r="P71" i="2629"/>
  <c r="O71" i="2629"/>
  <c r="M71" i="2629"/>
  <c r="L71" i="2629"/>
  <c r="K71" i="2629"/>
  <c r="J71" i="2629"/>
  <c r="I71" i="2629"/>
  <c r="H71" i="2629"/>
  <c r="G71" i="2629"/>
  <c r="F71" i="2629"/>
  <c r="E71" i="2629"/>
  <c r="D71" i="2629"/>
  <c r="C71" i="2629"/>
  <c r="B71" i="2629"/>
  <c r="DW64" i="2629"/>
  <c r="DQ64" i="2629"/>
  <c r="DJ64" i="2629"/>
  <c r="CY64" i="2629"/>
  <c r="CS64" i="2629"/>
  <c r="DW63" i="2629"/>
  <c r="DQ63" i="2629"/>
  <c r="DJ63" i="2629"/>
  <c r="CS63" i="2629"/>
  <c r="DZ62" i="2629"/>
  <c r="DY62" i="2629"/>
  <c r="DX62" i="2629"/>
  <c r="DW62" i="2629"/>
  <c r="DV62" i="2629"/>
  <c r="DU62" i="2629"/>
  <c r="DT62" i="2629"/>
  <c r="DS62" i="2629"/>
  <c r="DR62" i="2629"/>
  <c r="DQ62" i="2629"/>
  <c r="DP62" i="2629"/>
  <c r="DO62" i="2629"/>
  <c r="DM62" i="2629"/>
  <c r="DL62" i="2629"/>
  <c r="DK62" i="2629"/>
  <c r="DJ62" i="2629"/>
  <c r="DI62" i="2629"/>
  <c r="DH62" i="2629"/>
  <c r="DG62" i="2629"/>
  <c r="DF62" i="2629"/>
  <c r="DE62" i="2629"/>
  <c r="DD62" i="2629"/>
  <c r="DC62" i="2629"/>
  <c r="DB62" i="2629"/>
  <c r="CZ62" i="2629"/>
  <c r="CY62" i="2629"/>
  <c r="CX62" i="2629"/>
  <c r="CW62" i="2629"/>
  <c r="CV62" i="2629"/>
  <c r="CU62" i="2629"/>
  <c r="CT62" i="2629"/>
  <c r="CS62" i="2629"/>
  <c r="CR62" i="2629"/>
  <c r="CQ62" i="2629"/>
  <c r="CP62" i="2629"/>
  <c r="CO62" i="2629"/>
  <c r="CM62" i="2629"/>
  <c r="CL62" i="2629"/>
  <c r="CK62" i="2629"/>
  <c r="CJ62" i="2629"/>
  <c r="CI62" i="2629"/>
  <c r="CH62" i="2629"/>
  <c r="CG62" i="2629"/>
  <c r="CF62" i="2629"/>
  <c r="CE62" i="2629"/>
  <c r="CD62" i="2629"/>
  <c r="CC62" i="2629"/>
  <c r="CB62" i="2629"/>
  <c r="BZ62" i="2629"/>
  <c r="BY62" i="2629"/>
  <c r="BX62" i="2629"/>
  <c r="BW62" i="2629"/>
  <c r="BV62" i="2629"/>
  <c r="BU62" i="2629"/>
  <c r="BT62" i="2629"/>
  <c r="BS62" i="2629"/>
  <c r="BR62" i="2629"/>
  <c r="BQ62" i="2629"/>
  <c r="BP62" i="2629"/>
  <c r="BO62" i="2629"/>
  <c r="BM62" i="2629"/>
  <c r="BL62" i="2629"/>
  <c r="BK62" i="2629"/>
  <c r="BJ62" i="2629"/>
  <c r="BI62" i="2629"/>
  <c r="BH62" i="2629"/>
  <c r="BG62" i="2629"/>
  <c r="BF62" i="2629"/>
  <c r="BE62" i="2629"/>
  <c r="BD62" i="2629"/>
  <c r="BC62" i="2629"/>
  <c r="BB62" i="2629"/>
  <c r="AZ62" i="2629"/>
  <c r="AY62" i="2629"/>
  <c r="AX62" i="2629"/>
  <c r="AW62" i="2629"/>
  <c r="AV62" i="2629"/>
  <c r="AU62" i="2629"/>
  <c r="AT62" i="2629"/>
  <c r="AS62" i="2629"/>
  <c r="AR62" i="2629"/>
  <c r="AQ62" i="2629"/>
  <c r="AP62" i="2629"/>
  <c r="AO62" i="2629"/>
  <c r="AM62" i="2629"/>
  <c r="AL62" i="2629"/>
  <c r="AK62" i="2629"/>
  <c r="AJ62" i="2629"/>
  <c r="AI62" i="2629"/>
  <c r="AH62" i="2629"/>
  <c r="AG62" i="2629"/>
  <c r="AF62" i="2629"/>
  <c r="AE62" i="2629"/>
  <c r="AD62" i="2629"/>
  <c r="AC62" i="2629"/>
  <c r="AB62" i="2629"/>
  <c r="Z62" i="2629"/>
  <c r="Y62" i="2629"/>
  <c r="X62" i="2629"/>
  <c r="W62" i="2629"/>
  <c r="V62" i="2629"/>
  <c r="U62" i="2629"/>
  <c r="T62" i="2629"/>
  <c r="S62" i="2629"/>
  <c r="R62" i="2629"/>
  <c r="Q62" i="2629"/>
  <c r="P62" i="2629"/>
  <c r="O62" i="2629"/>
  <c r="M62" i="2629"/>
  <c r="L62" i="2629"/>
  <c r="K62" i="2629"/>
  <c r="J62" i="2629"/>
  <c r="I62" i="2629"/>
  <c r="H62" i="2629"/>
  <c r="G62" i="2629"/>
  <c r="F62" i="2629"/>
  <c r="E62" i="2629"/>
  <c r="D62" i="2629"/>
  <c r="C62" i="2629"/>
  <c r="B62" i="2629"/>
  <c r="DZ61" i="2629"/>
  <c r="DY61" i="2629"/>
  <c r="DX61" i="2629"/>
  <c r="DW61" i="2629"/>
  <c r="DV61" i="2629"/>
  <c r="DU61" i="2629"/>
  <c r="DT61" i="2629"/>
  <c r="DS61" i="2629"/>
  <c r="DR61" i="2629"/>
  <c r="DQ61" i="2629"/>
  <c r="DP61" i="2629"/>
  <c r="DO61" i="2629"/>
  <c r="DM61" i="2629"/>
  <c r="DL61" i="2629"/>
  <c r="DK61" i="2629"/>
  <c r="DJ61" i="2629"/>
  <c r="DI61" i="2629"/>
  <c r="DH61" i="2629"/>
  <c r="DG61" i="2629"/>
  <c r="DF61" i="2629"/>
  <c r="DE61" i="2629"/>
  <c r="DD61" i="2629"/>
  <c r="DC61" i="2629"/>
  <c r="DB61" i="2629"/>
  <c r="CZ61" i="2629"/>
  <c r="CY61" i="2629"/>
  <c r="CX61" i="2629"/>
  <c r="CW61" i="2629"/>
  <c r="CV61" i="2629"/>
  <c r="CU61" i="2629"/>
  <c r="CT61" i="2629"/>
  <c r="CS61" i="2629"/>
  <c r="CR61" i="2629"/>
  <c r="CQ61" i="2629"/>
  <c r="CP61" i="2629"/>
  <c r="CO61" i="2629"/>
  <c r="CM61" i="2629"/>
  <c r="CL61" i="2629"/>
  <c r="CK61" i="2629"/>
  <c r="CJ61" i="2629"/>
  <c r="CI61" i="2629"/>
  <c r="CH61" i="2629"/>
  <c r="CG61" i="2629"/>
  <c r="CF61" i="2629"/>
  <c r="CE61" i="2629"/>
  <c r="CD61" i="2629"/>
  <c r="CC61" i="2629"/>
  <c r="CB61" i="2629"/>
  <c r="BZ61" i="2629"/>
  <c r="BY61" i="2629"/>
  <c r="BX61" i="2629"/>
  <c r="BW61" i="2629"/>
  <c r="BV61" i="2629"/>
  <c r="BU61" i="2629"/>
  <c r="BT61" i="2629"/>
  <c r="BS61" i="2629"/>
  <c r="BR61" i="2629"/>
  <c r="BQ61" i="2629"/>
  <c r="BP61" i="2629"/>
  <c r="BO61" i="2629"/>
  <c r="BM61" i="2629"/>
  <c r="BL61" i="2629"/>
  <c r="BK61" i="2629"/>
  <c r="BJ61" i="2629"/>
  <c r="BI61" i="2629"/>
  <c r="BH61" i="2629"/>
  <c r="BG61" i="2629"/>
  <c r="BF61" i="2629"/>
  <c r="BE61" i="2629"/>
  <c r="BD61" i="2629"/>
  <c r="BC61" i="2629"/>
  <c r="BB61" i="2629"/>
  <c r="AZ61" i="2629"/>
  <c r="AY61" i="2629"/>
  <c r="AX61" i="2629"/>
  <c r="AW61" i="2629"/>
  <c r="AV61" i="2629"/>
  <c r="AU61" i="2629"/>
  <c r="AT61" i="2629"/>
  <c r="AS61" i="2629"/>
  <c r="AR61" i="2629"/>
  <c r="AQ61" i="2629"/>
  <c r="AP61" i="2629"/>
  <c r="AO61" i="2629"/>
  <c r="AM61" i="2629"/>
  <c r="AL61" i="2629"/>
  <c r="AK61" i="2629"/>
  <c r="AJ61" i="2629"/>
  <c r="AI61" i="2629"/>
  <c r="AH61" i="2629"/>
  <c r="AG61" i="2629"/>
  <c r="AF61" i="2629"/>
  <c r="AE61" i="2629"/>
  <c r="AD61" i="2629"/>
  <c r="AC61" i="2629"/>
  <c r="AB61" i="2629"/>
  <c r="Z61" i="2629"/>
  <c r="Y61" i="2629"/>
  <c r="X61" i="2629"/>
  <c r="W61" i="2629"/>
  <c r="V61" i="2629"/>
  <c r="U61" i="2629"/>
  <c r="T61" i="2629"/>
  <c r="S61" i="2629"/>
  <c r="R61" i="2629"/>
  <c r="Q61" i="2629"/>
  <c r="P61" i="2629"/>
  <c r="O61" i="2629"/>
  <c r="M61" i="2629"/>
  <c r="L61" i="2629"/>
  <c r="K61" i="2629"/>
  <c r="J61" i="2629"/>
  <c r="I61" i="2629"/>
  <c r="H61" i="2629"/>
  <c r="G61" i="2629"/>
  <c r="F61" i="2629"/>
  <c r="E61" i="2629"/>
  <c r="D61" i="2629"/>
  <c r="C61" i="2629"/>
  <c r="B61" i="2629"/>
  <c r="DZ60" i="2629"/>
  <c r="DY60" i="2629"/>
  <c r="DX60" i="2629"/>
  <c r="DW60" i="2629"/>
  <c r="DV60" i="2629"/>
  <c r="DU60" i="2629"/>
  <c r="DT60" i="2629"/>
  <c r="DS60" i="2629"/>
  <c r="DR60" i="2629"/>
  <c r="DQ60" i="2629"/>
  <c r="DP60" i="2629"/>
  <c r="DO60" i="2629"/>
  <c r="DM60" i="2629"/>
  <c r="DL60" i="2629"/>
  <c r="DK60" i="2629"/>
  <c r="DJ60" i="2629"/>
  <c r="DI60" i="2629"/>
  <c r="DH60" i="2629"/>
  <c r="DG60" i="2629"/>
  <c r="DF60" i="2629"/>
  <c r="DE60" i="2629"/>
  <c r="DD60" i="2629"/>
  <c r="DC60" i="2629"/>
  <c r="DB60" i="2629"/>
  <c r="CZ60" i="2629"/>
  <c r="CY60" i="2629"/>
  <c r="CX60" i="2629"/>
  <c r="CW60" i="2629"/>
  <c r="CV60" i="2629"/>
  <c r="CU60" i="2629"/>
  <c r="CT60" i="2629"/>
  <c r="CS60" i="2629"/>
  <c r="CR60" i="2629"/>
  <c r="CQ60" i="2629"/>
  <c r="CP60" i="2629"/>
  <c r="CO60" i="2629"/>
  <c r="CM60" i="2629"/>
  <c r="CL60" i="2629"/>
  <c r="CK60" i="2629"/>
  <c r="CJ60" i="2629"/>
  <c r="CI60" i="2629"/>
  <c r="CH60" i="2629"/>
  <c r="CG60" i="2629"/>
  <c r="CF60" i="2629"/>
  <c r="CE60" i="2629"/>
  <c r="CD60" i="2629"/>
  <c r="CC60" i="2629"/>
  <c r="CB60" i="2629"/>
  <c r="BZ60" i="2629"/>
  <c r="BY60" i="2629"/>
  <c r="BX60" i="2629"/>
  <c r="BW60" i="2629"/>
  <c r="BV60" i="2629"/>
  <c r="BU60" i="2629"/>
  <c r="BT60" i="2629"/>
  <c r="BS60" i="2629"/>
  <c r="BR60" i="2629"/>
  <c r="BQ60" i="2629"/>
  <c r="BP60" i="2629"/>
  <c r="BO60" i="2629"/>
  <c r="BM60" i="2629"/>
  <c r="BL60" i="2629"/>
  <c r="BK60" i="2629"/>
  <c r="BJ60" i="2629"/>
  <c r="BI60" i="2629"/>
  <c r="BH60" i="2629"/>
  <c r="BG60" i="2629"/>
  <c r="BF60" i="2629"/>
  <c r="BE60" i="2629"/>
  <c r="BD60" i="2629"/>
  <c r="BC60" i="2629"/>
  <c r="BB60" i="2629"/>
  <c r="AZ60" i="2629"/>
  <c r="AY60" i="2629"/>
  <c r="AX60" i="2629"/>
  <c r="AW60" i="2629"/>
  <c r="AV60" i="2629"/>
  <c r="AU60" i="2629"/>
  <c r="AT60" i="2629"/>
  <c r="AS60" i="2629"/>
  <c r="AR60" i="2629"/>
  <c r="AQ60" i="2629"/>
  <c r="AP60" i="2629"/>
  <c r="AO60" i="2629"/>
  <c r="AM60" i="2629"/>
  <c r="AL60" i="2629"/>
  <c r="AK60" i="2629"/>
  <c r="AJ60" i="2629"/>
  <c r="AI60" i="2629"/>
  <c r="AH60" i="2629"/>
  <c r="AG60" i="2629"/>
  <c r="AF60" i="2629"/>
  <c r="AE60" i="2629"/>
  <c r="AD60" i="2629"/>
  <c r="AC60" i="2629"/>
  <c r="AB60" i="2629"/>
  <c r="Z60" i="2629"/>
  <c r="Y60" i="2629"/>
  <c r="X60" i="2629"/>
  <c r="W60" i="2629"/>
  <c r="V60" i="2629"/>
  <c r="U60" i="2629"/>
  <c r="T60" i="2629"/>
  <c r="S60" i="2629"/>
  <c r="R60" i="2629"/>
  <c r="Q60" i="2629"/>
  <c r="P60" i="2629"/>
  <c r="O60" i="2629"/>
  <c r="M60" i="2629"/>
  <c r="L60" i="2629"/>
  <c r="K60" i="2629"/>
  <c r="J60" i="2629"/>
  <c r="I60" i="2629"/>
  <c r="H60" i="2629"/>
  <c r="G60" i="2629"/>
  <c r="F60" i="2629"/>
  <c r="E60" i="2629"/>
  <c r="D60" i="2629"/>
  <c r="C60" i="2629"/>
  <c r="B60" i="2629"/>
  <c r="DZ59" i="2629"/>
  <c r="DY59" i="2629"/>
  <c r="DX59" i="2629"/>
  <c r="DW59" i="2629"/>
  <c r="DV59" i="2629"/>
  <c r="DU59" i="2629"/>
  <c r="DT59" i="2629"/>
  <c r="DS59" i="2629"/>
  <c r="DR59" i="2629"/>
  <c r="DQ59" i="2629"/>
  <c r="DP59" i="2629"/>
  <c r="DO59" i="2629"/>
  <c r="DM59" i="2629"/>
  <c r="DL59" i="2629"/>
  <c r="DK59" i="2629"/>
  <c r="DJ59" i="2629"/>
  <c r="DI59" i="2629"/>
  <c r="DH59" i="2629"/>
  <c r="DG59" i="2629"/>
  <c r="DF59" i="2629"/>
  <c r="DE59" i="2629"/>
  <c r="DD59" i="2629"/>
  <c r="DC59" i="2629"/>
  <c r="DB59" i="2629"/>
  <c r="CZ59" i="2629"/>
  <c r="CY59" i="2629"/>
  <c r="CX59" i="2629"/>
  <c r="CW59" i="2629"/>
  <c r="CV59" i="2629"/>
  <c r="CU59" i="2629"/>
  <c r="CT59" i="2629"/>
  <c r="CS59" i="2629"/>
  <c r="CR59" i="2629"/>
  <c r="CQ59" i="2629"/>
  <c r="CP59" i="2629"/>
  <c r="CO59" i="2629"/>
  <c r="CM59" i="2629"/>
  <c r="CL59" i="2629"/>
  <c r="CK59" i="2629"/>
  <c r="CJ59" i="2629"/>
  <c r="CI59" i="2629"/>
  <c r="CH59" i="2629"/>
  <c r="CG59" i="2629"/>
  <c r="CF59" i="2629"/>
  <c r="CE59" i="2629"/>
  <c r="CD59" i="2629"/>
  <c r="CC59" i="2629"/>
  <c r="CB59" i="2629"/>
  <c r="BZ59" i="2629"/>
  <c r="BY59" i="2629"/>
  <c r="BX59" i="2629"/>
  <c r="BW59" i="2629"/>
  <c r="BV59" i="2629"/>
  <c r="BU59" i="2629"/>
  <c r="BT59" i="2629"/>
  <c r="BS59" i="2629"/>
  <c r="BR59" i="2629"/>
  <c r="BQ59" i="2629"/>
  <c r="BP59" i="2629"/>
  <c r="BO59" i="2629"/>
  <c r="BM59" i="2629"/>
  <c r="BL59" i="2629"/>
  <c r="BK59" i="2629"/>
  <c r="BJ59" i="2629"/>
  <c r="BI59" i="2629"/>
  <c r="BH59" i="2629"/>
  <c r="BG59" i="2629"/>
  <c r="BF59" i="2629"/>
  <c r="BE59" i="2629"/>
  <c r="BD59" i="2629"/>
  <c r="BC59" i="2629"/>
  <c r="BB59" i="2629"/>
  <c r="AZ59" i="2629"/>
  <c r="AY59" i="2629"/>
  <c r="AX59" i="2629"/>
  <c r="AW59" i="2629"/>
  <c r="AV59" i="2629"/>
  <c r="AU59" i="2629"/>
  <c r="AT59" i="2629"/>
  <c r="AS59" i="2629"/>
  <c r="AR59" i="2629"/>
  <c r="AQ59" i="2629"/>
  <c r="AP59" i="2629"/>
  <c r="AO59" i="2629"/>
  <c r="AM59" i="2629"/>
  <c r="AL59" i="2629"/>
  <c r="AK59" i="2629"/>
  <c r="AJ59" i="2629"/>
  <c r="AI59" i="2629"/>
  <c r="AH59" i="2629"/>
  <c r="AG59" i="2629"/>
  <c r="AF59" i="2629"/>
  <c r="AE59" i="2629"/>
  <c r="AD59" i="2629"/>
  <c r="AC59" i="2629"/>
  <c r="AB59" i="2629"/>
  <c r="Z59" i="2629"/>
  <c r="Y59" i="2629"/>
  <c r="X59" i="2629"/>
  <c r="W59" i="2629"/>
  <c r="V59" i="2629"/>
  <c r="U59" i="2629"/>
  <c r="T59" i="2629"/>
  <c r="S59" i="2629"/>
  <c r="R59" i="2629"/>
  <c r="Q59" i="2629"/>
  <c r="P59" i="2629"/>
  <c r="O59" i="2629"/>
  <c r="M59" i="2629"/>
  <c r="L59" i="2629"/>
  <c r="K59" i="2629"/>
  <c r="J59" i="2629"/>
  <c r="I59" i="2629"/>
  <c r="H59" i="2629"/>
  <c r="G59" i="2629"/>
  <c r="F59" i="2629"/>
  <c r="E59" i="2629"/>
  <c r="D59" i="2629"/>
  <c r="C59" i="2629"/>
  <c r="B59" i="2629"/>
  <c r="DZ58" i="2629"/>
  <c r="DY58" i="2629"/>
  <c r="DX58" i="2629"/>
  <c r="DW58" i="2629"/>
  <c r="DV58" i="2629"/>
  <c r="DU58" i="2629"/>
  <c r="DT58" i="2629"/>
  <c r="DS58" i="2629"/>
  <c r="DR58" i="2629"/>
  <c r="DQ58" i="2629"/>
  <c r="DP58" i="2629"/>
  <c r="DO58" i="2629"/>
  <c r="DM58" i="2629"/>
  <c r="DL58" i="2629"/>
  <c r="DK58" i="2629"/>
  <c r="DJ58" i="2629"/>
  <c r="DI58" i="2629"/>
  <c r="DH58" i="2629"/>
  <c r="DG58" i="2629"/>
  <c r="DF58" i="2629"/>
  <c r="DE58" i="2629"/>
  <c r="DD58" i="2629"/>
  <c r="DC58" i="2629"/>
  <c r="DB58" i="2629"/>
  <c r="CZ58" i="2629"/>
  <c r="CY58" i="2629"/>
  <c r="CX58" i="2629"/>
  <c r="CW58" i="2629"/>
  <c r="CV58" i="2629"/>
  <c r="CU58" i="2629"/>
  <c r="CT58" i="2629"/>
  <c r="CS58" i="2629"/>
  <c r="CR58" i="2629"/>
  <c r="CQ58" i="2629"/>
  <c r="CP58" i="2629"/>
  <c r="CO58" i="2629"/>
  <c r="CM58" i="2629"/>
  <c r="CL58" i="2629"/>
  <c r="CK58" i="2629"/>
  <c r="CJ58" i="2629"/>
  <c r="CI58" i="2629"/>
  <c r="CH58" i="2629"/>
  <c r="CG58" i="2629"/>
  <c r="CF58" i="2629"/>
  <c r="CE58" i="2629"/>
  <c r="CD58" i="2629"/>
  <c r="CC58" i="2629"/>
  <c r="CB58" i="2629"/>
  <c r="BZ58" i="2629"/>
  <c r="BY58" i="2629"/>
  <c r="BX58" i="2629"/>
  <c r="BW58" i="2629"/>
  <c r="BV58" i="2629"/>
  <c r="BU58" i="2629"/>
  <c r="BT58" i="2629"/>
  <c r="BS58" i="2629"/>
  <c r="BR58" i="2629"/>
  <c r="BQ58" i="2629"/>
  <c r="BP58" i="2629"/>
  <c r="BO58" i="2629"/>
  <c r="BM58" i="2629"/>
  <c r="BL58" i="2629"/>
  <c r="BK58" i="2629"/>
  <c r="BJ58" i="2629"/>
  <c r="BI58" i="2629"/>
  <c r="BH58" i="2629"/>
  <c r="BG58" i="2629"/>
  <c r="BF58" i="2629"/>
  <c r="BE58" i="2629"/>
  <c r="BD58" i="2629"/>
  <c r="BC58" i="2629"/>
  <c r="BB58" i="2629"/>
  <c r="AZ58" i="2629"/>
  <c r="AY58" i="2629"/>
  <c r="AX58" i="2629"/>
  <c r="AW58" i="2629"/>
  <c r="AV58" i="2629"/>
  <c r="AU58" i="2629"/>
  <c r="AT58" i="2629"/>
  <c r="AS58" i="2629"/>
  <c r="AR58" i="2629"/>
  <c r="AQ58" i="2629"/>
  <c r="AP58" i="2629"/>
  <c r="AO58" i="2629"/>
  <c r="AM58" i="2629"/>
  <c r="AL58" i="2629"/>
  <c r="AK58" i="2629"/>
  <c r="AJ58" i="2629"/>
  <c r="AI58" i="2629"/>
  <c r="AH58" i="2629"/>
  <c r="AG58" i="2629"/>
  <c r="AF58" i="2629"/>
  <c r="AE58" i="2629"/>
  <c r="AD58" i="2629"/>
  <c r="AC58" i="2629"/>
  <c r="AB58" i="2629"/>
  <c r="Z58" i="2629"/>
  <c r="Y58" i="2629"/>
  <c r="X58" i="2629"/>
  <c r="W58" i="2629"/>
  <c r="V58" i="2629"/>
  <c r="U58" i="2629"/>
  <c r="T58" i="2629"/>
  <c r="S58" i="2629"/>
  <c r="R58" i="2629"/>
  <c r="Q58" i="2629"/>
  <c r="P58" i="2629"/>
  <c r="O58" i="2629"/>
  <c r="M58" i="2629"/>
  <c r="L58" i="2629"/>
  <c r="K58" i="2629"/>
  <c r="J58" i="2629"/>
  <c r="I58" i="2629"/>
  <c r="H58" i="2629"/>
  <c r="G58" i="2629"/>
  <c r="F58" i="2629"/>
  <c r="E58" i="2629"/>
  <c r="D58" i="2629"/>
  <c r="C58" i="2629"/>
  <c r="B58" i="2629"/>
  <c r="DM55" i="2629"/>
  <c r="DL55" i="2629"/>
  <c r="DK55" i="2629"/>
  <c r="DJ55" i="2629"/>
  <c r="DI55" i="2629"/>
  <c r="DH55" i="2629"/>
  <c r="DG55" i="2629"/>
  <c r="DF55" i="2629"/>
  <c r="DE55" i="2629"/>
  <c r="DD55" i="2629"/>
  <c r="DC55" i="2629"/>
  <c r="DB55" i="2629"/>
  <c r="CZ55" i="2629"/>
  <c r="CY55" i="2629"/>
  <c r="CX55" i="2629"/>
  <c r="CW55" i="2629"/>
  <c r="CV55" i="2629"/>
  <c r="CU55" i="2629"/>
  <c r="CT55" i="2629"/>
  <c r="CS55" i="2629"/>
  <c r="CR55" i="2629"/>
  <c r="CQ55" i="2629"/>
  <c r="CP55" i="2629"/>
  <c r="CO55" i="2629"/>
  <c r="CM55" i="2629"/>
  <c r="CL55" i="2629"/>
  <c r="CK55" i="2629"/>
  <c r="CJ55" i="2629"/>
  <c r="CI55" i="2629"/>
  <c r="CH55" i="2629"/>
  <c r="CG55" i="2629"/>
  <c r="CF55" i="2629"/>
  <c r="CE55" i="2629"/>
  <c r="CD55" i="2629"/>
  <c r="CC55" i="2629"/>
  <c r="CB55" i="2629"/>
  <c r="BZ55" i="2629"/>
  <c r="BY55" i="2629"/>
  <c r="BX55" i="2629"/>
  <c r="BW55" i="2629"/>
  <c r="BV55" i="2629"/>
  <c r="BU55" i="2629"/>
  <c r="BT55" i="2629"/>
  <c r="BS55" i="2629"/>
  <c r="BR55" i="2629"/>
  <c r="BQ55" i="2629"/>
  <c r="BP55" i="2629"/>
  <c r="BO55" i="2629"/>
  <c r="BM55" i="2629"/>
  <c r="BL55" i="2629"/>
  <c r="BK55" i="2629"/>
  <c r="BJ55" i="2629"/>
  <c r="BI55" i="2629"/>
  <c r="BH55" i="2629"/>
  <c r="BG55" i="2629"/>
  <c r="BF55" i="2629"/>
  <c r="BE55" i="2629"/>
  <c r="BD55" i="2629"/>
  <c r="BC55" i="2629"/>
  <c r="BB55" i="2629"/>
  <c r="AZ55" i="2629"/>
  <c r="AY55" i="2629"/>
  <c r="AX55" i="2629"/>
  <c r="AW55" i="2629"/>
  <c r="AV55" i="2629"/>
  <c r="AU55" i="2629"/>
  <c r="AT55" i="2629"/>
  <c r="AS55" i="2629"/>
  <c r="AR55" i="2629"/>
  <c r="AQ55" i="2629"/>
  <c r="AP55" i="2629"/>
  <c r="AO55" i="2629"/>
  <c r="AM55" i="2629"/>
  <c r="AL55" i="2629"/>
  <c r="AK55" i="2629"/>
  <c r="AJ55" i="2629"/>
  <c r="AI55" i="2629"/>
  <c r="AH55" i="2629"/>
  <c r="AG55" i="2629"/>
  <c r="AF55" i="2629"/>
  <c r="AE55" i="2629"/>
  <c r="AD55" i="2629"/>
  <c r="AC55" i="2629"/>
  <c r="AB55" i="2629"/>
  <c r="Z55" i="2629"/>
  <c r="Y55" i="2629"/>
  <c r="X55" i="2629"/>
  <c r="W55" i="2629"/>
  <c r="V55" i="2629"/>
  <c r="U55" i="2629"/>
  <c r="T55" i="2629"/>
  <c r="S55" i="2629"/>
  <c r="R55" i="2629"/>
  <c r="Q55" i="2629"/>
  <c r="P55" i="2629"/>
  <c r="O55" i="2629"/>
  <c r="M55" i="2629"/>
  <c r="L55" i="2629"/>
  <c r="K55" i="2629"/>
  <c r="J55" i="2629"/>
  <c r="I55" i="2629"/>
  <c r="H55" i="2629"/>
  <c r="G55" i="2629"/>
  <c r="F55" i="2629"/>
  <c r="E55" i="2629"/>
  <c r="D55" i="2629"/>
  <c r="C55" i="2629"/>
  <c r="B55" i="2629"/>
  <c r="DM54" i="2629"/>
  <c r="DL54" i="2629"/>
  <c r="DK54" i="2629"/>
  <c r="DJ54" i="2629"/>
  <c r="DI54" i="2629"/>
  <c r="DH54" i="2629"/>
  <c r="DG54" i="2629"/>
  <c r="DF54" i="2629"/>
  <c r="DE54" i="2629"/>
  <c r="DD54" i="2629"/>
  <c r="DC54" i="2629"/>
  <c r="DB54" i="2629"/>
  <c r="CZ54" i="2629"/>
  <c r="CY54" i="2629"/>
  <c r="CX54" i="2629"/>
  <c r="CW54" i="2629"/>
  <c r="CV54" i="2629"/>
  <c r="CU54" i="2629"/>
  <c r="CT54" i="2629"/>
  <c r="CS54" i="2629"/>
  <c r="CR54" i="2629"/>
  <c r="CQ54" i="2629"/>
  <c r="CP54" i="2629"/>
  <c r="CO54" i="2629"/>
  <c r="CM54" i="2629"/>
  <c r="CL54" i="2629"/>
  <c r="CK54" i="2629"/>
  <c r="CJ54" i="2629"/>
  <c r="CI54" i="2629"/>
  <c r="CH54" i="2629"/>
  <c r="CG54" i="2629"/>
  <c r="CF54" i="2629"/>
  <c r="CE54" i="2629"/>
  <c r="CD54" i="2629"/>
  <c r="CC54" i="2629"/>
  <c r="CB54" i="2629"/>
  <c r="BZ54" i="2629"/>
  <c r="BY54" i="2629"/>
  <c r="BX54" i="2629"/>
  <c r="BW54" i="2629"/>
  <c r="BV54" i="2629"/>
  <c r="BU54" i="2629"/>
  <c r="BT54" i="2629"/>
  <c r="BS54" i="2629"/>
  <c r="BR54" i="2629"/>
  <c r="BQ54" i="2629"/>
  <c r="BP54" i="2629"/>
  <c r="BO54" i="2629"/>
  <c r="BM54" i="2629"/>
  <c r="BL54" i="2629"/>
  <c r="BK54" i="2629"/>
  <c r="BJ54" i="2629"/>
  <c r="BI54" i="2629"/>
  <c r="BH54" i="2629"/>
  <c r="BG54" i="2629"/>
  <c r="BF54" i="2629"/>
  <c r="BE54" i="2629"/>
  <c r="BD54" i="2629"/>
  <c r="BC54" i="2629"/>
  <c r="BB54" i="2629"/>
  <c r="AZ54" i="2629"/>
  <c r="AY54" i="2629"/>
  <c r="AX54" i="2629"/>
  <c r="AW54" i="2629"/>
  <c r="AV54" i="2629"/>
  <c r="AU54" i="2629"/>
  <c r="AT54" i="2629"/>
  <c r="AS54" i="2629"/>
  <c r="AR54" i="2629"/>
  <c r="AQ54" i="2629"/>
  <c r="AP54" i="2629"/>
  <c r="AO54" i="2629"/>
  <c r="AM54" i="2629"/>
  <c r="AL54" i="2629"/>
  <c r="AK54" i="2629"/>
  <c r="AJ54" i="2629"/>
  <c r="AI54" i="2629"/>
  <c r="AH54" i="2629"/>
  <c r="AG54" i="2629"/>
  <c r="AF54" i="2629"/>
  <c r="AE54" i="2629"/>
  <c r="AD54" i="2629"/>
  <c r="AC54" i="2629"/>
  <c r="AB54" i="2629"/>
  <c r="Z54" i="2629"/>
  <c r="Y54" i="2629"/>
  <c r="X54" i="2629"/>
  <c r="W54" i="2629"/>
  <c r="V54" i="2629"/>
  <c r="U54" i="2629"/>
  <c r="T54" i="2629"/>
  <c r="S54" i="2629"/>
  <c r="R54" i="2629"/>
  <c r="Q54" i="2629"/>
  <c r="P54" i="2629"/>
  <c r="O54" i="2629"/>
  <c r="M54" i="2629"/>
  <c r="L54" i="2629"/>
  <c r="K54" i="2629"/>
  <c r="J54" i="2629"/>
  <c r="I54" i="2629"/>
  <c r="H54" i="2629"/>
  <c r="G54" i="2629"/>
  <c r="F54" i="2629"/>
  <c r="E54" i="2629"/>
  <c r="D54" i="2629"/>
  <c r="C54" i="2629"/>
  <c r="B54" i="2629"/>
  <c r="DM53" i="2629"/>
  <c r="DL53" i="2629"/>
  <c r="DK53" i="2629"/>
  <c r="DJ53" i="2629"/>
  <c r="DI53" i="2629"/>
  <c r="DH53" i="2629"/>
  <c r="DG53" i="2629"/>
  <c r="DF53" i="2629"/>
  <c r="DE53" i="2629"/>
  <c r="DD53" i="2629"/>
  <c r="DC53" i="2629"/>
  <c r="DB53" i="2629"/>
  <c r="CZ53" i="2629"/>
  <c r="CY53" i="2629"/>
  <c r="CX53" i="2629"/>
  <c r="CW53" i="2629"/>
  <c r="CV53" i="2629"/>
  <c r="CU53" i="2629"/>
  <c r="CT53" i="2629"/>
  <c r="CS53" i="2629"/>
  <c r="CR53" i="2629"/>
  <c r="CQ53" i="2629"/>
  <c r="CP53" i="2629"/>
  <c r="CO53" i="2629"/>
  <c r="CM53" i="2629"/>
  <c r="CL53" i="2629"/>
  <c r="CK53" i="2629"/>
  <c r="CJ53" i="2629"/>
  <c r="CI53" i="2629"/>
  <c r="CH53" i="2629"/>
  <c r="CG53" i="2629"/>
  <c r="CF53" i="2629"/>
  <c r="CE53" i="2629"/>
  <c r="CD53" i="2629"/>
  <c r="CC53" i="2629"/>
  <c r="CB53" i="2629"/>
  <c r="BZ53" i="2629"/>
  <c r="BY53" i="2629"/>
  <c r="BX53" i="2629"/>
  <c r="BW53" i="2629"/>
  <c r="BV53" i="2629"/>
  <c r="BU53" i="2629"/>
  <c r="BT53" i="2629"/>
  <c r="BS53" i="2629"/>
  <c r="BR53" i="2629"/>
  <c r="BQ53" i="2629"/>
  <c r="BP53" i="2629"/>
  <c r="BO53" i="2629"/>
  <c r="BM53" i="2629"/>
  <c r="BL53" i="2629"/>
  <c r="BK53" i="2629"/>
  <c r="BJ53" i="2629"/>
  <c r="BI53" i="2629"/>
  <c r="BH53" i="2629"/>
  <c r="BG53" i="2629"/>
  <c r="BF53" i="2629"/>
  <c r="BE53" i="2629"/>
  <c r="BD53" i="2629"/>
  <c r="BC53" i="2629"/>
  <c r="BB53" i="2629"/>
  <c r="AZ53" i="2629"/>
  <c r="AY53" i="2629"/>
  <c r="AX53" i="2629"/>
  <c r="AW53" i="2629"/>
  <c r="AV53" i="2629"/>
  <c r="AU53" i="2629"/>
  <c r="AT53" i="2629"/>
  <c r="AS53" i="2629"/>
  <c r="AR53" i="2629"/>
  <c r="AQ53" i="2629"/>
  <c r="AP53" i="2629"/>
  <c r="AO53" i="2629"/>
  <c r="AM53" i="2629"/>
  <c r="AL53" i="2629"/>
  <c r="AK53" i="2629"/>
  <c r="AJ53" i="2629"/>
  <c r="AI53" i="2629"/>
  <c r="AH53" i="2629"/>
  <c r="AG53" i="2629"/>
  <c r="AF53" i="2629"/>
  <c r="AE53" i="2629"/>
  <c r="AD53" i="2629"/>
  <c r="AC53" i="2629"/>
  <c r="AB53" i="2629"/>
  <c r="DZ52" i="2629"/>
  <c r="DY52" i="2629"/>
  <c r="DX52" i="2629"/>
  <c r="DW52" i="2629"/>
  <c r="DV52" i="2629"/>
  <c r="DU52" i="2629"/>
  <c r="DT52" i="2629"/>
  <c r="DS52" i="2629"/>
  <c r="DR52" i="2629"/>
  <c r="DQ52" i="2629"/>
  <c r="DP52" i="2629"/>
  <c r="DO52" i="2629"/>
  <c r="DM52" i="2629"/>
  <c r="DL52" i="2629"/>
  <c r="DK52" i="2629"/>
  <c r="DJ52" i="2629"/>
  <c r="DI52" i="2629"/>
  <c r="DH52" i="2629"/>
  <c r="DG52" i="2629"/>
  <c r="DF52" i="2629"/>
  <c r="DE52" i="2629"/>
  <c r="DD52" i="2629"/>
  <c r="DC52" i="2629"/>
  <c r="DB52" i="2629"/>
  <c r="CZ52" i="2629"/>
  <c r="CY52" i="2629"/>
  <c r="CX52" i="2629"/>
  <c r="CW52" i="2629"/>
  <c r="CV52" i="2629"/>
  <c r="CU52" i="2629"/>
  <c r="CT52" i="2629"/>
  <c r="CS52" i="2629"/>
  <c r="CR52" i="2629"/>
  <c r="CQ52" i="2629"/>
  <c r="CP52" i="2629"/>
  <c r="CO52" i="2629"/>
  <c r="CM52" i="2629"/>
  <c r="CL52" i="2629"/>
  <c r="CK52" i="2629"/>
  <c r="CJ52" i="2629"/>
  <c r="CI52" i="2629"/>
  <c r="CH52" i="2629"/>
  <c r="CG52" i="2629"/>
  <c r="CF52" i="2629"/>
  <c r="CE52" i="2629"/>
  <c r="CD52" i="2629"/>
  <c r="CC52" i="2629"/>
  <c r="CB52" i="2629"/>
  <c r="BZ52" i="2629"/>
  <c r="BY52" i="2629"/>
  <c r="BX52" i="2629"/>
  <c r="BW52" i="2629"/>
  <c r="BV52" i="2629"/>
  <c r="BU52" i="2629"/>
  <c r="BT52" i="2629"/>
  <c r="BS52" i="2629"/>
  <c r="BR52" i="2629"/>
  <c r="BQ52" i="2629"/>
  <c r="BP52" i="2629"/>
  <c r="BO52" i="2629"/>
  <c r="BM52" i="2629"/>
  <c r="BL52" i="2629"/>
  <c r="BK52" i="2629"/>
  <c r="BJ52" i="2629"/>
  <c r="BI52" i="2629"/>
  <c r="BH52" i="2629"/>
  <c r="BG52" i="2629"/>
  <c r="BF52" i="2629"/>
  <c r="BE52" i="2629"/>
  <c r="BD52" i="2629"/>
  <c r="BC52" i="2629"/>
  <c r="BB52" i="2629"/>
  <c r="AZ52" i="2629"/>
  <c r="AY52" i="2629"/>
  <c r="AX52" i="2629"/>
  <c r="AW52" i="2629"/>
  <c r="AV52" i="2629"/>
  <c r="AU52" i="2629"/>
  <c r="AT52" i="2629"/>
  <c r="AS52" i="2629"/>
  <c r="AR52" i="2629"/>
  <c r="AQ52" i="2629"/>
  <c r="AP52" i="2629"/>
  <c r="AO52" i="2629"/>
  <c r="AM52" i="2629"/>
  <c r="AL52" i="2629"/>
  <c r="AK52" i="2629"/>
  <c r="AJ52" i="2629"/>
  <c r="AI52" i="2629"/>
  <c r="AH52" i="2629"/>
  <c r="AG52" i="2629"/>
  <c r="AF52" i="2629"/>
  <c r="AE52" i="2629"/>
  <c r="AD52" i="2629"/>
  <c r="AC52" i="2629"/>
  <c r="AB52" i="2629"/>
  <c r="Z52" i="2629"/>
  <c r="Y52" i="2629"/>
  <c r="X52" i="2629"/>
  <c r="W52" i="2629"/>
  <c r="V52" i="2629"/>
  <c r="U52" i="2629"/>
  <c r="T52" i="2629"/>
  <c r="S52" i="2629"/>
  <c r="R52" i="2629"/>
  <c r="Q52" i="2629"/>
  <c r="P52" i="2629"/>
  <c r="O52" i="2629"/>
  <c r="M52" i="2629"/>
  <c r="L52" i="2629"/>
  <c r="K52" i="2629"/>
  <c r="J52" i="2629"/>
  <c r="I52" i="2629"/>
  <c r="H52" i="2629"/>
  <c r="G52" i="2629"/>
  <c r="F52" i="2629"/>
  <c r="E52" i="2629"/>
  <c r="D52" i="2629"/>
  <c r="C52" i="2629"/>
  <c r="B52" i="2629"/>
  <c r="DZ51" i="2629"/>
  <c r="DY51" i="2629"/>
  <c r="DX51" i="2629"/>
  <c r="DW51" i="2629"/>
  <c r="DV51" i="2629"/>
  <c r="DU51" i="2629"/>
  <c r="DT51" i="2629"/>
  <c r="DS51" i="2629"/>
  <c r="DR51" i="2629"/>
  <c r="DQ51" i="2629"/>
  <c r="DP51" i="2629"/>
  <c r="DO51" i="2629"/>
  <c r="DM51" i="2629"/>
  <c r="DL51" i="2629"/>
  <c r="DK51" i="2629"/>
  <c r="DJ51" i="2629"/>
  <c r="DI51" i="2629"/>
  <c r="DH51" i="2629"/>
  <c r="DG51" i="2629"/>
  <c r="DF51" i="2629"/>
  <c r="DE51" i="2629"/>
  <c r="DD51" i="2629"/>
  <c r="DC51" i="2629"/>
  <c r="DB51" i="2629"/>
  <c r="CZ51" i="2629"/>
  <c r="CY51" i="2629"/>
  <c r="CX51" i="2629"/>
  <c r="CW51" i="2629"/>
  <c r="CV51" i="2629"/>
  <c r="CU51" i="2629"/>
  <c r="CT51" i="2629"/>
  <c r="CS51" i="2629"/>
  <c r="CR51" i="2629"/>
  <c r="CQ51" i="2629"/>
  <c r="CP51" i="2629"/>
  <c r="CO51" i="2629"/>
  <c r="CM51" i="2629"/>
  <c r="CL51" i="2629"/>
  <c r="CK51" i="2629"/>
  <c r="CJ51" i="2629"/>
  <c r="CI51" i="2629"/>
  <c r="CH51" i="2629"/>
  <c r="CG51" i="2629"/>
  <c r="CF51" i="2629"/>
  <c r="CE51" i="2629"/>
  <c r="CD51" i="2629"/>
  <c r="CC51" i="2629"/>
  <c r="CB51" i="2629"/>
  <c r="BZ51" i="2629"/>
  <c r="BY51" i="2629"/>
  <c r="BX51" i="2629"/>
  <c r="BW51" i="2629"/>
  <c r="BV51" i="2629"/>
  <c r="BU51" i="2629"/>
  <c r="BT51" i="2629"/>
  <c r="BS51" i="2629"/>
  <c r="BR51" i="2629"/>
  <c r="BQ51" i="2629"/>
  <c r="BP51" i="2629"/>
  <c r="BO51" i="2629"/>
  <c r="BM51" i="2629"/>
  <c r="BL51" i="2629"/>
  <c r="BK51" i="2629"/>
  <c r="BJ51" i="2629"/>
  <c r="BI51" i="2629"/>
  <c r="BH51" i="2629"/>
  <c r="BG51" i="2629"/>
  <c r="BF51" i="2629"/>
  <c r="BE51" i="2629"/>
  <c r="BD51" i="2629"/>
  <c r="BC51" i="2629"/>
  <c r="BB51" i="2629"/>
  <c r="AZ51" i="2629"/>
  <c r="AY51" i="2629"/>
  <c r="AX51" i="2629"/>
  <c r="AW51" i="2629"/>
  <c r="AV51" i="2629"/>
  <c r="AU51" i="2629"/>
  <c r="AT51" i="2629"/>
  <c r="AS51" i="2629"/>
  <c r="AR51" i="2629"/>
  <c r="AQ51" i="2629"/>
  <c r="AP51" i="2629"/>
  <c r="AO51" i="2629"/>
  <c r="AM51" i="2629"/>
  <c r="AL51" i="2629"/>
  <c r="AK51" i="2629"/>
  <c r="AJ51" i="2629"/>
  <c r="AI51" i="2629"/>
  <c r="AH51" i="2629"/>
  <c r="AG51" i="2629"/>
  <c r="AF51" i="2629"/>
  <c r="AE51" i="2629"/>
  <c r="AD51" i="2629"/>
  <c r="AC51" i="2629"/>
  <c r="AB51" i="2629"/>
  <c r="Z51" i="2629"/>
  <c r="Y51" i="2629"/>
  <c r="X51" i="2629"/>
  <c r="W51" i="2629"/>
  <c r="V51" i="2629"/>
  <c r="U51" i="2629"/>
  <c r="T51" i="2629"/>
  <c r="S51" i="2629"/>
  <c r="R51" i="2629"/>
  <c r="Q51" i="2629"/>
  <c r="P51" i="2629"/>
  <c r="O51" i="2629"/>
  <c r="M51" i="2629"/>
  <c r="L51" i="2629"/>
  <c r="K51" i="2629"/>
  <c r="J51" i="2629"/>
  <c r="I51" i="2629"/>
  <c r="H51" i="2629"/>
  <c r="G51" i="2629"/>
  <c r="F51" i="2629"/>
  <c r="E51" i="2629"/>
  <c r="D51" i="2629"/>
  <c r="C51" i="2629"/>
  <c r="B51" i="2629"/>
  <c r="DZ50" i="2629"/>
  <c r="DY50" i="2629"/>
  <c r="DX50" i="2629"/>
  <c r="DW50" i="2629"/>
  <c r="DV50" i="2629"/>
  <c r="DU50" i="2629"/>
  <c r="DT50" i="2629"/>
  <c r="DS50" i="2629"/>
  <c r="DR50" i="2629"/>
  <c r="DQ50" i="2629"/>
  <c r="DP50" i="2629"/>
  <c r="DO50" i="2629"/>
  <c r="DM50" i="2629"/>
  <c r="DL50" i="2629"/>
  <c r="DK50" i="2629"/>
  <c r="DJ50" i="2629"/>
  <c r="DI50" i="2629"/>
  <c r="DH50" i="2629"/>
  <c r="DG50" i="2629"/>
  <c r="DF50" i="2629"/>
  <c r="DE50" i="2629"/>
  <c r="DD50" i="2629"/>
  <c r="DC50" i="2629"/>
  <c r="DB50" i="2629"/>
  <c r="CZ50" i="2629"/>
  <c r="CY50" i="2629"/>
  <c r="CX50" i="2629"/>
  <c r="CW50" i="2629"/>
  <c r="CV50" i="2629"/>
  <c r="CU50" i="2629"/>
  <c r="CT50" i="2629"/>
  <c r="CS50" i="2629"/>
  <c r="CR50" i="2629"/>
  <c r="CQ50" i="2629"/>
  <c r="CP50" i="2629"/>
  <c r="CO50" i="2629"/>
  <c r="CM50" i="2629"/>
  <c r="CL50" i="2629"/>
  <c r="CK50" i="2629"/>
  <c r="CJ50" i="2629"/>
  <c r="CI50" i="2629"/>
  <c r="CH50" i="2629"/>
  <c r="CG50" i="2629"/>
  <c r="CF50" i="2629"/>
  <c r="CE50" i="2629"/>
  <c r="CD50" i="2629"/>
  <c r="CC50" i="2629"/>
  <c r="CB50" i="2629"/>
  <c r="BZ50" i="2629"/>
  <c r="BY50" i="2629"/>
  <c r="BX50" i="2629"/>
  <c r="BW50" i="2629"/>
  <c r="BV50" i="2629"/>
  <c r="BU50" i="2629"/>
  <c r="BT50" i="2629"/>
  <c r="BS50" i="2629"/>
  <c r="BR50" i="2629"/>
  <c r="BQ50" i="2629"/>
  <c r="BP50" i="2629"/>
  <c r="BO50" i="2629"/>
  <c r="BM50" i="2629"/>
  <c r="BL50" i="2629"/>
  <c r="BK50" i="2629"/>
  <c r="BJ50" i="2629"/>
  <c r="BI50" i="2629"/>
  <c r="BH50" i="2629"/>
  <c r="BG50" i="2629"/>
  <c r="BF50" i="2629"/>
  <c r="BE50" i="2629"/>
  <c r="BD50" i="2629"/>
  <c r="BC50" i="2629"/>
  <c r="BB50" i="2629"/>
  <c r="AZ50" i="2629"/>
  <c r="AY50" i="2629"/>
  <c r="AX50" i="2629"/>
  <c r="AW50" i="2629"/>
  <c r="AV50" i="2629"/>
  <c r="AU50" i="2629"/>
  <c r="AT50" i="2629"/>
  <c r="AS50" i="2629"/>
  <c r="AR50" i="2629"/>
  <c r="AQ50" i="2629"/>
  <c r="AP50" i="2629"/>
  <c r="AO50" i="2629"/>
  <c r="AM50" i="2629"/>
  <c r="AL50" i="2629"/>
  <c r="AK50" i="2629"/>
  <c r="AJ50" i="2629"/>
  <c r="AI50" i="2629"/>
  <c r="AH50" i="2629"/>
  <c r="AG50" i="2629"/>
  <c r="AF50" i="2629"/>
  <c r="AE50" i="2629"/>
  <c r="AD50" i="2629"/>
  <c r="AC50" i="2629"/>
  <c r="AB50" i="2629"/>
  <c r="Z50" i="2629"/>
  <c r="Y50" i="2629"/>
  <c r="X50" i="2629"/>
  <c r="W50" i="2629"/>
  <c r="V50" i="2629"/>
  <c r="U50" i="2629"/>
  <c r="T50" i="2629"/>
  <c r="S50" i="2629"/>
  <c r="R50" i="2629"/>
  <c r="Q50" i="2629"/>
  <c r="P50" i="2629"/>
  <c r="O50" i="2629"/>
  <c r="M50" i="2629"/>
  <c r="L50" i="2629"/>
  <c r="K50" i="2629"/>
  <c r="J50" i="2629"/>
  <c r="I50" i="2629"/>
  <c r="H50" i="2629"/>
  <c r="G50" i="2629"/>
  <c r="F50" i="2629"/>
  <c r="E50" i="2629"/>
  <c r="D50" i="2629"/>
  <c r="C50" i="2629"/>
  <c r="B50" i="2629"/>
  <c r="DZ49" i="2629"/>
  <c r="DY49" i="2629"/>
  <c r="DX49" i="2629"/>
  <c r="DW49" i="2629"/>
  <c r="DV49" i="2629"/>
  <c r="DU49" i="2629"/>
  <c r="DT49" i="2629"/>
  <c r="DS49" i="2629"/>
  <c r="DR49" i="2629"/>
  <c r="DQ49" i="2629"/>
  <c r="DP49" i="2629"/>
  <c r="DO49" i="2629"/>
  <c r="DM49" i="2629"/>
  <c r="DL49" i="2629"/>
  <c r="DK49" i="2629"/>
  <c r="DJ49" i="2629"/>
  <c r="DI49" i="2629"/>
  <c r="DH49" i="2629"/>
  <c r="DG49" i="2629"/>
  <c r="DF49" i="2629"/>
  <c r="DE49" i="2629"/>
  <c r="DD49" i="2629"/>
  <c r="DC49" i="2629"/>
  <c r="DB49" i="2629"/>
  <c r="CZ49" i="2629"/>
  <c r="CY49" i="2629"/>
  <c r="CX49" i="2629"/>
  <c r="CW49" i="2629"/>
  <c r="CV49" i="2629"/>
  <c r="CU49" i="2629"/>
  <c r="CT49" i="2629"/>
  <c r="CS49" i="2629"/>
  <c r="CR49" i="2629"/>
  <c r="CQ49" i="2629"/>
  <c r="CP49" i="2629"/>
  <c r="CO49" i="2629"/>
  <c r="CM49" i="2629"/>
  <c r="CL49" i="2629"/>
  <c r="CK49" i="2629"/>
  <c r="CJ49" i="2629"/>
  <c r="CI49" i="2629"/>
  <c r="CH49" i="2629"/>
  <c r="CG49" i="2629"/>
  <c r="CF49" i="2629"/>
  <c r="CE49" i="2629"/>
  <c r="CD49" i="2629"/>
  <c r="CC49" i="2629"/>
  <c r="CB49" i="2629"/>
  <c r="BZ49" i="2629"/>
  <c r="BY49" i="2629"/>
  <c r="BX49" i="2629"/>
  <c r="BW49" i="2629"/>
  <c r="BV49" i="2629"/>
  <c r="BU49" i="2629"/>
  <c r="BT49" i="2629"/>
  <c r="BS49" i="2629"/>
  <c r="BR49" i="2629"/>
  <c r="BQ49" i="2629"/>
  <c r="BP49" i="2629"/>
  <c r="BO49" i="2629"/>
  <c r="BM49" i="2629"/>
  <c r="BL49" i="2629"/>
  <c r="BK49" i="2629"/>
  <c r="BJ49" i="2629"/>
  <c r="BI49" i="2629"/>
  <c r="BH49" i="2629"/>
  <c r="BG49" i="2629"/>
  <c r="BF49" i="2629"/>
  <c r="BE49" i="2629"/>
  <c r="BD49" i="2629"/>
  <c r="BC49" i="2629"/>
  <c r="BB49" i="2629"/>
  <c r="AZ49" i="2629"/>
  <c r="AY49" i="2629"/>
  <c r="AX49" i="2629"/>
  <c r="AW49" i="2629"/>
  <c r="AV49" i="2629"/>
  <c r="AU49" i="2629"/>
  <c r="AT49" i="2629"/>
  <c r="AS49" i="2629"/>
  <c r="AR49" i="2629"/>
  <c r="AQ49" i="2629"/>
  <c r="AP49" i="2629"/>
  <c r="AO49" i="2629"/>
  <c r="AM49" i="2629"/>
  <c r="AL49" i="2629"/>
  <c r="AK49" i="2629"/>
  <c r="AJ49" i="2629"/>
  <c r="AI49" i="2629"/>
  <c r="AH49" i="2629"/>
  <c r="AG49" i="2629"/>
  <c r="AF49" i="2629"/>
  <c r="AE49" i="2629"/>
  <c r="AD49" i="2629"/>
  <c r="AC49" i="2629"/>
  <c r="AB49" i="2629"/>
  <c r="Z49" i="2629"/>
  <c r="Y49" i="2629"/>
  <c r="X49" i="2629"/>
  <c r="W49" i="2629"/>
  <c r="V49" i="2629"/>
  <c r="U49" i="2629"/>
  <c r="T49" i="2629"/>
  <c r="S49" i="2629"/>
  <c r="R49" i="2629"/>
  <c r="Q49" i="2629"/>
  <c r="P49" i="2629"/>
  <c r="O49" i="2629"/>
  <c r="M49" i="2629"/>
  <c r="L49" i="2629"/>
  <c r="K49" i="2629"/>
  <c r="J49" i="2629"/>
  <c r="I49" i="2629"/>
  <c r="H49" i="2629"/>
  <c r="G49" i="2629"/>
  <c r="F49" i="2629"/>
  <c r="E49" i="2629"/>
  <c r="D49" i="2629"/>
  <c r="C49" i="2629"/>
  <c r="B49" i="2629"/>
  <c r="DZ47" i="2629"/>
  <c r="DY47" i="2629"/>
  <c r="DX47" i="2629"/>
  <c r="DW47" i="2629"/>
  <c r="DV47" i="2629"/>
  <c r="DU47" i="2629"/>
  <c r="DT47" i="2629"/>
  <c r="DS47" i="2629"/>
  <c r="DR47" i="2629"/>
  <c r="DQ47" i="2629"/>
  <c r="DP47" i="2629"/>
  <c r="DO47" i="2629"/>
  <c r="DM47" i="2629"/>
  <c r="DL47" i="2629"/>
  <c r="DK47" i="2629"/>
  <c r="DJ47" i="2629"/>
  <c r="DI47" i="2629"/>
  <c r="DH47" i="2629"/>
  <c r="DG47" i="2629"/>
  <c r="DF47" i="2629"/>
  <c r="DE47" i="2629"/>
  <c r="DD47" i="2629"/>
  <c r="DC47" i="2629"/>
  <c r="DB47" i="2629"/>
  <c r="CZ47" i="2629"/>
  <c r="CY47" i="2629"/>
  <c r="CX47" i="2629"/>
  <c r="CW47" i="2629"/>
  <c r="CV47" i="2629"/>
  <c r="CU47" i="2629"/>
  <c r="CT47" i="2629"/>
  <c r="CS47" i="2629"/>
  <c r="CR47" i="2629"/>
  <c r="CQ47" i="2629"/>
  <c r="CP47" i="2629"/>
  <c r="CO47" i="2629"/>
  <c r="CM47" i="2629"/>
  <c r="CL47" i="2629"/>
  <c r="CK47" i="2629"/>
  <c r="CJ47" i="2629"/>
  <c r="CI47" i="2629"/>
  <c r="CH47" i="2629"/>
  <c r="CG47" i="2629"/>
  <c r="CF47" i="2629"/>
  <c r="CE47" i="2629"/>
  <c r="CD47" i="2629"/>
  <c r="CC47" i="2629"/>
  <c r="CB47" i="2629"/>
  <c r="BZ47" i="2629"/>
  <c r="BY47" i="2629"/>
  <c r="BX47" i="2629"/>
  <c r="BW47" i="2629"/>
  <c r="BV47" i="2629"/>
  <c r="BU47" i="2629"/>
  <c r="BT47" i="2629"/>
  <c r="BS47" i="2629"/>
  <c r="BR47" i="2629"/>
  <c r="BQ47" i="2629"/>
  <c r="BP47" i="2629"/>
  <c r="BO47" i="2629"/>
  <c r="BM47" i="2629"/>
  <c r="BL47" i="2629"/>
  <c r="BK47" i="2629"/>
  <c r="BJ47" i="2629"/>
  <c r="BI47" i="2629"/>
  <c r="BH47" i="2629"/>
  <c r="BG47" i="2629"/>
  <c r="BF47" i="2629"/>
  <c r="BE47" i="2629"/>
  <c r="BD47" i="2629"/>
  <c r="BC47" i="2629"/>
  <c r="BB47" i="2629"/>
  <c r="AZ47" i="2629"/>
  <c r="AY47" i="2629"/>
  <c r="AX47" i="2629"/>
  <c r="AW47" i="2629"/>
  <c r="AV47" i="2629"/>
  <c r="AU47" i="2629"/>
  <c r="AT47" i="2629"/>
  <c r="AS47" i="2629"/>
  <c r="AR47" i="2629"/>
  <c r="AQ47" i="2629"/>
  <c r="AP47" i="2629"/>
  <c r="AO47" i="2629"/>
  <c r="AM47" i="2629"/>
  <c r="AL47" i="2629"/>
  <c r="AK47" i="2629"/>
  <c r="AJ47" i="2629"/>
  <c r="AI47" i="2629"/>
  <c r="AH47" i="2629"/>
  <c r="AG47" i="2629"/>
  <c r="AF47" i="2629"/>
  <c r="AE47" i="2629"/>
  <c r="AD47" i="2629"/>
  <c r="AC47" i="2629"/>
  <c r="AB47" i="2629"/>
  <c r="Z47" i="2629"/>
  <c r="Y47" i="2629"/>
  <c r="X47" i="2629"/>
  <c r="W47" i="2629"/>
  <c r="V47" i="2629"/>
  <c r="U47" i="2629"/>
  <c r="T47" i="2629"/>
  <c r="S47" i="2629"/>
  <c r="R47" i="2629"/>
  <c r="Q47" i="2629"/>
  <c r="P47" i="2629"/>
  <c r="O47" i="2629"/>
  <c r="M47" i="2629"/>
  <c r="L47" i="2629"/>
  <c r="K47" i="2629"/>
  <c r="J47" i="2629"/>
  <c r="I47" i="2629"/>
  <c r="H47" i="2629"/>
  <c r="G47" i="2629"/>
  <c r="F47" i="2629"/>
  <c r="E47" i="2629"/>
  <c r="D47" i="2629"/>
  <c r="C47" i="2629"/>
  <c r="B47" i="2629"/>
  <c r="DZ46" i="2629"/>
  <c r="DY46" i="2629"/>
  <c r="DX46" i="2629"/>
  <c r="DW46" i="2629"/>
  <c r="DV46" i="2629"/>
  <c r="DU46" i="2629"/>
  <c r="DT46" i="2629"/>
  <c r="DS46" i="2629"/>
  <c r="DR46" i="2629"/>
  <c r="DQ46" i="2629"/>
  <c r="DP46" i="2629"/>
  <c r="DO46" i="2629"/>
  <c r="DM46" i="2629"/>
  <c r="DL46" i="2629"/>
  <c r="DK46" i="2629"/>
  <c r="DJ46" i="2629"/>
  <c r="DI46" i="2629"/>
  <c r="DH46" i="2629"/>
  <c r="DG46" i="2629"/>
  <c r="DF46" i="2629"/>
  <c r="DE46" i="2629"/>
  <c r="DD46" i="2629"/>
  <c r="DC46" i="2629"/>
  <c r="DB46" i="2629"/>
  <c r="CZ46" i="2629"/>
  <c r="CY46" i="2629"/>
  <c r="CX46" i="2629"/>
  <c r="CW46" i="2629"/>
  <c r="CV46" i="2629"/>
  <c r="CU46" i="2629"/>
  <c r="CT46" i="2629"/>
  <c r="CS46" i="2629"/>
  <c r="CR46" i="2629"/>
  <c r="CQ46" i="2629"/>
  <c r="CP46" i="2629"/>
  <c r="CO46" i="2629"/>
  <c r="CM46" i="2629"/>
  <c r="CL46" i="2629"/>
  <c r="CK46" i="2629"/>
  <c r="CJ46" i="2629"/>
  <c r="CI46" i="2629"/>
  <c r="CH46" i="2629"/>
  <c r="CG46" i="2629"/>
  <c r="CF46" i="2629"/>
  <c r="CE46" i="2629"/>
  <c r="CD46" i="2629"/>
  <c r="CC46" i="2629"/>
  <c r="CB46" i="2629"/>
  <c r="BZ46" i="2629"/>
  <c r="BY46" i="2629"/>
  <c r="BX46" i="2629"/>
  <c r="BW46" i="2629"/>
  <c r="BV46" i="2629"/>
  <c r="BU46" i="2629"/>
  <c r="BT46" i="2629"/>
  <c r="BS46" i="2629"/>
  <c r="BR46" i="2629"/>
  <c r="BQ46" i="2629"/>
  <c r="BP46" i="2629"/>
  <c r="BO46" i="2629"/>
  <c r="BM46" i="2629"/>
  <c r="BL46" i="2629"/>
  <c r="BK46" i="2629"/>
  <c r="BJ46" i="2629"/>
  <c r="BI46" i="2629"/>
  <c r="BH46" i="2629"/>
  <c r="BG46" i="2629"/>
  <c r="BF46" i="2629"/>
  <c r="BE46" i="2629"/>
  <c r="BD46" i="2629"/>
  <c r="BC46" i="2629"/>
  <c r="BB46" i="2629"/>
  <c r="AZ46" i="2629"/>
  <c r="AY46" i="2629"/>
  <c r="AX46" i="2629"/>
  <c r="AW46" i="2629"/>
  <c r="AV46" i="2629"/>
  <c r="AU46" i="2629"/>
  <c r="AT46" i="2629"/>
  <c r="AS46" i="2629"/>
  <c r="AR46" i="2629"/>
  <c r="AQ46" i="2629"/>
  <c r="AP46" i="2629"/>
  <c r="AO46" i="2629"/>
  <c r="AM46" i="2629"/>
  <c r="AL46" i="2629"/>
  <c r="AK46" i="2629"/>
  <c r="AJ46" i="2629"/>
  <c r="AI46" i="2629"/>
  <c r="AH46" i="2629"/>
  <c r="AG46" i="2629"/>
  <c r="AF46" i="2629"/>
  <c r="AE46" i="2629"/>
  <c r="AD46" i="2629"/>
  <c r="AC46" i="2629"/>
  <c r="AB46" i="2629"/>
  <c r="Z46" i="2629"/>
  <c r="Y46" i="2629"/>
  <c r="X46" i="2629"/>
  <c r="W46" i="2629"/>
  <c r="V46" i="2629"/>
  <c r="U46" i="2629"/>
  <c r="T46" i="2629"/>
  <c r="S46" i="2629"/>
  <c r="R46" i="2629"/>
  <c r="Q46" i="2629"/>
  <c r="P46" i="2629"/>
  <c r="O46" i="2629"/>
  <c r="M46" i="2629"/>
  <c r="L46" i="2629"/>
  <c r="K46" i="2629"/>
  <c r="J46" i="2629"/>
  <c r="I46" i="2629"/>
  <c r="H46" i="2629"/>
  <c r="G46" i="2629"/>
  <c r="F46" i="2629"/>
  <c r="E46" i="2629"/>
  <c r="D46" i="2629"/>
  <c r="C46" i="2629"/>
  <c r="B46" i="2629"/>
  <c r="DZ45" i="2629"/>
  <c r="DY45" i="2629"/>
  <c r="DX45" i="2629"/>
  <c r="DW45" i="2629"/>
  <c r="DV45" i="2629"/>
  <c r="DU45" i="2629"/>
  <c r="DT45" i="2629"/>
  <c r="DS45" i="2629"/>
  <c r="DR45" i="2629"/>
  <c r="DQ45" i="2629"/>
  <c r="DP45" i="2629"/>
  <c r="DO45" i="2629"/>
  <c r="DM45" i="2629"/>
  <c r="DL45" i="2629"/>
  <c r="DK45" i="2629"/>
  <c r="DJ45" i="2629"/>
  <c r="DI45" i="2629"/>
  <c r="DH45" i="2629"/>
  <c r="DG45" i="2629"/>
  <c r="DF45" i="2629"/>
  <c r="DE45" i="2629"/>
  <c r="DD45" i="2629"/>
  <c r="DC45" i="2629"/>
  <c r="DB45" i="2629"/>
  <c r="CZ45" i="2629"/>
  <c r="CY45" i="2629"/>
  <c r="CX45" i="2629"/>
  <c r="CW45" i="2629"/>
  <c r="CV45" i="2629"/>
  <c r="CU45" i="2629"/>
  <c r="CT45" i="2629"/>
  <c r="CS45" i="2629"/>
  <c r="CR45" i="2629"/>
  <c r="CQ45" i="2629"/>
  <c r="CP45" i="2629"/>
  <c r="CO45" i="2629"/>
  <c r="CM45" i="2629"/>
  <c r="CL45" i="2629"/>
  <c r="CK45" i="2629"/>
  <c r="CJ45" i="2629"/>
  <c r="CI45" i="2629"/>
  <c r="CH45" i="2629"/>
  <c r="CG45" i="2629"/>
  <c r="CF45" i="2629"/>
  <c r="CE45" i="2629"/>
  <c r="CD45" i="2629"/>
  <c r="CC45" i="2629"/>
  <c r="CB45" i="2629"/>
  <c r="BZ45" i="2629"/>
  <c r="BY45" i="2629"/>
  <c r="BX45" i="2629"/>
  <c r="BW45" i="2629"/>
  <c r="BV45" i="2629"/>
  <c r="BU45" i="2629"/>
  <c r="BT45" i="2629"/>
  <c r="BS45" i="2629"/>
  <c r="BR45" i="2629"/>
  <c r="BQ45" i="2629"/>
  <c r="BP45" i="2629"/>
  <c r="BO45" i="2629"/>
  <c r="BM45" i="2629"/>
  <c r="BL45" i="2629"/>
  <c r="BK45" i="2629"/>
  <c r="BJ45" i="2629"/>
  <c r="BI45" i="2629"/>
  <c r="BH45" i="2629"/>
  <c r="BG45" i="2629"/>
  <c r="BF45" i="2629"/>
  <c r="BE45" i="2629"/>
  <c r="BD45" i="2629"/>
  <c r="BC45" i="2629"/>
  <c r="BB45" i="2629"/>
  <c r="AZ45" i="2629"/>
  <c r="AY45" i="2629"/>
  <c r="AX45" i="2629"/>
  <c r="AW45" i="2629"/>
  <c r="AV45" i="2629"/>
  <c r="AU45" i="2629"/>
  <c r="AT45" i="2629"/>
  <c r="AS45" i="2629"/>
  <c r="AR45" i="2629"/>
  <c r="AQ45" i="2629"/>
  <c r="AP45" i="2629"/>
  <c r="AO45" i="2629"/>
  <c r="AM45" i="2629"/>
  <c r="AL45" i="2629"/>
  <c r="AK45" i="2629"/>
  <c r="AJ45" i="2629"/>
  <c r="AI45" i="2629"/>
  <c r="AH45" i="2629"/>
  <c r="AG45" i="2629"/>
  <c r="AF45" i="2629"/>
  <c r="AE45" i="2629"/>
  <c r="AD45" i="2629"/>
  <c r="AC45" i="2629"/>
  <c r="AB45" i="2629"/>
  <c r="Z45" i="2629"/>
  <c r="Y45" i="2629"/>
  <c r="X45" i="2629"/>
  <c r="W45" i="2629"/>
  <c r="V45" i="2629"/>
  <c r="U45" i="2629"/>
  <c r="T45" i="2629"/>
  <c r="S45" i="2629"/>
  <c r="R45" i="2629"/>
  <c r="Q45" i="2629"/>
  <c r="P45" i="2629"/>
  <c r="O45" i="2629"/>
  <c r="M45" i="2629"/>
  <c r="L45" i="2629"/>
  <c r="K45" i="2629"/>
  <c r="J45" i="2629"/>
  <c r="I45" i="2629"/>
  <c r="H45" i="2629"/>
  <c r="G45" i="2629"/>
  <c r="F45" i="2629"/>
  <c r="E45" i="2629"/>
  <c r="D45" i="2629"/>
  <c r="C45" i="2629"/>
  <c r="B45" i="2629"/>
  <c r="DZ44" i="2629"/>
  <c r="DY44" i="2629"/>
  <c r="DX44" i="2629"/>
  <c r="DW44" i="2629"/>
  <c r="DV44" i="2629"/>
  <c r="DU44" i="2629"/>
  <c r="DT44" i="2629"/>
  <c r="DS44" i="2629"/>
  <c r="DR44" i="2629"/>
  <c r="DQ44" i="2629"/>
  <c r="DP44" i="2629"/>
  <c r="DO44" i="2629"/>
  <c r="DM44" i="2629"/>
  <c r="DL44" i="2629"/>
  <c r="DK44" i="2629"/>
  <c r="DJ44" i="2629"/>
  <c r="DI44" i="2629"/>
  <c r="DH44" i="2629"/>
  <c r="DG44" i="2629"/>
  <c r="DF44" i="2629"/>
  <c r="DE44" i="2629"/>
  <c r="DD44" i="2629"/>
  <c r="DC44" i="2629"/>
  <c r="DB44" i="2629"/>
  <c r="CZ44" i="2629"/>
  <c r="CY44" i="2629"/>
  <c r="CX44" i="2629"/>
  <c r="CW44" i="2629"/>
  <c r="CV44" i="2629"/>
  <c r="CU44" i="2629"/>
  <c r="CT44" i="2629"/>
  <c r="CS44" i="2629"/>
  <c r="CR44" i="2629"/>
  <c r="CQ44" i="2629"/>
  <c r="CP44" i="2629"/>
  <c r="CO44" i="2629"/>
  <c r="CM44" i="2629"/>
  <c r="CL44" i="2629"/>
  <c r="CK44" i="2629"/>
  <c r="CJ44" i="2629"/>
  <c r="CI44" i="2629"/>
  <c r="CH44" i="2629"/>
  <c r="CG44" i="2629"/>
  <c r="CF44" i="2629"/>
  <c r="CE44" i="2629"/>
  <c r="CD44" i="2629"/>
  <c r="CC44" i="2629"/>
  <c r="CB44" i="2629"/>
  <c r="BZ44" i="2629"/>
  <c r="BY44" i="2629"/>
  <c r="BX44" i="2629"/>
  <c r="BW44" i="2629"/>
  <c r="BV44" i="2629"/>
  <c r="BU44" i="2629"/>
  <c r="BT44" i="2629"/>
  <c r="BS44" i="2629"/>
  <c r="BR44" i="2629"/>
  <c r="BQ44" i="2629"/>
  <c r="BP44" i="2629"/>
  <c r="BO44" i="2629"/>
  <c r="BM44" i="2629"/>
  <c r="BL44" i="2629"/>
  <c r="BK44" i="2629"/>
  <c r="BJ44" i="2629"/>
  <c r="BI44" i="2629"/>
  <c r="BH44" i="2629"/>
  <c r="BG44" i="2629"/>
  <c r="BF44" i="2629"/>
  <c r="BE44" i="2629"/>
  <c r="BD44" i="2629"/>
  <c r="BC44" i="2629"/>
  <c r="BB44" i="2629"/>
  <c r="AZ44" i="2629"/>
  <c r="AY44" i="2629"/>
  <c r="AX44" i="2629"/>
  <c r="AW44" i="2629"/>
  <c r="AV44" i="2629"/>
  <c r="AU44" i="2629"/>
  <c r="AT44" i="2629"/>
  <c r="AS44" i="2629"/>
  <c r="AR44" i="2629"/>
  <c r="AQ44" i="2629"/>
  <c r="AP44" i="2629"/>
  <c r="AO44" i="2629"/>
  <c r="AM44" i="2629"/>
  <c r="AL44" i="2629"/>
  <c r="AK44" i="2629"/>
  <c r="AJ44" i="2629"/>
  <c r="AI44" i="2629"/>
  <c r="AH44" i="2629"/>
  <c r="AG44" i="2629"/>
  <c r="AF44" i="2629"/>
  <c r="AE44" i="2629"/>
  <c r="AD44" i="2629"/>
  <c r="AC44" i="2629"/>
  <c r="AB44" i="2629"/>
  <c r="Z44" i="2629"/>
  <c r="Y44" i="2629"/>
  <c r="X44" i="2629"/>
  <c r="W44" i="2629"/>
  <c r="V44" i="2629"/>
  <c r="U44" i="2629"/>
  <c r="T44" i="2629"/>
  <c r="S44" i="2629"/>
  <c r="R44" i="2629"/>
  <c r="Q44" i="2629"/>
  <c r="P44" i="2629"/>
  <c r="O44" i="2629"/>
  <c r="M44" i="2629"/>
  <c r="L44" i="2629"/>
  <c r="K44" i="2629"/>
  <c r="J44" i="2629"/>
  <c r="I44" i="2629"/>
  <c r="H44" i="2629"/>
  <c r="G44" i="2629"/>
  <c r="F44" i="2629"/>
  <c r="E44" i="2629"/>
  <c r="D44" i="2629"/>
  <c r="C44" i="2629"/>
  <c r="B44" i="2629"/>
  <c r="DZ43" i="2629"/>
  <c r="DY43" i="2629"/>
  <c r="DX43" i="2629"/>
  <c r="DW43" i="2629"/>
  <c r="DV43" i="2629"/>
  <c r="DU43" i="2629"/>
  <c r="DT43" i="2629"/>
  <c r="DS43" i="2629"/>
  <c r="DR43" i="2629"/>
  <c r="DQ43" i="2629"/>
  <c r="DP43" i="2629"/>
  <c r="DO43" i="2629"/>
  <c r="DM43" i="2629"/>
  <c r="DL43" i="2629"/>
  <c r="DK43" i="2629"/>
  <c r="DJ43" i="2629"/>
  <c r="DI43" i="2629"/>
  <c r="DH43" i="2629"/>
  <c r="DG43" i="2629"/>
  <c r="DF43" i="2629"/>
  <c r="DE43" i="2629"/>
  <c r="DD43" i="2629"/>
  <c r="DC43" i="2629"/>
  <c r="DB43" i="2629"/>
  <c r="CZ43" i="2629"/>
  <c r="CY43" i="2629"/>
  <c r="CX43" i="2629"/>
  <c r="CW43" i="2629"/>
  <c r="CV43" i="2629"/>
  <c r="CU43" i="2629"/>
  <c r="CT43" i="2629"/>
  <c r="CS43" i="2629"/>
  <c r="CR43" i="2629"/>
  <c r="CQ43" i="2629"/>
  <c r="CP43" i="2629"/>
  <c r="CO43" i="2629"/>
  <c r="CM43" i="2629"/>
  <c r="CL43" i="2629"/>
  <c r="CK43" i="2629"/>
  <c r="CJ43" i="2629"/>
  <c r="CI43" i="2629"/>
  <c r="CH43" i="2629"/>
  <c r="CG43" i="2629"/>
  <c r="CF43" i="2629"/>
  <c r="CE43" i="2629"/>
  <c r="CD43" i="2629"/>
  <c r="CC43" i="2629"/>
  <c r="CB43" i="2629"/>
  <c r="BZ43" i="2629"/>
  <c r="BY43" i="2629"/>
  <c r="BX43" i="2629"/>
  <c r="BW43" i="2629"/>
  <c r="BV43" i="2629"/>
  <c r="BU43" i="2629"/>
  <c r="BT43" i="2629"/>
  <c r="BS43" i="2629"/>
  <c r="BR43" i="2629"/>
  <c r="BQ43" i="2629"/>
  <c r="BP43" i="2629"/>
  <c r="BO43" i="2629"/>
  <c r="BM43" i="2629"/>
  <c r="BL43" i="2629"/>
  <c r="BK43" i="2629"/>
  <c r="BJ43" i="2629"/>
  <c r="BI43" i="2629"/>
  <c r="BH43" i="2629"/>
  <c r="BG43" i="2629"/>
  <c r="BF43" i="2629"/>
  <c r="BE43" i="2629"/>
  <c r="BD43" i="2629"/>
  <c r="BC43" i="2629"/>
  <c r="BB43" i="2629"/>
  <c r="AZ43" i="2629"/>
  <c r="AY43" i="2629"/>
  <c r="AX43" i="2629"/>
  <c r="AW43" i="2629"/>
  <c r="AV43" i="2629"/>
  <c r="AU43" i="2629"/>
  <c r="AT43" i="2629"/>
  <c r="AS43" i="2629"/>
  <c r="AR43" i="2629"/>
  <c r="AQ43" i="2629"/>
  <c r="AP43" i="2629"/>
  <c r="AO43" i="2629"/>
  <c r="AM43" i="2629"/>
  <c r="AL43" i="2629"/>
  <c r="AK43" i="2629"/>
  <c r="AJ43" i="2629"/>
  <c r="AI43" i="2629"/>
  <c r="AH43" i="2629"/>
  <c r="AG43" i="2629"/>
  <c r="AF43" i="2629"/>
  <c r="AE43" i="2629"/>
  <c r="AD43" i="2629"/>
  <c r="AC43" i="2629"/>
  <c r="AB43" i="2629"/>
  <c r="Z43" i="2629"/>
  <c r="Y43" i="2629"/>
  <c r="X43" i="2629"/>
  <c r="W43" i="2629"/>
  <c r="V43" i="2629"/>
  <c r="U43" i="2629"/>
  <c r="T43" i="2629"/>
  <c r="S43" i="2629"/>
  <c r="R43" i="2629"/>
  <c r="Q43" i="2629"/>
  <c r="P43" i="2629"/>
  <c r="O43" i="2629"/>
  <c r="M43" i="2629"/>
  <c r="L43" i="2629"/>
  <c r="K43" i="2629"/>
  <c r="J43" i="2629"/>
  <c r="I43" i="2629"/>
  <c r="H43" i="2629"/>
  <c r="G43" i="2629"/>
  <c r="F43" i="2629"/>
  <c r="E43" i="2629"/>
  <c r="D43" i="2629"/>
  <c r="C43" i="2629"/>
  <c r="B43" i="2629"/>
  <c r="DZ44" i="2628"/>
  <c r="DY44" i="2628"/>
  <c r="DX44" i="2628"/>
  <c r="DW44" i="2628"/>
  <c r="DV44" i="2628"/>
  <c r="DU44" i="2628"/>
  <c r="DT44" i="2628"/>
  <c r="DS44" i="2628"/>
  <c r="DR44" i="2628"/>
  <c r="DQ44" i="2628"/>
  <c r="DP44" i="2628"/>
  <c r="DO44" i="2628"/>
  <c r="DM44" i="2628"/>
  <c r="DL44" i="2628"/>
  <c r="DK44" i="2628"/>
  <c r="DJ44" i="2628"/>
  <c r="DI44" i="2628"/>
  <c r="DH44" i="2628"/>
  <c r="DG44" i="2628"/>
  <c r="DF44" i="2628"/>
  <c r="DE44" i="2628"/>
  <c r="DD44" i="2628"/>
  <c r="DC44" i="2628"/>
  <c r="DB44" i="2628"/>
  <c r="CZ44" i="2628"/>
  <c r="CY44" i="2628"/>
  <c r="CX44" i="2628"/>
  <c r="CW44" i="2628"/>
  <c r="CV44" i="2628"/>
  <c r="CU44" i="2628"/>
  <c r="CT44" i="2628"/>
  <c r="CS44" i="2628"/>
  <c r="CR44" i="2628"/>
  <c r="CQ44" i="2628"/>
  <c r="CP44" i="2628"/>
  <c r="CO44" i="2628"/>
  <c r="CM44" i="2628"/>
  <c r="CL44" i="2628"/>
  <c r="CK44" i="2628"/>
  <c r="CJ44" i="2628"/>
  <c r="CI44" i="2628"/>
  <c r="CH44" i="2628"/>
  <c r="CG44" i="2628"/>
  <c r="CF44" i="2628"/>
  <c r="CE44" i="2628"/>
  <c r="CD44" i="2628"/>
  <c r="CC44" i="2628"/>
  <c r="CB44" i="2628"/>
  <c r="BZ44" i="2628"/>
  <c r="BY44" i="2628"/>
  <c r="BX44" i="2628"/>
  <c r="BW44" i="2628"/>
  <c r="BV44" i="2628"/>
  <c r="BU44" i="2628"/>
  <c r="BT44" i="2628"/>
  <c r="BS44" i="2628"/>
  <c r="BR44" i="2628"/>
  <c r="BQ44" i="2628"/>
  <c r="BP44" i="2628"/>
  <c r="BO44" i="2628"/>
  <c r="BM44" i="2628"/>
  <c r="BL44" i="2628"/>
  <c r="BK44" i="2628"/>
  <c r="BJ44" i="2628"/>
  <c r="BI44" i="2628"/>
  <c r="BH44" i="2628"/>
  <c r="BG44" i="2628"/>
  <c r="BF44" i="2628"/>
  <c r="BE44" i="2628"/>
  <c r="BD44" i="2628"/>
  <c r="BC44" i="2628"/>
  <c r="BB44" i="2628"/>
  <c r="AZ44" i="2628"/>
  <c r="AY44" i="2628"/>
  <c r="AX44" i="2628"/>
  <c r="AW44" i="2628"/>
  <c r="AV44" i="2628"/>
  <c r="AU44" i="2628"/>
  <c r="AT44" i="2628"/>
  <c r="AS44" i="2628"/>
  <c r="AR44" i="2628"/>
  <c r="AQ44" i="2628"/>
  <c r="AP44" i="2628"/>
  <c r="AO44" i="2628"/>
  <c r="AM44" i="2628"/>
  <c r="AL44" i="2628"/>
  <c r="AK44" i="2628"/>
  <c r="AJ44" i="2628"/>
  <c r="AI44" i="2628"/>
  <c r="AH44" i="2628"/>
  <c r="AG44" i="2628"/>
  <c r="AF44" i="2628"/>
  <c r="AE44" i="2628"/>
  <c r="AD44" i="2628"/>
  <c r="AC44" i="2628"/>
  <c r="AB44" i="2628"/>
  <c r="Z44" i="2628"/>
  <c r="Y44" i="2628"/>
  <c r="X44" i="2628"/>
  <c r="W44" i="2628"/>
  <c r="V44" i="2628"/>
  <c r="U44" i="2628"/>
  <c r="T44" i="2628"/>
  <c r="S44" i="2628"/>
  <c r="R44" i="2628"/>
  <c r="Q44" i="2628"/>
  <c r="P44" i="2628"/>
  <c r="O44" i="2628"/>
  <c r="M44" i="2628"/>
  <c r="L44" i="2628"/>
  <c r="K44" i="2628"/>
  <c r="J44" i="2628"/>
  <c r="I44" i="2628"/>
  <c r="H44" i="2628"/>
  <c r="G44" i="2628"/>
  <c r="F44" i="2628"/>
  <c r="E44" i="2628"/>
  <c r="D44" i="2628"/>
  <c r="C44" i="2628"/>
  <c r="B44" i="2628"/>
  <c r="DZ42" i="2628"/>
  <c r="DY42" i="2628"/>
  <c r="DX42" i="2628"/>
  <c r="DW42" i="2628"/>
  <c r="DV42" i="2628"/>
  <c r="DU42" i="2628"/>
  <c r="DT42" i="2628"/>
  <c r="DS42" i="2628"/>
  <c r="DR42" i="2628"/>
  <c r="DQ42" i="2628"/>
  <c r="DP42" i="2628"/>
  <c r="DO42" i="2628"/>
  <c r="DM42" i="2628"/>
  <c r="DL42" i="2628"/>
  <c r="DK42" i="2628"/>
  <c r="DJ42" i="2628"/>
  <c r="DI42" i="2628"/>
  <c r="DH42" i="2628"/>
  <c r="DG42" i="2628"/>
  <c r="DF42" i="2628"/>
  <c r="DE42" i="2628"/>
  <c r="DD42" i="2628"/>
  <c r="DC42" i="2628"/>
  <c r="DB42" i="2628"/>
  <c r="CZ42" i="2628"/>
  <c r="CY42" i="2628"/>
  <c r="CX42" i="2628"/>
  <c r="CW42" i="2628"/>
  <c r="CV42" i="2628"/>
  <c r="CU42" i="2628"/>
  <c r="CT42" i="2628"/>
  <c r="CS42" i="2628"/>
  <c r="CR42" i="2628"/>
  <c r="CQ42" i="2628"/>
  <c r="CP42" i="2628"/>
  <c r="CO42" i="2628"/>
  <c r="CM42" i="2628"/>
  <c r="CL42" i="2628"/>
  <c r="CK42" i="2628"/>
  <c r="CJ42" i="2628"/>
  <c r="CI42" i="2628"/>
  <c r="CH42" i="2628"/>
  <c r="CG42" i="2628"/>
  <c r="CF42" i="2628"/>
  <c r="CE42" i="2628"/>
  <c r="CD42" i="2628"/>
  <c r="CC42" i="2628"/>
  <c r="CB42" i="2628"/>
  <c r="BZ42" i="2628"/>
  <c r="BY42" i="2628"/>
  <c r="BX42" i="2628"/>
  <c r="BW42" i="2628"/>
  <c r="BV42" i="2628"/>
  <c r="BU42" i="2628"/>
  <c r="BT42" i="2628"/>
  <c r="BS42" i="2628"/>
  <c r="BR42" i="2628"/>
  <c r="BQ42" i="2628"/>
  <c r="BP42" i="2628"/>
  <c r="BO42" i="2628"/>
  <c r="BM42" i="2628"/>
  <c r="BL42" i="2628"/>
  <c r="BK42" i="2628"/>
  <c r="BJ42" i="2628"/>
  <c r="BI42" i="2628"/>
  <c r="BH42" i="2628"/>
  <c r="BG42" i="2628"/>
  <c r="BF42" i="2628"/>
  <c r="BE42" i="2628"/>
  <c r="BD42" i="2628"/>
  <c r="BC42" i="2628"/>
  <c r="BB42" i="2628"/>
  <c r="AZ42" i="2628"/>
  <c r="AY42" i="2628"/>
  <c r="AX42" i="2628"/>
  <c r="AW42" i="2628"/>
  <c r="AV42" i="2628"/>
  <c r="AU42" i="2628"/>
  <c r="AT42" i="2628"/>
  <c r="AS42" i="2628"/>
  <c r="AR42" i="2628"/>
  <c r="AQ42" i="2628"/>
  <c r="AP42" i="2628"/>
  <c r="AO42" i="2628"/>
  <c r="AM42" i="2628"/>
  <c r="AL42" i="2628"/>
  <c r="AK42" i="2628"/>
  <c r="AJ42" i="2628"/>
  <c r="AI42" i="2628"/>
  <c r="AH42" i="2628"/>
  <c r="AG42" i="2628"/>
  <c r="AF42" i="2628"/>
  <c r="AE42" i="2628"/>
  <c r="AD42" i="2628"/>
  <c r="AC42" i="2628"/>
  <c r="AB42" i="2628"/>
  <c r="Z42" i="2628"/>
  <c r="Y42" i="2628"/>
  <c r="X42" i="2628"/>
  <c r="W42" i="2628"/>
  <c r="V42" i="2628"/>
  <c r="U42" i="2628"/>
  <c r="T42" i="2628"/>
  <c r="S42" i="2628"/>
  <c r="R42" i="2628"/>
  <c r="Q42" i="2628"/>
  <c r="P42" i="2628"/>
  <c r="O42" i="2628"/>
  <c r="M42" i="2628"/>
  <c r="L42" i="2628"/>
  <c r="K42" i="2628"/>
  <c r="J42" i="2628"/>
  <c r="I42" i="2628"/>
  <c r="H42" i="2628"/>
  <c r="G42" i="2628"/>
  <c r="F42" i="2628"/>
  <c r="E42" i="2628"/>
  <c r="D42" i="2628"/>
  <c r="C42" i="2628"/>
  <c r="B42" i="2628"/>
  <c r="DZ41" i="2628"/>
  <c r="DY41" i="2628"/>
  <c r="DX41" i="2628"/>
  <c r="DW41" i="2628"/>
  <c r="DV41" i="2628"/>
  <c r="DU41" i="2628"/>
  <c r="DT41" i="2628"/>
  <c r="DS41" i="2628"/>
  <c r="DR41" i="2628"/>
  <c r="DQ41" i="2628"/>
  <c r="DP41" i="2628"/>
  <c r="DO41" i="2628"/>
  <c r="DM41" i="2628"/>
  <c r="DL41" i="2628"/>
  <c r="DK41" i="2628"/>
  <c r="DJ41" i="2628"/>
  <c r="DI41" i="2628"/>
  <c r="DH41" i="2628"/>
  <c r="DG41" i="2628"/>
  <c r="DF41" i="2628"/>
  <c r="DE41" i="2628"/>
  <c r="DD41" i="2628"/>
  <c r="DC41" i="2628"/>
  <c r="DB41" i="2628"/>
  <c r="CZ41" i="2628"/>
  <c r="CY41" i="2628"/>
  <c r="CX41" i="2628"/>
  <c r="CW41" i="2628"/>
  <c r="CV41" i="2628"/>
  <c r="CU41" i="2628"/>
  <c r="CT41" i="2628"/>
  <c r="CS41" i="2628"/>
  <c r="CR41" i="2628"/>
  <c r="CQ41" i="2628"/>
  <c r="CP41" i="2628"/>
  <c r="CO41" i="2628"/>
  <c r="CM41" i="2628"/>
  <c r="CL41" i="2628"/>
  <c r="CK41" i="2628"/>
  <c r="CJ41" i="2628"/>
  <c r="CI41" i="2628"/>
  <c r="CH41" i="2628"/>
  <c r="CG41" i="2628"/>
  <c r="CF41" i="2628"/>
  <c r="CE41" i="2628"/>
  <c r="CD41" i="2628"/>
  <c r="CC41" i="2628"/>
  <c r="CB41" i="2628"/>
  <c r="BZ41" i="2628"/>
  <c r="BY41" i="2628"/>
  <c r="BX41" i="2628"/>
  <c r="BW41" i="2628"/>
  <c r="BV41" i="2628"/>
  <c r="BU41" i="2628"/>
  <c r="BT41" i="2628"/>
  <c r="BS41" i="2628"/>
  <c r="BR41" i="2628"/>
  <c r="BQ41" i="2628"/>
  <c r="BP41" i="2628"/>
  <c r="BO41" i="2628"/>
  <c r="BM41" i="2628"/>
  <c r="BL41" i="2628"/>
  <c r="BK41" i="2628"/>
  <c r="BJ41" i="2628"/>
  <c r="BI41" i="2628"/>
  <c r="BH41" i="2628"/>
  <c r="BG41" i="2628"/>
  <c r="BF41" i="2628"/>
  <c r="BE41" i="2628"/>
  <c r="BD41" i="2628"/>
  <c r="BC41" i="2628"/>
  <c r="BB41" i="2628"/>
  <c r="AZ41" i="2628"/>
  <c r="AY41" i="2628"/>
  <c r="AX41" i="2628"/>
  <c r="AW41" i="2628"/>
  <c r="AV41" i="2628"/>
  <c r="AU41" i="2628"/>
  <c r="AT41" i="2628"/>
  <c r="AS41" i="2628"/>
  <c r="AR41" i="2628"/>
  <c r="AQ41" i="2628"/>
  <c r="AP41" i="2628"/>
  <c r="AO41" i="2628"/>
  <c r="AM41" i="2628"/>
  <c r="AL41" i="2628"/>
  <c r="AK41" i="2628"/>
  <c r="AJ41" i="2628"/>
  <c r="AI41" i="2628"/>
  <c r="AH41" i="2628"/>
  <c r="AG41" i="2628"/>
  <c r="AF41" i="2628"/>
  <c r="AE41" i="2628"/>
  <c r="AD41" i="2628"/>
  <c r="AC41" i="2628"/>
  <c r="AB41" i="2628"/>
  <c r="Z41" i="2628"/>
  <c r="Y41" i="2628"/>
  <c r="X41" i="2628"/>
  <c r="W41" i="2628"/>
  <c r="V41" i="2628"/>
  <c r="U41" i="2628"/>
  <c r="T41" i="2628"/>
  <c r="S41" i="2628"/>
  <c r="R41" i="2628"/>
  <c r="Q41" i="2628"/>
  <c r="P41" i="2628"/>
  <c r="O41" i="2628"/>
  <c r="M41" i="2628"/>
  <c r="L41" i="2628"/>
  <c r="K41" i="2628"/>
  <c r="J41" i="2628"/>
  <c r="I41" i="2628"/>
  <c r="H41" i="2628"/>
  <c r="G41" i="2628"/>
  <c r="F41" i="2628"/>
  <c r="E41" i="2628"/>
  <c r="D41" i="2628"/>
  <c r="C41" i="2628"/>
  <c r="B41" i="2628"/>
  <c r="DZ40" i="2628"/>
  <c r="DY40" i="2628"/>
  <c r="DX40" i="2628"/>
  <c r="DW40" i="2628"/>
  <c r="DV40" i="2628"/>
  <c r="DU40" i="2628"/>
  <c r="DT40" i="2628"/>
  <c r="DS40" i="2628"/>
  <c r="DR40" i="2628"/>
  <c r="DQ40" i="2628"/>
  <c r="DP40" i="2628"/>
  <c r="DO40" i="2628"/>
  <c r="DM40" i="2628"/>
  <c r="DL40" i="2628"/>
  <c r="DK40" i="2628"/>
  <c r="DJ40" i="2628"/>
  <c r="DI40" i="2628"/>
  <c r="DH40" i="2628"/>
  <c r="DG40" i="2628"/>
  <c r="DF40" i="2628"/>
  <c r="DE40" i="2628"/>
  <c r="DD40" i="2628"/>
  <c r="DC40" i="2628"/>
  <c r="DB40" i="2628"/>
  <c r="CZ40" i="2628"/>
  <c r="CY40" i="2628"/>
  <c r="CX40" i="2628"/>
  <c r="CW40" i="2628"/>
  <c r="CV40" i="2628"/>
  <c r="CU40" i="2628"/>
  <c r="CT40" i="2628"/>
  <c r="CS40" i="2628"/>
  <c r="CR40" i="2628"/>
  <c r="CQ40" i="2628"/>
  <c r="CP40" i="2628"/>
  <c r="CO40" i="2628"/>
  <c r="CM40" i="2628"/>
  <c r="CL40" i="2628"/>
  <c r="CK40" i="2628"/>
  <c r="CJ40" i="2628"/>
  <c r="CI40" i="2628"/>
  <c r="CH40" i="2628"/>
  <c r="CG40" i="2628"/>
  <c r="CF40" i="2628"/>
  <c r="CE40" i="2628"/>
  <c r="CD40" i="2628"/>
  <c r="CC40" i="2628"/>
  <c r="CB40" i="2628"/>
  <c r="BZ40" i="2628"/>
  <c r="BY40" i="2628"/>
  <c r="BX40" i="2628"/>
  <c r="BW40" i="2628"/>
  <c r="BV40" i="2628"/>
  <c r="BU40" i="2628"/>
  <c r="BT40" i="2628"/>
  <c r="BS40" i="2628"/>
  <c r="BR40" i="2628"/>
  <c r="BQ40" i="2628"/>
  <c r="BP40" i="2628"/>
  <c r="BO40" i="2628"/>
  <c r="BM40" i="2628"/>
  <c r="BL40" i="2628"/>
  <c r="BK40" i="2628"/>
  <c r="BJ40" i="2628"/>
  <c r="BI40" i="2628"/>
  <c r="BH40" i="2628"/>
  <c r="BG40" i="2628"/>
  <c r="BF40" i="2628"/>
  <c r="BE40" i="2628"/>
  <c r="BD40" i="2628"/>
  <c r="BC40" i="2628"/>
  <c r="BB40" i="2628"/>
  <c r="AZ40" i="2628"/>
  <c r="AY40" i="2628"/>
  <c r="AX40" i="2628"/>
  <c r="AW40" i="2628"/>
  <c r="AV40" i="2628"/>
  <c r="AU40" i="2628"/>
  <c r="AT40" i="2628"/>
  <c r="AS40" i="2628"/>
  <c r="AR40" i="2628"/>
  <c r="AQ40" i="2628"/>
  <c r="AP40" i="2628"/>
  <c r="AO40" i="2628"/>
  <c r="AM40" i="2628"/>
  <c r="AL40" i="2628"/>
  <c r="AK40" i="2628"/>
  <c r="AJ40" i="2628"/>
  <c r="AI40" i="2628"/>
  <c r="AH40" i="2628"/>
  <c r="AG40" i="2628"/>
  <c r="AF40" i="2628"/>
  <c r="AE40" i="2628"/>
  <c r="AD40" i="2628"/>
  <c r="AC40" i="2628"/>
  <c r="AB40" i="2628"/>
  <c r="Z40" i="2628"/>
  <c r="Y40" i="2628"/>
  <c r="X40" i="2628"/>
  <c r="W40" i="2628"/>
  <c r="V40" i="2628"/>
  <c r="U40" i="2628"/>
  <c r="T40" i="2628"/>
  <c r="S40" i="2628"/>
  <c r="R40" i="2628"/>
  <c r="Q40" i="2628"/>
  <c r="P40" i="2628"/>
  <c r="O40" i="2628"/>
  <c r="M40" i="2628"/>
  <c r="L40" i="2628"/>
  <c r="K40" i="2628"/>
  <c r="J40" i="2628"/>
  <c r="I40" i="2628"/>
  <c r="H40" i="2628"/>
  <c r="G40" i="2628"/>
  <c r="F40" i="2628"/>
  <c r="E40" i="2628"/>
  <c r="D40" i="2628"/>
  <c r="C40" i="2628"/>
  <c r="B40" i="2628"/>
  <c r="DZ39" i="2628"/>
  <c r="DY39" i="2628"/>
  <c r="DX39" i="2628"/>
  <c r="DW39" i="2628"/>
  <c r="DV39" i="2628"/>
  <c r="DU39" i="2628"/>
  <c r="DT39" i="2628"/>
  <c r="DS39" i="2628"/>
  <c r="DR39" i="2628"/>
  <c r="DQ39" i="2628"/>
  <c r="DP39" i="2628"/>
  <c r="DO39" i="2628"/>
  <c r="DM39" i="2628"/>
  <c r="DL39" i="2628"/>
  <c r="DK39" i="2628"/>
  <c r="DJ39" i="2628"/>
  <c r="DI39" i="2628"/>
  <c r="DH39" i="2628"/>
  <c r="DG39" i="2628"/>
  <c r="DF39" i="2628"/>
  <c r="DE39" i="2628"/>
  <c r="DD39" i="2628"/>
  <c r="DC39" i="2628"/>
  <c r="DB39" i="2628"/>
  <c r="CZ39" i="2628"/>
  <c r="CY39" i="2628"/>
  <c r="CX39" i="2628"/>
  <c r="CW39" i="2628"/>
  <c r="CV39" i="2628"/>
  <c r="CU39" i="2628"/>
  <c r="CT39" i="2628"/>
  <c r="CS39" i="2628"/>
  <c r="CR39" i="2628"/>
  <c r="CQ39" i="2628"/>
  <c r="CP39" i="2628"/>
  <c r="CO39" i="2628"/>
  <c r="CM39" i="2628"/>
  <c r="CL39" i="2628"/>
  <c r="CK39" i="2628"/>
  <c r="CJ39" i="2628"/>
  <c r="CI39" i="2628"/>
  <c r="CH39" i="2628"/>
  <c r="CG39" i="2628"/>
  <c r="CF39" i="2628"/>
  <c r="CE39" i="2628"/>
  <c r="CD39" i="2628"/>
  <c r="CC39" i="2628"/>
  <c r="CB39" i="2628"/>
  <c r="BZ39" i="2628"/>
  <c r="BY39" i="2628"/>
  <c r="BX39" i="2628"/>
  <c r="BW39" i="2628"/>
  <c r="BV39" i="2628"/>
  <c r="BU39" i="2628"/>
  <c r="BT39" i="2628"/>
  <c r="BS39" i="2628"/>
  <c r="BR39" i="2628"/>
  <c r="BQ39" i="2628"/>
  <c r="BP39" i="2628"/>
  <c r="BO39" i="2628"/>
  <c r="BM39" i="2628"/>
  <c r="BL39" i="2628"/>
  <c r="BK39" i="2628"/>
  <c r="BJ39" i="2628"/>
  <c r="BI39" i="2628"/>
  <c r="BH39" i="2628"/>
  <c r="BG39" i="2628"/>
  <c r="BF39" i="2628"/>
  <c r="BE39" i="2628"/>
  <c r="BD39" i="2628"/>
  <c r="BC39" i="2628"/>
  <c r="BB39" i="2628"/>
  <c r="AZ39" i="2628"/>
  <c r="AY39" i="2628"/>
  <c r="AX39" i="2628"/>
  <c r="AW39" i="2628"/>
  <c r="AV39" i="2628"/>
  <c r="AU39" i="2628"/>
  <c r="AT39" i="2628"/>
  <c r="AS39" i="2628"/>
  <c r="AR39" i="2628"/>
  <c r="AQ39" i="2628"/>
  <c r="AP39" i="2628"/>
  <c r="AO39" i="2628"/>
  <c r="AM39" i="2628"/>
  <c r="AL39" i="2628"/>
  <c r="AK39" i="2628"/>
  <c r="AJ39" i="2628"/>
  <c r="AI39" i="2628"/>
  <c r="AH39" i="2628"/>
  <c r="AG39" i="2628"/>
  <c r="AF39" i="2628"/>
  <c r="AE39" i="2628"/>
  <c r="AD39" i="2628"/>
  <c r="AC39" i="2628"/>
  <c r="AB39" i="2628"/>
  <c r="Z39" i="2628"/>
  <c r="Y39" i="2628"/>
  <c r="X39" i="2628"/>
  <c r="W39" i="2628"/>
  <c r="V39" i="2628"/>
  <c r="U39" i="2628"/>
  <c r="T39" i="2628"/>
  <c r="S39" i="2628"/>
  <c r="R39" i="2628"/>
  <c r="Q39" i="2628"/>
  <c r="P39" i="2628"/>
  <c r="O39" i="2628"/>
  <c r="M39" i="2628"/>
  <c r="L39" i="2628"/>
  <c r="K39" i="2628"/>
  <c r="J39" i="2628"/>
  <c r="I39" i="2628"/>
  <c r="H39" i="2628"/>
  <c r="G39" i="2628"/>
  <c r="F39" i="2628"/>
  <c r="E39" i="2628"/>
  <c r="D39" i="2628"/>
  <c r="C39" i="2628"/>
  <c r="B39" i="2628"/>
  <c r="DZ38" i="2628"/>
  <c r="DY38" i="2628"/>
  <c r="DX38" i="2628"/>
  <c r="DW38" i="2628"/>
  <c r="DV38" i="2628"/>
  <c r="DU38" i="2628"/>
  <c r="DT38" i="2628"/>
  <c r="DS38" i="2628"/>
  <c r="DR38" i="2628"/>
  <c r="DQ38" i="2628"/>
  <c r="DP38" i="2628"/>
  <c r="DO38" i="2628"/>
  <c r="DM38" i="2628"/>
  <c r="DL38" i="2628"/>
  <c r="DK38" i="2628"/>
  <c r="DJ38" i="2628"/>
  <c r="DI38" i="2628"/>
  <c r="DH38" i="2628"/>
  <c r="DG38" i="2628"/>
  <c r="DF38" i="2628"/>
  <c r="DZ37" i="2628"/>
  <c r="DY37" i="2628"/>
  <c r="DX37" i="2628"/>
  <c r="DW37" i="2628"/>
  <c r="DV37" i="2628"/>
  <c r="DU37" i="2628"/>
  <c r="DT37" i="2628"/>
  <c r="DS37" i="2628"/>
  <c r="DR37" i="2628"/>
  <c r="DQ37" i="2628"/>
  <c r="DP37" i="2628"/>
  <c r="DO37" i="2628"/>
  <c r="DM37" i="2628"/>
  <c r="DL37" i="2628"/>
  <c r="DK37" i="2628"/>
  <c r="DJ37" i="2628"/>
  <c r="DI37" i="2628"/>
  <c r="DH37" i="2628"/>
  <c r="DG37" i="2628"/>
  <c r="DF37" i="2628"/>
  <c r="DE37" i="2628"/>
  <c r="DD37" i="2628"/>
  <c r="DC37" i="2628"/>
  <c r="DB37" i="2628"/>
  <c r="CZ37" i="2628"/>
  <c r="CY37" i="2628"/>
  <c r="CX37" i="2628"/>
  <c r="CW37" i="2628"/>
  <c r="CV37" i="2628"/>
  <c r="CU37" i="2628"/>
  <c r="CT37" i="2628"/>
  <c r="CS37" i="2628"/>
  <c r="CR37" i="2628"/>
  <c r="CQ37" i="2628"/>
  <c r="CP37" i="2628"/>
  <c r="CO37" i="2628"/>
  <c r="CM37" i="2628"/>
  <c r="CL37" i="2628"/>
  <c r="CK37" i="2628"/>
  <c r="CJ37" i="2628"/>
  <c r="CI37" i="2628"/>
  <c r="CH37" i="2628"/>
  <c r="CG37" i="2628"/>
  <c r="CF37" i="2628"/>
  <c r="CE37" i="2628"/>
  <c r="CD37" i="2628"/>
  <c r="CC37" i="2628"/>
  <c r="CB37" i="2628"/>
  <c r="BZ37" i="2628"/>
  <c r="BY37" i="2628"/>
  <c r="BX37" i="2628"/>
  <c r="BW37" i="2628"/>
  <c r="BV37" i="2628"/>
  <c r="BU37" i="2628"/>
  <c r="BT37" i="2628"/>
  <c r="BS37" i="2628"/>
  <c r="BR37" i="2628"/>
  <c r="BQ37" i="2628"/>
  <c r="BP37" i="2628"/>
  <c r="BO37" i="2628"/>
  <c r="BM37" i="2628"/>
  <c r="BL37" i="2628"/>
  <c r="BK37" i="2628"/>
  <c r="BJ37" i="2628"/>
  <c r="BI37" i="2628"/>
  <c r="BH37" i="2628"/>
  <c r="BG37" i="2628"/>
  <c r="BF37" i="2628"/>
  <c r="BE37" i="2628"/>
  <c r="BD37" i="2628"/>
  <c r="BC37" i="2628"/>
  <c r="BB37" i="2628"/>
  <c r="AZ37" i="2628"/>
  <c r="AY37" i="2628"/>
  <c r="AX37" i="2628"/>
  <c r="AW37" i="2628"/>
  <c r="AV37" i="2628"/>
  <c r="AU37" i="2628"/>
  <c r="AT37" i="2628"/>
  <c r="AS37" i="2628"/>
  <c r="AR37" i="2628"/>
  <c r="AQ37" i="2628"/>
  <c r="AP37" i="2628"/>
  <c r="AO37" i="2628"/>
  <c r="AM37" i="2628"/>
  <c r="AL37" i="2628"/>
  <c r="AK37" i="2628"/>
  <c r="AJ37" i="2628"/>
  <c r="AI37" i="2628"/>
  <c r="AH37" i="2628"/>
  <c r="AG37" i="2628"/>
  <c r="AF37" i="2628"/>
  <c r="AE37" i="2628"/>
  <c r="AD37" i="2628"/>
  <c r="AC37" i="2628"/>
  <c r="AB37" i="2628"/>
  <c r="Z37" i="2628"/>
  <c r="Y37" i="2628"/>
  <c r="X37" i="2628"/>
  <c r="W37" i="2628"/>
  <c r="V37" i="2628"/>
  <c r="U37" i="2628"/>
  <c r="T37" i="2628"/>
  <c r="S37" i="2628"/>
  <c r="R37" i="2628"/>
  <c r="Q37" i="2628"/>
  <c r="P37" i="2628"/>
  <c r="O37" i="2628"/>
  <c r="M37" i="2628"/>
  <c r="L37" i="2628"/>
  <c r="K37" i="2628"/>
  <c r="J37" i="2628"/>
  <c r="I37" i="2628"/>
  <c r="H37" i="2628"/>
  <c r="G37" i="2628"/>
  <c r="F37" i="2628"/>
  <c r="E37" i="2628"/>
  <c r="D37" i="2628"/>
  <c r="C37" i="2628"/>
  <c r="B37" i="2628"/>
  <c r="DZ36" i="2628"/>
  <c r="DY36" i="2628"/>
  <c r="DX36" i="2628"/>
  <c r="DW36" i="2628"/>
  <c r="DV36" i="2628"/>
  <c r="DU36" i="2628"/>
  <c r="DT36" i="2628"/>
  <c r="DS36" i="2628"/>
  <c r="DR36" i="2628"/>
  <c r="DQ36" i="2628"/>
  <c r="DP36" i="2628"/>
  <c r="DO36" i="2628"/>
  <c r="DM36" i="2628"/>
  <c r="DL36" i="2628"/>
  <c r="DK36" i="2628"/>
  <c r="DJ36" i="2628"/>
  <c r="DI36" i="2628"/>
  <c r="DH36" i="2628"/>
  <c r="DG36" i="2628"/>
  <c r="DF36" i="2628"/>
  <c r="DE36" i="2628"/>
  <c r="DD36" i="2628"/>
  <c r="DC36" i="2628"/>
  <c r="DB36" i="2628"/>
  <c r="CZ36" i="2628"/>
  <c r="CY36" i="2628"/>
  <c r="CX36" i="2628"/>
  <c r="CW36" i="2628"/>
  <c r="CV36" i="2628"/>
  <c r="CU36" i="2628"/>
  <c r="CT36" i="2628"/>
  <c r="CS36" i="2628"/>
  <c r="CR36" i="2628"/>
  <c r="CQ36" i="2628"/>
  <c r="CP36" i="2628"/>
  <c r="CO36" i="2628"/>
  <c r="CM36" i="2628"/>
  <c r="CL36" i="2628"/>
  <c r="CK36" i="2628"/>
  <c r="CJ36" i="2628"/>
  <c r="CI36" i="2628"/>
  <c r="CH36" i="2628"/>
  <c r="CG36" i="2628"/>
  <c r="CF36" i="2628"/>
  <c r="CE36" i="2628"/>
  <c r="CD36" i="2628"/>
  <c r="CC36" i="2628"/>
  <c r="CB36" i="2628"/>
  <c r="BZ36" i="2628"/>
  <c r="BY36" i="2628"/>
  <c r="BX36" i="2628"/>
  <c r="BW36" i="2628"/>
  <c r="BV36" i="2628"/>
  <c r="BU36" i="2628"/>
  <c r="BT36" i="2628"/>
  <c r="BS36" i="2628"/>
  <c r="BR36" i="2628"/>
  <c r="BQ36" i="2628"/>
  <c r="BP36" i="2628"/>
  <c r="BO36" i="2628"/>
  <c r="BM36" i="2628"/>
  <c r="BL36" i="2628"/>
  <c r="BK36" i="2628"/>
  <c r="BJ36" i="2628"/>
  <c r="BI36" i="2628"/>
  <c r="BH36" i="2628"/>
  <c r="BG36" i="2628"/>
  <c r="BF36" i="2628"/>
  <c r="BE36" i="2628"/>
  <c r="BD36" i="2628"/>
  <c r="BC36" i="2628"/>
  <c r="BB36" i="2628"/>
  <c r="AZ36" i="2628"/>
  <c r="AY36" i="2628"/>
  <c r="AX36" i="2628"/>
  <c r="AW36" i="2628"/>
  <c r="AV36" i="2628"/>
  <c r="AU36" i="2628"/>
  <c r="AT36" i="2628"/>
  <c r="AS36" i="2628"/>
  <c r="AR36" i="2628"/>
  <c r="AQ36" i="2628"/>
  <c r="AP36" i="2628"/>
  <c r="AO36" i="2628"/>
  <c r="AM36" i="2628"/>
  <c r="AL36" i="2628"/>
  <c r="AK36" i="2628"/>
  <c r="AJ36" i="2628"/>
  <c r="AI36" i="2628"/>
  <c r="AH36" i="2628"/>
  <c r="AG36" i="2628"/>
  <c r="AF36" i="2628"/>
  <c r="AE36" i="2628"/>
  <c r="AD36" i="2628"/>
  <c r="AC36" i="2628"/>
  <c r="AB36" i="2628"/>
  <c r="Z36" i="2628"/>
  <c r="Y36" i="2628"/>
  <c r="X36" i="2628"/>
  <c r="W36" i="2628"/>
  <c r="V36" i="2628"/>
  <c r="U36" i="2628"/>
  <c r="T36" i="2628"/>
  <c r="S36" i="2628"/>
  <c r="R36" i="2628"/>
  <c r="Q36" i="2628"/>
  <c r="P36" i="2628"/>
  <c r="O36" i="2628"/>
  <c r="M36" i="2628"/>
  <c r="L36" i="2628"/>
  <c r="K36" i="2628"/>
  <c r="J36" i="2628"/>
  <c r="I36" i="2628"/>
  <c r="H36" i="2628"/>
  <c r="G36" i="2628"/>
  <c r="F36" i="2628"/>
  <c r="E36" i="2628"/>
  <c r="D36" i="2628"/>
  <c r="C36" i="2628"/>
  <c r="B36" i="2628"/>
  <c r="DZ35" i="2628"/>
  <c r="DY35" i="2628"/>
  <c r="DX35" i="2628"/>
  <c r="DW35" i="2628"/>
  <c r="DV35" i="2628"/>
  <c r="DU35" i="2628"/>
  <c r="DT35" i="2628"/>
  <c r="DS35" i="2628"/>
  <c r="DR35" i="2628"/>
  <c r="DQ35" i="2628"/>
  <c r="DP35" i="2628"/>
  <c r="DO35" i="2628"/>
  <c r="DM35" i="2628"/>
  <c r="DL35" i="2628"/>
  <c r="DK35" i="2628"/>
  <c r="DJ35" i="2628"/>
  <c r="DI35" i="2628"/>
  <c r="DH35" i="2628"/>
  <c r="DG35" i="2628"/>
  <c r="DF35" i="2628"/>
  <c r="DE35" i="2628"/>
  <c r="DD35" i="2628"/>
  <c r="DC35" i="2628"/>
  <c r="DB35" i="2628"/>
  <c r="CZ35" i="2628"/>
  <c r="CY35" i="2628"/>
  <c r="CX35" i="2628"/>
  <c r="CW35" i="2628"/>
  <c r="CV35" i="2628"/>
  <c r="CU35" i="2628"/>
  <c r="CT35" i="2628"/>
  <c r="CS35" i="2628"/>
  <c r="CR35" i="2628"/>
  <c r="CQ35" i="2628"/>
  <c r="CP35" i="2628"/>
  <c r="CO35" i="2628"/>
  <c r="CM35" i="2628"/>
  <c r="CL35" i="2628"/>
  <c r="CK35" i="2628"/>
  <c r="CJ35" i="2628"/>
  <c r="CI35" i="2628"/>
  <c r="CH35" i="2628"/>
  <c r="CG35" i="2628"/>
  <c r="CF35" i="2628"/>
  <c r="CE35" i="2628"/>
  <c r="CD35" i="2628"/>
  <c r="CC35" i="2628"/>
  <c r="CB35" i="2628"/>
  <c r="BZ35" i="2628"/>
  <c r="BY35" i="2628"/>
  <c r="BX35" i="2628"/>
  <c r="BW35" i="2628"/>
  <c r="BV35" i="2628"/>
  <c r="BU35" i="2628"/>
  <c r="BT35" i="2628"/>
  <c r="BS35" i="2628"/>
  <c r="BR35" i="2628"/>
  <c r="BQ35" i="2628"/>
  <c r="BP35" i="2628"/>
  <c r="BO35" i="2628"/>
  <c r="BM35" i="2628"/>
  <c r="BL35" i="2628"/>
  <c r="BK35" i="2628"/>
  <c r="BJ35" i="2628"/>
  <c r="BI35" i="2628"/>
  <c r="BH35" i="2628"/>
  <c r="BG35" i="2628"/>
  <c r="BF35" i="2628"/>
  <c r="BE35" i="2628"/>
  <c r="BD35" i="2628"/>
  <c r="BC35" i="2628"/>
  <c r="BB35" i="2628"/>
  <c r="AZ35" i="2628"/>
  <c r="AY35" i="2628"/>
  <c r="AX35" i="2628"/>
  <c r="AW35" i="2628"/>
  <c r="AV35" i="2628"/>
  <c r="AU35" i="2628"/>
  <c r="AT35" i="2628"/>
  <c r="AS35" i="2628"/>
  <c r="AR35" i="2628"/>
  <c r="AQ35" i="2628"/>
  <c r="AP35" i="2628"/>
  <c r="AO35" i="2628"/>
  <c r="AM35" i="2628"/>
  <c r="AL35" i="2628"/>
  <c r="AK35" i="2628"/>
  <c r="AJ35" i="2628"/>
  <c r="AI35" i="2628"/>
  <c r="AH35" i="2628"/>
  <c r="AG35" i="2628"/>
  <c r="AF35" i="2628"/>
  <c r="AE35" i="2628"/>
  <c r="AD35" i="2628"/>
  <c r="AC35" i="2628"/>
  <c r="AB35" i="2628"/>
  <c r="Z35" i="2628"/>
  <c r="Y35" i="2628"/>
  <c r="X35" i="2628"/>
  <c r="W35" i="2628"/>
  <c r="V35" i="2628"/>
  <c r="U35" i="2628"/>
  <c r="T35" i="2628"/>
  <c r="S35" i="2628"/>
  <c r="R35" i="2628"/>
  <c r="Q35" i="2628"/>
  <c r="P35" i="2628"/>
  <c r="O35" i="2628"/>
  <c r="M35" i="2628"/>
  <c r="L35" i="2628"/>
  <c r="K35" i="2628"/>
  <c r="J35" i="2628"/>
  <c r="I35" i="2628"/>
  <c r="H35" i="2628"/>
  <c r="G35" i="2628"/>
  <c r="F35" i="2628"/>
  <c r="E35" i="2628"/>
  <c r="D35" i="2628"/>
  <c r="C35" i="2628"/>
  <c r="B35" i="2628"/>
  <c r="DZ34" i="2628"/>
  <c r="DY34" i="2628"/>
  <c r="DX34" i="2628"/>
  <c r="DW34" i="2628"/>
  <c r="DV34" i="2628"/>
  <c r="DU34" i="2628"/>
  <c r="DT34" i="2628"/>
  <c r="DS34" i="2628"/>
  <c r="DR34" i="2628"/>
  <c r="DQ34" i="2628"/>
  <c r="DP34" i="2628"/>
  <c r="DO34" i="2628"/>
  <c r="DM34" i="2628"/>
  <c r="DL34" i="2628"/>
  <c r="DK34" i="2628"/>
  <c r="DJ34" i="2628"/>
  <c r="DI34" i="2628"/>
  <c r="DH34" i="2628"/>
  <c r="DG34" i="2628"/>
  <c r="DF34" i="2628"/>
  <c r="DE34" i="2628"/>
  <c r="DD34" i="2628"/>
  <c r="DC34" i="2628"/>
  <c r="DB34" i="2628"/>
  <c r="CZ34" i="2628"/>
  <c r="CY34" i="2628"/>
  <c r="CX34" i="2628"/>
  <c r="CW34" i="2628"/>
  <c r="CV34" i="2628"/>
  <c r="CU34" i="2628"/>
  <c r="CT34" i="2628"/>
  <c r="CS34" i="2628"/>
  <c r="CR34" i="2628"/>
  <c r="CQ34" i="2628"/>
  <c r="CP34" i="2628"/>
  <c r="CO34" i="2628"/>
  <c r="CM34" i="2628"/>
  <c r="CL34" i="2628"/>
  <c r="CK34" i="2628"/>
  <c r="CJ34" i="2628"/>
  <c r="CI34" i="2628"/>
  <c r="CH34" i="2628"/>
  <c r="CG34" i="2628"/>
  <c r="CF34" i="2628"/>
  <c r="CE34" i="2628"/>
  <c r="CD34" i="2628"/>
  <c r="CC34" i="2628"/>
  <c r="CB34" i="2628"/>
  <c r="BZ34" i="2628"/>
  <c r="BY34" i="2628"/>
  <c r="BX34" i="2628"/>
  <c r="BW34" i="2628"/>
  <c r="BV34" i="2628"/>
  <c r="BU34" i="2628"/>
  <c r="BT34" i="2628"/>
  <c r="BS34" i="2628"/>
  <c r="BR34" i="2628"/>
  <c r="BQ34" i="2628"/>
  <c r="BP34" i="2628"/>
  <c r="BO34" i="2628"/>
  <c r="BM34" i="2628"/>
  <c r="BL34" i="2628"/>
  <c r="BK34" i="2628"/>
  <c r="BJ34" i="2628"/>
  <c r="BI34" i="2628"/>
  <c r="BH34" i="2628"/>
  <c r="BG34" i="2628"/>
  <c r="BF34" i="2628"/>
  <c r="BE34" i="2628"/>
  <c r="BD34" i="2628"/>
  <c r="BC34" i="2628"/>
  <c r="BB34" i="2628"/>
  <c r="AZ34" i="2628"/>
  <c r="AY34" i="2628"/>
  <c r="AX34" i="2628"/>
  <c r="AW34" i="2628"/>
  <c r="AV34" i="2628"/>
  <c r="AU34" i="2628"/>
  <c r="AT34" i="2628"/>
  <c r="AS34" i="2628"/>
  <c r="AR34" i="2628"/>
  <c r="AQ34" i="2628"/>
  <c r="AP34" i="2628"/>
  <c r="AO34" i="2628"/>
  <c r="AM34" i="2628"/>
  <c r="AL34" i="2628"/>
  <c r="AK34" i="2628"/>
  <c r="AJ34" i="2628"/>
  <c r="AI34" i="2628"/>
  <c r="AH34" i="2628"/>
  <c r="AG34" i="2628"/>
  <c r="AF34" i="2628"/>
  <c r="AE34" i="2628"/>
  <c r="AD34" i="2628"/>
  <c r="AC34" i="2628"/>
  <c r="AB34" i="2628"/>
  <c r="Z34" i="2628"/>
  <c r="Y34" i="2628"/>
  <c r="X34" i="2628"/>
  <c r="W34" i="2628"/>
  <c r="V34" i="2628"/>
  <c r="U34" i="2628"/>
  <c r="T34" i="2628"/>
  <c r="S34" i="2628"/>
  <c r="R34" i="2628"/>
  <c r="Q34" i="2628"/>
  <c r="P34" i="2628"/>
  <c r="O34" i="2628"/>
  <c r="M34" i="2628"/>
  <c r="L34" i="2628"/>
  <c r="K34" i="2628"/>
  <c r="J34" i="2628"/>
  <c r="I34" i="2628"/>
  <c r="H34" i="2628"/>
  <c r="G34" i="2628"/>
  <c r="F34" i="2628"/>
  <c r="E34" i="2628"/>
  <c r="D34" i="2628"/>
  <c r="C34" i="2628"/>
  <c r="B34" i="2628"/>
  <c r="DZ33" i="2628"/>
  <c r="DY33" i="2628"/>
  <c r="DX33" i="2628"/>
  <c r="DW33" i="2628"/>
  <c r="DV33" i="2628"/>
  <c r="DU33" i="2628"/>
  <c r="DT33" i="2628"/>
  <c r="DS33" i="2628"/>
  <c r="DR33" i="2628"/>
  <c r="DQ33" i="2628"/>
  <c r="DP33" i="2628"/>
  <c r="DO33" i="2628"/>
  <c r="DM33" i="2628"/>
  <c r="DL33" i="2628"/>
  <c r="DK33" i="2628"/>
  <c r="DJ33" i="2628"/>
  <c r="DI33" i="2628"/>
  <c r="DH33" i="2628"/>
  <c r="DZ32" i="2628"/>
  <c r="DY32" i="2628"/>
  <c r="DX32" i="2628"/>
  <c r="DW32" i="2628"/>
  <c r="DV32" i="2628"/>
  <c r="DU32" i="2628"/>
  <c r="DT32" i="2628"/>
  <c r="DS32" i="2628"/>
  <c r="DR32" i="2628"/>
  <c r="DQ32" i="2628"/>
  <c r="DP32" i="2628"/>
  <c r="DO32" i="2628"/>
  <c r="DM32" i="2628"/>
  <c r="DL32" i="2628"/>
  <c r="DK32" i="2628"/>
  <c r="BC32" i="2628"/>
  <c r="DZ30" i="2628"/>
  <c r="DY30" i="2628"/>
  <c r="DX30" i="2628"/>
  <c r="DW30" i="2628"/>
  <c r="DV30" i="2628"/>
  <c r="DU30" i="2628"/>
  <c r="DT30" i="2628"/>
  <c r="DS30" i="2628"/>
  <c r="DR30" i="2628"/>
  <c r="DQ30" i="2628"/>
  <c r="DP30" i="2628"/>
  <c r="DO30" i="2628"/>
  <c r="DM30" i="2628"/>
  <c r="DL30" i="2628"/>
  <c r="DK30" i="2628"/>
  <c r="DJ30" i="2628"/>
  <c r="DI30" i="2628"/>
  <c r="DH30" i="2628"/>
  <c r="DG30" i="2628"/>
  <c r="DF30" i="2628"/>
  <c r="DE30" i="2628"/>
  <c r="DD30" i="2628"/>
  <c r="DC30" i="2628"/>
  <c r="DB30" i="2628"/>
  <c r="BC30" i="2628"/>
  <c r="B21" i="2083"/>
  <c r="Z11" i="2074"/>
  <c r="Y11" i="2074"/>
  <c r="X11" i="2074"/>
  <c r="W11" i="2074"/>
  <c r="V11" i="2074"/>
  <c r="U11" i="2074"/>
  <c r="T11" i="2074"/>
  <c r="S11" i="2074"/>
  <c r="R11" i="2074"/>
  <c r="Q11" i="2074"/>
  <c r="P11" i="2074"/>
  <c r="Z7" i="2074"/>
  <c r="Y7" i="2074"/>
  <c r="X7" i="2074"/>
  <c r="W7" i="2074"/>
  <c r="V7" i="2074"/>
  <c r="U7" i="2074"/>
  <c r="T7" i="2074"/>
  <c r="S7" i="2074"/>
  <c r="R7" i="2074"/>
  <c r="Q7" i="2074"/>
  <c r="P7" i="2074"/>
  <c r="CN19" i="2626"/>
  <c r="CM19" i="2626"/>
  <c r="CL19" i="2626"/>
  <c r="CK19" i="2626"/>
  <c r="CJ19" i="2626"/>
  <c r="CI19" i="2626"/>
  <c r="CH19" i="2626"/>
  <c r="CG19" i="2626"/>
  <c r="CF19" i="2626"/>
  <c r="CE19" i="2626"/>
  <c r="CD19" i="2626"/>
  <c r="CC19" i="2626"/>
  <c r="CB19" i="2626"/>
  <c r="CA19" i="2626"/>
  <c r="BZ19" i="2626"/>
  <c r="BY19" i="2626"/>
  <c r="BX19" i="2626"/>
  <c r="BW19" i="2626"/>
  <c r="BV19" i="2626"/>
  <c r="BU19" i="2626"/>
  <c r="BT19" i="2626"/>
  <c r="BS19" i="2626"/>
  <c r="BR19" i="2626"/>
  <c r="BQ19" i="2626"/>
  <c r="BP19" i="2626"/>
  <c r="BO19" i="2626"/>
  <c r="EZ7" i="1720"/>
  <c r="EY7" i="1720"/>
  <c r="EX7" i="1720"/>
  <c r="EW7" i="1720"/>
  <c r="EV7" i="1720"/>
  <c r="EU7" i="1720"/>
  <c r="ET7" i="1720"/>
  <c r="ES7" i="1720"/>
  <c r="ER7" i="1720"/>
  <c r="EQ7" i="1720"/>
  <c r="EP7" i="1720"/>
  <c r="EO7" i="1720"/>
  <c r="DZ7" i="1720"/>
  <c r="DY7" i="1720"/>
  <c r="DX7" i="1720"/>
  <c r="DW7" i="1720"/>
  <c r="DV7" i="1720"/>
  <c r="DU7" i="1720"/>
  <c r="DT7" i="1720"/>
  <c r="DS7" i="1720"/>
  <c r="DR7" i="1720"/>
  <c r="DQ7" i="1720"/>
  <c r="DP7" i="1720"/>
  <c r="DO7" i="1720"/>
  <c r="DM7" i="1720"/>
  <c r="DL7" i="1720"/>
  <c r="DJ7" i="1720"/>
  <c r="DI7" i="1720"/>
  <c r="DH7" i="1720"/>
  <c r="DG7" i="1720"/>
  <c r="DF7" i="1720"/>
  <c r="DE7" i="1720"/>
  <c r="DD7" i="1720"/>
  <c r="DC7" i="1720"/>
  <c r="DB7" i="1720"/>
  <c r="CZ7" i="1720"/>
  <c r="CY7" i="1720"/>
  <c r="CX7" i="1720"/>
  <c r="CW7" i="1720"/>
  <c r="CV7" i="1720"/>
  <c r="CU7" i="1720"/>
  <c r="CT7" i="1720"/>
  <c r="CS7" i="1720"/>
  <c r="CR7" i="1720"/>
  <c r="CQ7" i="1720"/>
  <c r="CP7" i="1720"/>
  <c r="CO7" i="1720"/>
  <c r="CM7" i="1720"/>
  <c r="CL7" i="1720"/>
  <c r="CK7" i="1720"/>
  <c r="CJ7" i="1720"/>
  <c r="CI7" i="1720"/>
  <c r="CH7" i="1720"/>
  <c r="CG7" i="1720"/>
  <c r="CF7" i="1720"/>
  <c r="CE7" i="1720"/>
  <c r="CD7" i="1720"/>
  <c r="CC7" i="1720"/>
  <c r="CB7" i="1720"/>
  <c r="BZ7" i="1720"/>
  <c r="BY7" i="1720"/>
  <c r="BX7" i="1720"/>
  <c r="BW7" i="1720"/>
  <c r="BV7" i="1720"/>
  <c r="BU7" i="1720"/>
  <c r="BT7" i="1720"/>
  <c r="BS7" i="1720"/>
  <c r="BR7" i="1720"/>
  <c r="BQ7" i="1720"/>
  <c r="BP7" i="1720"/>
  <c r="BO7" i="1720"/>
  <c r="BM7" i="1720"/>
  <c r="BL7" i="1720"/>
  <c r="BK7" i="1720"/>
  <c r="BJ7" i="1720"/>
  <c r="BI7" i="1720"/>
  <c r="BH7" i="1720"/>
  <c r="BG7" i="1720"/>
  <c r="BF7" i="1720"/>
  <c r="BE7" i="1720"/>
  <c r="BD7" i="1720"/>
  <c r="BC7" i="1720"/>
  <c r="BB7" i="1720"/>
  <c r="AZ7" i="1720"/>
  <c r="AY7" i="1720"/>
  <c r="AX7" i="1720"/>
  <c r="AW7" i="1720"/>
  <c r="AV7" i="1720"/>
  <c r="AU7" i="1720"/>
  <c r="AT7" i="1720"/>
  <c r="AS7" i="1720"/>
  <c r="AR7" i="1720"/>
  <c r="AQ7" i="1720"/>
  <c r="AP7" i="1720"/>
  <c r="AO7" i="1720"/>
  <c r="AM7" i="1720"/>
  <c r="AL7" i="1720"/>
  <c r="AK7" i="1720"/>
  <c r="AJ7" i="1720"/>
  <c r="AI7" i="1720"/>
  <c r="AH7" i="1720"/>
  <c r="AG7" i="1720"/>
  <c r="AF7" i="1720"/>
  <c r="AE7" i="1720"/>
  <c r="AD7" i="1720"/>
  <c r="AC7" i="1720"/>
  <c r="AB7" i="1720"/>
  <c r="AG47" i="2631" l="1"/>
  <c r="BG47" i="2631"/>
  <c r="CG47" i="2631"/>
  <c r="DT47" i="2631"/>
  <c r="BF47" i="2631"/>
  <c r="Q46" i="2634"/>
  <c r="AO46" i="2634"/>
  <c r="BB46" i="2634"/>
  <c r="DM46" i="2634"/>
  <c r="AE46" i="2634"/>
  <c r="BR46" i="2634"/>
  <c r="CE46" i="2634"/>
  <c r="CR46" i="2634"/>
  <c r="DE46" i="2634"/>
  <c r="DR46" i="2634"/>
  <c r="BM46" i="2634"/>
  <c r="AS46" i="2634"/>
  <c r="BF46" i="2634"/>
  <c r="BS46" i="2634"/>
  <c r="CF46" i="2634"/>
  <c r="CS46" i="2634"/>
  <c r="AG46" i="2634"/>
  <c r="BG46" i="2634"/>
  <c r="BT46" i="2634"/>
  <c r="CG46" i="2634"/>
  <c r="CT46" i="2634"/>
  <c r="DG46" i="2634"/>
  <c r="DT46" i="2634"/>
  <c r="U46" i="2634"/>
  <c r="AH46" i="2634"/>
  <c r="AU46" i="2634"/>
  <c r="BU46" i="2634"/>
  <c r="V46" i="2634"/>
  <c r="AI46" i="2634"/>
  <c r="J46" i="2634"/>
  <c r="W46" i="2634"/>
  <c r="K46" i="2634"/>
  <c r="CX46" i="2634"/>
  <c r="B46" i="2634"/>
  <c r="Z46" i="2634"/>
  <c r="Y46" i="2634"/>
  <c r="AS47" i="2631"/>
  <c r="DF47" i="2631"/>
  <c r="BT47" i="2631"/>
  <c r="DG47" i="2631"/>
  <c r="DH47" i="2631"/>
  <c r="BS47" i="2631"/>
  <c r="DI47" i="2631"/>
  <c r="DR47" i="2631"/>
  <c r="CF47" i="2631"/>
  <c r="DK47" i="2631"/>
  <c r="L47" i="2631"/>
  <c r="BY47" i="2631"/>
  <c r="CL47" i="2631"/>
  <c r="CY47" i="2631"/>
  <c r="DL47" i="2631"/>
  <c r="DY47" i="2631"/>
  <c r="DE47" i="2631"/>
  <c r="CE47" i="2631"/>
  <c r="FE33" i="2080"/>
  <c r="FF33" i="2080"/>
  <c r="FC33" i="2080"/>
  <c r="FF52" i="2080"/>
  <c r="FE49" i="2080"/>
  <c r="FF16" i="2080"/>
  <c r="FC14" i="2080"/>
  <c r="FC25" i="2080"/>
  <c r="FE24" i="2080"/>
  <c r="FC28" i="2080"/>
  <c r="FC32" i="2080"/>
  <c r="FE9" i="2080"/>
  <c r="FE19" i="2080"/>
  <c r="FC19" i="2080"/>
  <c r="FC54" i="2080"/>
  <c r="FF36" i="2080"/>
  <c r="FC23" i="2080"/>
  <c r="FC17" i="2080"/>
  <c r="FF14" i="2080"/>
  <c r="FF25" i="2080"/>
  <c r="FF32" i="2080"/>
  <c r="FE14" i="2080"/>
  <c r="FF24" i="2080"/>
  <c r="FE32" i="2080"/>
  <c r="FF55" i="2080"/>
  <c r="FE52" i="2080"/>
  <c r="FC49" i="2080"/>
  <c r="FE16" i="2080"/>
  <c r="FF27" i="2080"/>
  <c r="FF18" i="2080"/>
  <c r="FF26" i="2080"/>
  <c r="FF19" i="2080"/>
  <c r="FC9" i="2080"/>
  <c r="FC52" i="2080"/>
  <c r="FC16" i="2080"/>
  <c r="FE27" i="2080"/>
  <c r="FE18" i="2080"/>
  <c r="FE26" i="2080"/>
  <c r="FF8" i="2080"/>
  <c r="FC55" i="2080"/>
  <c r="FF37" i="2080"/>
  <c r="FC27" i="2080"/>
  <c r="FF31" i="2080"/>
  <c r="FC26" i="2080"/>
  <c r="FE8" i="2080"/>
  <c r="FF50" i="2080"/>
  <c r="FF53" i="2080"/>
  <c r="FF35" i="2080"/>
  <c r="FF13" i="2080"/>
  <c r="FE53" i="2080"/>
  <c r="FE35" i="2080"/>
  <c r="FC36" i="2080"/>
  <c r="FC50" i="2080"/>
  <c r="FE28" i="2080"/>
  <c r="FF49" i="2080"/>
  <c r="FF9" i="2080"/>
  <c r="FE55" i="2080"/>
  <c r="FC24" i="2080"/>
  <c r="FF51" i="2080"/>
  <c r="FC30" i="2080"/>
  <c r="FF29" i="2080"/>
  <c r="FE29" i="2080"/>
  <c r="FC29" i="2080"/>
  <c r="FF54" i="2080"/>
  <c r="FE51" i="2080"/>
  <c r="FE37" i="2080"/>
  <c r="FF22" i="2080"/>
  <c r="FC18" i="2080"/>
  <c r="FE31" i="2080"/>
  <c r="FF21" i="2080"/>
  <c r="FF20" i="2080"/>
  <c r="FE54" i="2080"/>
  <c r="FC47" i="2080"/>
  <c r="FC37" i="2080"/>
  <c r="FE22" i="2080"/>
  <c r="FF34" i="2080"/>
  <c r="FC31" i="2080"/>
  <c r="FE21" i="2080"/>
  <c r="FE20" i="2080"/>
  <c r="FC8" i="2080"/>
  <c r="FC51" i="2080"/>
  <c r="FF30" i="2080"/>
  <c r="FF15" i="2080"/>
  <c r="FC22" i="2080"/>
  <c r="FE34" i="2080"/>
  <c r="FF23" i="2080"/>
  <c r="FC21" i="2080"/>
  <c r="FE30" i="2080"/>
  <c r="FE15" i="2080"/>
  <c r="FF17" i="2080"/>
  <c r="FC34" i="2080"/>
  <c r="FE23" i="2080"/>
  <c r="FC20" i="2080"/>
  <c r="FE50" i="2080"/>
  <c r="FE17" i="2080"/>
  <c r="FE36" i="2080"/>
  <c r="FC15" i="2080"/>
  <c r="FF28" i="2080"/>
  <c r="FE13" i="2080"/>
  <c r="FC35" i="2080"/>
  <c r="FC13" i="2080"/>
  <c r="FC53" i="2080"/>
  <c r="FE25" i="2080"/>
  <c r="FF4" i="2080"/>
  <c r="FC45" i="2080"/>
  <c r="FE44" i="2080"/>
  <c r="FF41" i="2080"/>
  <c r="FE42" i="2080"/>
  <c r="FF42" i="2080"/>
  <c r="FE43" i="2080"/>
  <c r="FF44" i="2080"/>
  <c r="FF40" i="2080"/>
  <c r="FC44" i="2080"/>
  <c r="FC41" i="2080"/>
  <c r="FC42" i="2080"/>
  <c r="FF39" i="2080"/>
  <c r="FE41" i="2080"/>
  <c r="FE40" i="2080"/>
  <c r="FF45" i="2080"/>
  <c r="FC40" i="2080"/>
  <c r="FE39" i="2080"/>
  <c r="FF43" i="2080"/>
  <c r="FE45" i="2080"/>
  <c r="FC43" i="2080"/>
  <c r="FC39" i="2080"/>
  <c r="N49" i="2080"/>
  <c r="AA49" i="2080"/>
  <c r="AN49" i="2080"/>
  <c r="BA49" i="2080"/>
  <c r="BN49" i="2080"/>
  <c r="CA49" i="2080"/>
  <c r="CN49" i="2080"/>
  <c r="DA49" i="2080"/>
  <c r="DN49" i="2080"/>
  <c r="EA49" i="2080"/>
  <c r="EN49" i="2080"/>
  <c r="DA7" i="2080"/>
  <c r="FA49" i="2080"/>
  <c r="AB47" i="2080"/>
  <c r="AN47" i="2080" s="1"/>
  <c r="AO47" i="2080"/>
  <c r="BA47" i="2080" s="1"/>
  <c r="BB47" i="2080"/>
  <c r="BN47" i="2080" s="1"/>
  <c r="BO47" i="2080"/>
  <c r="CA47" i="2080" s="1"/>
  <c r="CB47" i="2080"/>
  <c r="CN47" i="2080" s="1"/>
  <c r="CO47" i="2080"/>
  <c r="DA47" i="2080" s="1"/>
  <c r="DB47" i="2080"/>
  <c r="DN47" i="2080" s="1"/>
  <c r="DO47" i="2080"/>
  <c r="EA47" i="2080" s="1"/>
  <c r="EB47" i="2080"/>
  <c r="EN47" i="2080" s="1"/>
  <c r="N7" i="2080"/>
  <c r="AA7" i="2080"/>
  <c r="AN7" i="2080"/>
  <c r="BA7" i="2080"/>
  <c r="BN7" i="2080"/>
  <c r="CA7" i="2080"/>
  <c r="CN7" i="2080"/>
  <c r="DN7" i="2080"/>
  <c r="EA7" i="2080"/>
  <c r="EN7" i="2080"/>
  <c r="O47" i="2080"/>
  <c r="AA47" i="2080" s="1"/>
  <c r="FF11" i="2080"/>
  <c r="FE11" i="2080"/>
  <c r="FC11" i="2080"/>
  <c r="N11" i="2080"/>
  <c r="AA11" i="2080"/>
  <c r="AN11" i="2080"/>
  <c r="BA11" i="2080"/>
  <c r="BN11" i="2080"/>
  <c r="CA11" i="2080"/>
  <c r="CN11" i="2080"/>
  <c r="DA11" i="2080"/>
  <c r="DN11" i="2080"/>
  <c r="EA11" i="2080"/>
  <c r="EN11" i="2080"/>
  <c r="EN59" i="2080" s="1"/>
  <c r="AT47" i="2631"/>
  <c r="O47" i="2631"/>
  <c r="AM47" i="2631"/>
  <c r="AY47" i="2631"/>
  <c r="BK47" i="2631"/>
  <c r="BW47" i="2631"/>
  <c r="CJ47" i="2631"/>
  <c r="CW47" i="2631"/>
  <c r="DJ47" i="2631"/>
  <c r="DW47" i="2631"/>
  <c r="E47" i="2631"/>
  <c r="M47" i="2631"/>
  <c r="F47" i="2631"/>
  <c r="R47" i="2631"/>
  <c r="AD47" i="2631"/>
  <c r="AP47" i="2631"/>
  <c r="BB47" i="2631"/>
  <c r="BZ47" i="2631"/>
  <c r="CM47" i="2631"/>
  <c r="CZ47" i="2631"/>
  <c r="DM47" i="2631"/>
  <c r="DZ47" i="2631"/>
  <c r="B47" i="2631"/>
  <c r="G47" i="2631"/>
  <c r="S47" i="2631"/>
  <c r="AE47" i="2631"/>
  <c r="AQ47" i="2631"/>
  <c r="BC47" i="2631"/>
  <c r="BO47" i="2631"/>
  <c r="CB47" i="2631"/>
  <c r="CO47" i="2631"/>
  <c r="DB47" i="2631"/>
  <c r="DO47" i="2631"/>
  <c r="P47" i="2631"/>
  <c r="BL47" i="2631"/>
  <c r="CK47" i="2631"/>
  <c r="H47" i="2631"/>
  <c r="T47" i="2631"/>
  <c r="AF47" i="2631"/>
  <c r="AR47" i="2631"/>
  <c r="BD47" i="2631"/>
  <c r="BP47" i="2631"/>
  <c r="CC47" i="2631"/>
  <c r="CP47" i="2631"/>
  <c r="DC47" i="2631"/>
  <c r="DP47" i="2631"/>
  <c r="B47" i="2080"/>
  <c r="N47" i="2080" s="1"/>
  <c r="DF46" i="2634"/>
  <c r="Y47" i="2631"/>
  <c r="AK47" i="2631"/>
  <c r="AW47" i="2631"/>
  <c r="BI47" i="2631"/>
  <c r="BU47" i="2631"/>
  <c r="CH47" i="2631"/>
  <c r="CU47" i="2631"/>
  <c r="DU47" i="2631"/>
  <c r="BV46" i="2634"/>
  <c r="CI46" i="2634"/>
  <c r="CV46" i="2634"/>
  <c r="DI46" i="2634"/>
  <c r="DV46" i="2634"/>
  <c r="Z47" i="2631"/>
  <c r="AL47" i="2631"/>
  <c r="AX47" i="2631"/>
  <c r="BJ47" i="2631"/>
  <c r="BV47" i="2631"/>
  <c r="CI47" i="2631"/>
  <c r="CV47" i="2631"/>
  <c r="DV47" i="2631"/>
  <c r="AX46" i="2634"/>
  <c r="BH53" i="2635"/>
  <c r="CH53" i="2635"/>
  <c r="CZ53" i="2635"/>
  <c r="S46" i="2634"/>
  <c r="CO46" i="2634"/>
  <c r="DO46" i="2634"/>
  <c r="FA11" i="2080"/>
  <c r="FA47" i="2080"/>
  <c r="FA7" i="2080"/>
  <c r="FE4" i="2080"/>
  <c r="FC4" i="2080"/>
  <c r="FC7" i="2080"/>
  <c r="FD5" i="2080"/>
  <c r="FE7" i="2080"/>
  <c r="FF7" i="2080"/>
  <c r="X53" i="2635"/>
  <c r="AK53" i="2635"/>
  <c r="AX53" i="2635"/>
  <c r="BK53" i="2635"/>
  <c r="BX53" i="2635"/>
  <c r="CK53" i="2635"/>
  <c r="CX53" i="2635"/>
  <c r="DK53" i="2635"/>
  <c r="DX53" i="2635"/>
  <c r="Y53" i="2635"/>
  <c r="AL53" i="2635"/>
  <c r="AY53" i="2635"/>
  <c r="DY53" i="2635"/>
  <c r="AK46" i="2634"/>
  <c r="AW46" i="2634"/>
  <c r="BI46" i="2634"/>
  <c r="CU46" i="2634"/>
  <c r="DH46" i="2634"/>
  <c r="DL53" i="2635"/>
  <c r="AM53" i="2635"/>
  <c r="AZ53" i="2635"/>
  <c r="O53" i="2635"/>
  <c r="BB53" i="2635"/>
  <c r="CO53" i="2635"/>
  <c r="DB53" i="2635"/>
  <c r="BD53" i="2635"/>
  <c r="BQ53" i="2635"/>
  <c r="DQ53" i="2635"/>
  <c r="R53" i="2635"/>
  <c r="BE53" i="2635"/>
  <c r="BR53" i="2635"/>
  <c r="DR53" i="2635"/>
  <c r="DO53" i="2635"/>
  <c r="AB53" i="2635"/>
  <c r="AH53" i="2635"/>
  <c r="DH53" i="2635"/>
  <c r="H46" i="2634"/>
  <c r="T46" i="2634"/>
  <c r="AF46" i="2634"/>
  <c r="AR46" i="2634"/>
  <c r="BD46" i="2634"/>
  <c r="BP46" i="2634"/>
  <c r="CC46" i="2634"/>
  <c r="CP46" i="2634"/>
  <c r="DC46" i="2634"/>
  <c r="DP46" i="2634"/>
  <c r="U53" i="2635"/>
  <c r="FD13" i="2080" l="1"/>
  <c r="FH49" i="2080"/>
  <c r="FD49" i="2080"/>
  <c r="FD43" i="2080"/>
  <c r="FD44" i="2080"/>
  <c r="FD42" i="2080"/>
  <c r="FD40" i="2080"/>
  <c r="FD55" i="2080"/>
  <c r="FD32" i="2080"/>
  <c r="FD21" i="2080"/>
  <c r="FD31" i="2080"/>
  <c r="FD28" i="2080"/>
  <c r="FD29" i="2080"/>
  <c r="FD9" i="2080"/>
  <c r="FD35" i="2080"/>
  <c r="FD41" i="2080"/>
  <c r="FD15" i="2080"/>
  <c r="FD51" i="2080"/>
  <c r="FD53" i="2080"/>
  <c r="FD19" i="2080"/>
  <c r="FD14" i="2080"/>
  <c r="FD26" i="2080"/>
  <c r="FD33" i="2080"/>
  <c r="FD39" i="2080"/>
  <c r="FD17" i="2080"/>
  <c r="FD25" i="2080"/>
  <c r="FD37" i="2080"/>
  <c r="FD18" i="2080"/>
  <c r="FD34" i="2080"/>
  <c r="FD54" i="2080"/>
  <c r="FE47" i="2080"/>
  <c r="FD27" i="2080"/>
  <c r="FD16" i="2080"/>
  <c r="FD22" i="2080"/>
  <c r="FD36" i="2080"/>
  <c r="FH47" i="2080"/>
  <c r="FD23" i="2080"/>
  <c r="FD8" i="2080"/>
  <c r="FD52" i="2080"/>
  <c r="FD45" i="2080"/>
  <c r="FD20" i="2080"/>
  <c r="FF47" i="2080"/>
  <c r="FD30" i="2080"/>
  <c r="FD50" i="2080"/>
  <c r="FD24" i="2080"/>
  <c r="FD11" i="2080"/>
  <c r="FD7" i="2080"/>
  <c r="FF5" i="2080"/>
  <c r="FE5" i="2080"/>
  <c r="FD47" i="2080" l="1"/>
  <c r="FA34" i="2638"/>
  <c r="FA33" i="2638"/>
  <c r="FA32" i="2638"/>
  <c r="FA31" i="2638"/>
  <c r="FA30" i="2638"/>
  <c r="FA29" i="2638"/>
  <c r="FA28" i="2638"/>
  <c r="FA27" i="2638"/>
  <c r="FA26" i="2638"/>
  <c r="FA25" i="2638"/>
  <c r="EZ24" i="2638"/>
  <c r="EY24" i="2638"/>
  <c r="EX24" i="2638"/>
  <c r="EW24" i="2638"/>
  <c r="EV24" i="2638"/>
  <c r="EU24" i="2638"/>
  <c r="ET24" i="2638"/>
  <c r="ES24" i="2638"/>
  <c r="ER24" i="2638"/>
  <c r="EQ24" i="2638"/>
  <c r="FA23" i="2638"/>
  <c r="FA22" i="2638"/>
  <c r="FA21" i="2638"/>
  <c r="EZ20" i="2638"/>
  <c r="EY20" i="2638"/>
  <c r="EX20" i="2638"/>
  <c r="EW20" i="2638"/>
  <c r="EV20" i="2638"/>
  <c r="EU20" i="2638"/>
  <c r="ET20" i="2638"/>
  <c r="ET9" i="2638" s="1"/>
  <c r="ET7" i="2638" s="1"/>
  <c r="ET39" i="2638" s="1"/>
  <c r="ES20" i="2638"/>
  <c r="ER20" i="2638"/>
  <c r="EQ20" i="2638"/>
  <c r="FA19" i="2638"/>
  <c r="FA18" i="2638"/>
  <c r="FA17" i="2638"/>
  <c r="FA16" i="2638"/>
  <c r="FA15" i="2638"/>
  <c r="FA14" i="2638"/>
  <c r="FA13" i="2638"/>
  <c r="FA12" i="2638"/>
  <c r="FA11" i="2638"/>
  <c r="EZ10" i="2638"/>
  <c r="EY10" i="2638"/>
  <c r="EX10" i="2638"/>
  <c r="EW10" i="2638"/>
  <c r="EV10" i="2638"/>
  <c r="EU10" i="2638"/>
  <c r="ET10" i="2638"/>
  <c r="ES10" i="2638"/>
  <c r="ER10" i="2638"/>
  <c r="EQ10" i="2638"/>
  <c r="EU9" i="2638" l="1"/>
  <c r="EU7" i="2638" s="1"/>
  <c r="EU39" i="2638" s="1"/>
  <c r="EQ9" i="2638"/>
  <c r="EQ7" i="2638" s="1"/>
  <c r="EQ39" i="2638" s="1"/>
  <c r="EZ9" i="2638"/>
  <c r="EZ7" i="2638" s="1"/>
  <c r="EZ39" i="2638" s="1"/>
  <c r="EW9" i="2638"/>
  <c r="EW7" i="2638" s="1"/>
  <c r="EW39" i="2638" s="1"/>
  <c r="EY9" i="2638"/>
  <c r="EY7" i="2638" s="1"/>
  <c r="EY39" i="2638" s="1"/>
  <c r="EV9" i="2638"/>
  <c r="EV7" i="2638" s="1"/>
  <c r="EV39" i="2638" s="1"/>
  <c r="ER9" i="2638"/>
  <c r="ER7" i="2638" s="1"/>
  <c r="ER39" i="2638" s="1"/>
  <c r="EX9" i="2638"/>
  <c r="EX7" i="2638" s="1"/>
  <c r="EX39" i="2638" s="1"/>
  <c r="FA10" i="2638"/>
  <c r="FA24" i="2638"/>
  <c r="ES9" i="2638"/>
  <c r="ES7" i="2638" s="1"/>
  <c r="ES39" i="2638" s="1"/>
  <c r="FA20" i="2638"/>
  <c r="FA9" i="2638" l="1"/>
  <c r="FA7" i="2638"/>
  <c r="FA39" i="2638" s="1"/>
  <c r="EA34" i="2638" l="1"/>
  <c r="DN34" i="2638"/>
  <c r="DA34" i="2638"/>
  <c r="CN34" i="2638"/>
  <c r="CA34" i="2638"/>
  <c r="BN34" i="2638"/>
  <c r="BA34" i="2638"/>
  <c r="AN34" i="2638"/>
  <c r="AA34" i="2638"/>
  <c r="N34" i="2638"/>
  <c r="EA33" i="2638"/>
  <c r="EA32" i="2638"/>
  <c r="DN32" i="2638"/>
  <c r="DA32" i="2638"/>
  <c r="CN32" i="2638"/>
  <c r="CA32" i="2638"/>
  <c r="BN32" i="2638"/>
  <c r="BA32" i="2638"/>
  <c r="AA32" i="2638"/>
  <c r="N32" i="2638"/>
  <c r="EA31" i="2638"/>
  <c r="EA30" i="2638"/>
  <c r="DN30" i="2638"/>
  <c r="DA30" i="2638"/>
  <c r="EA29" i="2638"/>
  <c r="EA28" i="2638"/>
  <c r="DN28" i="2638"/>
  <c r="DA28" i="2638"/>
  <c r="CN28" i="2638"/>
  <c r="CA28" i="2638"/>
  <c r="BN28" i="2638"/>
  <c r="BA28" i="2638"/>
  <c r="AN28" i="2638"/>
  <c r="AA28" i="2638"/>
  <c r="N28" i="2638"/>
  <c r="EA27" i="2638"/>
  <c r="DN27" i="2638"/>
  <c r="DA27" i="2638"/>
  <c r="CN27" i="2638"/>
  <c r="CA27" i="2638"/>
  <c r="BN27" i="2638"/>
  <c r="BA27" i="2638"/>
  <c r="AA27" i="2638"/>
  <c r="N27" i="2638"/>
  <c r="EA26" i="2638"/>
  <c r="DN26" i="2638"/>
  <c r="DA26" i="2638"/>
  <c r="CN26" i="2638"/>
  <c r="CA26" i="2638"/>
  <c r="BN26" i="2638"/>
  <c r="BA26" i="2638"/>
  <c r="EA25" i="2638"/>
  <c r="DN25" i="2638"/>
  <c r="DA25" i="2638"/>
  <c r="CN25" i="2638"/>
  <c r="CA25" i="2638"/>
  <c r="BN25" i="2638"/>
  <c r="BA25" i="2638"/>
  <c r="AN25" i="2638"/>
  <c r="AA25" i="2638"/>
  <c r="N25" i="2638"/>
  <c r="DZ24" i="2638"/>
  <c r="DY24" i="2638"/>
  <c r="DX24" i="2638"/>
  <c r="DW24" i="2638"/>
  <c r="DV24" i="2638"/>
  <c r="DU24" i="2638"/>
  <c r="DT24" i="2638"/>
  <c r="DS24" i="2638"/>
  <c r="DR24" i="2638"/>
  <c r="DQ24" i="2638"/>
  <c r="DP24" i="2638"/>
  <c r="DO24" i="2638"/>
  <c r="DM24" i="2638"/>
  <c r="DL24" i="2638"/>
  <c r="DK24" i="2638"/>
  <c r="DJ24" i="2638"/>
  <c r="DI24" i="2638"/>
  <c r="DH24" i="2638"/>
  <c r="DG24" i="2638"/>
  <c r="DF24" i="2638"/>
  <c r="DE24" i="2638"/>
  <c r="DD24" i="2638"/>
  <c r="DC24" i="2638"/>
  <c r="DB24" i="2638"/>
  <c r="CZ24" i="2638"/>
  <c r="CY24" i="2638"/>
  <c r="CX24" i="2638"/>
  <c r="CW24" i="2638"/>
  <c r="CV24" i="2638"/>
  <c r="CU24" i="2638"/>
  <c r="CT24" i="2638"/>
  <c r="CS24" i="2638"/>
  <c r="CR24" i="2638"/>
  <c r="CQ24" i="2638"/>
  <c r="CP24" i="2638"/>
  <c r="CO24" i="2638"/>
  <c r="CM24" i="2638"/>
  <c r="CL24" i="2638"/>
  <c r="CK24" i="2638"/>
  <c r="CJ24" i="2638"/>
  <c r="CI24" i="2638"/>
  <c r="CH24" i="2638"/>
  <c r="CG24" i="2638"/>
  <c r="CF24" i="2638"/>
  <c r="CE24" i="2638"/>
  <c r="CD24" i="2638"/>
  <c r="CC24" i="2638"/>
  <c r="CB24" i="2638"/>
  <c r="BZ24" i="2638"/>
  <c r="BY24" i="2638"/>
  <c r="BX24" i="2638"/>
  <c r="BW24" i="2638"/>
  <c r="BV24" i="2638"/>
  <c r="BU24" i="2638"/>
  <c r="BT24" i="2638"/>
  <c r="BS24" i="2638"/>
  <c r="BR24" i="2638"/>
  <c r="BQ24" i="2638"/>
  <c r="BP24" i="2638"/>
  <c r="BO24" i="2638"/>
  <c r="BM24" i="2638"/>
  <c r="BI24" i="2638"/>
  <c r="BH24" i="2638"/>
  <c r="BG24" i="2638"/>
  <c r="BF24" i="2638"/>
  <c r="BE24" i="2638"/>
  <c r="BD24" i="2638"/>
  <c r="AZ24" i="2638"/>
  <c r="AY24" i="2638"/>
  <c r="AX24" i="2638"/>
  <c r="AW24" i="2638"/>
  <c r="AV24" i="2638"/>
  <c r="AU24" i="2638"/>
  <c r="AT24" i="2638"/>
  <c r="AS24" i="2638"/>
  <c r="AR24" i="2638"/>
  <c r="AQ24" i="2638"/>
  <c r="AP24" i="2638"/>
  <c r="AO24" i="2638"/>
  <c r="AM24" i="2638"/>
  <c r="AL24" i="2638"/>
  <c r="AK24" i="2638"/>
  <c r="AJ24" i="2638"/>
  <c r="AI24" i="2638"/>
  <c r="AH24" i="2638"/>
  <c r="AG24" i="2638"/>
  <c r="AF24" i="2638"/>
  <c r="AE24" i="2638"/>
  <c r="AD24" i="2638"/>
  <c r="AC24" i="2638"/>
  <c r="AB24" i="2638"/>
  <c r="Z24" i="2638"/>
  <c r="Y24" i="2638"/>
  <c r="X24" i="2638"/>
  <c r="W24" i="2638"/>
  <c r="V24" i="2638"/>
  <c r="U24" i="2638"/>
  <c r="T24" i="2638"/>
  <c r="S24" i="2638"/>
  <c r="R24" i="2638"/>
  <c r="Q24" i="2638"/>
  <c r="P24" i="2638"/>
  <c r="O24" i="2638"/>
  <c r="M24" i="2638"/>
  <c r="L24" i="2638"/>
  <c r="K24" i="2638"/>
  <c r="J24" i="2638"/>
  <c r="I24" i="2638"/>
  <c r="H24" i="2638"/>
  <c r="G24" i="2638"/>
  <c r="F24" i="2638"/>
  <c r="E24" i="2638"/>
  <c r="D24" i="2638"/>
  <c r="C24" i="2638"/>
  <c r="B24" i="2638"/>
  <c r="EA23" i="2638"/>
  <c r="DN23" i="2638"/>
  <c r="DA23" i="2638"/>
  <c r="CN23" i="2638"/>
  <c r="CA23" i="2638"/>
  <c r="BN23" i="2638"/>
  <c r="BA23" i="2638"/>
  <c r="AN23" i="2638"/>
  <c r="AA23" i="2638"/>
  <c r="N23" i="2638"/>
  <c r="EA22" i="2638"/>
  <c r="DN22" i="2638"/>
  <c r="DA22" i="2638"/>
  <c r="CN22" i="2638"/>
  <c r="CA22" i="2638"/>
  <c r="BN22" i="2638"/>
  <c r="BA22" i="2638"/>
  <c r="AN22" i="2638"/>
  <c r="AA22" i="2638"/>
  <c r="N22" i="2638"/>
  <c r="EA21" i="2638"/>
  <c r="DN21" i="2638"/>
  <c r="DA21" i="2638"/>
  <c r="CN21" i="2638"/>
  <c r="CA21" i="2638"/>
  <c r="BN21" i="2638"/>
  <c r="BA21" i="2638"/>
  <c r="AN21" i="2638"/>
  <c r="AA21" i="2638"/>
  <c r="N21" i="2638"/>
  <c r="DZ20" i="2638"/>
  <c r="DY20" i="2638"/>
  <c r="DX20" i="2638"/>
  <c r="DW20" i="2638"/>
  <c r="DV20" i="2638"/>
  <c r="DU20" i="2638"/>
  <c r="DT20" i="2638"/>
  <c r="DS20" i="2638"/>
  <c r="DR20" i="2638"/>
  <c r="DQ20" i="2638"/>
  <c r="DP20" i="2638"/>
  <c r="DO20" i="2638"/>
  <c r="DM20" i="2638"/>
  <c r="DL20" i="2638"/>
  <c r="DK20" i="2638"/>
  <c r="DJ20" i="2638"/>
  <c r="DI20" i="2638"/>
  <c r="DH20" i="2638"/>
  <c r="DG20" i="2638"/>
  <c r="DF20" i="2638"/>
  <c r="DE20" i="2638"/>
  <c r="DD20" i="2638"/>
  <c r="DC20" i="2638"/>
  <c r="DB20" i="2638"/>
  <c r="CZ20" i="2638"/>
  <c r="CY20" i="2638"/>
  <c r="CX20" i="2638"/>
  <c r="CW20" i="2638"/>
  <c r="CV20" i="2638"/>
  <c r="CU20" i="2638"/>
  <c r="CT20" i="2638"/>
  <c r="CS20" i="2638"/>
  <c r="CR20" i="2638"/>
  <c r="CQ20" i="2638"/>
  <c r="CP20" i="2638"/>
  <c r="CO20" i="2638"/>
  <c r="CM20" i="2638"/>
  <c r="CL20" i="2638"/>
  <c r="CK20" i="2638"/>
  <c r="CJ20" i="2638"/>
  <c r="CI20" i="2638"/>
  <c r="CH20" i="2638"/>
  <c r="CG20" i="2638"/>
  <c r="CF20" i="2638"/>
  <c r="CE20" i="2638"/>
  <c r="CD20" i="2638"/>
  <c r="CC20" i="2638"/>
  <c r="CB20" i="2638"/>
  <c r="BZ20" i="2638"/>
  <c r="BY20" i="2638"/>
  <c r="BX20" i="2638"/>
  <c r="BW20" i="2638"/>
  <c r="BV20" i="2638"/>
  <c r="BU20" i="2638"/>
  <c r="BT20" i="2638"/>
  <c r="BS20" i="2638"/>
  <c r="BR20" i="2638"/>
  <c r="BQ20" i="2638"/>
  <c r="BP20" i="2638"/>
  <c r="BO20" i="2638"/>
  <c r="BM20" i="2638"/>
  <c r="BI20" i="2638"/>
  <c r="BH20" i="2638"/>
  <c r="BG20" i="2638"/>
  <c r="BF20" i="2638"/>
  <c r="BE20" i="2638"/>
  <c r="BD20" i="2638"/>
  <c r="AZ20" i="2638"/>
  <c r="AY20" i="2638"/>
  <c r="AX20" i="2638"/>
  <c r="AW20" i="2638"/>
  <c r="AV20" i="2638"/>
  <c r="AU20" i="2638"/>
  <c r="AT20" i="2638"/>
  <c r="AS20" i="2638"/>
  <c r="AR20" i="2638"/>
  <c r="AQ20" i="2638"/>
  <c r="AP20" i="2638"/>
  <c r="AO20" i="2638"/>
  <c r="AM20" i="2638"/>
  <c r="AL20" i="2638"/>
  <c r="AK20" i="2638"/>
  <c r="AJ20" i="2638"/>
  <c r="AI20" i="2638"/>
  <c r="AH20" i="2638"/>
  <c r="AG20" i="2638"/>
  <c r="AF20" i="2638"/>
  <c r="AE20" i="2638"/>
  <c r="AD20" i="2638"/>
  <c r="AC20" i="2638"/>
  <c r="AB20" i="2638"/>
  <c r="Z20" i="2638"/>
  <c r="Y20" i="2638"/>
  <c r="X20" i="2638"/>
  <c r="W20" i="2638"/>
  <c r="V20" i="2638"/>
  <c r="U20" i="2638"/>
  <c r="T20" i="2638"/>
  <c r="S20" i="2638"/>
  <c r="R20" i="2638"/>
  <c r="Q20" i="2638"/>
  <c r="P20" i="2638"/>
  <c r="O20" i="2638"/>
  <c r="M20" i="2638"/>
  <c r="L20" i="2638"/>
  <c r="K20" i="2638"/>
  <c r="J20" i="2638"/>
  <c r="I20" i="2638"/>
  <c r="H20" i="2638"/>
  <c r="G20" i="2638"/>
  <c r="F20" i="2638"/>
  <c r="E20" i="2638"/>
  <c r="D20" i="2638"/>
  <c r="C20" i="2638"/>
  <c r="B20" i="2638"/>
  <c r="EA19" i="2638"/>
  <c r="DN19" i="2638"/>
  <c r="DA19" i="2638"/>
  <c r="CE19" i="2638"/>
  <c r="CC19" i="2638"/>
  <c r="CC10" i="2638" s="1"/>
  <c r="BV19" i="2638"/>
  <c r="BS19" i="2638"/>
  <c r="BQ19" i="2638"/>
  <c r="BP19" i="2638"/>
  <c r="BN19" i="2638"/>
  <c r="BA19" i="2638"/>
  <c r="AN19" i="2638"/>
  <c r="AA19" i="2638"/>
  <c r="N19" i="2638"/>
  <c r="EA18" i="2638"/>
  <c r="DN18" i="2638"/>
  <c r="DA18" i="2638"/>
  <c r="CN18" i="2638"/>
  <c r="CA18" i="2638"/>
  <c r="BN18" i="2638"/>
  <c r="BA18" i="2638"/>
  <c r="AN18" i="2638"/>
  <c r="W18" i="2638"/>
  <c r="W10" i="2638" s="1"/>
  <c r="N18" i="2638"/>
  <c r="EA17" i="2638"/>
  <c r="DN17" i="2638"/>
  <c r="DA17" i="2638"/>
  <c r="CE17" i="2638"/>
  <c r="CN17" i="2638" s="1"/>
  <c r="BV17" i="2638"/>
  <c r="BS17" i="2638"/>
  <c r="BQ17" i="2638"/>
  <c r="BN17" i="2638"/>
  <c r="BA17" i="2638"/>
  <c r="AN17" i="2638"/>
  <c r="AA17" i="2638"/>
  <c r="N17" i="2638"/>
  <c r="EA16" i="2638"/>
  <c r="DN16" i="2638"/>
  <c r="DA16" i="2638"/>
  <c r="CN16" i="2638"/>
  <c r="CA16" i="2638"/>
  <c r="BN16" i="2638"/>
  <c r="BA16" i="2638"/>
  <c r="AN16" i="2638"/>
  <c r="AA16" i="2638"/>
  <c r="N16" i="2638"/>
  <c r="EA15" i="2638"/>
  <c r="DN15" i="2638"/>
  <c r="DA15" i="2638"/>
  <c r="CN15" i="2638"/>
  <c r="CA15" i="2638"/>
  <c r="BN15" i="2638"/>
  <c r="BA15" i="2638"/>
  <c r="AN15" i="2638"/>
  <c r="AA15" i="2638"/>
  <c r="N15" i="2638"/>
  <c r="EA14" i="2638"/>
  <c r="EA13" i="2638"/>
  <c r="DN13" i="2638"/>
  <c r="DA13" i="2638"/>
  <c r="CE13" i="2638"/>
  <c r="CN13" i="2638" s="1"/>
  <c r="BS13" i="2638"/>
  <c r="BP13" i="2638"/>
  <c r="BP10" i="2638" s="1"/>
  <c r="BN13" i="2638"/>
  <c r="BA13" i="2638"/>
  <c r="AN13" i="2638"/>
  <c r="AA13" i="2638"/>
  <c r="N13" i="2638"/>
  <c r="EA12" i="2638"/>
  <c r="DN12" i="2638"/>
  <c r="DA12" i="2638"/>
  <c r="CN12" i="2638"/>
  <c r="CA12" i="2638"/>
  <c r="BN12" i="2638"/>
  <c r="BA12" i="2638"/>
  <c r="AN12" i="2638"/>
  <c r="AA12" i="2638"/>
  <c r="N12" i="2638"/>
  <c r="EA11" i="2638"/>
  <c r="DZ10" i="2638"/>
  <c r="DY10" i="2638"/>
  <c r="DX10" i="2638"/>
  <c r="DW10" i="2638"/>
  <c r="DV10" i="2638"/>
  <c r="DU10" i="2638"/>
  <c r="DT10" i="2638"/>
  <c r="DS10" i="2638"/>
  <c r="DR10" i="2638"/>
  <c r="DQ10" i="2638"/>
  <c r="DP10" i="2638"/>
  <c r="DO10" i="2638"/>
  <c r="DM10" i="2638"/>
  <c r="DL10" i="2638"/>
  <c r="DK10" i="2638"/>
  <c r="DJ10" i="2638"/>
  <c r="DI10" i="2638"/>
  <c r="DH10" i="2638"/>
  <c r="DG10" i="2638"/>
  <c r="DF10" i="2638"/>
  <c r="DE10" i="2638"/>
  <c r="DD10" i="2638"/>
  <c r="DC10" i="2638"/>
  <c r="DB10" i="2638"/>
  <c r="CZ10" i="2638"/>
  <c r="CY10" i="2638"/>
  <c r="CX10" i="2638"/>
  <c r="CW10" i="2638"/>
  <c r="CV10" i="2638"/>
  <c r="CU10" i="2638"/>
  <c r="CT10" i="2638"/>
  <c r="CS10" i="2638"/>
  <c r="CR10" i="2638"/>
  <c r="CQ10" i="2638"/>
  <c r="CP10" i="2638"/>
  <c r="CO10" i="2638"/>
  <c r="CM10" i="2638"/>
  <c r="CL10" i="2638"/>
  <c r="CK10" i="2638"/>
  <c r="CJ10" i="2638"/>
  <c r="CI10" i="2638"/>
  <c r="CH10" i="2638"/>
  <c r="CG10" i="2638"/>
  <c r="CF10" i="2638"/>
  <c r="CD10" i="2638"/>
  <c r="CB10" i="2638"/>
  <c r="BZ10" i="2638"/>
  <c r="BY10" i="2638"/>
  <c r="BX10" i="2638"/>
  <c r="BW10" i="2638"/>
  <c r="BW9" i="2638" s="1"/>
  <c r="BW7" i="2638" s="1"/>
  <c r="BU10" i="2638"/>
  <c r="BT10" i="2638"/>
  <c r="BR10" i="2638"/>
  <c r="BQ10" i="2638"/>
  <c r="BO10" i="2638"/>
  <c r="BM10" i="2638"/>
  <c r="BI10" i="2638"/>
  <c r="BH10" i="2638"/>
  <c r="BG10" i="2638"/>
  <c r="BF10" i="2638"/>
  <c r="BE10" i="2638"/>
  <c r="BD10" i="2638"/>
  <c r="AZ10" i="2638"/>
  <c r="AY10" i="2638"/>
  <c r="AX10" i="2638"/>
  <c r="AW10" i="2638"/>
  <c r="AV10" i="2638"/>
  <c r="AU10" i="2638"/>
  <c r="AT10" i="2638"/>
  <c r="AS10" i="2638"/>
  <c r="AR10" i="2638"/>
  <c r="AQ10" i="2638"/>
  <c r="AP10" i="2638"/>
  <c r="AO10" i="2638"/>
  <c r="AM10" i="2638"/>
  <c r="AL10" i="2638"/>
  <c r="AK10" i="2638"/>
  <c r="AJ10" i="2638"/>
  <c r="AI10" i="2638"/>
  <c r="AH10" i="2638"/>
  <c r="AG10" i="2638"/>
  <c r="AF10" i="2638"/>
  <c r="AE10" i="2638"/>
  <c r="AD10" i="2638"/>
  <c r="AC10" i="2638"/>
  <c r="AB10" i="2638"/>
  <c r="Z10" i="2638"/>
  <c r="Y10" i="2638"/>
  <c r="X10" i="2638"/>
  <c r="V10" i="2638"/>
  <c r="U10" i="2638"/>
  <c r="T10" i="2638"/>
  <c r="T9" i="2638" s="1"/>
  <c r="T7" i="2638" s="1"/>
  <c r="S10" i="2638"/>
  <c r="R10" i="2638"/>
  <c r="Q10" i="2638"/>
  <c r="P10" i="2638"/>
  <c r="O10" i="2638"/>
  <c r="M10" i="2638"/>
  <c r="L10" i="2638"/>
  <c r="K10" i="2638"/>
  <c r="J10" i="2638"/>
  <c r="I10" i="2638"/>
  <c r="H10" i="2638"/>
  <c r="G10" i="2638"/>
  <c r="G9" i="2638" s="1"/>
  <c r="G7" i="2638" s="1"/>
  <c r="F10" i="2638"/>
  <c r="E10" i="2638"/>
  <c r="D10" i="2638"/>
  <c r="C10" i="2638"/>
  <c r="B10" i="2638"/>
  <c r="EA5" i="2638"/>
  <c r="DN5" i="2638"/>
  <c r="DA5" i="2638"/>
  <c r="CN5" i="2638"/>
  <c r="CA5" i="2638"/>
  <c r="BN5" i="2638"/>
  <c r="BA5" i="2638"/>
  <c r="AN5" i="2638"/>
  <c r="AA5" i="2638"/>
  <c r="N5" i="2638"/>
  <c r="FE4" i="2638"/>
  <c r="F9" i="2638" l="1"/>
  <c r="F7" i="2638" s="1"/>
  <c r="S9" i="2638"/>
  <c r="S7" i="2638" s="1"/>
  <c r="AG9" i="2638"/>
  <c r="AG7" i="2638" s="1"/>
  <c r="AT9" i="2638"/>
  <c r="AT7" i="2638" s="1"/>
  <c r="BI9" i="2638"/>
  <c r="BI7" i="2638" s="1"/>
  <c r="W9" i="2638"/>
  <c r="W7" i="2638" s="1"/>
  <c r="CQ9" i="2638"/>
  <c r="CQ7" i="2638" s="1"/>
  <c r="DD9" i="2638"/>
  <c r="DD7" i="2638" s="1"/>
  <c r="CD9" i="2638"/>
  <c r="CD7" i="2638" s="1"/>
  <c r="CJ9" i="2638"/>
  <c r="CJ7" i="2638" s="1"/>
  <c r="CW9" i="2638"/>
  <c r="CW7" i="2638" s="1"/>
  <c r="DJ9" i="2638"/>
  <c r="DJ7" i="2638" s="1"/>
  <c r="DW9" i="2638"/>
  <c r="DW7" i="2638" s="1"/>
  <c r="BM9" i="2638"/>
  <c r="BM7" i="2638" s="1"/>
  <c r="AH9" i="2638"/>
  <c r="AH7" i="2638" s="1"/>
  <c r="CR9" i="2638"/>
  <c r="CR7" i="2638" s="1"/>
  <c r="U9" i="2638"/>
  <c r="U7" i="2638" s="1"/>
  <c r="AU9" i="2638"/>
  <c r="AU7" i="2638" s="1"/>
  <c r="CL9" i="2638"/>
  <c r="CL7" i="2638" s="1"/>
  <c r="DE9" i="2638"/>
  <c r="DE7" i="2638" s="1"/>
  <c r="H9" i="2638"/>
  <c r="H7" i="2638" s="1"/>
  <c r="DL9" i="2638"/>
  <c r="DL7" i="2638" s="1"/>
  <c r="CY9" i="2638"/>
  <c r="CY7" i="2638" s="1"/>
  <c r="CB9" i="2638"/>
  <c r="CB7" i="2638" s="1"/>
  <c r="CS9" i="2638"/>
  <c r="CS7" i="2638" s="1"/>
  <c r="AJ9" i="2638"/>
  <c r="AJ7" i="2638" s="1"/>
  <c r="DH9" i="2638"/>
  <c r="DH7" i="2638" s="1"/>
  <c r="DF9" i="2638"/>
  <c r="DF7" i="2638" s="1"/>
  <c r="AW9" i="2638"/>
  <c r="AW7" i="2638" s="1"/>
  <c r="BP9" i="2638"/>
  <c r="BP7" i="2638" s="1"/>
  <c r="X9" i="2638"/>
  <c r="X7" i="2638" s="1"/>
  <c r="CH9" i="2638"/>
  <c r="CH7" i="2638" s="1"/>
  <c r="K9" i="2638"/>
  <c r="K7" i="2638" s="1"/>
  <c r="Y9" i="2638"/>
  <c r="Y7" i="2638" s="1"/>
  <c r="AL9" i="2638"/>
  <c r="AL7" i="2638" s="1"/>
  <c r="AY9" i="2638"/>
  <c r="AY7" i="2638" s="1"/>
  <c r="BR9" i="2638"/>
  <c r="BR7" i="2638" s="1"/>
  <c r="CI9" i="2638"/>
  <c r="CI7" i="2638" s="1"/>
  <c r="CV9" i="2638"/>
  <c r="CV7" i="2638" s="1"/>
  <c r="DI9" i="2638"/>
  <c r="DI7" i="2638" s="1"/>
  <c r="DG9" i="2638"/>
  <c r="DG7" i="2638" s="1"/>
  <c r="M9" i="2638"/>
  <c r="M7" i="2638" s="1"/>
  <c r="CK9" i="2638"/>
  <c r="CK7" i="2638" s="1"/>
  <c r="AV9" i="2638"/>
  <c r="AV7" i="2638" s="1"/>
  <c r="I9" i="2638"/>
  <c r="I7" i="2638" s="1"/>
  <c r="BQ9" i="2638"/>
  <c r="BQ7" i="2638" s="1"/>
  <c r="L9" i="2638"/>
  <c r="L7" i="2638" s="1"/>
  <c r="AZ9" i="2638"/>
  <c r="AZ7" i="2638" s="1"/>
  <c r="AO9" i="2638"/>
  <c r="AO7" i="2638" s="1"/>
  <c r="CX9" i="2638"/>
  <c r="CX7" i="2638" s="1"/>
  <c r="B9" i="2638"/>
  <c r="B7" i="2638" s="1"/>
  <c r="AP9" i="2638"/>
  <c r="AP7" i="2638" s="1"/>
  <c r="CC9" i="2638"/>
  <c r="CC7" i="2638" s="1"/>
  <c r="AI9" i="2638"/>
  <c r="AI7" i="2638" s="1"/>
  <c r="V9" i="2638"/>
  <c r="V7" i="2638" s="1"/>
  <c r="AK9" i="2638"/>
  <c r="AK7" i="2638" s="1"/>
  <c r="BD9" i="2638"/>
  <c r="BD7" i="2638" s="1"/>
  <c r="AC9" i="2638"/>
  <c r="AC7" i="2638" s="1"/>
  <c r="BE9" i="2638"/>
  <c r="BE7" i="2638" s="1"/>
  <c r="AQ9" i="2638"/>
  <c r="AQ7" i="2638" s="1"/>
  <c r="DM9" i="2638"/>
  <c r="DM7" i="2638" s="1"/>
  <c r="BO9" i="2638"/>
  <c r="BO7" i="2638" s="1"/>
  <c r="CT9" i="2638"/>
  <c r="CT7" i="2638" s="1"/>
  <c r="J9" i="2638"/>
  <c r="J7" i="2638" s="1"/>
  <c r="CU9" i="2638"/>
  <c r="CU7" i="2638" s="1"/>
  <c r="AM9" i="2638"/>
  <c r="AM7" i="2638" s="1"/>
  <c r="BT9" i="2638"/>
  <c r="BT7" i="2638" s="1"/>
  <c r="BU9" i="2638"/>
  <c r="BU7" i="2638" s="1"/>
  <c r="C9" i="2638"/>
  <c r="C7" i="2638" s="1"/>
  <c r="AD9" i="2638"/>
  <c r="AD7" i="2638" s="1"/>
  <c r="BX9" i="2638"/>
  <c r="BX7" i="2638" s="1"/>
  <c r="CM9" i="2638"/>
  <c r="CM7" i="2638" s="1"/>
  <c r="FC31" i="2638"/>
  <c r="FC23" i="2638"/>
  <c r="FC15" i="2638"/>
  <c r="FI33" i="2638"/>
  <c r="FI20" i="2638"/>
  <c r="FC27" i="2638"/>
  <c r="FC19" i="2638"/>
  <c r="FC11" i="2638"/>
  <c r="FI26" i="2638"/>
  <c r="FI13" i="2638"/>
  <c r="FH21" i="2638"/>
  <c r="FE15" i="2638"/>
  <c r="FH34" i="2638"/>
  <c r="FE23" i="2638"/>
  <c r="FF23" i="2638"/>
  <c r="FI22" i="2638"/>
  <c r="FH29" i="2638"/>
  <c r="FI18" i="2638"/>
  <c r="FE29" i="2638"/>
  <c r="FH15" i="2638"/>
  <c r="FC29" i="2638"/>
  <c r="FE18" i="2638"/>
  <c r="FF27" i="2638"/>
  <c r="FH26" i="2638"/>
  <c r="FH16" i="2638"/>
  <c r="FF12" i="2638"/>
  <c r="FH19" i="2638"/>
  <c r="FH24" i="2638"/>
  <c r="FI17" i="2638"/>
  <c r="FF10" i="2638"/>
  <c r="FE12" i="2638"/>
  <c r="FH25" i="2638"/>
  <c r="FH30" i="2638"/>
  <c r="FF14" i="2638"/>
  <c r="FE25" i="2638"/>
  <c r="FI11" i="2638"/>
  <c r="FI28" i="2638"/>
  <c r="FF7" i="2638"/>
  <c r="FI24" i="2638"/>
  <c r="FH12" i="2638"/>
  <c r="FE11" i="2638"/>
  <c r="FH11" i="2638"/>
  <c r="FE22" i="2638"/>
  <c r="FC28" i="2638"/>
  <c r="FH33" i="2638"/>
  <c r="FI30" i="2638"/>
  <c r="FE31" i="2638"/>
  <c r="FE26" i="2638"/>
  <c r="FH22" i="2638"/>
  <c r="FF16" i="2638"/>
  <c r="FF9" i="2638"/>
  <c r="FI15" i="2638"/>
  <c r="FE30" i="2638"/>
  <c r="FI21" i="2638"/>
  <c r="FC17" i="2638"/>
  <c r="FI29" i="2638"/>
  <c r="FE33" i="2638"/>
  <c r="FH28" i="2638"/>
  <c r="FE16" i="2638"/>
  <c r="FF20" i="2638"/>
  <c r="FF13" i="2638"/>
  <c r="FH32" i="2638"/>
  <c r="FI27" i="2638"/>
  <c r="FE13" i="2638"/>
  <c r="FE34" i="2638"/>
  <c r="FC13" i="2638"/>
  <c r="FF18" i="2638"/>
  <c r="FE20" i="2638"/>
  <c r="FF17" i="2638"/>
  <c r="FC10" i="2638"/>
  <c r="FF22" i="2638"/>
  <c r="FF19" i="2638"/>
  <c r="FC21" i="2638"/>
  <c r="FF24" i="2638"/>
  <c r="FF11" i="2638"/>
  <c r="FC33" i="2638"/>
  <c r="FI16" i="2638"/>
  <c r="FC12" i="2638"/>
  <c r="FE24" i="2638"/>
  <c r="FF28" i="2638"/>
  <c r="FF21" i="2638"/>
  <c r="FC14" i="2638"/>
  <c r="FF31" i="2638"/>
  <c r="FI12" i="2638"/>
  <c r="FH27" i="2638"/>
  <c r="FH18" i="2638"/>
  <c r="FF26" i="2638"/>
  <c r="FC20" i="2638"/>
  <c r="FF29" i="2638"/>
  <c r="FC22" i="2638"/>
  <c r="FI25" i="2638"/>
  <c r="FE17" i="2638"/>
  <c r="FC25" i="2638"/>
  <c r="FI23" i="2638"/>
  <c r="FI32" i="2638"/>
  <c r="FH17" i="2638"/>
  <c r="FC30" i="2638"/>
  <c r="FH23" i="2638"/>
  <c r="FH20" i="2638"/>
  <c r="FC16" i="2638"/>
  <c r="FE28" i="2638"/>
  <c r="FF32" i="2638"/>
  <c r="FF25" i="2638"/>
  <c r="FC18" i="2638"/>
  <c r="FC24" i="2638"/>
  <c r="FI19" i="2638"/>
  <c r="FE19" i="2638"/>
  <c r="FF30" i="2638"/>
  <c r="FE32" i="2638"/>
  <c r="FI10" i="2638"/>
  <c r="FE27" i="2638"/>
  <c r="FF34" i="2638"/>
  <c r="FC26" i="2638"/>
  <c r="FE10" i="2638"/>
  <c r="FE14" i="2638"/>
  <c r="FF15" i="2638"/>
  <c r="FI34" i="2638"/>
  <c r="FC32" i="2638"/>
  <c r="FH10" i="2638"/>
  <c r="FF33" i="2638"/>
  <c r="FE21" i="2638"/>
  <c r="FH13" i="2638"/>
  <c r="FC34" i="2638"/>
  <c r="D9" i="2638"/>
  <c r="D7" i="2638" s="1"/>
  <c r="Q9" i="2638"/>
  <c r="Q7" i="2638" s="1"/>
  <c r="AE9" i="2638"/>
  <c r="AE7" i="2638" s="1"/>
  <c r="AR9" i="2638"/>
  <c r="AR7" i="2638" s="1"/>
  <c r="BG9" i="2638"/>
  <c r="BG7" i="2638" s="1"/>
  <c r="BY9" i="2638"/>
  <c r="BY7" i="2638" s="1"/>
  <c r="CO9" i="2638"/>
  <c r="CO7" i="2638" s="1"/>
  <c r="DB9" i="2638"/>
  <c r="DB7" i="2638" s="1"/>
  <c r="CF9" i="2638"/>
  <c r="CF7" i="2638" s="1"/>
  <c r="CG9" i="2638"/>
  <c r="CG7" i="2638" s="1"/>
  <c r="AX9" i="2638"/>
  <c r="AX7" i="2638" s="1"/>
  <c r="Z9" i="2638"/>
  <c r="Z7" i="2638" s="1"/>
  <c r="AB9" i="2638"/>
  <c r="AB7" i="2638" s="1"/>
  <c r="DK9" i="2638"/>
  <c r="DK7" i="2638" s="1"/>
  <c r="O9" i="2638"/>
  <c r="O7" i="2638" s="1"/>
  <c r="P9" i="2638"/>
  <c r="P7" i="2638" s="1"/>
  <c r="BF9" i="2638"/>
  <c r="BF7" i="2638" s="1"/>
  <c r="CZ9" i="2638"/>
  <c r="CZ7" i="2638" s="1"/>
  <c r="E9" i="2638"/>
  <c r="E7" i="2638" s="1"/>
  <c r="R9" i="2638"/>
  <c r="R7" i="2638" s="1"/>
  <c r="AF9" i="2638"/>
  <c r="AF7" i="2638" s="1"/>
  <c r="AS9" i="2638"/>
  <c r="AS7" i="2638" s="1"/>
  <c r="BH9" i="2638"/>
  <c r="BH7" i="2638" s="1"/>
  <c r="BZ9" i="2638"/>
  <c r="BZ7" i="2638" s="1"/>
  <c r="CP9" i="2638"/>
  <c r="CP7" i="2638" s="1"/>
  <c r="DC9" i="2638"/>
  <c r="DC7" i="2638" s="1"/>
  <c r="DS9" i="2638"/>
  <c r="DS7" i="2638" s="1"/>
  <c r="DV9" i="2638"/>
  <c r="DV7" i="2638" s="1"/>
  <c r="DR9" i="2638"/>
  <c r="DR7" i="2638" s="1"/>
  <c r="DZ9" i="2638"/>
  <c r="DZ7" i="2638" s="1"/>
  <c r="DP9" i="2638"/>
  <c r="DP7" i="2638" s="1"/>
  <c r="DU9" i="2638"/>
  <c r="DU7" i="2638" s="1"/>
  <c r="BS10" i="2638"/>
  <c r="BS9" i="2638" s="1"/>
  <c r="BS7" i="2638" s="1"/>
  <c r="DT9" i="2638"/>
  <c r="DT7" i="2638" s="1"/>
  <c r="BN24" i="2638"/>
  <c r="CN19" i="2638"/>
  <c r="CE10" i="2638"/>
  <c r="CE9" i="2638" s="1"/>
  <c r="CE7" i="2638" s="1"/>
  <c r="CA17" i="2638"/>
  <c r="CA20" i="2638"/>
  <c r="CN20" i="2638"/>
  <c r="DA20" i="2638"/>
  <c r="DN20" i="2638"/>
  <c r="EA20" i="2638"/>
  <c r="FC4" i="2638"/>
  <c r="DQ9" i="2638"/>
  <c r="DQ7" i="2638" s="1"/>
  <c r="DX9" i="2638"/>
  <c r="DX7" i="2638" s="1"/>
  <c r="BA10" i="2638"/>
  <c r="BN10" i="2638"/>
  <c r="N10" i="2638"/>
  <c r="AA10" i="2638"/>
  <c r="CA13" i="2638"/>
  <c r="N20" i="2638"/>
  <c r="AA20" i="2638"/>
  <c r="AN20" i="2638"/>
  <c r="BA20" i="2638"/>
  <c r="BN20" i="2638"/>
  <c r="CA24" i="2638"/>
  <c r="DA24" i="2638"/>
  <c r="DN24" i="2638"/>
  <c r="EA24" i="2638"/>
  <c r="CA19" i="2638"/>
  <c r="DY9" i="2638"/>
  <c r="AA24" i="2638"/>
  <c r="DN10" i="2638"/>
  <c r="EA10" i="2638"/>
  <c r="BV10" i="2638"/>
  <c r="BV9" i="2638" s="1"/>
  <c r="BV7" i="2638" s="1"/>
  <c r="N24" i="2638"/>
  <c r="AN24" i="2638"/>
  <c r="BA24" i="2638"/>
  <c r="AN10" i="2638"/>
  <c r="DA10" i="2638"/>
  <c r="DO9" i="2638"/>
  <c r="DO7" i="2638" s="1"/>
  <c r="AA18" i="2638"/>
  <c r="FD5" i="2638"/>
  <c r="CN24" i="2638"/>
  <c r="FD30" i="2638" l="1"/>
  <c r="FD34" i="2638"/>
  <c r="FI7" i="2638"/>
  <c r="DY7" i="2638"/>
  <c r="EA7" i="2638" s="1"/>
  <c r="FD28" i="2638"/>
  <c r="FD29" i="2638"/>
  <c r="FD33" i="2638"/>
  <c r="FD27" i="2638"/>
  <c r="FD14" i="2638"/>
  <c r="FD15" i="2638"/>
  <c r="FD20" i="2638"/>
  <c r="FD19" i="2638"/>
  <c r="FD32" i="2638"/>
  <c r="FD31" i="2638"/>
  <c r="FD26" i="2638"/>
  <c r="FD16" i="2638"/>
  <c r="FD11" i="2638"/>
  <c r="FD18" i="2638"/>
  <c r="FC7" i="2638"/>
  <c r="FD10" i="2638"/>
  <c r="FE9" i="2638"/>
  <c r="FD9" i="2638" s="1"/>
  <c r="FD13" i="2638"/>
  <c r="FD22" i="2638"/>
  <c r="FD23" i="2638"/>
  <c r="FD21" i="2638"/>
  <c r="FH7" i="2638"/>
  <c r="FH9" i="2638"/>
  <c r="FD12" i="2638"/>
  <c r="FI9" i="2638"/>
  <c r="FD25" i="2638"/>
  <c r="FD24" i="2638"/>
  <c r="FD17" i="2638"/>
  <c r="FC9" i="2638"/>
  <c r="CA7" i="2638"/>
  <c r="DN9" i="2638"/>
  <c r="CA10" i="2638"/>
  <c r="CN9" i="2638"/>
  <c r="AN9" i="2638"/>
  <c r="CN10" i="2638"/>
  <c r="DN7" i="2638"/>
  <c r="N9" i="2638"/>
  <c r="CA9" i="2638"/>
  <c r="AA7" i="2638"/>
  <c r="BA7" i="2638"/>
  <c r="BA9" i="2638"/>
  <c r="AN7" i="2638"/>
  <c r="AA9" i="2638"/>
  <c r="N7" i="2638"/>
  <c r="DA7" i="2638"/>
  <c r="DA9" i="2638"/>
  <c r="CN7" i="2638"/>
  <c r="FJ20" i="2638"/>
  <c r="FJ11" i="2638"/>
  <c r="FJ13" i="2638"/>
  <c r="FJ15" i="2638"/>
  <c r="FJ32" i="2638"/>
  <c r="FJ27" i="2638"/>
  <c r="FJ30" i="2638"/>
  <c r="FE7" i="2638"/>
  <c r="FD7" i="2638" s="1"/>
  <c r="EA9" i="2638"/>
  <c r="FJ24" i="2638"/>
  <c r="FJ10" i="2638"/>
  <c r="FJ25" i="2638"/>
  <c r="BN7" i="2638"/>
  <c r="BN9" i="2638"/>
  <c r="FJ26" i="2638"/>
  <c r="FJ23" i="2638"/>
  <c r="FJ19" i="2638"/>
  <c r="FJ34" i="2638"/>
  <c r="FJ17" i="2638"/>
  <c r="FJ21" i="2638"/>
  <c r="FJ29" i="2638"/>
  <c r="FE5" i="2638"/>
  <c r="FF5" i="2638"/>
  <c r="FJ12" i="2638"/>
  <c r="FJ33" i="2638"/>
  <c r="FJ16" i="2638"/>
  <c r="FJ18" i="2638"/>
  <c r="FJ28" i="2638"/>
  <c r="FJ22" i="2638"/>
  <c r="EA32" i="2636"/>
  <c r="DN32" i="2636"/>
  <c r="DA32" i="2636"/>
  <c r="CN32" i="2636"/>
  <c r="CA32" i="2636"/>
  <c r="BN32" i="2636"/>
  <c r="BA32" i="2636"/>
  <c r="AN32" i="2636"/>
  <c r="AA32" i="2636"/>
  <c r="N32" i="2636"/>
  <c r="EA31" i="2636"/>
  <c r="DN31" i="2636"/>
  <c r="DA31" i="2636"/>
  <c r="CN31" i="2636"/>
  <c r="CA31" i="2636"/>
  <c r="BN31" i="2636"/>
  <c r="BA31" i="2636"/>
  <c r="AN31" i="2636"/>
  <c r="AA31" i="2636"/>
  <c r="N31" i="2636"/>
  <c r="EA30" i="2636"/>
  <c r="DN30" i="2636"/>
  <c r="DA30" i="2636"/>
  <c r="CN30" i="2636"/>
  <c r="CA30" i="2636"/>
  <c r="BN30" i="2636"/>
  <c r="BA30" i="2636"/>
  <c r="AN30" i="2636"/>
  <c r="AA30" i="2636"/>
  <c r="N30" i="2636"/>
  <c r="EA29" i="2636"/>
  <c r="DN29" i="2636"/>
  <c r="DA29" i="2636"/>
  <c r="CN29" i="2636"/>
  <c r="CA29" i="2636"/>
  <c r="BN29" i="2636"/>
  <c r="BA29" i="2636"/>
  <c r="AN29" i="2636"/>
  <c r="AA29" i="2636"/>
  <c r="N29" i="2636"/>
  <c r="EA28" i="2636"/>
  <c r="DN28" i="2636"/>
  <c r="DA28" i="2636"/>
  <c r="CN28" i="2636"/>
  <c r="CA28" i="2636"/>
  <c r="BN28" i="2636"/>
  <c r="BA28" i="2636"/>
  <c r="AN28" i="2636"/>
  <c r="AA28" i="2636"/>
  <c r="N28" i="2636"/>
  <c r="DZ27" i="2636"/>
  <c r="DY27" i="2636"/>
  <c r="DX27" i="2636"/>
  <c r="DW27" i="2636"/>
  <c r="DV27" i="2636"/>
  <c r="DU27" i="2636"/>
  <c r="DT27" i="2636"/>
  <c r="DS27" i="2636"/>
  <c r="DR27" i="2636"/>
  <c r="DQ27" i="2636"/>
  <c r="DP27" i="2636"/>
  <c r="DO27" i="2636"/>
  <c r="DM27" i="2636"/>
  <c r="DL27" i="2636"/>
  <c r="DK27" i="2636"/>
  <c r="DJ27" i="2636"/>
  <c r="DI27" i="2636"/>
  <c r="DH27" i="2636"/>
  <c r="DG27" i="2636"/>
  <c r="DF27" i="2636"/>
  <c r="DE27" i="2636"/>
  <c r="DD27" i="2636"/>
  <c r="DC27" i="2636"/>
  <c r="DB27" i="2636"/>
  <c r="CZ27" i="2636"/>
  <c r="CY27" i="2636"/>
  <c r="CX27" i="2636"/>
  <c r="CW27" i="2636"/>
  <c r="CV27" i="2636"/>
  <c r="CU27" i="2636"/>
  <c r="CT27" i="2636"/>
  <c r="CS27" i="2636"/>
  <c r="CR27" i="2636"/>
  <c r="CQ27" i="2636"/>
  <c r="CP27" i="2636"/>
  <c r="CO27" i="2636"/>
  <c r="CM27" i="2636"/>
  <c r="CL27" i="2636"/>
  <c r="CK27" i="2636"/>
  <c r="CJ27" i="2636"/>
  <c r="CI27" i="2636"/>
  <c r="CH27" i="2636"/>
  <c r="CG27" i="2636"/>
  <c r="CF27" i="2636"/>
  <c r="CE27" i="2636"/>
  <c r="CD27" i="2636"/>
  <c r="CC27" i="2636"/>
  <c r="CB27" i="2636"/>
  <c r="BZ27" i="2636"/>
  <c r="BY27" i="2636"/>
  <c r="BX27" i="2636"/>
  <c r="BW27" i="2636"/>
  <c r="BV27" i="2636"/>
  <c r="BU27" i="2636"/>
  <c r="BT27" i="2636"/>
  <c r="BS27" i="2636"/>
  <c r="BR27" i="2636"/>
  <c r="BQ27" i="2636"/>
  <c r="BP27" i="2636"/>
  <c r="BO27" i="2636"/>
  <c r="BM27" i="2636"/>
  <c r="BL27" i="2636"/>
  <c r="BK27" i="2636"/>
  <c r="BJ27" i="2636"/>
  <c r="BI27" i="2636"/>
  <c r="BH27" i="2636"/>
  <c r="BG27" i="2636"/>
  <c r="BF27" i="2636"/>
  <c r="BE27" i="2636"/>
  <c r="BD27" i="2636"/>
  <c r="BC27" i="2636"/>
  <c r="BB27" i="2636"/>
  <c r="AZ27" i="2636"/>
  <c r="AY27" i="2636"/>
  <c r="AX27" i="2636"/>
  <c r="AW27" i="2636"/>
  <c r="AV27" i="2636"/>
  <c r="AU27" i="2636"/>
  <c r="AT27" i="2636"/>
  <c r="AS27" i="2636"/>
  <c r="AR27" i="2636"/>
  <c r="AQ27" i="2636"/>
  <c r="AP27" i="2636"/>
  <c r="AO27" i="2636"/>
  <c r="AM27" i="2636"/>
  <c r="AL27" i="2636"/>
  <c r="AK27" i="2636"/>
  <c r="AJ27" i="2636"/>
  <c r="AI27" i="2636"/>
  <c r="AH27" i="2636"/>
  <c r="AG27" i="2636"/>
  <c r="AF27" i="2636"/>
  <c r="AE27" i="2636"/>
  <c r="AD27" i="2636"/>
  <c r="AC27" i="2636"/>
  <c r="AB27" i="2636"/>
  <c r="Z27" i="2636"/>
  <c r="Y27" i="2636"/>
  <c r="X27" i="2636"/>
  <c r="W27" i="2636"/>
  <c r="V27" i="2636"/>
  <c r="U27" i="2636"/>
  <c r="T27" i="2636"/>
  <c r="S27" i="2636"/>
  <c r="R27" i="2636"/>
  <c r="Q27" i="2636"/>
  <c r="P27" i="2636"/>
  <c r="O27" i="2636"/>
  <c r="M27" i="2636"/>
  <c r="L27" i="2636"/>
  <c r="K27" i="2636"/>
  <c r="J27" i="2636"/>
  <c r="I27" i="2636"/>
  <c r="H27" i="2636"/>
  <c r="G27" i="2636"/>
  <c r="F27" i="2636"/>
  <c r="E27" i="2636"/>
  <c r="D27" i="2636"/>
  <c r="C27" i="2636"/>
  <c r="B27" i="2636"/>
  <c r="EA25" i="2636"/>
  <c r="DN25" i="2636"/>
  <c r="DA25" i="2636"/>
  <c r="CN25" i="2636"/>
  <c r="CA25" i="2636"/>
  <c r="BN25" i="2636"/>
  <c r="BA25" i="2636"/>
  <c r="AN25" i="2636"/>
  <c r="AA25" i="2636"/>
  <c r="N25" i="2636"/>
  <c r="EA24" i="2636"/>
  <c r="DN24" i="2636"/>
  <c r="DA24" i="2636"/>
  <c r="CN24" i="2636"/>
  <c r="CA24" i="2636"/>
  <c r="BN24" i="2636"/>
  <c r="BA24" i="2636"/>
  <c r="AN24" i="2636"/>
  <c r="AA24" i="2636"/>
  <c r="N24" i="2636"/>
  <c r="EA23" i="2636"/>
  <c r="DN23" i="2636"/>
  <c r="DA23" i="2636"/>
  <c r="CN23" i="2636"/>
  <c r="CA23" i="2636"/>
  <c r="BN23" i="2636"/>
  <c r="BA23" i="2636"/>
  <c r="AN23" i="2636"/>
  <c r="AA23" i="2636"/>
  <c r="N23" i="2636"/>
  <c r="EA22" i="2636"/>
  <c r="DN22" i="2636"/>
  <c r="DA22" i="2636"/>
  <c r="CN22" i="2636"/>
  <c r="CA22" i="2636"/>
  <c r="BN22" i="2636"/>
  <c r="BA22" i="2636"/>
  <c r="AN22" i="2636"/>
  <c r="AA22" i="2636"/>
  <c r="N22" i="2636"/>
  <c r="EA21" i="2636"/>
  <c r="DN21" i="2636"/>
  <c r="DA21" i="2636"/>
  <c r="CN21" i="2636"/>
  <c r="CA21" i="2636"/>
  <c r="BN21" i="2636"/>
  <c r="BA21" i="2636"/>
  <c r="AN21" i="2636"/>
  <c r="AA21" i="2636"/>
  <c r="N21" i="2636"/>
  <c r="EA20" i="2636"/>
  <c r="DN20" i="2636"/>
  <c r="DA20" i="2636"/>
  <c r="CN20" i="2636"/>
  <c r="CA20" i="2636"/>
  <c r="BN20" i="2636"/>
  <c r="BA20" i="2636"/>
  <c r="AN20" i="2636"/>
  <c r="AA20" i="2636"/>
  <c r="N20" i="2636"/>
  <c r="EA19" i="2636"/>
  <c r="DN19" i="2636"/>
  <c r="DA19" i="2636"/>
  <c r="CN19" i="2636"/>
  <c r="CA19" i="2636"/>
  <c r="BN19" i="2636"/>
  <c r="BA19" i="2636"/>
  <c r="AN19" i="2636"/>
  <c r="AA19" i="2636"/>
  <c r="N19" i="2636"/>
  <c r="EA18" i="2636"/>
  <c r="DN18" i="2636"/>
  <c r="DA18" i="2636"/>
  <c r="CN18" i="2636"/>
  <c r="CA18" i="2636"/>
  <c r="BN18" i="2636"/>
  <c r="BA18" i="2636"/>
  <c r="AN18" i="2636"/>
  <c r="AA18" i="2636"/>
  <c r="N18" i="2636"/>
  <c r="EA17" i="2636"/>
  <c r="DN17" i="2636"/>
  <c r="DA17" i="2636"/>
  <c r="CN17" i="2636"/>
  <c r="CA17" i="2636"/>
  <c r="BN17" i="2636"/>
  <c r="BA17" i="2636"/>
  <c r="AN17" i="2636"/>
  <c r="AA17" i="2636"/>
  <c r="N17" i="2636"/>
  <c r="EA16" i="2636"/>
  <c r="DN16" i="2636"/>
  <c r="DA16" i="2636"/>
  <c r="CN16" i="2636"/>
  <c r="CA16" i="2636"/>
  <c r="BN16" i="2636"/>
  <c r="BA16" i="2636"/>
  <c r="AN16" i="2636"/>
  <c r="AA16" i="2636"/>
  <c r="N16" i="2636"/>
  <c r="EA15" i="2636"/>
  <c r="DN15" i="2636"/>
  <c r="DA15" i="2636"/>
  <c r="CN15" i="2636"/>
  <c r="CA15" i="2636"/>
  <c r="BN15" i="2636"/>
  <c r="BA15" i="2636"/>
  <c r="AN15" i="2636"/>
  <c r="AA15" i="2636"/>
  <c r="N15" i="2636"/>
  <c r="EA14" i="2636"/>
  <c r="DN14" i="2636"/>
  <c r="DA14" i="2636"/>
  <c r="CN14" i="2636"/>
  <c r="CA14" i="2636"/>
  <c r="BN14" i="2636"/>
  <c r="BA14" i="2636"/>
  <c r="AN14" i="2636"/>
  <c r="AA14" i="2636"/>
  <c r="N14" i="2636"/>
  <c r="EA13" i="2636"/>
  <c r="DN13" i="2636"/>
  <c r="DA13" i="2636"/>
  <c r="CN13" i="2636"/>
  <c r="CA13" i="2636"/>
  <c r="BN13" i="2636"/>
  <c r="BA13" i="2636"/>
  <c r="AN13" i="2636"/>
  <c r="AA13" i="2636"/>
  <c r="N13" i="2636"/>
  <c r="EA12" i="2636"/>
  <c r="DN12" i="2636"/>
  <c r="DA12" i="2636"/>
  <c r="CN12" i="2636"/>
  <c r="CA12" i="2636"/>
  <c r="BN12" i="2636"/>
  <c r="BA12" i="2636"/>
  <c r="AN12" i="2636"/>
  <c r="AA12" i="2636"/>
  <c r="N12" i="2636"/>
  <c r="EA11" i="2636"/>
  <c r="DN11" i="2636"/>
  <c r="DA11" i="2636"/>
  <c r="CN11" i="2636"/>
  <c r="CA11" i="2636"/>
  <c r="BN11" i="2636"/>
  <c r="BA11" i="2636"/>
  <c r="AN11" i="2636"/>
  <c r="AA11" i="2636"/>
  <c r="N11" i="2636"/>
  <c r="EA10" i="2636"/>
  <c r="DN10" i="2636"/>
  <c r="DA10" i="2636"/>
  <c r="CN10" i="2636"/>
  <c r="CA10" i="2636"/>
  <c r="BN10" i="2636"/>
  <c r="BA10" i="2636"/>
  <c r="AN10" i="2636"/>
  <c r="AA10" i="2636"/>
  <c r="N10" i="2636"/>
  <c r="EA9" i="2636"/>
  <c r="DN9" i="2636"/>
  <c r="DA9" i="2636"/>
  <c r="CN9" i="2636"/>
  <c r="CA9" i="2636"/>
  <c r="BN9" i="2636"/>
  <c r="BA9" i="2636"/>
  <c r="AN9" i="2636"/>
  <c r="AA9" i="2636"/>
  <c r="N9" i="2636"/>
  <c r="EA8" i="2636"/>
  <c r="DN8" i="2636"/>
  <c r="DA8" i="2636"/>
  <c r="CN8" i="2636"/>
  <c r="CA8" i="2636"/>
  <c r="BN8" i="2636"/>
  <c r="BA8" i="2636"/>
  <c r="AN8" i="2636"/>
  <c r="AA8" i="2636"/>
  <c r="N8" i="2636"/>
  <c r="DZ7" i="2636"/>
  <c r="DY7" i="2636"/>
  <c r="DX7" i="2636"/>
  <c r="DW7" i="2636"/>
  <c r="DV7" i="2636"/>
  <c r="DU7" i="2636"/>
  <c r="DT7" i="2636"/>
  <c r="DS7" i="2636"/>
  <c r="DR7" i="2636"/>
  <c r="DQ7" i="2636"/>
  <c r="DP7" i="2636"/>
  <c r="DO7" i="2636"/>
  <c r="DM7" i="2636"/>
  <c r="DL7" i="2636"/>
  <c r="DK7" i="2636"/>
  <c r="DJ7" i="2636"/>
  <c r="DI7" i="2636"/>
  <c r="DH7" i="2636"/>
  <c r="DG7" i="2636"/>
  <c r="DF7" i="2636"/>
  <c r="DE7" i="2636"/>
  <c r="DD7" i="2636"/>
  <c r="DC7" i="2636"/>
  <c r="DB7" i="2636"/>
  <c r="CZ7" i="2636"/>
  <c r="CY7" i="2636"/>
  <c r="CX7" i="2636"/>
  <c r="CW7" i="2636"/>
  <c r="CV7" i="2636"/>
  <c r="CU7" i="2636"/>
  <c r="CT7" i="2636"/>
  <c r="CS7" i="2636"/>
  <c r="CR7" i="2636"/>
  <c r="CQ7" i="2636"/>
  <c r="CP7" i="2636"/>
  <c r="CO7" i="2636"/>
  <c r="CM7" i="2636"/>
  <c r="CL7" i="2636"/>
  <c r="CK7" i="2636"/>
  <c r="CJ7" i="2636"/>
  <c r="CI7" i="2636"/>
  <c r="CH7" i="2636"/>
  <c r="CG7" i="2636"/>
  <c r="CF7" i="2636"/>
  <c r="CE7" i="2636"/>
  <c r="CD7" i="2636"/>
  <c r="CC7" i="2636"/>
  <c r="CB7" i="2636"/>
  <c r="BZ7" i="2636"/>
  <c r="BY7" i="2636"/>
  <c r="BX7" i="2636"/>
  <c r="BW7" i="2636"/>
  <c r="BV7" i="2636"/>
  <c r="BU7" i="2636"/>
  <c r="BT7" i="2636"/>
  <c r="BS7" i="2636"/>
  <c r="BR7" i="2636"/>
  <c r="BQ7" i="2636"/>
  <c r="BP7" i="2636"/>
  <c r="BO7" i="2636"/>
  <c r="BM7" i="2636"/>
  <c r="BL7" i="2636"/>
  <c r="BK7" i="2636"/>
  <c r="BJ7" i="2636"/>
  <c r="BI7" i="2636"/>
  <c r="BH7" i="2636"/>
  <c r="BG7" i="2636"/>
  <c r="BF7" i="2636"/>
  <c r="BE7" i="2636"/>
  <c r="BD7" i="2636"/>
  <c r="BC7" i="2636"/>
  <c r="BB7" i="2636"/>
  <c r="AZ7" i="2636"/>
  <c r="AY7" i="2636"/>
  <c r="AX7" i="2636"/>
  <c r="AW7" i="2636"/>
  <c r="AV7" i="2636"/>
  <c r="AU7" i="2636"/>
  <c r="AT7" i="2636"/>
  <c r="AS7" i="2636"/>
  <c r="AR7" i="2636"/>
  <c r="AQ7" i="2636"/>
  <c r="AP7" i="2636"/>
  <c r="AO7" i="2636"/>
  <c r="AM7" i="2636"/>
  <c r="AL7" i="2636"/>
  <c r="AK7" i="2636"/>
  <c r="AJ7" i="2636"/>
  <c r="AI7" i="2636"/>
  <c r="AH7" i="2636"/>
  <c r="AG7" i="2636"/>
  <c r="AF7" i="2636"/>
  <c r="AE7" i="2636"/>
  <c r="AD7" i="2636"/>
  <c r="AC7" i="2636"/>
  <c r="AB7" i="2636"/>
  <c r="Z7" i="2636"/>
  <c r="Y7" i="2636"/>
  <c r="X7" i="2636"/>
  <c r="W7" i="2636"/>
  <c r="V7" i="2636"/>
  <c r="U7" i="2636"/>
  <c r="T7" i="2636"/>
  <c r="S7" i="2636"/>
  <c r="R7" i="2636"/>
  <c r="Q7" i="2636"/>
  <c r="P7" i="2636"/>
  <c r="O7" i="2636"/>
  <c r="M7" i="2636"/>
  <c r="L7" i="2636"/>
  <c r="K7" i="2636"/>
  <c r="J7" i="2636"/>
  <c r="I7" i="2636"/>
  <c r="H7" i="2636"/>
  <c r="G7" i="2636"/>
  <c r="F7" i="2636"/>
  <c r="E7" i="2636"/>
  <c r="D7" i="2636"/>
  <c r="C7" i="2636"/>
  <c r="B7" i="2636"/>
  <c r="EA5" i="2636"/>
  <c r="DN5" i="2636"/>
  <c r="DA5" i="2636"/>
  <c r="CN5" i="2636"/>
  <c r="CA5" i="2636"/>
  <c r="BN5" i="2636"/>
  <c r="BA5" i="2636"/>
  <c r="AN5" i="2636"/>
  <c r="AA5" i="2636"/>
  <c r="N5" i="2636"/>
  <c r="DZ68" i="2635"/>
  <c r="DY68" i="2635"/>
  <c r="DX68" i="2635"/>
  <c r="DW68" i="2635"/>
  <c r="DV68" i="2635"/>
  <c r="DU68" i="2635"/>
  <c r="DT68" i="2635"/>
  <c r="DS68" i="2635"/>
  <c r="DR68" i="2635"/>
  <c r="DQ68" i="2635"/>
  <c r="DP68" i="2635"/>
  <c r="DO68" i="2635"/>
  <c r="DM68" i="2635"/>
  <c r="DL68" i="2635"/>
  <c r="DK68" i="2635"/>
  <c r="DJ68" i="2635"/>
  <c r="DI68" i="2635"/>
  <c r="DH68" i="2635"/>
  <c r="DG68" i="2635"/>
  <c r="DF68" i="2635"/>
  <c r="DE68" i="2635"/>
  <c r="DD68" i="2635"/>
  <c r="DC68" i="2635"/>
  <c r="DB68" i="2635"/>
  <c r="CZ68" i="2635"/>
  <c r="CY68" i="2635"/>
  <c r="CX68" i="2635"/>
  <c r="CW68" i="2635"/>
  <c r="CV68" i="2635"/>
  <c r="CU68" i="2635"/>
  <c r="CT68" i="2635"/>
  <c r="CS68" i="2635"/>
  <c r="CR68" i="2635"/>
  <c r="CQ68" i="2635"/>
  <c r="CP68" i="2635"/>
  <c r="CO68" i="2635"/>
  <c r="CM68" i="2635"/>
  <c r="CL68" i="2635"/>
  <c r="CK68" i="2635"/>
  <c r="CJ68" i="2635"/>
  <c r="CI68" i="2635"/>
  <c r="CH68" i="2635"/>
  <c r="CG68" i="2635"/>
  <c r="CF68" i="2635"/>
  <c r="CE68" i="2635"/>
  <c r="CD68" i="2635"/>
  <c r="CC68" i="2635"/>
  <c r="CB68" i="2635"/>
  <c r="BZ68" i="2635"/>
  <c r="BY68" i="2635"/>
  <c r="BX68" i="2635"/>
  <c r="BW68" i="2635"/>
  <c r="BV68" i="2635"/>
  <c r="BU68" i="2635"/>
  <c r="BT68" i="2635"/>
  <c r="BS68" i="2635"/>
  <c r="BR68" i="2635"/>
  <c r="BQ68" i="2635"/>
  <c r="BP68" i="2635"/>
  <c r="BO68" i="2635"/>
  <c r="BM68" i="2635"/>
  <c r="BL68" i="2635"/>
  <c r="BK68" i="2635"/>
  <c r="BJ68" i="2635"/>
  <c r="BI68" i="2635"/>
  <c r="BH68" i="2635"/>
  <c r="BG68" i="2635"/>
  <c r="BF68" i="2635"/>
  <c r="BE68" i="2635"/>
  <c r="BD68" i="2635"/>
  <c r="BC68" i="2635"/>
  <c r="BB68" i="2635"/>
  <c r="AZ68" i="2635"/>
  <c r="AY68" i="2635"/>
  <c r="AX68" i="2635"/>
  <c r="AW68" i="2635"/>
  <c r="AV68" i="2635"/>
  <c r="AU68" i="2635"/>
  <c r="AT68" i="2635"/>
  <c r="AS68" i="2635"/>
  <c r="AR68" i="2635"/>
  <c r="AQ68" i="2635"/>
  <c r="AP68" i="2635"/>
  <c r="AO68" i="2635"/>
  <c r="AM68" i="2635"/>
  <c r="AL68" i="2635"/>
  <c r="AK68" i="2635"/>
  <c r="AJ68" i="2635"/>
  <c r="AI68" i="2635"/>
  <c r="AH68" i="2635"/>
  <c r="AG68" i="2635"/>
  <c r="AF68" i="2635"/>
  <c r="AE68" i="2635"/>
  <c r="AD68" i="2635"/>
  <c r="AC68" i="2635"/>
  <c r="AB68" i="2635"/>
  <c r="Z68" i="2635"/>
  <c r="Y68" i="2635"/>
  <c r="X68" i="2635"/>
  <c r="W68" i="2635"/>
  <c r="V68" i="2635"/>
  <c r="U68" i="2635"/>
  <c r="T68" i="2635"/>
  <c r="S68" i="2635"/>
  <c r="R68" i="2635"/>
  <c r="Q68" i="2635"/>
  <c r="P68" i="2635"/>
  <c r="O68" i="2635"/>
  <c r="M68" i="2635"/>
  <c r="L68" i="2635"/>
  <c r="K68" i="2635"/>
  <c r="J68" i="2635"/>
  <c r="I68" i="2635"/>
  <c r="H68" i="2635"/>
  <c r="G68" i="2635"/>
  <c r="F68" i="2635"/>
  <c r="E68" i="2635"/>
  <c r="D68" i="2635"/>
  <c r="C68" i="2635"/>
  <c r="B68" i="2635"/>
  <c r="AA58" i="2635"/>
  <c r="CN52" i="2635"/>
  <c r="AN52" i="2635"/>
  <c r="N52" i="2635"/>
  <c r="DN51" i="2635"/>
  <c r="AA51" i="2635"/>
  <c r="BN50" i="2635"/>
  <c r="BA50" i="2635"/>
  <c r="CA49" i="2635"/>
  <c r="BN49" i="2635"/>
  <c r="BA49" i="2635"/>
  <c r="AN49" i="2635"/>
  <c r="AA49" i="2635"/>
  <c r="N49" i="2635"/>
  <c r="DA43" i="2635"/>
  <c r="CN43" i="2635"/>
  <c r="CA43" i="2635"/>
  <c r="AA43" i="2635"/>
  <c r="N43" i="2635"/>
  <c r="EA39" i="2635"/>
  <c r="DN39" i="2635"/>
  <c r="DA39" i="2635"/>
  <c r="CN39" i="2635"/>
  <c r="CA39" i="2635"/>
  <c r="BN39" i="2635"/>
  <c r="BA39" i="2635"/>
  <c r="AN39" i="2635"/>
  <c r="AA39" i="2635"/>
  <c r="N39" i="2635"/>
  <c r="DZ36" i="2635"/>
  <c r="DY36" i="2635"/>
  <c r="DX36" i="2635"/>
  <c r="DW36" i="2635"/>
  <c r="DV36" i="2635"/>
  <c r="DU36" i="2635"/>
  <c r="DT36" i="2635"/>
  <c r="DS36" i="2635"/>
  <c r="DR36" i="2635"/>
  <c r="DQ36" i="2635"/>
  <c r="DP36" i="2635"/>
  <c r="DO36" i="2635"/>
  <c r="DM36" i="2635"/>
  <c r="DL36" i="2635"/>
  <c r="DK36" i="2635"/>
  <c r="DJ36" i="2635"/>
  <c r="DI36" i="2635"/>
  <c r="DH36" i="2635"/>
  <c r="DG36" i="2635"/>
  <c r="DF36" i="2635"/>
  <c r="DE36" i="2635"/>
  <c r="DD36" i="2635"/>
  <c r="DC36" i="2635"/>
  <c r="DB36" i="2635"/>
  <c r="CZ36" i="2635"/>
  <c r="CY36" i="2635"/>
  <c r="CX36" i="2635"/>
  <c r="CW36" i="2635"/>
  <c r="CV36" i="2635"/>
  <c r="CU36" i="2635"/>
  <c r="CT36" i="2635"/>
  <c r="CS36" i="2635"/>
  <c r="CR36" i="2635"/>
  <c r="CQ36" i="2635"/>
  <c r="CP36" i="2635"/>
  <c r="CO36" i="2635"/>
  <c r="CM36" i="2635"/>
  <c r="CL36" i="2635"/>
  <c r="CK36" i="2635"/>
  <c r="CJ36" i="2635"/>
  <c r="CI36" i="2635"/>
  <c r="CH36" i="2635"/>
  <c r="CG36" i="2635"/>
  <c r="CF36" i="2635"/>
  <c r="CE36" i="2635"/>
  <c r="CD36" i="2635"/>
  <c r="CC36" i="2635"/>
  <c r="CB36" i="2635"/>
  <c r="BZ36" i="2635"/>
  <c r="BY36" i="2635"/>
  <c r="BX36" i="2635"/>
  <c r="BW36" i="2635"/>
  <c r="BV36" i="2635"/>
  <c r="BU36" i="2635"/>
  <c r="BT36" i="2635"/>
  <c r="BS36" i="2635"/>
  <c r="BR36" i="2635"/>
  <c r="BQ36" i="2635"/>
  <c r="BP36" i="2635"/>
  <c r="BO36" i="2635"/>
  <c r="EA30" i="2635"/>
  <c r="DN30" i="2635"/>
  <c r="DA30" i="2635"/>
  <c r="CB30" i="2635"/>
  <c r="CN30" i="2635" s="1"/>
  <c r="BO30" i="2635"/>
  <c r="EA29" i="2635"/>
  <c r="DN29" i="2635"/>
  <c r="DA29" i="2635"/>
  <c r="CN29" i="2635"/>
  <c r="EA28" i="2635"/>
  <c r="DN28" i="2635"/>
  <c r="DA28" i="2635"/>
  <c r="CN28" i="2635"/>
  <c r="CA28" i="2635"/>
  <c r="BN28" i="2635"/>
  <c r="BA28" i="2635"/>
  <c r="AN28" i="2635"/>
  <c r="AA28" i="2635"/>
  <c r="N28" i="2635"/>
  <c r="EA27" i="2635"/>
  <c r="DN27" i="2635"/>
  <c r="DA27" i="2635"/>
  <c r="CN27" i="2635"/>
  <c r="CA27" i="2635"/>
  <c r="BN27" i="2635"/>
  <c r="BA27" i="2635"/>
  <c r="AN27" i="2635"/>
  <c r="AA27" i="2635"/>
  <c r="N27" i="2635"/>
  <c r="EA26" i="2635"/>
  <c r="DN26" i="2635"/>
  <c r="DA26" i="2635"/>
  <c r="CN26" i="2635"/>
  <c r="CA26" i="2635"/>
  <c r="BN26" i="2635"/>
  <c r="BA26" i="2635"/>
  <c r="AN26" i="2635"/>
  <c r="AA26" i="2635"/>
  <c r="N26" i="2635"/>
  <c r="EA25" i="2635"/>
  <c r="DN25" i="2635"/>
  <c r="DA25" i="2635"/>
  <c r="CN25" i="2635"/>
  <c r="CA25" i="2635"/>
  <c r="BN25" i="2635"/>
  <c r="BA25" i="2635"/>
  <c r="AN25" i="2635"/>
  <c r="AA25" i="2635"/>
  <c r="N25" i="2635"/>
  <c r="EA24" i="2635"/>
  <c r="DN24" i="2635"/>
  <c r="DA24" i="2635"/>
  <c r="CN24" i="2635"/>
  <c r="CA24" i="2635"/>
  <c r="BN24" i="2635"/>
  <c r="BA24" i="2635"/>
  <c r="AN24" i="2635"/>
  <c r="AA24" i="2635"/>
  <c r="N24" i="2635"/>
  <c r="DZ23" i="2635"/>
  <c r="DZ57" i="2635" s="1"/>
  <c r="DY23" i="2635"/>
  <c r="DY57" i="2635" s="1"/>
  <c r="DX23" i="2635"/>
  <c r="DX57" i="2635" s="1"/>
  <c r="DW23" i="2635"/>
  <c r="DW57" i="2635" s="1"/>
  <c r="DV23" i="2635"/>
  <c r="DV57" i="2635" s="1"/>
  <c r="DU23" i="2635"/>
  <c r="DU57" i="2635" s="1"/>
  <c r="DT23" i="2635"/>
  <c r="DT57" i="2635" s="1"/>
  <c r="DS23" i="2635"/>
  <c r="DS57" i="2635" s="1"/>
  <c r="DR23" i="2635"/>
  <c r="DR57" i="2635" s="1"/>
  <c r="DQ23" i="2635"/>
  <c r="DQ57" i="2635" s="1"/>
  <c r="DP23" i="2635"/>
  <c r="DP57" i="2635" s="1"/>
  <c r="DO23" i="2635"/>
  <c r="DO57" i="2635" s="1"/>
  <c r="DM23" i="2635"/>
  <c r="DM57" i="2635" s="1"/>
  <c r="DL23" i="2635"/>
  <c r="DL57" i="2635" s="1"/>
  <c r="DK23" i="2635"/>
  <c r="DK57" i="2635" s="1"/>
  <c r="DJ23" i="2635"/>
  <c r="DJ57" i="2635" s="1"/>
  <c r="DI23" i="2635"/>
  <c r="DI57" i="2635" s="1"/>
  <c r="DH23" i="2635"/>
  <c r="DH57" i="2635" s="1"/>
  <c r="DG23" i="2635"/>
  <c r="DG57" i="2635" s="1"/>
  <c r="DF23" i="2635"/>
  <c r="DF57" i="2635" s="1"/>
  <c r="DE23" i="2635"/>
  <c r="DE57" i="2635" s="1"/>
  <c r="DD23" i="2635"/>
  <c r="DD57" i="2635" s="1"/>
  <c r="DC23" i="2635"/>
  <c r="DC57" i="2635" s="1"/>
  <c r="DB23" i="2635"/>
  <c r="DB57" i="2635" s="1"/>
  <c r="CZ23" i="2635"/>
  <c r="CZ57" i="2635" s="1"/>
  <c r="CY23" i="2635"/>
  <c r="CY57" i="2635" s="1"/>
  <c r="CX23" i="2635"/>
  <c r="CX57" i="2635" s="1"/>
  <c r="CW23" i="2635"/>
  <c r="CW57" i="2635" s="1"/>
  <c r="CV23" i="2635"/>
  <c r="CV57" i="2635" s="1"/>
  <c r="CU23" i="2635"/>
  <c r="CU57" i="2635" s="1"/>
  <c r="CT23" i="2635"/>
  <c r="CT57" i="2635" s="1"/>
  <c r="CS23" i="2635"/>
  <c r="CS57" i="2635" s="1"/>
  <c r="CR23" i="2635"/>
  <c r="CR57" i="2635" s="1"/>
  <c r="CQ23" i="2635"/>
  <c r="CQ57" i="2635" s="1"/>
  <c r="CP23" i="2635"/>
  <c r="CP57" i="2635" s="1"/>
  <c r="CO23" i="2635"/>
  <c r="CO57" i="2635" s="1"/>
  <c r="CM23" i="2635"/>
  <c r="CM57" i="2635" s="1"/>
  <c r="CL23" i="2635"/>
  <c r="CL57" i="2635" s="1"/>
  <c r="CK23" i="2635"/>
  <c r="CK57" i="2635" s="1"/>
  <c r="CJ23" i="2635"/>
  <c r="CJ57" i="2635" s="1"/>
  <c r="CI23" i="2635"/>
  <c r="CI57" i="2635" s="1"/>
  <c r="CH23" i="2635"/>
  <c r="CH57" i="2635" s="1"/>
  <c r="CG23" i="2635"/>
  <c r="CG57" i="2635" s="1"/>
  <c r="CF23" i="2635"/>
  <c r="CF57" i="2635" s="1"/>
  <c r="CE23" i="2635"/>
  <c r="CE57" i="2635" s="1"/>
  <c r="CD23" i="2635"/>
  <c r="CD57" i="2635" s="1"/>
  <c r="CC23" i="2635"/>
  <c r="CC57" i="2635" s="1"/>
  <c r="CB23" i="2635"/>
  <c r="CB57" i="2635" s="1"/>
  <c r="BZ23" i="2635"/>
  <c r="BZ57" i="2635" s="1"/>
  <c r="BY23" i="2635"/>
  <c r="BY57" i="2635" s="1"/>
  <c r="BX23" i="2635"/>
  <c r="BX57" i="2635" s="1"/>
  <c r="BW23" i="2635"/>
  <c r="BW57" i="2635" s="1"/>
  <c r="BV23" i="2635"/>
  <c r="BV57" i="2635" s="1"/>
  <c r="BU23" i="2635"/>
  <c r="BU57" i="2635" s="1"/>
  <c r="BT23" i="2635"/>
  <c r="BT57" i="2635" s="1"/>
  <c r="BS23" i="2635"/>
  <c r="BS57" i="2635" s="1"/>
  <c r="BR23" i="2635"/>
  <c r="BR57" i="2635" s="1"/>
  <c r="BQ23" i="2635"/>
  <c r="BQ57" i="2635" s="1"/>
  <c r="BP23" i="2635"/>
  <c r="BP57" i="2635" s="1"/>
  <c r="BO23" i="2635"/>
  <c r="BO57" i="2635" s="1"/>
  <c r="BM23" i="2635"/>
  <c r="BM57" i="2635" s="1"/>
  <c r="BL23" i="2635"/>
  <c r="BL57" i="2635" s="1"/>
  <c r="BK23" i="2635"/>
  <c r="BK57" i="2635" s="1"/>
  <c r="BJ23" i="2635"/>
  <c r="BJ57" i="2635" s="1"/>
  <c r="BI23" i="2635"/>
  <c r="BI57" i="2635" s="1"/>
  <c r="BH23" i="2635"/>
  <c r="BH57" i="2635" s="1"/>
  <c r="BG23" i="2635"/>
  <c r="BG57" i="2635" s="1"/>
  <c r="BF23" i="2635"/>
  <c r="BF57" i="2635" s="1"/>
  <c r="BE23" i="2635"/>
  <c r="BE57" i="2635" s="1"/>
  <c r="BD23" i="2635"/>
  <c r="BD57" i="2635" s="1"/>
  <c r="BC23" i="2635"/>
  <c r="BC57" i="2635" s="1"/>
  <c r="BB23" i="2635"/>
  <c r="BB57" i="2635" s="1"/>
  <c r="AZ23" i="2635"/>
  <c r="AZ57" i="2635" s="1"/>
  <c r="AY23" i="2635"/>
  <c r="AY57" i="2635" s="1"/>
  <c r="AX23" i="2635"/>
  <c r="AX57" i="2635" s="1"/>
  <c r="AW23" i="2635"/>
  <c r="AW57" i="2635" s="1"/>
  <c r="AV23" i="2635"/>
  <c r="AV57" i="2635" s="1"/>
  <c r="AU23" i="2635"/>
  <c r="AU57" i="2635" s="1"/>
  <c r="AT23" i="2635"/>
  <c r="AT57" i="2635" s="1"/>
  <c r="AS23" i="2635"/>
  <c r="AS57" i="2635" s="1"/>
  <c r="AR23" i="2635"/>
  <c r="AR57" i="2635" s="1"/>
  <c r="AQ23" i="2635"/>
  <c r="AQ57" i="2635" s="1"/>
  <c r="AP23" i="2635"/>
  <c r="AP57" i="2635" s="1"/>
  <c r="AO23" i="2635"/>
  <c r="AO57" i="2635" s="1"/>
  <c r="AM23" i="2635"/>
  <c r="AM57" i="2635" s="1"/>
  <c r="AL23" i="2635"/>
  <c r="AL57" i="2635" s="1"/>
  <c r="AK23" i="2635"/>
  <c r="AK57" i="2635" s="1"/>
  <c r="AJ23" i="2635"/>
  <c r="AJ57" i="2635" s="1"/>
  <c r="AI23" i="2635"/>
  <c r="AI57" i="2635" s="1"/>
  <c r="AH23" i="2635"/>
  <c r="AH57" i="2635" s="1"/>
  <c r="AG23" i="2635"/>
  <c r="AG57" i="2635" s="1"/>
  <c r="AF23" i="2635"/>
  <c r="AF57" i="2635" s="1"/>
  <c r="AE23" i="2635"/>
  <c r="AE57" i="2635" s="1"/>
  <c r="AD23" i="2635"/>
  <c r="AD57" i="2635" s="1"/>
  <c r="AC23" i="2635"/>
  <c r="AC57" i="2635" s="1"/>
  <c r="AB23" i="2635"/>
  <c r="AB57" i="2635" s="1"/>
  <c r="Z23" i="2635"/>
  <c r="Z57" i="2635" s="1"/>
  <c r="Y23" i="2635"/>
  <c r="Y57" i="2635" s="1"/>
  <c r="X23" i="2635"/>
  <c r="X57" i="2635" s="1"/>
  <c r="W23" i="2635"/>
  <c r="W57" i="2635" s="1"/>
  <c r="V23" i="2635"/>
  <c r="V57" i="2635" s="1"/>
  <c r="U23" i="2635"/>
  <c r="U57" i="2635" s="1"/>
  <c r="T23" i="2635"/>
  <c r="T57" i="2635" s="1"/>
  <c r="S23" i="2635"/>
  <c r="S57" i="2635" s="1"/>
  <c r="R23" i="2635"/>
  <c r="R57" i="2635" s="1"/>
  <c r="Q23" i="2635"/>
  <c r="Q57" i="2635" s="1"/>
  <c r="P23" i="2635"/>
  <c r="P57" i="2635" s="1"/>
  <c r="O23" i="2635"/>
  <c r="O57" i="2635" s="1"/>
  <c r="M23" i="2635"/>
  <c r="M57" i="2635" s="1"/>
  <c r="L23" i="2635"/>
  <c r="L57" i="2635" s="1"/>
  <c r="K23" i="2635"/>
  <c r="K57" i="2635" s="1"/>
  <c r="J23" i="2635"/>
  <c r="J57" i="2635" s="1"/>
  <c r="I23" i="2635"/>
  <c r="I57" i="2635" s="1"/>
  <c r="H23" i="2635"/>
  <c r="H57" i="2635" s="1"/>
  <c r="G23" i="2635"/>
  <c r="G57" i="2635" s="1"/>
  <c r="F23" i="2635"/>
  <c r="F57" i="2635" s="1"/>
  <c r="E23" i="2635"/>
  <c r="E57" i="2635" s="1"/>
  <c r="D23" i="2635"/>
  <c r="D57" i="2635" s="1"/>
  <c r="C23" i="2635"/>
  <c r="C57" i="2635" s="1"/>
  <c r="B23" i="2635"/>
  <c r="B57" i="2635" s="1"/>
  <c r="EA21" i="2635"/>
  <c r="DN21" i="2635"/>
  <c r="DA21" i="2635"/>
  <c r="CN21" i="2635"/>
  <c r="CA21" i="2635"/>
  <c r="BN21" i="2635"/>
  <c r="BA21" i="2635"/>
  <c r="AN21" i="2635"/>
  <c r="AA21" i="2635"/>
  <c r="N21" i="2635"/>
  <c r="EA20" i="2635"/>
  <c r="DN20" i="2635"/>
  <c r="DA20" i="2635"/>
  <c r="CN20" i="2635"/>
  <c r="CA20" i="2635"/>
  <c r="BN20" i="2635"/>
  <c r="BA20" i="2635"/>
  <c r="AN20" i="2635"/>
  <c r="AA20" i="2635"/>
  <c r="N20" i="2635"/>
  <c r="M19" i="2635"/>
  <c r="L19" i="2635"/>
  <c r="L53" i="2635" s="1"/>
  <c r="K19" i="2635"/>
  <c r="K53" i="2635" s="1"/>
  <c r="J19" i="2635"/>
  <c r="J53" i="2635" s="1"/>
  <c r="I19" i="2635"/>
  <c r="I53" i="2635" s="1"/>
  <c r="H19" i="2635"/>
  <c r="H53" i="2635" s="1"/>
  <c r="G19" i="2635"/>
  <c r="G53" i="2635" s="1"/>
  <c r="F19" i="2635"/>
  <c r="F53" i="2635" s="1"/>
  <c r="E19" i="2635"/>
  <c r="E53" i="2635" s="1"/>
  <c r="D19" i="2635"/>
  <c r="D53" i="2635" s="1"/>
  <c r="C19" i="2635"/>
  <c r="C53" i="2635" s="1"/>
  <c r="B19" i="2635"/>
  <c r="B53" i="2635" s="1"/>
  <c r="EA18" i="2635"/>
  <c r="DN18" i="2635"/>
  <c r="DA18" i="2635"/>
  <c r="CN18" i="2635"/>
  <c r="CA18" i="2635"/>
  <c r="BN18" i="2635"/>
  <c r="BA18" i="2635"/>
  <c r="AN18" i="2635"/>
  <c r="AA18" i="2635"/>
  <c r="N18" i="2635"/>
  <c r="EA17" i="2635"/>
  <c r="DN17" i="2635"/>
  <c r="DA17" i="2635"/>
  <c r="CN17" i="2635"/>
  <c r="CA17" i="2635"/>
  <c r="BN17" i="2635"/>
  <c r="BA17" i="2635"/>
  <c r="AN17" i="2635"/>
  <c r="AA17" i="2635"/>
  <c r="N17" i="2635"/>
  <c r="EA16" i="2635"/>
  <c r="DN16" i="2635"/>
  <c r="DA16" i="2635"/>
  <c r="CN16" i="2635"/>
  <c r="CA16" i="2635"/>
  <c r="BN16" i="2635"/>
  <c r="BA16" i="2635"/>
  <c r="AN16" i="2635"/>
  <c r="AA16" i="2635"/>
  <c r="N16" i="2635"/>
  <c r="EA15" i="2635"/>
  <c r="DN15" i="2635"/>
  <c r="DA15" i="2635"/>
  <c r="CN15" i="2635"/>
  <c r="CA15" i="2635"/>
  <c r="BN15" i="2635"/>
  <c r="BA15" i="2635"/>
  <c r="AN15" i="2635"/>
  <c r="AA15" i="2635"/>
  <c r="N15" i="2635"/>
  <c r="DZ14" i="2635"/>
  <c r="DY14" i="2635"/>
  <c r="DX14" i="2635"/>
  <c r="DW14" i="2635"/>
  <c r="DV14" i="2635"/>
  <c r="DU14" i="2635"/>
  <c r="DT14" i="2635"/>
  <c r="DS14" i="2635"/>
  <c r="DR14" i="2635"/>
  <c r="DQ14" i="2635"/>
  <c r="DP14" i="2635"/>
  <c r="DO14" i="2635"/>
  <c r="DM14" i="2635"/>
  <c r="DL14" i="2635"/>
  <c r="DK14" i="2635"/>
  <c r="DJ14" i="2635"/>
  <c r="DI14" i="2635"/>
  <c r="DH14" i="2635"/>
  <c r="DG14" i="2635"/>
  <c r="DF14" i="2635"/>
  <c r="DE14" i="2635"/>
  <c r="DD14" i="2635"/>
  <c r="DC14" i="2635"/>
  <c r="DB14" i="2635"/>
  <c r="CZ14" i="2635"/>
  <c r="CY14" i="2635"/>
  <c r="CX14" i="2635"/>
  <c r="CW14" i="2635"/>
  <c r="CV14" i="2635"/>
  <c r="CU14" i="2635"/>
  <c r="CT14" i="2635"/>
  <c r="CS14" i="2635"/>
  <c r="CR14" i="2635"/>
  <c r="CQ14" i="2635"/>
  <c r="CP14" i="2635"/>
  <c r="CO14" i="2635"/>
  <c r="CM14" i="2635"/>
  <c r="CL14" i="2635"/>
  <c r="CK14" i="2635"/>
  <c r="CJ14" i="2635"/>
  <c r="CI14" i="2635"/>
  <c r="CH14" i="2635"/>
  <c r="CG14" i="2635"/>
  <c r="CF14" i="2635"/>
  <c r="CE14" i="2635"/>
  <c r="CD14" i="2635"/>
  <c r="CC14" i="2635"/>
  <c r="CB14" i="2635"/>
  <c r="BZ14" i="2635"/>
  <c r="BY14" i="2635"/>
  <c r="BX14" i="2635"/>
  <c r="BW14" i="2635"/>
  <c r="BV14" i="2635"/>
  <c r="BU14" i="2635"/>
  <c r="BT14" i="2635"/>
  <c r="BS14" i="2635"/>
  <c r="BR14" i="2635"/>
  <c r="BQ14" i="2635"/>
  <c r="BP14" i="2635"/>
  <c r="BO14" i="2635"/>
  <c r="BM14" i="2635"/>
  <c r="BL14" i="2635"/>
  <c r="BK14" i="2635"/>
  <c r="BJ14" i="2635"/>
  <c r="BI14" i="2635"/>
  <c r="BH14" i="2635"/>
  <c r="BG14" i="2635"/>
  <c r="BF14" i="2635"/>
  <c r="BE14" i="2635"/>
  <c r="BD14" i="2635"/>
  <c r="BC14" i="2635"/>
  <c r="BB14" i="2635"/>
  <c r="AZ14" i="2635"/>
  <c r="AY14" i="2635"/>
  <c r="AX14" i="2635"/>
  <c r="AW14" i="2635"/>
  <c r="AV14" i="2635"/>
  <c r="AU14" i="2635"/>
  <c r="AT14" i="2635"/>
  <c r="AS14" i="2635"/>
  <c r="AR14" i="2635"/>
  <c r="AQ14" i="2635"/>
  <c r="AP14" i="2635"/>
  <c r="AO14" i="2635"/>
  <c r="AM14" i="2635"/>
  <c r="AL14" i="2635"/>
  <c r="AK14" i="2635"/>
  <c r="AJ14" i="2635"/>
  <c r="AI14" i="2635"/>
  <c r="AH14" i="2635"/>
  <c r="AG14" i="2635"/>
  <c r="AF14" i="2635"/>
  <c r="AE14" i="2635"/>
  <c r="AD14" i="2635"/>
  <c r="AC14" i="2635"/>
  <c r="AB14" i="2635"/>
  <c r="AB48" i="2635" s="1"/>
  <c r="Z14" i="2635"/>
  <c r="Y14" i="2635"/>
  <c r="X14" i="2635"/>
  <c r="W14" i="2635"/>
  <c r="V14" i="2635"/>
  <c r="U14" i="2635"/>
  <c r="T14" i="2635"/>
  <c r="S14" i="2635"/>
  <c r="R14" i="2635"/>
  <c r="Q14" i="2635"/>
  <c r="Q48" i="2635" s="1"/>
  <c r="P14" i="2635"/>
  <c r="P48" i="2635" s="1"/>
  <c r="O14" i="2635"/>
  <c r="M14" i="2635"/>
  <c r="L14" i="2635"/>
  <c r="K14" i="2635"/>
  <c r="J14" i="2635"/>
  <c r="I14" i="2635"/>
  <c r="H14" i="2635"/>
  <c r="G14" i="2635"/>
  <c r="F14" i="2635"/>
  <c r="E14" i="2635"/>
  <c r="D14" i="2635"/>
  <c r="C14" i="2635"/>
  <c r="B14" i="2635"/>
  <c r="B48" i="2635" s="1"/>
  <c r="EA13" i="2635"/>
  <c r="DN13" i="2635"/>
  <c r="DA13" i="2635"/>
  <c r="CN13" i="2635"/>
  <c r="CA13" i="2635"/>
  <c r="BN13" i="2635"/>
  <c r="BA13" i="2635"/>
  <c r="AN13" i="2635"/>
  <c r="AA13" i="2635"/>
  <c r="N13" i="2635"/>
  <c r="EA12" i="2635"/>
  <c r="DN12" i="2635"/>
  <c r="DA12" i="2635"/>
  <c r="CN12" i="2635"/>
  <c r="CA12" i="2635"/>
  <c r="BN12" i="2635"/>
  <c r="BA12" i="2635"/>
  <c r="AN12" i="2635"/>
  <c r="AA12" i="2635"/>
  <c r="N12" i="2635"/>
  <c r="EA11" i="2635"/>
  <c r="DN11" i="2635"/>
  <c r="DA11" i="2635"/>
  <c r="CN11" i="2635"/>
  <c r="CA11" i="2635"/>
  <c r="BN11" i="2635"/>
  <c r="BA11" i="2635"/>
  <c r="AN11" i="2635"/>
  <c r="AA11" i="2635"/>
  <c r="N11" i="2635"/>
  <c r="EA10" i="2635"/>
  <c r="DN10" i="2635"/>
  <c r="DA10" i="2635"/>
  <c r="CN10" i="2635"/>
  <c r="CA10" i="2635"/>
  <c r="BN10" i="2635"/>
  <c r="BA10" i="2635"/>
  <c r="AN10" i="2635"/>
  <c r="AA10" i="2635"/>
  <c r="N10" i="2635"/>
  <c r="EA9" i="2635"/>
  <c r="DN9" i="2635"/>
  <c r="DA9" i="2635"/>
  <c r="CN9" i="2635"/>
  <c r="CA9" i="2635"/>
  <c r="BN9" i="2635"/>
  <c r="BA9" i="2635"/>
  <c r="AN9" i="2635"/>
  <c r="AA9" i="2635"/>
  <c r="N9" i="2635"/>
  <c r="DZ8" i="2635"/>
  <c r="DZ42" i="2635" s="1"/>
  <c r="DY8" i="2635"/>
  <c r="DY42" i="2635" s="1"/>
  <c r="DX8" i="2635"/>
  <c r="DX42" i="2635" s="1"/>
  <c r="DW8" i="2635"/>
  <c r="DW42" i="2635" s="1"/>
  <c r="DV8" i="2635"/>
  <c r="DV42" i="2635" s="1"/>
  <c r="DU8" i="2635"/>
  <c r="DU42" i="2635" s="1"/>
  <c r="DT8" i="2635"/>
  <c r="DT42" i="2635" s="1"/>
  <c r="DS8" i="2635"/>
  <c r="DS42" i="2635" s="1"/>
  <c r="DR8" i="2635"/>
  <c r="DR42" i="2635" s="1"/>
  <c r="DQ8" i="2635"/>
  <c r="DQ42" i="2635" s="1"/>
  <c r="DP8" i="2635"/>
  <c r="DP42" i="2635" s="1"/>
  <c r="DO8" i="2635"/>
  <c r="DO42" i="2635" s="1"/>
  <c r="DM8" i="2635"/>
  <c r="DM42" i="2635" s="1"/>
  <c r="DL8" i="2635"/>
  <c r="DL42" i="2635" s="1"/>
  <c r="DK8" i="2635"/>
  <c r="DK42" i="2635" s="1"/>
  <c r="DJ8" i="2635"/>
  <c r="DJ42" i="2635" s="1"/>
  <c r="DI8" i="2635"/>
  <c r="DI42" i="2635" s="1"/>
  <c r="DH8" i="2635"/>
  <c r="DH42" i="2635" s="1"/>
  <c r="DG8" i="2635"/>
  <c r="DG42" i="2635" s="1"/>
  <c r="DF8" i="2635"/>
  <c r="DF42" i="2635" s="1"/>
  <c r="DE8" i="2635"/>
  <c r="DE42" i="2635" s="1"/>
  <c r="DD8" i="2635"/>
  <c r="DD42" i="2635" s="1"/>
  <c r="DC8" i="2635"/>
  <c r="DC42" i="2635" s="1"/>
  <c r="DB8" i="2635"/>
  <c r="DB42" i="2635" s="1"/>
  <c r="CZ8" i="2635"/>
  <c r="CZ42" i="2635" s="1"/>
  <c r="CY8" i="2635"/>
  <c r="CY42" i="2635" s="1"/>
  <c r="CX8" i="2635"/>
  <c r="CX42" i="2635" s="1"/>
  <c r="CW8" i="2635"/>
  <c r="CW42" i="2635" s="1"/>
  <c r="CV8" i="2635"/>
  <c r="CV42" i="2635" s="1"/>
  <c r="CU8" i="2635"/>
  <c r="CU42" i="2635" s="1"/>
  <c r="CT8" i="2635"/>
  <c r="CT42" i="2635" s="1"/>
  <c r="CS8" i="2635"/>
  <c r="CS42" i="2635" s="1"/>
  <c r="CR8" i="2635"/>
  <c r="CR42" i="2635" s="1"/>
  <c r="CQ8" i="2635"/>
  <c r="CQ42" i="2635" s="1"/>
  <c r="CP8" i="2635"/>
  <c r="CP42" i="2635" s="1"/>
  <c r="CO8" i="2635"/>
  <c r="CO42" i="2635" s="1"/>
  <c r="CM8" i="2635"/>
  <c r="CM42" i="2635" s="1"/>
  <c r="CL8" i="2635"/>
  <c r="CL42" i="2635" s="1"/>
  <c r="CK8" i="2635"/>
  <c r="CK42" i="2635" s="1"/>
  <c r="CJ8" i="2635"/>
  <c r="CJ42" i="2635" s="1"/>
  <c r="CI8" i="2635"/>
  <c r="CI42" i="2635" s="1"/>
  <c r="CH8" i="2635"/>
  <c r="CH42" i="2635" s="1"/>
  <c r="CG8" i="2635"/>
  <c r="CG42" i="2635" s="1"/>
  <c r="CF8" i="2635"/>
  <c r="CF42" i="2635" s="1"/>
  <c r="CE8" i="2635"/>
  <c r="CE42" i="2635" s="1"/>
  <c r="CD8" i="2635"/>
  <c r="CD42" i="2635" s="1"/>
  <c r="CC8" i="2635"/>
  <c r="CC42" i="2635" s="1"/>
  <c r="CB8" i="2635"/>
  <c r="CB42" i="2635" s="1"/>
  <c r="BZ8" i="2635"/>
  <c r="BZ42" i="2635" s="1"/>
  <c r="BY8" i="2635"/>
  <c r="BY42" i="2635" s="1"/>
  <c r="BX8" i="2635"/>
  <c r="BX42" i="2635" s="1"/>
  <c r="BW8" i="2635"/>
  <c r="BW42" i="2635" s="1"/>
  <c r="BV8" i="2635"/>
  <c r="BV42" i="2635" s="1"/>
  <c r="BU8" i="2635"/>
  <c r="BU42" i="2635" s="1"/>
  <c r="BT8" i="2635"/>
  <c r="BT42" i="2635" s="1"/>
  <c r="BS8" i="2635"/>
  <c r="BS42" i="2635" s="1"/>
  <c r="BR8" i="2635"/>
  <c r="BR42" i="2635" s="1"/>
  <c r="BQ8" i="2635"/>
  <c r="BQ42" i="2635" s="1"/>
  <c r="BP8" i="2635"/>
  <c r="BP42" i="2635" s="1"/>
  <c r="BO8" i="2635"/>
  <c r="BO42" i="2635" s="1"/>
  <c r="BM8" i="2635"/>
  <c r="BM42" i="2635" s="1"/>
  <c r="BL8" i="2635"/>
  <c r="BL42" i="2635" s="1"/>
  <c r="BK8" i="2635"/>
  <c r="BK42" i="2635" s="1"/>
  <c r="BJ8" i="2635"/>
  <c r="BJ42" i="2635" s="1"/>
  <c r="BI8" i="2635"/>
  <c r="BI42" i="2635" s="1"/>
  <c r="BH8" i="2635"/>
  <c r="BH42" i="2635" s="1"/>
  <c r="BG8" i="2635"/>
  <c r="BG42" i="2635" s="1"/>
  <c r="BF8" i="2635"/>
  <c r="BF42" i="2635" s="1"/>
  <c r="BE8" i="2635"/>
  <c r="BE42" i="2635" s="1"/>
  <c r="BD8" i="2635"/>
  <c r="BD42" i="2635" s="1"/>
  <c r="BC8" i="2635"/>
  <c r="BC42" i="2635" s="1"/>
  <c r="BB8" i="2635"/>
  <c r="BB42" i="2635" s="1"/>
  <c r="AZ8" i="2635"/>
  <c r="AZ42" i="2635" s="1"/>
  <c r="AY8" i="2635"/>
  <c r="AY42" i="2635" s="1"/>
  <c r="AX8" i="2635"/>
  <c r="AX42" i="2635" s="1"/>
  <c r="AW8" i="2635"/>
  <c r="AW42" i="2635" s="1"/>
  <c r="AV8" i="2635"/>
  <c r="AV42" i="2635" s="1"/>
  <c r="AU8" i="2635"/>
  <c r="AU42" i="2635" s="1"/>
  <c r="AT8" i="2635"/>
  <c r="AT42" i="2635" s="1"/>
  <c r="AS8" i="2635"/>
  <c r="AS42" i="2635" s="1"/>
  <c r="AR8" i="2635"/>
  <c r="AR42" i="2635" s="1"/>
  <c r="AQ8" i="2635"/>
  <c r="AQ42" i="2635" s="1"/>
  <c r="AP8" i="2635"/>
  <c r="AP42" i="2635" s="1"/>
  <c r="AO8" i="2635"/>
  <c r="AO42" i="2635" s="1"/>
  <c r="AM8" i="2635"/>
  <c r="AM42" i="2635" s="1"/>
  <c r="AL8" i="2635"/>
  <c r="AL42" i="2635" s="1"/>
  <c r="AK8" i="2635"/>
  <c r="AK42" i="2635" s="1"/>
  <c r="AJ8" i="2635"/>
  <c r="AJ42" i="2635" s="1"/>
  <c r="AI8" i="2635"/>
  <c r="AI42" i="2635" s="1"/>
  <c r="AH8" i="2635"/>
  <c r="AH42" i="2635" s="1"/>
  <c r="AG8" i="2635"/>
  <c r="AG42" i="2635" s="1"/>
  <c r="AF8" i="2635"/>
  <c r="AF42" i="2635" s="1"/>
  <c r="AE8" i="2635"/>
  <c r="AE42" i="2635" s="1"/>
  <c r="AD8" i="2635"/>
  <c r="AD42" i="2635" s="1"/>
  <c r="AC8" i="2635"/>
  <c r="AC42" i="2635" s="1"/>
  <c r="AB8" i="2635"/>
  <c r="Z8" i="2635"/>
  <c r="Z42" i="2635" s="1"/>
  <c r="Y8" i="2635"/>
  <c r="Y42" i="2635" s="1"/>
  <c r="X8" i="2635"/>
  <c r="X42" i="2635" s="1"/>
  <c r="W8" i="2635"/>
  <c r="W42" i="2635" s="1"/>
  <c r="V8" i="2635"/>
  <c r="V42" i="2635" s="1"/>
  <c r="U8" i="2635"/>
  <c r="U42" i="2635" s="1"/>
  <c r="T8" i="2635"/>
  <c r="T42" i="2635" s="1"/>
  <c r="S8" i="2635"/>
  <c r="S42" i="2635" s="1"/>
  <c r="R8" i="2635"/>
  <c r="R42" i="2635" s="1"/>
  <c r="Q8" i="2635"/>
  <c r="P8" i="2635"/>
  <c r="O8" i="2635"/>
  <c r="O42" i="2635" s="1"/>
  <c r="M8" i="2635"/>
  <c r="M42" i="2635" s="1"/>
  <c r="L8" i="2635"/>
  <c r="L42" i="2635" s="1"/>
  <c r="K8" i="2635"/>
  <c r="K42" i="2635" s="1"/>
  <c r="J8" i="2635"/>
  <c r="J42" i="2635" s="1"/>
  <c r="I8" i="2635"/>
  <c r="I42" i="2635" s="1"/>
  <c r="H8" i="2635"/>
  <c r="H42" i="2635" s="1"/>
  <c r="G8" i="2635"/>
  <c r="G42" i="2635" s="1"/>
  <c r="F8" i="2635"/>
  <c r="F42" i="2635" s="1"/>
  <c r="E8" i="2635"/>
  <c r="E42" i="2635" s="1"/>
  <c r="D8" i="2635"/>
  <c r="D42" i="2635" s="1"/>
  <c r="C8" i="2635"/>
  <c r="C42" i="2635" s="1"/>
  <c r="B8" i="2635"/>
  <c r="EA5" i="2635"/>
  <c r="DN5" i="2635"/>
  <c r="DA5" i="2635"/>
  <c r="CN5" i="2635"/>
  <c r="CA5" i="2635"/>
  <c r="BN5" i="2635"/>
  <c r="BA5" i="2635"/>
  <c r="AN5" i="2635"/>
  <c r="AA5" i="2635"/>
  <c r="N5" i="2635"/>
  <c r="EA91" i="2634"/>
  <c r="DN91" i="2634"/>
  <c r="DA91" i="2634"/>
  <c r="CN91" i="2634"/>
  <c r="CA91" i="2634"/>
  <c r="BN91" i="2634"/>
  <c r="BA91" i="2634"/>
  <c r="AN91" i="2634"/>
  <c r="AA91" i="2634"/>
  <c r="N91" i="2634"/>
  <c r="EA90" i="2634"/>
  <c r="DN90" i="2634"/>
  <c r="DA90" i="2634"/>
  <c r="CN90" i="2634"/>
  <c r="CA90" i="2634"/>
  <c r="BN90" i="2634"/>
  <c r="BA90" i="2634"/>
  <c r="AN90" i="2634"/>
  <c r="AA90" i="2634"/>
  <c r="N90" i="2634"/>
  <c r="EA89" i="2634"/>
  <c r="DN89" i="2634"/>
  <c r="DA89" i="2634"/>
  <c r="CN89" i="2634"/>
  <c r="CA89" i="2634"/>
  <c r="BN89" i="2634"/>
  <c r="BA89" i="2634"/>
  <c r="AN89" i="2634"/>
  <c r="AA89" i="2634"/>
  <c r="N89" i="2634"/>
  <c r="EA88" i="2634"/>
  <c r="DN88" i="2634"/>
  <c r="DA88" i="2634"/>
  <c r="CN88" i="2634"/>
  <c r="CA88" i="2634"/>
  <c r="BN88" i="2634"/>
  <c r="BA88" i="2634"/>
  <c r="AN88" i="2634"/>
  <c r="AA88" i="2634"/>
  <c r="N88" i="2634"/>
  <c r="EA87" i="2634"/>
  <c r="DN87" i="2634"/>
  <c r="DA87" i="2634"/>
  <c r="CN87" i="2634"/>
  <c r="CA87" i="2634"/>
  <c r="BN87" i="2634"/>
  <c r="BA87" i="2634"/>
  <c r="AN87" i="2634"/>
  <c r="AA87" i="2634"/>
  <c r="N87" i="2634"/>
  <c r="DZ86" i="2634"/>
  <c r="DZ83" i="2634" s="1"/>
  <c r="DY86" i="2634"/>
  <c r="DX86" i="2634"/>
  <c r="DW86" i="2634"/>
  <c r="DW83" i="2634" s="1"/>
  <c r="DV86" i="2634"/>
  <c r="DV83" i="2634" s="1"/>
  <c r="DU86" i="2634"/>
  <c r="DU83" i="2634" s="1"/>
  <c r="DT86" i="2634"/>
  <c r="DT83" i="2634" s="1"/>
  <c r="DS86" i="2634"/>
  <c r="DS83" i="2634" s="1"/>
  <c r="DR86" i="2634"/>
  <c r="DR83" i="2634" s="1"/>
  <c r="DQ86" i="2634"/>
  <c r="DQ83" i="2634" s="1"/>
  <c r="DP86" i="2634"/>
  <c r="DP83" i="2634" s="1"/>
  <c r="DO86" i="2634"/>
  <c r="DO83" i="2634" s="1"/>
  <c r="DM86" i="2634"/>
  <c r="DM83" i="2634" s="1"/>
  <c r="DL86" i="2634"/>
  <c r="DK86" i="2634"/>
  <c r="DJ86" i="2634"/>
  <c r="DJ83" i="2634" s="1"/>
  <c r="DI86" i="2634"/>
  <c r="DI83" i="2634" s="1"/>
  <c r="DH86" i="2634"/>
  <c r="DH83" i="2634" s="1"/>
  <c r="DG86" i="2634"/>
  <c r="DG83" i="2634" s="1"/>
  <c r="DF86" i="2634"/>
  <c r="DE86" i="2634"/>
  <c r="DE83" i="2634" s="1"/>
  <c r="DD86" i="2634"/>
  <c r="DD83" i="2634" s="1"/>
  <c r="DC86" i="2634"/>
  <c r="DC83" i="2634" s="1"/>
  <c r="DB86" i="2634"/>
  <c r="DB83" i="2634" s="1"/>
  <c r="CZ86" i="2634"/>
  <c r="CZ83" i="2634" s="1"/>
  <c r="CY86" i="2634"/>
  <c r="CX86" i="2634"/>
  <c r="CW86" i="2634"/>
  <c r="CW83" i="2634" s="1"/>
  <c r="CV86" i="2634"/>
  <c r="CV83" i="2634" s="1"/>
  <c r="CU86" i="2634"/>
  <c r="CU83" i="2634" s="1"/>
  <c r="CT86" i="2634"/>
  <c r="CT83" i="2634" s="1"/>
  <c r="CS86" i="2634"/>
  <c r="CS83" i="2634" s="1"/>
  <c r="CR86" i="2634"/>
  <c r="CR83" i="2634" s="1"/>
  <c r="CQ86" i="2634"/>
  <c r="CQ83" i="2634" s="1"/>
  <c r="CP86" i="2634"/>
  <c r="CP83" i="2634" s="1"/>
  <c r="CO86" i="2634"/>
  <c r="CO83" i="2634" s="1"/>
  <c r="CM86" i="2634"/>
  <c r="CM83" i="2634" s="1"/>
  <c r="CL86" i="2634"/>
  <c r="CK86" i="2634"/>
  <c r="CJ86" i="2634"/>
  <c r="CJ83" i="2634" s="1"/>
  <c r="CI86" i="2634"/>
  <c r="CH86" i="2634"/>
  <c r="CH83" i="2634" s="1"/>
  <c r="CG86" i="2634"/>
  <c r="CG83" i="2634" s="1"/>
  <c r="CF86" i="2634"/>
  <c r="CE86" i="2634"/>
  <c r="CE83" i="2634" s="1"/>
  <c r="CC86" i="2634"/>
  <c r="CC83" i="2634" s="1"/>
  <c r="CB86" i="2634"/>
  <c r="BZ86" i="2634"/>
  <c r="BZ83" i="2634" s="1"/>
  <c r="BY86" i="2634"/>
  <c r="BY83" i="2634" s="1"/>
  <c r="BX86" i="2634"/>
  <c r="BW86" i="2634"/>
  <c r="BW83" i="2634" s="1"/>
  <c r="BV86" i="2634"/>
  <c r="BV83" i="2634" s="1"/>
  <c r="BU86" i="2634"/>
  <c r="BU83" i="2634" s="1"/>
  <c r="BT86" i="2634"/>
  <c r="BT83" i="2634" s="1"/>
  <c r="BS86" i="2634"/>
  <c r="BS83" i="2634" s="1"/>
  <c r="BP86" i="2634"/>
  <c r="BO86" i="2634"/>
  <c r="BM86" i="2634"/>
  <c r="BM83" i="2634" s="1"/>
  <c r="BL86" i="2634"/>
  <c r="BL83" i="2634" s="1"/>
  <c r="BK86" i="2634"/>
  <c r="BK83" i="2634" s="1"/>
  <c r="BJ86" i="2634"/>
  <c r="BI86" i="2634"/>
  <c r="BI83" i="2634" s="1"/>
  <c r="BH86" i="2634"/>
  <c r="BG86" i="2634"/>
  <c r="BG83" i="2634" s="1"/>
  <c r="BF86" i="2634"/>
  <c r="BF83" i="2634" s="1"/>
  <c r="BE86" i="2634"/>
  <c r="BE83" i="2634" s="1"/>
  <c r="BD86" i="2634"/>
  <c r="BD83" i="2634" s="1"/>
  <c r="BC86" i="2634"/>
  <c r="BB86" i="2634"/>
  <c r="BB83" i="2634" s="1"/>
  <c r="AZ86" i="2634"/>
  <c r="AZ83" i="2634" s="1"/>
  <c r="AY86" i="2634"/>
  <c r="AY83" i="2634" s="1"/>
  <c r="AX86" i="2634"/>
  <c r="AX83" i="2634" s="1"/>
  <c r="AW86" i="2634"/>
  <c r="AW83" i="2634" s="1"/>
  <c r="AV86" i="2634"/>
  <c r="AU86" i="2634"/>
  <c r="AT86" i="2634"/>
  <c r="AT83" i="2634" s="1"/>
  <c r="AS86" i="2634"/>
  <c r="AS83" i="2634" s="1"/>
  <c r="AR86" i="2634"/>
  <c r="AR83" i="2634" s="1"/>
  <c r="AQ86" i="2634"/>
  <c r="AQ83" i="2634" s="1"/>
  <c r="AP86" i="2634"/>
  <c r="AP83" i="2634" s="1"/>
  <c r="AO86" i="2634"/>
  <c r="AO83" i="2634" s="1"/>
  <c r="AM86" i="2634"/>
  <c r="AM83" i="2634" s="1"/>
  <c r="AL86" i="2634"/>
  <c r="AK86" i="2634"/>
  <c r="AK83" i="2634" s="1"/>
  <c r="AJ86" i="2634"/>
  <c r="AI86" i="2634"/>
  <c r="AH86" i="2634"/>
  <c r="AH83" i="2634" s="1"/>
  <c r="AF86" i="2634"/>
  <c r="AF83" i="2634" s="1"/>
  <c r="AE86" i="2634"/>
  <c r="AE83" i="2634" s="1"/>
  <c r="AD86" i="2634"/>
  <c r="AD83" i="2634" s="1"/>
  <c r="AC86" i="2634"/>
  <c r="AB86" i="2634"/>
  <c r="Z86" i="2634"/>
  <c r="Z83" i="2634" s="1"/>
  <c r="Y86" i="2634"/>
  <c r="Y83" i="2634" s="1"/>
  <c r="X86" i="2634"/>
  <c r="X83" i="2634" s="1"/>
  <c r="W86" i="2634"/>
  <c r="W83" i="2634" s="1"/>
  <c r="V86" i="2634"/>
  <c r="V83" i="2634" s="1"/>
  <c r="U86" i="2634"/>
  <c r="T86" i="2634"/>
  <c r="S86" i="2634"/>
  <c r="S83" i="2634" s="1"/>
  <c r="R86" i="2634"/>
  <c r="R83" i="2634" s="1"/>
  <c r="Q86" i="2634"/>
  <c r="Q83" i="2634" s="1"/>
  <c r="P86" i="2634"/>
  <c r="P83" i="2634" s="1"/>
  <c r="O86" i="2634"/>
  <c r="M86" i="2634"/>
  <c r="M83" i="2634" s="1"/>
  <c r="L86" i="2634"/>
  <c r="L83" i="2634" s="1"/>
  <c r="K86" i="2634"/>
  <c r="K83" i="2634" s="1"/>
  <c r="J86" i="2634"/>
  <c r="J83" i="2634" s="1"/>
  <c r="I86" i="2634"/>
  <c r="H86" i="2634"/>
  <c r="G86" i="2634"/>
  <c r="F86" i="2634"/>
  <c r="F83" i="2634" s="1"/>
  <c r="E86" i="2634"/>
  <c r="E83" i="2634" s="1"/>
  <c r="D86" i="2634"/>
  <c r="D83" i="2634" s="1"/>
  <c r="C86" i="2634"/>
  <c r="C83" i="2634" s="1"/>
  <c r="B86" i="2634"/>
  <c r="B83" i="2634" s="1"/>
  <c r="EA85" i="2634"/>
  <c r="DN85" i="2634"/>
  <c r="DA85" i="2634"/>
  <c r="CN85" i="2634"/>
  <c r="CA85" i="2634"/>
  <c r="BN85" i="2634"/>
  <c r="BA85" i="2634"/>
  <c r="AN85" i="2634"/>
  <c r="AA85" i="2634"/>
  <c r="N85" i="2634"/>
  <c r="EA84" i="2634"/>
  <c r="DN84" i="2634"/>
  <c r="DA84" i="2634"/>
  <c r="CN84" i="2634"/>
  <c r="CA84" i="2634"/>
  <c r="BN84" i="2634"/>
  <c r="BA84" i="2634"/>
  <c r="AN84" i="2634"/>
  <c r="AA84" i="2634"/>
  <c r="N84" i="2634"/>
  <c r="DX83" i="2634"/>
  <c r="DL83" i="2634"/>
  <c r="DK83" i="2634"/>
  <c r="DF83" i="2634"/>
  <c r="CY83" i="2634"/>
  <c r="CX83" i="2634"/>
  <c r="CL83" i="2634"/>
  <c r="CK83" i="2634"/>
  <c r="CI83" i="2634"/>
  <c r="CF83" i="2634"/>
  <c r="BX83" i="2634"/>
  <c r="BP83" i="2634"/>
  <c r="BJ83" i="2634"/>
  <c r="BH83" i="2634"/>
  <c r="BC83" i="2634"/>
  <c r="AV83" i="2634"/>
  <c r="AU83" i="2634"/>
  <c r="AL83" i="2634"/>
  <c r="AJ83" i="2634"/>
  <c r="AI83" i="2634"/>
  <c r="AG83" i="2634"/>
  <c r="AB83" i="2634"/>
  <c r="U83" i="2634"/>
  <c r="T83" i="2634"/>
  <c r="O83" i="2634"/>
  <c r="I83" i="2634"/>
  <c r="H83" i="2634"/>
  <c r="G83" i="2634"/>
  <c r="DN82" i="2634"/>
  <c r="EA81" i="2634"/>
  <c r="DN81" i="2634"/>
  <c r="DA81" i="2634"/>
  <c r="CN81" i="2634"/>
  <c r="CA81" i="2634"/>
  <c r="BN81" i="2634"/>
  <c r="BA81" i="2634"/>
  <c r="AN81" i="2634"/>
  <c r="AA81" i="2634"/>
  <c r="N81" i="2634"/>
  <c r="EA80" i="2634"/>
  <c r="DN80" i="2634"/>
  <c r="DA80" i="2634"/>
  <c r="CN80" i="2634"/>
  <c r="CA80" i="2634"/>
  <c r="BN80" i="2634"/>
  <c r="BA80" i="2634"/>
  <c r="AN80" i="2634"/>
  <c r="AA80" i="2634"/>
  <c r="N80" i="2634"/>
  <c r="DZ79" i="2634"/>
  <c r="DY79" i="2634"/>
  <c r="DX79" i="2634"/>
  <c r="DW79" i="2634"/>
  <c r="DV79" i="2634"/>
  <c r="DU79" i="2634"/>
  <c r="DU69" i="2634" s="1"/>
  <c r="DT79" i="2634"/>
  <c r="DS79" i="2634"/>
  <c r="DR79" i="2634"/>
  <c r="DQ79" i="2634"/>
  <c r="DP79" i="2634"/>
  <c r="DO79" i="2634"/>
  <c r="DM79" i="2634"/>
  <c r="DL79" i="2634"/>
  <c r="DK79" i="2634"/>
  <c r="DJ79" i="2634"/>
  <c r="DI79" i="2634"/>
  <c r="DH79" i="2634"/>
  <c r="DH69" i="2634" s="1"/>
  <c r="DG79" i="2634"/>
  <c r="DF79" i="2634"/>
  <c r="DE79" i="2634"/>
  <c r="DD79" i="2634"/>
  <c r="DC79" i="2634"/>
  <c r="DB79" i="2634"/>
  <c r="CZ79" i="2634"/>
  <c r="CY79" i="2634"/>
  <c r="CX79" i="2634"/>
  <c r="CW79" i="2634"/>
  <c r="CV79" i="2634"/>
  <c r="CU79" i="2634"/>
  <c r="CT79" i="2634"/>
  <c r="CS79" i="2634"/>
  <c r="CR79" i="2634"/>
  <c r="CQ79" i="2634"/>
  <c r="CP79" i="2634"/>
  <c r="CO79" i="2634"/>
  <c r="CI79" i="2634"/>
  <c r="CH79" i="2634"/>
  <c r="CG79" i="2634"/>
  <c r="CF79" i="2634"/>
  <c r="CE79" i="2634"/>
  <c r="CC79" i="2634"/>
  <c r="CB79" i="2634"/>
  <c r="BZ79" i="2634"/>
  <c r="BY79" i="2634"/>
  <c r="BX79" i="2634"/>
  <c r="BW79" i="2634"/>
  <c r="BV79" i="2634"/>
  <c r="BU79" i="2634"/>
  <c r="BT79" i="2634"/>
  <c r="BS79" i="2634"/>
  <c r="BP79" i="2634"/>
  <c r="BO79" i="2634"/>
  <c r="BM79" i="2634"/>
  <c r="BL79" i="2634"/>
  <c r="BK79" i="2634"/>
  <c r="BJ79" i="2634"/>
  <c r="BI79" i="2634"/>
  <c r="BH79" i="2634"/>
  <c r="BG79" i="2634"/>
  <c r="BF79" i="2634"/>
  <c r="BE79" i="2634"/>
  <c r="BD79" i="2634"/>
  <c r="BC79" i="2634"/>
  <c r="BB79" i="2634"/>
  <c r="AZ79" i="2634"/>
  <c r="AY79" i="2634"/>
  <c r="AX79" i="2634"/>
  <c r="AW79" i="2634"/>
  <c r="AV79" i="2634"/>
  <c r="AU79" i="2634"/>
  <c r="AT79" i="2634"/>
  <c r="AS79" i="2634"/>
  <c r="AS69" i="2634" s="1"/>
  <c r="AR79" i="2634"/>
  <c r="AQ79" i="2634"/>
  <c r="AP79" i="2634"/>
  <c r="AO79" i="2634"/>
  <c r="AM79" i="2634"/>
  <c r="AM69" i="2634" s="1"/>
  <c r="AL79" i="2634"/>
  <c r="AK79" i="2634"/>
  <c r="AJ79" i="2634"/>
  <c r="AI79" i="2634"/>
  <c r="AH79" i="2634"/>
  <c r="AG79" i="2634"/>
  <c r="AF79" i="2634"/>
  <c r="AF69" i="2634" s="1"/>
  <c r="AE79" i="2634"/>
  <c r="AD79" i="2634"/>
  <c r="AC79" i="2634"/>
  <c r="AB79" i="2634"/>
  <c r="Z79" i="2634"/>
  <c r="Z69" i="2634" s="1"/>
  <c r="Y79" i="2634"/>
  <c r="X79" i="2634"/>
  <c r="W79" i="2634"/>
  <c r="V79" i="2634"/>
  <c r="U79" i="2634"/>
  <c r="T79" i="2634"/>
  <c r="S79" i="2634"/>
  <c r="R79" i="2634"/>
  <c r="R69" i="2634" s="1"/>
  <c r="R60" i="2634" s="1"/>
  <c r="R59" i="2634" s="1"/>
  <c r="R55" i="2634" s="1"/>
  <c r="Q79" i="2634"/>
  <c r="P79" i="2634"/>
  <c r="O79" i="2634"/>
  <c r="M79" i="2634"/>
  <c r="M69" i="2634" s="1"/>
  <c r="L79" i="2634"/>
  <c r="K79" i="2634"/>
  <c r="J79" i="2634"/>
  <c r="I79" i="2634"/>
  <c r="H79" i="2634"/>
  <c r="G79" i="2634"/>
  <c r="F79" i="2634"/>
  <c r="F69" i="2634" s="1"/>
  <c r="F60" i="2634" s="1"/>
  <c r="F59" i="2634" s="1"/>
  <c r="F55" i="2634" s="1"/>
  <c r="E79" i="2634"/>
  <c r="D79" i="2634"/>
  <c r="C79" i="2634"/>
  <c r="B79" i="2634"/>
  <c r="EA78" i="2634"/>
  <c r="DN78" i="2634"/>
  <c r="DA78" i="2634"/>
  <c r="CN78" i="2634"/>
  <c r="BY78" i="2634"/>
  <c r="BN78" i="2634"/>
  <c r="BN49" i="2634" s="1"/>
  <c r="BA78" i="2634"/>
  <c r="BA49" i="2634" s="1"/>
  <c r="AN78" i="2634"/>
  <c r="AN49" i="2634" s="1"/>
  <c r="AA78" i="2634"/>
  <c r="AA49" i="2634" s="1"/>
  <c r="N78" i="2634"/>
  <c r="N49" i="2634" s="1"/>
  <c r="EA77" i="2634"/>
  <c r="DN77" i="2634"/>
  <c r="DA77" i="2634"/>
  <c r="CN77" i="2634"/>
  <c r="CA77" i="2634"/>
  <c r="BN77" i="2634"/>
  <c r="BA77" i="2634"/>
  <c r="AN77" i="2634"/>
  <c r="AA77" i="2634"/>
  <c r="N77" i="2634"/>
  <c r="EA76" i="2634"/>
  <c r="DN76" i="2634"/>
  <c r="DA76" i="2634"/>
  <c r="CN76" i="2634"/>
  <c r="CA76" i="2634"/>
  <c r="BN76" i="2634"/>
  <c r="BN50" i="2634" s="1"/>
  <c r="BA76" i="2634"/>
  <c r="BA50" i="2634" s="1"/>
  <c r="AN76" i="2634"/>
  <c r="AN50" i="2634" s="1"/>
  <c r="AA76" i="2634"/>
  <c r="AA50" i="2634" s="1"/>
  <c r="N76" i="2634"/>
  <c r="N50" i="2634" s="1"/>
  <c r="EA75" i="2634"/>
  <c r="DN75" i="2634"/>
  <c r="DA75" i="2634"/>
  <c r="CN75" i="2634"/>
  <c r="CA75" i="2634"/>
  <c r="BN75" i="2634"/>
  <c r="BN48" i="2634" s="1"/>
  <c r="BA75" i="2634"/>
  <c r="BA48" i="2634" s="1"/>
  <c r="AN75" i="2634"/>
  <c r="AN48" i="2634" s="1"/>
  <c r="AA75" i="2634"/>
  <c r="AA48" i="2634" s="1"/>
  <c r="N75" i="2634"/>
  <c r="N48" i="2634" s="1"/>
  <c r="EA74" i="2634"/>
  <c r="DN74" i="2634"/>
  <c r="DA74" i="2634"/>
  <c r="CN74" i="2634"/>
  <c r="CA74" i="2634"/>
  <c r="BN74" i="2634"/>
  <c r="BA74" i="2634"/>
  <c r="AN74" i="2634"/>
  <c r="AA74" i="2634"/>
  <c r="N74" i="2634"/>
  <c r="EA73" i="2634"/>
  <c r="DN73" i="2634"/>
  <c r="DA73" i="2634"/>
  <c r="CN73" i="2634"/>
  <c r="CA73" i="2634"/>
  <c r="BN73" i="2634"/>
  <c r="BA73" i="2634"/>
  <c r="AN73" i="2634"/>
  <c r="AA73" i="2634"/>
  <c r="N73" i="2634"/>
  <c r="EA72" i="2634"/>
  <c r="DN72" i="2634"/>
  <c r="DA72" i="2634"/>
  <c r="CN72" i="2634"/>
  <c r="CA72" i="2634"/>
  <c r="BN72" i="2634"/>
  <c r="BA72" i="2634"/>
  <c r="AN72" i="2634"/>
  <c r="AA72" i="2634"/>
  <c r="N72" i="2634"/>
  <c r="EA71" i="2634"/>
  <c r="DN71" i="2634"/>
  <c r="DA71" i="2634"/>
  <c r="CN71" i="2634"/>
  <c r="CA71" i="2634"/>
  <c r="BN71" i="2634"/>
  <c r="BA71" i="2634"/>
  <c r="BA47" i="2634" s="1"/>
  <c r="AN71" i="2634"/>
  <c r="AN47" i="2634" s="1"/>
  <c r="AA71" i="2634"/>
  <c r="AA47" i="2634" s="1"/>
  <c r="N71" i="2634"/>
  <c r="DZ70" i="2634"/>
  <c r="DY70" i="2634"/>
  <c r="DX70" i="2634"/>
  <c r="DX69" i="2634" s="1"/>
  <c r="DW70" i="2634"/>
  <c r="DV70" i="2634"/>
  <c r="DU70" i="2634"/>
  <c r="DT70" i="2634"/>
  <c r="DS70" i="2634"/>
  <c r="DR70" i="2634"/>
  <c r="DQ70" i="2634"/>
  <c r="DQ69" i="2634" s="1"/>
  <c r="DP70" i="2634"/>
  <c r="DP69" i="2634" s="1"/>
  <c r="DO70" i="2634"/>
  <c r="DM70" i="2634"/>
  <c r="DL70" i="2634"/>
  <c r="DK70" i="2634"/>
  <c r="DK69" i="2634" s="1"/>
  <c r="DJ70" i="2634"/>
  <c r="DI70" i="2634"/>
  <c r="DH70" i="2634"/>
  <c r="DG70" i="2634"/>
  <c r="DF70" i="2634"/>
  <c r="DD70" i="2634"/>
  <c r="DC70" i="2634"/>
  <c r="DC69" i="2634" s="1"/>
  <c r="DB70" i="2634"/>
  <c r="DB69" i="2634" s="1"/>
  <c r="CZ70" i="2634"/>
  <c r="CY70" i="2634"/>
  <c r="CX70" i="2634"/>
  <c r="CX69" i="2634" s="1"/>
  <c r="CW70" i="2634"/>
  <c r="CV70" i="2634"/>
  <c r="CU70" i="2634"/>
  <c r="CT70" i="2634"/>
  <c r="CS70" i="2634"/>
  <c r="CR70" i="2634"/>
  <c r="CR69" i="2634" s="1"/>
  <c r="CQ70" i="2634"/>
  <c r="CQ69" i="2634" s="1"/>
  <c r="CP70" i="2634"/>
  <c r="CP69" i="2634" s="1"/>
  <c r="CO70" i="2634"/>
  <c r="CM70" i="2634"/>
  <c r="CM69" i="2634" s="1"/>
  <c r="CL70" i="2634"/>
  <c r="CL69" i="2634" s="1"/>
  <c r="CK70" i="2634"/>
  <c r="CK69" i="2634" s="1"/>
  <c r="CJ70" i="2634"/>
  <c r="CJ69" i="2634" s="1"/>
  <c r="CI70" i="2634"/>
  <c r="CH70" i="2634"/>
  <c r="CG70" i="2634"/>
  <c r="CG69" i="2634" s="1"/>
  <c r="CG60" i="2634" s="1"/>
  <c r="CF70" i="2634"/>
  <c r="CE70" i="2634"/>
  <c r="CD70" i="2634"/>
  <c r="CC70" i="2634"/>
  <c r="CB70" i="2634"/>
  <c r="BZ70" i="2634"/>
  <c r="BY70" i="2634"/>
  <c r="BX70" i="2634"/>
  <c r="BW70" i="2634"/>
  <c r="BW69" i="2634" s="1"/>
  <c r="BV70" i="2634"/>
  <c r="BV69" i="2634" s="1"/>
  <c r="BU70" i="2634"/>
  <c r="BT70" i="2634"/>
  <c r="BS70" i="2634"/>
  <c r="BR70" i="2634"/>
  <c r="BR69" i="2634" s="1"/>
  <c r="BQ70" i="2634"/>
  <c r="BQ69" i="2634" s="1"/>
  <c r="BP70" i="2634"/>
  <c r="BP69" i="2634" s="1"/>
  <c r="BO70" i="2634"/>
  <c r="BM70" i="2634"/>
  <c r="BL70" i="2634"/>
  <c r="BK70" i="2634"/>
  <c r="BJ70" i="2634"/>
  <c r="BI70" i="2634"/>
  <c r="BI69" i="2634" s="1"/>
  <c r="BH70" i="2634"/>
  <c r="BG70" i="2634"/>
  <c r="BF70" i="2634"/>
  <c r="BE70" i="2634"/>
  <c r="BD70" i="2634"/>
  <c r="BD69" i="2634" s="1"/>
  <c r="BC70" i="2634"/>
  <c r="BC69" i="2634" s="1"/>
  <c r="BB70" i="2634"/>
  <c r="AZ70" i="2634"/>
  <c r="AY70" i="2634"/>
  <c r="AX70" i="2634"/>
  <c r="AW70" i="2634"/>
  <c r="AW69" i="2634" s="1"/>
  <c r="AV70" i="2634"/>
  <c r="AV69" i="2634" s="1"/>
  <c r="AU70" i="2634"/>
  <c r="AT70" i="2634"/>
  <c r="AT69" i="2634" s="1"/>
  <c r="AS70" i="2634"/>
  <c r="AR70" i="2634"/>
  <c r="AQ70" i="2634"/>
  <c r="AQ69" i="2634" s="1"/>
  <c r="AP70" i="2634"/>
  <c r="AP69" i="2634" s="1"/>
  <c r="AO70" i="2634"/>
  <c r="AM70" i="2634"/>
  <c r="AL70" i="2634"/>
  <c r="AK70" i="2634"/>
  <c r="AJ70" i="2634"/>
  <c r="AJ69" i="2634" s="1"/>
  <c r="AI70" i="2634"/>
  <c r="AI69" i="2634" s="1"/>
  <c r="AH70" i="2634"/>
  <c r="AG70" i="2634"/>
  <c r="AF70" i="2634"/>
  <c r="AE70" i="2634"/>
  <c r="AD70" i="2634"/>
  <c r="AD69" i="2634" s="1"/>
  <c r="AC70" i="2634"/>
  <c r="AC69" i="2634" s="1"/>
  <c r="AB70" i="2634"/>
  <c r="Z70" i="2634"/>
  <c r="Y70" i="2634"/>
  <c r="X70" i="2634"/>
  <c r="W70" i="2634"/>
  <c r="W69" i="2634" s="1"/>
  <c r="V70" i="2634"/>
  <c r="V69" i="2634" s="1"/>
  <c r="U70" i="2634"/>
  <c r="T70" i="2634"/>
  <c r="T69" i="2634" s="1"/>
  <c r="S70" i="2634"/>
  <c r="R70" i="2634"/>
  <c r="Q70" i="2634"/>
  <c r="Q69" i="2634" s="1"/>
  <c r="P70" i="2634"/>
  <c r="P69" i="2634" s="1"/>
  <c r="O70" i="2634"/>
  <c r="M70" i="2634"/>
  <c r="L70" i="2634"/>
  <c r="K70" i="2634"/>
  <c r="J70" i="2634"/>
  <c r="J69" i="2634" s="1"/>
  <c r="I70" i="2634"/>
  <c r="I69" i="2634" s="1"/>
  <c r="H70" i="2634"/>
  <c r="G70" i="2634"/>
  <c r="F70" i="2634"/>
  <c r="E70" i="2634"/>
  <c r="D70" i="2634"/>
  <c r="C70" i="2634"/>
  <c r="C69" i="2634" s="1"/>
  <c r="B70" i="2634"/>
  <c r="DO69" i="2634"/>
  <c r="DE69" i="2634"/>
  <c r="CD69" i="2634"/>
  <c r="BS69" i="2634"/>
  <c r="BG69" i="2634"/>
  <c r="BF69" i="2634"/>
  <c r="D69" i="2634"/>
  <c r="EA68" i="2634"/>
  <c r="DN68" i="2634"/>
  <c r="DA68" i="2634"/>
  <c r="CN68" i="2634"/>
  <c r="CA68" i="2634"/>
  <c r="BN68" i="2634"/>
  <c r="BA68" i="2634"/>
  <c r="AN68" i="2634"/>
  <c r="AA68" i="2634"/>
  <c r="N68" i="2634"/>
  <c r="EA67" i="2634"/>
  <c r="DN67" i="2634"/>
  <c r="DA67" i="2634"/>
  <c r="CN67" i="2634"/>
  <c r="CA67" i="2634"/>
  <c r="BN67" i="2634"/>
  <c r="BA67" i="2634"/>
  <c r="AN67" i="2634"/>
  <c r="AA67" i="2634"/>
  <c r="N67" i="2634"/>
  <c r="EA66" i="2634"/>
  <c r="DN66" i="2634"/>
  <c r="DA66" i="2634"/>
  <c r="CN66" i="2634"/>
  <c r="CA66" i="2634"/>
  <c r="BN66" i="2634"/>
  <c r="BA66" i="2634"/>
  <c r="AN66" i="2634"/>
  <c r="AA66" i="2634"/>
  <c r="N66" i="2634"/>
  <c r="EA65" i="2634"/>
  <c r="DN65" i="2634"/>
  <c r="DA65" i="2634"/>
  <c r="CN65" i="2634"/>
  <c r="CA65" i="2634"/>
  <c r="BN65" i="2634"/>
  <c r="BA65" i="2634"/>
  <c r="AN65" i="2634"/>
  <c r="AA65" i="2634"/>
  <c r="N65" i="2634"/>
  <c r="EA64" i="2634"/>
  <c r="DN64" i="2634"/>
  <c r="DA64" i="2634"/>
  <c r="CN64" i="2634"/>
  <c r="CA64" i="2634"/>
  <c r="BN64" i="2634"/>
  <c r="BA64" i="2634"/>
  <c r="AN64" i="2634"/>
  <c r="AA64" i="2634"/>
  <c r="N64" i="2634"/>
  <c r="DZ63" i="2634"/>
  <c r="DY63" i="2634"/>
  <c r="DX63" i="2634"/>
  <c r="DX51" i="2634" s="1"/>
  <c r="DX45" i="2634" s="1"/>
  <c r="DW63" i="2634"/>
  <c r="DV63" i="2634"/>
  <c r="DU63" i="2634"/>
  <c r="DT63" i="2634"/>
  <c r="DS63" i="2634"/>
  <c r="DR63" i="2634"/>
  <c r="DR51" i="2634" s="1"/>
  <c r="DR45" i="2634" s="1"/>
  <c r="DQ63" i="2634"/>
  <c r="DP63" i="2634"/>
  <c r="DO63" i="2634"/>
  <c r="DM63" i="2634"/>
  <c r="DL63" i="2634"/>
  <c r="DK63" i="2634"/>
  <c r="DJ63" i="2634"/>
  <c r="DI63" i="2634"/>
  <c r="DH63" i="2634"/>
  <c r="DG63" i="2634"/>
  <c r="DF63" i="2634"/>
  <c r="DF51" i="2634" s="1"/>
  <c r="DF45" i="2634" s="1"/>
  <c r="DE63" i="2634"/>
  <c r="DE51" i="2634" s="1"/>
  <c r="DE45" i="2634" s="1"/>
  <c r="DE42" i="2634" s="1"/>
  <c r="DD63" i="2634"/>
  <c r="DC63" i="2634"/>
  <c r="DB63" i="2634"/>
  <c r="CZ63" i="2634"/>
  <c r="CY63" i="2634"/>
  <c r="CX63" i="2634"/>
  <c r="CX51" i="2634" s="1"/>
  <c r="CX45" i="2634" s="1"/>
  <c r="CW63" i="2634"/>
  <c r="CV63" i="2634"/>
  <c r="CU63" i="2634"/>
  <c r="CT63" i="2634"/>
  <c r="CS63" i="2634"/>
  <c r="CR63" i="2634"/>
  <c r="CQ63" i="2634"/>
  <c r="CP63" i="2634"/>
  <c r="CO63" i="2634"/>
  <c r="CM63" i="2634"/>
  <c r="CM51" i="2634" s="1"/>
  <c r="CM45" i="2634" s="1"/>
  <c r="CM42" i="2634" s="1"/>
  <c r="CL63" i="2634"/>
  <c r="CK63" i="2634"/>
  <c r="CJ63" i="2634"/>
  <c r="CJ51" i="2634" s="1"/>
  <c r="CJ45" i="2634" s="1"/>
  <c r="CI63" i="2634"/>
  <c r="CH63" i="2634"/>
  <c r="CG63" i="2634"/>
  <c r="CF63" i="2634"/>
  <c r="CE63" i="2634"/>
  <c r="CD63" i="2634"/>
  <c r="CD51" i="2634" s="1"/>
  <c r="CD45" i="2634" s="1"/>
  <c r="CC63" i="2634"/>
  <c r="CB63" i="2634"/>
  <c r="BZ63" i="2634"/>
  <c r="BY63" i="2634"/>
  <c r="BX63" i="2634"/>
  <c r="BW63" i="2634"/>
  <c r="BW51" i="2634" s="1"/>
  <c r="BW45" i="2634" s="1"/>
  <c r="BV63" i="2634"/>
  <c r="BV51" i="2634" s="1"/>
  <c r="BV45" i="2634" s="1"/>
  <c r="BU63" i="2634"/>
  <c r="BU51" i="2634" s="1"/>
  <c r="BU45" i="2634" s="1"/>
  <c r="BU42" i="2634" s="1"/>
  <c r="BT63" i="2634"/>
  <c r="BS63" i="2634"/>
  <c r="BR63" i="2634"/>
  <c r="BR51" i="2634" s="1"/>
  <c r="BR45" i="2634" s="1"/>
  <c r="BQ63" i="2634"/>
  <c r="BQ51" i="2634" s="1"/>
  <c r="BQ45" i="2634" s="1"/>
  <c r="BP63" i="2634"/>
  <c r="BO63" i="2634"/>
  <c r="BM63" i="2634"/>
  <c r="BL63" i="2634"/>
  <c r="BK63" i="2634"/>
  <c r="BK51" i="2634" s="1"/>
  <c r="BK45" i="2634" s="1"/>
  <c r="BJ63" i="2634"/>
  <c r="BI63" i="2634"/>
  <c r="BI51" i="2634" s="1"/>
  <c r="BI45" i="2634" s="1"/>
  <c r="BH63" i="2634"/>
  <c r="BH51" i="2634" s="1"/>
  <c r="BH45" i="2634" s="1"/>
  <c r="BG63" i="2634"/>
  <c r="BG51" i="2634" s="1"/>
  <c r="BG45" i="2634" s="1"/>
  <c r="BF63" i="2634"/>
  <c r="BF51" i="2634" s="1"/>
  <c r="BF45" i="2634" s="1"/>
  <c r="BD63" i="2634"/>
  <c r="BC63" i="2634"/>
  <c r="BB63" i="2634"/>
  <c r="AZ63" i="2634"/>
  <c r="AY63" i="2634"/>
  <c r="AX63" i="2634"/>
  <c r="AW63" i="2634"/>
  <c r="AW51" i="2634" s="1"/>
  <c r="AW45" i="2634" s="1"/>
  <c r="AV63" i="2634"/>
  <c r="AU63" i="2634"/>
  <c r="AT63" i="2634"/>
  <c r="AT51" i="2634" s="1"/>
  <c r="AT45" i="2634" s="1"/>
  <c r="AS63" i="2634"/>
  <c r="AR63" i="2634"/>
  <c r="AQ63" i="2634"/>
  <c r="AP63" i="2634"/>
  <c r="AO63" i="2634"/>
  <c r="AM63" i="2634"/>
  <c r="AL63" i="2634"/>
  <c r="AK63" i="2634"/>
  <c r="AJ63" i="2634"/>
  <c r="AJ51" i="2634" s="1"/>
  <c r="AJ45" i="2634" s="1"/>
  <c r="AJ42" i="2634" s="1"/>
  <c r="AI63" i="2634"/>
  <c r="AH63" i="2634"/>
  <c r="AH51" i="2634" s="1"/>
  <c r="AH45" i="2634" s="1"/>
  <c r="AG63" i="2634"/>
  <c r="AF63" i="2634"/>
  <c r="AE63" i="2634"/>
  <c r="AD63" i="2634"/>
  <c r="AD51" i="2634" s="1"/>
  <c r="AD45" i="2634" s="1"/>
  <c r="AC63" i="2634"/>
  <c r="AB63" i="2634"/>
  <c r="Z63" i="2634"/>
  <c r="Y63" i="2634"/>
  <c r="X63" i="2634"/>
  <c r="X51" i="2634" s="1"/>
  <c r="X45" i="2634" s="1"/>
  <c r="X42" i="2634" s="1"/>
  <c r="W63" i="2634"/>
  <c r="W51" i="2634" s="1"/>
  <c r="W45" i="2634" s="1"/>
  <c r="V63" i="2634"/>
  <c r="U63" i="2634"/>
  <c r="U51" i="2634" s="1"/>
  <c r="U45" i="2634" s="1"/>
  <c r="T63" i="2634"/>
  <c r="S63" i="2634"/>
  <c r="R63" i="2634"/>
  <c r="Q63" i="2634"/>
  <c r="Q51" i="2634" s="1"/>
  <c r="Q45" i="2634" s="1"/>
  <c r="P63" i="2634"/>
  <c r="P60" i="2634" s="1"/>
  <c r="O63" i="2634"/>
  <c r="M63" i="2634"/>
  <c r="L63" i="2634"/>
  <c r="K63" i="2634"/>
  <c r="J63" i="2634"/>
  <c r="I63" i="2634"/>
  <c r="H63" i="2634"/>
  <c r="G63" i="2634"/>
  <c r="G51" i="2634" s="1"/>
  <c r="G45" i="2634" s="1"/>
  <c r="G42" i="2634" s="1"/>
  <c r="F63" i="2634"/>
  <c r="E63" i="2634"/>
  <c r="D63" i="2634"/>
  <c r="C63" i="2634"/>
  <c r="B63" i="2634"/>
  <c r="EA62" i="2634"/>
  <c r="DN62" i="2634"/>
  <c r="DA62" i="2634"/>
  <c r="CN62" i="2634"/>
  <c r="CA62" i="2634"/>
  <c r="BN62" i="2634"/>
  <c r="BA62" i="2634"/>
  <c r="AN62" i="2634"/>
  <c r="AA62" i="2634"/>
  <c r="N62" i="2634"/>
  <c r="EA61" i="2634"/>
  <c r="DN61" i="2634"/>
  <c r="DA61" i="2634"/>
  <c r="CN61" i="2634"/>
  <c r="CA61" i="2634"/>
  <c r="BN61" i="2634"/>
  <c r="BA61" i="2634"/>
  <c r="AN61" i="2634"/>
  <c r="AA61" i="2634"/>
  <c r="N61" i="2634"/>
  <c r="CM60" i="2634"/>
  <c r="BG60" i="2634"/>
  <c r="EA58" i="2634"/>
  <c r="DN58" i="2634"/>
  <c r="DA58" i="2634"/>
  <c r="CN58" i="2634"/>
  <c r="CA58" i="2634"/>
  <c r="BN58" i="2634"/>
  <c r="BA58" i="2634"/>
  <c r="AN58" i="2634"/>
  <c r="AA58" i="2634"/>
  <c r="N58" i="2634"/>
  <c r="DZ56" i="2634"/>
  <c r="DY56" i="2634"/>
  <c r="DX56" i="2634"/>
  <c r="DW56" i="2634"/>
  <c r="DV56" i="2634"/>
  <c r="DU56" i="2634"/>
  <c r="DT56" i="2634"/>
  <c r="DS56" i="2634"/>
  <c r="DR56" i="2634"/>
  <c r="DQ56" i="2634"/>
  <c r="DP56" i="2634"/>
  <c r="DO56" i="2634"/>
  <c r="DM56" i="2634"/>
  <c r="DL56" i="2634"/>
  <c r="DK56" i="2634"/>
  <c r="DJ56" i="2634"/>
  <c r="DI56" i="2634"/>
  <c r="DH56" i="2634"/>
  <c r="DG56" i="2634"/>
  <c r="DF56" i="2634"/>
  <c r="DE56" i="2634"/>
  <c r="DD56" i="2634"/>
  <c r="DC56" i="2634"/>
  <c r="DB56" i="2634"/>
  <c r="CZ56" i="2634"/>
  <c r="CY56" i="2634"/>
  <c r="CX56" i="2634"/>
  <c r="CW56" i="2634"/>
  <c r="CV56" i="2634"/>
  <c r="CU56" i="2634"/>
  <c r="CT56" i="2634"/>
  <c r="CS56" i="2634"/>
  <c r="CR56" i="2634"/>
  <c r="CQ56" i="2634"/>
  <c r="CP56" i="2634"/>
  <c r="CO56" i="2634"/>
  <c r="CM56" i="2634"/>
  <c r="CL56" i="2634"/>
  <c r="CK56" i="2634"/>
  <c r="CJ56" i="2634"/>
  <c r="CI56" i="2634"/>
  <c r="CH56" i="2634"/>
  <c r="CG56" i="2634"/>
  <c r="CF56" i="2634"/>
  <c r="CE56" i="2634"/>
  <c r="CD56" i="2634"/>
  <c r="CC56" i="2634"/>
  <c r="CB56" i="2634"/>
  <c r="BZ56" i="2634"/>
  <c r="BY56" i="2634"/>
  <c r="BX56" i="2634"/>
  <c r="BW56" i="2634"/>
  <c r="BV56" i="2634"/>
  <c r="BU56" i="2634"/>
  <c r="BT56" i="2634"/>
  <c r="BS56" i="2634"/>
  <c r="BR56" i="2634"/>
  <c r="BQ56" i="2634"/>
  <c r="BP56" i="2634"/>
  <c r="BO56" i="2634"/>
  <c r="BM56" i="2634"/>
  <c r="BL56" i="2634"/>
  <c r="BK56" i="2634"/>
  <c r="BJ56" i="2634"/>
  <c r="BI56" i="2634"/>
  <c r="BH56" i="2634"/>
  <c r="BG56" i="2634"/>
  <c r="BF56" i="2634"/>
  <c r="BE56" i="2634"/>
  <c r="BD56" i="2634"/>
  <c r="BC56" i="2634"/>
  <c r="BB56" i="2634"/>
  <c r="AZ56" i="2634"/>
  <c r="AY56" i="2634"/>
  <c r="AX56" i="2634"/>
  <c r="AW56" i="2634"/>
  <c r="AV56" i="2634"/>
  <c r="AU56" i="2634"/>
  <c r="AT56" i="2634"/>
  <c r="AS56" i="2634"/>
  <c r="AR56" i="2634"/>
  <c r="AQ56" i="2634"/>
  <c r="AP56" i="2634"/>
  <c r="AO56" i="2634"/>
  <c r="AM56" i="2634"/>
  <c r="AL56" i="2634"/>
  <c r="AK56" i="2634"/>
  <c r="AJ56" i="2634"/>
  <c r="AI56" i="2634"/>
  <c r="AH56" i="2634"/>
  <c r="AG56" i="2634"/>
  <c r="AF56" i="2634"/>
  <c r="AE56" i="2634"/>
  <c r="AD56" i="2634"/>
  <c r="AC56" i="2634"/>
  <c r="AB56" i="2634"/>
  <c r="Z56" i="2634"/>
  <c r="Y56" i="2634"/>
  <c r="X56" i="2634"/>
  <c r="W56" i="2634"/>
  <c r="V56" i="2634"/>
  <c r="U56" i="2634"/>
  <c r="T56" i="2634"/>
  <c r="S56" i="2634"/>
  <c r="R56" i="2634"/>
  <c r="Q56" i="2634"/>
  <c r="P56" i="2634"/>
  <c r="O56" i="2634"/>
  <c r="M56" i="2634"/>
  <c r="L56" i="2634"/>
  <c r="K56" i="2634"/>
  <c r="J56" i="2634"/>
  <c r="I56" i="2634"/>
  <c r="H56" i="2634"/>
  <c r="G56" i="2634"/>
  <c r="F56" i="2634"/>
  <c r="E56" i="2634"/>
  <c r="D56" i="2634"/>
  <c r="C56" i="2634"/>
  <c r="B56" i="2634"/>
  <c r="CA41" i="2634"/>
  <c r="EA39" i="2634"/>
  <c r="DN39" i="2634"/>
  <c r="DA39" i="2634"/>
  <c r="CN39" i="2634"/>
  <c r="CA39" i="2634"/>
  <c r="BN39" i="2634"/>
  <c r="BA39" i="2634"/>
  <c r="AN39" i="2634"/>
  <c r="AA39" i="2634"/>
  <c r="N39" i="2634"/>
  <c r="EA31" i="2634"/>
  <c r="DN31" i="2634"/>
  <c r="DA31" i="2634"/>
  <c r="CN31" i="2634"/>
  <c r="CA31" i="2634"/>
  <c r="BN31" i="2634"/>
  <c r="BA31" i="2634"/>
  <c r="AN31" i="2634"/>
  <c r="AA31" i="2634"/>
  <c r="N31" i="2634"/>
  <c r="EA30" i="2634"/>
  <c r="DN30" i="2634"/>
  <c r="DA30" i="2634"/>
  <c r="CN30" i="2634"/>
  <c r="CA30" i="2634"/>
  <c r="BN30" i="2634"/>
  <c r="BA30" i="2634"/>
  <c r="AN30" i="2634"/>
  <c r="AA30" i="2634"/>
  <c r="N30" i="2634"/>
  <c r="EA29" i="2634"/>
  <c r="DN29" i="2634"/>
  <c r="DA29" i="2634"/>
  <c r="CN29" i="2634"/>
  <c r="CA29" i="2634"/>
  <c r="BN29" i="2634"/>
  <c r="BA29" i="2634"/>
  <c r="AN29" i="2634"/>
  <c r="AA29" i="2634"/>
  <c r="N29" i="2634"/>
  <c r="EA28" i="2634"/>
  <c r="DN28" i="2634"/>
  <c r="DA28" i="2634"/>
  <c r="CN28" i="2634"/>
  <c r="CA28" i="2634"/>
  <c r="BN28" i="2634"/>
  <c r="BA28" i="2634"/>
  <c r="AN28" i="2634"/>
  <c r="AA28" i="2634"/>
  <c r="N28" i="2634"/>
  <c r="DZ27" i="2634"/>
  <c r="DY27" i="2634"/>
  <c r="DX27" i="2634"/>
  <c r="DW27" i="2634"/>
  <c r="DV27" i="2634"/>
  <c r="DU27" i="2634"/>
  <c r="DT27" i="2634"/>
  <c r="DS27" i="2634"/>
  <c r="DR27" i="2634"/>
  <c r="DQ27" i="2634"/>
  <c r="DP27" i="2634"/>
  <c r="DO27" i="2634"/>
  <c r="DM27" i="2634"/>
  <c r="DL27" i="2634"/>
  <c r="DK27" i="2634"/>
  <c r="DJ27" i="2634"/>
  <c r="DI27" i="2634"/>
  <c r="DH27" i="2634"/>
  <c r="DG27" i="2634"/>
  <c r="DF27" i="2634"/>
  <c r="DE27" i="2634"/>
  <c r="DD27" i="2634"/>
  <c r="DC27" i="2634"/>
  <c r="DB27" i="2634"/>
  <c r="CZ27" i="2634"/>
  <c r="CY27" i="2634"/>
  <c r="CX27" i="2634"/>
  <c r="CW27" i="2634"/>
  <c r="CV27" i="2634"/>
  <c r="CU27" i="2634"/>
  <c r="CT27" i="2634"/>
  <c r="CS27" i="2634"/>
  <c r="CR27" i="2634"/>
  <c r="CQ27" i="2634"/>
  <c r="CP27" i="2634"/>
  <c r="CO27" i="2634"/>
  <c r="CM27" i="2634"/>
  <c r="CL27" i="2634"/>
  <c r="CK27" i="2634"/>
  <c r="CJ27" i="2634"/>
  <c r="CI27" i="2634"/>
  <c r="CH27" i="2634"/>
  <c r="CG27" i="2634"/>
  <c r="CF27" i="2634"/>
  <c r="CE27" i="2634"/>
  <c r="CD27" i="2634"/>
  <c r="CC27" i="2634"/>
  <c r="CB27" i="2634"/>
  <c r="BZ27" i="2634"/>
  <c r="BY27" i="2634"/>
  <c r="BX27" i="2634"/>
  <c r="BW27" i="2634"/>
  <c r="BV27" i="2634"/>
  <c r="BU27" i="2634"/>
  <c r="BT27" i="2634"/>
  <c r="BS27" i="2634"/>
  <c r="BR27" i="2634"/>
  <c r="BQ27" i="2634"/>
  <c r="BP27" i="2634"/>
  <c r="BO27" i="2634"/>
  <c r="BM27" i="2634"/>
  <c r="BL27" i="2634"/>
  <c r="BK27" i="2634"/>
  <c r="BJ27" i="2634"/>
  <c r="BI27" i="2634"/>
  <c r="BH27" i="2634"/>
  <c r="BG27" i="2634"/>
  <c r="BF27" i="2634"/>
  <c r="BE27" i="2634"/>
  <c r="BD27" i="2634"/>
  <c r="BC27" i="2634"/>
  <c r="BB27" i="2634"/>
  <c r="AZ27" i="2634"/>
  <c r="AY27" i="2634"/>
  <c r="AX27" i="2634"/>
  <c r="AW27" i="2634"/>
  <c r="AV27" i="2634"/>
  <c r="AU27" i="2634"/>
  <c r="AT27" i="2634"/>
  <c r="AS27" i="2634"/>
  <c r="AR27" i="2634"/>
  <c r="AQ27" i="2634"/>
  <c r="AP27" i="2634"/>
  <c r="AO27" i="2634"/>
  <c r="AM27" i="2634"/>
  <c r="AL27" i="2634"/>
  <c r="AK27" i="2634"/>
  <c r="AJ27" i="2634"/>
  <c r="AI27" i="2634"/>
  <c r="AH27" i="2634"/>
  <c r="AG27" i="2634"/>
  <c r="AF27" i="2634"/>
  <c r="AE27" i="2634"/>
  <c r="AD27" i="2634"/>
  <c r="AC27" i="2634"/>
  <c r="AB27" i="2634"/>
  <c r="Z27" i="2634"/>
  <c r="Y27" i="2634"/>
  <c r="X27" i="2634"/>
  <c r="W27" i="2634"/>
  <c r="V27" i="2634"/>
  <c r="U27" i="2634"/>
  <c r="T27" i="2634"/>
  <c r="S27" i="2634"/>
  <c r="R27" i="2634"/>
  <c r="Q27" i="2634"/>
  <c r="P27" i="2634"/>
  <c r="O27" i="2634"/>
  <c r="M27" i="2634"/>
  <c r="L27" i="2634"/>
  <c r="K27" i="2634"/>
  <c r="J27" i="2634"/>
  <c r="I27" i="2634"/>
  <c r="H27" i="2634"/>
  <c r="G27" i="2634"/>
  <c r="F27" i="2634"/>
  <c r="E27" i="2634"/>
  <c r="D27" i="2634"/>
  <c r="C27" i="2634"/>
  <c r="B27" i="2634"/>
  <c r="EA25" i="2634"/>
  <c r="DN25" i="2634"/>
  <c r="DA25" i="2634"/>
  <c r="CN25" i="2634"/>
  <c r="CA25" i="2634"/>
  <c r="BN25" i="2634"/>
  <c r="BA25" i="2634"/>
  <c r="AN25" i="2634"/>
  <c r="AA25" i="2634"/>
  <c r="N25" i="2634"/>
  <c r="EA24" i="2634"/>
  <c r="DN24" i="2634"/>
  <c r="DA24" i="2634"/>
  <c r="CN24" i="2634"/>
  <c r="CA24" i="2634"/>
  <c r="BN24" i="2634"/>
  <c r="BA24" i="2634"/>
  <c r="AN24" i="2634"/>
  <c r="AA24" i="2634"/>
  <c r="N24" i="2634"/>
  <c r="DZ23" i="2634"/>
  <c r="DY23" i="2634"/>
  <c r="DX23" i="2634"/>
  <c r="DW23" i="2634"/>
  <c r="DV23" i="2634"/>
  <c r="DU23" i="2634"/>
  <c r="DT23" i="2634"/>
  <c r="DS23" i="2634"/>
  <c r="DR23" i="2634"/>
  <c r="DQ23" i="2634"/>
  <c r="DP23" i="2634"/>
  <c r="DO23" i="2634"/>
  <c r="DM23" i="2634"/>
  <c r="DL23" i="2634"/>
  <c r="DK23" i="2634"/>
  <c r="DJ23" i="2634"/>
  <c r="DI23" i="2634"/>
  <c r="DH23" i="2634"/>
  <c r="DG23" i="2634"/>
  <c r="DF23" i="2634"/>
  <c r="DE23" i="2634"/>
  <c r="DD23" i="2634"/>
  <c r="DC23" i="2634"/>
  <c r="DB23" i="2634"/>
  <c r="CZ23" i="2634"/>
  <c r="CY23" i="2634"/>
  <c r="CX23" i="2634"/>
  <c r="CW23" i="2634"/>
  <c r="CV23" i="2634"/>
  <c r="CU23" i="2634"/>
  <c r="CT23" i="2634"/>
  <c r="CS23" i="2634"/>
  <c r="CR23" i="2634"/>
  <c r="CQ23" i="2634"/>
  <c r="CP23" i="2634"/>
  <c r="CO23" i="2634"/>
  <c r="CM23" i="2634"/>
  <c r="CL23" i="2634"/>
  <c r="CK23" i="2634"/>
  <c r="CJ23" i="2634"/>
  <c r="CI23" i="2634"/>
  <c r="CH23" i="2634"/>
  <c r="CG23" i="2634"/>
  <c r="CF23" i="2634"/>
  <c r="CE23" i="2634"/>
  <c r="CD23" i="2634"/>
  <c r="CC23" i="2634"/>
  <c r="CB23" i="2634"/>
  <c r="BZ23" i="2634"/>
  <c r="BY23" i="2634"/>
  <c r="BX23" i="2634"/>
  <c r="BW23" i="2634"/>
  <c r="BV23" i="2634"/>
  <c r="BU23" i="2634"/>
  <c r="BT23" i="2634"/>
  <c r="BS23" i="2634"/>
  <c r="BR23" i="2634"/>
  <c r="BQ23" i="2634"/>
  <c r="BP23" i="2634"/>
  <c r="BO23" i="2634"/>
  <c r="BM23" i="2634"/>
  <c r="BL23" i="2634"/>
  <c r="BK23" i="2634"/>
  <c r="BJ23" i="2634"/>
  <c r="BI23" i="2634"/>
  <c r="BH23" i="2634"/>
  <c r="BG23" i="2634"/>
  <c r="BF23" i="2634"/>
  <c r="BE23" i="2634"/>
  <c r="BD23" i="2634"/>
  <c r="BC23" i="2634"/>
  <c r="BB23" i="2634"/>
  <c r="AZ23" i="2634"/>
  <c r="AY23" i="2634"/>
  <c r="AX23" i="2634"/>
  <c r="AW23" i="2634"/>
  <c r="AV23" i="2634"/>
  <c r="AU23" i="2634"/>
  <c r="AT23" i="2634"/>
  <c r="AS23" i="2634"/>
  <c r="AR23" i="2634"/>
  <c r="AQ23" i="2634"/>
  <c r="AP23" i="2634"/>
  <c r="AO23" i="2634"/>
  <c r="AM23" i="2634"/>
  <c r="AL23" i="2634"/>
  <c r="AK23" i="2634"/>
  <c r="AJ23" i="2634"/>
  <c r="AI23" i="2634"/>
  <c r="AH23" i="2634"/>
  <c r="AG23" i="2634"/>
  <c r="AF23" i="2634"/>
  <c r="AE23" i="2634"/>
  <c r="AD23" i="2634"/>
  <c r="AC23" i="2634"/>
  <c r="AB23" i="2634"/>
  <c r="Z23" i="2634"/>
  <c r="Y23" i="2634"/>
  <c r="X23" i="2634"/>
  <c r="W23" i="2634"/>
  <c r="V23" i="2634"/>
  <c r="U23" i="2634"/>
  <c r="T23" i="2634"/>
  <c r="S23" i="2634"/>
  <c r="R23" i="2634"/>
  <c r="Q23" i="2634"/>
  <c r="P23" i="2634"/>
  <c r="O23" i="2634"/>
  <c r="M23" i="2634"/>
  <c r="L23" i="2634"/>
  <c r="K23" i="2634"/>
  <c r="J23" i="2634"/>
  <c r="I23" i="2634"/>
  <c r="H23" i="2634"/>
  <c r="G23" i="2634"/>
  <c r="F23" i="2634"/>
  <c r="E23" i="2634"/>
  <c r="D23" i="2634"/>
  <c r="C23" i="2634"/>
  <c r="B23" i="2634"/>
  <c r="EA22" i="2634"/>
  <c r="DN22" i="2634"/>
  <c r="DA22" i="2634"/>
  <c r="CN22" i="2634"/>
  <c r="CA22" i="2634"/>
  <c r="BN22" i="2634"/>
  <c r="BA22" i="2634"/>
  <c r="AN22" i="2634"/>
  <c r="AA22" i="2634"/>
  <c r="N22" i="2634"/>
  <c r="EA21" i="2634"/>
  <c r="DN21" i="2634"/>
  <c r="DA21" i="2634"/>
  <c r="CF21" i="2634"/>
  <c r="CE21" i="2634"/>
  <c r="CD21" i="2634"/>
  <c r="CC21" i="2634"/>
  <c r="CB21" i="2634"/>
  <c r="BZ21" i="2634"/>
  <c r="BY21" i="2634"/>
  <c r="BX21" i="2634"/>
  <c r="BW21" i="2634"/>
  <c r="BV21" i="2634"/>
  <c r="BU21" i="2634"/>
  <c r="BT21" i="2634"/>
  <c r="BS21" i="2634"/>
  <c r="BR21" i="2634"/>
  <c r="BQ21" i="2634"/>
  <c r="BP21" i="2634"/>
  <c r="BO21" i="2634"/>
  <c r="BM21" i="2634"/>
  <c r="BL21" i="2634"/>
  <c r="BK21" i="2634"/>
  <c r="BJ21" i="2634"/>
  <c r="BI21" i="2634"/>
  <c r="BH21" i="2634"/>
  <c r="BG21" i="2634"/>
  <c r="BF21" i="2634"/>
  <c r="BE21" i="2634"/>
  <c r="BD21" i="2634"/>
  <c r="BC21" i="2634"/>
  <c r="BB21" i="2634"/>
  <c r="AZ21" i="2634"/>
  <c r="AY21" i="2634"/>
  <c r="AX21" i="2634"/>
  <c r="AW21" i="2634"/>
  <c r="AV21" i="2634"/>
  <c r="AU21" i="2634"/>
  <c r="AT21" i="2634"/>
  <c r="AS21" i="2634"/>
  <c r="AR21" i="2634"/>
  <c r="AQ21" i="2634"/>
  <c r="AP21" i="2634"/>
  <c r="AO21" i="2634"/>
  <c r="AM21" i="2634"/>
  <c r="AL21" i="2634"/>
  <c r="AK21" i="2634"/>
  <c r="AJ21" i="2634"/>
  <c r="AI21" i="2634"/>
  <c r="AH21" i="2634"/>
  <c r="AG21" i="2634"/>
  <c r="AF21" i="2634"/>
  <c r="AE21" i="2634"/>
  <c r="AD21" i="2634"/>
  <c r="AC21" i="2634"/>
  <c r="AB21" i="2634"/>
  <c r="Z21" i="2634"/>
  <c r="Y21" i="2634"/>
  <c r="X21" i="2634"/>
  <c r="W21" i="2634"/>
  <c r="V21" i="2634"/>
  <c r="U21" i="2634"/>
  <c r="T21" i="2634"/>
  <c r="S21" i="2634"/>
  <c r="R21" i="2634"/>
  <c r="Q21" i="2634"/>
  <c r="P21" i="2634"/>
  <c r="O21" i="2634"/>
  <c r="M21" i="2634"/>
  <c r="L21" i="2634"/>
  <c r="K21" i="2634"/>
  <c r="J21" i="2634"/>
  <c r="I21" i="2634"/>
  <c r="H21" i="2634"/>
  <c r="G21" i="2634"/>
  <c r="F21" i="2634"/>
  <c r="E21" i="2634"/>
  <c r="D21" i="2634"/>
  <c r="C21" i="2634"/>
  <c r="B21" i="2634"/>
  <c r="EA20" i="2634"/>
  <c r="DN20" i="2634"/>
  <c r="DA20" i="2634"/>
  <c r="CN20" i="2634"/>
  <c r="CA20" i="2634"/>
  <c r="BN20" i="2634"/>
  <c r="BA20" i="2634"/>
  <c r="AN20" i="2634"/>
  <c r="AA20" i="2634"/>
  <c r="N20" i="2634"/>
  <c r="EA19" i="2634"/>
  <c r="DN19" i="2634"/>
  <c r="DA19" i="2634"/>
  <c r="CN19" i="2634"/>
  <c r="CA19" i="2634"/>
  <c r="BN19" i="2634"/>
  <c r="BA19" i="2634"/>
  <c r="AN19" i="2634"/>
  <c r="AA19" i="2634"/>
  <c r="N19" i="2634"/>
  <c r="DZ18" i="2634"/>
  <c r="DY18" i="2634"/>
  <c r="DX18" i="2634"/>
  <c r="DW18" i="2634"/>
  <c r="DV18" i="2634"/>
  <c r="DU18" i="2634"/>
  <c r="DT18" i="2634"/>
  <c r="DS18" i="2634"/>
  <c r="DR18" i="2634"/>
  <c r="DQ18" i="2634"/>
  <c r="DP18" i="2634"/>
  <c r="DO18" i="2634"/>
  <c r="DM18" i="2634"/>
  <c r="DL18" i="2634"/>
  <c r="DK18" i="2634"/>
  <c r="DJ18" i="2634"/>
  <c r="DI18" i="2634"/>
  <c r="DH18" i="2634"/>
  <c r="DG18" i="2634"/>
  <c r="DF18" i="2634"/>
  <c r="DE18" i="2634"/>
  <c r="DD18" i="2634"/>
  <c r="DC18" i="2634"/>
  <c r="DB18" i="2634"/>
  <c r="CZ18" i="2634"/>
  <c r="CY18" i="2634"/>
  <c r="CX18" i="2634"/>
  <c r="CW18" i="2634"/>
  <c r="CV18" i="2634"/>
  <c r="CU18" i="2634"/>
  <c r="CT18" i="2634"/>
  <c r="CS18" i="2634"/>
  <c r="CR18" i="2634"/>
  <c r="CQ18" i="2634"/>
  <c r="CP18" i="2634"/>
  <c r="CO18" i="2634"/>
  <c r="CM18" i="2634"/>
  <c r="CL18" i="2634"/>
  <c r="CK18" i="2634"/>
  <c r="CJ18" i="2634"/>
  <c r="CI18" i="2634"/>
  <c r="CH18" i="2634"/>
  <c r="CG18" i="2634"/>
  <c r="CF18" i="2634"/>
  <c r="CE18" i="2634"/>
  <c r="CD18" i="2634"/>
  <c r="CC18" i="2634"/>
  <c r="CB18" i="2634"/>
  <c r="BZ18" i="2634"/>
  <c r="BZ53" i="2634" s="1"/>
  <c r="BY18" i="2634"/>
  <c r="BY53" i="2634" s="1"/>
  <c r="BX18" i="2634"/>
  <c r="BX53" i="2634" s="1"/>
  <c r="BW18" i="2634"/>
  <c r="BW53" i="2634" s="1"/>
  <c r="BV18" i="2634"/>
  <c r="BU18" i="2634"/>
  <c r="BT18" i="2634"/>
  <c r="BS18" i="2634"/>
  <c r="BR18" i="2634"/>
  <c r="BQ18" i="2634"/>
  <c r="BP18" i="2634"/>
  <c r="BO18" i="2634"/>
  <c r="BM18" i="2634"/>
  <c r="BL18" i="2634"/>
  <c r="BK18" i="2634"/>
  <c r="BJ18" i="2634"/>
  <c r="BI18" i="2634"/>
  <c r="BH18" i="2634"/>
  <c r="BG18" i="2634"/>
  <c r="BF18" i="2634"/>
  <c r="BE18" i="2634"/>
  <c r="BD18" i="2634"/>
  <c r="BC18" i="2634"/>
  <c r="BB18" i="2634"/>
  <c r="AZ18" i="2634"/>
  <c r="AY18" i="2634"/>
  <c r="AX18" i="2634"/>
  <c r="AW18" i="2634"/>
  <c r="AV18" i="2634"/>
  <c r="AU18" i="2634"/>
  <c r="AT18" i="2634"/>
  <c r="AS18" i="2634"/>
  <c r="AR18" i="2634"/>
  <c r="AQ18" i="2634"/>
  <c r="AP18" i="2634"/>
  <c r="AO18" i="2634"/>
  <c r="AM18" i="2634"/>
  <c r="AL18" i="2634"/>
  <c r="AK18" i="2634"/>
  <c r="AJ18" i="2634"/>
  <c r="AI18" i="2634"/>
  <c r="AH18" i="2634"/>
  <c r="AG18" i="2634"/>
  <c r="AF18" i="2634"/>
  <c r="AE18" i="2634"/>
  <c r="AD18" i="2634"/>
  <c r="AC18" i="2634"/>
  <c r="AB18" i="2634"/>
  <c r="Z18" i="2634"/>
  <c r="Y18" i="2634"/>
  <c r="X18" i="2634"/>
  <c r="W18" i="2634"/>
  <c r="V18" i="2634"/>
  <c r="U18" i="2634"/>
  <c r="T18" i="2634"/>
  <c r="S18" i="2634"/>
  <c r="R18" i="2634"/>
  <c r="Q18" i="2634"/>
  <c r="P18" i="2634"/>
  <c r="O18" i="2634"/>
  <c r="M18" i="2634"/>
  <c r="L18" i="2634"/>
  <c r="K18" i="2634"/>
  <c r="J18" i="2634"/>
  <c r="I18" i="2634"/>
  <c r="H18" i="2634"/>
  <c r="H53" i="2634" s="1"/>
  <c r="G18" i="2634"/>
  <c r="G53" i="2634" s="1"/>
  <c r="F18" i="2634"/>
  <c r="F53" i="2634" s="1"/>
  <c r="E18" i="2634"/>
  <c r="E53" i="2634" s="1"/>
  <c r="D18" i="2634"/>
  <c r="D53" i="2634" s="1"/>
  <c r="C18" i="2634"/>
  <c r="C53" i="2634" s="1"/>
  <c r="B18" i="2634"/>
  <c r="B53" i="2634" s="1"/>
  <c r="EA17" i="2634"/>
  <c r="DN17" i="2634"/>
  <c r="DA17" i="2634"/>
  <c r="CN17" i="2634"/>
  <c r="CA17" i="2634"/>
  <c r="BN17" i="2634"/>
  <c r="BA17" i="2634"/>
  <c r="AN17" i="2634"/>
  <c r="AA17" i="2634"/>
  <c r="N17" i="2634"/>
  <c r="EA16" i="2634"/>
  <c r="DN16" i="2634"/>
  <c r="DA16" i="2634"/>
  <c r="CN16" i="2634"/>
  <c r="CA16" i="2634"/>
  <c r="BN16" i="2634"/>
  <c r="BA16" i="2634"/>
  <c r="AN16" i="2634"/>
  <c r="AA16" i="2634"/>
  <c r="N16" i="2634"/>
  <c r="EA15" i="2634"/>
  <c r="DN15" i="2634"/>
  <c r="DA15" i="2634"/>
  <c r="CN15" i="2634"/>
  <c r="CA15" i="2634"/>
  <c r="BN15" i="2634"/>
  <c r="BN56" i="2634" s="1"/>
  <c r="BA15" i="2634"/>
  <c r="BA56" i="2634" s="1"/>
  <c r="AN15" i="2634"/>
  <c r="AN56" i="2634" s="1"/>
  <c r="AA15" i="2634"/>
  <c r="AA56" i="2634" s="1"/>
  <c r="N15" i="2634"/>
  <c r="N56" i="2634" s="1"/>
  <c r="EA14" i="2634"/>
  <c r="DN14" i="2634"/>
  <c r="DA14" i="2634"/>
  <c r="CN14" i="2634"/>
  <c r="CA14" i="2634"/>
  <c r="BN14" i="2634"/>
  <c r="BA14" i="2634"/>
  <c r="AN14" i="2634"/>
  <c r="AA14" i="2634"/>
  <c r="N14" i="2634"/>
  <c r="EA13" i="2634"/>
  <c r="DN13" i="2634"/>
  <c r="DA13" i="2634"/>
  <c r="CN13" i="2634"/>
  <c r="CA13" i="2634"/>
  <c r="BN13" i="2634"/>
  <c r="BA13" i="2634"/>
  <c r="AN13" i="2634"/>
  <c r="AA13" i="2634"/>
  <c r="N13" i="2634"/>
  <c r="EA12" i="2634"/>
  <c r="DN12" i="2634"/>
  <c r="DA12" i="2634"/>
  <c r="CN12" i="2634"/>
  <c r="CA12" i="2634"/>
  <c r="BN12" i="2634"/>
  <c r="BA12" i="2634"/>
  <c r="AN12" i="2634"/>
  <c r="AA12" i="2634"/>
  <c r="N12" i="2634"/>
  <c r="EA11" i="2634"/>
  <c r="DN11" i="2634"/>
  <c r="DA11" i="2634"/>
  <c r="CN11" i="2634"/>
  <c r="CA11" i="2634"/>
  <c r="BN11" i="2634"/>
  <c r="BA11" i="2634"/>
  <c r="AN11" i="2634"/>
  <c r="AA11" i="2634"/>
  <c r="N11" i="2634"/>
  <c r="EA10" i="2634"/>
  <c r="DN10" i="2634"/>
  <c r="DA10" i="2634"/>
  <c r="CN10" i="2634"/>
  <c r="CA10" i="2634"/>
  <c r="BN10" i="2634"/>
  <c r="BN44" i="2634" s="1"/>
  <c r="BA10" i="2634"/>
  <c r="BA44" i="2634" s="1"/>
  <c r="AN10" i="2634"/>
  <c r="AN44" i="2634" s="1"/>
  <c r="AA10" i="2634"/>
  <c r="AA44" i="2634" s="1"/>
  <c r="N10" i="2634"/>
  <c r="N44" i="2634" s="1"/>
  <c r="EA9" i="2634"/>
  <c r="DN9" i="2634"/>
  <c r="DA9" i="2634"/>
  <c r="CN9" i="2634"/>
  <c r="CA9" i="2634"/>
  <c r="BN9" i="2634"/>
  <c r="BN43" i="2634" s="1"/>
  <c r="BA9" i="2634"/>
  <c r="BA43" i="2634" s="1"/>
  <c r="AN9" i="2634"/>
  <c r="AN43" i="2634" s="1"/>
  <c r="AA9" i="2634"/>
  <c r="AA43" i="2634" s="1"/>
  <c r="N9" i="2634"/>
  <c r="N43" i="2634" s="1"/>
  <c r="DZ8" i="2634"/>
  <c r="DY8" i="2634"/>
  <c r="DX8" i="2634"/>
  <c r="DW8" i="2634"/>
  <c r="DV8" i="2634"/>
  <c r="DU8" i="2634"/>
  <c r="DT8" i="2634"/>
  <c r="DS8" i="2634"/>
  <c r="DR8" i="2634"/>
  <c r="DQ8" i="2634"/>
  <c r="DP8" i="2634"/>
  <c r="DO8" i="2634"/>
  <c r="DM8" i="2634"/>
  <c r="DL8" i="2634"/>
  <c r="DK8" i="2634"/>
  <c r="DJ8" i="2634"/>
  <c r="DI8" i="2634"/>
  <c r="DH8" i="2634"/>
  <c r="DG8" i="2634"/>
  <c r="DF8" i="2634"/>
  <c r="DE8" i="2634"/>
  <c r="DD8" i="2634"/>
  <c r="DC8" i="2634"/>
  <c r="DB8" i="2634"/>
  <c r="CZ8" i="2634"/>
  <c r="CY8" i="2634"/>
  <c r="CX8" i="2634"/>
  <c r="CW8" i="2634"/>
  <c r="CV8" i="2634"/>
  <c r="CU8" i="2634"/>
  <c r="CT8" i="2634"/>
  <c r="CS8" i="2634"/>
  <c r="CR8" i="2634"/>
  <c r="CQ8" i="2634"/>
  <c r="CP8" i="2634"/>
  <c r="CO8" i="2634"/>
  <c r="CM8" i="2634"/>
  <c r="CL8" i="2634"/>
  <c r="CK8" i="2634"/>
  <c r="CJ8" i="2634"/>
  <c r="CI8" i="2634"/>
  <c r="CH8" i="2634"/>
  <c r="CG8" i="2634"/>
  <c r="CF8" i="2634"/>
  <c r="CE8" i="2634"/>
  <c r="CD8" i="2634"/>
  <c r="CC8" i="2634"/>
  <c r="CB8" i="2634"/>
  <c r="BZ8" i="2634"/>
  <c r="BZ7" i="2634" s="1"/>
  <c r="BZ35" i="2634" s="1"/>
  <c r="BY8" i="2634"/>
  <c r="BX8" i="2634"/>
  <c r="BW8" i="2634"/>
  <c r="BV8" i="2634"/>
  <c r="BU8" i="2634"/>
  <c r="BT8" i="2634"/>
  <c r="BS8" i="2634"/>
  <c r="BR8" i="2634"/>
  <c r="BQ8" i="2634"/>
  <c r="BP8" i="2634"/>
  <c r="BO8" i="2634"/>
  <c r="BM8" i="2634"/>
  <c r="BL8" i="2634"/>
  <c r="BK8" i="2634"/>
  <c r="BJ8" i="2634"/>
  <c r="BI8" i="2634"/>
  <c r="BH8" i="2634"/>
  <c r="BG8" i="2634"/>
  <c r="BF8" i="2634"/>
  <c r="BE8" i="2634"/>
  <c r="BD8" i="2634"/>
  <c r="BC8" i="2634"/>
  <c r="BB8" i="2634"/>
  <c r="AZ8" i="2634"/>
  <c r="AY8" i="2634"/>
  <c r="AX8" i="2634"/>
  <c r="AW8" i="2634"/>
  <c r="AV8" i="2634"/>
  <c r="AU8" i="2634"/>
  <c r="AT8" i="2634"/>
  <c r="AS8" i="2634"/>
  <c r="AR8" i="2634"/>
  <c r="AQ8" i="2634"/>
  <c r="AP8" i="2634"/>
  <c r="AO8" i="2634"/>
  <c r="AM8" i="2634"/>
  <c r="AL8" i="2634"/>
  <c r="AK8" i="2634"/>
  <c r="AJ8" i="2634"/>
  <c r="AI8" i="2634"/>
  <c r="AH8" i="2634"/>
  <c r="AG8" i="2634"/>
  <c r="AF8" i="2634"/>
  <c r="AE8" i="2634"/>
  <c r="AD8" i="2634"/>
  <c r="AC8" i="2634"/>
  <c r="AB8" i="2634"/>
  <c r="Z8" i="2634"/>
  <c r="Y8" i="2634"/>
  <c r="X8" i="2634"/>
  <c r="W8" i="2634"/>
  <c r="V8" i="2634"/>
  <c r="U8" i="2634"/>
  <c r="T8" i="2634"/>
  <c r="S8" i="2634"/>
  <c r="R8" i="2634"/>
  <c r="Q8" i="2634"/>
  <c r="P8" i="2634"/>
  <c r="O8" i="2634"/>
  <c r="M8" i="2634"/>
  <c r="L8" i="2634"/>
  <c r="K8" i="2634"/>
  <c r="J8" i="2634"/>
  <c r="I8" i="2634"/>
  <c r="H8" i="2634"/>
  <c r="G8" i="2634"/>
  <c r="F8" i="2634"/>
  <c r="E8" i="2634"/>
  <c r="D8" i="2634"/>
  <c r="C8" i="2634"/>
  <c r="B8" i="2634"/>
  <c r="EA5" i="2634"/>
  <c r="DN5" i="2634"/>
  <c r="DA5" i="2634"/>
  <c r="CN5" i="2634"/>
  <c r="CA5" i="2634"/>
  <c r="BN5" i="2634"/>
  <c r="BA5" i="2634"/>
  <c r="AN5" i="2634"/>
  <c r="AA5" i="2634"/>
  <c r="N5" i="2634"/>
  <c r="EA34" i="2633"/>
  <c r="DN34" i="2633"/>
  <c r="DA34" i="2633"/>
  <c r="CN34" i="2633"/>
  <c r="CA34" i="2633"/>
  <c r="BN34" i="2633"/>
  <c r="BA34" i="2633"/>
  <c r="AN34" i="2633"/>
  <c r="AA34" i="2633"/>
  <c r="N34" i="2633"/>
  <c r="EA33" i="2633"/>
  <c r="DN33" i="2633"/>
  <c r="DA33" i="2633"/>
  <c r="CN33" i="2633"/>
  <c r="CA33" i="2633"/>
  <c r="BN33" i="2633"/>
  <c r="BA33" i="2633"/>
  <c r="AN33" i="2633"/>
  <c r="AA33" i="2633"/>
  <c r="N33" i="2633"/>
  <c r="EA32" i="2633"/>
  <c r="DN32" i="2633"/>
  <c r="DA32" i="2633"/>
  <c r="CN32" i="2633"/>
  <c r="CA32" i="2633"/>
  <c r="BN32" i="2633"/>
  <c r="BA32" i="2633"/>
  <c r="AN32" i="2633"/>
  <c r="AA32" i="2633"/>
  <c r="N32" i="2633"/>
  <c r="EA31" i="2633"/>
  <c r="DN31" i="2633"/>
  <c r="DA31" i="2633"/>
  <c r="CN31" i="2633"/>
  <c r="CA31" i="2633"/>
  <c r="BN31" i="2633"/>
  <c r="BA31" i="2633"/>
  <c r="AN31" i="2633"/>
  <c r="AA31" i="2633"/>
  <c r="N31" i="2633"/>
  <c r="EA30" i="2633"/>
  <c r="DN30" i="2633"/>
  <c r="DA30" i="2633"/>
  <c r="CN30" i="2633"/>
  <c r="CA30" i="2633"/>
  <c r="BN30" i="2633"/>
  <c r="BA30" i="2633"/>
  <c r="AN30" i="2633"/>
  <c r="AA30" i="2633"/>
  <c r="N30" i="2633"/>
  <c r="DZ29" i="2633"/>
  <c r="DY29" i="2633"/>
  <c r="DX29" i="2633"/>
  <c r="DW29" i="2633"/>
  <c r="DV29" i="2633"/>
  <c r="DU29" i="2633"/>
  <c r="DT29" i="2633"/>
  <c r="DS29" i="2633"/>
  <c r="DR29" i="2633"/>
  <c r="DQ29" i="2633"/>
  <c r="DP29" i="2633"/>
  <c r="DO29" i="2633"/>
  <c r="DM29" i="2633"/>
  <c r="DL29" i="2633"/>
  <c r="DK29" i="2633"/>
  <c r="DJ29" i="2633"/>
  <c r="DI29" i="2633"/>
  <c r="DH29" i="2633"/>
  <c r="DG29" i="2633"/>
  <c r="DF29" i="2633"/>
  <c r="DE29" i="2633"/>
  <c r="DD29" i="2633"/>
  <c r="DC29" i="2633"/>
  <c r="DB29" i="2633"/>
  <c r="CZ29" i="2633"/>
  <c r="CY29" i="2633"/>
  <c r="CX29" i="2633"/>
  <c r="CW29" i="2633"/>
  <c r="CV29" i="2633"/>
  <c r="CU29" i="2633"/>
  <c r="CT29" i="2633"/>
  <c r="CS29" i="2633"/>
  <c r="CR29" i="2633"/>
  <c r="CQ29" i="2633"/>
  <c r="CP29" i="2633"/>
  <c r="CO29" i="2633"/>
  <c r="CM29" i="2633"/>
  <c r="CL29" i="2633"/>
  <c r="CK29" i="2633"/>
  <c r="CJ29" i="2633"/>
  <c r="CI29" i="2633"/>
  <c r="CH29" i="2633"/>
  <c r="CG29" i="2633"/>
  <c r="CF29" i="2633"/>
  <c r="CE29" i="2633"/>
  <c r="CD29" i="2633"/>
  <c r="CC29" i="2633"/>
  <c r="CB29" i="2633"/>
  <c r="BZ29" i="2633"/>
  <c r="BY29" i="2633"/>
  <c r="BX29" i="2633"/>
  <c r="BW29" i="2633"/>
  <c r="BV29" i="2633"/>
  <c r="BU29" i="2633"/>
  <c r="BT29" i="2633"/>
  <c r="BS29" i="2633"/>
  <c r="BR29" i="2633"/>
  <c r="BQ29" i="2633"/>
  <c r="BP29" i="2633"/>
  <c r="BO29" i="2633"/>
  <c r="BM29" i="2633"/>
  <c r="BL29" i="2633"/>
  <c r="BK29" i="2633"/>
  <c r="BJ29" i="2633"/>
  <c r="BI29" i="2633"/>
  <c r="BH29" i="2633"/>
  <c r="BG29" i="2633"/>
  <c r="BF29" i="2633"/>
  <c r="BE29" i="2633"/>
  <c r="BD29" i="2633"/>
  <c r="BC29" i="2633"/>
  <c r="BB29" i="2633"/>
  <c r="AZ29" i="2633"/>
  <c r="AY29" i="2633"/>
  <c r="AX29" i="2633"/>
  <c r="AW29" i="2633"/>
  <c r="AV29" i="2633"/>
  <c r="AU29" i="2633"/>
  <c r="AT29" i="2633"/>
  <c r="AS29" i="2633"/>
  <c r="AR29" i="2633"/>
  <c r="AQ29" i="2633"/>
  <c r="AP29" i="2633"/>
  <c r="AO29" i="2633"/>
  <c r="AM29" i="2633"/>
  <c r="AL29" i="2633"/>
  <c r="AK29" i="2633"/>
  <c r="AJ29" i="2633"/>
  <c r="AI29" i="2633"/>
  <c r="AH29" i="2633"/>
  <c r="AG29" i="2633"/>
  <c r="AF29" i="2633"/>
  <c r="AE29" i="2633"/>
  <c r="AD29" i="2633"/>
  <c r="AC29" i="2633"/>
  <c r="AB29" i="2633"/>
  <c r="Z29" i="2633"/>
  <c r="Y29" i="2633"/>
  <c r="X29" i="2633"/>
  <c r="W29" i="2633"/>
  <c r="V29" i="2633"/>
  <c r="U29" i="2633"/>
  <c r="T29" i="2633"/>
  <c r="S29" i="2633"/>
  <c r="R29" i="2633"/>
  <c r="Q29" i="2633"/>
  <c r="P29" i="2633"/>
  <c r="O29" i="2633"/>
  <c r="M29" i="2633"/>
  <c r="L29" i="2633"/>
  <c r="K29" i="2633"/>
  <c r="J29" i="2633"/>
  <c r="I29" i="2633"/>
  <c r="H29" i="2633"/>
  <c r="G29" i="2633"/>
  <c r="F29" i="2633"/>
  <c r="E29" i="2633"/>
  <c r="D29" i="2633"/>
  <c r="C29" i="2633"/>
  <c r="B29" i="2633"/>
  <c r="EA27" i="2633"/>
  <c r="DN27" i="2633"/>
  <c r="DA27" i="2633"/>
  <c r="CN27" i="2633"/>
  <c r="CA27" i="2633"/>
  <c r="BN27" i="2633"/>
  <c r="BA27" i="2633"/>
  <c r="AN27" i="2633"/>
  <c r="AA27" i="2633"/>
  <c r="N27" i="2633"/>
  <c r="EA26" i="2633"/>
  <c r="DN26" i="2633"/>
  <c r="DA26" i="2633"/>
  <c r="CN26" i="2633"/>
  <c r="CA26" i="2633"/>
  <c r="BN26" i="2633"/>
  <c r="BA26" i="2633"/>
  <c r="AN26" i="2633"/>
  <c r="AA26" i="2633"/>
  <c r="N26" i="2633"/>
  <c r="EA25" i="2633"/>
  <c r="DN25" i="2633"/>
  <c r="DA25" i="2633"/>
  <c r="CN25" i="2633"/>
  <c r="CA25" i="2633"/>
  <c r="BN25" i="2633"/>
  <c r="BA25" i="2633"/>
  <c r="AN25" i="2633"/>
  <c r="AA25" i="2633"/>
  <c r="N25" i="2633"/>
  <c r="EA24" i="2633"/>
  <c r="DN24" i="2633"/>
  <c r="DA24" i="2633"/>
  <c r="CN24" i="2633"/>
  <c r="CA24" i="2633"/>
  <c r="BN24" i="2633"/>
  <c r="BA24" i="2633"/>
  <c r="AN24" i="2633"/>
  <c r="AA24" i="2633"/>
  <c r="N24" i="2633"/>
  <c r="EA23" i="2633"/>
  <c r="DN23" i="2633"/>
  <c r="DA23" i="2633"/>
  <c r="CN23" i="2633"/>
  <c r="CA23" i="2633"/>
  <c r="BN23" i="2633"/>
  <c r="BA23" i="2633"/>
  <c r="AN23" i="2633"/>
  <c r="AA23" i="2633"/>
  <c r="N23" i="2633"/>
  <c r="EA22" i="2633"/>
  <c r="DN22" i="2633"/>
  <c r="DA22" i="2633"/>
  <c r="CN22" i="2633"/>
  <c r="CA22" i="2633"/>
  <c r="BN22" i="2633"/>
  <c r="BA22" i="2633"/>
  <c r="AN22" i="2633"/>
  <c r="AA22" i="2633"/>
  <c r="N22" i="2633"/>
  <c r="EA21" i="2633"/>
  <c r="DN21" i="2633"/>
  <c r="DA21" i="2633"/>
  <c r="CN21" i="2633"/>
  <c r="CA21" i="2633"/>
  <c r="BN21" i="2633"/>
  <c r="BA21" i="2633"/>
  <c r="AN21" i="2633"/>
  <c r="AA21" i="2633"/>
  <c r="N21" i="2633"/>
  <c r="EA20" i="2633"/>
  <c r="DN20" i="2633"/>
  <c r="DA20" i="2633"/>
  <c r="CN20" i="2633"/>
  <c r="CA20" i="2633"/>
  <c r="BN20" i="2633"/>
  <c r="BA20" i="2633"/>
  <c r="AN20" i="2633"/>
  <c r="AA20" i="2633"/>
  <c r="N20" i="2633"/>
  <c r="EA19" i="2633"/>
  <c r="DN19" i="2633"/>
  <c r="DA19" i="2633"/>
  <c r="CN19" i="2633"/>
  <c r="CA19" i="2633"/>
  <c r="BN19" i="2633"/>
  <c r="BA19" i="2633"/>
  <c r="AN19" i="2633"/>
  <c r="AA19" i="2633"/>
  <c r="N19" i="2633"/>
  <c r="EA18" i="2633"/>
  <c r="DN18" i="2633"/>
  <c r="DA18" i="2633"/>
  <c r="CN18" i="2633"/>
  <c r="CA18" i="2633"/>
  <c r="BN18" i="2633"/>
  <c r="BA18" i="2633"/>
  <c r="AN18" i="2633"/>
  <c r="AA18" i="2633"/>
  <c r="N18" i="2633"/>
  <c r="EA17" i="2633"/>
  <c r="DN17" i="2633"/>
  <c r="DA17" i="2633"/>
  <c r="CN17" i="2633"/>
  <c r="CA17" i="2633"/>
  <c r="BN17" i="2633"/>
  <c r="BA17" i="2633"/>
  <c r="AN17" i="2633"/>
  <c r="AA17" i="2633"/>
  <c r="N17" i="2633"/>
  <c r="EA16" i="2633"/>
  <c r="DN16" i="2633"/>
  <c r="DA16" i="2633"/>
  <c r="CN16" i="2633"/>
  <c r="CA16" i="2633"/>
  <c r="BN16" i="2633"/>
  <c r="BA16" i="2633"/>
  <c r="AN16" i="2633"/>
  <c r="AA16" i="2633"/>
  <c r="N16" i="2633"/>
  <c r="EA15" i="2633"/>
  <c r="DN15" i="2633"/>
  <c r="DA15" i="2633"/>
  <c r="CN15" i="2633"/>
  <c r="CA15" i="2633"/>
  <c r="BN15" i="2633"/>
  <c r="BA15" i="2633"/>
  <c r="AN15" i="2633"/>
  <c r="AA15" i="2633"/>
  <c r="N15" i="2633"/>
  <c r="EA14" i="2633"/>
  <c r="DN14" i="2633"/>
  <c r="DA14" i="2633"/>
  <c r="CN14" i="2633"/>
  <c r="CA14" i="2633"/>
  <c r="EA13" i="2633"/>
  <c r="DN13" i="2633"/>
  <c r="DA13" i="2633"/>
  <c r="CN13" i="2633"/>
  <c r="CA13" i="2633"/>
  <c r="BN13" i="2633"/>
  <c r="BA13" i="2633"/>
  <c r="AN13" i="2633"/>
  <c r="AA13" i="2633"/>
  <c r="N13" i="2633"/>
  <c r="EA12" i="2633"/>
  <c r="DN12" i="2633"/>
  <c r="DA12" i="2633"/>
  <c r="CN12" i="2633"/>
  <c r="CA12" i="2633"/>
  <c r="BN12" i="2633"/>
  <c r="BA12" i="2633"/>
  <c r="AN12" i="2633"/>
  <c r="AA12" i="2633"/>
  <c r="N12" i="2633"/>
  <c r="EA11" i="2633"/>
  <c r="DN11" i="2633"/>
  <c r="DA11" i="2633"/>
  <c r="CN11" i="2633"/>
  <c r="CA11" i="2633"/>
  <c r="BN11" i="2633"/>
  <c r="BA11" i="2633"/>
  <c r="AN11" i="2633"/>
  <c r="AA11" i="2633"/>
  <c r="N11" i="2633"/>
  <c r="EA10" i="2633"/>
  <c r="DN10" i="2633"/>
  <c r="DA10" i="2633"/>
  <c r="CN10" i="2633"/>
  <c r="CA10" i="2633"/>
  <c r="BN10" i="2633"/>
  <c r="BA10" i="2633"/>
  <c r="AN10" i="2633"/>
  <c r="AA10" i="2633"/>
  <c r="N10" i="2633"/>
  <c r="EA9" i="2633"/>
  <c r="DN9" i="2633"/>
  <c r="DA9" i="2633"/>
  <c r="CN9" i="2633"/>
  <c r="CA9" i="2633"/>
  <c r="BN9" i="2633"/>
  <c r="BA9" i="2633"/>
  <c r="AN9" i="2633"/>
  <c r="AA9" i="2633"/>
  <c r="N9" i="2633"/>
  <c r="EA8" i="2633"/>
  <c r="DN8" i="2633"/>
  <c r="DA8" i="2633"/>
  <c r="CN8" i="2633"/>
  <c r="CA8" i="2633"/>
  <c r="BN8" i="2633"/>
  <c r="BA8" i="2633"/>
  <c r="AN8" i="2633"/>
  <c r="AA8" i="2633"/>
  <c r="N8" i="2633"/>
  <c r="DZ7" i="2633"/>
  <c r="DY7" i="2633"/>
  <c r="DX7" i="2633"/>
  <c r="DW7" i="2633"/>
  <c r="DV7" i="2633"/>
  <c r="DU7" i="2633"/>
  <c r="DT7" i="2633"/>
  <c r="DS7" i="2633"/>
  <c r="DR7" i="2633"/>
  <c r="DQ7" i="2633"/>
  <c r="DP7" i="2633"/>
  <c r="DO7" i="2633"/>
  <c r="DM7" i="2633"/>
  <c r="DL7" i="2633"/>
  <c r="DK7" i="2633"/>
  <c r="DJ7" i="2633"/>
  <c r="DI7" i="2633"/>
  <c r="DH7" i="2633"/>
  <c r="DG7" i="2633"/>
  <c r="DF7" i="2633"/>
  <c r="DE7" i="2633"/>
  <c r="DD7" i="2633"/>
  <c r="DC7" i="2633"/>
  <c r="DB7" i="2633"/>
  <c r="CZ7" i="2633"/>
  <c r="CY7" i="2633"/>
  <c r="CX7" i="2633"/>
  <c r="CW7" i="2633"/>
  <c r="CV7" i="2633"/>
  <c r="CU7" i="2633"/>
  <c r="CT7" i="2633"/>
  <c r="CS7" i="2633"/>
  <c r="CR7" i="2633"/>
  <c r="CQ7" i="2633"/>
  <c r="CP7" i="2633"/>
  <c r="CO7" i="2633"/>
  <c r="CM7" i="2633"/>
  <c r="CL7" i="2633"/>
  <c r="CK7" i="2633"/>
  <c r="CJ7" i="2633"/>
  <c r="CI7" i="2633"/>
  <c r="CH7" i="2633"/>
  <c r="CG7" i="2633"/>
  <c r="CF7" i="2633"/>
  <c r="CE7" i="2633"/>
  <c r="CD7" i="2633"/>
  <c r="CC7" i="2633"/>
  <c r="CB7" i="2633"/>
  <c r="BZ7" i="2633"/>
  <c r="BY7" i="2633"/>
  <c r="BX7" i="2633"/>
  <c r="BW7" i="2633"/>
  <c r="BV7" i="2633"/>
  <c r="BU7" i="2633"/>
  <c r="BT7" i="2633"/>
  <c r="BS7" i="2633"/>
  <c r="BR7" i="2633"/>
  <c r="BQ7" i="2633"/>
  <c r="BP7" i="2633"/>
  <c r="BO7" i="2633"/>
  <c r="BM7" i="2633"/>
  <c r="BL7" i="2633"/>
  <c r="BK7" i="2633"/>
  <c r="BJ7" i="2633"/>
  <c r="BI7" i="2633"/>
  <c r="BH7" i="2633"/>
  <c r="BG7" i="2633"/>
  <c r="BF7" i="2633"/>
  <c r="BE7" i="2633"/>
  <c r="BD7" i="2633"/>
  <c r="BC7" i="2633"/>
  <c r="BB7" i="2633"/>
  <c r="AZ7" i="2633"/>
  <c r="AY7" i="2633"/>
  <c r="AX7" i="2633"/>
  <c r="AW7" i="2633"/>
  <c r="AV7" i="2633"/>
  <c r="AU7" i="2633"/>
  <c r="AT7" i="2633"/>
  <c r="AS7" i="2633"/>
  <c r="AR7" i="2633"/>
  <c r="AQ7" i="2633"/>
  <c r="AP7" i="2633"/>
  <c r="AO7" i="2633"/>
  <c r="AM7" i="2633"/>
  <c r="AL7" i="2633"/>
  <c r="AK7" i="2633"/>
  <c r="AJ7" i="2633"/>
  <c r="AI7" i="2633"/>
  <c r="AH7" i="2633"/>
  <c r="AG7" i="2633"/>
  <c r="AF7" i="2633"/>
  <c r="AE7" i="2633"/>
  <c r="AD7" i="2633"/>
  <c r="AC7" i="2633"/>
  <c r="AB7" i="2633"/>
  <c r="Z7" i="2633"/>
  <c r="Y7" i="2633"/>
  <c r="X7" i="2633"/>
  <c r="W7" i="2633"/>
  <c r="V7" i="2633"/>
  <c r="U7" i="2633"/>
  <c r="T7" i="2633"/>
  <c r="S7" i="2633"/>
  <c r="R7" i="2633"/>
  <c r="Q7" i="2633"/>
  <c r="P7" i="2633"/>
  <c r="O7" i="2633"/>
  <c r="M7" i="2633"/>
  <c r="L7" i="2633"/>
  <c r="K7" i="2633"/>
  <c r="J7" i="2633"/>
  <c r="I7" i="2633"/>
  <c r="H7" i="2633"/>
  <c r="G7" i="2633"/>
  <c r="F7" i="2633"/>
  <c r="E7" i="2633"/>
  <c r="D7" i="2633"/>
  <c r="C7" i="2633"/>
  <c r="B7" i="2633"/>
  <c r="EA5" i="2633"/>
  <c r="DN5" i="2633"/>
  <c r="DA5" i="2633"/>
  <c r="CN5" i="2633"/>
  <c r="CA5" i="2633"/>
  <c r="BN5" i="2633"/>
  <c r="BA5" i="2633"/>
  <c r="AN5" i="2633"/>
  <c r="AA5" i="2633"/>
  <c r="N5" i="2633"/>
  <c r="AX112" i="2632"/>
  <c r="AX122" i="2632" s="1"/>
  <c r="AW112" i="2632"/>
  <c r="AW122" i="2632" s="1"/>
  <c r="AV112" i="2632"/>
  <c r="AV122" i="2632" s="1"/>
  <c r="AS112" i="2632"/>
  <c r="AS122" i="2632" s="1"/>
  <c r="AP112" i="2632"/>
  <c r="AP122" i="2632" s="1"/>
  <c r="AM112" i="2632"/>
  <c r="AM122" i="2632" s="1"/>
  <c r="AL112" i="2632"/>
  <c r="AL122" i="2632" s="1"/>
  <c r="AJ112" i="2632"/>
  <c r="AJ122" i="2632" s="1"/>
  <c r="AI112" i="2632"/>
  <c r="AI122" i="2632" s="1"/>
  <c r="AH112" i="2632"/>
  <c r="AH122" i="2632" s="1"/>
  <c r="AG112" i="2632"/>
  <c r="AG122" i="2632" s="1"/>
  <c r="AF112" i="2632"/>
  <c r="AF122" i="2632" s="1"/>
  <c r="AE112" i="2632"/>
  <c r="AE122" i="2632" s="1"/>
  <c r="AD112" i="2632"/>
  <c r="AD122" i="2632" s="1"/>
  <c r="Z112" i="2632"/>
  <c r="Z122" i="2632" s="1"/>
  <c r="X112" i="2632"/>
  <c r="X122" i="2632" s="1"/>
  <c r="W112" i="2632"/>
  <c r="W122" i="2632" s="1"/>
  <c r="V112" i="2632"/>
  <c r="V122" i="2632" s="1"/>
  <c r="U112" i="2632"/>
  <c r="U122" i="2632" s="1"/>
  <c r="T112" i="2632"/>
  <c r="T122" i="2632" s="1"/>
  <c r="L112" i="2632"/>
  <c r="L122" i="2632" s="1"/>
  <c r="I112" i="2632"/>
  <c r="I122" i="2632" s="1"/>
  <c r="G112" i="2632"/>
  <c r="G122" i="2632" s="1"/>
  <c r="C112" i="2632"/>
  <c r="C122" i="2632" s="1"/>
  <c r="AZ112" i="2632"/>
  <c r="AZ122" i="2632" s="1"/>
  <c r="AY112" i="2632"/>
  <c r="AY122" i="2632" s="1"/>
  <c r="AR112" i="2632"/>
  <c r="AR122" i="2632" s="1"/>
  <c r="AQ112" i="2632"/>
  <c r="AQ122" i="2632" s="1"/>
  <c r="AK112" i="2632"/>
  <c r="AK122" i="2632" s="1"/>
  <c r="AB112" i="2632"/>
  <c r="AB122" i="2632" s="1"/>
  <c r="Y112" i="2632"/>
  <c r="Y122" i="2632" s="1"/>
  <c r="S112" i="2632"/>
  <c r="S122" i="2632" s="1"/>
  <c r="P112" i="2632"/>
  <c r="P122" i="2632" s="1"/>
  <c r="O112" i="2632"/>
  <c r="O122" i="2632" s="1"/>
  <c r="M112" i="2632"/>
  <c r="M122" i="2632" s="1"/>
  <c r="AR106" i="2632"/>
  <c r="AR121" i="2632" s="1"/>
  <c r="R106" i="2632"/>
  <c r="R121" i="2632" s="1"/>
  <c r="E106" i="2632"/>
  <c r="E121" i="2632" s="1"/>
  <c r="AT106" i="2632"/>
  <c r="AT121" i="2632" s="1"/>
  <c r="AW106" i="2632"/>
  <c r="AW121" i="2632" s="1"/>
  <c r="J106" i="2632"/>
  <c r="J121" i="2632" s="1"/>
  <c r="AQ106" i="2632"/>
  <c r="AQ121" i="2632" s="1"/>
  <c r="AM106" i="2632"/>
  <c r="AM121" i="2632" s="1"/>
  <c r="AL106" i="2632"/>
  <c r="AL121" i="2632" s="1"/>
  <c r="AF106" i="2632"/>
  <c r="AF121" i="2632" s="1"/>
  <c r="Q106" i="2632"/>
  <c r="Q121" i="2632" s="1"/>
  <c r="M106" i="2632"/>
  <c r="M121" i="2632" s="1"/>
  <c r="F106" i="2632"/>
  <c r="F121" i="2632" s="1"/>
  <c r="AZ106" i="2632"/>
  <c r="AZ121" i="2632" s="1"/>
  <c r="AY106" i="2632"/>
  <c r="AY121" i="2632" s="1"/>
  <c r="AX106" i="2632"/>
  <c r="AX121" i="2632" s="1"/>
  <c r="AD106" i="2632"/>
  <c r="AD121" i="2632" s="1"/>
  <c r="Z106" i="2632"/>
  <c r="Z121" i="2632" s="1"/>
  <c r="V106" i="2632"/>
  <c r="V121" i="2632" s="1"/>
  <c r="T106" i="2632"/>
  <c r="T121" i="2632" s="1"/>
  <c r="D106" i="2632"/>
  <c r="D121" i="2632" s="1"/>
  <c r="BA97" i="2632"/>
  <c r="AN97" i="2632"/>
  <c r="AA97" i="2632"/>
  <c r="N97" i="2632"/>
  <c r="BA96" i="2632"/>
  <c r="AN96" i="2632"/>
  <c r="AA96" i="2632"/>
  <c r="N96" i="2632"/>
  <c r="BA95" i="2632"/>
  <c r="AN95" i="2632"/>
  <c r="AA95" i="2632"/>
  <c r="N95" i="2632"/>
  <c r="BA94" i="2632"/>
  <c r="AN94" i="2632"/>
  <c r="AA94" i="2632"/>
  <c r="N94" i="2632"/>
  <c r="CZ112" i="2632"/>
  <c r="CZ122" i="2632" s="1"/>
  <c r="CY112" i="2632"/>
  <c r="CY122" i="2632" s="1"/>
  <c r="CX112" i="2632"/>
  <c r="CX122" i="2632" s="1"/>
  <c r="CU112" i="2632"/>
  <c r="CU122" i="2632" s="1"/>
  <c r="CS112" i="2632"/>
  <c r="CS122" i="2632" s="1"/>
  <c r="CR112" i="2632"/>
  <c r="CR122" i="2632" s="1"/>
  <c r="CQ112" i="2632"/>
  <c r="CQ122" i="2632" s="1"/>
  <c r="CP112" i="2632"/>
  <c r="CM112" i="2632"/>
  <c r="CM122" i="2632" s="1"/>
  <c r="CL112" i="2632"/>
  <c r="CL122" i="2632" s="1"/>
  <c r="CK112" i="2632"/>
  <c r="CK122" i="2632" s="1"/>
  <c r="CH112" i="2632"/>
  <c r="CH122" i="2632" s="1"/>
  <c r="CF112" i="2632"/>
  <c r="CF122" i="2632" s="1"/>
  <c r="CE112" i="2632"/>
  <c r="CE122" i="2632" s="1"/>
  <c r="CD112" i="2632"/>
  <c r="CD122" i="2632" s="1"/>
  <c r="CC112" i="2632"/>
  <c r="CC122" i="2632" s="1"/>
  <c r="BZ112" i="2632"/>
  <c r="BZ122" i="2632" s="1"/>
  <c r="BY112" i="2632"/>
  <c r="BY122" i="2632" s="1"/>
  <c r="BX112" i="2632"/>
  <c r="BX122" i="2632" s="1"/>
  <c r="BU112" i="2632"/>
  <c r="BU122" i="2632" s="1"/>
  <c r="BT112" i="2632"/>
  <c r="BT122" i="2632" s="1"/>
  <c r="BS112" i="2632"/>
  <c r="BS122" i="2632" s="1"/>
  <c r="BR112" i="2632"/>
  <c r="BR122" i="2632" s="1"/>
  <c r="BQ112" i="2632"/>
  <c r="BQ122" i="2632" s="1"/>
  <c r="BP112" i="2632"/>
  <c r="BP122" i="2632" s="1"/>
  <c r="BM112" i="2632"/>
  <c r="BM122" i="2632" s="1"/>
  <c r="BL112" i="2632"/>
  <c r="BL122" i="2632" s="1"/>
  <c r="BK112" i="2632"/>
  <c r="BK122" i="2632" s="1"/>
  <c r="BH112" i="2632"/>
  <c r="BH122" i="2632" s="1"/>
  <c r="BG112" i="2632"/>
  <c r="BG122" i="2632" s="1"/>
  <c r="BF112" i="2632"/>
  <c r="BF122" i="2632" s="1"/>
  <c r="BE112" i="2632"/>
  <c r="BE122" i="2632" s="1"/>
  <c r="BD112" i="2632"/>
  <c r="BD122" i="2632" s="1"/>
  <c r="BC112" i="2632"/>
  <c r="BC122" i="2632" s="1"/>
  <c r="BA93" i="2632"/>
  <c r="AN93" i="2632"/>
  <c r="AA93" i="2632"/>
  <c r="N93" i="2632"/>
  <c r="CY92" i="2632"/>
  <c r="CU92" i="2632"/>
  <c r="CS92" i="2632"/>
  <c r="CR92" i="2632"/>
  <c r="CQ92" i="2632"/>
  <c r="CP92" i="2632"/>
  <c r="CM92" i="2632"/>
  <c r="CL92" i="2632"/>
  <c r="CH92" i="2632"/>
  <c r="CF92" i="2632"/>
  <c r="CE92" i="2632"/>
  <c r="CD92" i="2632"/>
  <c r="CC92" i="2632"/>
  <c r="BZ92" i="2632"/>
  <c r="BY92" i="2632"/>
  <c r="BU92" i="2632"/>
  <c r="BT92" i="2632"/>
  <c r="BS92" i="2632"/>
  <c r="BR92" i="2632"/>
  <c r="BQ92" i="2632"/>
  <c r="BM92" i="2632"/>
  <c r="BL92" i="2632"/>
  <c r="BH92" i="2632"/>
  <c r="BG92" i="2632"/>
  <c r="BF92" i="2632"/>
  <c r="BE92" i="2632"/>
  <c r="BC92" i="2632"/>
  <c r="AZ92" i="2632"/>
  <c r="AY92" i="2632"/>
  <c r="AX92" i="2632"/>
  <c r="AW92" i="2632"/>
  <c r="AV92" i="2632"/>
  <c r="AU92" i="2632"/>
  <c r="AT92" i="2632"/>
  <c r="AS92" i="2632"/>
  <c r="AR92" i="2632"/>
  <c r="AQ92" i="2632"/>
  <c r="AP92" i="2632"/>
  <c r="AO92" i="2632"/>
  <c r="AM92" i="2632"/>
  <c r="AL92" i="2632"/>
  <c r="AK92" i="2632"/>
  <c r="AJ92" i="2632"/>
  <c r="AI92" i="2632"/>
  <c r="AH92" i="2632"/>
  <c r="AG92" i="2632"/>
  <c r="AF92" i="2632"/>
  <c r="AE92" i="2632"/>
  <c r="AD92" i="2632"/>
  <c r="AC92" i="2632"/>
  <c r="AB92" i="2632"/>
  <c r="Z92" i="2632"/>
  <c r="Y92" i="2632"/>
  <c r="X92" i="2632"/>
  <c r="W92" i="2632"/>
  <c r="V92" i="2632"/>
  <c r="U92" i="2632"/>
  <c r="T92" i="2632"/>
  <c r="S92" i="2632"/>
  <c r="R92" i="2632"/>
  <c r="Q92" i="2632"/>
  <c r="P92" i="2632"/>
  <c r="O92" i="2632"/>
  <c r="M92" i="2632"/>
  <c r="L92" i="2632"/>
  <c r="K92" i="2632"/>
  <c r="J92" i="2632"/>
  <c r="I92" i="2632"/>
  <c r="H92" i="2632"/>
  <c r="G92" i="2632"/>
  <c r="F92" i="2632"/>
  <c r="E92" i="2632"/>
  <c r="D92" i="2632"/>
  <c r="C92" i="2632"/>
  <c r="B92" i="2632"/>
  <c r="DA111" i="2632"/>
  <c r="BA91" i="2632"/>
  <c r="AN91" i="2632"/>
  <c r="AA91" i="2632"/>
  <c r="N91" i="2632"/>
  <c r="BA90" i="2632"/>
  <c r="AN90" i="2632"/>
  <c r="AA90" i="2632"/>
  <c r="N90" i="2632"/>
  <c r="BA89" i="2632"/>
  <c r="AN89" i="2632"/>
  <c r="AA89" i="2632"/>
  <c r="N89" i="2632"/>
  <c r="BA88" i="2632"/>
  <c r="AN88" i="2632"/>
  <c r="AA88" i="2632"/>
  <c r="N88" i="2632"/>
  <c r="CV106" i="2632"/>
  <c r="CV121" i="2632" s="1"/>
  <c r="CS106" i="2632"/>
  <c r="CS121" i="2632" s="1"/>
  <c r="CI106" i="2632"/>
  <c r="CI121" i="2632" s="1"/>
  <c r="CF106" i="2632"/>
  <c r="CF121" i="2632" s="1"/>
  <c r="CD106" i="2632"/>
  <c r="CD121" i="2632" s="1"/>
  <c r="BV106" i="2632"/>
  <c r="BV121" i="2632" s="1"/>
  <c r="BS106" i="2632"/>
  <c r="BS121" i="2632" s="1"/>
  <c r="BI106" i="2632"/>
  <c r="BI121" i="2632" s="1"/>
  <c r="BF106" i="2632"/>
  <c r="BF121" i="2632" s="1"/>
  <c r="BA87" i="2632"/>
  <c r="AN87" i="2632"/>
  <c r="AA87" i="2632"/>
  <c r="N87" i="2632"/>
  <c r="CY86" i="2632"/>
  <c r="CS86" i="2632"/>
  <c r="CP86" i="2632"/>
  <c r="CL86" i="2632"/>
  <c r="CI86" i="2632"/>
  <c r="CD86" i="2632"/>
  <c r="CB86" i="2632"/>
  <c r="BY86" i="2632"/>
  <c r="BV86" i="2632"/>
  <c r="BM86" i="2632"/>
  <c r="BI86" i="2632"/>
  <c r="BC86" i="2632"/>
  <c r="AZ86" i="2632"/>
  <c r="AY86" i="2632"/>
  <c r="AX86" i="2632"/>
  <c r="AW86" i="2632"/>
  <c r="AV86" i="2632"/>
  <c r="AU86" i="2632"/>
  <c r="AT86" i="2632"/>
  <c r="AS86" i="2632"/>
  <c r="AR86" i="2632"/>
  <c r="AQ86" i="2632"/>
  <c r="AP86" i="2632"/>
  <c r="AO86" i="2632"/>
  <c r="AM86" i="2632"/>
  <c r="AL86" i="2632"/>
  <c r="AK86" i="2632"/>
  <c r="AJ86" i="2632"/>
  <c r="AI86" i="2632"/>
  <c r="AH86" i="2632"/>
  <c r="AG86" i="2632"/>
  <c r="AF86" i="2632"/>
  <c r="AE86" i="2632"/>
  <c r="AD86" i="2632"/>
  <c r="AC86" i="2632"/>
  <c r="AB86" i="2632"/>
  <c r="Z86" i="2632"/>
  <c r="Y86" i="2632"/>
  <c r="X86" i="2632"/>
  <c r="W86" i="2632"/>
  <c r="V86" i="2632"/>
  <c r="U86" i="2632"/>
  <c r="T86" i="2632"/>
  <c r="S86" i="2632"/>
  <c r="R86" i="2632"/>
  <c r="Q86" i="2632"/>
  <c r="P86" i="2632"/>
  <c r="O86" i="2632"/>
  <c r="M86" i="2632"/>
  <c r="L86" i="2632"/>
  <c r="K86" i="2632"/>
  <c r="J86" i="2632"/>
  <c r="I86" i="2632"/>
  <c r="H86" i="2632"/>
  <c r="G86" i="2632"/>
  <c r="F86" i="2632"/>
  <c r="E86" i="2632"/>
  <c r="D86" i="2632"/>
  <c r="C86" i="2632"/>
  <c r="B86" i="2632"/>
  <c r="CZ85" i="2632"/>
  <c r="CZ105" i="2632" s="1"/>
  <c r="CY85" i="2632"/>
  <c r="CY105" i="2632" s="1"/>
  <c r="CX85" i="2632"/>
  <c r="CX105" i="2632" s="1"/>
  <c r="CW85" i="2632"/>
  <c r="CW105" i="2632" s="1"/>
  <c r="CV85" i="2632"/>
  <c r="CV105" i="2632" s="1"/>
  <c r="CU85" i="2632"/>
  <c r="CU105" i="2632" s="1"/>
  <c r="CT85" i="2632"/>
  <c r="CT105" i="2632" s="1"/>
  <c r="CS85" i="2632"/>
  <c r="CS105" i="2632" s="1"/>
  <c r="CR85" i="2632"/>
  <c r="CR105" i="2632" s="1"/>
  <c r="CQ85" i="2632"/>
  <c r="CQ105" i="2632" s="1"/>
  <c r="CP85" i="2632"/>
  <c r="CP105" i="2632" s="1"/>
  <c r="CO85" i="2632"/>
  <c r="CO105" i="2632" s="1"/>
  <c r="CM85" i="2632"/>
  <c r="CM105" i="2632" s="1"/>
  <c r="CL85" i="2632"/>
  <c r="CL105" i="2632" s="1"/>
  <c r="CK85" i="2632"/>
  <c r="CK105" i="2632" s="1"/>
  <c r="CJ85" i="2632"/>
  <c r="CJ105" i="2632" s="1"/>
  <c r="CI85" i="2632"/>
  <c r="CI105" i="2632" s="1"/>
  <c r="CH85" i="2632"/>
  <c r="CH105" i="2632" s="1"/>
  <c r="CG85" i="2632"/>
  <c r="CG105" i="2632" s="1"/>
  <c r="CF85" i="2632"/>
  <c r="CF105" i="2632" s="1"/>
  <c r="CE85" i="2632"/>
  <c r="CE105" i="2632" s="1"/>
  <c r="CD85" i="2632"/>
  <c r="CD105" i="2632" s="1"/>
  <c r="CC85" i="2632"/>
  <c r="CC105" i="2632" s="1"/>
  <c r="CB85" i="2632"/>
  <c r="CB105" i="2632" s="1"/>
  <c r="BZ85" i="2632"/>
  <c r="BZ105" i="2632" s="1"/>
  <c r="BY85" i="2632"/>
  <c r="BY105" i="2632" s="1"/>
  <c r="BX85" i="2632"/>
  <c r="BX105" i="2632" s="1"/>
  <c r="BW85" i="2632"/>
  <c r="BW105" i="2632" s="1"/>
  <c r="BV85" i="2632"/>
  <c r="BV105" i="2632" s="1"/>
  <c r="BU85" i="2632"/>
  <c r="BU105" i="2632" s="1"/>
  <c r="BT85" i="2632"/>
  <c r="BT105" i="2632" s="1"/>
  <c r="BS85" i="2632"/>
  <c r="BS105" i="2632" s="1"/>
  <c r="BR85" i="2632"/>
  <c r="BR105" i="2632" s="1"/>
  <c r="BQ85" i="2632"/>
  <c r="BQ105" i="2632" s="1"/>
  <c r="BP85" i="2632"/>
  <c r="BP105" i="2632" s="1"/>
  <c r="BO85" i="2632"/>
  <c r="BO105" i="2632" s="1"/>
  <c r="BM85" i="2632"/>
  <c r="BM105" i="2632" s="1"/>
  <c r="BL85" i="2632"/>
  <c r="BL105" i="2632" s="1"/>
  <c r="BK85" i="2632"/>
  <c r="BK105" i="2632" s="1"/>
  <c r="BJ85" i="2632"/>
  <c r="BJ105" i="2632" s="1"/>
  <c r="BI85" i="2632"/>
  <c r="BI105" i="2632" s="1"/>
  <c r="BH85" i="2632"/>
  <c r="BH105" i="2632" s="1"/>
  <c r="BG85" i="2632"/>
  <c r="BG105" i="2632" s="1"/>
  <c r="BF85" i="2632"/>
  <c r="BF105" i="2632" s="1"/>
  <c r="BE85" i="2632"/>
  <c r="BE105" i="2632" s="1"/>
  <c r="BD85" i="2632"/>
  <c r="BD105" i="2632" s="1"/>
  <c r="BC85" i="2632"/>
  <c r="BC105" i="2632" s="1"/>
  <c r="BB85" i="2632"/>
  <c r="BB105" i="2632" s="1"/>
  <c r="AZ85" i="2632"/>
  <c r="AZ105" i="2632" s="1"/>
  <c r="AY85" i="2632"/>
  <c r="AY105" i="2632" s="1"/>
  <c r="AX85" i="2632"/>
  <c r="AX105" i="2632" s="1"/>
  <c r="AW85" i="2632"/>
  <c r="AW105" i="2632" s="1"/>
  <c r="AV85" i="2632"/>
  <c r="AV105" i="2632" s="1"/>
  <c r="AU85" i="2632"/>
  <c r="AU105" i="2632" s="1"/>
  <c r="AT85" i="2632"/>
  <c r="AT105" i="2632" s="1"/>
  <c r="AS85" i="2632"/>
  <c r="AS105" i="2632" s="1"/>
  <c r="AR85" i="2632"/>
  <c r="AR105" i="2632" s="1"/>
  <c r="AQ85" i="2632"/>
  <c r="AQ105" i="2632" s="1"/>
  <c r="AP85" i="2632"/>
  <c r="AP105" i="2632" s="1"/>
  <c r="AO85" i="2632"/>
  <c r="AO105" i="2632" s="1"/>
  <c r="AM85" i="2632"/>
  <c r="AM105" i="2632" s="1"/>
  <c r="AL85" i="2632"/>
  <c r="AL105" i="2632" s="1"/>
  <c r="AK85" i="2632"/>
  <c r="AK105" i="2632" s="1"/>
  <c r="AJ85" i="2632"/>
  <c r="AJ105" i="2632" s="1"/>
  <c r="AI85" i="2632"/>
  <c r="AI105" i="2632" s="1"/>
  <c r="AH85" i="2632"/>
  <c r="AH105" i="2632" s="1"/>
  <c r="AG85" i="2632"/>
  <c r="AG105" i="2632" s="1"/>
  <c r="AF85" i="2632"/>
  <c r="AF105" i="2632" s="1"/>
  <c r="AE85" i="2632"/>
  <c r="AE105" i="2632" s="1"/>
  <c r="AD85" i="2632"/>
  <c r="AD105" i="2632" s="1"/>
  <c r="AC85" i="2632"/>
  <c r="AC105" i="2632" s="1"/>
  <c r="AB85" i="2632"/>
  <c r="AB105" i="2632" s="1"/>
  <c r="Z85" i="2632"/>
  <c r="Z105" i="2632" s="1"/>
  <c r="Y85" i="2632"/>
  <c r="Y105" i="2632" s="1"/>
  <c r="X85" i="2632"/>
  <c r="X105" i="2632" s="1"/>
  <c r="W85" i="2632"/>
  <c r="W105" i="2632" s="1"/>
  <c r="V85" i="2632"/>
  <c r="V105" i="2632" s="1"/>
  <c r="U85" i="2632"/>
  <c r="U105" i="2632" s="1"/>
  <c r="T85" i="2632"/>
  <c r="T105" i="2632" s="1"/>
  <c r="S85" i="2632"/>
  <c r="S105" i="2632" s="1"/>
  <c r="R85" i="2632"/>
  <c r="R105" i="2632" s="1"/>
  <c r="Q85" i="2632"/>
  <c r="Q105" i="2632" s="1"/>
  <c r="P85" i="2632"/>
  <c r="P105" i="2632" s="1"/>
  <c r="O85" i="2632"/>
  <c r="O105" i="2632" s="1"/>
  <c r="M85" i="2632"/>
  <c r="M105" i="2632" s="1"/>
  <c r="L85" i="2632"/>
  <c r="L105" i="2632" s="1"/>
  <c r="K85" i="2632"/>
  <c r="K105" i="2632" s="1"/>
  <c r="J85" i="2632"/>
  <c r="J105" i="2632" s="1"/>
  <c r="I85" i="2632"/>
  <c r="I105" i="2632" s="1"/>
  <c r="H85" i="2632"/>
  <c r="H105" i="2632" s="1"/>
  <c r="G85" i="2632"/>
  <c r="G105" i="2632" s="1"/>
  <c r="F85" i="2632"/>
  <c r="F105" i="2632" s="1"/>
  <c r="E85" i="2632"/>
  <c r="E105" i="2632" s="1"/>
  <c r="D85" i="2632"/>
  <c r="D105" i="2632" s="1"/>
  <c r="C85" i="2632"/>
  <c r="C105" i="2632" s="1"/>
  <c r="B85" i="2632"/>
  <c r="B105" i="2632" s="1"/>
  <c r="CZ84" i="2632"/>
  <c r="CZ104" i="2632" s="1"/>
  <c r="CY84" i="2632"/>
  <c r="CY104" i="2632" s="1"/>
  <c r="CX84" i="2632"/>
  <c r="CX104" i="2632" s="1"/>
  <c r="CW84" i="2632"/>
  <c r="CW104" i="2632" s="1"/>
  <c r="CV84" i="2632"/>
  <c r="CV104" i="2632" s="1"/>
  <c r="CU84" i="2632"/>
  <c r="CU104" i="2632" s="1"/>
  <c r="CT84" i="2632"/>
  <c r="CT104" i="2632" s="1"/>
  <c r="CS84" i="2632"/>
  <c r="CS104" i="2632" s="1"/>
  <c r="CR84" i="2632"/>
  <c r="CR104" i="2632" s="1"/>
  <c r="CQ84" i="2632"/>
  <c r="CQ104" i="2632" s="1"/>
  <c r="CP84" i="2632"/>
  <c r="CP104" i="2632" s="1"/>
  <c r="CO84" i="2632"/>
  <c r="CM84" i="2632"/>
  <c r="CM104" i="2632" s="1"/>
  <c r="CL84" i="2632"/>
  <c r="CL104" i="2632" s="1"/>
  <c r="CK84" i="2632"/>
  <c r="CK104" i="2632" s="1"/>
  <c r="CJ84" i="2632"/>
  <c r="CJ104" i="2632" s="1"/>
  <c r="CI84" i="2632"/>
  <c r="CI104" i="2632" s="1"/>
  <c r="CH84" i="2632"/>
  <c r="CH104" i="2632" s="1"/>
  <c r="CG84" i="2632"/>
  <c r="CG104" i="2632" s="1"/>
  <c r="CF84" i="2632"/>
  <c r="CF104" i="2632" s="1"/>
  <c r="CE84" i="2632"/>
  <c r="CE104" i="2632" s="1"/>
  <c r="CD84" i="2632"/>
  <c r="CD104" i="2632" s="1"/>
  <c r="CC84" i="2632"/>
  <c r="CC104" i="2632" s="1"/>
  <c r="CB84" i="2632"/>
  <c r="CB104" i="2632" s="1"/>
  <c r="BZ84" i="2632"/>
  <c r="BZ104" i="2632" s="1"/>
  <c r="BY84" i="2632"/>
  <c r="BY104" i="2632" s="1"/>
  <c r="BX84" i="2632"/>
  <c r="BX104" i="2632" s="1"/>
  <c r="BW84" i="2632"/>
  <c r="BW104" i="2632" s="1"/>
  <c r="BV84" i="2632"/>
  <c r="BV104" i="2632" s="1"/>
  <c r="BU84" i="2632"/>
  <c r="BU104" i="2632" s="1"/>
  <c r="BT84" i="2632"/>
  <c r="BT104" i="2632" s="1"/>
  <c r="BS84" i="2632"/>
  <c r="BS104" i="2632" s="1"/>
  <c r="BR84" i="2632"/>
  <c r="BR104" i="2632" s="1"/>
  <c r="BQ84" i="2632"/>
  <c r="BQ104" i="2632" s="1"/>
  <c r="BP84" i="2632"/>
  <c r="BP104" i="2632" s="1"/>
  <c r="BO84" i="2632"/>
  <c r="BO104" i="2632" s="1"/>
  <c r="BM84" i="2632"/>
  <c r="BM104" i="2632" s="1"/>
  <c r="BL84" i="2632"/>
  <c r="BL104" i="2632" s="1"/>
  <c r="BK84" i="2632"/>
  <c r="BK104" i="2632" s="1"/>
  <c r="BJ84" i="2632"/>
  <c r="BJ104" i="2632" s="1"/>
  <c r="BI84" i="2632"/>
  <c r="BI104" i="2632" s="1"/>
  <c r="BH84" i="2632"/>
  <c r="BH104" i="2632" s="1"/>
  <c r="BG84" i="2632"/>
  <c r="BG104" i="2632" s="1"/>
  <c r="BF84" i="2632"/>
  <c r="BF104" i="2632" s="1"/>
  <c r="BE84" i="2632"/>
  <c r="BE104" i="2632" s="1"/>
  <c r="BD84" i="2632"/>
  <c r="BD104" i="2632" s="1"/>
  <c r="BC84" i="2632"/>
  <c r="BC104" i="2632" s="1"/>
  <c r="BB84" i="2632"/>
  <c r="BB104" i="2632" s="1"/>
  <c r="AZ84" i="2632"/>
  <c r="AZ104" i="2632" s="1"/>
  <c r="AY84" i="2632"/>
  <c r="AY104" i="2632" s="1"/>
  <c r="AX84" i="2632"/>
  <c r="AX104" i="2632" s="1"/>
  <c r="AW84" i="2632"/>
  <c r="AW104" i="2632" s="1"/>
  <c r="AV84" i="2632"/>
  <c r="AV104" i="2632" s="1"/>
  <c r="AU84" i="2632"/>
  <c r="AU104" i="2632" s="1"/>
  <c r="AT84" i="2632"/>
  <c r="AT104" i="2632" s="1"/>
  <c r="AS84" i="2632"/>
  <c r="AS104" i="2632" s="1"/>
  <c r="AR84" i="2632"/>
  <c r="AR104" i="2632" s="1"/>
  <c r="AQ84" i="2632"/>
  <c r="AQ104" i="2632" s="1"/>
  <c r="AP84" i="2632"/>
  <c r="AP104" i="2632" s="1"/>
  <c r="AO84" i="2632"/>
  <c r="AO104" i="2632" s="1"/>
  <c r="AM84" i="2632"/>
  <c r="AM104" i="2632" s="1"/>
  <c r="AL84" i="2632"/>
  <c r="AL104" i="2632" s="1"/>
  <c r="AK84" i="2632"/>
  <c r="AK104" i="2632" s="1"/>
  <c r="AJ84" i="2632"/>
  <c r="AJ104" i="2632" s="1"/>
  <c r="AI84" i="2632"/>
  <c r="AI104" i="2632" s="1"/>
  <c r="AH84" i="2632"/>
  <c r="AH104" i="2632" s="1"/>
  <c r="AG84" i="2632"/>
  <c r="AG104" i="2632" s="1"/>
  <c r="AF84" i="2632"/>
  <c r="AF104" i="2632" s="1"/>
  <c r="AE84" i="2632"/>
  <c r="AE104" i="2632" s="1"/>
  <c r="AD84" i="2632"/>
  <c r="AD104" i="2632" s="1"/>
  <c r="AC84" i="2632"/>
  <c r="AC104" i="2632" s="1"/>
  <c r="AB84" i="2632"/>
  <c r="AB104" i="2632" s="1"/>
  <c r="Z84" i="2632"/>
  <c r="Z104" i="2632" s="1"/>
  <c r="Y84" i="2632"/>
  <c r="Y104" i="2632" s="1"/>
  <c r="X84" i="2632"/>
  <c r="X104" i="2632" s="1"/>
  <c r="W84" i="2632"/>
  <c r="W104" i="2632" s="1"/>
  <c r="V84" i="2632"/>
  <c r="V104" i="2632" s="1"/>
  <c r="U84" i="2632"/>
  <c r="U104" i="2632" s="1"/>
  <c r="T84" i="2632"/>
  <c r="T104" i="2632" s="1"/>
  <c r="S84" i="2632"/>
  <c r="S104" i="2632" s="1"/>
  <c r="R84" i="2632"/>
  <c r="R104" i="2632" s="1"/>
  <c r="Q84" i="2632"/>
  <c r="Q104" i="2632" s="1"/>
  <c r="P84" i="2632"/>
  <c r="P104" i="2632" s="1"/>
  <c r="O84" i="2632"/>
  <c r="O104" i="2632" s="1"/>
  <c r="M84" i="2632"/>
  <c r="M104" i="2632" s="1"/>
  <c r="L84" i="2632"/>
  <c r="L104" i="2632" s="1"/>
  <c r="K84" i="2632"/>
  <c r="K104" i="2632" s="1"/>
  <c r="J84" i="2632"/>
  <c r="J104" i="2632" s="1"/>
  <c r="I84" i="2632"/>
  <c r="I104" i="2632" s="1"/>
  <c r="H84" i="2632"/>
  <c r="H104" i="2632" s="1"/>
  <c r="G84" i="2632"/>
  <c r="G104" i="2632" s="1"/>
  <c r="F84" i="2632"/>
  <c r="F104" i="2632" s="1"/>
  <c r="E84" i="2632"/>
  <c r="E104" i="2632" s="1"/>
  <c r="D84" i="2632"/>
  <c r="D104" i="2632" s="1"/>
  <c r="C84" i="2632"/>
  <c r="C104" i="2632" s="1"/>
  <c r="B84" i="2632"/>
  <c r="B104" i="2632" s="1"/>
  <c r="CZ83" i="2632"/>
  <c r="CZ103" i="2632" s="1"/>
  <c r="CY83" i="2632"/>
  <c r="CX83" i="2632"/>
  <c r="CX103" i="2632" s="1"/>
  <c r="CW83" i="2632"/>
  <c r="CW103" i="2632" s="1"/>
  <c r="CV83" i="2632"/>
  <c r="CV103" i="2632" s="1"/>
  <c r="CU83" i="2632"/>
  <c r="CU103" i="2632" s="1"/>
  <c r="CT83" i="2632"/>
  <c r="CT103" i="2632" s="1"/>
  <c r="CS83" i="2632"/>
  <c r="CS103" i="2632" s="1"/>
  <c r="CR83" i="2632"/>
  <c r="CR103" i="2632" s="1"/>
  <c r="CQ83" i="2632"/>
  <c r="CQ103" i="2632" s="1"/>
  <c r="CP83" i="2632"/>
  <c r="CP103" i="2632" s="1"/>
  <c r="CO83" i="2632"/>
  <c r="CO103" i="2632" s="1"/>
  <c r="CM83" i="2632"/>
  <c r="CL83" i="2632"/>
  <c r="CK83" i="2632"/>
  <c r="CK103" i="2632" s="1"/>
  <c r="CJ83" i="2632"/>
  <c r="CJ103" i="2632" s="1"/>
  <c r="CI83" i="2632"/>
  <c r="CI103" i="2632" s="1"/>
  <c r="CH83" i="2632"/>
  <c r="CH103" i="2632" s="1"/>
  <c r="CG83" i="2632"/>
  <c r="CG103" i="2632" s="1"/>
  <c r="CF83" i="2632"/>
  <c r="CF103" i="2632" s="1"/>
  <c r="CE83" i="2632"/>
  <c r="CE103" i="2632" s="1"/>
  <c r="CD83" i="2632"/>
  <c r="CD103" i="2632" s="1"/>
  <c r="CC83" i="2632"/>
  <c r="CC103" i="2632" s="1"/>
  <c r="CB83" i="2632"/>
  <c r="CB103" i="2632" s="1"/>
  <c r="BZ83" i="2632"/>
  <c r="BZ103" i="2632" s="1"/>
  <c r="BY83" i="2632"/>
  <c r="BX83" i="2632"/>
  <c r="BX103" i="2632" s="1"/>
  <c r="BW83" i="2632"/>
  <c r="BW103" i="2632" s="1"/>
  <c r="BV83" i="2632"/>
  <c r="BV103" i="2632" s="1"/>
  <c r="BU83" i="2632"/>
  <c r="BU103" i="2632" s="1"/>
  <c r="BT83" i="2632"/>
  <c r="BT103" i="2632" s="1"/>
  <c r="BS83" i="2632"/>
  <c r="BS103" i="2632" s="1"/>
  <c r="BR83" i="2632"/>
  <c r="BR103" i="2632" s="1"/>
  <c r="BQ83" i="2632"/>
  <c r="BQ103" i="2632" s="1"/>
  <c r="BP83" i="2632"/>
  <c r="BP103" i="2632" s="1"/>
  <c r="BO83" i="2632"/>
  <c r="BO103" i="2632" s="1"/>
  <c r="BM83" i="2632"/>
  <c r="BL83" i="2632"/>
  <c r="BK83" i="2632"/>
  <c r="BK103" i="2632" s="1"/>
  <c r="BJ83" i="2632"/>
  <c r="BJ103" i="2632" s="1"/>
  <c r="BI83" i="2632"/>
  <c r="BI103" i="2632" s="1"/>
  <c r="BH83" i="2632"/>
  <c r="BH103" i="2632" s="1"/>
  <c r="BG83" i="2632"/>
  <c r="BG103" i="2632" s="1"/>
  <c r="BF83" i="2632"/>
  <c r="BF103" i="2632" s="1"/>
  <c r="BE83" i="2632"/>
  <c r="BE103" i="2632" s="1"/>
  <c r="BD83" i="2632"/>
  <c r="BD103" i="2632" s="1"/>
  <c r="BC83" i="2632"/>
  <c r="BC103" i="2632" s="1"/>
  <c r="BB83" i="2632"/>
  <c r="BB103" i="2632" s="1"/>
  <c r="AZ83" i="2632"/>
  <c r="AY83" i="2632"/>
  <c r="AY103" i="2632" s="1"/>
  <c r="AX83" i="2632"/>
  <c r="AX103" i="2632" s="1"/>
  <c r="AW83" i="2632"/>
  <c r="AW103" i="2632" s="1"/>
  <c r="AV83" i="2632"/>
  <c r="AV103" i="2632" s="1"/>
  <c r="AU83" i="2632"/>
  <c r="AU103" i="2632" s="1"/>
  <c r="AT83" i="2632"/>
  <c r="AT103" i="2632" s="1"/>
  <c r="AS83" i="2632"/>
  <c r="AS103" i="2632" s="1"/>
  <c r="AR83" i="2632"/>
  <c r="AR103" i="2632" s="1"/>
  <c r="AQ83" i="2632"/>
  <c r="AQ103" i="2632" s="1"/>
  <c r="AP83" i="2632"/>
  <c r="AP103" i="2632" s="1"/>
  <c r="AO83" i="2632"/>
  <c r="AO103" i="2632" s="1"/>
  <c r="AM83" i="2632"/>
  <c r="AM103" i="2632" s="1"/>
  <c r="AL83" i="2632"/>
  <c r="AL103" i="2632" s="1"/>
  <c r="AK83" i="2632"/>
  <c r="AK103" i="2632" s="1"/>
  <c r="AJ83" i="2632"/>
  <c r="AJ103" i="2632" s="1"/>
  <c r="AI83" i="2632"/>
  <c r="AI103" i="2632" s="1"/>
  <c r="AH83" i="2632"/>
  <c r="AH103" i="2632" s="1"/>
  <c r="AG83" i="2632"/>
  <c r="AG103" i="2632" s="1"/>
  <c r="AF83" i="2632"/>
  <c r="AF103" i="2632" s="1"/>
  <c r="AE83" i="2632"/>
  <c r="AE103" i="2632" s="1"/>
  <c r="AD83" i="2632"/>
  <c r="AD103" i="2632" s="1"/>
  <c r="AC83" i="2632"/>
  <c r="AC103" i="2632" s="1"/>
  <c r="AB83" i="2632"/>
  <c r="AB103" i="2632" s="1"/>
  <c r="Z83" i="2632"/>
  <c r="Z103" i="2632" s="1"/>
  <c r="Y83" i="2632"/>
  <c r="Y103" i="2632" s="1"/>
  <c r="X83" i="2632"/>
  <c r="X103" i="2632" s="1"/>
  <c r="W83" i="2632"/>
  <c r="W103" i="2632" s="1"/>
  <c r="V83" i="2632"/>
  <c r="U83" i="2632"/>
  <c r="U103" i="2632" s="1"/>
  <c r="T83" i="2632"/>
  <c r="T103" i="2632" s="1"/>
  <c r="S83" i="2632"/>
  <c r="S103" i="2632" s="1"/>
  <c r="R83" i="2632"/>
  <c r="R103" i="2632" s="1"/>
  <c r="Q83" i="2632"/>
  <c r="Q103" i="2632" s="1"/>
  <c r="P83" i="2632"/>
  <c r="P103" i="2632" s="1"/>
  <c r="O83" i="2632"/>
  <c r="O103" i="2632" s="1"/>
  <c r="M83" i="2632"/>
  <c r="L83" i="2632"/>
  <c r="L103" i="2632" s="1"/>
  <c r="K83" i="2632"/>
  <c r="K103" i="2632" s="1"/>
  <c r="J83" i="2632"/>
  <c r="J103" i="2632" s="1"/>
  <c r="I83" i="2632"/>
  <c r="H83" i="2632"/>
  <c r="H103" i="2632" s="1"/>
  <c r="G83" i="2632"/>
  <c r="G103" i="2632" s="1"/>
  <c r="F83" i="2632"/>
  <c r="F103" i="2632" s="1"/>
  <c r="E83" i="2632"/>
  <c r="E103" i="2632" s="1"/>
  <c r="D83" i="2632"/>
  <c r="D103" i="2632" s="1"/>
  <c r="C83" i="2632"/>
  <c r="C103" i="2632" s="1"/>
  <c r="B83" i="2632"/>
  <c r="B103" i="2632" s="1"/>
  <c r="CZ82" i="2632"/>
  <c r="CZ102" i="2632" s="1"/>
  <c r="CY82" i="2632"/>
  <c r="CY102" i="2632" s="1"/>
  <c r="CX82" i="2632"/>
  <c r="CX102" i="2632" s="1"/>
  <c r="CW82" i="2632"/>
  <c r="CW102" i="2632" s="1"/>
  <c r="CV82" i="2632"/>
  <c r="CV102" i="2632" s="1"/>
  <c r="CU82" i="2632"/>
  <c r="CU102" i="2632" s="1"/>
  <c r="CT82" i="2632"/>
  <c r="CT102" i="2632" s="1"/>
  <c r="CS82" i="2632"/>
  <c r="CS102" i="2632" s="1"/>
  <c r="CR82" i="2632"/>
  <c r="CR102" i="2632" s="1"/>
  <c r="CQ82" i="2632"/>
  <c r="CQ102" i="2632" s="1"/>
  <c r="CP82" i="2632"/>
  <c r="CP102" i="2632" s="1"/>
  <c r="CO82" i="2632"/>
  <c r="CO102" i="2632" s="1"/>
  <c r="CM82" i="2632"/>
  <c r="CM102" i="2632" s="1"/>
  <c r="CL82" i="2632"/>
  <c r="CL102" i="2632" s="1"/>
  <c r="CK82" i="2632"/>
  <c r="CK102" i="2632" s="1"/>
  <c r="CJ82" i="2632"/>
  <c r="CJ102" i="2632" s="1"/>
  <c r="CI82" i="2632"/>
  <c r="CI102" i="2632" s="1"/>
  <c r="CH82" i="2632"/>
  <c r="CH102" i="2632" s="1"/>
  <c r="CG82" i="2632"/>
  <c r="CG102" i="2632" s="1"/>
  <c r="CF82" i="2632"/>
  <c r="CF102" i="2632" s="1"/>
  <c r="CE82" i="2632"/>
  <c r="CE102" i="2632" s="1"/>
  <c r="CD82" i="2632"/>
  <c r="CD102" i="2632" s="1"/>
  <c r="CC82" i="2632"/>
  <c r="CC102" i="2632" s="1"/>
  <c r="CB82" i="2632"/>
  <c r="CB102" i="2632" s="1"/>
  <c r="BZ82" i="2632"/>
  <c r="BZ102" i="2632" s="1"/>
  <c r="BY82" i="2632"/>
  <c r="BY102" i="2632" s="1"/>
  <c r="BX82" i="2632"/>
  <c r="BX102" i="2632" s="1"/>
  <c r="BW82" i="2632"/>
  <c r="BW102" i="2632" s="1"/>
  <c r="BV82" i="2632"/>
  <c r="BV102" i="2632" s="1"/>
  <c r="BU82" i="2632"/>
  <c r="BU102" i="2632" s="1"/>
  <c r="BT82" i="2632"/>
  <c r="BT102" i="2632" s="1"/>
  <c r="BS82" i="2632"/>
  <c r="BS102" i="2632" s="1"/>
  <c r="BR82" i="2632"/>
  <c r="BR102" i="2632" s="1"/>
  <c r="BQ82" i="2632"/>
  <c r="BQ102" i="2632" s="1"/>
  <c r="BP82" i="2632"/>
  <c r="BP102" i="2632" s="1"/>
  <c r="BO82" i="2632"/>
  <c r="BO102" i="2632" s="1"/>
  <c r="BM82" i="2632"/>
  <c r="BM102" i="2632" s="1"/>
  <c r="BL82" i="2632"/>
  <c r="BL102" i="2632" s="1"/>
  <c r="BK82" i="2632"/>
  <c r="BK102" i="2632" s="1"/>
  <c r="BJ82" i="2632"/>
  <c r="BJ102" i="2632" s="1"/>
  <c r="BI82" i="2632"/>
  <c r="BI102" i="2632" s="1"/>
  <c r="BH82" i="2632"/>
  <c r="BH102" i="2632" s="1"/>
  <c r="BG82" i="2632"/>
  <c r="BG102" i="2632" s="1"/>
  <c r="BF82" i="2632"/>
  <c r="BF102" i="2632" s="1"/>
  <c r="BE82" i="2632"/>
  <c r="BE102" i="2632" s="1"/>
  <c r="BD82" i="2632"/>
  <c r="BD102" i="2632" s="1"/>
  <c r="BC82" i="2632"/>
  <c r="BC102" i="2632" s="1"/>
  <c r="BB82" i="2632"/>
  <c r="BB102" i="2632" s="1"/>
  <c r="AZ82" i="2632"/>
  <c r="AZ102" i="2632" s="1"/>
  <c r="AY82" i="2632"/>
  <c r="AY102" i="2632" s="1"/>
  <c r="AX82" i="2632"/>
  <c r="AX102" i="2632" s="1"/>
  <c r="AW82" i="2632"/>
  <c r="AW102" i="2632" s="1"/>
  <c r="AV82" i="2632"/>
  <c r="AV102" i="2632" s="1"/>
  <c r="AU82" i="2632"/>
  <c r="AU102" i="2632" s="1"/>
  <c r="AT82" i="2632"/>
  <c r="AT102" i="2632" s="1"/>
  <c r="AS82" i="2632"/>
  <c r="AS102" i="2632" s="1"/>
  <c r="AR82" i="2632"/>
  <c r="AR102" i="2632" s="1"/>
  <c r="AQ82" i="2632"/>
  <c r="AQ102" i="2632" s="1"/>
  <c r="AP82" i="2632"/>
  <c r="AP102" i="2632" s="1"/>
  <c r="AO82" i="2632"/>
  <c r="AO102" i="2632" s="1"/>
  <c r="AM82" i="2632"/>
  <c r="AM102" i="2632" s="1"/>
  <c r="AL82" i="2632"/>
  <c r="AL102" i="2632" s="1"/>
  <c r="AK82" i="2632"/>
  <c r="AK102" i="2632" s="1"/>
  <c r="AJ82" i="2632"/>
  <c r="AJ102" i="2632" s="1"/>
  <c r="AI82" i="2632"/>
  <c r="AI102" i="2632" s="1"/>
  <c r="AH82" i="2632"/>
  <c r="AH102" i="2632" s="1"/>
  <c r="AG82" i="2632"/>
  <c r="AG102" i="2632" s="1"/>
  <c r="AF82" i="2632"/>
  <c r="AF102" i="2632" s="1"/>
  <c r="AE82" i="2632"/>
  <c r="AE102" i="2632" s="1"/>
  <c r="AD82" i="2632"/>
  <c r="AD102" i="2632" s="1"/>
  <c r="AC82" i="2632"/>
  <c r="AC102" i="2632" s="1"/>
  <c r="AB82" i="2632"/>
  <c r="AB102" i="2632" s="1"/>
  <c r="Z82" i="2632"/>
  <c r="Z102" i="2632" s="1"/>
  <c r="Y82" i="2632"/>
  <c r="Y102" i="2632" s="1"/>
  <c r="X82" i="2632"/>
  <c r="X102" i="2632" s="1"/>
  <c r="W82" i="2632"/>
  <c r="W102" i="2632" s="1"/>
  <c r="V82" i="2632"/>
  <c r="V102" i="2632" s="1"/>
  <c r="U82" i="2632"/>
  <c r="U102" i="2632" s="1"/>
  <c r="T82" i="2632"/>
  <c r="T102" i="2632" s="1"/>
  <c r="S82" i="2632"/>
  <c r="S102" i="2632" s="1"/>
  <c r="R82" i="2632"/>
  <c r="R102" i="2632" s="1"/>
  <c r="Q82" i="2632"/>
  <c r="Q102" i="2632" s="1"/>
  <c r="P82" i="2632"/>
  <c r="P102" i="2632" s="1"/>
  <c r="O82" i="2632"/>
  <c r="O102" i="2632" s="1"/>
  <c r="M82" i="2632"/>
  <c r="M102" i="2632" s="1"/>
  <c r="L82" i="2632"/>
  <c r="L102" i="2632" s="1"/>
  <c r="K82" i="2632"/>
  <c r="K102" i="2632" s="1"/>
  <c r="J82" i="2632"/>
  <c r="J102" i="2632" s="1"/>
  <c r="I82" i="2632"/>
  <c r="I102" i="2632" s="1"/>
  <c r="H82" i="2632"/>
  <c r="H102" i="2632" s="1"/>
  <c r="G82" i="2632"/>
  <c r="G102" i="2632" s="1"/>
  <c r="F82" i="2632"/>
  <c r="F102" i="2632" s="1"/>
  <c r="E82" i="2632"/>
  <c r="E102" i="2632" s="1"/>
  <c r="D82" i="2632"/>
  <c r="D102" i="2632" s="1"/>
  <c r="C82" i="2632"/>
  <c r="C102" i="2632" s="1"/>
  <c r="B82" i="2632"/>
  <c r="B102" i="2632" s="1"/>
  <c r="CZ81" i="2632"/>
  <c r="CZ101" i="2632" s="1"/>
  <c r="CY81" i="2632"/>
  <c r="CY101" i="2632" s="1"/>
  <c r="CX81" i="2632"/>
  <c r="CW81" i="2632"/>
  <c r="CW101" i="2632" s="1"/>
  <c r="CV81" i="2632"/>
  <c r="CV101" i="2632" s="1"/>
  <c r="CU81" i="2632"/>
  <c r="CU101" i="2632" s="1"/>
  <c r="CT81" i="2632"/>
  <c r="CT101" i="2632" s="1"/>
  <c r="CS81" i="2632"/>
  <c r="CS101" i="2632" s="1"/>
  <c r="CR81" i="2632"/>
  <c r="CR101" i="2632" s="1"/>
  <c r="CQ81" i="2632"/>
  <c r="CQ101" i="2632" s="1"/>
  <c r="CP81" i="2632"/>
  <c r="CO81" i="2632"/>
  <c r="CO101" i="2632" s="1"/>
  <c r="CM81" i="2632"/>
  <c r="CM101" i="2632" s="1"/>
  <c r="CL81" i="2632"/>
  <c r="CL101" i="2632" s="1"/>
  <c r="CK81" i="2632"/>
  <c r="CJ81" i="2632"/>
  <c r="CJ101" i="2632" s="1"/>
  <c r="CI81" i="2632"/>
  <c r="CI101" i="2632" s="1"/>
  <c r="CH81" i="2632"/>
  <c r="CH101" i="2632" s="1"/>
  <c r="CG81" i="2632"/>
  <c r="CG101" i="2632" s="1"/>
  <c r="CF81" i="2632"/>
  <c r="CF101" i="2632" s="1"/>
  <c r="CE81" i="2632"/>
  <c r="CE101" i="2632" s="1"/>
  <c r="CD81" i="2632"/>
  <c r="CD101" i="2632" s="1"/>
  <c r="CC81" i="2632"/>
  <c r="CB81" i="2632"/>
  <c r="CB101" i="2632" s="1"/>
  <c r="BZ81" i="2632"/>
  <c r="BY81" i="2632"/>
  <c r="BY101" i="2632" s="1"/>
  <c r="BX81" i="2632"/>
  <c r="BW81" i="2632"/>
  <c r="BW101" i="2632" s="1"/>
  <c r="BV81" i="2632"/>
  <c r="BV101" i="2632" s="1"/>
  <c r="BU81" i="2632"/>
  <c r="BU101" i="2632" s="1"/>
  <c r="BT81" i="2632"/>
  <c r="BT101" i="2632" s="1"/>
  <c r="BS81" i="2632"/>
  <c r="BS101" i="2632" s="1"/>
  <c r="BR81" i="2632"/>
  <c r="BR101" i="2632" s="1"/>
  <c r="BQ81" i="2632"/>
  <c r="BQ101" i="2632" s="1"/>
  <c r="BP81" i="2632"/>
  <c r="BO81" i="2632"/>
  <c r="BO101" i="2632" s="1"/>
  <c r="BM81" i="2632"/>
  <c r="BM101" i="2632" s="1"/>
  <c r="BL81" i="2632"/>
  <c r="BL101" i="2632" s="1"/>
  <c r="BK81" i="2632"/>
  <c r="BJ81" i="2632"/>
  <c r="BJ101" i="2632" s="1"/>
  <c r="BI81" i="2632"/>
  <c r="BI101" i="2632" s="1"/>
  <c r="BH81" i="2632"/>
  <c r="BH101" i="2632" s="1"/>
  <c r="BG81" i="2632"/>
  <c r="BG101" i="2632" s="1"/>
  <c r="BF81" i="2632"/>
  <c r="BF101" i="2632" s="1"/>
  <c r="BE81" i="2632"/>
  <c r="BE101" i="2632" s="1"/>
  <c r="BD81" i="2632"/>
  <c r="BC81" i="2632"/>
  <c r="BB81" i="2632"/>
  <c r="BB101" i="2632" s="1"/>
  <c r="AZ81" i="2632"/>
  <c r="AZ101" i="2632" s="1"/>
  <c r="AY81" i="2632"/>
  <c r="AY101" i="2632" s="1"/>
  <c r="AX81" i="2632"/>
  <c r="AX101" i="2632" s="1"/>
  <c r="AW81" i="2632"/>
  <c r="AW101" i="2632" s="1"/>
  <c r="AV81" i="2632"/>
  <c r="AV101" i="2632" s="1"/>
  <c r="AU81" i="2632"/>
  <c r="AU101" i="2632" s="1"/>
  <c r="AT81" i="2632"/>
  <c r="AT101" i="2632" s="1"/>
  <c r="AS81" i="2632"/>
  <c r="AS101" i="2632" s="1"/>
  <c r="AR81" i="2632"/>
  <c r="AR101" i="2632" s="1"/>
  <c r="AQ81" i="2632"/>
  <c r="AP81" i="2632"/>
  <c r="AO81" i="2632"/>
  <c r="AO101" i="2632" s="1"/>
  <c r="AM81" i="2632"/>
  <c r="AM101" i="2632" s="1"/>
  <c r="AL81" i="2632"/>
  <c r="AL101" i="2632" s="1"/>
  <c r="AK81" i="2632"/>
  <c r="AK101" i="2632" s="1"/>
  <c r="AJ81" i="2632"/>
  <c r="AJ101" i="2632" s="1"/>
  <c r="AI81" i="2632"/>
  <c r="AI101" i="2632" s="1"/>
  <c r="AH81" i="2632"/>
  <c r="AH101" i="2632" s="1"/>
  <c r="AG81" i="2632"/>
  <c r="AG101" i="2632" s="1"/>
  <c r="AF81" i="2632"/>
  <c r="AF101" i="2632" s="1"/>
  <c r="AE81" i="2632"/>
  <c r="AE101" i="2632" s="1"/>
  <c r="AD81" i="2632"/>
  <c r="AD101" i="2632" s="1"/>
  <c r="AC81" i="2632"/>
  <c r="AB81" i="2632"/>
  <c r="AB101" i="2632" s="1"/>
  <c r="Z81" i="2632"/>
  <c r="Z101" i="2632" s="1"/>
  <c r="Y81" i="2632"/>
  <c r="Y101" i="2632" s="1"/>
  <c r="X81" i="2632"/>
  <c r="W81" i="2632"/>
  <c r="W101" i="2632" s="1"/>
  <c r="V81" i="2632"/>
  <c r="V101" i="2632" s="1"/>
  <c r="U81" i="2632"/>
  <c r="U101" i="2632" s="1"/>
  <c r="T81" i="2632"/>
  <c r="T101" i="2632" s="1"/>
  <c r="S81" i="2632"/>
  <c r="S101" i="2632" s="1"/>
  <c r="R81" i="2632"/>
  <c r="R101" i="2632" s="1"/>
  <c r="Q81" i="2632"/>
  <c r="Q101" i="2632" s="1"/>
  <c r="P81" i="2632"/>
  <c r="O81" i="2632"/>
  <c r="O101" i="2632" s="1"/>
  <c r="M81" i="2632"/>
  <c r="M101" i="2632" s="1"/>
  <c r="L81" i="2632"/>
  <c r="K81" i="2632"/>
  <c r="J81" i="2632"/>
  <c r="J101" i="2632" s="1"/>
  <c r="I81" i="2632"/>
  <c r="I101" i="2632" s="1"/>
  <c r="H81" i="2632"/>
  <c r="G81" i="2632"/>
  <c r="G101" i="2632" s="1"/>
  <c r="F81" i="2632"/>
  <c r="F101" i="2632" s="1"/>
  <c r="E81" i="2632"/>
  <c r="E101" i="2632" s="1"/>
  <c r="D81" i="2632"/>
  <c r="C81" i="2632"/>
  <c r="B81" i="2632"/>
  <c r="B101" i="2632" s="1"/>
  <c r="EA77" i="2632"/>
  <c r="DN77" i="2632"/>
  <c r="DA77" i="2632"/>
  <c r="CN77" i="2632"/>
  <c r="CA77" i="2632"/>
  <c r="BN77" i="2632"/>
  <c r="BA77" i="2632"/>
  <c r="AN77" i="2632"/>
  <c r="AA77" i="2632"/>
  <c r="N77" i="2632"/>
  <c r="EA73" i="2632"/>
  <c r="DN73" i="2632"/>
  <c r="DA73" i="2632"/>
  <c r="CN73" i="2632"/>
  <c r="CA73" i="2632"/>
  <c r="BN73" i="2632"/>
  <c r="BA73" i="2632"/>
  <c r="AN73" i="2632"/>
  <c r="AA73" i="2632"/>
  <c r="N73" i="2632"/>
  <c r="DZ70" i="2632"/>
  <c r="DY70" i="2632"/>
  <c r="DX70" i="2632"/>
  <c r="DW70" i="2632"/>
  <c r="DV70" i="2632"/>
  <c r="DU70" i="2632"/>
  <c r="DT70" i="2632"/>
  <c r="DS70" i="2632"/>
  <c r="DR70" i="2632"/>
  <c r="DQ70" i="2632"/>
  <c r="DP70" i="2632"/>
  <c r="DO70" i="2632"/>
  <c r="DM70" i="2632"/>
  <c r="DL70" i="2632"/>
  <c r="DK70" i="2632"/>
  <c r="DJ70" i="2632"/>
  <c r="DI70" i="2632"/>
  <c r="DH70" i="2632"/>
  <c r="DG70" i="2632"/>
  <c r="DF70" i="2632"/>
  <c r="DE70" i="2632"/>
  <c r="DD70" i="2632"/>
  <c r="DC70" i="2632"/>
  <c r="DB70" i="2632"/>
  <c r="CZ70" i="2632"/>
  <c r="CY70" i="2632"/>
  <c r="CX70" i="2632"/>
  <c r="CW70" i="2632"/>
  <c r="CV70" i="2632"/>
  <c r="CU70" i="2632"/>
  <c r="CT70" i="2632"/>
  <c r="CS70" i="2632"/>
  <c r="CR70" i="2632"/>
  <c r="CQ70" i="2632"/>
  <c r="CP70" i="2632"/>
  <c r="CO70" i="2632"/>
  <c r="CM70" i="2632"/>
  <c r="CL70" i="2632"/>
  <c r="CK70" i="2632"/>
  <c r="CJ70" i="2632"/>
  <c r="CI70" i="2632"/>
  <c r="CH70" i="2632"/>
  <c r="CG70" i="2632"/>
  <c r="CF70" i="2632"/>
  <c r="CE70" i="2632"/>
  <c r="CD70" i="2632"/>
  <c r="CC70" i="2632"/>
  <c r="CB70" i="2632"/>
  <c r="BZ70" i="2632"/>
  <c r="BY70" i="2632"/>
  <c r="BX70" i="2632"/>
  <c r="BW70" i="2632"/>
  <c r="BV70" i="2632"/>
  <c r="BU70" i="2632"/>
  <c r="BT70" i="2632"/>
  <c r="BS70" i="2632"/>
  <c r="BR70" i="2632"/>
  <c r="BQ70" i="2632"/>
  <c r="BP70" i="2632"/>
  <c r="BO70" i="2632"/>
  <c r="BM70" i="2632"/>
  <c r="BL70" i="2632"/>
  <c r="BK70" i="2632"/>
  <c r="BJ70" i="2632"/>
  <c r="BI70" i="2632"/>
  <c r="BH70" i="2632"/>
  <c r="BG70" i="2632"/>
  <c r="BF70" i="2632"/>
  <c r="BE70" i="2632"/>
  <c r="BD70" i="2632"/>
  <c r="BC70" i="2632"/>
  <c r="BB70" i="2632"/>
  <c r="AZ70" i="2632"/>
  <c r="AY70" i="2632"/>
  <c r="AX70" i="2632"/>
  <c r="AW70" i="2632"/>
  <c r="AV70" i="2632"/>
  <c r="AU70" i="2632"/>
  <c r="AT70" i="2632"/>
  <c r="AS70" i="2632"/>
  <c r="AR70" i="2632"/>
  <c r="AQ70" i="2632"/>
  <c r="AP70" i="2632"/>
  <c r="AO70" i="2632"/>
  <c r="AM70" i="2632"/>
  <c r="AL70" i="2632"/>
  <c r="AK70" i="2632"/>
  <c r="AJ70" i="2632"/>
  <c r="AI70" i="2632"/>
  <c r="AH70" i="2632"/>
  <c r="AG70" i="2632"/>
  <c r="AF70" i="2632"/>
  <c r="AE70" i="2632"/>
  <c r="AD70" i="2632"/>
  <c r="AC70" i="2632"/>
  <c r="AB70" i="2632"/>
  <c r="Z70" i="2632"/>
  <c r="Y70" i="2632"/>
  <c r="X70" i="2632"/>
  <c r="W70" i="2632"/>
  <c r="V70" i="2632"/>
  <c r="U70" i="2632"/>
  <c r="T70" i="2632"/>
  <c r="S70" i="2632"/>
  <c r="R70" i="2632"/>
  <c r="Q70" i="2632"/>
  <c r="P70" i="2632"/>
  <c r="O70" i="2632"/>
  <c r="M70" i="2632"/>
  <c r="L70" i="2632"/>
  <c r="K70" i="2632"/>
  <c r="J70" i="2632"/>
  <c r="I70" i="2632"/>
  <c r="H70" i="2632"/>
  <c r="G70" i="2632"/>
  <c r="F70" i="2632"/>
  <c r="E70" i="2632"/>
  <c r="D70" i="2632"/>
  <c r="C70" i="2632"/>
  <c r="B70" i="2632"/>
  <c r="EA66" i="2632"/>
  <c r="DN66" i="2632"/>
  <c r="DN65" i="2632"/>
  <c r="EA48" i="2632"/>
  <c r="DN48" i="2632"/>
  <c r="DA48" i="2632"/>
  <c r="BN48" i="2632"/>
  <c r="BA48" i="2632"/>
  <c r="AN48" i="2632"/>
  <c r="AA48" i="2632"/>
  <c r="N48" i="2632"/>
  <c r="EA41" i="2632"/>
  <c r="DN41" i="2632"/>
  <c r="DA41" i="2632"/>
  <c r="CN41" i="2632"/>
  <c r="CA41" i="2632"/>
  <c r="BN41" i="2632"/>
  <c r="BA41" i="2632"/>
  <c r="AN41" i="2632"/>
  <c r="AA41" i="2632"/>
  <c r="N41" i="2632"/>
  <c r="DZ37" i="2632"/>
  <c r="DY37" i="2632"/>
  <c r="DX37" i="2632"/>
  <c r="DW37" i="2632"/>
  <c r="DV37" i="2632"/>
  <c r="DU37" i="2632"/>
  <c r="DT37" i="2632"/>
  <c r="DS37" i="2632"/>
  <c r="DR37" i="2632"/>
  <c r="DQ37" i="2632"/>
  <c r="DP37" i="2632"/>
  <c r="DO37" i="2632"/>
  <c r="DM37" i="2632"/>
  <c r="DL37" i="2632"/>
  <c r="DK37" i="2632"/>
  <c r="DJ37" i="2632"/>
  <c r="DI37" i="2632"/>
  <c r="DH37" i="2632"/>
  <c r="DG37" i="2632"/>
  <c r="DF37" i="2632"/>
  <c r="DE37" i="2632"/>
  <c r="DD37" i="2632"/>
  <c r="DC37" i="2632"/>
  <c r="DB37" i="2632"/>
  <c r="CZ37" i="2632"/>
  <c r="CY37" i="2632"/>
  <c r="CX37" i="2632"/>
  <c r="CW37" i="2632"/>
  <c r="CV37" i="2632"/>
  <c r="CU37" i="2632"/>
  <c r="CT37" i="2632"/>
  <c r="CS37" i="2632"/>
  <c r="CR37" i="2632"/>
  <c r="CQ37" i="2632"/>
  <c r="CP37" i="2632"/>
  <c r="CO37" i="2632"/>
  <c r="CM37" i="2632"/>
  <c r="CL37" i="2632"/>
  <c r="CK37" i="2632"/>
  <c r="CJ37" i="2632"/>
  <c r="CI37" i="2632"/>
  <c r="CH37" i="2632"/>
  <c r="CG37" i="2632"/>
  <c r="CF37" i="2632"/>
  <c r="CE37" i="2632"/>
  <c r="CD37" i="2632"/>
  <c r="CC37" i="2632"/>
  <c r="CB37" i="2632"/>
  <c r="BZ37" i="2632"/>
  <c r="BY37" i="2632"/>
  <c r="BX37" i="2632"/>
  <c r="BW37" i="2632"/>
  <c r="BV37" i="2632"/>
  <c r="BU37" i="2632"/>
  <c r="BT37" i="2632"/>
  <c r="BS37" i="2632"/>
  <c r="BR37" i="2632"/>
  <c r="BQ37" i="2632"/>
  <c r="BP37" i="2632"/>
  <c r="BO37" i="2632"/>
  <c r="EA31" i="2632"/>
  <c r="DN31" i="2632"/>
  <c r="EA30" i="2632"/>
  <c r="DN30" i="2632"/>
  <c r="EA29" i="2632"/>
  <c r="DN29" i="2632"/>
  <c r="EA28" i="2632"/>
  <c r="DN28" i="2632"/>
  <c r="DA28" i="2632"/>
  <c r="CN28" i="2632"/>
  <c r="CA28" i="2632"/>
  <c r="BN28" i="2632"/>
  <c r="BA28" i="2632"/>
  <c r="AN28" i="2632"/>
  <c r="AA28" i="2632"/>
  <c r="N28" i="2632"/>
  <c r="EA27" i="2632"/>
  <c r="DN27" i="2632"/>
  <c r="DA27" i="2632"/>
  <c r="CN27" i="2632"/>
  <c r="CA27" i="2632"/>
  <c r="BN27" i="2632"/>
  <c r="BA27" i="2632"/>
  <c r="AN27" i="2632"/>
  <c r="AA27" i="2632"/>
  <c r="N27" i="2632"/>
  <c r="EA26" i="2632"/>
  <c r="DN26" i="2632"/>
  <c r="DA26" i="2632"/>
  <c r="CN26" i="2632"/>
  <c r="CA26" i="2632"/>
  <c r="BN26" i="2632"/>
  <c r="BA26" i="2632"/>
  <c r="AN26" i="2632"/>
  <c r="AA26" i="2632"/>
  <c r="N26" i="2632"/>
  <c r="EA25" i="2632"/>
  <c r="DN25" i="2632"/>
  <c r="DA25" i="2632"/>
  <c r="CN25" i="2632"/>
  <c r="CA25" i="2632"/>
  <c r="BN25" i="2632"/>
  <c r="BA25" i="2632"/>
  <c r="AN25" i="2632"/>
  <c r="AA25" i="2632"/>
  <c r="N25" i="2632"/>
  <c r="EA24" i="2632"/>
  <c r="DN24" i="2632"/>
  <c r="DA24" i="2632"/>
  <c r="CN24" i="2632"/>
  <c r="CA24" i="2632"/>
  <c r="BN24" i="2632"/>
  <c r="BA24" i="2632"/>
  <c r="AN24" i="2632"/>
  <c r="AA24" i="2632"/>
  <c r="N24" i="2632"/>
  <c r="DZ23" i="2632"/>
  <c r="DZ59" i="2632" s="1"/>
  <c r="DY23" i="2632"/>
  <c r="DY59" i="2632" s="1"/>
  <c r="DX23" i="2632"/>
  <c r="DX59" i="2632" s="1"/>
  <c r="DW23" i="2632"/>
  <c r="DW59" i="2632" s="1"/>
  <c r="DV23" i="2632"/>
  <c r="DV59" i="2632" s="1"/>
  <c r="DU23" i="2632"/>
  <c r="DU59" i="2632" s="1"/>
  <c r="DT23" i="2632"/>
  <c r="DT59" i="2632" s="1"/>
  <c r="DS23" i="2632"/>
  <c r="DS59" i="2632" s="1"/>
  <c r="DR23" i="2632"/>
  <c r="DR59" i="2632" s="1"/>
  <c r="DQ23" i="2632"/>
  <c r="DQ59" i="2632" s="1"/>
  <c r="DP23" i="2632"/>
  <c r="DP59" i="2632" s="1"/>
  <c r="DO23" i="2632"/>
  <c r="DO59" i="2632" s="1"/>
  <c r="DM23" i="2632"/>
  <c r="DM59" i="2632" s="1"/>
  <c r="DL23" i="2632"/>
  <c r="DL59" i="2632" s="1"/>
  <c r="DK23" i="2632"/>
  <c r="DK59" i="2632" s="1"/>
  <c r="DJ23" i="2632"/>
  <c r="DJ59" i="2632" s="1"/>
  <c r="DI23" i="2632"/>
  <c r="DI59" i="2632" s="1"/>
  <c r="DH23" i="2632"/>
  <c r="DH59" i="2632" s="1"/>
  <c r="DG23" i="2632"/>
  <c r="DG59" i="2632" s="1"/>
  <c r="DF23" i="2632"/>
  <c r="DF59" i="2632" s="1"/>
  <c r="DE23" i="2632"/>
  <c r="DE59" i="2632" s="1"/>
  <c r="DD23" i="2632"/>
  <c r="DD59" i="2632" s="1"/>
  <c r="DC23" i="2632"/>
  <c r="DC59" i="2632" s="1"/>
  <c r="DB23" i="2632"/>
  <c r="DB59" i="2632" s="1"/>
  <c r="CZ23" i="2632"/>
  <c r="CZ59" i="2632" s="1"/>
  <c r="CY23" i="2632"/>
  <c r="CY59" i="2632" s="1"/>
  <c r="CX23" i="2632"/>
  <c r="CX59" i="2632" s="1"/>
  <c r="CW23" i="2632"/>
  <c r="CW59" i="2632" s="1"/>
  <c r="CV23" i="2632"/>
  <c r="CV59" i="2632" s="1"/>
  <c r="CU23" i="2632"/>
  <c r="CU59" i="2632" s="1"/>
  <c r="CT23" i="2632"/>
  <c r="CT59" i="2632" s="1"/>
  <c r="CS23" i="2632"/>
  <c r="CS59" i="2632" s="1"/>
  <c r="CR23" i="2632"/>
  <c r="CR59" i="2632" s="1"/>
  <c r="CQ23" i="2632"/>
  <c r="CQ59" i="2632" s="1"/>
  <c r="CP23" i="2632"/>
  <c r="CP59" i="2632" s="1"/>
  <c r="CO23" i="2632"/>
  <c r="CO59" i="2632" s="1"/>
  <c r="CM23" i="2632"/>
  <c r="CM59" i="2632" s="1"/>
  <c r="CL23" i="2632"/>
  <c r="CL59" i="2632" s="1"/>
  <c r="CK23" i="2632"/>
  <c r="CK59" i="2632" s="1"/>
  <c r="CJ23" i="2632"/>
  <c r="CJ59" i="2632" s="1"/>
  <c r="CI23" i="2632"/>
  <c r="CI59" i="2632" s="1"/>
  <c r="CH23" i="2632"/>
  <c r="CH59" i="2632" s="1"/>
  <c r="CG23" i="2632"/>
  <c r="CG59" i="2632" s="1"/>
  <c r="CF23" i="2632"/>
  <c r="CF59" i="2632" s="1"/>
  <c r="CE23" i="2632"/>
  <c r="CE59" i="2632" s="1"/>
  <c r="CD23" i="2632"/>
  <c r="CD59" i="2632" s="1"/>
  <c r="CC23" i="2632"/>
  <c r="CC59" i="2632" s="1"/>
  <c r="CB23" i="2632"/>
  <c r="CB59" i="2632" s="1"/>
  <c r="BZ23" i="2632"/>
  <c r="BZ59" i="2632" s="1"/>
  <c r="BY23" i="2632"/>
  <c r="BY59" i="2632" s="1"/>
  <c r="BX23" i="2632"/>
  <c r="BX59" i="2632" s="1"/>
  <c r="BW23" i="2632"/>
  <c r="BW59" i="2632" s="1"/>
  <c r="BV23" i="2632"/>
  <c r="BV59" i="2632" s="1"/>
  <c r="BU23" i="2632"/>
  <c r="BU59" i="2632" s="1"/>
  <c r="BT23" i="2632"/>
  <c r="BT59" i="2632" s="1"/>
  <c r="BS23" i="2632"/>
  <c r="BS59" i="2632" s="1"/>
  <c r="BR23" i="2632"/>
  <c r="BR59" i="2632" s="1"/>
  <c r="BQ23" i="2632"/>
  <c r="BQ59" i="2632" s="1"/>
  <c r="BP23" i="2632"/>
  <c r="BP59" i="2632" s="1"/>
  <c r="BO23" i="2632"/>
  <c r="BO59" i="2632" s="1"/>
  <c r="BM23" i="2632"/>
  <c r="BM59" i="2632" s="1"/>
  <c r="BL23" i="2632"/>
  <c r="BL59" i="2632" s="1"/>
  <c r="BK23" i="2632"/>
  <c r="BK59" i="2632" s="1"/>
  <c r="BJ23" i="2632"/>
  <c r="BJ59" i="2632" s="1"/>
  <c r="BI23" i="2632"/>
  <c r="BI59" i="2632" s="1"/>
  <c r="BH23" i="2632"/>
  <c r="BH59" i="2632" s="1"/>
  <c r="BG23" i="2632"/>
  <c r="BG59" i="2632" s="1"/>
  <c r="BF23" i="2632"/>
  <c r="BF59" i="2632" s="1"/>
  <c r="BE23" i="2632"/>
  <c r="BE59" i="2632" s="1"/>
  <c r="BD23" i="2632"/>
  <c r="BD59" i="2632" s="1"/>
  <c r="BC23" i="2632"/>
  <c r="BC59" i="2632" s="1"/>
  <c r="BB23" i="2632"/>
  <c r="BB59" i="2632" s="1"/>
  <c r="AZ23" i="2632"/>
  <c r="AZ59" i="2632" s="1"/>
  <c r="AY23" i="2632"/>
  <c r="AY59" i="2632" s="1"/>
  <c r="AX23" i="2632"/>
  <c r="AX59" i="2632" s="1"/>
  <c r="AW23" i="2632"/>
  <c r="AW59" i="2632" s="1"/>
  <c r="AV23" i="2632"/>
  <c r="AV59" i="2632" s="1"/>
  <c r="AU23" i="2632"/>
  <c r="AU59" i="2632" s="1"/>
  <c r="AT23" i="2632"/>
  <c r="AT59" i="2632" s="1"/>
  <c r="AS23" i="2632"/>
  <c r="AS59" i="2632" s="1"/>
  <c r="AR23" i="2632"/>
  <c r="AR59" i="2632" s="1"/>
  <c r="AQ23" i="2632"/>
  <c r="AQ59" i="2632" s="1"/>
  <c r="AP23" i="2632"/>
  <c r="AP59" i="2632" s="1"/>
  <c r="AO23" i="2632"/>
  <c r="AO59" i="2632" s="1"/>
  <c r="AM23" i="2632"/>
  <c r="AM59" i="2632" s="1"/>
  <c r="AL23" i="2632"/>
  <c r="AL59" i="2632" s="1"/>
  <c r="AK23" i="2632"/>
  <c r="AK59" i="2632" s="1"/>
  <c r="AJ23" i="2632"/>
  <c r="AJ59" i="2632" s="1"/>
  <c r="AI23" i="2632"/>
  <c r="AI59" i="2632" s="1"/>
  <c r="AH23" i="2632"/>
  <c r="AH59" i="2632" s="1"/>
  <c r="AG23" i="2632"/>
  <c r="AG59" i="2632" s="1"/>
  <c r="AF23" i="2632"/>
  <c r="AF59" i="2632" s="1"/>
  <c r="AE23" i="2632"/>
  <c r="AE59" i="2632" s="1"/>
  <c r="AD23" i="2632"/>
  <c r="AD59" i="2632" s="1"/>
  <c r="AC23" i="2632"/>
  <c r="AC59" i="2632" s="1"/>
  <c r="AB23" i="2632"/>
  <c r="AB59" i="2632" s="1"/>
  <c r="Z23" i="2632"/>
  <c r="Z59" i="2632" s="1"/>
  <c r="Y23" i="2632"/>
  <c r="Y59" i="2632" s="1"/>
  <c r="X23" i="2632"/>
  <c r="X59" i="2632" s="1"/>
  <c r="W23" i="2632"/>
  <c r="W59" i="2632" s="1"/>
  <c r="V23" i="2632"/>
  <c r="V59" i="2632" s="1"/>
  <c r="U23" i="2632"/>
  <c r="U59" i="2632" s="1"/>
  <c r="T23" i="2632"/>
  <c r="T59" i="2632" s="1"/>
  <c r="S23" i="2632"/>
  <c r="S59" i="2632" s="1"/>
  <c r="R23" i="2632"/>
  <c r="R59" i="2632" s="1"/>
  <c r="Q23" i="2632"/>
  <c r="Q59" i="2632" s="1"/>
  <c r="P23" i="2632"/>
  <c r="P59" i="2632" s="1"/>
  <c r="O23" i="2632"/>
  <c r="O59" i="2632" s="1"/>
  <c r="M23" i="2632"/>
  <c r="M59" i="2632" s="1"/>
  <c r="L23" i="2632"/>
  <c r="L59" i="2632" s="1"/>
  <c r="K23" i="2632"/>
  <c r="K59" i="2632" s="1"/>
  <c r="J23" i="2632"/>
  <c r="J59" i="2632" s="1"/>
  <c r="I23" i="2632"/>
  <c r="I59" i="2632" s="1"/>
  <c r="H23" i="2632"/>
  <c r="H59" i="2632" s="1"/>
  <c r="G23" i="2632"/>
  <c r="G59" i="2632" s="1"/>
  <c r="F23" i="2632"/>
  <c r="F59" i="2632" s="1"/>
  <c r="E23" i="2632"/>
  <c r="E59" i="2632" s="1"/>
  <c r="D23" i="2632"/>
  <c r="D59" i="2632" s="1"/>
  <c r="C23" i="2632"/>
  <c r="C59" i="2632" s="1"/>
  <c r="B23" i="2632"/>
  <c r="B59" i="2632" s="1"/>
  <c r="EA21" i="2632"/>
  <c r="DN21" i="2632"/>
  <c r="DA21" i="2632"/>
  <c r="CN21" i="2632"/>
  <c r="CA21" i="2632"/>
  <c r="BN21" i="2632"/>
  <c r="BA21" i="2632"/>
  <c r="AN21" i="2632"/>
  <c r="AA21" i="2632"/>
  <c r="N21" i="2632"/>
  <c r="EA20" i="2632"/>
  <c r="DN20" i="2632"/>
  <c r="DA20" i="2632"/>
  <c r="CN20" i="2632"/>
  <c r="CA20" i="2632"/>
  <c r="BN20" i="2632"/>
  <c r="BA20" i="2632"/>
  <c r="AN20" i="2632"/>
  <c r="AA20" i="2632"/>
  <c r="N20" i="2632"/>
  <c r="EA19" i="2632"/>
  <c r="DN19" i="2632"/>
  <c r="DA19" i="2632"/>
  <c r="CC19" i="2632"/>
  <c r="CC55" i="2632" s="1"/>
  <c r="CB19" i="2632"/>
  <c r="CB55" i="2632" s="1"/>
  <c r="BP19" i="2632"/>
  <c r="BP55" i="2632" s="1"/>
  <c r="BO19" i="2632"/>
  <c r="BO55" i="2632" s="1"/>
  <c r="BM19" i="2632"/>
  <c r="BM55" i="2632" s="1"/>
  <c r="BL19" i="2632"/>
  <c r="BL55" i="2632" s="1"/>
  <c r="BK19" i="2632"/>
  <c r="BK55" i="2632" s="1"/>
  <c r="BJ19" i="2632"/>
  <c r="BJ55" i="2632" s="1"/>
  <c r="BI19" i="2632"/>
  <c r="BI55" i="2632" s="1"/>
  <c r="BH19" i="2632"/>
  <c r="BH55" i="2632" s="1"/>
  <c r="BG19" i="2632"/>
  <c r="BG55" i="2632" s="1"/>
  <c r="BF19" i="2632"/>
  <c r="BF55" i="2632" s="1"/>
  <c r="BE19" i="2632"/>
  <c r="BE55" i="2632" s="1"/>
  <c r="BD19" i="2632"/>
  <c r="BD55" i="2632" s="1"/>
  <c r="BC19" i="2632"/>
  <c r="BC55" i="2632" s="1"/>
  <c r="BB19" i="2632"/>
  <c r="BB55" i="2632" s="1"/>
  <c r="AZ19" i="2632"/>
  <c r="AZ55" i="2632" s="1"/>
  <c r="AY19" i="2632"/>
  <c r="AY55" i="2632" s="1"/>
  <c r="AX19" i="2632"/>
  <c r="AX55" i="2632" s="1"/>
  <c r="AW19" i="2632"/>
  <c r="AW55" i="2632" s="1"/>
  <c r="AV19" i="2632"/>
  <c r="AV55" i="2632" s="1"/>
  <c r="AU19" i="2632"/>
  <c r="AU55" i="2632" s="1"/>
  <c r="AT19" i="2632"/>
  <c r="AT55" i="2632" s="1"/>
  <c r="AS19" i="2632"/>
  <c r="AS55" i="2632" s="1"/>
  <c r="AR19" i="2632"/>
  <c r="AR55" i="2632" s="1"/>
  <c r="AQ19" i="2632"/>
  <c r="AQ55" i="2632" s="1"/>
  <c r="AP19" i="2632"/>
  <c r="AP55" i="2632" s="1"/>
  <c r="AO19" i="2632"/>
  <c r="AO55" i="2632" s="1"/>
  <c r="AM19" i="2632"/>
  <c r="AM55" i="2632" s="1"/>
  <c r="AL19" i="2632"/>
  <c r="AL55" i="2632" s="1"/>
  <c r="AK19" i="2632"/>
  <c r="AK55" i="2632" s="1"/>
  <c r="AJ19" i="2632"/>
  <c r="AJ55" i="2632" s="1"/>
  <c r="AI19" i="2632"/>
  <c r="AI55" i="2632" s="1"/>
  <c r="AH19" i="2632"/>
  <c r="AH55" i="2632" s="1"/>
  <c r="AG19" i="2632"/>
  <c r="AG55" i="2632" s="1"/>
  <c r="AF19" i="2632"/>
  <c r="AF55" i="2632" s="1"/>
  <c r="AE19" i="2632"/>
  <c r="AE55" i="2632" s="1"/>
  <c r="AD19" i="2632"/>
  <c r="AD55" i="2632" s="1"/>
  <c r="AC19" i="2632"/>
  <c r="AC55" i="2632" s="1"/>
  <c r="AB19" i="2632"/>
  <c r="AB55" i="2632" s="1"/>
  <c r="Z19" i="2632"/>
  <c r="Z55" i="2632" s="1"/>
  <c r="Y19" i="2632"/>
  <c r="Y55" i="2632" s="1"/>
  <c r="X19" i="2632"/>
  <c r="X55" i="2632" s="1"/>
  <c r="W19" i="2632"/>
  <c r="W55" i="2632" s="1"/>
  <c r="V19" i="2632"/>
  <c r="V55" i="2632" s="1"/>
  <c r="U19" i="2632"/>
  <c r="U55" i="2632" s="1"/>
  <c r="T19" i="2632"/>
  <c r="T55" i="2632" s="1"/>
  <c r="S19" i="2632"/>
  <c r="S55" i="2632" s="1"/>
  <c r="R19" i="2632"/>
  <c r="R55" i="2632" s="1"/>
  <c r="Q19" i="2632"/>
  <c r="Q55" i="2632" s="1"/>
  <c r="P19" i="2632"/>
  <c r="P55" i="2632" s="1"/>
  <c r="O19" i="2632"/>
  <c r="O55" i="2632" s="1"/>
  <c r="M19" i="2632"/>
  <c r="M55" i="2632" s="1"/>
  <c r="L19" i="2632"/>
  <c r="L55" i="2632" s="1"/>
  <c r="K19" i="2632"/>
  <c r="K55" i="2632" s="1"/>
  <c r="J19" i="2632"/>
  <c r="J55" i="2632" s="1"/>
  <c r="I19" i="2632"/>
  <c r="I55" i="2632" s="1"/>
  <c r="H19" i="2632"/>
  <c r="H55" i="2632" s="1"/>
  <c r="G19" i="2632"/>
  <c r="G55" i="2632" s="1"/>
  <c r="F19" i="2632"/>
  <c r="F55" i="2632" s="1"/>
  <c r="E19" i="2632"/>
  <c r="E55" i="2632" s="1"/>
  <c r="D19" i="2632"/>
  <c r="D55" i="2632" s="1"/>
  <c r="C19" i="2632"/>
  <c r="C55" i="2632" s="1"/>
  <c r="B19" i="2632"/>
  <c r="B55" i="2632" s="1"/>
  <c r="EA18" i="2632"/>
  <c r="DN18" i="2632"/>
  <c r="DA18" i="2632"/>
  <c r="CN18" i="2632"/>
  <c r="CA18" i="2632"/>
  <c r="BN18" i="2632"/>
  <c r="BA18" i="2632"/>
  <c r="AN18" i="2632"/>
  <c r="AA18" i="2632"/>
  <c r="N18" i="2632"/>
  <c r="EA17" i="2632"/>
  <c r="DN17" i="2632"/>
  <c r="DA17" i="2632"/>
  <c r="CN17" i="2632"/>
  <c r="CA17" i="2632"/>
  <c r="BN17" i="2632"/>
  <c r="BA17" i="2632"/>
  <c r="AN17" i="2632"/>
  <c r="AA17" i="2632"/>
  <c r="N17" i="2632"/>
  <c r="EA16" i="2632"/>
  <c r="DN16" i="2632"/>
  <c r="DA16" i="2632"/>
  <c r="CN16" i="2632"/>
  <c r="CA16" i="2632"/>
  <c r="BN16" i="2632"/>
  <c r="BA16" i="2632"/>
  <c r="AN16" i="2632"/>
  <c r="AA16" i="2632"/>
  <c r="N16" i="2632"/>
  <c r="EA15" i="2632"/>
  <c r="DN15" i="2632"/>
  <c r="DA15" i="2632"/>
  <c r="CN15" i="2632"/>
  <c r="CA15" i="2632"/>
  <c r="BN15" i="2632"/>
  <c r="BA15" i="2632"/>
  <c r="AN15" i="2632"/>
  <c r="AA15" i="2632"/>
  <c r="N15" i="2632"/>
  <c r="DZ14" i="2632"/>
  <c r="DZ50" i="2632" s="1"/>
  <c r="DY14" i="2632"/>
  <c r="DY50" i="2632" s="1"/>
  <c r="DX14" i="2632"/>
  <c r="DX50" i="2632" s="1"/>
  <c r="DW14" i="2632"/>
  <c r="DW50" i="2632" s="1"/>
  <c r="DV14" i="2632"/>
  <c r="DV50" i="2632" s="1"/>
  <c r="DU14" i="2632"/>
  <c r="DU50" i="2632" s="1"/>
  <c r="DT14" i="2632"/>
  <c r="DT50" i="2632" s="1"/>
  <c r="DS14" i="2632"/>
  <c r="DS50" i="2632" s="1"/>
  <c r="DR14" i="2632"/>
  <c r="DR50" i="2632" s="1"/>
  <c r="DQ14" i="2632"/>
  <c r="DQ50" i="2632" s="1"/>
  <c r="DP14" i="2632"/>
  <c r="DP50" i="2632" s="1"/>
  <c r="DO14" i="2632"/>
  <c r="DO50" i="2632" s="1"/>
  <c r="DM14" i="2632"/>
  <c r="DL14" i="2632"/>
  <c r="DL50" i="2632" s="1"/>
  <c r="DK14" i="2632"/>
  <c r="DK50" i="2632" s="1"/>
  <c r="DJ14" i="2632"/>
  <c r="DJ50" i="2632" s="1"/>
  <c r="DI14" i="2632"/>
  <c r="DH14" i="2632"/>
  <c r="DH50" i="2632" s="1"/>
  <c r="DG14" i="2632"/>
  <c r="DG50" i="2632" s="1"/>
  <c r="DF14" i="2632"/>
  <c r="DF50" i="2632" s="1"/>
  <c r="DE14" i="2632"/>
  <c r="DE50" i="2632" s="1"/>
  <c r="DD14" i="2632"/>
  <c r="DD50" i="2632" s="1"/>
  <c r="DC14" i="2632"/>
  <c r="DC50" i="2632" s="1"/>
  <c r="DB14" i="2632"/>
  <c r="DB50" i="2632" s="1"/>
  <c r="CZ14" i="2632"/>
  <c r="CZ50" i="2632" s="1"/>
  <c r="CY14" i="2632"/>
  <c r="CY50" i="2632" s="1"/>
  <c r="CX14" i="2632"/>
  <c r="CX50" i="2632" s="1"/>
  <c r="CW14" i="2632"/>
  <c r="CW50" i="2632" s="1"/>
  <c r="CV14" i="2632"/>
  <c r="CV50" i="2632" s="1"/>
  <c r="CU14" i="2632"/>
  <c r="CU50" i="2632" s="1"/>
  <c r="CT14" i="2632"/>
  <c r="CT50" i="2632" s="1"/>
  <c r="CS14" i="2632"/>
  <c r="CS50" i="2632" s="1"/>
  <c r="CR14" i="2632"/>
  <c r="CR50" i="2632" s="1"/>
  <c r="CQ14" i="2632"/>
  <c r="CQ50" i="2632" s="1"/>
  <c r="CP14" i="2632"/>
  <c r="CP50" i="2632" s="1"/>
  <c r="CO14" i="2632"/>
  <c r="CO50" i="2632" s="1"/>
  <c r="CM14" i="2632"/>
  <c r="CM50" i="2632" s="1"/>
  <c r="CL14" i="2632"/>
  <c r="CL50" i="2632" s="1"/>
  <c r="CK14" i="2632"/>
  <c r="CK50" i="2632" s="1"/>
  <c r="CJ14" i="2632"/>
  <c r="CJ50" i="2632" s="1"/>
  <c r="CI14" i="2632"/>
  <c r="CI50" i="2632" s="1"/>
  <c r="CH14" i="2632"/>
  <c r="CH50" i="2632" s="1"/>
  <c r="CG14" i="2632"/>
  <c r="CF14" i="2632"/>
  <c r="CF50" i="2632" s="1"/>
  <c r="CE14" i="2632"/>
  <c r="CE50" i="2632" s="1"/>
  <c r="CD14" i="2632"/>
  <c r="CC14" i="2632"/>
  <c r="CC50" i="2632" s="1"/>
  <c r="CB14" i="2632"/>
  <c r="CB50" i="2632" s="1"/>
  <c r="BZ14" i="2632"/>
  <c r="BY14" i="2632"/>
  <c r="BY50" i="2632" s="1"/>
  <c r="BX14" i="2632"/>
  <c r="BX50" i="2632" s="1"/>
  <c r="BW14" i="2632"/>
  <c r="BW50" i="2632" s="1"/>
  <c r="BV14" i="2632"/>
  <c r="BV50" i="2632" s="1"/>
  <c r="BU14" i="2632"/>
  <c r="BU50" i="2632" s="1"/>
  <c r="BT14" i="2632"/>
  <c r="BT50" i="2632" s="1"/>
  <c r="BS14" i="2632"/>
  <c r="BS50" i="2632" s="1"/>
  <c r="BR14" i="2632"/>
  <c r="BR50" i="2632" s="1"/>
  <c r="BQ14" i="2632"/>
  <c r="BQ50" i="2632" s="1"/>
  <c r="BP14" i="2632"/>
  <c r="BP50" i="2632" s="1"/>
  <c r="BO14" i="2632"/>
  <c r="BO50" i="2632" s="1"/>
  <c r="BM14" i="2632"/>
  <c r="BM50" i="2632" s="1"/>
  <c r="BL14" i="2632"/>
  <c r="BL50" i="2632" s="1"/>
  <c r="BK14" i="2632"/>
  <c r="BJ14" i="2632"/>
  <c r="BJ50" i="2632" s="1"/>
  <c r="BI14" i="2632"/>
  <c r="BI50" i="2632" s="1"/>
  <c r="BH14" i="2632"/>
  <c r="BH50" i="2632" s="1"/>
  <c r="BG14" i="2632"/>
  <c r="BG50" i="2632" s="1"/>
  <c r="BF14" i="2632"/>
  <c r="BF50" i="2632" s="1"/>
  <c r="BE14" i="2632"/>
  <c r="BE50" i="2632" s="1"/>
  <c r="BD14" i="2632"/>
  <c r="BD50" i="2632" s="1"/>
  <c r="BC14" i="2632"/>
  <c r="BC50" i="2632" s="1"/>
  <c r="BB14" i="2632"/>
  <c r="AZ14" i="2632"/>
  <c r="AZ50" i="2632" s="1"/>
  <c r="AY14" i="2632"/>
  <c r="AY50" i="2632" s="1"/>
  <c r="AX14" i="2632"/>
  <c r="AX50" i="2632" s="1"/>
  <c r="AW14" i="2632"/>
  <c r="AW50" i="2632" s="1"/>
  <c r="AV14" i="2632"/>
  <c r="AV50" i="2632" s="1"/>
  <c r="AU14" i="2632"/>
  <c r="AU50" i="2632" s="1"/>
  <c r="AT14" i="2632"/>
  <c r="AT50" i="2632" s="1"/>
  <c r="AS14" i="2632"/>
  <c r="AS50" i="2632" s="1"/>
  <c r="AR14" i="2632"/>
  <c r="AR50" i="2632" s="1"/>
  <c r="AQ14" i="2632"/>
  <c r="AQ50" i="2632" s="1"/>
  <c r="AP14" i="2632"/>
  <c r="AP50" i="2632" s="1"/>
  <c r="AO14" i="2632"/>
  <c r="AO50" i="2632" s="1"/>
  <c r="AM14" i="2632"/>
  <c r="AM50" i="2632" s="1"/>
  <c r="AL14" i="2632"/>
  <c r="AL50" i="2632" s="1"/>
  <c r="AK14" i="2632"/>
  <c r="AK50" i="2632" s="1"/>
  <c r="AJ14" i="2632"/>
  <c r="AJ50" i="2632" s="1"/>
  <c r="AI14" i="2632"/>
  <c r="AI50" i="2632" s="1"/>
  <c r="AH14" i="2632"/>
  <c r="AH50" i="2632" s="1"/>
  <c r="AG14" i="2632"/>
  <c r="AG50" i="2632" s="1"/>
  <c r="AF14" i="2632"/>
  <c r="AF50" i="2632" s="1"/>
  <c r="AE14" i="2632"/>
  <c r="AE50" i="2632" s="1"/>
  <c r="AD14" i="2632"/>
  <c r="AD50" i="2632" s="1"/>
  <c r="AC14" i="2632"/>
  <c r="AC50" i="2632" s="1"/>
  <c r="AB14" i="2632"/>
  <c r="AB50" i="2632" s="1"/>
  <c r="Z14" i="2632"/>
  <c r="Z50" i="2632" s="1"/>
  <c r="Y14" i="2632"/>
  <c r="Y50" i="2632" s="1"/>
  <c r="X14" i="2632"/>
  <c r="X50" i="2632" s="1"/>
  <c r="W14" i="2632"/>
  <c r="W50" i="2632" s="1"/>
  <c r="V14" i="2632"/>
  <c r="V50" i="2632" s="1"/>
  <c r="U14" i="2632"/>
  <c r="U50" i="2632" s="1"/>
  <c r="T14" i="2632"/>
  <c r="S14" i="2632"/>
  <c r="S50" i="2632" s="1"/>
  <c r="R14" i="2632"/>
  <c r="R50" i="2632" s="1"/>
  <c r="Q14" i="2632"/>
  <c r="Q50" i="2632" s="1"/>
  <c r="P14" i="2632"/>
  <c r="P50" i="2632" s="1"/>
  <c r="O14" i="2632"/>
  <c r="O50" i="2632" s="1"/>
  <c r="M14" i="2632"/>
  <c r="M50" i="2632" s="1"/>
  <c r="L14" i="2632"/>
  <c r="K14" i="2632"/>
  <c r="K50" i="2632" s="1"/>
  <c r="J14" i="2632"/>
  <c r="J50" i="2632" s="1"/>
  <c r="I14" i="2632"/>
  <c r="I50" i="2632" s="1"/>
  <c r="H14" i="2632"/>
  <c r="H50" i="2632" s="1"/>
  <c r="G14" i="2632"/>
  <c r="G50" i="2632" s="1"/>
  <c r="F14" i="2632"/>
  <c r="F50" i="2632" s="1"/>
  <c r="E14" i="2632"/>
  <c r="E50" i="2632" s="1"/>
  <c r="D14" i="2632"/>
  <c r="D50" i="2632" s="1"/>
  <c r="C14" i="2632"/>
  <c r="C50" i="2632" s="1"/>
  <c r="B14" i="2632"/>
  <c r="B50" i="2632" s="1"/>
  <c r="EA13" i="2632"/>
  <c r="DN13" i="2632"/>
  <c r="DA13" i="2632"/>
  <c r="CN13" i="2632"/>
  <c r="CA13" i="2632"/>
  <c r="BN13" i="2632"/>
  <c r="BA13" i="2632"/>
  <c r="AN13" i="2632"/>
  <c r="AA13" i="2632"/>
  <c r="N13" i="2632"/>
  <c r="EA12" i="2632"/>
  <c r="DN12" i="2632"/>
  <c r="DA12" i="2632"/>
  <c r="CN12" i="2632"/>
  <c r="AN12" i="2632"/>
  <c r="AA12" i="2632"/>
  <c r="N12" i="2632"/>
  <c r="EA11" i="2632"/>
  <c r="DN11" i="2632"/>
  <c r="DA11" i="2632"/>
  <c r="CN11" i="2632"/>
  <c r="CA11" i="2632"/>
  <c r="BN11" i="2632"/>
  <c r="BA11" i="2632"/>
  <c r="AN11" i="2632"/>
  <c r="AA11" i="2632"/>
  <c r="N11" i="2632"/>
  <c r="EA10" i="2632"/>
  <c r="DN10" i="2632"/>
  <c r="DA10" i="2632"/>
  <c r="CN10" i="2632"/>
  <c r="CA10" i="2632"/>
  <c r="BN10" i="2632"/>
  <c r="BA10" i="2632"/>
  <c r="AN10" i="2632"/>
  <c r="AA10" i="2632"/>
  <c r="N10" i="2632"/>
  <c r="EA9" i="2632"/>
  <c r="DN9" i="2632"/>
  <c r="DA9" i="2632"/>
  <c r="CN9" i="2632"/>
  <c r="CA9" i="2632"/>
  <c r="BN9" i="2632"/>
  <c r="BA9" i="2632"/>
  <c r="AN9" i="2632"/>
  <c r="AA9" i="2632"/>
  <c r="N9" i="2632"/>
  <c r="DZ8" i="2632"/>
  <c r="DY8" i="2632"/>
  <c r="DX8" i="2632"/>
  <c r="DW8" i="2632"/>
  <c r="DV8" i="2632"/>
  <c r="DU8" i="2632"/>
  <c r="DT8" i="2632"/>
  <c r="DS8" i="2632"/>
  <c r="DR8" i="2632"/>
  <c r="DQ8" i="2632"/>
  <c r="DP8" i="2632"/>
  <c r="DO8" i="2632"/>
  <c r="DM8" i="2632"/>
  <c r="DM44" i="2632" s="1"/>
  <c r="DL8" i="2632"/>
  <c r="DK8" i="2632"/>
  <c r="DJ8" i="2632"/>
  <c r="DI8" i="2632"/>
  <c r="DI44" i="2632" s="1"/>
  <c r="DH8" i="2632"/>
  <c r="DG8" i="2632"/>
  <c r="DF8" i="2632"/>
  <c r="DE8" i="2632"/>
  <c r="DD8" i="2632"/>
  <c r="DC8" i="2632"/>
  <c r="DB8" i="2632"/>
  <c r="CZ8" i="2632"/>
  <c r="CY8" i="2632"/>
  <c r="CX8" i="2632"/>
  <c r="CW8" i="2632"/>
  <c r="CV8" i="2632"/>
  <c r="CU8" i="2632"/>
  <c r="CT8" i="2632"/>
  <c r="CS8" i="2632"/>
  <c r="CR8" i="2632"/>
  <c r="CQ8" i="2632"/>
  <c r="CP8" i="2632"/>
  <c r="CO8" i="2632"/>
  <c r="CM8" i="2632"/>
  <c r="CL8" i="2632"/>
  <c r="CK8" i="2632"/>
  <c r="CJ8" i="2632"/>
  <c r="CI8" i="2632"/>
  <c r="CH8" i="2632"/>
  <c r="CG8" i="2632"/>
  <c r="CG44" i="2632" s="1"/>
  <c r="CF8" i="2632"/>
  <c r="CE8" i="2632"/>
  <c r="CD8" i="2632"/>
  <c r="CD44" i="2632" s="1"/>
  <c r="CC8" i="2632"/>
  <c r="CB8" i="2632"/>
  <c r="BZ8" i="2632"/>
  <c r="BZ44" i="2632" s="1"/>
  <c r="BY8" i="2632"/>
  <c r="BX8" i="2632"/>
  <c r="BW8" i="2632"/>
  <c r="BV8" i="2632"/>
  <c r="BU8" i="2632"/>
  <c r="BT8" i="2632"/>
  <c r="BS8" i="2632"/>
  <c r="BR8" i="2632"/>
  <c r="BQ8" i="2632"/>
  <c r="BP8" i="2632"/>
  <c r="BO8" i="2632"/>
  <c r="BM8" i="2632"/>
  <c r="BL8" i="2632"/>
  <c r="BK8" i="2632"/>
  <c r="BK44" i="2632" s="1"/>
  <c r="BJ8" i="2632"/>
  <c r="BI8" i="2632"/>
  <c r="BH8" i="2632"/>
  <c r="BG8" i="2632"/>
  <c r="BF8" i="2632"/>
  <c r="BE8" i="2632"/>
  <c r="BD8" i="2632"/>
  <c r="BC8" i="2632"/>
  <c r="BB8" i="2632"/>
  <c r="BB44" i="2632" s="1"/>
  <c r="AZ8" i="2632"/>
  <c r="AY8" i="2632"/>
  <c r="AX8" i="2632"/>
  <c r="AW8" i="2632"/>
  <c r="AV8" i="2632"/>
  <c r="AU8" i="2632"/>
  <c r="AT8" i="2632"/>
  <c r="AS8" i="2632"/>
  <c r="AR8" i="2632"/>
  <c r="AQ8" i="2632"/>
  <c r="AP8" i="2632"/>
  <c r="AO8" i="2632"/>
  <c r="AM8" i="2632"/>
  <c r="AL8" i="2632"/>
  <c r="AK8" i="2632"/>
  <c r="AJ8" i="2632"/>
  <c r="AI8" i="2632"/>
  <c r="AH8" i="2632"/>
  <c r="AG8" i="2632"/>
  <c r="AF8" i="2632"/>
  <c r="AE8" i="2632"/>
  <c r="AD8" i="2632"/>
  <c r="AC8" i="2632"/>
  <c r="AB8" i="2632"/>
  <c r="Z8" i="2632"/>
  <c r="Y8" i="2632"/>
  <c r="X8" i="2632"/>
  <c r="W8" i="2632"/>
  <c r="V8" i="2632"/>
  <c r="U8" i="2632"/>
  <c r="T8" i="2632"/>
  <c r="T44" i="2632" s="1"/>
  <c r="S8" i="2632"/>
  <c r="R8" i="2632"/>
  <c r="Q8" i="2632"/>
  <c r="P8" i="2632"/>
  <c r="O8" i="2632"/>
  <c r="M8" i="2632"/>
  <c r="L8" i="2632"/>
  <c r="L44" i="2632" s="1"/>
  <c r="K8" i="2632"/>
  <c r="J8" i="2632"/>
  <c r="I8" i="2632"/>
  <c r="H8" i="2632"/>
  <c r="G8" i="2632"/>
  <c r="F8" i="2632"/>
  <c r="E8" i="2632"/>
  <c r="D8" i="2632"/>
  <c r="C8" i="2632"/>
  <c r="B8" i="2632"/>
  <c r="EA5" i="2632"/>
  <c r="DN5" i="2632"/>
  <c r="DA5" i="2632"/>
  <c r="CN5" i="2632"/>
  <c r="CA5" i="2632"/>
  <c r="BN5" i="2632"/>
  <c r="BA5" i="2632"/>
  <c r="AN5" i="2632"/>
  <c r="AA5" i="2632"/>
  <c r="N5" i="2632"/>
  <c r="EA91" i="2631"/>
  <c r="DN91" i="2631"/>
  <c r="DA91" i="2631"/>
  <c r="CN91" i="2631"/>
  <c r="CA91" i="2631"/>
  <c r="BN91" i="2631"/>
  <c r="BA91" i="2631"/>
  <c r="AN91" i="2631"/>
  <c r="AA91" i="2631"/>
  <c r="N91" i="2631"/>
  <c r="EA90" i="2631"/>
  <c r="DN90" i="2631"/>
  <c r="DA90" i="2631"/>
  <c r="CN90" i="2631"/>
  <c r="CA90" i="2631"/>
  <c r="BN90" i="2631"/>
  <c r="BA90" i="2631"/>
  <c r="AN90" i="2631"/>
  <c r="AA90" i="2631"/>
  <c r="N90" i="2631"/>
  <c r="EA89" i="2631"/>
  <c r="DN89" i="2631"/>
  <c r="DA89" i="2631"/>
  <c r="CN89" i="2631"/>
  <c r="CA89" i="2631"/>
  <c r="BN89" i="2631"/>
  <c r="BA89" i="2631"/>
  <c r="AN89" i="2631"/>
  <c r="AA89" i="2631"/>
  <c r="N89" i="2631"/>
  <c r="EA88" i="2631"/>
  <c r="DN88" i="2631"/>
  <c r="DA88" i="2631"/>
  <c r="CN88" i="2631"/>
  <c r="CA88" i="2631"/>
  <c r="BN88" i="2631"/>
  <c r="BA88" i="2631"/>
  <c r="AN88" i="2631"/>
  <c r="AA88" i="2631"/>
  <c r="EA87" i="2631"/>
  <c r="DN87" i="2631"/>
  <c r="DA87" i="2631"/>
  <c r="CN87" i="2631"/>
  <c r="CA87" i="2631"/>
  <c r="BN87" i="2631"/>
  <c r="BA87" i="2631"/>
  <c r="AN87" i="2631"/>
  <c r="AA87" i="2631"/>
  <c r="N87" i="2631"/>
  <c r="DZ86" i="2631"/>
  <c r="DZ83" i="2631" s="1"/>
  <c r="DY86" i="2631"/>
  <c r="DY83" i="2631" s="1"/>
  <c r="DX86" i="2631"/>
  <c r="DX83" i="2631" s="1"/>
  <c r="DW86" i="2631"/>
  <c r="DW83" i="2631" s="1"/>
  <c r="DV86" i="2631"/>
  <c r="DV83" i="2631" s="1"/>
  <c r="DU86" i="2631"/>
  <c r="DU83" i="2631" s="1"/>
  <c r="DT86" i="2631"/>
  <c r="DT83" i="2631" s="1"/>
  <c r="DS86" i="2631"/>
  <c r="DS83" i="2631" s="1"/>
  <c r="DR86" i="2631"/>
  <c r="DR83" i="2631" s="1"/>
  <c r="DQ86" i="2631"/>
  <c r="DQ83" i="2631" s="1"/>
  <c r="DP86" i="2631"/>
  <c r="DO86" i="2631"/>
  <c r="DM86" i="2631"/>
  <c r="DM83" i="2631" s="1"/>
  <c r="DL86" i="2631"/>
  <c r="DL83" i="2631" s="1"/>
  <c r="DK86" i="2631"/>
  <c r="DK83" i="2631" s="1"/>
  <c r="DJ86" i="2631"/>
  <c r="DJ83" i="2631" s="1"/>
  <c r="DI86" i="2631"/>
  <c r="DH86" i="2631"/>
  <c r="DH83" i="2631" s="1"/>
  <c r="DG86" i="2631"/>
  <c r="DF86" i="2631"/>
  <c r="CZ86" i="2631"/>
  <c r="CZ83" i="2631" s="1"/>
  <c r="CY86" i="2631"/>
  <c r="CX86" i="2631"/>
  <c r="CX83" i="2631" s="1"/>
  <c r="CW86" i="2631"/>
  <c r="CW83" i="2631" s="1"/>
  <c r="CV86" i="2631"/>
  <c r="CV83" i="2631" s="1"/>
  <c r="CM86" i="2631"/>
  <c r="CM83" i="2631" s="1"/>
  <c r="CL86" i="2631"/>
  <c r="CK86" i="2631"/>
  <c r="CK83" i="2631" s="1"/>
  <c r="CJ86" i="2631"/>
  <c r="CJ83" i="2631" s="1"/>
  <c r="CI86" i="2631"/>
  <c r="CI83" i="2631" s="1"/>
  <c r="CH86" i="2631"/>
  <c r="CH83" i="2631" s="1"/>
  <c r="CG86" i="2631"/>
  <c r="CG83" i="2631" s="1"/>
  <c r="CF86" i="2631"/>
  <c r="CF83" i="2631" s="1"/>
  <c r="CE86" i="2631"/>
  <c r="CE83" i="2631" s="1"/>
  <c r="CD86" i="2631"/>
  <c r="CD83" i="2631" s="1"/>
  <c r="CC86" i="2631"/>
  <c r="CC83" i="2631" s="1"/>
  <c r="CB86" i="2631"/>
  <c r="BZ86" i="2631"/>
  <c r="BY86" i="2631"/>
  <c r="BX86" i="2631"/>
  <c r="BX83" i="2631" s="1"/>
  <c r="BW86" i="2631"/>
  <c r="BW83" i="2631" s="1"/>
  <c r="BV86" i="2631"/>
  <c r="BV83" i="2631" s="1"/>
  <c r="BU86" i="2631"/>
  <c r="BU83" i="2631" s="1"/>
  <c r="BT86" i="2631"/>
  <c r="BT83" i="2631" s="1"/>
  <c r="BS86" i="2631"/>
  <c r="BR86" i="2631"/>
  <c r="BR83" i="2631" s="1"/>
  <c r="BQ86" i="2631"/>
  <c r="BQ83" i="2631" s="1"/>
  <c r="BP86" i="2631"/>
  <c r="BP83" i="2631" s="1"/>
  <c r="BO86" i="2631"/>
  <c r="BM86" i="2631"/>
  <c r="BM83" i="2631" s="1"/>
  <c r="BL86" i="2631"/>
  <c r="BL83" i="2631" s="1"/>
  <c r="BK86" i="2631"/>
  <c r="BK83" i="2631" s="1"/>
  <c r="BJ86" i="2631"/>
  <c r="BJ83" i="2631" s="1"/>
  <c r="BI86" i="2631"/>
  <c r="BH86" i="2631"/>
  <c r="BH83" i="2631" s="1"/>
  <c r="BG86" i="2631"/>
  <c r="BG83" i="2631" s="1"/>
  <c r="BF86" i="2631"/>
  <c r="BF83" i="2631" s="1"/>
  <c r="BE86" i="2631"/>
  <c r="BE83" i="2631" s="1"/>
  <c r="BD86" i="2631"/>
  <c r="BD83" i="2631" s="1"/>
  <c r="BC86" i="2631"/>
  <c r="BC83" i="2631" s="1"/>
  <c r="BB86" i="2631"/>
  <c r="BB83" i="2631" s="1"/>
  <c r="AZ86" i="2631"/>
  <c r="AZ83" i="2631" s="1"/>
  <c r="AY86" i="2631"/>
  <c r="AY83" i="2631" s="1"/>
  <c r="AX86" i="2631"/>
  <c r="AX83" i="2631" s="1"/>
  <c r="AW86" i="2631"/>
  <c r="AV86" i="2631"/>
  <c r="AV83" i="2631" s="1"/>
  <c r="AU86" i="2631"/>
  <c r="AU83" i="2631" s="1"/>
  <c r="AT86" i="2631"/>
  <c r="AT83" i="2631" s="1"/>
  <c r="AS86" i="2631"/>
  <c r="AS83" i="2631" s="1"/>
  <c r="AR86" i="2631"/>
  <c r="AR83" i="2631" s="1"/>
  <c r="AQ86" i="2631"/>
  <c r="AQ83" i="2631" s="1"/>
  <c r="AP86" i="2631"/>
  <c r="AP83" i="2631" s="1"/>
  <c r="AO86" i="2631"/>
  <c r="AO83" i="2631" s="1"/>
  <c r="AM86" i="2631"/>
  <c r="AM83" i="2631" s="1"/>
  <c r="AL86" i="2631"/>
  <c r="AK86" i="2631"/>
  <c r="AK83" i="2631" s="1"/>
  <c r="AJ86" i="2631"/>
  <c r="AJ83" i="2631" s="1"/>
  <c r="AI86" i="2631"/>
  <c r="AI83" i="2631" s="1"/>
  <c r="AH86" i="2631"/>
  <c r="AH83" i="2631" s="1"/>
  <c r="AG86" i="2631"/>
  <c r="AG83" i="2631" s="1"/>
  <c r="AF86" i="2631"/>
  <c r="AF83" i="2631" s="1"/>
  <c r="AE86" i="2631"/>
  <c r="AE83" i="2631" s="1"/>
  <c r="AD86" i="2631"/>
  <c r="AD83" i="2631" s="1"/>
  <c r="AC86" i="2631"/>
  <c r="AC83" i="2631" s="1"/>
  <c r="AB86" i="2631"/>
  <c r="Z86" i="2631"/>
  <c r="Z83" i="2631" s="1"/>
  <c r="Y86" i="2631"/>
  <c r="Y83" i="2631" s="1"/>
  <c r="X86" i="2631"/>
  <c r="X83" i="2631" s="1"/>
  <c r="W86" i="2631"/>
  <c r="W83" i="2631" s="1"/>
  <c r="V86" i="2631"/>
  <c r="V83" i="2631" s="1"/>
  <c r="U86" i="2631"/>
  <c r="U83" i="2631" s="1"/>
  <c r="T86" i="2631"/>
  <c r="T83" i="2631" s="1"/>
  <c r="S86" i="2631"/>
  <c r="S83" i="2631" s="1"/>
  <c r="R86" i="2631"/>
  <c r="R83" i="2631" s="1"/>
  <c r="Q86" i="2631"/>
  <c r="Q83" i="2631" s="1"/>
  <c r="P86" i="2631"/>
  <c r="P83" i="2631" s="1"/>
  <c r="O86" i="2631"/>
  <c r="O83" i="2631" s="1"/>
  <c r="M86" i="2631"/>
  <c r="M83" i="2631" s="1"/>
  <c r="L86" i="2631"/>
  <c r="L83" i="2631" s="1"/>
  <c r="K86" i="2631"/>
  <c r="K83" i="2631" s="1"/>
  <c r="J86" i="2631"/>
  <c r="J83" i="2631" s="1"/>
  <c r="I86" i="2631"/>
  <c r="I83" i="2631" s="1"/>
  <c r="H86" i="2631"/>
  <c r="H83" i="2631" s="1"/>
  <c r="G86" i="2631"/>
  <c r="G83" i="2631" s="1"/>
  <c r="F86" i="2631"/>
  <c r="F83" i="2631" s="1"/>
  <c r="E86" i="2631"/>
  <c r="D86" i="2631"/>
  <c r="D83" i="2631" s="1"/>
  <c r="C86" i="2631"/>
  <c r="C83" i="2631" s="1"/>
  <c r="B86" i="2631"/>
  <c r="B83" i="2631" s="1"/>
  <c r="EA85" i="2631"/>
  <c r="DN85" i="2631"/>
  <c r="DA85" i="2631"/>
  <c r="CN85" i="2631"/>
  <c r="CA85" i="2631"/>
  <c r="BN85" i="2631"/>
  <c r="BA85" i="2631"/>
  <c r="AN85" i="2631"/>
  <c r="AA85" i="2631"/>
  <c r="EA84" i="2631"/>
  <c r="DN84" i="2631"/>
  <c r="DA84" i="2631"/>
  <c r="CN84" i="2631"/>
  <c r="CA84" i="2631"/>
  <c r="BN84" i="2631"/>
  <c r="BA84" i="2631"/>
  <c r="AN84" i="2631"/>
  <c r="AA84" i="2631"/>
  <c r="N84" i="2631"/>
  <c r="DI83" i="2631"/>
  <c r="DF83" i="2631"/>
  <c r="CY83" i="2631"/>
  <c r="CL83" i="2631"/>
  <c r="BZ83" i="2631"/>
  <c r="BY83" i="2631"/>
  <c r="BS83" i="2631"/>
  <c r="AW83" i="2631"/>
  <c r="AL83" i="2631"/>
  <c r="E83" i="2631"/>
  <c r="EA82" i="2631"/>
  <c r="DM82" i="2631"/>
  <c r="DM51" i="2631" s="1"/>
  <c r="DL82" i="2631"/>
  <c r="DJ82" i="2631"/>
  <c r="DH82" i="2631"/>
  <c r="DH51" i="2631" s="1"/>
  <c r="DG82" i="2631"/>
  <c r="DG51" i="2631" s="1"/>
  <c r="DF82" i="2631"/>
  <c r="DE82" i="2631"/>
  <c r="DE51" i="2631" s="1"/>
  <c r="DD82" i="2631"/>
  <c r="DD51" i="2631" s="1"/>
  <c r="DC82" i="2631"/>
  <c r="DC51" i="2631" s="1"/>
  <c r="DB82" i="2631"/>
  <c r="DB51" i="2631" s="1"/>
  <c r="CZ82" i="2631"/>
  <c r="CZ51" i="2631" s="1"/>
  <c r="CY82" i="2631"/>
  <c r="CY51" i="2631" s="1"/>
  <c r="CX82" i="2631"/>
  <c r="CX51" i="2631" s="1"/>
  <c r="CW82" i="2631"/>
  <c r="CW51" i="2631" s="1"/>
  <c r="CV82" i="2631"/>
  <c r="CV51" i="2631" s="1"/>
  <c r="CU82" i="2631"/>
  <c r="CN82" i="2631"/>
  <c r="CA82" i="2631"/>
  <c r="EA81" i="2631"/>
  <c r="DN81" i="2631"/>
  <c r="DA81" i="2631"/>
  <c r="CN81" i="2631"/>
  <c r="CA81" i="2631"/>
  <c r="BN81" i="2631"/>
  <c r="BA81" i="2631"/>
  <c r="AN81" i="2631"/>
  <c r="AA81" i="2631"/>
  <c r="N81" i="2631"/>
  <c r="EA80" i="2631"/>
  <c r="DN80" i="2631"/>
  <c r="DA80" i="2631"/>
  <c r="CN80" i="2631"/>
  <c r="CA80" i="2631"/>
  <c r="BN80" i="2631"/>
  <c r="BA80" i="2631"/>
  <c r="AN80" i="2631"/>
  <c r="AA80" i="2631"/>
  <c r="N80" i="2631"/>
  <c r="EA79" i="2631"/>
  <c r="DN79" i="2631"/>
  <c r="DA79" i="2631"/>
  <c r="CI79" i="2631"/>
  <c r="CH79" i="2631"/>
  <c r="CG79" i="2631"/>
  <c r="CF79" i="2631"/>
  <c r="CE79" i="2631"/>
  <c r="CD79" i="2631"/>
  <c r="CC79" i="2631"/>
  <c r="CB79" i="2631"/>
  <c r="BZ79" i="2631"/>
  <c r="BY79" i="2631"/>
  <c r="BX79" i="2631"/>
  <c r="BW79" i="2631"/>
  <c r="BV79" i="2631"/>
  <c r="BU79" i="2631"/>
  <c r="BT79" i="2631"/>
  <c r="BS79" i="2631"/>
  <c r="BR79" i="2631"/>
  <c r="BQ79" i="2631"/>
  <c r="BP79" i="2631"/>
  <c r="BO79" i="2631"/>
  <c r="BM79" i="2631"/>
  <c r="BL79" i="2631"/>
  <c r="BK79" i="2631"/>
  <c r="BJ79" i="2631"/>
  <c r="BI79" i="2631"/>
  <c r="BH79" i="2631"/>
  <c r="BH72" i="2631" s="1"/>
  <c r="BG79" i="2631"/>
  <c r="BF79" i="2631"/>
  <c r="BE79" i="2631"/>
  <c r="BD79" i="2631"/>
  <c r="BC79" i="2631"/>
  <c r="BB79" i="2631"/>
  <c r="AZ79" i="2631"/>
  <c r="AY79" i="2631"/>
  <c r="AX79" i="2631"/>
  <c r="AW79" i="2631"/>
  <c r="AV79" i="2631"/>
  <c r="AU79" i="2631"/>
  <c r="AT79" i="2631"/>
  <c r="AS79" i="2631"/>
  <c r="AR79" i="2631"/>
  <c r="AQ79" i="2631"/>
  <c r="AP79" i="2631"/>
  <c r="AO79" i="2631"/>
  <c r="AM79" i="2631"/>
  <c r="AL79" i="2631"/>
  <c r="AK79" i="2631"/>
  <c r="AJ79" i="2631"/>
  <c r="AI79" i="2631"/>
  <c r="AH79" i="2631"/>
  <c r="AG79" i="2631"/>
  <c r="AF79" i="2631"/>
  <c r="AE79" i="2631"/>
  <c r="AD79" i="2631"/>
  <c r="AC79" i="2631"/>
  <c r="AB79" i="2631"/>
  <c r="Z79" i="2631"/>
  <c r="Y79" i="2631"/>
  <c r="X79" i="2631"/>
  <c r="W79" i="2631"/>
  <c r="V79" i="2631"/>
  <c r="U79" i="2631"/>
  <c r="T79" i="2631"/>
  <c r="S79" i="2631"/>
  <c r="R79" i="2631"/>
  <c r="Q79" i="2631"/>
  <c r="P79" i="2631"/>
  <c r="O79" i="2631"/>
  <c r="M79" i="2631"/>
  <c r="L79" i="2631"/>
  <c r="K79" i="2631"/>
  <c r="J79" i="2631"/>
  <c r="I79" i="2631"/>
  <c r="H79" i="2631"/>
  <c r="G79" i="2631"/>
  <c r="F79" i="2631"/>
  <c r="E79" i="2631"/>
  <c r="D79" i="2631"/>
  <c r="C79" i="2631"/>
  <c r="B79" i="2631"/>
  <c r="EA78" i="2631"/>
  <c r="DN78" i="2631"/>
  <c r="DA78" i="2631"/>
  <c r="CC78" i="2631"/>
  <c r="CC50" i="2631" s="1"/>
  <c r="CA78" i="2631"/>
  <c r="BN78" i="2631"/>
  <c r="BN50" i="2631" s="1"/>
  <c r="BA78" i="2631"/>
  <c r="BA50" i="2631" s="1"/>
  <c r="AN78" i="2631"/>
  <c r="AN50" i="2631" s="1"/>
  <c r="AA78" i="2631"/>
  <c r="AA50" i="2631" s="1"/>
  <c r="N78" i="2631"/>
  <c r="N50" i="2631" s="1"/>
  <c r="EA77" i="2631"/>
  <c r="DN77" i="2631"/>
  <c r="DA77" i="2631"/>
  <c r="CN77" i="2631"/>
  <c r="CA77" i="2631"/>
  <c r="BN77" i="2631"/>
  <c r="BA77" i="2631"/>
  <c r="AN77" i="2631"/>
  <c r="AA77" i="2631"/>
  <c r="N77" i="2631"/>
  <c r="EA76" i="2631"/>
  <c r="DN76" i="2631"/>
  <c r="DA76" i="2631"/>
  <c r="CN76" i="2631"/>
  <c r="CA76" i="2631"/>
  <c r="BN76" i="2631"/>
  <c r="BN49" i="2631" s="1"/>
  <c r="BA76" i="2631"/>
  <c r="AN76" i="2631"/>
  <c r="AN49" i="2631" s="1"/>
  <c r="AA76" i="2631"/>
  <c r="N76" i="2631"/>
  <c r="EA75" i="2631"/>
  <c r="DN75" i="2631"/>
  <c r="DA75" i="2631"/>
  <c r="CN75" i="2631"/>
  <c r="CA75" i="2631"/>
  <c r="BN75" i="2631"/>
  <c r="BA75" i="2631"/>
  <c r="AN75" i="2631"/>
  <c r="AA75" i="2631"/>
  <c r="N75" i="2631"/>
  <c r="EA74" i="2631"/>
  <c r="DN74" i="2631"/>
  <c r="DA74" i="2631"/>
  <c r="CN74" i="2631"/>
  <c r="CA74" i="2631"/>
  <c r="BN74" i="2631"/>
  <c r="BA74" i="2631"/>
  <c r="AN74" i="2631"/>
  <c r="AA74" i="2631"/>
  <c r="AA48" i="2631" s="1"/>
  <c r="N74" i="2631"/>
  <c r="DZ73" i="2631"/>
  <c r="DZ72" i="2631" s="1"/>
  <c r="DY73" i="2631"/>
  <c r="DY72" i="2631" s="1"/>
  <c r="DX73" i="2631"/>
  <c r="DW73" i="2631"/>
  <c r="DV73" i="2631"/>
  <c r="DV72" i="2631" s="1"/>
  <c r="DU73" i="2631"/>
  <c r="DU72" i="2631" s="1"/>
  <c r="DT73" i="2631"/>
  <c r="DT72" i="2631" s="1"/>
  <c r="DS73" i="2631"/>
  <c r="DS72" i="2631" s="1"/>
  <c r="DR73" i="2631"/>
  <c r="DR72" i="2631" s="1"/>
  <c r="DQ73" i="2631"/>
  <c r="DQ72" i="2631" s="1"/>
  <c r="DP73" i="2631"/>
  <c r="DO73" i="2631"/>
  <c r="DM73" i="2631"/>
  <c r="DL73" i="2631"/>
  <c r="DK73" i="2631"/>
  <c r="DK72" i="2631" s="1"/>
  <c r="DJ73" i="2631"/>
  <c r="DI73" i="2631"/>
  <c r="DI72" i="2631" s="1"/>
  <c r="DH73" i="2631"/>
  <c r="DH72" i="2631" s="1"/>
  <c r="DG73" i="2631"/>
  <c r="DG72" i="2631" s="1"/>
  <c r="DF73" i="2631"/>
  <c r="DE73" i="2631"/>
  <c r="DD73" i="2631"/>
  <c r="DC73" i="2631"/>
  <c r="DB73" i="2631"/>
  <c r="CZ73" i="2631"/>
  <c r="CY73" i="2631"/>
  <c r="CX73" i="2631"/>
  <c r="CW73" i="2631"/>
  <c r="CV73" i="2631"/>
  <c r="CV72" i="2631" s="1"/>
  <c r="CU73" i="2631"/>
  <c r="CT73" i="2631"/>
  <c r="CT72" i="2631" s="1"/>
  <c r="CS73" i="2631"/>
  <c r="CS72" i="2631" s="1"/>
  <c r="CR73" i="2631"/>
  <c r="CR72" i="2631" s="1"/>
  <c r="CQ73" i="2631"/>
  <c r="CQ72" i="2631" s="1"/>
  <c r="CP73" i="2631"/>
  <c r="CP72" i="2631" s="1"/>
  <c r="CO73" i="2631"/>
  <c r="CO72" i="2631" s="1"/>
  <c r="CM73" i="2631"/>
  <c r="CM72" i="2631" s="1"/>
  <c r="CL73" i="2631"/>
  <c r="CL72" i="2631" s="1"/>
  <c r="CK73" i="2631"/>
  <c r="CJ73" i="2631"/>
  <c r="CI73" i="2631"/>
  <c r="CH73" i="2631"/>
  <c r="CG73" i="2631"/>
  <c r="CF73" i="2631"/>
  <c r="CF72" i="2631" s="1"/>
  <c r="CE73" i="2631"/>
  <c r="CE72" i="2631" s="1"/>
  <c r="CE63" i="2631" s="1"/>
  <c r="CD73" i="2631"/>
  <c r="CC73" i="2631"/>
  <c r="CB73" i="2631"/>
  <c r="BZ73" i="2631"/>
  <c r="BY73" i="2631"/>
  <c r="BX73" i="2631"/>
  <c r="BW73" i="2631"/>
  <c r="BV73" i="2631"/>
  <c r="BU73" i="2631"/>
  <c r="BT73" i="2631"/>
  <c r="BS73" i="2631"/>
  <c r="BS72" i="2631" s="1"/>
  <c r="BR73" i="2631"/>
  <c r="BR72" i="2631" s="1"/>
  <c r="BQ73" i="2631"/>
  <c r="BP73" i="2631"/>
  <c r="BO73" i="2631"/>
  <c r="BM73" i="2631"/>
  <c r="BL73" i="2631"/>
  <c r="BK73" i="2631"/>
  <c r="BJ73" i="2631"/>
  <c r="BI73" i="2631"/>
  <c r="BG73" i="2631"/>
  <c r="BF73" i="2631"/>
  <c r="BF72" i="2631" s="1"/>
  <c r="BE73" i="2631"/>
  <c r="BE72" i="2631" s="1"/>
  <c r="BD73" i="2631"/>
  <c r="BC73" i="2631"/>
  <c r="BB73" i="2631"/>
  <c r="AZ73" i="2631"/>
  <c r="AY73" i="2631"/>
  <c r="AX73" i="2631"/>
  <c r="AW73" i="2631"/>
  <c r="AV73" i="2631"/>
  <c r="AU73" i="2631"/>
  <c r="AT73" i="2631"/>
  <c r="AS73" i="2631"/>
  <c r="AS72" i="2631" s="1"/>
  <c r="AR73" i="2631"/>
  <c r="AR72" i="2631" s="1"/>
  <c r="AQ73" i="2631"/>
  <c r="AP73" i="2631"/>
  <c r="AO73" i="2631"/>
  <c r="AM73" i="2631"/>
  <c r="AL73" i="2631"/>
  <c r="AK73" i="2631"/>
  <c r="AJ73" i="2631"/>
  <c r="AI73" i="2631"/>
  <c r="AH73" i="2631"/>
  <c r="AG73" i="2631"/>
  <c r="AF73" i="2631"/>
  <c r="AF72" i="2631" s="1"/>
  <c r="AE73" i="2631"/>
  <c r="AE72" i="2631" s="1"/>
  <c r="AD73" i="2631"/>
  <c r="AD72" i="2631" s="1"/>
  <c r="AC73" i="2631"/>
  <c r="AB73" i="2631"/>
  <c r="Z73" i="2631"/>
  <c r="Y73" i="2631"/>
  <c r="X73" i="2631"/>
  <c r="W73" i="2631"/>
  <c r="V73" i="2631"/>
  <c r="U73" i="2631"/>
  <c r="T73" i="2631"/>
  <c r="S73" i="2631"/>
  <c r="S72" i="2631" s="1"/>
  <c r="R73" i="2631"/>
  <c r="R72" i="2631" s="1"/>
  <c r="Q73" i="2631"/>
  <c r="P73" i="2631"/>
  <c r="O73" i="2631"/>
  <c r="M73" i="2631"/>
  <c r="L73" i="2631"/>
  <c r="K73" i="2631"/>
  <c r="J73" i="2631"/>
  <c r="I73" i="2631"/>
  <c r="H73" i="2631"/>
  <c r="G73" i="2631"/>
  <c r="F73" i="2631"/>
  <c r="F72" i="2631" s="1"/>
  <c r="E73" i="2631"/>
  <c r="E72" i="2631" s="1"/>
  <c r="D73" i="2631"/>
  <c r="C73" i="2631"/>
  <c r="B73" i="2631"/>
  <c r="DX72" i="2631"/>
  <c r="DW72" i="2631"/>
  <c r="DO72" i="2631"/>
  <c r="DM72" i="2631"/>
  <c r="CX72" i="2631"/>
  <c r="CW72" i="2631"/>
  <c r="CK72" i="2631"/>
  <c r="CJ72" i="2631"/>
  <c r="BI72" i="2631"/>
  <c r="BI63" i="2631" s="1"/>
  <c r="AV72" i="2631"/>
  <c r="V72" i="2631"/>
  <c r="I72" i="2631"/>
  <c r="EA71" i="2631"/>
  <c r="DN71" i="2631"/>
  <c r="DA71" i="2631"/>
  <c r="CN71" i="2631"/>
  <c r="CA71" i="2631"/>
  <c r="BN71" i="2631"/>
  <c r="BA71" i="2631"/>
  <c r="AN71" i="2631"/>
  <c r="AA71" i="2631"/>
  <c r="N71" i="2631"/>
  <c r="EA70" i="2631"/>
  <c r="DN70" i="2631"/>
  <c r="DA70" i="2631"/>
  <c r="CN70" i="2631"/>
  <c r="CA70" i="2631"/>
  <c r="BN70" i="2631"/>
  <c r="BA70" i="2631"/>
  <c r="AN70" i="2631"/>
  <c r="AA70" i="2631"/>
  <c r="N70" i="2631"/>
  <c r="EA69" i="2631"/>
  <c r="DN69" i="2631"/>
  <c r="DA69" i="2631"/>
  <c r="CN69" i="2631"/>
  <c r="CA69" i="2631"/>
  <c r="BN69" i="2631"/>
  <c r="BA69" i="2631"/>
  <c r="AN69" i="2631"/>
  <c r="AA69" i="2631"/>
  <c r="N69" i="2631"/>
  <c r="EA68" i="2631"/>
  <c r="DN68" i="2631"/>
  <c r="DA68" i="2631"/>
  <c r="CN68" i="2631"/>
  <c r="CA68" i="2631"/>
  <c r="BN68" i="2631"/>
  <c r="BA68" i="2631"/>
  <c r="AN68" i="2631"/>
  <c r="AA68" i="2631"/>
  <c r="EA67" i="2631"/>
  <c r="DN67" i="2631"/>
  <c r="DA67" i="2631"/>
  <c r="CN67" i="2631"/>
  <c r="CA67" i="2631"/>
  <c r="BN67" i="2631"/>
  <c r="BA67" i="2631"/>
  <c r="AN67" i="2631"/>
  <c r="AA67" i="2631"/>
  <c r="N67" i="2631"/>
  <c r="DZ66" i="2631"/>
  <c r="DY66" i="2631"/>
  <c r="DX66" i="2631"/>
  <c r="DX46" i="2631" s="1"/>
  <c r="DX45" i="2631" s="1"/>
  <c r="DW66" i="2631"/>
  <c r="DV66" i="2631"/>
  <c r="DU66" i="2631"/>
  <c r="DT66" i="2631"/>
  <c r="DS66" i="2631"/>
  <c r="DR66" i="2631"/>
  <c r="DQ66" i="2631"/>
  <c r="DQ46" i="2631" s="1"/>
  <c r="DQ45" i="2631" s="1"/>
  <c r="DP66" i="2631"/>
  <c r="DO66" i="2631"/>
  <c r="DM66" i="2631"/>
  <c r="DL66" i="2631"/>
  <c r="DK66" i="2631"/>
  <c r="DK46" i="2631" s="1"/>
  <c r="DK45" i="2631" s="1"/>
  <c r="DK43" i="2631" s="1"/>
  <c r="DK41" i="2631" s="1"/>
  <c r="DJ66" i="2631"/>
  <c r="DI66" i="2631"/>
  <c r="DH66" i="2631"/>
  <c r="DH63" i="2631" s="1"/>
  <c r="DG66" i="2631"/>
  <c r="DF66" i="2631"/>
  <c r="DE66" i="2631"/>
  <c r="DE46" i="2631" s="1"/>
  <c r="DE45" i="2631" s="1"/>
  <c r="DD66" i="2631"/>
  <c r="DD46" i="2631" s="1"/>
  <c r="DD45" i="2631" s="1"/>
  <c r="DC66" i="2631"/>
  <c r="DC46" i="2631" s="1"/>
  <c r="DB66" i="2631"/>
  <c r="CZ66" i="2631"/>
  <c r="CZ46" i="2631" s="1"/>
  <c r="CY66" i="2631"/>
  <c r="CY46" i="2631" s="1"/>
  <c r="CX66" i="2631"/>
  <c r="CW66" i="2631"/>
  <c r="CV66" i="2631"/>
  <c r="CU66" i="2631"/>
  <c r="CU46" i="2631" s="1"/>
  <c r="CT66" i="2631"/>
  <c r="CT46" i="2631" s="1"/>
  <c r="CT45" i="2631" s="1"/>
  <c r="CS66" i="2631"/>
  <c r="CS46" i="2631" s="1"/>
  <c r="CS45" i="2631" s="1"/>
  <c r="CR66" i="2631"/>
  <c r="CQ66" i="2631"/>
  <c r="CQ46" i="2631" s="1"/>
  <c r="CQ45" i="2631" s="1"/>
  <c r="CP66" i="2631"/>
  <c r="CP46" i="2631" s="1"/>
  <c r="CP45" i="2631" s="1"/>
  <c r="CO66" i="2631"/>
  <c r="CM66" i="2631"/>
  <c r="CL66" i="2631"/>
  <c r="CL46" i="2631" s="1"/>
  <c r="CL45" i="2631" s="1"/>
  <c r="CK66" i="2631"/>
  <c r="CJ66" i="2631"/>
  <c r="CI66" i="2631"/>
  <c r="CH66" i="2631"/>
  <c r="CG66" i="2631"/>
  <c r="CG63" i="2631" s="1"/>
  <c r="CF66" i="2631"/>
  <c r="CF46" i="2631" s="1"/>
  <c r="CF45" i="2631" s="1"/>
  <c r="CE66" i="2631"/>
  <c r="CE46" i="2631" s="1"/>
  <c r="CE45" i="2631" s="1"/>
  <c r="CD66" i="2631"/>
  <c r="CC66" i="2631"/>
  <c r="CB66" i="2631"/>
  <c r="BZ66" i="2631"/>
  <c r="BY66" i="2631"/>
  <c r="BY46" i="2631" s="1"/>
  <c r="BY45" i="2631" s="1"/>
  <c r="BX66" i="2631"/>
  <c r="BW66" i="2631"/>
  <c r="BV66" i="2631"/>
  <c r="BU66" i="2631"/>
  <c r="BT66" i="2631"/>
  <c r="BS66" i="2631"/>
  <c r="BS46" i="2631" s="1"/>
  <c r="BS45" i="2631" s="1"/>
  <c r="BR66" i="2631"/>
  <c r="BQ66" i="2631"/>
  <c r="BP66" i="2631"/>
  <c r="BO66" i="2631"/>
  <c r="BM66" i="2631"/>
  <c r="BL66" i="2631"/>
  <c r="BL46" i="2631" s="1"/>
  <c r="BL45" i="2631" s="1"/>
  <c r="BK66" i="2631"/>
  <c r="BJ66" i="2631"/>
  <c r="BH66" i="2631"/>
  <c r="BG66" i="2631"/>
  <c r="BF66" i="2631"/>
  <c r="BF46" i="2631" s="1"/>
  <c r="BF45" i="2631" s="1"/>
  <c r="BE66" i="2631"/>
  <c r="BE46" i="2631" s="1"/>
  <c r="BE45" i="2631" s="1"/>
  <c r="BD66" i="2631"/>
  <c r="BC66" i="2631"/>
  <c r="BB66" i="2631"/>
  <c r="AZ66" i="2631"/>
  <c r="AY66" i="2631"/>
  <c r="AX66" i="2631"/>
  <c r="AW66" i="2631"/>
  <c r="AV66" i="2631"/>
  <c r="AU66" i="2631"/>
  <c r="AT66" i="2631"/>
  <c r="AS66" i="2631"/>
  <c r="AS46" i="2631" s="1"/>
  <c r="AS45" i="2631" s="1"/>
  <c r="AR66" i="2631"/>
  <c r="AR46" i="2631" s="1"/>
  <c r="AR45" i="2631" s="1"/>
  <c r="AQ66" i="2631"/>
  <c r="AP66" i="2631"/>
  <c r="AO66" i="2631"/>
  <c r="AM66" i="2631"/>
  <c r="AL66" i="2631"/>
  <c r="AK66" i="2631"/>
  <c r="AJ66" i="2631"/>
  <c r="AI66" i="2631"/>
  <c r="AH66" i="2631"/>
  <c r="AG66" i="2631"/>
  <c r="AF66" i="2631"/>
  <c r="AF46" i="2631" s="1"/>
  <c r="AF45" i="2631" s="1"/>
  <c r="AE66" i="2631"/>
  <c r="AE46" i="2631" s="1"/>
  <c r="AE45" i="2631" s="1"/>
  <c r="AD66" i="2631"/>
  <c r="AC66" i="2631"/>
  <c r="AB66" i="2631"/>
  <c r="Z66" i="2631"/>
  <c r="Y66" i="2631"/>
  <c r="X66" i="2631"/>
  <c r="W66" i="2631"/>
  <c r="V66" i="2631"/>
  <c r="U66" i="2631"/>
  <c r="T66" i="2631"/>
  <c r="S66" i="2631"/>
  <c r="S46" i="2631" s="1"/>
  <c r="S45" i="2631" s="1"/>
  <c r="S43" i="2631" s="1"/>
  <c r="R66" i="2631"/>
  <c r="R46" i="2631" s="1"/>
  <c r="R45" i="2631" s="1"/>
  <c r="Q66" i="2631"/>
  <c r="P66" i="2631"/>
  <c r="O66" i="2631"/>
  <c r="M66" i="2631"/>
  <c r="L66" i="2631"/>
  <c r="K66" i="2631"/>
  <c r="J66" i="2631"/>
  <c r="I66" i="2631"/>
  <c r="H66" i="2631"/>
  <c r="G66" i="2631"/>
  <c r="F66" i="2631"/>
  <c r="F46" i="2631" s="1"/>
  <c r="F45" i="2631" s="1"/>
  <c r="E66" i="2631"/>
  <c r="E46" i="2631" s="1"/>
  <c r="E45" i="2631" s="1"/>
  <c r="D66" i="2631"/>
  <c r="C66" i="2631"/>
  <c r="B66" i="2631"/>
  <c r="EA65" i="2631"/>
  <c r="DN65" i="2631"/>
  <c r="DA65" i="2631"/>
  <c r="CN65" i="2631"/>
  <c r="CA65" i="2631"/>
  <c r="BN65" i="2631"/>
  <c r="BA65" i="2631"/>
  <c r="AN65" i="2631"/>
  <c r="AA65" i="2631"/>
  <c r="N65" i="2631"/>
  <c r="EA64" i="2631"/>
  <c r="DN64" i="2631"/>
  <c r="DA64" i="2631"/>
  <c r="CN64" i="2631"/>
  <c r="CA64" i="2631"/>
  <c r="BN64" i="2631"/>
  <c r="BA64" i="2631"/>
  <c r="AN64" i="2631"/>
  <c r="AA64" i="2631"/>
  <c r="N64" i="2631"/>
  <c r="CI63" i="2631"/>
  <c r="EA61" i="2631"/>
  <c r="DN61" i="2631"/>
  <c r="DA61" i="2631"/>
  <c r="CN61" i="2631"/>
  <c r="CA61" i="2631"/>
  <c r="BN61" i="2631"/>
  <c r="BA61" i="2631"/>
  <c r="AN61" i="2631"/>
  <c r="AA61" i="2631"/>
  <c r="N61" i="2631"/>
  <c r="DZ59" i="2631"/>
  <c r="DY59" i="2631"/>
  <c r="DX59" i="2631"/>
  <c r="DW59" i="2631"/>
  <c r="DV59" i="2631"/>
  <c r="DU59" i="2631"/>
  <c r="DT59" i="2631"/>
  <c r="DS59" i="2631"/>
  <c r="DR59" i="2631"/>
  <c r="DQ59" i="2631"/>
  <c r="DP59" i="2631"/>
  <c r="DO59" i="2631"/>
  <c r="DM59" i="2631"/>
  <c r="DL59" i="2631"/>
  <c r="DK59" i="2631"/>
  <c r="DJ59" i="2631"/>
  <c r="DI59" i="2631"/>
  <c r="DH59" i="2631"/>
  <c r="DG59" i="2631"/>
  <c r="DF59" i="2631"/>
  <c r="DE59" i="2631"/>
  <c r="DD59" i="2631"/>
  <c r="DC59" i="2631"/>
  <c r="DB59" i="2631"/>
  <c r="CZ59" i="2631"/>
  <c r="CY59" i="2631"/>
  <c r="CX59" i="2631"/>
  <c r="CW59" i="2631"/>
  <c r="CV59" i="2631"/>
  <c r="CU59" i="2631"/>
  <c r="CT59" i="2631"/>
  <c r="CS59" i="2631"/>
  <c r="CR59" i="2631"/>
  <c r="CQ59" i="2631"/>
  <c r="CP59" i="2631"/>
  <c r="CO59" i="2631"/>
  <c r="CM59" i="2631"/>
  <c r="CL59" i="2631"/>
  <c r="CK59" i="2631"/>
  <c r="CJ59" i="2631"/>
  <c r="CI59" i="2631"/>
  <c r="CH59" i="2631"/>
  <c r="CG59" i="2631"/>
  <c r="CF59" i="2631"/>
  <c r="CE59" i="2631"/>
  <c r="CD59" i="2631"/>
  <c r="CC59" i="2631"/>
  <c r="CB59" i="2631"/>
  <c r="BZ59" i="2631"/>
  <c r="BY59" i="2631"/>
  <c r="BX59" i="2631"/>
  <c r="BW59" i="2631"/>
  <c r="BV59" i="2631"/>
  <c r="BU59" i="2631"/>
  <c r="BT59" i="2631"/>
  <c r="BS59" i="2631"/>
  <c r="BR59" i="2631"/>
  <c r="BQ59" i="2631"/>
  <c r="BP59" i="2631"/>
  <c r="BO59" i="2631"/>
  <c r="BM59" i="2631"/>
  <c r="BL59" i="2631"/>
  <c r="BK59" i="2631"/>
  <c r="BJ59" i="2631"/>
  <c r="BI59" i="2631"/>
  <c r="BH59" i="2631"/>
  <c r="BG59" i="2631"/>
  <c r="BF59" i="2631"/>
  <c r="BE59" i="2631"/>
  <c r="BD59" i="2631"/>
  <c r="BC59" i="2631"/>
  <c r="BB59" i="2631"/>
  <c r="AZ59" i="2631"/>
  <c r="AY59" i="2631"/>
  <c r="AX59" i="2631"/>
  <c r="AW59" i="2631"/>
  <c r="AV59" i="2631"/>
  <c r="AU59" i="2631"/>
  <c r="AT59" i="2631"/>
  <c r="AS59" i="2631"/>
  <c r="AR59" i="2631"/>
  <c r="AQ59" i="2631"/>
  <c r="AP59" i="2631"/>
  <c r="AO59" i="2631"/>
  <c r="AM59" i="2631"/>
  <c r="AL59" i="2631"/>
  <c r="AK59" i="2631"/>
  <c r="AJ59" i="2631"/>
  <c r="AI59" i="2631"/>
  <c r="AH59" i="2631"/>
  <c r="AG59" i="2631"/>
  <c r="AF59" i="2631"/>
  <c r="AE59" i="2631"/>
  <c r="AD59" i="2631"/>
  <c r="AC59" i="2631"/>
  <c r="AB59" i="2631"/>
  <c r="Z59" i="2631"/>
  <c r="Y59" i="2631"/>
  <c r="X59" i="2631"/>
  <c r="W59" i="2631"/>
  <c r="V59" i="2631"/>
  <c r="U59" i="2631"/>
  <c r="T59" i="2631"/>
  <c r="S59" i="2631"/>
  <c r="R59" i="2631"/>
  <c r="Q59" i="2631"/>
  <c r="P59" i="2631"/>
  <c r="O59" i="2631"/>
  <c r="M59" i="2631"/>
  <c r="L59" i="2631"/>
  <c r="K59" i="2631"/>
  <c r="J59" i="2631"/>
  <c r="I59" i="2631"/>
  <c r="H59" i="2631"/>
  <c r="G59" i="2631"/>
  <c r="F59" i="2631"/>
  <c r="E59" i="2631"/>
  <c r="D59" i="2631"/>
  <c r="C59" i="2631"/>
  <c r="B59" i="2631"/>
  <c r="EA40" i="2631"/>
  <c r="DN40" i="2631"/>
  <c r="DA40" i="2631"/>
  <c r="CN40" i="2631"/>
  <c r="CA40" i="2631"/>
  <c r="BN40" i="2631"/>
  <c r="BA40" i="2631"/>
  <c r="AN40" i="2631"/>
  <c r="AA40" i="2631"/>
  <c r="N40" i="2631"/>
  <c r="EA33" i="2631"/>
  <c r="DN33" i="2631"/>
  <c r="EA32" i="2631"/>
  <c r="DN32" i="2631"/>
  <c r="EA31" i="2631"/>
  <c r="DN31" i="2631"/>
  <c r="DA31" i="2631"/>
  <c r="CN31" i="2631"/>
  <c r="CA31" i="2631"/>
  <c r="BN31" i="2631"/>
  <c r="BA31" i="2631"/>
  <c r="AN31" i="2631"/>
  <c r="AA31" i="2631"/>
  <c r="N31" i="2631"/>
  <c r="EA30" i="2631"/>
  <c r="DN30" i="2631"/>
  <c r="DA30" i="2631"/>
  <c r="CN30" i="2631"/>
  <c r="CA30" i="2631"/>
  <c r="BN30" i="2631"/>
  <c r="BA30" i="2631"/>
  <c r="AN30" i="2631"/>
  <c r="AA30" i="2631"/>
  <c r="N30" i="2631"/>
  <c r="EA29" i="2631"/>
  <c r="DN29" i="2631"/>
  <c r="DA29" i="2631"/>
  <c r="CN29" i="2631"/>
  <c r="CA29" i="2631"/>
  <c r="BN29" i="2631"/>
  <c r="BA29" i="2631"/>
  <c r="AN29" i="2631"/>
  <c r="AA29" i="2631"/>
  <c r="N29" i="2631"/>
  <c r="EA28" i="2631"/>
  <c r="DN28" i="2631"/>
  <c r="DA28" i="2631"/>
  <c r="CN28" i="2631"/>
  <c r="CA28" i="2631"/>
  <c r="BN28" i="2631"/>
  <c r="BA28" i="2631"/>
  <c r="AN28" i="2631"/>
  <c r="AA28" i="2631"/>
  <c r="N28" i="2631"/>
  <c r="DZ27" i="2631"/>
  <c r="DY27" i="2631"/>
  <c r="DX27" i="2631"/>
  <c r="DW27" i="2631"/>
  <c r="DV27" i="2631"/>
  <c r="DU27" i="2631"/>
  <c r="DT27" i="2631"/>
  <c r="DS27" i="2631"/>
  <c r="DR27" i="2631"/>
  <c r="DQ27" i="2631"/>
  <c r="DP27" i="2631"/>
  <c r="DO27" i="2631"/>
  <c r="DM27" i="2631"/>
  <c r="DL27" i="2631"/>
  <c r="DK27" i="2631"/>
  <c r="DJ27" i="2631"/>
  <c r="DI27" i="2631"/>
  <c r="DH27" i="2631"/>
  <c r="DG27" i="2631"/>
  <c r="DF27" i="2631"/>
  <c r="DE27" i="2631"/>
  <c r="DD27" i="2631"/>
  <c r="DC27" i="2631"/>
  <c r="DB27" i="2631"/>
  <c r="CZ27" i="2631"/>
  <c r="CY27" i="2631"/>
  <c r="CX27" i="2631"/>
  <c r="CW27" i="2631"/>
  <c r="CV27" i="2631"/>
  <c r="CU27" i="2631"/>
  <c r="CT27" i="2631"/>
  <c r="CS27" i="2631"/>
  <c r="CR27" i="2631"/>
  <c r="CQ27" i="2631"/>
  <c r="CP27" i="2631"/>
  <c r="CO27" i="2631"/>
  <c r="CM27" i="2631"/>
  <c r="CL27" i="2631"/>
  <c r="CK27" i="2631"/>
  <c r="CJ27" i="2631"/>
  <c r="CI27" i="2631"/>
  <c r="CH27" i="2631"/>
  <c r="CG27" i="2631"/>
  <c r="CF27" i="2631"/>
  <c r="CE27" i="2631"/>
  <c r="CD27" i="2631"/>
  <c r="CC27" i="2631"/>
  <c r="CB27" i="2631"/>
  <c r="BZ27" i="2631"/>
  <c r="BY27" i="2631"/>
  <c r="BX27" i="2631"/>
  <c r="BW27" i="2631"/>
  <c r="BV27" i="2631"/>
  <c r="BU27" i="2631"/>
  <c r="BT27" i="2631"/>
  <c r="BS27" i="2631"/>
  <c r="BR27" i="2631"/>
  <c r="BQ27" i="2631"/>
  <c r="BP27" i="2631"/>
  <c r="BO27" i="2631"/>
  <c r="BM27" i="2631"/>
  <c r="BL27" i="2631"/>
  <c r="BK27" i="2631"/>
  <c r="BJ27" i="2631"/>
  <c r="BI27" i="2631"/>
  <c r="BH27" i="2631"/>
  <c r="BG27" i="2631"/>
  <c r="BF27" i="2631"/>
  <c r="BE27" i="2631"/>
  <c r="BD27" i="2631"/>
  <c r="BC27" i="2631"/>
  <c r="BB27" i="2631"/>
  <c r="AZ27" i="2631"/>
  <c r="AY27" i="2631"/>
  <c r="AX27" i="2631"/>
  <c r="AW27" i="2631"/>
  <c r="AV27" i="2631"/>
  <c r="AU27" i="2631"/>
  <c r="AT27" i="2631"/>
  <c r="AS27" i="2631"/>
  <c r="AR27" i="2631"/>
  <c r="AQ27" i="2631"/>
  <c r="AP27" i="2631"/>
  <c r="AO27" i="2631"/>
  <c r="AM27" i="2631"/>
  <c r="AL27" i="2631"/>
  <c r="AK27" i="2631"/>
  <c r="AJ27" i="2631"/>
  <c r="AI27" i="2631"/>
  <c r="AH27" i="2631"/>
  <c r="AG27" i="2631"/>
  <c r="AF27" i="2631"/>
  <c r="AE27" i="2631"/>
  <c r="AD27" i="2631"/>
  <c r="AC27" i="2631"/>
  <c r="AB27" i="2631"/>
  <c r="Z27" i="2631"/>
  <c r="Y27" i="2631"/>
  <c r="X27" i="2631"/>
  <c r="W27" i="2631"/>
  <c r="V27" i="2631"/>
  <c r="U27" i="2631"/>
  <c r="T27" i="2631"/>
  <c r="S27" i="2631"/>
  <c r="R27" i="2631"/>
  <c r="Q27" i="2631"/>
  <c r="P27" i="2631"/>
  <c r="O27" i="2631"/>
  <c r="M27" i="2631"/>
  <c r="L27" i="2631"/>
  <c r="K27" i="2631"/>
  <c r="J27" i="2631"/>
  <c r="I27" i="2631"/>
  <c r="H27" i="2631"/>
  <c r="G27" i="2631"/>
  <c r="F27" i="2631"/>
  <c r="E27" i="2631"/>
  <c r="D27" i="2631"/>
  <c r="C27" i="2631"/>
  <c r="B27" i="2631"/>
  <c r="EA25" i="2631"/>
  <c r="DN25" i="2631"/>
  <c r="DA25" i="2631"/>
  <c r="CN25" i="2631"/>
  <c r="CA25" i="2631"/>
  <c r="BN25" i="2631"/>
  <c r="BA25" i="2631"/>
  <c r="AN25" i="2631"/>
  <c r="AA25" i="2631"/>
  <c r="N25" i="2631"/>
  <c r="EA24" i="2631"/>
  <c r="DN24" i="2631"/>
  <c r="DA24" i="2631"/>
  <c r="CN24" i="2631"/>
  <c r="CA24" i="2631"/>
  <c r="BN24" i="2631"/>
  <c r="AV24" i="2631"/>
  <c r="AN24" i="2631"/>
  <c r="AA24" i="2631"/>
  <c r="N24" i="2631"/>
  <c r="DZ23" i="2631"/>
  <c r="DY23" i="2631"/>
  <c r="DX23" i="2631"/>
  <c r="DW23" i="2631"/>
  <c r="DV23" i="2631"/>
  <c r="DU23" i="2631"/>
  <c r="DT23" i="2631"/>
  <c r="DS23" i="2631"/>
  <c r="DR23" i="2631"/>
  <c r="DQ23" i="2631"/>
  <c r="DP23" i="2631"/>
  <c r="DO23" i="2631"/>
  <c r="DM23" i="2631"/>
  <c r="DL23" i="2631"/>
  <c r="DK23" i="2631"/>
  <c r="DJ23" i="2631"/>
  <c r="DI23" i="2631"/>
  <c r="DH23" i="2631"/>
  <c r="DG23" i="2631"/>
  <c r="DF23" i="2631"/>
  <c r="DE23" i="2631"/>
  <c r="DD23" i="2631"/>
  <c r="DC23" i="2631"/>
  <c r="DB23" i="2631"/>
  <c r="CZ23" i="2631"/>
  <c r="CY23" i="2631"/>
  <c r="CX23" i="2631"/>
  <c r="CW23" i="2631"/>
  <c r="CV23" i="2631"/>
  <c r="CU23" i="2631"/>
  <c r="CT23" i="2631"/>
  <c r="CS23" i="2631"/>
  <c r="CR23" i="2631"/>
  <c r="CQ23" i="2631"/>
  <c r="CP23" i="2631"/>
  <c r="CO23" i="2631"/>
  <c r="CM23" i="2631"/>
  <c r="CL23" i="2631"/>
  <c r="CK23" i="2631"/>
  <c r="CJ23" i="2631"/>
  <c r="CI23" i="2631"/>
  <c r="CH23" i="2631"/>
  <c r="CG23" i="2631"/>
  <c r="CF23" i="2631"/>
  <c r="CE23" i="2631"/>
  <c r="CD23" i="2631"/>
  <c r="CC23" i="2631"/>
  <c r="CB23" i="2631"/>
  <c r="BZ23" i="2631"/>
  <c r="BY23" i="2631"/>
  <c r="BX23" i="2631"/>
  <c r="BW23" i="2631"/>
  <c r="BV23" i="2631"/>
  <c r="BU23" i="2631"/>
  <c r="BT23" i="2631"/>
  <c r="BS23" i="2631"/>
  <c r="BR23" i="2631"/>
  <c r="BQ23" i="2631"/>
  <c r="BP23" i="2631"/>
  <c r="BO23" i="2631"/>
  <c r="BM23" i="2631"/>
  <c r="BL23" i="2631"/>
  <c r="BK23" i="2631"/>
  <c r="BJ23" i="2631"/>
  <c r="BI23" i="2631"/>
  <c r="BH23" i="2631"/>
  <c r="BG23" i="2631"/>
  <c r="BF23" i="2631"/>
  <c r="BE23" i="2631"/>
  <c r="BD23" i="2631"/>
  <c r="BC23" i="2631"/>
  <c r="BB23" i="2631"/>
  <c r="AZ23" i="2631"/>
  <c r="AY23" i="2631"/>
  <c r="AX23" i="2631"/>
  <c r="AW23" i="2631"/>
  <c r="AU23" i="2631"/>
  <c r="AT23" i="2631"/>
  <c r="AS23" i="2631"/>
  <c r="AR23" i="2631"/>
  <c r="AQ23" i="2631"/>
  <c r="AP23" i="2631"/>
  <c r="AO23" i="2631"/>
  <c r="AM23" i="2631"/>
  <c r="AL23" i="2631"/>
  <c r="AK23" i="2631"/>
  <c r="AJ23" i="2631"/>
  <c r="AI23" i="2631"/>
  <c r="AH23" i="2631"/>
  <c r="AG23" i="2631"/>
  <c r="AF23" i="2631"/>
  <c r="AE23" i="2631"/>
  <c r="AD23" i="2631"/>
  <c r="AC23" i="2631"/>
  <c r="AB23" i="2631"/>
  <c r="Z23" i="2631"/>
  <c r="Y23" i="2631"/>
  <c r="X23" i="2631"/>
  <c r="W23" i="2631"/>
  <c r="V23" i="2631"/>
  <c r="U23" i="2631"/>
  <c r="T23" i="2631"/>
  <c r="S23" i="2631"/>
  <c r="R23" i="2631"/>
  <c r="Q23" i="2631"/>
  <c r="P23" i="2631"/>
  <c r="O23" i="2631"/>
  <c r="M23" i="2631"/>
  <c r="L23" i="2631"/>
  <c r="K23" i="2631"/>
  <c r="J23" i="2631"/>
  <c r="I23" i="2631"/>
  <c r="H23" i="2631"/>
  <c r="G23" i="2631"/>
  <c r="F23" i="2631"/>
  <c r="E23" i="2631"/>
  <c r="D23" i="2631"/>
  <c r="C23" i="2631"/>
  <c r="B23" i="2631"/>
  <c r="EA22" i="2631"/>
  <c r="DN22" i="2631"/>
  <c r="DA22" i="2631"/>
  <c r="CN22" i="2631"/>
  <c r="CA22" i="2631"/>
  <c r="BN22" i="2631"/>
  <c r="BA22" i="2631"/>
  <c r="AN22" i="2631"/>
  <c r="AA22" i="2631"/>
  <c r="N22" i="2631"/>
  <c r="DZ21" i="2631"/>
  <c r="DY21" i="2631"/>
  <c r="DX21" i="2631"/>
  <c r="DW21" i="2631"/>
  <c r="DV21" i="2631"/>
  <c r="DU21" i="2631"/>
  <c r="DT21" i="2631"/>
  <c r="DS21" i="2631"/>
  <c r="DR21" i="2631"/>
  <c r="DQ21" i="2631"/>
  <c r="DP21" i="2631"/>
  <c r="DO21" i="2631"/>
  <c r="DM21" i="2631"/>
  <c r="DL21" i="2631"/>
  <c r="DK21" i="2631"/>
  <c r="DJ21" i="2631"/>
  <c r="DI21" i="2631"/>
  <c r="DH21" i="2631"/>
  <c r="DG21" i="2631"/>
  <c r="DF21" i="2631"/>
  <c r="DE21" i="2631"/>
  <c r="DD21" i="2631"/>
  <c r="DC21" i="2631"/>
  <c r="DB21" i="2631"/>
  <c r="CZ21" i="2631"/>
  <c r="CY21" i="2631"/>
  <c r="CX21" i="2631"/>
  <c r="CW21" i="2631"/>
  <c r="CV21" i="2631"/>
  <c r="CU21" i="2631"/>
  <c r="CT21" i="2631"/>
  <c r="CS21" i="2631"/>
  <c r="CR21" i="2631"/>
  <c r="CQ21" i="2631"/>
  <c r="CP21" i="2631"/>
  <c r="CO21" i="2631"/>
  <c r="CM21" i="2631"/>
  <c r="CL21" i="2631"/>
  <c r="CK21" i="2631"/>
  <c r="CJ21" i="2631"/>
  <c r="CI21" i="2631"/>
  <c r="CH21" i="2631"/>
  <c r="CG21" i="2631"/>
  <c r="CF21" i="2631"/>
  <c r="CE21" i="2631"/>
  <c r="CD21" i="2631"/>
  <c r="CC21" i="2631"/>
  <c r="CB21" i="2631"/>
  <c r="BZ21" i="2631"/>
  <c r="BY21" i="2631"/>
  <c r="BX21" i="2631"/>
  <c r="BW21" i="2631"/>
  <c r="BV21" i="2631"/>
  <c r="BU21" i="2631"/>
  <c r="BT21" i="2631"/>
  <c r="BS21" i="2631"/>
  <c r="BR21" i="2631"/>
  <c r="BQ21" i="2631"/>
  <c r="BP21" i="2631"/>
  <c r="BO21" i="2631"/>
  <c r="BM21" i="2631"/>
  <c r="BL21" i="2631"/>
  <c r="BK21" i="2631"/>
  <c r="BJ21" i="2631"/>
  <c r="BI21" i="2631"/>
  <c r="BH21" i="2631"/>
  <c r="BG21" i="2631"/>
  <c r="BF21" i="2631"/>
  <c r="BE21" i="2631"/>
  <c r="BD21" i="2631"/>
  <c r="BC21" i="2631"/>
  <c r="BB21" i="2631"/>
  <c r="AZ21" i="2631"/>
  <c r="AY21" i="2631"/>
  <c r="AX21" i="2631"/>
  <c r="AW21" i="2631"/>
  <c r="AV21" i="2631"/>
  <c r="AU21" i="2631"/>
  <c r="AT21" i="2631"/>
  <c r="AS21" i="2631"/>
  <c r="AR21" i="2631"/>
  <c r="AQ21" i="2631"/>
  <c r="AP21" i="2631"/>
  <c r="AO21" i="2631"/>
  <c r="AM21" i="2631"/>
  <c r="AL21" i="2631"/>
  <c r="AK21" i="2631"/>
  <c r="AJ21" i="2631"/>
  <c r="AI21" i="2631"/>
  <c r="AH21" i="2631"/>
  <c r="AG21" i="2631"/>
  <c r="AF21" i="2631"/>
  <c r="AE21" i="2631"/>
  <c r="AD21" i="2631"/>
  <c r="AC21" i="2631"/>
  <c r="AB21" i="2631"/>
  <c r="Z21" i="2631"/>
  <c r="Y21" i="2631"/>
  <c r="X21" i="2631"/>
  <c r="W21" i="2631"/>
  <c r="V21" i="2631"/>
  <c r="U21" i="2631"/>
  <c r="T21" i="2631"/>
  <c r="S21" i="2631"/>
  <c r="R21" i="2631"/>
  <c r="Q21" i="2631"/>
  <c r="P21" i="2631"/>
  <c r="O21" i="2631"/>
  <c r="M21" i="2631"/>
  <c r="L21" i="2631"/>
  <c r="K21" i="2631"/>
  <c r="J21" i="2631"/>
  <c r="I21" i="2631"/>
  <c r="H21" i="2631"/>
  <c r="G21" i="2631"/>
  <c r="F21" i="2631"/>
  <c r="E21" i="2631"/>
  <c r="D21" i="2631"/>
  <c r="C21" i="2631"/>
  <c r="B21" i="2631"/>
  <c r="EA20" i="2631"/>
  <c r="DN20" i="2631"/>
  <c r="DA20" i="2631"/>
  <c r="CN20" i="2631"/>
  <c r="CA20" i="2631"/>
  <c r="BN20" i="2631"/>
  <c r="BA20" i="2631"/>
  <c r="AN20" i="2631"/>
  <c r="AA20" i="2631"/>
  <c r="N20" i="2631"/>
  <c r="EA19" i="2631"/>
  <c r="DN19" i="2631"/>
  <c r="DA19" i="2631"/>
  <c r="CN19" i="2631"/>
  <c r="CA19" i="2631"/>
  <c r="BN19" i="2631"/>
  <c r="BA19" i="2631"/>
  <c r="AN19" i="2631"/>
  <c r="AA19" i="2631"/>
  <c r="N19" i="2631"/>
  <c r="EA18" i="2631"/>
  <c r="DN18" i="2631"/>
  <c r="DA18" i="2631"/>
  <c r="CC18" i="2631"/>
  <c r="CC54" i="2631" s="1"/>
  <c r="CB18" i="2631"/>
  <c r="CB54" i="2631" s="1"/>
  <c r="BZ18" i="2631"/>
  <c r="BZ54" i="2631" s="1"/>
  <c r="BY18" i="2631"/>
  <c r="BY54" i="2631" s="1"/>
  <c r="BX18" i="2631"/>
  <c r="BX54" i="2631" s="1"/>
  <c r="BW18" i="2631"/>
  <c r="BW54" i="2631" s="1"/>
  <c r="BV18" i="2631"/>
  <c r="BV54" i="2631" s="1"/>
  <c r="BU18" i="2631"/>
  <c r="BU54" i="2631" s="1"/>
  <c r="BP18" i="2631"/>
  <c r="BP54" i="2631" s="1"/>
  <c r="BO18" i="2631"/>
  <c r="BO54" i="2631" s="1"/>
  <c r="BM18" i="2631"/>
  <c r="BL18" i="2631"/>
  <c r="BK18" i="2631"/>
  <c r="BJ18" i="2631"/>
  <c r="BI18" i="2631"/>
  <c r="BH18" i="2631"/>
  <c r="BG18" i="2631"/>
  <c r="BF18" i="2631"/>
  <c r="BE18" i="2631"/>
  <c r="BD18" i="2631"/>
  <c r="BC18" i="2631"/>
  <c r="BB18" i="2631"/>
  <c r="AZ18" i="2631"/>
  <c r="AY18" i="2631"/>
  <c r="AX18" i="2631"/>
  <c r="AW18" i="2631"/>
  <c r="AV18" i="2631"/>
  <c r="AU18" i="2631"/>
  <c r="AT18" i="2631"/>
  <c r="AS18" i="2631"/>
  <c r="AR18" i="2631"/>
  <c r="AQ18" i="2631"/>
  <c r="AP18" i="2631"/>
  <c r="AO18" i="2631"/>
  <c r="AM18" i="2631"/>
  <c r="AL18" i="2631"/>
  <c r="AK18" i="2631"/>
  <c r="AJ18" i="2631"/>
  <c r="AI18" i="2631"/>
  <c r="AH18" i="2631"/>
  <c r="AG18" i="2631"/>
  <c r="AF18" i="2631"/>
  <c r="AE18" i="2631"/>
  <c r="AD18" i="2631"/>
  <c r="AC18" i="2631"/>
  <c r="AB18" i="2631"/>
  <c r="Z18" i="2631"/>
  <c r="Y18" i="2631"/>
  <c r="X18" i="2631"/>
  <c r="W18" i="2631"/>
  <c r="V18" i="2631"/>
  <c r="U18" i="2631"/>
  <c r="T18" i="2631"/>
  <c r="S18" i="2631"/>
  <c r="R18" i="2631"/>
  <c r="Q18" i="2631"/>
  <c r="P18" i="2631"/>
  <c r="O18" i="2631"/>
  <c r="M18" i="2631"/>
  <c r="L18" i="2631"/>
  <c r="L54" i="2631" s="1"/>
  <c r="K18" i="2631"/>
  <c r="K54" i="2631" s="1"/>
  <c r="J18" i="2631"/>
  <c r="J54" i="2631" s="1"/>
  <c r="I18" i="2631"/>
  <c r="I54" i="2631" s="1"/>
  <c r="H18" i="2631"/>
  <c r="H54" i="2631" s="1"/>
  <c r="G18" i="2631"/>
  <c r="G54" i="2631" s="1"/>
  <c r="F18" i="2631"/>
  <c r="F54" i="2631" s="1"/>
  <c r="E18" i="2631"/>
  <c r="E54" i="2631" s="1"/>
  <c r="D18" i="2631"/>
  <c r="D54" i="2631" s="1"/>
  <c r="C18" i="2631"/>
  <c r="C54" i="2631" s="1"/>
  <c r="B18" i="2631"/>
  <c r="B54" i="2631" s="1"/>
  <c r="EA17" i="2631"/>
  <c r="DN17" i="2631"/>
  <c r="DA17" i="2631"/>
  <c r="CN17" i="2631"/>
  <c r="CA17" i="2631"/>
  <c r="BN17" i="2631"/>
  <c r="BA17" i="2631"/>
  <c r="AN17" i="2631"/>
  <c r="AA17" i="2631"/>
  <c r="N17" i="2631"/>
  <c r="EA16" i="2631"/>
  <c r="DN16" i="2631"/>
  <c r="DA16" i="2631"/>
  <c r="CN16" i="2631"/>
  <c r="CA16" i="2631"/>
  <c r="BN16" i="2631"/>
  <c r="BA16" i="2631"/>
  <c r="AN16" i="2631"/>
  <c r="AA16" i="2631"/>
  <c r="N16" i="2631"/>
  <c r="EA15" i="2631"/>
  <c r="DN15" i="2631"/>
  <c r="DA15" i="2631"/>
  <c r="CN15" i="2631"/>
  <c r="CA15" i="2631"/>
  <c r="BN15" i="2631"/>
  <c r="BN59" i="2631" s="1"/>
  <c r="BA15" i="2631"/>
  <c r="BA59" i="2631" s="1"/>
  <c r="AN15" i="2631"/>
  <c r="AN59" i="2631" s="1"/>
  <c r="AA15" i="2631"/>
  <c r="AA59" i="2631" s="1"/>
  <c r="N15" i="2631"/>
  <c r="N59" i="2631" s="1"/>
  <c r="EA14" i="2631"/>
  <c r="DN14" i="2631"/>
  <c r="DA14" i="2631"/>
  <c r="CN14" i="2631"/>
  <c r="CA14" i="2631"/>
  <c r="BN14" i="2631"/>
  <c r="BA14" i="2631"/>
  <c r="AN14" i="2631"/>
  <c r="AA14" i="2631"/>
  <c r="N14" i="2631"/>
  <c r="EA13" i="2631"/>
  <c r="DN13" i="2631"/>
  <c r="DA13" i="2631"/>
  <c r="CN13" i="2631"/>
  <c r="CA13" i="2631"/>
  <c r="BN13" i="2631"/>
  <c r="BA13" i="2631"/>
  <c r="AN13" i="2631"/>
  <c r="AA13" i="2631"/>
  <c r="N13" i="2631"/>
  <c r="EA12" i="2631"/>
  <c r="DN12" i="2631"/>
  <c r="DA12" i="2631"/>
  <c r="CN12" i="2631"/>
  <c r="CA12" i="2631"/>
  <c r="BN12" i="2631"/>
  <c r="BA12" i="2631"/>
  <c r="AN12" i="2631"/>
  <c r="AA12" i="2631"/>
  <c r="N12" i="2631"/>
  <c r="EA11" i="2631"/>
  <c r="DN11" i="2631"/>
  <c r="DA11" i="2631"/>
  <c r="CN11" i="2631"/>
  <c r="CA11" i="2631"/>
  <c r="BN11" i="2631"/>
  <c r="BA11" i="2631"/>
  <c r="AN11" i="2631"/>
  <c r="AA11" i="2631"/>
  <c r="N11" i="2631"/>
  <c r="EA10" i="2631"/>
  <c r="DM10" i="2631"/>
  <c r="DN10" i="2631" s="1"/>
  <c r="CZ10" i="2631"/>
  <c r="CZ44" i="2631" s="1"/>
  <c r="CY10" i="2631"/>
  <c r="CY44" i="2631" s="1"/>
  <c r="CX10" i="2631"/>
  <c r="CX44" i="2631" s="1"/>
  <c r="CW10" i="2631"/>
  <c r="CW44" i="2631" s="1"/>
  <c r="CV10" i="2631"/>
  <c r="CV44" i="2631" s="1"/>
  <c r="CU10" i="2631"/>
  <c r="CU44" i="2631" s="1"/>
  <c r="CT10" i="2631"/>
  <c r="CT44" i="2631" s="1"/>
  <c r="CS10" i="2631"/>
  <c r="CS44" i="2631" s="1"/>
  <c r="CR10" i="2631"/>
  <c r="CR44" i="2631" s="1"/>
  <c r="CQ10" i="2631"/>
  <c r="CQ44" i="2631" s="1"/>
  <c r="CP10" i="2631"/>
  <c r="CP44" i="2631" s="1"/>
  <c r="CO10" i="2631"/>
  <c r="CO44" i="2631" s="1"/>
  <c r="CM10" i="2631"/>
  <c r="CL10" i="2631"/>
  <c r="CL44" i="2631" s="1"/>
  <c r="CK10" i="2631"/>
  <c r="CK44" i="2631" s="1"/>
  <c r="CJ10" i="2631"/>
  <c r="CJ44" i="2631" s="1"/>
  <c r="CI10" i="2631"/>
  <c r="CI44" i="2631" s="1"/>
  <c r="CH10" i="2631"/>
  <c r="CH44" i="2631" s="1"/>
  <c r="CG10" i="2631"/>
  <c r="CG44" i="2631" s="1"/>
  <c r="CF10" i="2631"/>
  <c r="CF44" i="2631" s="1"/>
  <c r="CE10" i="2631"/>
  <c r="CE44" i="2631" s="1"/>
  <c r="CD10" i="2631"/>
  <c r="CD44" i="2631" s="1"/>
  <c r="CC10" i="2631"/>
  <c r="CC44" i="2631" s="1"/>
  <c r="CB10" i="2631"/>
  <c r="BZ10" i="2631"/>
  <c r="BZ44" i="2631" s="1"/>
  <c r="BY10" i="2631"/>
  <c r="BY44" i="2631" s="1"/>
  <c r="BX10" i="2631"/>
  <c r="BX44" i="2631" s="1"/>
  <c r="BW10" i="2631"/>
  <c r="BV10" i="2631"/>
  <c r="BV44" i="2631" s="1"/>
  <c r="BU10" i="2631"/>
  <c r="BU44" i="2631" s="1"/>
  <c r="BT10" i="2631"/>
  <c r="BT44" i="2631" s="1"/>
  <c r="BN10" i="2631"/>
  <c r="BA10" i="2631"/>
  <c r="AN10" i="2631"/>
  <c r="AA10" i="2631"/>
  <c r="N10" i="2631"/>
  <c r="EA9" i="2631"/>
  <c r="DN9" i="2631"/>
  <c r="DA9" i="2631"/>
  <c r="CN9" i="2631"/>
  <c r="CA9" i="2631"/>
  <c r="BN9" i="2631"/>
  <c r="BA9" i="2631"/>
  <c r="AN9" i="2631"/>
  <c r="AA9" i="2631"/>
  <c r="N9" i="2631"/>
  <c r="DZ8" i="2631"/>
  <c r="DY8" i="2631"/>
  <c r="DY7" i="2631" s="1"/>
  <c r="DX8" i="2631"/>
  <c r="DX7" i="2631" s="1"/>
  <c r="DX37" i="2631" s="1"/>
  <c r="DW8" i="2631"/>
  <c r="DV8" i="2631"/>
  <c r="DU8" i="2631"/>
  <c r="DT8" i="2631"/>
  <c r="DS8" i="2631"/>
  <c r="DR8" i="2631"/>
  <c r="DQ8" i="2631"/>
  <c r="DP8" i="2631"/>
  <c r="DO8" i="2631"/>
  <c r="DL8" i="2631"/>
  <c r="DL7" i="2631" s="1"/>
  <c r="DL37" i="2631" s="1"/>
  <c r="DK8" i="2631"/>
  <c r="DJ8" i="2631"/>
  <c r="DI8" i="2631"/>
  <c r="DH8" i="2631"/>
  <c r="DG8" i="2631"/>
  <c r="DF8" i="2631"/>
  <c r="DF7" i="2631" s="1"/>
  <c r="DE8" i="2631"/>
  <c r="DD8" i="2631"/>
  <c r="DC8" i="2631"/>
  <c r="DB8" i="2631"/>
  <c r="CZ8" i="2631"/>
  <c r="CR8" i="2631"/>
  <c r="CO8" i="2631"/>
  <c r="CC8" i="2631"/>
  <c r="BU8" i="2631"/>
  <c r="BS8" i="2631"/>
  <c r="BR8" i="2631"/>
  <c r="BQ8" i="2631"/>
  <c r="BP8" i="2631"/>
  <c r="BO8" i="2631"/>
  <c r="BM8" i="2631"/>
  <c r="BL8" i="2631"/>
  <c r="BK8" i="2631"/>
  <c r="BJ8" i="2631"/>
  <c r="BI8" i="2631"/>
  <c r="BH8" i="2631"/>
  <c r="BG8" i="2631"/>
  <c r="BF8" i="2631"/>
  <c r="BE8" i="2631"/>
  <c r="BD8" i="2631"/>
  <c r="BC8" i="2631"/>
  <c r="BB8" i="2631"/>
  <c r="AZ8" i="2631"/>
  <c r="AY8" i="2631"/>
  <c r="AX8" i="2631"/>
  <c r="AW8" i="2631"/>
  <c r="AV8" i="2631"/>
  <c r="AU8" i="2631"/>
  <c r="AT8" i="2631"/>
  <c r="AS8" i="2631"/>
  <c r="AR8" i="2631"/>
  <c r="AQ8" i="2631"/>
  <c r="AP8" i="2631"/>
  <c r="AO8" i="2631"/>
  <c r="AM8" i="2631"/>
  <c r="AL8" i="2631"/>
  <c r="AK8" i="2631"/>
  <c r="AJ8" i="2631"/>
  <c r="AI8" i="2631"/>
  <c r="AH8" i="2631"/>
  <c r="AG8" i="2631"/>
  <c r="AF8" i="2631"/>
  <c r="AE8" i="2631"/>
  <c r="AD8" i="2631"/>
  <c r="AC8" i="2631"/>
  <c r="AB8" i="2631"/>
  <c r="Z8" i="2631"/>
  <c r="Y8" i="2631"/>
  <c r="X8" i="2631"/>
  <c r="W8" i="2631"/>
  <c r="V8" i="2631"/>
  <c r="U8" i="2631"/>
  <c r="T8" i="2631"/>
  <c r="S8" i="2631"/>
  <c r="R8" i="2631"/>
  <c r="Q8" i="2631"/>
  <c r="P8" i="2631"/>
  <c r="O8" i="2631"/>
  <c r="M8" i="2631"/>
  <c r="L8" i="2631"/>
  <c r="K8" i="2631"/>
  <c r="J8" i="2631"/>
  <c r="I8" i="2631"/>
  <c r="H8" i="2631"/>
  <c r="G8" i="2631"/>
  <c r="F8" i="2631"/>
  <c r="E8" i="2631"/>
  <c r="D8" i="2631"/>
  <c r="C8" i="2631"/>
  <c r="B8" i="2631"/>
  <c r="EA5" i="2631"/>
  <c r="DN5" i="2631"/>
  <c r="DA5" i="2631"/>
  <c r="CN5" i="2631"/>
  <c r="CA5" i="2631"/>
  <c r="BN5" i="2631"/>
  <c r="BA5" i="2631"/>
  <c r="AN5" i="2631"/>
  <c r="AA5" i="2631"/>
  <c r="N5" i="2631"/>
  <c r="EA34" i="2630"/>
  <c r="DN34" i="2630"/>
  <c r="DA34" i="2630"/>
  <c r="CN34" i="2630"/>
  <c r="CA34" i="2630"/>
  <c r="BN34" i="2630"/>
  <c r="BA34" i="2630"/>
  <c r="AN34" i="2630"/>
  <c r="AA34" i="2630"/>
  <c r="N34" i="2630"/>
  <c r="EA33" i="2630"/>
  <c r="DN33" i="2630"/>
  <c r="DA33" i="2630"/>
  <c r="CN33" i="2630"/>
  <c r="CA33" i="2630"/>
  <c r="BN33" i="2630"/>
  <c r="BA33" i="2630"/>
  <c r="AN33" i="2630"/>
  <c r="AA33" i="2630"/>
  <c r="N33" i="2630"/>
  <c r="EA32" i="2630"/>
  <c r="DN32" i="2630"/>
  <c r="DA32" i="2630"/>
  <c r="CN32" i="2630"/>
  <c r="CA32" i="2630"/>
  <c r="BN32" i="2630"/>
  <c r="BA32" i="2630"/>
  <c r="AN32" i="2630"/>
  <c r="AA32" i="2630"/>
  <c r="N32" i="2630"/>
  <c r="EA31" i="2630"/>
  <c r="DN31" i="2630"/>
  <c r="DA31" i="2630"/>
  <c r="CN31" i="2630"/>
  <c r="CA31" i="2630"/>
  <c r="BN31" i="2630"/>
  <c r="BA31" i="2630"/>
  <c r="AN31" i="2630"/>
  <c r="AA31" i="2630"/>
  <c r="N31" i="2630"/>
  <c r="EA30" i="2630"/>
  <c r="DN30" i="2630"/>
  <c r="DA30" i="2630"/>
  <c r="CN30" i="2630"/>
  <c r="CA30" i="2630"/>
  <c r="BN30" i="2630"/>
  <c r="BA30" i="2630"/>
  <c r="AN30" i="2630"/>
  <c r="AA30" i="2630"/>
  <c r="N30" i="2630"/>
  <c r="DZ29" i="2630"/>
  <c r="DY29" i="2630"/>
  <c r="DX29" i="2630"/>
  <c r="DW29" i="2630"/>
  <c r="DV29" i="2630"/>
  <c r="DU29" i="2630"/>
  <c r="DT29" i="2630"/>
  <c r="DS29" i="2630"/>
  <c r="DR29" i="2630"/>
  <c r="DQ29" i="2630"/>
  <c r="DP29" i="2630"/>
  <c r="DO29" i="2630"/>
  <c r="DM29" i="2630"/>
  <c r="DL29" i="2630"/>
  <c r="DK29" i="2630"/>
  <c r="DJ29" i="2630"/>
  <c r="DI29" i="2630"/>
  <c r="DH29" i="2630"/>
  <c r="DG29" i="2630"/>
  <c r="DF29" i="2630"/>
  <c r="DE29" i="2630"/>
  <c r="DD29" i="2630"/>
  <c r="DC29" i="2630"/>
  <c r="DB29" i="2630"/>
  <c r="CZ29" i="2630"/>
  <c r="CY29" i="2630"/>
  <c r="CX29" i="2630"/>
  <c r="CW29" i="2630"/>
  <c r="CV29" i="2630"/>
  <c r="CU29" i="2630"/>
  <c r="CT29" i="2630"/>
  <c r="CS29" i="2630"/>
  <c r="CR29" i="2630"/>
  <c r="CQ29" i="2630"/>
  <c r="CP29" i="2630"/>
  <c r="CO29" i="2630"/>
  <c r="CM29" i="2630"/>
  <c r="CL29" i="2630"/>
  <c r="CK29" i="2630"/>
  <c r="CJ29" i="2630"/>
  <c r="CI29" i="2630"/>
  <c r="CH29" i="2630"/>
  <c r="CG29" i="2630"/>
  <c r="CF29" i="2630"/>
  <c r="CE29" i="2630"/>
  <c r="CD29" i="2630"/>
  <c r="CC29" i="2630"/>
  <c r="CB29" i="2630"/>
  <c r="BZ29" i="2630"/>
  <c r="BY29" i="2630"/>
  <c r="BX29" i="2630"/>
  <c r="BW29" i="2630"/>
  <c r="BV29" i="2630"/>
  <c r="BU29" i="2630"/>
  <c r="BT29" i="2630"/>
  <c r="BS29" i="2630"/>
  <c r="BR29" i="2630"/>
  <c r="BQ29" i="2630"/>
  <c r="BP29" i="2630"/>
  <c r="BO29" i="2630"/>
  <c r="BM29" i="2630"/>
  <c r="BL29" i="2630"/>
  <c r="BK29" i="2630"/>
  <c r="BJ29" i="2630"/>
  <c r="BI29" i="2630"/>
  <c r="BH29" i="2630"/>
  <c r="BG29" i="2630"/>
  <c r="BF29" i="2630"/>
  <c r="BE29" i="2630"/>
  <c r="BD29" i="2630"/>
  <c r="BC29" i="2630"/>
  <c r="BB29" i="2630"/>
  <c r="AZ29" i="2630"/>
  <c r="AY29" i="2630"/>
  <c r="AX29" i="2630"/>
  <c r="AW29" i="2630"/>
  <c r="AV29" i="2630"/>
  <c r="AU29" i="2630"/>
  <c r="AT29" i="2630"/>
  <c r="AS29" i="2630"/>
  <c r="AR29" i="2630"/>
  <c r="AQ29" i="2630"/>
  <c r="AP29" i="2630"/>
  <c r="AO29" i="2630"/>
  <c r="AM29" i="2630"/>
  <c r="AL29" i="2630"/>
  <c r="AK29" i="2630"/>
  <c r="AJ29" i="2630"/>
  <c r="AI29" i="2630"/>
  <c r="AH29" i="2630"/>
  <c r="AG29" i="2630"/>
  <c r="AF29" i="2630"/>
  <c r="AE29" i="2630"/>
  <c r="AD29" i="2630"/>
  <c r="AC29" i="2630"/>
  <c r="AB29" i="2630"/>
  <c r="Z29" i="2630"/>
  <c r="Y29" i="2630"/>
  <c r="X29" i="2630"/>
  <c r="W29" i="2630"/>
  <c r="V29" i="2630"/>
  <c r="U29" i="2630"/>
  <c r="T29" i="2630"/>
  <c r="S29" i="2630"/>
  <c r="R29" i="2630"/>
  <c r="Q29" i="2630"/>
  <c r="P29" i="2630"/>
  <c r="O29" i="2630"/>
  <c r="M29" i="2630"/>
  <c r="L29" i="2630"/>
  <c r="K29" i="2630"/>
  <c r="J29" i="2630"/>
  <c r="I29" i="2630"/>
  <c r="H29" i="2630"/>
  <c r="G29" i="2630"/>
  <c r="F29" i="2630"/>
  <c r="E29" i="2630"/>
  <c r="D29" i="2630"/>
  <c r="C29" i="2630"/>
  <c r="B29" i="2630"/>
  <c r="EA27" i="2630"/>
  <c r="DN27" i="2630"/>
  <c r="DA27" i="2630"/>
  <c r="CN27" i="2630"/>
  <c r="CA27" i="2630"/>
  <c r="BN27" i="2630"/>
  <c r="BA27" i="2630"/>
  <c r="AN27" i="2630"/>
  <c r="AA27" i="2630"/>
  <c r="N27" i="2630"/>
  <c r="EA26" i="2630"/>
  <c r="DN26" i="2630"/>
  <c r="DA26" i="2630"/>
  <c r="CN26" i="2630"/>
  <c r="CA26" i="2630"/>
  <c r="BN26" i="2630"/>
  <c r="BA26" i="2630"/>
  <c r="AN26" i="2630"/>
  <c r="AA26" i="2630"/>
  <c r="N26" i="2630"/>
  <c r="EA25" i="2630"/>
  <c r="DN25" i="2630"/>
  <c r="DA25" i="2630"/>
  <c r="CN25" i="2630"/>
  <c r="CA25" i="2630"/>
  <c r="BN25" i="2630"/>
  <c r="BA25" i="2630"/>
  <c r="AN25" i="2630"/>
  <c r="AA25" i="2630"/>
  <c r="N25" i="2630"/>
  <c r="EA24" i="2630"/>
  <c r="DN24" i="2630"/>
  <c r="DA24" i="2630"/>
  <c r="CN24" i="2630"/>
  <c r="CA24" i="2630"/>
  <c r="BN24" i="2630"/>
  <c r="BA24" i="2630"/>
  <c r="AN24" i="2630"/>
  <c r="AA24" i="2630"/>
  <c r="N24" i="2630"/>
  <c r="EA23" i="2630"/>
  <c r="DN23" i="2630"/>
  <c r="DA23" i="2630"/>
  <c r="CN23" i="2630"/>
  <c r="CA23" i="2630"/>
  <c r="BN23" i="2630"/>
  <c r="BA23" i="2630"/>
  <c r="AN23" i="2630"/>
  <c r="AA23" i="2630"/>
  <c r="N23" i="2630"/>
  <c r="EA22" i="2630"/>
  <c r="DN22" i="2630"/>
  <c r="DA22" i="2630"/>
  <c r="CN22" i="2630"/>
  <c r="CA22" i="2630"/>
  <c r="BN22" i="2630"/>
  <c r="BA22" i="2630"/>
  <c r="AN22" i="2630"/>
  <c r="AA22" i="2630"/>
  <c r="N22" i="2630"/>
  <c r="EA21" i="2630"/>
  <c r="DN21" i="2630"/>
  <c r="DA21" i="2630"/>
  <c r="CN21" i="2630"/>
  <c r="CA21" i="2630"/>
  <c r="BN21" i="2630"/>
  <c r="BA21" i="2630"/>
  <c r="AN21" i="2630"/>
  <c r="AA21" i="2630"/>
  <c r="N21" i="2630"/>
  <c r="EA20" i="2630"/>
  <c r="DN20" i="2630"/>
  <c r="DA20" i="2630"/>
  <c r="CN20" i="2630"/>
  <c r="CA20" i="2630"/>
  <c r="BN20" i="2630"/>
  <c r="BA20" i="2630"/>
  <c r="AN20" i="2630"/>
  <c r="AA20" i="2630"/>
  <c r="N20" i="2630"/>
  <c r="EA19" i="2630"/>
  <c r="DN19" i="2630"/>
  <c r="DA19" i="2630"/>
  <c r="CN19" i="2630"/>
  <c r="CA19" i="2630"/>
  <c r="BN19" i="2630"/>
  <c r="BA19" i="2630"/>
  <c r="AN19" i="2630"/>
  <c r="AA19" i="2630"/>
  <c r="N19" i="2630"/>
  <c r="EA18" i="2630"/>
  <c r="DN18" i="2630"/>
  <c r="DA18" i="2630"/>
  <c r="CN18" i="2630"/>
  <c r="CA18" i="2630"/>
  <c r="BN18" i="2630"/>
  <c r="BA18" i="2630"/>
  <c r="AN18" i="2630"/>
  <c r="AA18" i="2630"/>
  <c r="N18" i="2630"/>
  <c r="EA17" i="2630"/>
  <c r="DN17" i="2630"/>
  <c r="DA17" i="2630"/>
  <c r="CN17" i="2630"/>
  <c r="CA17" i="2630"/>
  <c r="BN17" i="2630"/>
  <c r="BA17" i="2630"/>
  <c r="AN17" i="2630"/>
  <c r="AA17" i="2630"/>
  <c r="N17" i="2630"/>
  <c r="EA16" i="2630"/>
  <c r="DN16" i="2630"/>
  <c r="DA16" i="2630"/>
  <c r="CN16" i="2630"/>
  <c r="CA16" i="2630"/>
  <c r="BN16" i="2630"/>
  <c r="BA16" i="2630"/>
  <c r="AN16" i="2630"/>
  <c r="AA16" i="2630"/>
  <c r="N16" i="2630"/>
  <c r="EA15" i="2630"/>
  <c r="DN15" i="2630"/>
  <c r="DA15" i="2630"/>
  <c r="CN15" i="2630"/>
  <c r="CA15" i="2630"/>
  <c r="BN15" i="2630"/>
  <c r="BA15" i="2630"/>
  <c r="AN15" i="2630"/>
  <c r="AA15" i="2630"/>
  <c r="N15" i="2630"/>
  <c r="EA14" i="2630"/>
  <c r="DN14" i="2630"/>
  <c r="DA14" i="2630"/>
  <c r="CN14" i="2630"/>
  <c r="CA14" i="2630"/>
  <c r="BN14" i="2630"/>
  <c r="BA14" i="2630"/>
  <c r="AN14" i="2630"/>
  <c r="AA14" i="2630"/>
  <c r="N14" i="2630"/>
  <c r="EA13" i="2630"/>
  <c r="DN13" i="2630"/>
  <c r="DA13" i="2630"/>
  <c r="CN13" i="2630"/>
  <c r="CA13" i="2630"/>
  <c r="BN13" i="2630"/>
  <c r="BA13" i="2630"/>
  <c r="AN13" i="2630"/>
  <c r="AA13" i="2630"/>
  <c r="N13" i="2630"/>
  <c r="EA12" i="2630"/>
  <c r="DN12" i="2630"/>
  <c r="DA12" i="2630"/>
  <c r="CN12" i="2630"/>
  <c r="CA12" i="2630"/>
  <c r="BN12" i="2630"/>
  <c r="BA12" i="2630"/>
  <c r="AN12" i="2630"/>
  <c r="AA12" i="2630"/>
  <c r="N12" i="2630"/>
  <c r="EA11" i="2630"/>
  <c r="DN11" i="2630"/>
  <c r="DA11" i="2630"/>
  <c r="CN11" i="2630"/>
  <c r="CA11" i="2630"/>
  <c r="BN11" i="2630"/>
  <c r="BA11" i="2630"/>
  <c r="AN11" i="2630"/>
  <c r="AA11" i="2630"/>
  <c r="N11" i="2630"/>
  <c r="EA10" i="2630"/>
  <c r="DN10" i="2630"/>
  <c r="DA10" i="2630"/>
  <c r="CN10" i="2630"/>
  <c r="CA10" i="2630"/>
  <c r="BN10" i="2630"/>
  <c r="BA10" i="2630"/>
  <c r="AN10" i="2630"/>
  <c r="AA10" i="2630"/>
  <c r="N10" i="2630"/>
  <c r="EA9" i="2630"/>
  <c r="DN9" i="2630"/>
  <c r="DA9" i="2630"/>
  <c r="CN9" i="2630"/>
  <c r="CA9" i="2630"/>
  <c r="BN9" i="2630"/>
  <c r="BA9" i="2630"/>
  <c r="AN9" i="2630"/>
  <c r="AA9" i="2630"/>
  <c r="N9" i="2630"/>
  <c r="EA8" i="2630"/>
  <c r="DN8" i="2630"/>
  <c r="DA8" i="2630"/>
  <c r="CN8" i="2630"/>
  <c r="CA8" i="2630"/>
  <c r="BN8" i="2630"/>
  <c r="BA8" i="2630"/>
  <c r="AN8" i="2630"/>
  <c r="AA8" i="2630"/>
  <c r="N8" i="2630"/>
  <c r="DZ7" i="2630"/>
  <c r="DY7" i="2630"/>
  <c r="DX7" i="2630"/>
  <c r="DW7" i="2630"/>
  <c r="DV7" i="2630"/>
  <c r="DU7" i="2630"/>
  <c r="DT7" i="2630"/>
  <c r="DS7" i="2630"/>
  <c r="DR7" i="2630"/>
  <c r="DQ7" i="2630"/>
  <c r="DP7" i="2630"/>
  <c r="DO7" i="2630"/>
  <c r="DM7" i="2630"/>
  <c r="DL7" i="2630"/>
  <c r="DK7" i="2630"/>
  <c r="DJ7" i="2630"/>
  <c r="DI7" i="2630"/>
  <c r="DH7" i="2630"/>
  <c r="DG7" i="2630"/>
  <c r="DF7" i="2630"/>
  <c r="DE7" i="2630"/>
  <c r="DD7" i="2630"/>
  <c r="DC7" i="2630"/>
  <c r="DB7" i="2630"/>
  <c r="CZ7" i="2630"/>
  <c r="CY7" i="2630"/>
  <c r="CX7" i="2630"/>
  <c r="CW7" i="2630"/>
  <c r="CV7" i="2630"/>
  <c r="CU7" i="2630"/>
  <c r="CT7" i="2630"/>
  <c r="CS7" i="2630"/>
  <c r="CR7" i="2630"/>
  <c r="CQ7" i="2630"/>
  <c r="CP7" i="2630"/>
  <c r="CO7" i="2630"/>
  <c r="CM7" i="2630"/>
  <c r="CL7" i="2630"/>
  <c r="CK7" i="2630"/>
  <c r="CJ7" i="2630"/>
  <c r="CI7" i="2630"/>
  <c r="CH7" i="2630"/>
  <c r="CG7" i="2630"/>
  <c r="CF7" i="2630"/>
  <c r="CE7" i="2630"/>
  <c r="CD7" i="2630"/>
  <c r="CC7" i="2630"/>
  <c r="CB7" i="2630"/>
  <c r="BZ7" i="2630"/>
  <c r="BY7" i="2630"/>
  <c r="BX7" i="2630"/>
  <c r="BW7" i="2630"/>
  <c r="BV7" i="2630"/>
  <c r="BU7" i="2630"/>
  <c r="BT7" i="2630"/>
  <c r="BS7" i="2630"/>
  <c r="BR7" i="2630"/>
  <c r="BQ7" i="2630"/>
  <c r="BP7" i="2630"/>
  <c r="BO7" i="2630"/>
  <c r="BM7" i="2630"/>
  <c r="BL7" i="2630"/>
  <c r="BK7" i="2630"/>
  <c r="BJ7" i="2630"/>
  <c r="BI7" i="2630"/>
  <c r="BH7" i="2630"/>
  <c r="BG7" i="2630"/>
  <c r="BF7" i="2630"/>
  <c r="BE7" i="2630"/>
  <c r="BD7" i="2630"/>
  <c r="BC7" i="2630"/>
  <c r="BB7" i="2630"/>
  <c r="AZ7" i="2630"/>
  <c r="AY7" i="2630"/>
  <c r="AX7" i="2630"/>
  <c r="AW7" i="2630"/>
  <c r="AV7" i="2630"/>
  <c r="AU7" i="2630"/>
  <c r="AT7" i="2630"/>
  <c r="AS7" i="2630"/>
  <c r="AR7" i="2630"/>
  <c r="AQ7" i="2630"/>
  <c r="AP7" i="2630"/>
  <c r="AO7" i="2630"/>
  <c r="AM7" i="2630"/>
  <c r="AL7" i="2630"/>
  <c r="AK7" i="2630"/>
  <c r="AJ7" i="2630"/>
  <c r="AI7" i="2630"/>
  <c r="AH7" i="2630"/>
  <c r="AG7" i="2630"/>
  <c r="AF7" i="2630"/>
  <c r="AE7" i="2630"/>
  <c r="AD7" i="2630"/>
  <c r="AC7" i="2630"/>
  <c r="AB7" i="2630"/>
  <c r="Z7" i="2630"/>
  <c r="Y7" i="2630"/>
  <c r="X7" i="2630"/>
  <c r="W7" i="2630"/>
  <c r="V7" i="2630"/>
  <c r="U7" i="2630"/>
  <c r="T7" i="2630"/>
  <c r="S7" i="2630"/>
  <c r="R7" i="2630"/>
  <c r="Q7" i="2630"/>
  <c r="P7" i="2630"/>
  <c r="O7" i="2630"/>
  <c r="M7" i="2630"/>
  <c r="L7" i="2630"/>
  <c r="K7" i="2630"/>
  <c r="J7" i="2630"/>
  <c r="I7" i="2630"/>
  <c r="H7" i="2630"/>
  <c r="G7" i="2630"/>
  <c r="F7" i="2630"/>
  <c r="E7" i="2630"/>
  <c r="D7" i="2630"/>
  <c r="C7" i="2630"/>
  <c r="B7" i="2630"/>
  <c r="EA5" i="2630"/>
  <c r="DN5" i="2630"/>
  <c r="DA5" i="2630"/>
  <c r="CN5" i="2630"/>
  <c r="CA5" i="2630"/>
  <c r="BN5" i="2630"/>
  <c r="BA5" i="2630"/>
  <c r="AN5" i="2630"/>
  <c r="AA5" i="2630"/>
  <c r="N5" i="2630"/>
  <c r="DZ68" i="2629"/>
  <c r="DY68" i="2629"/>
  <c r="DX68" i="2629"/>
  <c r="DW68" i="2629"/>
  <c r="DV68" i="2629"/>
  <c r="DU68" i="2629"/>
  <c r="DT68" i="2629"/>
  <c r="DS68" i="2629"/>
  <c r="DR68" i="2629"/>
  <c r="DQ68" i="2629"/>
  <c r="DP68" i="2629"/>
  <c r="DO68" i="2629"/>
  <c r="DM68" i="2629"/>
  <c r="DL68" i="2629"/>
  <c r="DK68" i="2629"/>
  <c r="DJ68" i="2629"/>
  <c r="DI68" i="2629"/>
  <c r="DH68" i="2629"/>
  <c r="DG68" i="2629"/>
  <c r="DF68" i="2629"/>
  <c r="DE68" i="2629"/>
  <c r="DD68" i="2629"/>
  <c r="DC68" i="2629"/>
  <c r="DB68" i="2629"/>
  <c r="CZ68" i="2629"/>
  <c r="CY68" i="2629"/>
  <c r="CX68" i="2629"/>
  <c r="CW68" i="2629"/>
  <c r="CV68" i="2629"/>
  <c r="CU68" i="2629"/>
  <c r="CT68" i="2629"/>
  <c r="CS68" i="2629"/>
  <c r="CR68" i="2629"/>
  <c r="CQ68" i="2629"/>
  <c r="CP68" i="2629"/>
  <c r="CO68" i="2629"/>
  <c r="CM68" i="2629"/>
  <c r="CL68" i="2629"/>
  <c r="CK68" i="2629"/>
  <c r="CJ68" i="2629"/>
  <c r="CI68" i="2629"/>
  <c r="CH68" i="2629"/>
  <c r="CG68" i="2629"/>
  <c r="CF68" i="2629"/>
  <c r="CE68" i="2629"/>
  <c r="CD68" i="2629"/>
  <c r="CC68" i="2629"/>
  <c r="CB68" i="2629"/>
  <c r="BZ68" i="2629"/>
  <c r="BY68" i="2629"/>
  <c r="BX68" i="2629"/>
  <c r="BW68" i="2629"/>
  <c r="BV68" i="2629"/>
  <c r="BU68" i="2629"/>
  <c r="BT68" i="2629"/>
  <c r="BS68" i="2629"/>
  <c r="BR68" i="2629"/>
  <c r="BQ68" i="2629"/>
  <c r="BP68" i="2629"/>
  <c r="BO68" i="2629"/>
  <c r="BM68" i="2629"/>
  <c r="BL68" i="2629"/>
  <c r="BK68" i="2629"/>
  <c r="BJ68" i="2629"/>
  <c r="BI68" i="2629"/>
  <c r="BH68" i="2629"/>
  <c r="BG68" i="2629"/>
  <c r="BF68" i="2629"/>
  <c r="BE68" i="2629"/>
  <c r="BD68" i="2629"/>
  <c r="BC68" i="2629"/>
  <c r="BB68" i="2629"/>
  <c r="AZ68" i="2629"/>
  <c r="AY68" i="2629"/>
  <c r="AX68" i="2629"/>
  <c r="AW68" i="2629"/>
  <c r="AV68" i="2629"/>
  <c r="AU68" i="2629"/>
  <c r="AT68" i="2629"/>
  <c r="AS68" i="2629"/>
  <c r="AR68" i="2629"/>
  <c r="AQ68" i="2629"/>
  <c r="AP68" i="2629"/>
  <c r="AO68" i="2629"/>
  <c r="AM68" i="2629"/>
  <c r="AL68" i="2629"/>
  <c r="AK68" i="2629"/>
  <c r="AJ68" i="2629"/>
  <c r="AI68" i="2629"/>
  <c r="AH68" i="2629"/>
  <c r="AG68" i="2629"/>
  <c r="AF68" i="2629"/>
  <c r="AE68" i="2629"/>
  <c r="AD68" i="2629"/>
  <c r="AC68" i="2629"/>
  <c r="AB68" i="2629"/>
  <c r="Z68" i="2629"/>
  <c r="Y68" i="2629"/>
  <c r="X68" i="2629"/>
  <c r="W68" i="2629"/>
  <c r="V68" i="2629"/>
  <c r="U68" i="2629"/>
  <c r="T68" i="2629"/>
  <c r="S68" i="2629"/>
  <c r="R68" i="2629"/>
  <c r="Q68" i="2629"/>
  <c r="P68" i="2629"/>
  <c r="O68" i="2629"/>
  <c r="M68" i="2629"/>
  <c r="L68" i="2629"/>
  <c r="K68" i="2629"/>
  <c r="J68" i="2629"/>
  <c r="I68" i="2629"/>
  <c r="H68" i="2629"/>
  <c r="G68" i="2629"/>
  <c r="F68" i="2629"/>
  <c r="E68" i="2629"/>
  <c r="D68" i="2629"/>
  <c r="C68" i="2629"/>
  <c r="DN64" i="2629"/>
  <c r="EA63" i="2629"/>
  <c r="DN63" i="2629"/>
  <c r="DN51" i="2629"/>
  <c r="DA51" i="2629"/>
  <c r="BA51" i="2629"/>
  <c r="AN51" i="2629"/>
  <c r="EA39" i="2629"/>
  <c r="DN39" i="2629"/>
  <c r="DA39" i="2629"/>
  <c r="CN39" i="2629"/>
  <c r="CA39" i="2629"/>
  <c r="BN39" i="2629"/>
  <c r="BA39" i="2629"/>
  <c r="AN39" i="2629"/>
  <c r="AA39" i="2629"/>
  <c r="N39" i="2629"/>
  <c r="DZ34" i="2629"/>
  <c r="DY34" i="2629"/>
  <c r="DX34" i="2629"/>
  <c r="DW34" i="2629"/>
  <c r="DV34" i="2629"/>
  <c r="DU34" i="2629"/>
  <c r="DT34" i="2629"/>
  <c r="DS34" i="2629"/>
  <c r="DR34" i="2629"/>
  <c r="DQ34" i="2629"/>
  <c r="DP34" i="2629"/>
  <c r="DO34" i="2629"/>
  <c r="DM34" i="2629"/>
  <c r="DL34" i="2629"/>
  <c r="DK34" i="2629"/>
  <c r="DJ34" i="2629"/>
  <c r="DI34" i="2629"/>
  <c r="DH34" i="2629"/>
  <c r="DG34" i="2629"/>
  <c r="DF34" i="2629"/>
  <c r="DE34" i="2629"/>
  <c r="DD34" i="2629"/>
  <c r="DC34" i="2629"/>
  <c r="DB34" i="2629"/>
  <c r="CZ34" i="2629"/>
  <c r="CY34" i="2629"/>
  <c r="CX34" i="2629"/>
  <c r="CW34" i="2629"/>
  <c r="CV34" i="2629"/>
  <c r="CU34" i="2629"/>
  <c r="CT34" i="2629"/>
  <c r="CS34" i="2629"/>
  <c r="CR34" i="2629"/>
  <c r="CQ34" i="2629"/>
  <c r="CP34" i="2629"/>
  <c r="CO34" i="2629"/>
  <c r="CM34" i="2629"/>
  <c r="CL34" i="2629"/>
  <c r="CK34" i="2629"/>
  <c r="CJ34" i="2629"/>
  <c r="CI34" i="2629"/>
  <c r="CH34" i="2629"/>
  <c r="CG34" i="2629"/>
  <c r="CF34" i="2629"/>
  <c r="CE34" i="2629"/>
  <c r="CD34" i="2629"/>
  <c r="CC34" i="2629"/>
  <c r="CB34" i="2629"/>
  <c r="BZ34" i="2629"/>
  <c r="BY34" i="2629"/>
  <c r="BX34" i="2629"/>
  <c r="BW34" i="2629"/>
  <c r="BV34" i="2629"/>
  <c r="BU34" i="2629"/>
  <c r="BT34" i="2629"/>
  <c r="BS34" i="2629"/>
  <c r="BR34" i="2629"/>
  <c r="BQ34" i="2629"/>
  <c r="BP34" i="2629"/>
  <c r="BO34" i="2629"/>
  <c r="BM34" i="2629"/>
  <c r="BL34" i="2629"/>
  <c r="BK34" i="2629"/>
  <c r="BJ34" i="2629"/>
  <c r="BI34" i="2629"/>
  <c r="BH34" i="2629"/>
  <c r="BG34" i="2629"/>
  <c r="BF34" i="2629"/>
  <c r="BE34" i="2629"/>
  <c r="BD34" i="2629"/>
  <c r="BC34" i="2629"/>
  <c r="BB34" i="2629"/>
  <c r="AZ34" i="2629"/>
  <c r="AY34" i="2629"/>
  <c r="AX34" i="2629"/>
  <c r="AW34" i="2629"/>
  <c r="AV34" i="2629"/>
  <c r="AU34" i="2629"/>
  <c r="AT34" i="2629"/>
  <c r="AS34" i="2629"/>
  <c r="AR34" i="2629"/>
  <c r="AQ34" i="2629"/>
  <c r="AP34" i="2629"/>
  <c r="AO34" i="2629"/>
  <c r="AM34" i="2629"/>
  <c r="AL34" i="2629"/>
  <c r="AK34" i="2629"/>
  <c r="AJ34" i="2629"/>
  <c r="EA30" i="2629"/>
  <c r="DN30" i="2629"/>
  <c r="EA29" i="2629"/>
  <c r="DN29" i="2629"/>
  <c r="EA28" i="2629"/>
  <c r="DN28" i="2629"/>
  <c r="DA28" i="2629"/>
  <c r="CN28" i="2629"/>
  <c r="CA28" i="2629"/>
  <c r="BN28" i="2629"/>
  <c r="BA28" i="2629"/>
  <c r="AN28" i="2629"/>
  <c r="AA28" i="2629"/>
  <c r="N28" i="2629"/>
  <c r="EA27" i="2629"/>
  <c r="DN27" i="2629"/>
  <c r="DA27" i="2629"/>
  <c r="CN27" i="2629"/>
  <c r="CA27" i="2629"/>
  <c r="BN27" i="2629"/>
  <c r="BA27" i="2629"/>
  <c r="AN27" i="2629"/>
  <c r="AA27" i="2629"/>
  <c r="N27" i="2629"/>
  <c r="EA26" i="2629"/>
  <c r="DN26" i="2629"/>
  <c r="DA26" i="2629"/>
  <c r="CN26" i="2629"/>
  <c r="CA26" i="2629"/>
  <c r="BN26" i="2629"/>
  <c r="BA26" i="2629"/>
  <c r="AN26" i="2629"/>
  <c r="AA26" i="2629"/>
  <c r="N26" i="2629"/>
  <c r="EA25" i="2629"/>
  <c r="DN25" i="2629"/>
  <c r="DA25" i="2629"/>
  <c r="CN25" i="2629"/>
  <c r="CA25" i="2629"/>
  <c r="BN25" i="2629"/>
  <c r="BA25" i="2629"/>
  <c r="AN25" i="2629"/>
  <c r="AA25" i="2629"/>
  <c r="N25" i="2629"/>
  <c r="EA24" i="2629"/>
  <c r="DN24" i="2629"/>
  <c r="DA24" i="2629"/>
  <c r="CN24" i="2629"/>
  <c r="CA24" i="2629"/>
  <c r="BN24" i="2629"/>
  <c r="BA24" i="2629"/>
  <c r="AN24" i="2629"/>
  <c r="AA24" i="2629"/>
  <c r="N24" i="2629"/>
  <c r="DZ23" i="2629"/>
  <c r="DZ57" i="2629" s="1"/>
  <c r="DY23" i="2629"/>
  <c r="DY57" i="2629" s="1"/>
  <c r="DX23" i="2629"/>
  <c r="DX57" i="2629" s="1"/>
  <c r="DW23" i="2629"/>
  <c r="DW57" i="2629" s="1"/>
  <c r="DV23" i="2629"/>
  <c r="DV57" i="2629" s="1"/>
  <c r="DU23" i="2629"/>
  <c r="DU57" i="2629" s="1"/>
  <c r="DT23" i="2629"/>
  <c r="DT57" i="2629" s="1"/>
  <c r="DS23" i="2629"/>
  <c r="DS57" i="2629" s="1"/>
  <c r="DR23" i="2629"/>
  <c r="DR57" i="2629" s="1"/>
  <c r="DQ23" i="2629"/>
  <c r="DQ57" i="2629" s="1"/>
  <c r="DP23" i="2629"/>
  <c r="DP57" i="2629" s="1"/>
  <c r="DO23" i="2629"/>
  <c r="DO57" i="2629" s="1"/>
  <c r="DM23" i="2629"/>
  <c r="DM57" i="2629" s="1"/>
  <c r="DL23" i="2629"/>
  <c r="DL57" i="2629" s="1"/>
  <c r="DK23" i="2629"/>
  <c r="DK57" i="2629" s="1"/>
  <c r="DJ23" i="2629"/>
  <c r="DJ57" i="2629" s="1"/>
  <c r="DI23" i="2629"/>
  <c r="DI57" i="2629" s="1"/>
  <c r="DH23" i="2629"/>
  <c r="DH57" i="2629" s="1"/>
  <c r="DG23" i="2629"/>
  <c r="DG57" i="2629" s="1"/>
  <c r="DF23" i="2629"/>
  <c r="DF57" i="2629" s="1"/>
  <c r="DE23" i="2629"/>
  <c r="DE57" i="2629" s="1"/>
  <c r="DD23" i="2629"/>
  <c r="DD57" i="2629" s="1"/>
  <c r="DC23" i="2629"/>
  <c r="DC57" i="2629" s="1"/>
  <c r="DB23" i="2629"/>
  <c r="DB57" i="2629" s="1"/>
  <c r="CZ23" i="2629"/>
  <c r="CZ57" i="2629" s="1"/>
  <c r="CY23" i="2629"/>
  <c r="CY57" i="2629" s="1"/>
  <c r="CX23" i="2629"/>
  <c r="CX57" i="2629" s="1"/>
  <c r="CW23" i="2629"/>
  <c r="CW57" i="2629" s="1"/>
  <c r="CV23" i="2629"/>
  <c r="CV57" i="2629" s="1"/>
  <c r="CU23" i="2629"/>
  <c r="CU57" i="2629" s="1"/>
  <c r="CT23" i="2629"/>
  <c r="CT57" i="2629" s="1"/>
  <c r="CS23" i="2629"/>
  <c r="CS57" i="2629" s="1"/>
  <c r="CR23" i="2629"/>
  <c r="CR57" i="2629" s="1"/>
  <c r="CQ23" i="2629"/>
  <c r="CQ57" i="2629" s="1"/>
  <c r="CP23" i="2629"/>
  <c r="CP57" i="2629" s="1"/>
  <c r="CO23" i="2629"/>
  <c r="CO57" i="2629" s="1"/>
  <c r="CM23" i="2629"/>
  <c r="CM57" i="2629" s="1"/>
  <c r="CL23" i="2629"/>
  <c r="CL57" i="2629" s="1"/>
  <c r="CK23" i="2629"/>
  <c r="CK57" i="2629" s="1"/>
  <c r="CJ23" i="2629"/>
  <c r="CJ57" i="2629" s="1"/>
  <c r="CI23" i="2629"/>
  <c r="CI57" i="2629" s="1"/>
  <c r="CH23" i="2629"/>
  <c r="CH57" i="2629" s="1"/>
  <c r="CG23" i="2629"/>
  <c r="CG57" i="2629" s="1"/>
  <c r="CF23" i="2629"/>
  <c r="CF57" i="2629" s="1"/>
  <c r="CE23" i="2629"/>
  <c r="CE57" i="2629" s="1"/>
  <c r="CD23" i="2629"/>
  <c r="CD57" i="2629" s="1"/>
  <c r="CC23" i="2629"/>
  <c r="CC57" i="2629" s="1"/>
  <c r="CB23" i="2629"/>
  <c r="CB57" i="2629" s="1"/>
  <c r="BZ23" i="2629"/>
  <c r="BZ57" i="2629" s="1"/>
  <c r="BY23" i="2629"/>
  <c r="BY57" i="2629" s="1"/>
  <c r="BX23" i="2629"/>
  <c r="BX57" i="2629" s="1"/>
  <c r="BW23" i="2629"/>
  <c r="BW57" i="2629" s="1"/>
  <c r="BV23" i="2629"/>
  <c r="BV57" i="2629" s="1"/>
  <c r="BU23" i="2629"/>
  <c r="BU57" i="2629" s="1"/>
  <c r="BT23" i="2629"/>
  <c r="BT57" i="2629" s="1"/>
  <c r="BS23" i="2629"/>
  <c r="BS57" i="2629" s="1"/>
  <c r="BR23" i="2629"/>
  <c r="BR57" i="2629" s="1"/>
  <c r="BQ23" i="2629"/>
  <c r="BQ57" i="2629" s="1"/>
  <c r="BP23" i="2629"/>
  <c r="BP57" i="2629" s="1"/>
  <c r="BO23" i="2629"/>
  <c r="BO57" i="2629" s="1"/>
  <c r="BM23" i="2629"/>
  <c r="BM57" i="2629" s="1"/>
  <c r="BL23" i="2629"/>
  <c r="BL57" i="2629" s="1"/>
  <c r="BK23" i="2629"/>
  <c r="BK57" i="2629" s="1"/>
  <c r="BJ23" i="2629"/>
  <c r="BJ57" i="2629" s="1"/>
  <c r="BI23" i="2629"/>
  <c r="BI57" i="2629" s="1"/>
  <c r="BH23" i="2629"/>
  <c r="BH57" i="2629" s="1"/>
  <c r="BG23" i="2629"/>
  <c r="BG57" i="2629" s="1"/>
  <c r="BF23" i="2629"/>
  <c r="BF57" i="2629" s="1"/>
  <c r="BE23" i="2629"/>
  <c r="BE57" i="2629" s="1"/>
  <c r="BD23" i="2629"/>
  <c r="BD57" i="2629" s="1"/>
  <c r="BC23" i="2629"/>
  <c r="BC57" i="2629" s="1"/>
  <c r="BB23" i="2629"/>
  <c r="BB57" i="2629" s="1"/>
  <c r="AZ23" i="2629"/>
  <c r="AZ57" i="2629" s="1"/>
  <c r="AY23" i="2629"/>
  <c r="AY57" i="2629" s="1"/>
  <c r="AX23" i="2629"/>
  <c r="AX57" i="2629" s="1"/>
  <c r="AW23" i="2629"/>
  <c r="AW57" i="2629" s="1"/>
  <c r="AV23" i="2629"/>
  <c r="AV57" i="2629" s="1"/>
  <c r="AU23" i="2629"/>
  <c r="AU57" i="2629" s="1"/>
  <c r="AT23" i="2629"/>
  <c r="AT57" i="2629" s="1"/>
  <c r="AS23" i="2629"/>
  <c r="AS57" i="2629" s="1"/>
  <c r="AR23" i="2629"/>
  <c r="AR57" i="2629" s="1"/>
  <c r="AQ23" i="2629"/>
  <c r="AQ57" i="2629" s="1"/>
  <c r="AP23" i="2629"/>
  <c r="AP57" i="2629" s="1"/>
  <c r="AO23" i="2629"/>
  <c r="AO57" i="2629" s="1"/>
  <c r="AM23" i="2629"/>
  <c r="AM57" i="2629" s="1"/>
  <c r="AL23" i="2629"/>
  <c r="AL57" i="2629" s="1"/>
  <c r="AK23" i="2629"/>
  <c r="AK57" i="2629" s="1"/>
  <c r="AJ23" i="2629"/>
  <c r="AJ57" i="2629" s="1"/>
  <c r="AI23" i="2629"/>
  <c r="AI57" i="2629" s="1"/>
  <c r="AH23" i="2629"/>
  <c r="AH57" i="2629" s="1"/>
  <c r="AG23" i="2629"/>
  <c r="AG57" i="2629" s="1"/>
  <c r="AF23" i="2629"/>
  <c r="AF57" i="2629" s="1"/>
  <c r="AE23" i="2629"/>
  <c r="AE57" i="2629" s="1"/>
  <c r="AD23" i="2629"/>
  <c r="AD57" i="2629" s="1"/>
  <c r="AC23" i="2629"/>
  <c r="AC57" i="2629" s="1"/>
  <c r="AB23" i="2629"/>
  <c r="AB57" i="2629" s="1"/>
  <c r="Z23" i="2629"/>
  <c r="Z57" i="2629" s="1"/>
  <c r="Y23" i="2629"/>
  <c r="Y57" i="2629" s="1"/>
  <c r="X23" i="2629"/>
  <c r="X57" i="2629" s="1"/>
  <c r="W23" i="2629"/>
  <c r="W57" i="2629" s="1"/>
  <c r="V23" i="2629"/>
  <c r="V57" i="2629" s="1"/>
  <c r="U23" i="2629"/>
  <c r="U57" i="2629" s="1"/>
  <c r="T23" i="2629"/>
  <c r="T57" i="2629" s="1"/>
  <c r="S23" i="2629"/>
  <c r="S57" i="2629" s="1"/>
  <c r="R23" i="2629"/>
  <c r="R57" i="2629" s="1"/>
  <c r="Q23" i="2629"/>
  <c r="Q57" i="2629" s="1"/>
  <c r="P23" i="2629"/>
  <c r="P57" i="2629" s="1"/>
  <c r="O23" i="2629"/>
  <c r="O57" i="2629" s="1"/>
  <c r="M23" i="2629"/>
  <c r="M57" i="2629" s="1"/>
  <c r="L23" i="2629"/>
  <c r="L57" i="2629" s="1"/>
  <c r="K23" i="2629"/>
  <c r="K57" i="2629" s="1"/>
  <c r="J23" i="2629"/>
  <c r="J57" i="2629" s="1"/>
  <c r="I23" i="2629"/>
  <c r="I57" i="2629" s="1"/>
  <c r="H23" i="2629"/>
  <c r="H57" i="2629" s="1"/>
  <c r="G23" i="2629"/>
  <c r="G57" i="2629" s="1"/>
  <c r="F23" i="2629"/>
  <c r="F57" i="2629" s="1"/>
  <c r="E23" i="2629"/>
  <c r="E57" i="2629" s="1"/>
  <c r="D23" i="2629"/>
  <c r="D57" i="2629" s="1"/>
  <c r="C23" i="2629"/>
  <c r="C57" i="2629" s="1"/>
  <c r="B23" i="2629"/>
  <c r="B57" i="2629" s="1"/>
  <c r="DN21" i="2629"/>
  <c r="DO21" i="2629" s="1"/>
  <c r="DO55" i="2629" s="1"/>
  <c r="DA21" i="2629"/>
  <c r="CN21" i="2629"/>
  <c r="CA21" i="2629"/>
  <c r="BN21" i="2629"/>
  <c r="BA21" i="2629"/>
  <c r="AN21" i="2629"/>
  <c r="AA21" i="2629"/>
  <c r="N21" i="2629"/>
  <c r="DN20" i="2629"/>
  <c r="DA20" i="2629"/>
  <c r="CN20" i="2629"/>
  <c r="CA20" i="2629"/>
  <c r="BN20" i="2629"/>
  <c r="BA20" i="2629"/>
  <c r="AN20" i="2629"/>
  <c r="AA20" i="2629"/>
  <c r="N20" i="2629"/>
  <c r="DN19" i="2629"/>
  <c r="DA19" i="2629"/>
  <c r="CN19" i="2629"/>
  <c r="CA19" i="2629"/>
  <c r="BN19" i="2629"/>
  <c r="BA19" i="2629"/>
  <c r="AN19" i="2629"/>
  <c r="Z19" i="2629"/>
  <c r="Z53" i="2629" s="1"/>
  <c r="Y19" i="2629"/>
  <c r="Y53" i="2629" s="1"/>
  <c r="X19" i="2629"/>
  <c r="X53" i="2629" s="1"/>
  <c r="W19" i="2629"/>
  <c r="W53" i="2629" s="1"/>
  <c r="V19" i="2629"/>
  <c r="V53" i="2629" s="1"/>
  <c r="U19" i="2629"/>
  <c r="U53" i="2629" s="1"/>
  <c r="T19" i="2629"/>
  <c r="T53" i="2629" s="1"/>
  <c r="S19" i="2629"/>
  <c r="S53" i="2629" s="1"/>
  <c r="R19" i="2629"/>
  <c r="R53" i="2629" s="1"/>
  <c r="Q19" i="2629"/>
  <c r="Q53" i="2629" s="1"/>
  <c r="P19" i="2629"/>
  <c r="P53" i="2629" s="1"/>
  <c r="O19" i="2629"/>
  <c r="O53" i="2629" s="1"/>
  <c r="M19" i="2629"/>
  <c r="M53" i="2629" s="1"/>
  <c r="L19" i="2629"/>
  <c r="L53" i="2629" s="1"/>
  <c r="K19" i="2629"/>
  <c r="K53" i="2629" s="1"/>
  <c r="J19" i="2629"/>
  <c r="J53" i="2629" s="1"/>
  <c r="I19" i="2629"/>
  <c r="I53" i="2629" s="1"/>
  <c r="H19" i="2629"/>
  <c r="H53" i="2629" s="1"/>
  <c r="G19" i="2629"/>
  <c r="G53" i="2629" s="1"/>
  <c r="F19" i="2629"/>
  <c r="F53" i="2629" s="1"/>
  <c r="E19" i="2629"/>
  <c r="E53" i="2629" s="1"/>
  <c r="D19" i="2629"/>
  <c r="D53" i="2629" s="1"/>
  <c r="C19" i="2629"/>
  <c r="C53" i="2629" s="1"/>
  <c r="B19" i="2629"/>
  <c r="B53" i="2629" s="1"/>
  <c r="EA18" i="2629"/>
  <c r="DN18" i="2629"/>
  <c r="DA18" i="2629"/>
  <c r="CN18" i="2629"/>
  <c r="CA18" i="2629"/>
  <c r="BN18" i="2629"/>
  <c r="BA18" i="2629"/>
  <c r="AN18" i="2629"/>
  <c r="AA18" i="2629"/>
  <c r="N18" i="2629"/>
  <c r="EA17" i="2629"/>
  <c r="DN17" i="2629"/>
  <c r="DA17" i="2629"/>
  <c r="CN17" i="2629"/>
  <c r="CA17" i="2629"/>
  <c r="BN17" i="2629"/>
  <c r="BA17" i="2629"/>
  <c r="AN17" i="2629"/>
  <c r="AA17" i="2629"/>
  <c r="N17" i="2629"/>
  <c r="EA16" i="2629"/>
  <c r="DN16" i="2629"/>
  <c r="DA16" i="2629"/>
  <c r="CN16" i="2629"/>
  <c r="CA16" i="2629"/>
  <c r="BN16" i="2629"/>
  <c r="BA16" i="2629"/>
  <c r="AN16" i="2629"/>
  <c r="AA16" i="2629"/>
  <c r="N16" i="2629"/>
  <c r="EA15" i="2629"/>
  <c r="DN15" i="2629"/>
  <c r="DA15" i="2629"/>
  <c r="CN15" i="2629"/>
  <c r="CA15" i="2629"/>
  <c r="BN15" i="2629"/>
  <c r="BA15" i="2629"/>
  <c r="AN15" i="2629"/>
  <c r="AA15" i="2629"/>
  <c r="N15" i="2629"/>
  <c r="DZ14" i="2629"/>
  <c r="DZ48" i="2629" s="1"/>
  <c r="DY14" i="2629"/>
  <c r="DX14" i="2629"/>
  <c r="DW14" i="2629"/>
  <c r="DV14" i="2629"/>
  <c r="DU14" i="2629"/>
  <c r="DT14" i="2629"/>
  <c r="DS14" i="2629"/>
  <c r="DS48" i="2629" s="1"/>
  <c r="DR14" i="2629"/>
  <c r="DQ14" i="2629"/>
  <c r="DP14" i="2629"/>
  <c r="DO14" i="2629"/>
  <c r="DO48" i="2629" s="1"/>
  <c r="DM14" i="2629"/>
  <c r="DM48" i="2629" s="1"/>
  <c r="DL14" i="2629"/>
  <c r="DL48" i="2629" s="1"/>
  <c r="DK14" i="2629"/>
  <c r="DK48" i="2629" s="1"/>
  <c r="DJ14" i="2629"/>
  <c r="DI14" i="2629"/>
  <c r="DH14" i="2629"/>
  <c r="DG14" i="2629"/>
  <c r="DG48" i="2629" s="1"/>
  <c r="DF14" i="2629"/>
  <c r="DE14" i="2629"/>
  <c r="DD14" i="2629"/>
  <c r="DC14" i="2629"/>
  <c r="DB14" i="2629"/>
  <c r="CZ14" i="2629"/>
  <c r="CY14" i="2629"/>
  <c r="CX14" i="2629"/>
  <c r="CW14" i="2629"/>
  <c r="CV14" i="2629"/>
  <c r="CU14" i="2629"/>
  <c r="CT14" i="2629"/>
  <c r="CS14" i="2629"/>
  <c r="CR14" i="2629"/>
  <c r="CQ14" i="2629"/>
  <c r="CP14" i="2629"/>
  <c r="CO14" i="2629"/>
  <c r="CO48" i="2629" s="1"/>
  <c r="CM14" i="2629"/>
  <c r="CL14" i="2629"/>
  <c r="CK14" i="2629"/>
  <c r="CJ14" i="2629"/>
  <c r="CI14" i="2629"/>
  <c r="CH14" i="2629"/>
  <c r="CG14" i="2629"/>
  <c r="CF14" i="2629"/>
  <c r="CE14" i="2629"/>
  <c r="CD14" i="2629"/>
  <c r="CC14" i="2629"/>
  <c r="CB14" i="2629"/>
  <c r="CB48" i="2629" s="1"/>
  <c r="BZ14" i="2629"/>
  <c r="BY14" i="2629"/>
  <c r="BX14" i="2629"/>
  <c r="BW14" i="2629"/>
  <c r="BV14" i="2629"/>
  <c r="BU14" i="2629"/>
  <c r="BU48" i="2629" s="1"/>
  <c r="BT14" i="2629"/>
  <c r="BT48" i="2629" s="1"/>
  <c r="BS14" i="2629"/>
  <c r="BR14" i="2629"/>
  <c r="BQ14" i="2629"/>
  <c r="BP14" i="2629"/>
  <c r="BO14" i="2629"/>
  <c r="BO48" i="2629" s="1"/>
  <c r="BM14" i="2629"/>
  <c r="BL14" i="2629"/>
  <c r="BK14" i="2629"/>
  <c r="BJ14" i="2629"/>
  <c r="BI14" i="2629"/>
  <c r="BH14" i="2629"/>
  <c r="BG14" i="2629"/>
  <c r="BG48" i="2629" s="1"/>
  <c r="BF14" i="2629"/>
  <c r="BE14" i="2629"/>
  <c r="BE48" i="2629" s="1"/>
  <c r="BD14" i="2629"/>
  <c r="BC14" i="2629"/>
  <c r="BB14" i="2629"/>
  <c r="AZ14" i="2629"/>
  <c r="AY14" i="2629"/>
  <c r="AX14" i="2629"/>
  <c r="AW14" i="2629"/>
  <c r="AV14" i="2629"/>
  <c r="AU14" i="2629"/>
  <c r="AT14" i="2629"/>
  <c r="AS14" i="2629"/>
  <c r="AR14" i="2629"/>
  <c r="AQ14" i="2629"/>
  <c r="AQ48" i="2629" s="1"/>
  <c r="AP14" i="2629"/>
  <c r="AO14" i="2629"/>
  <c r="AM14" i="2629"/>
  <c r="AM48" i="2629" s="1"/>
  <c r="AL14" i="2629"/>
  <c r="AK14" i="2629"/>
  <c r="AJ14" i="2629"/>
  <c r="AJ48" i="2629" s="1"/>
  <c r="AI14" i="2629"/>
  <c r="AH14" i="2629"/>
  <c r="AG14" i="2629"/>
  <c r="AF14" i="2629"/>
  <c r="AE14" i="2629"/>
  <c r="AD14" i="2629"/>
  <c r="AC14" i="2629"/>
  <c r="AB14" i="2629"/>
  <c r="AB48" i="2629" s="1"/>
  <c r="Z14" i="2629"/>
  <c r="Y14" i="2629"/>
  <c r="X14" i="2629"/>
  <c r="X48" i="2629" s="1"/>
  <c r="W14" i="2629"/>
  <c r="V14" i="2629"/>
  <c r="U14" i="2629"/>
  <c r="T14" i="2629"/>
  <c r="S14" i="2629"/>
  <c r="R14" i="2629"/>
  <c r="Q14" i="2629"/>
  <c r="P14" i="2629"/>
  <c r="O14" i="2629"/>
  <c r="M14" i="2629"/>
  <c r="L14" i="2629"/>
  <c r="K14" i="2629"/>
  <c r="J14" i="2629"/>
  <c r="I14" i="2629"/>
  <c r="H14" i="2629"/>
  <c r="G14" i="2629"/>
  <c r="F14" i="2629"/>
  <c r="E14" i="2629"/>
  <c r="D14" i="2629"/>
  <c r="C14" i="2629"/>
  <c r="B14" i="2629"/>
  <c r="EA13" i="2629"/>
  <c r="DN13" i="2629"/>
  <c r="DA13" i="2629"/>
  <c r="CN13" i="2629"/>
  <c r="CA13" i="2629"/>
  <c r="BN13" i="2629"/>
  <c r="BA13" i="2629"/>
  <c r="AN13" i="2629"/>
  <c r="AA13" i="2629"/>
  <c r="N13" i="2629"/>
  <c r="EA12" i="2629"/>
  <c r="DN12" i="2629"/>
  <c r="DA12" i="2629"/>
  <c r="CN12" i="2629"/>
  <c r="CA12" i="2629"/>
  <c r="BN12" i="2629"/>
  <c r="BA12" i="2629"/>
  <c r="AN12" i="2629"/>
  <c r="AA12" i="2629"/>
  <c r="N12" i="2629"/>
  <c r="EA11" i="2629"/>
  <c r="DN11" i="2629"/>
  <c r="DA11" i="2629"/>
  <c r="CN11" i="2629"/>
  <c r="CA11" i="2629"/>
  <c r="BN11" i="2629"/>
  <c r="BA11" i="2629"/>
  <c r="AN11" i="2629"/>
  <c r="AA11" i="2629"/>
  <c r="N11" i="2629"/>
  <c r="EA10" i="2629"/>
  <c r="DN10" i="2629"/>
  <c r="DA10" i="2629"/>
  <c r="CN10" i="2629"/>
  <c r="CA10" i="2629"/>
  <c r="BN10" i="2629"/>
  <c r="BA10" i="2629"/>
  <c r="AN10" i="2629"/>
  <c r="AA10" i="2629"/>
  <c r="N10" i="2629"/>
  <c r="EA9" i="2629"/>
  <c r="DN9" i="2629"/>
  <c r="DA9" i="2629"/>
  <c r="CN9" i="2629"/>
  <c r="CA9" i="2629"/>
  <c r="BN9" i="2629"/>
  <c r="BA9" i="2629"/>
  <c r="AN9" i="2629"/>
  <c r="AA9" i="2629"/>
  <c r="N9" i="2629"/>
  <c r="DZ8" i="2629"/>
  <c r="DZ42" i="2629" s="1"/>
  <c r="DY8" i="2629"/>
  <c r="DY42" i="2629" s="1"/>
  <c r="DX8" i="2629"/>
  <c r="DX42" i="2629" s="1"/>
  <c r="DW8" i="2629"/>
  <c r="DW42" i="2629" s="1"/>
  <c r="DV8" i="2629"/>
  <c r="DV42" i="2629" s="1"/>
  <c r="DU8" i="2629"/>
  <c r="DU42" i="2629" s="1"/>
  <c r="DT8" i="2629"/>
  <c r="DT42" i="2629" s="1"/>
  <c r="DS8" i="2629"/>
  <c r="DS42" i="2629" s="1"/>
  <c r="DR8" i="2629"/>
  <c r="DR42" i="2629" s="1"/>
  <c r="DQ8" i="2629"/>
  <c r="DQ42" i="2629" s="1"/>
  <c r="DP8" i="2629"/>
  <c r="DP42" i="2629" s="1"/>
  <c r="DO8" i="2629"/>
  <c r="DM8" i="2629"/>
  <c r="DL8" i="2629"/>
  <c r="DK8" i="2629"/>
  <c r="DJ8" i="2629"/>
  <c r="DJ42" i="2629" s="1"/>
  <c r="DI8" i="2629"/>
  <c r="DI42" i="2629" s="1"/>
  <c r="DH8" i="2629"/>
  <c r="DH42" i="2629" s="1"/>
  <c r="DG8" i="2629"/>
  <c r="DF8" i="2629"/>
  <c r="DF42" i="2629" s="1"/>
  <c r="DE8" i="2629"/>
  <c r="DE42" i="2629" s="1"/>
  <c r="DD8" i="2629"/>
  <c r="DD42" i="2629" s="1"/>
  <c r="DC8" i="2629"/>
  <c r="DC42" i="2629" s="1"/>
  <c r="DB8" i="2629"/>
  <c r="DB42" i="2629" s="1"/>
  <c r="CZ8" i="2629"/>
  <c r="CZ42" i="2629" s="1"/>
  <c r="CY8" i="2629"/>
  <c r="CY42" i="2629" s="1"/>
  <c r="CX8" i="2629"/>
  <c r="CX42" i="2629" s="1"/>
  <c r="CW8" i="2629"/>
  <c r="CW42" i="2629" s="1"/>
  <c r="CV8" i="2629"/>
  <c r="CV42" i="2629" s="1"/>
  <c r="CU8" i="2629"/>
  <c r="CU42" i="2629" s="1"/>
  <c r="CT8" i="2629"/>
  <c r="CT42" i="2629" s="1"/>
  <c r="CS8" i="2629"/>
  <c r="CS42" i="2629" s="1"/>
  <c r="CR8" i="2629"/>
  <c r="CR42" i="2629" s="1"/>
  <c r="CQ8" i="2629"/>
  <c r="CQ42" i="2629" s="1"/>
  <c r="CP8" i="2629"/>
  <c r="CP42" i="2629" s="1"/>
  <c r="CO8" i="2629"/>
  <c r="CM8" i="2629"/>
  <c r="CM42" i="2629" s="1"/>
  <c r="CL8" i="2629"/>
  <c r="CL42" i="2629" s="1"/>
  <c r="CK8" i="2629"/>
  <c r="CK42" i="2629" s="1"/>
  <c r="CJ8" i="2629"/>
  <c r="CJ42" i="2629" s="1"/>
  <c r="CI8" i="2629"/>
  <c r="CI42" i="2629" s="1"/>
  <c r="CH8" i="2629"/>
  <c r="CH42" i="2629" s="1"/>
  <c r="CG8" i="2629"/>
  <c r="CG42" i="2629" s="1"/>
  <c r="CF8" i="2629"/>
  <c r="CF42" i="2629" s="1"/>
  <c r="CE8" i="2629"/>
  <c r="CE42" i="2629" s="1"/>
  <c r="CD8" i="2629"/>
  <c r="CD42" i="2629" s="1"/>
  <c r="CC8" i="2629"/>
  <c r="CC42" i="2629" s="1"/>
  <c r="CB8" i="2629"/>
  <c r="BZ8" i="2629"/>
  <c r="BZ42" i="2629" s="1"/>
  <c r="BY8" i="2629"/>
  <c r="BY42" i="2629" s="1"/>
  <c r="BX8" i="2629"/>
  <c r="BX42" i="2629" s="1"/>
  <c r="BW8" i="2629"/>
  <c r="BW42" i="2629" s="1"/>
  <c r="BV8" i="2629"/>
  <c r="BV42" i="2629" s="1"/>
  <c r="BU8" i="2629"/>
  <c r="BT8" i="2629"/>
  <c r="BS8" i="2629"/>
  <c r="BS42" i="2629" s="1"/>
  <c r="BR8" i="2629"/>
  <c r="BR42" i="2629" s="1"/>
  <c r="BQ8" i="2629"/>
  <c r="BQ42" i="2629" s="1"/>
  <c r="BP8" i="2629"/>
  <c r="BP42" i="2629" s="1"/>
  <c r="BO8" i="2629"/>
  <c r="BM8" i="2629"/>
  <c r="BM42" i="2629" s="1"/>
  <c r="BL8" i="2629"/>
  <c r="BL42" i="2629" s="1"/>
  <c r="BK8" i="2629"/>
  <c r="BK42" i="2629" s="1"/>
  <c r="BJ8" i="2629"/>
  <c r="BJ42" i="2629" s="1"/>
  <c r="BI8" i="2629"/>
  <c r="BI42" i="2629" s="1"/>
  <c r="BH8" i="2629"/>
  <c r="BH42" i="2629" s="1"/>
  <c r="BG8" i="2629"/>
  <c r="BF8" i="2629"/>
  <c r="BF42" i="2629" s="1"/>
  <c r="BE8" i="2629"/>
  <c r="BD8" i="2629"/>
  <c r="BD42" i="2629" s="1"/>
  <c r="BC8" i="2629"/>
  <c r="BC42" i="2629" s="1"/>
  <c r="BB8" i="2629"/>
  <c r="BB42" i="2629" s="1"/>
  <c r="AZ8" i="2629"/>
  <c r="AZ42" i="2629" s="1"/>
  <c r="AY8" i="2629"/>
  <c r="AY42" i="2629" s="1"/>
  <c r="AX8" i="2629"/>
  <c r="AX42" i="2629" s="1"/>
  <c r="AW8" i="2629"/>
  <c r="AW42" i="2629" s="1"/>
  <c r="AV8" i="2629"/>
  <c r="AV42" i="2629" s="1"/>
  <c r="AU8" i="2629"/>
  <c r="AU42" i="2629" s="1"/>
  <c r="AT8" i="2629"/>
  <c r="AT42" i="2629" s="1"/>
  <c r="AS8" i="2629"/>
  <c r="AS42" i="2629" s="1"/>
  <c r="AR8" i="2629"/>
  <c r="AR42" i="2629" s="1"/>
  <c r="AQ8" i="2629"/>
  <c r="AP8" i="2629"/>
  <c r="AP42" i="2629" s="1"/>
  <c r="AO8" i="2629"/>
  <c r="AO42" i="2629" s="1"/>
  <c r="AM8" i="2629"/>
  <c r="AL8" i="2629"/>
  <c r="AL42" i="2629" s="1"/>
  <c r="AK8" i="2629"/>
  <c r="AK42" i="2629" s="1"/>
  <c r="AJ8" i="2629"/>
  <c r="AI8" i="2629"/>
  <c r="AI42" i="2629" s="1"/>
  <c r="AH8" i="2629"/>
  <c r="AH42" i="2629" s="1"/>
  <c r="AG8" i="2629"/>
  <c r="AG42" i="2629" s="1"/>
  <c r="AF8" i="2629"/>
  <c r="AF42" i="2629" s="1"/>
  <c r="AE8" i="2629"/>
  <c r="AE42" i="2629" s="1"/>
  <c r="AD8" i="2629"/>
  <c r="AD42" i="2629" s="1"/>
  <c r="AC8" i="2629"/>
  <c r="AC42" i="2629" s="1"/>
  <c r="AB8" i="2629"/>
  <c r="Z8" i="2629"/>
  <c r="Z42" i="2629" s="1"/>
  <c r="Y8" i="2629"/>
  <c r="Y42" i="2629" s="1"/>
  <c r="X8" i="2629"/>
  <c r="W8" i="2629"/>
  <c r="W42" i="2629" s="1"/>
  <c r="V8" i="2629"/>
  <c r="V42" i="2629" s="1"/>
  <c r="U8" i="2629"/>
  <c r="U42" i="2629" s="1"/>
  <c r="T8" i="2629"/>
  <c r="T42" i="2629" s="1"/>
  <c r="S8" i="2629"/>
  <c r="S42" i="2629" s="1"/>
  <c r="R8" i="2629"/>
  <c r="R42" i="2629" s="1"/>
  <c r="Q8" i="2629"/>
  <c r="Q42" i="2629" s="1"/>
  <c r="P8" i="2629"/>
  <c r="P42" i="2629" s="1"/>
  <c r="O8" i="2629"/>
  <c r="O42" i="2629" s="1"/>
  <c r="M8" i="2629"/>
  <c r="M42" i="2629" s="1"/>
  <c r="L8" i="2629"/>
  <c r="L42" i="2629" s="1"/>
  <c r="K8" i="2629"/>
  <c r="K42" i="2629" s="1"/>
  <c r="J8" i="2629"/>
  <c r="J42" i="2629" s="1"/>
  <c r="I8" i="2629"/>
  <c r="I42" i="2629" s="1"/>
  <c r="H8" i="2629"/>
  <c r="H42" i="2629" s="1"/>
  <c r="G8" i="2629"/>
  <c r="G42" i="2629" s="1"/>
  <c r="F8" i="2629"/>
  <c r="F42" i="2629" s="1"/>
  <c r="E8" i="2629"/>
  <c r="E42" i="2629" s="1"/>
  <c r="D8" i="2629"/>
  <c r="D42" i="2629" s="1"/>
  <c r="C8" i="2629"/>
  <c r="C42" i="2629" s="1"/>
  <c r="B8" i="2629"/>
  <c r="EA5" i="2629"/>
  <c r="DN5" i="2629"/>
  <c r="DA5" i="2629"/>
  <c r="CN5" i="2629"/>
  <c r="CA5" i="2629"/>
  <c r="BN5" i="2629"/>
  <c r="BA5" i="2629"/>
  <c r="AN5" i="2629"/>
  <c r="AA5" i="2629"/>
  <c r="N5" i="2629"/>
  <c r="EA41" i="2628"/>
  <c r="DN41" i="2628"/>
  <c r="CA41" i="2628"/>
  <c r="BA41" i="2628"/>
  <c r="AN41" i="2628"/>
  <c r="AA41" i="2628"/>
  <c r="N41" i="2628"/>
  <c r="EA32" i="2628"/>
  <c r="EA28" i="2628"/>
  <c r="DN28" i="2628"/>
  <c r="DA28" i="2628"/>
  <c r="CN28" i="2628"/>
  <c r="CA28" i="2628"/>
  <c r="BN28" i="2628"/>
  <c r="BA28" i="2628"/>
  <c r="AN28" i="2628"/>
  <c r="AA28" i="2628"/>
  <c r="N28" i="2628"/>
  <c r="EA21" i="2628"/>
  <c r="DN21" i="2628"/>
  <c r="DA21" i="2628"/>
  <c r="CN21" i="2628"/>
  <c r="CA21" i="2628"/>
  <c r="BN21" i="2628"/>
  <c r="BA21" i="2628"/>
  <c r="AN21" i="2628"/>
  <c r="AA21" i="2628"/>
  <c r="N21" i="2628"/>
  <c r="EA19" i="2628"/>
  <c r="DN19" i="2628"/>
  <c r="DA19" i="2628"/>
  <c r="CN19" i="2628"/>
  <c r="CA19" i="2628"/>
  <c r="BN19" i="2628"/>
  <c r="BA19" i="2628"/>
  <c r="AN19" i="2628"/>
  <c r="AA19" i="2628"/>
  <c r="N19" i="2628"/>
  <c r="EA18" i="2628"/>
  <c r="DN18" i="2628"/>
  <c r="DA18" i="2628"/>
  <c r="CN18" i="2628"/>
  <c r="CA18" i="2628"/>
  <c r="BN18" i="2628"/>
  <c r="BA18" i="2628"/>
  <c r="AN18" i="2628"/>
  <c r="AA18" i="2628"/>
  <c r="N18" i="2628"/>
  <c r="EA17" i="2628"/>
  <c r="DN17" i="2628"/>
  <c r="DA17" i="2628"/>
  <c r="CN17" i="2628"/>
  <c r="CA17" i="2628"/>
  <c r="BN17" i="2628"/>
  <c r="BA17" i="2628"/>
  <c r="AN17" i="2628"/>
  <c r="AA17" i="2628"/>
  <c r="N17" i="2628"/>
  <c r="EA16" i="2628"/>
  <c r="DN16" i="2628"/>
  <c r="DA16" i="2628"/>
  <c r="CN16" i="2628"/>
  <c r="CA16" i="2628"/>
  <c r="BN16" i="2628"/>
  <c r="BA16" i="2628"/>
  <c r="AN16" i="2628"/>
  <c r="AA16" i="2628"/>
  <c r="N16" i="2628"/>
  <c r="EA15" i="2628"/>
  <c r="DE15" i="2628"/>
  <c r="DE38" i="2628" s="1"/>
  <c r="DD15" i="2628"/>
  <c r="DD38" i="2628" s="1"/>
  <c r="DC15" i="2628"/>
  <c r="DC38" i="2628" s="1"/>
  <c r="DB15" i="2628"/>
  <c r="DB38" i="2628" s="1"/>
  <c r="CZ15" i="2628"/>
  <c r="CZ38" i="2628" s="1"/>
  <c r="CY15" i="2628"/>
  <c r="CY38" i="2628" s="1"/>
  <c r="CX15" i="2628"/>
  <c r="CX38" i="2628" s="1"/>
  <c r="CW15" i="2628"/>
  <c r="CW38" i="2628" s="1"/>
  <c r="CV15" i="2628"/>
  <c r="CU15" i="2628"/>
  <c r="CU38" i="2628" s="1"/>
  <c r="CT15" i="2628"/>
  <c r="CT38" i="2628" s="1"/>
  <c r="CS15" i="2628"/>
  <c r="CS38" i="2628" s="1"/>
  <c r="CR15" i="2628"/>
  <c r="CR38" i="2628" s="1"/>
  <c r="CQ15" i="2628"/>
  <c r="CQ38" i="2628" s="1"/>
  <c r="CP15" i="2628"/>
  <c r="CP38" i="2628" s="1"/>
  <c r="CO15" i="2628"/>
  <c r="CO38" i="2628" s="1"/>
  <c r="CM15" i="2628"/>
  <c r="CM38" i="2628" s="1"/>
  <c r="CL15" i="2628"/>
  <c r="CL38" i="2628" s="1"/>
  <c r="CK15" i="2628"/>
  <c r="CK38" i="2628" s="1"/>
  <c r="CJ15" i="2628"/>
  <c r="CJ38" i="2628" s="1"/>
  <c r="CI15" i="2628"/>
  <c r="CI38" i="2628" s="1"/>
  <c r="CH15" i="2628"/>
  <c r="CH38" i="2628" s="1"/>
  <c r="CG15" i="2628"/>
  <c r="CG38" i="2628" s="1"/>
  <c r="CF15" i="2628"/>
  <c r="CF38" i="2628" s="1"/>
  <c r="CE15" i="2628"/>
  <c r="CE38" i="2628" s="1"/>
  <c r="CD15" i="2628"/>
  <c r="CD38" i="2628" s="1"/>
  <c r="CC15" i="2628"/>
  <c r="CC38" i="2628" s="1"/>
  <c r="CB15" i="2628"/>
  <c r="BZ15" i="2628"/>
  <c r="BZ38" i="2628" s="1"/>
  <c r="BY15" i="2628"/>
  <c r="BY38" i="2628" s="1"/>
  <c r="BX15" i="2628"/>
  <c r="BX38" i="2628" s="1"/>
  <c r="BW15" i="2628"/>
  <c r="BW38" i="2628" s="1"/>
  <c r="BV15" i="2628"/>
  <c r="BV38" i="2628" s="1"/>
  <c r="BU15" i="2628"/>
  <c r="BU38" i="2628" s="1"/>
  <c r="BT15" i="2628"/>
  <c r="BT38" i="2628" s="1"/>
  <c r="BS15" i="2628"/>
  <c r="BS38" i="2628" s="1"/>
  <c r="BR15" i="2628"/>
  <c r="BR38" i="2628" s="1"/>
  <c r="BQ15" i="2628"/>
  <c r="BQ38" i="2628" s="1"/>
  <c r="BP15" i="2628"/>
  <c r="BO15" i="2628"/>
  <c r="BO38" i="2628" s="1"/>
  <c r="BM15" i="2628"/>
  <c r="BL15" i="2628"/>
  <c r="BL38" i="2628" s="1"/>
  <c r="BK15" i="2628"/>
  <c r="BK38" i="2628" s="1"/>
  <c r="BJ15" i="2628"/>
  <c r="BJ38" i="2628" s="1"/>
  <c r="BI15" i="2628"/>
  <c r="BI38" i="2628" s="1"/>
  <c r="BH15" i="2628"/>
  <c r="BH38" i="2628" s="1"/>
  <c r="BG15" i="2628"/>
  <c r="BG38" i="2628" s="1"/>
  <c r="BF15" i="2628"/>
  <c r="BF38" i="2628" s="1"/>
  <c r="BE15" i="2628"/>
  <c r="BE38" i="2628" s="1"/>
  <c r="BD15" i="2628"/>
  <c r="BD38" i="2628" s="1"/>
  <c r="BC15" i="2628"/>
  <c r="BC38" i="2628" s="1"/>
  <c r="BB15" i="2628"/>
  <c r="BB38" i="2628" s="1"/>
  <c r="AZ15" i="2628"/>
  <c r="AZ38" i="2628" s="1"/>
  <c r="AY15" i="2628"/>
  <c r="AY38" i="2628" s="1"/>
  <c r="AX15" i="2628"/>
  <c r="AX38" i="2628" s="1"/>
  <c r="AW15" i="2628"/>
  <c r="AW38" i="2628" s="1"/>
  <c r="AV15" i="2628"/>
  <c r="AV38" i="2628" s="1"/>
  <c r="AU15" i="2628"/>
  <c r="AU38" i="2628" s="1"/>
  <c r="AT15" i="2628"/>
  <c r="AT38" i="2628" s="1"/>
  <c r="AS15" i="2628"/>
  <c r="AS38" i="2628" s="1"/>
  <c r="AR15" i="2628"/>
  <c r="AR38" i="2628" s="1"/>
  <c r="AQ15" i="2628"/>
  <c r="AQ38" i="2628" s="1"/>
  <c r="AP15" i="2628"/>
  <c r="AP38" i="2628" s="1"/>
  <c r="AO15" i="2628"/>
  <c r="AO38" i="2628" s="1"/>
  <c r="AM15" i="2628"/>
  <c r="AM38" i="2628" s="1"/>
  <c r="AL15" i="2628"/>
  <c r="AL38" i="2628" s="1"/>
  <c r="AK15" i="2628"/>
  <c r="AK38" i="2628" s="1"/>
  <c r="AJ15" i="2628"/>
  <c r="AJ38" i="2628" s="1"/>
  <c r="AI15" i="2628"/>
  <c r="AI38" i="2628" s="1"/>
  <c r="AH15" i="2628"/>
  <c r="AH38" i="2628" s="1"/>
  <c r="AG15" i="2628"/>
  <c r="AG38" i="2628" s="1"/>
  <c r="AF15" i="2628"/>
  <c r="AF38" i="2628" s="1"/>
  <c r="AE15" i="2628"/>
  <c r="AE38" i="2628" s="1"/>
  <c r="AD15" i="2628"/>
  <c r="AD38" i="2628" s="1"/>
  <c r="AC15" i="2628"/>
  <c r="AC38" i="2628" s="1"/>
  <c r="AB15" i="2628"/>
  <c r="AB38" i="2628" s="1"/>
  <c r="Z15" i="2628"/>
  <c r="Z38" i="2628" s="1"/>
  <c r="Y15" i="2628"/>
  <c r="Y38" i="2628" s="1"/>
  <c r="X15" i="2628"/>
  <c r="X38" i="2628" s="1"/>
  <c r="W15" i="2628"/>
  <c r="W38" i="2628" s="1"/>
  <c r="V15" i="2628"/>
  <c r="V38" i="2628" s="1"/>
  <c r="U15" i="2628"/>
  <c r="U38" i="2628" s="1"/>
  <c r="T15" i="2628"/>
  <c r="T38" i="2628" s="1"/>
  <c r="S15" i="2628"/>
  <c r="S38" i="2628" s="1"/>
  <c r="R15" i="2628"/>
  <c r="R38" i="2628" s="1"/>
  <c r="Q15" i="2628"/>
  <c r="Q38" i="2628" s="1"/>
  <c r="P15" i="2628"/>
  <c r="P38" i="2628" s="1"/>
  <c r="O15" i="2628"/>
  <c r="O38" i="2628" s="1"/>
  <c r="M15" i="2628"/>
  <c r="M38" i="2628" s="1"/>
  <c r="L15" i="2628"/>
  <c r="L38" i="2628" s="1"/>
  <c r="K15" i="2628"/>
  <c r="K38" i="2628" s="1"/>
  <c r="J15" i="2628"/>
  <c r="J38" i="2628" s="1"/>
  <c r="I15" i="2628"/>
  <c r="I38" i="2628" s="1"/>
  <c r="H15" i="2628"/>
  <c r="H38" i="2628" s="1"/>
  <c r="G15" i="2628"/>
  <c r="G38" i="2628" s="1"/>
  <c r="F15" i="2628"/>
  <c r="F38" i="2628" s="1"/>
  <c r="E15" i="2628"/>
  <c r="E38" i="2628" s="1"/>
  <c r="D15" i="2628"/>
  <c r="D38" i="2628" s="1"/>
  <c r="C15" i="2628"/>
  <c r="C38" i="2628" s="1"/>
  <c r="B15" i="2628"/>
  <c r="B38" i="2628" s="1"/>
  <c r="EA14" i="2628"/>
  <c r="DN14" i="2628"/>
  <c r="DA14" i="2628"/>
  <c r="CN14" i="2628"/>
  <c r="CA14" i="2628"/>
  <c r="BN14" i="2628"/>
  <c r="BA14" i="2628"/>
  <c r="AN14" i="2628"/>
  <c r="AA14" i="2628"/>
  <c r="N14" i="2628"/>
  <c r="EA13" i="2628"/>
  <c r="DN13" i="2628"/>
  <c r="DA13" i="2628"/>
  <c r="CN13" i="2628"/>
  <c r="CA13" i="2628"/>
  <c r="BN13" i="2628"/>
  <c r="BA13" i="2628"/>
  <c r="AN13" i="2628"/>
  <c r="AA13" i="2628"/>
  <c r="N13" i="2628"/>
  <c r="EA12" i="2628"/>
  <c r="DN12" i="2628"/>
  <c r="DA12" i="2628"/>
  <c r="CN12" i="2628"/>
  <c r="CA12" i="2628"/>
  <c r="BN12" i="2628"/>
  <c r="BA12" i="2628"/>
  <c r="AN12" i="2628"/>
  <c r="AA12" i="2628"/>
  <c r="N12" i="2628"/>
  <c r="EA11" i="2628"/>
  <c r="DN11" i="2628"/>
  <c r="DA11" i="2628"/>
  <c r="CN11" i="2628"/>
  <c r="CA11" i="2628"/>
  <c r="BN11" i="2628"/>
  <c r="BA11" i="2628"/>
  <c r="AN11" i="2628"/>
  <c r="AA11" i="2628"/>
  <c r="N11" i="2628"/>
  <c r="EA10" i="2628"/>
  <c r="DG10" i="2628"/>
  <c r="DG33" i="2628" s="1"/>
  <c r="DF10" i="2628"/>
  <c r="DF33" i="2628" s="1"/>
  <c r="DE10" i="2628"/>
  <c r="DE33" i="2628" s="1"/>
  <c r="DD10" i="2628"/>
  <c r="DD33" i="2628" s="1"/>
  <c r="DC10" i="2628"/>
  <c r="DC33" i="2628" s="1"/>
  <c r="DB10" i="2628"/>
  <c r="DB33" i="2628" s="1"/>
  <c r="CZ10" i="2628"/>
  <c r="CZ33" i="2628" s="1"/>
  <c r="CY10" i="2628"/>
  <c r="CY33" i="2628" s="1"/>
  <c r="CX10" i="2628"/>
  <c r="CX33" i="2628" s="1"/>
  <c r="CW10" i="2628"/>
  <c r="CW33" i="2628" s="1"/>
  <c r="CV10" i="2628"/>
  <c r="CV33" i="2628" s="1"/>
  <c r="CU10" i="2628"/>
  <c r="CU33" i="2628" s="1"/>
  <c r="CT10" i="2628"/>
  <c r="CT33" i="2628" s="1"/>
  <c r="CS10" i="2628"/>
  <c r="CS33" i="2628" s="1"/>
  <c r="CR10" i="2628"/>
  <c r="CR33" i="2628" s="1"/>
  <c r="CQ10" i="2628"/>
  <c r="CQ33" i="2628" s="1"/>
  <c r="CP10" i="2628"/>
  <c r="CP33" i="2628" s="1"/>
  <c r="CO10" i="2628"/>
  <c r="CO33" i="2628" s="1"/>
  <c r="CM10" i="2628"/>
  <c r="CM33" i="2628" s="1"/>
  <c r="CL10" i="2628"/>
  <c r="CL33" i="2628" s="1"/>
  <c r="CK10" i="2628"/>
  <c r="CK33" i="2628" s="1"/>
  <c r="CJ10" i="2628"/>
  <c r="CJ33" i="2628" s="1"/>
  <c r="CI10" i="2628"/>
  <c r="CI33" i="2628" s="1"/>
  <c r="CH10" i="2628"/>
  <c r="CH33" i="2628" s="1"/>
  <c r="CG10" i="2628"/>
  <c r="CG33" i="2628" s="1"/>
  <c r="CF10" i="2628"/>
  <c r="CF33" i="2628" s="1"/>
  <c r="CE10" i="2628"/>
  <c r="CE33" i="2628" s="1"/>
  <c r="CD10" i="2628"/>
  <c r="CD33" i="2628" s="1"/>
  <c r="CC10" i="2628"/>
  <c r="CC33" i="2628" s="1"/>
  <c r="CB10" i="2628"/>
  <c r="CB33" i="2628" s="1"/>
  <c r="BZ10" i="2628"/>
  <c r="BZ33" i="2628" s="1"/>
  <c r="BY10" i="2628"/>
  <c r="BY33" i="2628" s="1"/>
  <c r="BX10" i="2628"/>
  <c r="BX33" i="2628" s="1"/>
  <c r="BW10" i="2628"/>
  <c r="BW33" i="2628" s="1"/>
  <c r="BV10" i="2628"/>
  <c r="BV33" i="2628" s="1"/>
  <c r="BU10" i="2628"/>
  <c r="BU33" i="2628" s="1"/>
  <c r="BT10" i="2628"/>
  <c r="BT33" i="2628" s="1"/>
  <c r="BS10" i="2628"/>
  <c r="BS33" i="2628" s="1"/>
  <c r="BR10" i="2628"/>
  <c r="BR33" i="2628" s="1"/>
  <c r="BQ10" i="2628"/>
  <c r="BQ33" i="2628" s="1"/>
  <c r="BP10" i="2628"/>
  <c r="BP33" i="2628" s="1"/>
  <c r="BO10" i="2628"/>
  <c r="BO33" i="2628" s="1"/>
  <c r="BM10" i="2628"/>
  <c r="BM33" i="2628" s="1"/>
  <c r="BL10" i="2628"/>
  <c r="BL33" i="2628" s="1"/>
  <c r="BK10" i="2628"/>
  <c r="BK33" i="2628" s="1"/>
  <c r="BJ10" i="2628"/>
  <c r="BJ33" i="2628" s="1"/>
  <c r="BI10" i="2628"/>
  <c r="BI33" i="2628" s="1"/>
  <c r="BH10" i="2628"/>
  <c r="BH33" i="2628" s="1"/>
  <c r="BG10" i="2628"/>
  <c r="BG33" i="2628" s="1"/>
  <c r="BF10" i="2628"/>
  <c r="BF33" i="2628" s="1"/>
  <c r="BE10" i="2628"/>
  <c r="BE33" i="2628" s="1"/>
  <c r="BD10" i="2628"/>
  <c r="BD33" i="2628" s="1"/>
  <c r="BC10" i="2628"/>
  <c r="BC33" i="2628" s="1"/>
  <c r="BB10" i="2628"/>
  <c r="BB33" i="2628" s="1"/>
  <c r="AZ10" i="2628"/>
  <c r="AZ33" i="2628" s="1"/>
  <c r="AY10" i="2628"/>
  <c r="AX10" i="2628"/>
  <c r="AX33" i="2628" s="1"/>
  <c r="AW10" i="2628"/>
  <c r="AW33" i="2628" s="1"/>
  <c r="AV10" i="2628"/>
  <c r="AV33" i="2628" s="1"/>
  <c r="AU10" i="2628"/>
  <c r="AU33" i="2628" s="1"/>
  <c r="AT10" i="2628"/>
  <c r="AT33" i="2628" s="1"/>
  <c r="AS10" i="2628"/>
  <c r="AS33" i="2628" s="1"/>
  <c r="AR10" i="2628"/>
  <c r="AR33" i="2628" s="1"/>
  <c r="AQ10" i="2628"/>
  <c r="AQ33" i="2628" s="1"/>
  <c r="AP10" i="2628"/>
  <c r="AP33" i="2628" s="1"/>
  <c r="AO10" i="2628"/>
  <c r="AO33" i="2628" s="1"/>
  <c r="AM10" i="2628"/>
  <c r="AM33" i="2628" s="1"/>
  <c r="AL10" i="2628"/>
  <c r="AL33" i="2628" s="1"/>
  <c r="AK10" i="2628"/>
  <c r="AK33" i="2628" s="1"/>
  <c r="AJ10" i="2628"/>
  <c r="AJ33" i="2628" s="1"/>
  <c r="AI10" i="2628"/>
  <c r="AI33" i="2628" s="1"/>
  <c r="AH10" i="2628"/>
  <c r="AH33" i="2628" s="1"/>
  <c r="AG10" i="2628"/>
  <c r="AG33" i="2628" s="1"/>
  <c r="AF10" i="2628"/>
  <c r="AF33" i="2628" s="1"/>
  <c r="AE10" i="2628"/>
  <c r="AE33" i="2628" s="1"/>
  <c r="AD10" i="2628"/>
  <c r="AD33" i="2628" s="1"/>
  <c r="AC10" i="2628"/>
  <c r="AB10" i="2628"/>
  <c r="AB33" i="2628" s="1"/>
  <c r="Z10" i="2628"/>
  <c r="Z33" i="2628" s="1"/>
  <c r="Y10" i="2628"/>
  <c r="Y33" i="2628" s="1"/>
  <c r="X10" i="2628"/>
  <c r="X33" i="2628" s="1"/>
  <c r="W10" i="2628"/>
  <c r="W33" i="2628" s="1"/>
  <c r="V10" i="2628"/>
  <c r="V33" i="2628" s="1"/>
  <c r="U10" i="2628"/>
  <c r="U33" i="2628" s="1"/>
  <c r="T10" i="2628"/>
  <c r="T33" i="2628" s="1"/>
  <c r="S10" i="2628"/>
  <c r="S33" i="2628" s="1"/>
  <c r="R10" i="2628"/>
  <c r="Q10" i="2628"/>
  <c r="Q33" i="2628" s="1"/>
  <c r="P10" i="2628"/>
  <c r="P33" i="2628" s="1"/>
  <c r="O10" i="2628"/>
  <c r="O33" i="2628" s="1"/>
  <c r="M10" i="2628"/>
  <c r="M33" i="2628" s="1"/>
  <c r="L10" i="2628"/>
  <c r="L33" i="2628" s="1"/>
  <c r="K10" i="2628"/>
  <c r="K33" i="2628" s="1"/>
  <c r="J10" i="2628"/>
  <c r="J33" i="2628" s="1"/>
  <c r="I10" i="2628"/>
  <c r="I33" i="2628" s="1"/>
  <c r="H10" i="2628"/>
  <c r="H33" i="2628" s="1"/>
  <c r="G10" i="2628"/>
  <c r="G33" i="2628" s="1"/>
  <c r="F10" i="2628"/>
  <c r="F33" i="2628" s="1"/>
  <c r="E10" i="2628"/>
  <c r="E33" i="2628" s="1"/>
  <c r="D10" i="2628"/>
  <c r="C10" i="2628"/>
  <c r="C33" i="2628" s="1"/>
  <c r="B10" i="2628"/>
  <c r="B33" i="2628" s="1"/>
  <c r="EA9" i="2628"/>
  <c r="DJ9" i="2628"/>
  <c r="DJ32" i="2628" s="1"/>
  <c r="DI9" i="2628"/>
  <c r="DI32" i="2628" s="1"/>
  <c r="DH9" i="2628"/>
  <c r="DH32" i="2628" s="1"/>
  <c r="CP9" i="2628"/>
  <c r="CP32" i="2628" s="1"/>
  <c r="BH9" i="2628"/>
  <c r="AS9" i="2628"/>
  <c r="I9" i="2628"/>
  <c r="EA7" i="2628"/>
  <c r="DN7" i="2628"/>
  <c r="EA5" i="2628"/>
  <c r="DN5" i="2628"/>
  <c r="DA5" i="2628"/>
  <c r="CN5" i="2628"/>
  <c r="CA5" i="2628"/>
  <c r="BN5" i="2628"/>
  <c r="BA5" i="2628"/>
  <c r="AN5" i="2628"/>
  <c r="AA5" i="2628"/>
  <c r="N5" i="2628"/>
  <c r="DS63" i="2631" l="1"/>
  <c r="CW46" i="2631"/>
  <c r="CW45" i="2631" s="1"/>
  <c r="DV63" i="2631"/>
  <c r="CT63" i="2631"/>
  <c r="CT62" i="2631" s="1"/>
  <c r="J7" i="2631"/>
  <c r="CQ8" i="2631"/>
  <c r="BN52" i="2631"/>
  <c r="BS63" i="2631"/>
  <c r="BS62" i="2631" s="1"/>
  <c r="CS63" i="2631"/>
  <c r="CS62" i="2631" s="1"/>
  <c r="BM46" i="2631"/>
  <c r="BM45" i="2631" s="1"/>
  <c r="BZ46" i="2631"/>
  <c r="BZ45" i="2631" s="1"/>
  <c r="CM46" i="2631"/>
  <c r="CM45" i="2631" s="1"/>
  <c r="CM43" i="2631" s="1"/>
  <c r="CZ45" i="2631"/>
  <c r="DM46" i="2631"/>
  <c r="DM45" i="2631" s="1"/>
  <c r="DZ46" i="2631"/>
  <c r="DZ45" i="2631" s="1"/>
  <c r="AE63" i="2631"/>
  <c r="AN52" i="2631"/>
  <c r="M46" i="2631"/>
  <c r="M45" i="2631" s="1"/>
  <c r="Z46" i="2631"/>
  <c r="Z45" i="2631" s="1"/>
  <c r="AM46" i="2631"/>
  <c r="AM45" i="2631" s="1"/>
  <c r="AM43" i="2631" s="1"/>
  <c r="AM41" i="2631" s="1"/>
  <c r="AZ46" i="2631"/>
  <c r="AZ45" i="2631" s="1"/>
  <c r="CB46" i="2631"/>
  <c r="CB45" i="2631" s="1"/>
  <c r="DO46" i="2631"/>
  <c r="DO45" i="2631" s="1"/>
  <c r="AR63" i="2631"/>
  <c r="AR62" i="2631" s="1"/>
  <c r="AR93" i="2631" s="1"/>
  <c r="O46" i="2631"/>
  <c r="O45" i="2631" s="1"/>
  <c r="AB46" i="2631"/>
  <c r="AB45" i="2631" s="1"/>
  <c r="AO46" i="2631"/>
  <c r="AO45" i="2631" s="1"/>
  <c r="BB46" i="2631"/>
  <c r="BB45" i="2631" s="1"/>
  <c r="BP46" i="2631"/>
  <c r="BP45" i="2631" s="1"/>
  <c r="CC46" i="2631"/>
  <c r="CC45" i="2631" s="1"/>
  <c r="DC45" i="2631"/>
  <c r="DP46" i="2631"/>
  <c r="DP45" i="2631" s="1"/>
  <c r="Y72" i="2631"/>
  <c r="Y63" i="2631" s="1"/>
  <c r="Y62" i="2631" s="1"/>
  <c r="Y93" i="2631" s="1"/>
  <c r="AA52" i="2631"/>
  <c r="P46" i="2631"/>
  <c r="P45" i="2631" s="1"/>
  <c r="AC46" i="2631"/>
  <c r="AC45" i="2631" s="1"/>
  <c r="AC43" i="2631" s="1"/>
  <c r="AC41" i="2631" s="1"/>
  <c r="BC46" i="2631"/>
  <c r="BC45" i="2631" s="1"/>
  <c r="BQ46" i="2631"/>
  <c r="BQ45" i="2631" s="1"/>
  <c r="Z72" i="2631"/>
  <c r="FE59" i="2631"/>
  <c r="FF32" i="2631"/>
  <c r="FD32" i="2631" s="1"/>
  <c r="FF33" i="2631"/>
  <c r="FF29" i="2631"/>
  <c r="FF21" i="2631"/>
  <c r="FD21" i="2631" s="1"/>
  <c r="FF14" i="2631"/>
  <c r="FD14" i="2631" s="1"/>
  <c r="FF20" i="2631"/>
  <c r="FD20" i="2631" s="1"/>
  <c r="FF10" i="2631"/>
  <c r="FF24" i="2631"/>
  <c r="FF11" i="2631"/>
  <c r="FF12" i="2631"/>
  <c r="FF16" i="2631"/>
  <c r="FD16" i="2631" s="1"/>
  <c r="FF18" i="2631"/>
  <c r="FD18" i="2631" s="1"/>
  <c r="FF31" i="2631"/>
  <c r="FF13" i="2631"/>
  <c r="FF30" i="2631"/>
  <c r="FD30" i="2631" s="1"/>
  <c r="FF15" i="2631"/>
  <c r="FF17" i="2631"/>
  <c r="FF22" i="2631"/>
  <c r="FD22" i="2631" s="1"/>
  <c r="FF19" i="2631"/>
  <c r="FF25" i="2631"/>
  <c r="FF27" i="2631"/>
  <c r="FF23" i="2631"/>
  <c r="FF28" i="2631"/>
  <c r="FD28" i="2631" s="1"/>
  <c r="FF9" i="2631"/>
  <c r="FF8" i="2631"/>
  <c r="FD8" i="2631" s="1"/>
  <c r="FF7" i="2631"/>
  <c r="FD7" i="2631" s="1"/>
  <c r="DE7" i="2631"/>
  <c r="DE37" i="2631" s="1"/>
  <c r="D46" i="2631"/>
  <c r="D45" i="2631" s="1"/>
  <c r="Q46" i="2631"/>
  <c r="Q45" i="2631" s="1"/>
  <c r="BD46" i="2631"/>
  <c r="BD45" i="2631" s="1"/>
  <c r="BD43" i="2631" s="1"/>
  <c r="DF9" i="2628"/>
  <c r="DF32" i="2628" s="1"/>
  <c r="DG9" i="2628"/>
  <c r="DG32" i="2628" s="1"/>
  <c r="CS9" i="2628"/>
  <c r="CS32" i="2628" s="1"/>
  <c r="FE9" i="2628"/>
  <c r="FF12" i="2628"/>
  <c r="FF7" i="2628"/>
  <c r="FD7" i="2628" s="1"/>
  <c r="FE14" i="2628"/>
  <c r="FE16" i="2628"/>
  <c r="FE12" i="2628"/>
  <c r="FF44" i="2628"/>
  <c r="FD44" i="2628" s="1"/>
  <c r="FE42" i="2628"/>
  <c r="FE36" i="2628"/>
  <c r="FE18" i="2628"/>
  <c r="FF10" i="2628"/>
  <c r="FE10" i="2628"/>
  <c r="FF14" i="2628"/>
  <c r="FE33" i="2628"/>
  <c r="FE38" i="2628"/>
  <c r="FF11" i="2628"/>
  <c r="FF17" i="2628"/>
  <c r="FE19" i="2628"/>
  <c r="FF35" i="2628"/>
  <c r="FE37" i="2628"/>
  <c r="FF19" i="2628"/>
  <c r="FF42" i="2628"/>
  <c r="FE39" i="2628"/>
  <c r="FF15" i="2628"/>
  <c r="FF32" i="2628"/>
  <c r="FF38" i="2628"/>
  <c r="FE21" i="2628"/>
  <c r="FE15" i="2628"/>
  <c r="FF16" i="2628"/>
  <c r="FD16" i="2628" s="1"/>
  <c r="FF40" i="2628"/>
  <c r="FF18" i="2628"/>
  <c r="FE32" i="2628"/>
  <c r="FF30" i="2628"/>
  <c r="FF34" i="2628"/>
  <c r="FF21" i="2628"/>
  <c r="FE17" i="2628"/>
  <c r="FF36" i="2628"/>
  <c r="FE35" i="2628"/>
  <c r="FF37" i="2628"/>
  <c r="FE41" i="2628"/>
  <c r="FE34" i="2628"/>
  <c r="FF41" i="2628"/>
  <c r="FE11" i="2628"/>
  <c r="FF13" i="2628"/>
  <c r="FE40" i="2628"/>
  <c r="FF39" i="2628"/>
  <c r="FF9" i="2628"/>
  <c r="FD9" i="2628" s="1"/>
  <c r="FF33" i="2628"/>
  <c r="FE13" i="2628"/>
  <c r="G9" i="2628"/>
  <c r="S9" i="2628"/>
  <c r="AF9" i="2628"/>
  <c r="AF7" i="2628" s="1"/>
  <c r="AF30" i="2628" s="1"/>
  <c r="AG9" i="2628"/>
  <c r="AG32" i="2628" s="1"/>
  <c r="AH9" i="2628"/>
  <c r="AH32" i="2628" s="1"/>
  <c r="H7" i="2634"/>
  <c r="CG59" i="2634"/>
  <c r="I51" i="2634"/>
  <c r="I45" i="2634" s="1"/>
  <c r="V51" i="2634"/>
  <c r="V45" i="2634" s="1"/>
  <c r="AV51" i="2634"/>
  <c r="AV45" i="2634" s="1"/>
  <c r="BJ51" i="2634"/>
  <c r="BJ45" i="2634" s="1"/>
  <c r="AN46" i="2634"/>
  <c r="AX51" i="2634"/>
  <c r="AX45" i="2634" s="1"/>
  <c r="AY51" i="2634"/>
  <c r="AY45" i="2634" s="1"/>
  <c r="BZ51" i="2634"/>
  <c r="BZ45" i="2634" s="1"/>
  <c r="F7" i="2634"/>
  <c r="CO51" i="2634"/>
  <c r="CO45" i="2634" s="1"/>
  <c r="DB51" i="2634"/>
  <c r="DB45" i="2634" s="1"/>
  <c r="CX60" i="2634"/>
  <c r="DL69" i="2634"/>
  <c r="DL60" i="2634" s="1"/>
  <c r="DL59" i="2634" s="1"/>
  <c r="BY51" i="2634"/>
  <c r="DC51" i="2634"/>
  <c r="DC45" i="2634" s="1"/>
  <c r="CL60" i="2634"/>
  <c r="CL59" i="2634" s="1"/>
  <c r="DZ69" i="2634"/>
  <c r="DZ60" i="2634" s="1"/>
  <c r="N47" i="2634"/>
  <c r="D7" i="2634"/>
  <c r="CE51" i="2634"/>
  <c r="CE45" i="2634" s="1"/>
  <c r="CE42" i="2634" s="1"/>
  <c r="O69" i="2634"/>
  <c r="AB69" i="2634"/>
  <c r="AO69" i="2634"/>
  <c r="BB69" i="2634"/>
  <c r="BO69" i="2634"/>
  <c r="AF60" i="2634"/>
  <c r="AF59" i="2634" s="1"/>
  <c r="AF93" i="2634" s="1"/>
  <c r="AS60" i="2634"/>
  <c r="AS59" i="2634" s="1"/>
  <c r="AS93" i="2634" s="1"/>
  <c r="BW7" i="2634"/>
  <c r="BP60" i="2634"/>
  <c r="BP59" i="2634" s="1"/>
  <c r="BP93" i="2634" s="1"/>
  <c r="BA46" i="2634"/>
  <c r="AK51" i="2634"/>
  <c r="AK45" i="2634" s="1"/>
  <c r="CA78" i="2634"/>
  <c r="BY49" i="2634"/>
  <c r="BN47" i="2634"/>
  <c r="BN46" i="2634" s="1"/>
  <c r="G40" i="2634"/>
  <c r="CU51" i="2634"/>
  <c r="CU45" i="2634" s="1"/>
  <c r="DH51" i="2634"/>
  <c r="DH45" i="2634" s="1"/>
  <c r="DU51" i="2634"/>
  <c r="DU45" i="2634" s="1"/>
  <c r="E69" i="2634"/>
  <c r="E60" i="2634" s="1"/>
  <c r="E59" i="2634" s="1"/>
  <c r="E55" i="2634" s="1"/>
  <c r="N46" i="2634"/>
  <c r="H51" i="2634"/>
  <c r="H45" i="2634" s="1"/>
  <c r="AU51" i="2634"/>
  <c r="AU45" i="2634" s="1"/>
  <c r="CI51" i="2634"/>
  <c r="CI45" i="2634" s="1"/>
  <c r="AA46" i="2634"/>
  <c r="AQ72" i="2631"/>
  <c r="CR7" i="2631"/>
  <c r="DF46" i="2631"/>
  <c r="DS46" i="2631"/>
  <c r="DS45" i="2631" s="1"/>
  <c r="DS43" i="2631" s="1"/>
  <c r="CO7" i="2631"/>
  <c r="CQ7" i="2631"/>
  <c r="B7" i="2631"/>
  <c r="CT8" i="2631"/>
  <c r="BT46" i="2631"/>
  <c r="BT45" i="2631" s="1"/>
  <c r="CG46" i="2631"/>
  <c r="CG45" i="2631" s="1"/>
  <c r="CK63" i="2631"/>
  <c r="DF72" i="2631"/>
  <c r="DF63" i="2631" s="1"/>
  <c r="DF62" i="2631" s="1"/>
  <c r="DF51" i="2631"/>
  <c r="N44" i="2631"/>
  <c r="BG46" i="2631"/>
  <c r="BG45" i="2631" s="1"/>
  <c r="BQ7" i="2631"/>
  <c r="BQ37" i="2631" s="1"/>
  <c r="BQ38" i="2631" s="1"/>
  <c r="DO7" i="2631"/>
  <c r="AA44" i="2631"/>
  <c r="CV46" i="2631"/>
  <c r="CV45" i="2631" s="1"/>
  <c r="DI46" i="2631"/>
  <c r="DI45" i="2631" s="1"/>
  <c r="DV46" i="2631"/>
  <c r="DV45" i="2631" s="1"/>
  <c r="L72" i="2631"/>
  <c r="L63" i="2631" s="1"/>
  <c r="L62" i="2631" s="1"/>
  <c r="AL72" i="2631"/>
  <c r="AL63" i="2631" s="1"/>
  <c r="AL62" i="2631" s="1"/>
  <c r="AL93" i="2631" s="1"/>
  <c r="BM72" i="2631"/>
  <c r="BM63" i="2631" s="1"/>
  <c r="BM62" i="2631" s="1"/>
  <c r="BM93" i="2631" s="1"/>
  <c r="BZ72" i="2631"/>
  <c r="BZ63" i="2631" s="1"/>
  <c r="BZ62" i="2631" s="1"/>
  <c r="CZ72" i="2631"/>
  <c r="CZ63" i="2631" s="1"/>
  <c r="CZ62" i="2631" s="1"/>
  <c r="N48" i="2631"/>
  <c r="U72" i="2631"/>
  <c r="U63" i="2631" s="1"/>
  <c r="U62" i="2631" s="1"/>
  <c r="U93" i="2631" s="1"/>
  <c r="DA82" i="2631"/>
  <c r="CU51" i="2631"/>
  <c r="DS62" i="2631"/>
  <c r="CH8" i="2631"/>
  <c r="CH7" i="2631" s="1"/>
  <c r="BP7" i="2631"/>
  <c r="CW8" i="2631"/>
  <c r="DZ7" i="2631"/>
  <c r="DM8" i="2631"/>
  <c r="DM7" i="2631" s="1"/>
  <c r="DM37" i="2631" s="1"/>
  <c r="DM44" i="2631"/>
  <c r="E7" i="2631"/>
  <c r="DB7" i="2631"/>
  <c r="DP7" i="2631"/>
  <c r="DP37" i="2631" s="1"/>
  <c r="AN44" i="2631"/>
  <c r="BJ46" i="2631"/>
  <c r="BJ45" i="2631" s="1"/>
  <c r="BW46" i="2631"/>
  <c r="BW45" i="2631" s="1"/>
  <c r="M72" i="2631"/>
  <c r="BO72" i="2631"/>
  <c r="BO63" i="2631" s="1"/>
  <c r="DJ72" i="2631"/>
  <c r="DJ63" i="2631" s="1"/>
  <c r="DJ51" i="2631"/>
  <c r="G46" i="2631"/>
  <c r="G45" i="2631" s="1"/>
  <c r="G43" i="2631" s="1"/>
  <c r="G41" i="2631" s="1"/>
  <c r="AT46" i="2631"/>
  <c r="AT45" i="2631" s="1"/>
  <c r="F7" i="2631"/>
  <c r="DC7" i="2631"/>
  <c r="DQ7" i="2631"/>
  <c r="DQ37" i="2631" s="1"/>
  <c r="BA44" i="2631"/>
  <c r="J46" i="2631"/>
  <c r="J45" i="2631" s="1"/>
  <c r="W46" i="2631"/>
  <c r="W45" i="2631" s="1"/>
  <c r="AJ46" i="2631"/>
  <c r="AJ45" i="2631" s="1"/>
  <c r="AW46" i="2631"/>
  <c r="AW45" i="2631" s="1"/>
  <c r="BK46" i="2631"/>
  <c r="BK45" i="2631" s="1"/>
  <c r="BK43" i="2631" s="1"/>
  <c r="BX46" i="2631"/>
  <c r="BX45" i="2631" s="1"/>
  <c r="CK46" i="2631"/>
  <c r="CK45" i="2631" s="1"/>
  <c r="CK43" i="2631" s="1"/>
  <c r="CK41" i="2631" s="1"/>
  <c r="DB72" i="2631"/>
  <c r="B72" i="2631"/>
  <c r="O72" i="2631"/>
  <c r="AB72" i="2631"/>
  <c r="AB63" i="2631" s="1"/>
  <c r="AO72" i="2631"/>
  <c r="BB72" i="2631"/>
  <c r="BP72" i="2631"/>
  <c r="DC72" i="2631"/>
  <c r="AW72" i="2631"/>
  <c r="AW63" i="2631" s="1"/>
  <c r="BJ72" i="2631"/>
  <c r="BJ63" i="2631" s="1"/>
  <c r="BJ62" i="2631" s="1"/>
  <c r="BJ93" i="2631" s="1"/>
  <c r="DL72" i="2631"/>
  <c r="DL63" i="2631" s="1"/>
  <c r="DL62" i="2631" s="1"/>
  <c r="DL51" i="2631"/>
  <c r="DM63" i="2631"/>
  <c r="DM62" i="2631" s="1"/>
  <c r="C7" i="2631"/>
  <c r="T46" i="2631"/>
  <c r="T45" i="2631" s="1"/>
  <c r="CU45" i="2631"/>
  <c r="CU43" i="2631" s="1"/>
  <c r="CU41" i="2631" s="1"/>
  <c r="BT8" i="2631"/>
  <c r="DR7" i="2631"/>
  <c r="BN44" i="2631"/>
  <c r="X46" i="2631"/>
  <c r="X45" i="2631" s="1"/>
  <c r="AK46" i="2631"/>
  <c r="AK45" i="2631" s="1"/>
  <c r="AK43" i="2631" s="1"/>
  <c r="CY45" i="2631"/>
  <c r="C72" i="2631"/>
  <c r="P72" i="2631"/>
  <c r="P63" i="2631" s="1"/>
  <c r="P62" i="2631" s="1"/>
  <c r="P93" i="2631" s="1"/>
  <c r="AC72" i="2631"/>
  <c r="AP72" i="2631"/>
  <c r="AP63" i="2631" s="1"/>
  <c r="AP62" i="2631" s="1"/>
  <c r="AP93" i="2631" s="1"/>
  <c r="BC72" i="2631"/>
  <c r="BQ72" i="2631"/>
  <c r="BQ63" i="2631" s="1"/>
  <c r="BQ62" i="2631" s="1"/>
  <c r="CD72" i="2631"/>
  <c r="DQ63" i="2631"/>
  <c r="DQ62" i="2631" s="1"/>
  <c r="BA48" i="2631"/>
  <c r="N49" i="2631"/>
  <c r="N47" i="2631" s="1"/>
  <c r="AK72" i="2631"/>
  <c r="AK63" i="2631" s="1"/>
  <c r="AK62" i="2631" s="1"/>
  <c r="AK93" i="2631" s="1"/>
  <c r="DA27" i="2636"/>
  <c r="P7" i="2635"/>
  <c r="P41" i="2635" s="1"/>
  <c r="P42" i="2635"/>
  <c r="Q7" i="2635"/>
  <c r="Q41" i="2635" s="1"/>
  <c r="Q42" i="2635"/>
  <c r="BC80" i="2632"/>
  <c r="BP80" i="2632"/>
  <c r="L80" i="2632"/>
  <c r="L79" i="2632" s="1"/>
  <c r="CG80" i="2632"/>
  <c r="P80" i="2632"/>
  <c r="P79" i="2632" s="1"/>
  <c r="BB80" i="2632"/>
  <c r="CP80" i="2632"/>
  <c r="CP79" i="2632" s="1"/>
  <c r="AB80" i="2632"/>
  <c r="AB79" i="2632" s="1"/>
  <c r="S80" i="2632"/>
  <c r="S79" i="2632" s="1"/>
  <c r="BG80" i="2632"/>
  <c r="K101" i="2632"/>
  <c r="K100" i="2632" s="1"/>
  <c r="K120" i="2632" s="1"/>
  <c r="X101" i="2632"/>
  <c r="X100" i="2632" s="1"/>
  <c r="X120" i="2632" s="1"/>
  <c r="BK101" i="2632"/>
  <c r="BK100" i="2632" s="1"/>
  <c r="BK120" i="2632" s="1"/>
  <c r="BX101" i="2632"/>
  <c r="CK101" i="2632"/>
  <c r="CK100" i="2632" s="1"/>
  <c r="CK120" i="2632" s="1"/>
  <c r="CX101" i="2632"/>
  <c r="CX100" i="2632" s="1"/>
  <c r="CX120" i="2632" s="1"/>
  <c r="CJ80" i="2632"/>
  <c r="BE80" i="2632"/>
  <c r="U80" i="2632"/>
  <c r="U79" i="2632" s="1"/>
  <c r="BH80" i="2632"/>
  <c r="CX80" i="2632"/>
  <c r="L101" i="2632"/>
  <c r="L100" i="2632" s="1"/>
  <c r="L120" i="2632" s="1"/>
  <c r="R80" i="2632"/>
  <c r="R79" i="2632" s="1"/>
  <c r="CK80" i="2632"/>
  <c r="X80" i="2632"/>
  <c r="X79" i="2632" s="1"/>
  <c r="BO80" i="2632"/>
  <c r="CZ80" i="2632"/>
  <c r="BZ101" i="2632"/>
  <c r="BZ100" i="2632" s="1"/>
  <c r="BZ120" i="2632" s="1"/>
  <c r="BX80" i="2632"/>
  <c r="C101" i="2632"/>
  <c r="C100" i="2632" s="1"/>
  <c r="C120" i="2632" s="1"/>
  <c r="AP101" i="2632"/>
  <c r="AP100" i="2632" s="1"/>
  <c r="AP120" i="2632" s="1"/>
  <c r="BP101" i="2632"/>
  <c r="BP100" i="2632" s="1"/>
  <c r="BP120" i="2632" s="1"/>
  <c r="AK80" i="2632"/>
  <c r="AK79" i="2632" s="1"/>
  <c r="BZ80" i="2632"/>
  <c r="D101" i="2632"/>
  <c r="D100" i="2632" s="1"/>
  <c r="D120" i="2632" s="1"/>
  <c r="AQ101" i="2632"/>
  <c r="AQ100" i="2632" s="1"/>
  <c r="BD101" i="2632"/>
  <c r="BD100" i="2632" s="1"/>
  <c r="BD120" i="2632" s="1"/>
  <c r="AC80" i="2632"/>
  <c r="AC79" i="2632" s="1"/>
  <c r="AC101" i="2632"/>
  <c r="AC100" i="2632" s="1"/>
  <c r="AC120" i="2632" s="1"/>
  <c r="CC101" i="2632"/>
  <c r="CC100" i="2632" s="1"/>
  <c r="CC120" i="2632" s="1"/>
  <c r="AO80" i="2632"/>
  <c r="AO79" i="2632" s="1"/>
  <c r="CB80" i="2632"/>
  <c r="H101" i="2632"/>
  <c r="H100" i="2632" s="1"/>
  <c r="H120" i="2632" s="1"/>
  <c r="P101" i="2632"/>
  <c r="P100" i="2632" s="1"/>
  <c r="P120" i="2632" s="1"/>
  <c r="BC101" i="2632"/>
  <c r="BC100" i="2632" s="1"/>
  <c r="BC120" i="2632" s="1"/>
  <c r="CP101" i="2632"/>
  <c r="CP100" i="2632" s="1"/>
  <c r="CP120" i="2632" s="1"/>
  <c r="AP80" i="2632"/>
  <c r="AP79" i="2632" s="1"/>
  <c r="CC80" i="2632"/>
  <c r="AR80" i="2632"/>
  <c r="AR79" i="2632" s="1"/>
  <c r="CE80" i="2632"/>
  <c r="DO19" i="2629"/>
  <c r="DO53" i="2629" s="1"/>
  <c r="DK42" i="2629"/>
  <c r="DK7" i="2629"/>
  <c r="DK41" i="2629" s="1"/>
  <c r="DL42" i="2629"/>
  <c r="DL7" i="2629"/>
  <c r="DL41" i="2629" s="1"/>
  <c r="AM7" i="2629"/>
  <c r="AM41" i="2629" s="1"/>
  <c r="AM42" i="2629"/>
  <c r="DM42" i="2629"/>
  <c r="DM7" i="2629"/>
  <c r="DM41" i="2629" s="1"/>
  <c r="DY48" i="2629"/>
  <c r="BG42" i="2629"/>
  <c r="BG7" i="2629"/>
  <c r="BG41" i="2629" s="1"/>
  <c r="DG42" i="2629"/>
  <c r="DG7" i="2629"/>
  <c r="DG41" i="2629" s="1"/>
  <c r="BU42" i="2629"/>
  <c r="BU7" i="2629"/>
  <c r="BU41" i="2629" s="1"/>
  <c r="N8" i="2629"/>
  <c r="B42" i="2629"/>
  <c r="BE42" i="2629"/>
  <c r="BE7" i="2629"/>
  <c r="BE41" i="2629" s="1"/>
  <c r="BH7" i="2628"/>
  <c r="BH30" i="2628" s="1"/>
  <c r="BH32" i="2628"/>
  <c r="BM9" i="2628"/>
  <c r="BM38" i="2628"/>
  <c r="I32" i="2628"/>
  <c r="I7" i="2628"/>
  <c r="I30" i="2628" s="1"/>
  <c r="BO9" i="2628"/>
  <c r="Q9" i="2628"/>
  <c r="BT9" i="2628"/>
  <c r="BT32" i="2628" s="1"/>
  <c r="AY9" i="2628"/>
  <c r="AY33" i="2628"/>
  <c r="BP9" i="2628"/>
  <c r="BP38" i="2628"/>
  <c r="CS7" i="2628"/>
  <c r="CS30" i="2628" s="1"/>
  <c r="T9" i="2628"/>
  <c r="CQ9" i="2628"/>
  <c r="CQ32" i="2628" s="1"/>
  <c r="CR9" i="2628"/>
  <c r="CR32" i="2628" s="1"/>
  <c r="AC9" i="2628"/>
  <c r="AC33" i="2628"/>
  <c r="S7" i="2628"/>
  <c r="S30" i="2628" s="1"/>
  <c r="S32" i="2628"/>
  <c r="DB9" i="2628"/>
  <c r="DB32" i="2628" s="1"/>
  <c r="AQ9" i="2628"/>
  <c r="CV9" i="2628"/>
  <c r="CV38" i="2628"/>
  <c r="R9" i="2628"/>
  <c r="R33" i="2628"/>
  <c r="AS7" i="2628"/>
  <c r="AS30" i="2628" s="1"/>
  <c r="AS32" i="2628"/>
  <c r="AT9" i="2628"/>
  <c r="D9" i="2628"/>
  <c r="D33" i="2628"/>
  <c r="E9" i="2628"/>
  <c r="BG9" i="2628"/>
  <c r="BR48" i="2629"/>
  <c r="BR7" i="2629"/>
  <c r="BR41" i="2629" s="1"/>
  <c r="BP63" i="2631"/>
  <c r="BP62" i="2631" s="1"/>
  <c r="AN48" i="2631"/>
  <c r="AN47" i="2631" s="1"/>
  <c r="AW62" i="2631"/>
  <c r="AW93" i="2631" s="1"/>
  <c r="BO46" i="2631"/>
  <c r="BO45" i="2631" s="1"/>
  <c r="BO43" i="2631" s="1"/>
  <c r="BO41" i="2631" s="1"/>
  <c r="CO63" i="2631"/>
  <c r="CO62" i="2631" s="1"/>
  <c r="CO46" i="2631"/>
  <c r="CO45" i="2631" s="1"/>
  <c r="DB63" i="2631"/>
  <c r="DB46" i="2631"/>
  <c r="DB45" i="2631" s="1"/>
  <c r="L48" i="2635"/>
  <c r="L7" i="2635"/>
  <c r="L41" i="2635" s="1"/>
  <c r="Y48" i="2635"/>
  <c r="Y7" i="2635"/>
  <c r="Y41" i="2635" s="1"/>
  <c r="AL48" i="2635"/>
  <c r="AL7" i="2635"/>
  <c r="AL41" i="2635" s="1"/>
  <c r="AY48" i="2635"/>
  <c r="AY7" i="2635"/>
  <c r="AY41" i="2635" s="1"/>
  <c r="BL48" i="2635"/>
  <c r="BL7" i="2635"/>
  <c r="BL41" i="2635" s="1"/>
  <c r="BY48" i="2635"/>
  <c r="BY7" i="2635"/>
  <c r="BY41" i="2635" s="1"/>
  <c r="CL48" i="2635"/>
  <c r="CL7" i="2635"/>
  <c r="CL41" i="2635" s="1"/>
  <c r="CY48" i="2635"/>
  <c r="CY7" i="2635"/>
  <c r="CY41" i="2635" s="1"/>
  <c r="DL48" i="2635"/>
  <c r="DL7" i="2635"/>
  <c r="DL41" i="2635" s="1"/>
  <c r="DY48" i="2635"/>
  <c r="DY7" i="2635"/>
  <c r="DY41" i="2635" s="1"/>
  <c r="CT7" i="2631"/>
  <c r="CT37" i="2631" s="1"/>
  <c r="DK7" i="2631"/>
  <c r="DK37" i="2631" s="1"/>
  <c r="DK38" i="2631" s="1"/>
  <c r="CM44" i="2631"/>
  <c r="CM8" i="2631"/>
  <c r="U54" i="2631"/>
  <c r="U7" i="2631"/>
  <c r="U37" i="2631" s="1"/>
  <c r="AH54" i="2631"/>
  <c r="AH7" i="2631"/>
  <c r="AU54" i="2631"/>
  <c r="AU7" i="2631"/>
  <c r="AU37" i="2631" s="1"/>
  <c r="BH54" i="2631"/>
  <c r="BH7" i="2631"/>
  <c r="BH37" i="2631" s="1"/>
  <c r="B46" i="2631"/>
  <c r="B45" i="2631" s="1"/>
  <c r="B43" i="2631" s="1"/>
  <c r="B41" i="2631" s="1"/>
  <c r="B63" i="2631"/>
  <c r="B62" i="2631" s="1"/>
  <c r="AB60" i="2634"/>
  <c r="AB59" i="2634" s="1"/>
  <c r="AB93" i="2634" s="1"/>
  <c r="CW7" i="2631"/>
  <c r="CW37" i="2631" s="1"/>
  <c r="CB8" i="2631"/>
  <c r="CB7" i="2631" s="1"/>
  <c r="CB44" i="2631"/>
  <c r="V54" i="2631"/>
  <c r="V7" i="2631"/>
  <c r="AI54" i="2631"/>
  <c r="AI7" i="2631"/>
  <c r="AV54" i="2631"/>
  <c r="BI54" i="2631"/>
  <c r="BI7" i="2631"/>
  <c r="BI37" i="2631" s="1"/>
  <c r="BE51" i="2634"/>
  <c r="BE45" i="2634" s="1"/>
  <c r="BE69" i="2634"/>
  <c r="BE60" i="2634" s="1"/>
  <c r="BE59" i="2634" s="1"/>
  <c r="BE93" i="2634" s="1"/>
  <c r="B7" i="2635"/>
  <c r="B41" i="2635" s="1"/>
  <c r="B42" i="2635"/>
  <c r="AB42" i="2635"/>
  <c r="AB7" i="2635"/>
  <c r="AB41" i="2635" s="1"/>
  <c r="AC48" i="2635"/>
  <c r="AC7" i="2635"/>
  <c r="AC41" i="2635" s="1"/>
  <c r="BP48" i="2635"/>
  <c r="BP7" i="2635"/>
  <c r="BP41" i="2635" s="1"/>
  <c r="CP48" i="2635"/>
  <c r="CP7" i="2635"/>
  <c r="CP41" i="2635" s="1"/>
  <c r="DP48" i="2635"/>
  <c r="DP7" i="2635"/>
  <c r="DP41" i="2635" s="1"/>
  <c r="E48" i="2629"/>
  <c r="E7" i="2629"/>
  <c r="E41" i="2629" s="1"/>
  <c r="CR48" i="2629"/>
  <c r="CR7" i="2629"/>
  <c r="CR41" i="2629" s="1"/>
  <c r="BS7" i="2631"/>
  <c r="BS37" i="2631" s="1"/>
  <c r="X54" i="2631"/>
  <c r="X7" i="2631"/>
  <c r="X37" i="2631" s="1"/>
  <c r="AK54" i="2631"/>
  <c r="AK7" i="2631"/>
  <c r="AK37" i="2631" s="1"/>
  <c r="AX54" i="2631"/>
  <c r="AX7" i="2631"/>
  <c r="AX37" i="2631" s="1"/>
  <c r="BK54" i="2631"/>
  <c r="BK7" i="2631"/>
  <c r="G7" i="2631"/>
  <c r="BT7" i="2631"/>
  <c r="BT37" i="2631" s="1"/>
  <c r="Y54" i="2631"/>
  <c r="Y7" i="2631"/>
  <c r="Y37" i="2631" s="1"/>
  <c r="AL54" i="2631"/>
  <c r="AL7" i="2631"/>
  <c r="AL37" i="2631" s="1"/>
  <c r="AY54" i="2631"/>
  <c r="AY7" i="2631"/>
  <c r="AY37" i="2631" s="1"/>
  <c r="BL7" i="2631"/>
  <c r="BL37" i="2631" s="1"/>
  <c r="BL54" i="2631"/>
  <c r="CI62" i="2631"/>
  <c r="V103" i="2632"/>
  <c r="V100" i="2632" s="1"/>
  <c r="V80" i="2632"/>
  <c r="V79" i="2632" s="1"/>
  <c r="CC48" i="2635"/>
  <c r="CC7" i="2635"/>
  <c r="CC41" i="2635" s="1"/>
  <c r="BM7" i="2628"/>
  <c r="BM30" i="2628" s="1"/>
  <c r="BM32" i="2628"/>
  <c r="Z7" i="2632"/>
  <c r="Z43" i="2632" s="1"/>
  <c r="Z44" i="2632"/>
  <c r="AZ44" i="2632"/>
  <c r="AZ7" i="2632"/>
  <c r="AZ43" i="2632" s="1"/>
  <c r="CM44" i="2632"/>
  <c r="CM7" i="2632"/>
  <c r="CM43" i="2632" s="1"/>
  <c r="CZ44" i="2632"/>
  <c r="CZ7" i="2632"/>
  <c r="CZ43" i="2632" s="1"/>
  <c r="DZ44" i="2632"/>
  <c r="DZ7" i="2632"/>
  <c r="DZ43" i="2632" s="1"/>
  <c r="W100" i="2632"/>
  <c r="W120" i="2632" s="1"/>
  <c r="BL103" i="2632"/>
  <c r="BL100" i="2632" s="1"/>
  <c r="BL120" i="2632" s="1"/>
  <c r="BL80" i="2632"/>
  <c r="BY103" i="2632"/>
  <c r="BY100" i="2632" s="1"/>
  <c r="BY120" i="2632" s="1"/>
  <c r="BY80" i="2632"/>
  <c r="BY79" i="2632" s="1"/>
  <c r="CL103" i="2632"/>
  <c r="CL100" i="2632" s="1"/>
  <c r="CL120" i="2632" s="1"/>
  <c r="CL80" i="2632"/>
  <c r="CL79" i="2632" s="1"/>
  <c r="CY103" i="2632"/>
  <c r="CY100" i="2632" s="1"/>
  <c r="CY120" i="2632" s="1"/>
  <c r="CY80" i="2632"/>
  <c r="CY79" i="2632" s="1"/>
  <c r="T60" i="2634"/>
  <c r="T51" i="2634"/>
  <c r="T45" i="2634" s="1"/>
  <c r="AG51" i="2634"/>
  <c r="AG45" i="2634" s="1"/>
  <c r="AG42" i="2634" s="1"/>
  <c r="CH51" i="2634"/>
  <c r="CH45" i="2634" s="1"/>
  <c r="CE69" i="2634"/>
  <c r="CE60" i="2634" s="1"/>
  <c r="CE59" i="2634" s="1"/>
  <c r="I103" i="2632"/>
  <c r="I100" i="2632" s="1"/>
  <c r="I80" i="2632"/>
  <c r="I79" i="2632" s="1"/>
  <c r="BD51" i="2634"/>
  <c r="BD45" i="2634" s="1"/>
  <c r="BD42" i="2634" s="1"/>
  <c r="BD60" i="2634"/>
  <c r="CR60" i="2634"/>
  <c r="CR59" i="2634" s="1"/>
  <c r="CR51" i="2634"/>
  <c r="CR45" i="2634" s="1"/>
  <c r="C48" i="2635"/>
  <c r="C7" i="2635"/>
  <c r="C41" i="2635" s="1"/>
  <c r="R7" i="2629"/>
  <c r="R41" i="2629" s="1"/>
  <c r="R48" i="2629"/>
  <c r="AR7" i="2629"/>
  <c r="AR41" i="2629" s="1"/>
  <c r="AR48" i="2629"/>
  <c r="CE48" i="2629"/>
  <c r="CE7" i="2629"/>
  <c r="CE41" i="2629" s="1"/>
  <c r="DE7" i="2629"/>
  <c r="DE41" i="2629" s="1"/>
  <c r="DE48" i="2629"/>
  <c r="BM44" i="2632"/>
  <c r="BM7" i="2632"/>
  <c r="BM43" i="2632" s="1"/>
  <c r="CB38" i="2628"/>
  <c r="CB9" i="2628"/>
  <c r="H48" i="2629"/>
  <c r="H7" i="2629"/>
  <c r="H41" i="2629" s="1"/>
  <c r="AH48" i="2629"/>
  <c r="AH7" i="2629"/>
  <c r="AH41" i="2629" s="1"/>
  <c r="BH48" i="2629"/>
  <c r="BH7" i="2629"/>
  <c r="BH41" i="2629" s="1"/>
  <c r="CH48" i="2629"/>
  <c r="CH7" i="2629"/>
  <c r="CH41" i="2629" s="1"/>
  <c r="DH7" i="2629"/>
  <c r="DH41" i="2629" s="1"/>
  <c r="DH48" i="2629"/>
  <c r="DU48" i="2629"/>
  <c r="I7" i="2631"/>
  <c r="BZ8" i="2631"/>
  <c r="BZ7" i="2631" s="1"/>
  <c r="BI83" i="2631"/>
  <c r="BI46" i="2631"/>
  <c r="BI45" i="2631" s="1"/>
  <c r="B44" i="2632"/>
  <c r="B7" i="2632"/>
  <c r="B43" i="2632" s="1"/>
  <c r="O44" i="2632"/>
  <c r="O7" i="2632"/>
  <c r="O43" i="2632" s="1"/>
  <c r="AB44" i="2632"/>
  <c r="AB7" i="2632"/>
  <c r="AB43" i="2632" s="1"/>
  <c r="AO44" i="2632"/>
  <c r="AO7" i="2632"/>
  <c r="AO43" i="2632" s="1"/>
  <c r="BO44" i="2632"/>
  <c r="BO7" i="2632"/>
  <c r="BO43" i="2632" s="1"/>
  <c r="CB44" i="2632"/>
  <c r="CB7" i="2632"/>
  <c r="CB43" i="2632" s="1"/>
  <c r="CO44" i="2632"/>
  <c r="CO7" i="2632"/>
  <c r="CO43" i="2632" s="1"/>
  <c r="DB44" i="2632"/>
  <c r="DB7" i="2632"/>
  <c r="DB43" i="2632" s="1"/>
  <c r="DO44" i="2632"/>
  <c r="DO7" i="2632"/>
  <c r="DO43" i="2632" s="1"/>
  <c r="Y80" i="2632"/>
  <c r="Y79" i="2632" s="1"/>
  <c r="M103" i="2632"/>
  <c r="M100" i="2632" s="1"/>
  <c r="M80" i="2632"/>
  <c r="M79" i="2632" s="1"/>
  <c r="AZ103" i="2632"/>
  <c r="BA103" i="2632" s="1"/>
  <c r="AZ80" i="2632"/>
  <c r="AZ79" i="2632" s="1"/>
  <c r="BM103" i="2632"/>
  <c r="BM100" i="2632" s="1"/>
  <c r="BM120" i="2632" s="1"/>
  <c r="BM80" i="2632"/>
  <c r="BM79" i="2632" s="1"/>
  <c r="CM103" i="2632"/>
  <c r="CM80" i="2632"/>
  <c r="CO104" i="2632"/>
  <c r="CO100" i="2632" s="1"/>
  <c r="CO80" i="2632"/>
  <c r="K53" i="2634"/>
  <c r="K7" i="2634"/>
  <c r="X53" i="2634"/>
  <c r="X40" i="2634" s="1"/>
  <c r="X7" i="2634"/>
  <c r="AK53" i="2634"/>
  <c r="AK7" i="2634"/>
  <c r="AX53" i="2634"/>
  <c r="AX7" i="2634"/>
  <c r="BK7" i="2634"/>
  <c r="BK53" i="2634"/>
  <c r="CK7" i="2634"/>
  <c r="CK35" i="2634" s="1"/>
  <c r="CK53" i="2634"/>
  <c r="CX7" i="2634"/>
  <c r="CX53" i="2634"/>
  <c r="DK53" i="2634"/>
  <c r="DK7" i="2634"/>
  <c r="DX7" i="2634"/>
  <c r="DX35" i="2634" s="1"/>
  <c r="DX36" i="2634" s="1"/>
  <c r="DX53" i="2634"/>
  <c r="AP48" i="2635"/>
  <c r="AP7" i="2635"/>
  <c r="AP41" i="2635" s="1"/>
  <c r="AE48" i="2629"/>
  <c r="AE7" i="2629"/>
  <c r="AE41" i="2629" s="1"/>
  <c r="DR48" i="2629"/>
  <c r="T48" i="2629"/>
  <c r="T7" i="2629"/>
  <c r="T41" i="2629" s="1"/>
  <c r="AT48" i="2629"/>
  <c r="AT7" i="2629"/>
  <c r="AT41" i="2629" s="1"/>
  <c r="CT48" i="2629"/>
  <c r="CT7" i="2629"/>
  <c r="CT41" i="2629" s="1"/>
  <c r="DT48" i="2629"/>
  <c r="AM44" i="2632"/>
  <c r="AM7" i="2632"/>
  <c r="AM43" i="2632" s="1"/>
  <c r="U48" i="2629"/>
  <c r="U7" i="2629"/>
  <c r="U41" i="2629" s="1"/>
  <c r="AU48" i="2629"/>
  <c r="AU7" i="2629"/>
  <c r="AU41" i="2629" s="1"/>
  <c r="CU48" i="2629"/>
  <c r="CU7" i="2629"/>
  <c r="CU41" i="2629" s="1"/>
  <c r="CC7" i="2631"/>
  <c r="K72" i="2631"/>
  <c r="X72" i="2631"/>
  <c r="AX72" i="2631"/>
  <c r="AX63" i="2631" s="1"/>
  <c r="AX62" i="2631" s="1"/>
  <c r="AX93" i="2631" s="1"/>
  <c r="CL63" i="2631"/>
  <c r="CL62" i="2631" s="1"/>
  <c r="CN79" i="2631"/>
  <c r="Q7" i="2629"/>
  <c r="Q41" i="2629" s="1"/>
  <c r="Q48" i="2629"/>
  <c r="AD48" i="2629"/>
  <c r="AD7" i="2629"/>
  <c r="AD41" i="2629" s="1"/>
  <c r="BD7" i="2629"/>
  <c r="BD41" i="2629" s="1"/>
  <c r="BD48" i="2629"/>
  <c r="BQ7" i="2629"/>
  <c r="BQ41" i="2629" s="1"/>
  <c r="BQ48" i="2629"/>
  <c r="CQ7" i="2629"/>
  <c r="CQ41" i="2629" s="1"/>
  <c r="CQ48" i="2629"/>
  <c r="DQ48" i="2629"/>
  <c r="D60" i="2634"/>
  <c r="D51" i="2634"/>
  <c r="D45" i="2634" s="1"/>
  <c r="D42" i="2634" s="1"/>
  <c r="D40" i="2634" s="1"/>
  <c r="AQ51" i="2634"/>
  <c r="AQ45" i="2634" s="1"/>
  <c r="AQ60" i="2634"/>
  <c r="AQ59" i="2634" s="1"/>
  <c r="AQ93" i="2634" s="1"/>
  <c r="BC48" i="2635"/>
  <c r="BC7" i="2635"/>
  <c r="BC41" i="2635" s="1"/>
  <c r="G48" i="2629"/>
  <c r="G7" i="2629"/>
  <c r="G41" i="2629" s="1"/>
  <c r="CG48" i="2629"/>
  <c r="CG7" i="2629"/>
  <c r="CG41" i="2629" s="1"/>
  <c r="CK62" i="2631"/>
  <c r="M44" i="2632"/>
  <c r="M7" i="2632"/>
  <c r="M43" i="2632" s="1"/>
  <c r="CX46" i="2631"/>
  <c r="CX45" i="2631" s="1"/>
  <c r="CX43" i="2631" s="1"/>
  <c r="CX63" i="2631"/>
  <c r="CX62" i="2631" s="1"/>
  <c r="D44" i="2632"/>
  <c r="D7" i="2632"/>
  <c r="D43" i="2632" s="1"/>
  <c r="Q44" i="2632"/>
  <c r="Q7" i="2632"/>
  <c r="Q43" i="2632" s="1"/>
  <c r="AD44" i="2632"/>
  <c r="AD7" i="2632"/>
  <c r="AD43" i="2632" s="1"/>
  <c r="AQ44" i="2632"/>
  <c r="AQ7" i="2632"/>
  <c r="AQ43" i="2632" s="1"/>
  <c r="BD44" i="2632"/>
  <c r="BD7" i="2632"/>
  <c r="BD43" i="2632" s="1"/>
  <c r="BQ44" i="2632"/>
  <c r="BQ7" i="2632"/>
  <c r="BQ43" i="2632" s="1"/>
  <c r="CQ44" i="2632"/>
  <c r="CQ7" i="2632"/>
  <c r="CQ43" i="2632" s="1"/>
  <c r="DD44" i="2632"/>
  <c r="DD7" i="2632"/>
  <c r="DD43" i="2632" s="1"/>
  <c r="DQ44" i="2632"/>
  <c r="DQ7" i="2632"/>
  <c r="DQ43" i="2632" s="1"/>
  <c r="BR60" i="2634"/>
  <c r="BR59" i="2634" s="1"/>
  <c r="BR93" i="2634" s="1"/>
  <c r="D7" i="2629"/>
  <c r="D41" i="2629" s="1"/>
  <c r="D48" i="2629"/>
  <c r="CD48" i="2629"/>
  <c r="CD7" i="2629"/>
  <c r="CD41" i="2629" s="1"/>
  <c r="DD48" i="2629"/>
  <c r="DD7" i="2629"/>
  <c r="DD41" i="2629" s="1"/>
  <c r="DC48" i="2635"/>
  <c r="DC7" i="2635"/>
  <c r="DC41" i="2635" s="1"/>
  <c r="X7" i="2629"/>
  <c r="X41" i="2629" s="1"/>
  <c r="X42" i="2629"/>
  <c r="AG48" i="2629"/>
  <c r="AG7" i="2629"/>
  <c r="AG41" i="2629" s="1"/>
  <c r="K63" i="2631"/>
  <c r="K62" i="2631" s="1"/>
  <c r="K46" i="2631"/>
  <c r="K45" i="2631" s="1"/>
  <c r="AX46" i="2631"/>
  <c r="AX45" i="2631" s="1"/>
  <c r="AX43" i="2631" s="1"/>
  <c r="AX41" i="2631" s="1"/>
  <c r="DL46" i="2631"/>
  <c r="DY46" i="2631"/>
  <c r="DY45" i="2631" s="1"/>
  <c r="DY43" i="2631" s="1"/>
  <c r="DY41" i="2631" s="1"/>
  <c r="DY63" i="2631"/>
  <c r="E44" i="2632"/>
  <c r="E7" i="2632"/>
  <c r="E43" i="2632" s="1"/>
  <c r="R44" i="2632"/>
  <c r="R7" i="2632"/>
  <c r="R43" i="2632" s="1"/>
  <c r="AE44" i="2632"/>
  <c r="AE7" i="2632"/>
  <c r="AE43" i="2632" s="1"/>
  <c r="AR44" i="2632"/>
  <c r="AR7" i="2632"/>
  <c r="AR43" i="2632" s="1"/>
  <c r="BE44" i="2632"/>
  <c r="BE7" i="2632"/>
  <c r="BE43" i="2632" s="1"/>
  <c r="BR44" i="2632"/>
  <c r="BR7" i="2632"/>
  <c r="BR43" i="2632" s="1"/>
  <c r="CE44" i="2632"/>
  <c r="CE7" i="2632"/>
  <c r="CE43" i="2632" s="1"/>
  <c r="CR44" i="2632"/>
  <c r="CR7" i="2632"/>
  <c r="CR43" i="2632" s="1"/>
  <c r="DE44" i="2632"/>
  <c r="DE7" i="2632"/>
  <c r="DE43" i="2632" s="1"/>
  <c r="DR44" i="2632"/>
  <c r="DR7" i="2632"/>
  <c r="DR43" i="2632" s="1"/>
  <c r="DI50" i="2632"/>
  <c r="DI7" i="2632"/>
  <c r="DI43" i="2632" s="1"/>
  <c r="AM35" i="2634"/>
  <c r="O7" i="2634"/>
  <c r="O53" i="2634"/>
  <c r="AB53" i="2634"/>
  <c r="AB7" i="2634"/>
  <c r="AO53" i="2634"/>
  <c r="AO7" i="2634"/>
  <c r="AO35" i="2634" s="1"/>
  <c r="BB53" i="2634"/>
  <c r="BB7" i="2634"/>
  <c r="BO7" i="2634"/>
  <c r="BO53" i="2634"/>
  <c r="CB53" i="2634"/>
  <c r="CB7" i="2634"/>
  <c r="CO7" i="2634"/>
  <c r="CO53" i="2634"/>
  <c r="DB7" i="2634"/>
  <c r="DB53" i="2634"/>
  <c r="DO7" i="2634"/>
  <c r="DO35" i="2634" s="1"/>
  <c r="DO53" i="2634"/>
  <c r="BT7" i="2629"/>
  <c r="BT41" i="2629" s="1"/>
  <c r="BT42" i="2629"/>
  <c r="C48" i="2629"/>
  <c r="C7" i="2629"/>
  <c r="C41" i="2629" s="1"/>
  <c r="P48" i="2629"/>
  <c r="P7" i="2629"/>
  <c r="P41" i="2629" s="1"/>
  <c r="AC48" i="2629"/>
  <c r="AC7" i="2629"/>
  <c r="AC41" i="2629" s="1"/>
  <c r="AP48" i="2629"/>
  <c r="AP7" i="2629"/>
  <c r="AP41" i="2629" s="1"/>
  <c r="BC48" i="2629"/>
  <c r="BC7" i="2629"/>
  <c r="BC41" i="2629" s="1"/>
  <c r="BP48" i="2629"/>
  <c r="BP7" i="2629"/>
  <c r="BP41" i="2629" s="1"/>
  <c r="CC48" i="2629"/>
  <c r="CC7" i="2629"/>
  <c r="CC41" i="2629" s="1"/>
  <c r="CP48" i="2629"/>
  <c r="CP7" i="2629"/>
  <c r="CP41" i="2629" s="1"/>
  <c r="DC7" i="2629"/>
  <c r="DC41" i="2629" s="1"/>
  <c r="DC48" i="2629"/>
  <c r="DP48" i="2629"/>
  <c r="BR7" i="2631"/>
  <c r="BR37" i="2631" s="1"/>
  <c r="DJ7" i="2631"/>
  <c r="DJ37" i="2631" s="1"/>
  <c r="T54" i="2631"/>
  <c r="T7" i="2631"/>
  <c r="T37" i="2631" s="1"/>
  <c r="AG54" i="2631"/>
  <c r="AG7" i="2631"/>
  <c r="AG37" i="2631" s="1"/>
  <c r="AT54" i="2631"/>
  <c r="AT7" i="2631"/>
  <c r="BG54" i="2631"/>
  <c r="BG7" i="2631"/>
  <c r="BG37" i="2631" s="1"/>
  <c r="I46" i="2631"/>
  <c r="I45" i="2631" s="1"/>
  <c r="I43" i="2631" s="1"/>
  <c r="I41" i="2631" s="1"/>
  <c r="V46" i="2631"/>
  <c r="V45" i="2631" s="1"/>
  <c r="AI46" i="2631"/>
  <c r="AI45" i="2631" s="1"/>
  <c r="AV46" i="2631"/>
  <c r="AV45" i="2631" s="1"/>
  <c r="CJ63" i="2631"/>
  <c r="CJ62" i="2631" s="1"/>
  <c r="CJ46" i="2631"/>
  <c r="CJ45" i="2631" s="1"/>
  <c r="CJ43" i="2631" s="1"/>
  <c r="DJ46" i="2631"/>
  <c r="DW63" i="2631"/>
  <c r="DW62" i="2631" s="1"/>
  <c r="DW46" i="2631"/>
  <c r="DW45" i="2631" s="1"/>
  <c r="DW43" i="2631" s="1"/>
  <c r="DW41" i="2631" s="1"/>
  <c r="J72" i="2631"/>
  <c r="AJ72" i="2631"/>
  <c r="AJ63" i="2631" s="1"/>
  <c r="AJ62" i="2631" s="1"/>
  <c r="AJ93" i="2631" s="1"/>
  <c r="Y7" i="2632"/>
  <c r="Y43" i="2632" s="1"/>
  <c r="Y44" i="2632"/>
  <c r="AL44" i="2632"/>
  <c r="AL7" i="2632"/>
  <c r="AL43" i="2632" s="1"/>
  <c r="AY44" i="2632"/>
  <c r="AY7" i="2632"/>
  <c r="AY43" i="2632" s="1"/>
  <c r="BL44" i="2632"/>
  <c r="BL7" i="2632"/>
  <c r="BL43" i="2632" s="1"/>
  <c r="BY7" i="2632"/>
  <c r="BY43" i="2632" s="1"/>
  <c r="BY44" i="2632"/>
  <c r="CL44" i="2632"/>
  <c r="CL7" i="2632"/>
  <c r="CL43" i="2632" s="1"/>
  <c r="CY7" i="2632"/>
  <c r="CY43" i="2632" s="1"/>
  <c r="CY44" i="2632"/>
  <c r="DL44" i="2632"/>
  <c r="DL7" i="2632"/>
  <c r="DL43" i="2632" s="1"/>
  <c r="DY44" i="2632"/>
  <c r="DY7" i="2632"/>
  <c r="DY43" i="2632" s="1"/>
  <c r="CD7" i="2632"/>
  <c r="CD43" i="2632" s="1"/>
  <c r="CD50" i="2632"/>
  <c r="J53" i="2634"/>
  <c r="J7" i="2634"/>
  <c r="W53" i="2634"/>
  <c r="W7" i="2634"/>
  <c r="W35" i="2634" s="1"/>
  <c r="AJ53" i="2634"/>
  <c r="AJ7" i="2634"/>
  <c r="AJ35" i="2634" s="1"/>
  <c r="AW53" i="2634"/>
  <c r="AW7" i="2634"/>
  <c r="BJ53" i="2634"/>
  <c r="BJ7" i="2634"/>
  <c r="CJ53" i="2634"/>
  <c r="CJ7" i="2634"/>
  <c r="CW7" i="2634"/>
  <c r="CW35" i="2634" s="1"/>
  <c r="CW53" i="2634"/>
  <c r="DJ7" i="2634"/>
  <c r="DJ53" i="2634"/>
  <c r="DW7" i="2634"/>
  <c r="DW53" i="2634"/>
  <c r="BF60" i="2634"/>
  <c r="BF59" i="2634" s="1"/>
  <c r="BF93" i="2634" s="1"/>
  <c r="C51" i="2634"/>
  <c r="C45" i="2634" s="1"/>
  <c r="P51" i="2634"/>
  <c r="P45" i="2634" s="1"/>
  <c r="AP60" i="2634"/>
  <c r="AP59" i="2634" s="1"/>
  <c r="AP93" i="2634" s="1"/>
  <c r="AP51" i="2634"/>
  <c r="AP45" i="2634" s="1"/>
  <c r="BC51" i="2634"/>
  <c r="BC45" i="2634" s="1"/>
  <c r="CQ51" i="2634"/>
  <c r="CQ45" i="2634" s="1"/>
  <c r="DD51" i="2634"/>
  <c r="DD45" i="2634" s="1"/>
  <c r="DD42" i="2634" s="1"/>
  <c r="DD40" i="2634" s="1"/>
  <c r="DQ51" i="2634"/>
  <c r="DQ45" i="2634" s="1"/>
  <c r="AJ60" i="2634"/>
  <c r="AJ59" i="2634" s="1"/>
  <c r="AJ93" i="2634" s="1"/>
  <c r="AW60" i="2634"/>
  <c r="CW69" i="2634"/>
  <c r="DX60" i="2634"/>
  <c r="DX59" i="2634" s="1"/>
  <c r="K7" i="2635"/>
  <c r="K41" i="2635" s="1"/>
  <c r="K48" i="2635"/>
  <c r="X48" i="2635"/>
  <c r="X7" i="2635"/>
  <c r="X41" i="2635" s="1"/>
  <c r="AK48" i="2635"/>
  <c r="AK7" i="2635"/>
  <c r="AK41" i="2635" s="1"/>
  <c r="AX48" i="2635"/>
  <c r="AX7" i="2635"/>
  <c r="AX41" i="2635" s="1"/>
  <c r="BK48" i="2635"/>
  <c r="BK7" i="2635"/>
  <c r="BK41" i="2635" s="1"/>
  <c r="BX48" i="2635"/>
  <c r="BX7" i="2635"/>
  <c r="BX41" i="2635" s="1"/>
  <c r="CK48" i="2635"/>
  <c r="CK7" i="2635"/>
  <c r="CK41" i="2635" s="1"/>
  <c r="CX48" i="2635"/>
  <c r="CX7" i="2635"/>
  <c r="CX41" i="2635" s="1"/>
  <c r="DK48" i="2635"/>
  <c r="DK7" i="2635"/>
  <c r="DK41" i="2635" s="1"/>
  <c r="DX48" i="2635"/>
  <c r="DX7" i="2635"/>
  <c r="DX41" i="2635" s="1"/>
  <c r="BX7" i="2634"/>
  <c r="L53" i="2634"/>
  <c r="L7" i="2634"/>
  <c r="Y53" i="2634"/>
  <c r="Y7" i="2634"/>
  <c r="Y35" i="2634" s="1"/>
  <c r="AL53" i="2634"/>
  <c r="AL7" i="2634"/>
  <c r="AL35" i="2634" s="1"/>
  <c r="AY53" i="2634"/>
  <c r="AY7" i="2634"/>
  <c r="BL7" i="2634"/>
  <c r="BL53" i="2634"/>
  <c r="CL53" i="2634"/>
  <c r="CL7" i="2634"/>
  <c r="CL35" i="2634" s="1"/>
  <c r="CY53" i="2634"/>
  <c r="CY7" i="2634"/>
  <c r="CY35" i="2634" s="1"/>
  <c r="DL53" i="2634"/>
  <c r="DL7" i="2634"/>
  <c r="DL35" i="2634" s="1"/>
  <c r="DY53" i="2634"/>
  <c r="DY7" i="2634"/>
  <c r="AJ40" i="2634"/>
  <c r="E51" i="2634"/>
  <c r="E45" i="2634" s="1"/>
  <c r="E42" i="2634" s="1"/>
  <c r="E40" i="2634" s="1"/>
  <c r="R51" i="2634"/>
  <c r="R45" i="2634" s="1"/>
  <c r="AE51" i="2634"/>
  <c r="AE45" i="2634" s="1"/>
  <c r="AR51" i="2634"/>
  <c r="AR45" i="2634" s="1"/>
  <c r="AR42" i="2634" s="1"/>
  <c r="BS51" i="2634"/>
  <c r="BS45" i="2634" s="1"/>
  <c r="CF51" i="2634"/>
  <c r="CF45" i="2634" s="1"/>
  <c r="CF42" i="2634" s="1"/>
  <c r="CS51" i="2634"/>
  <c r="CS45" i="2634" s="1"/>
  <c r="DS51" i="2634"/>
  <c r="DS45" i="2634" s="1"/>
  <c r="M48" i="2635"/>
  <c r="M7" i="2635"/>
  <c r="M41" i="2635" s="1"/>
  <c r="Z7" i="2635"/>
  <c r="Z41" i="2635" s="1"/>
  <c r="Z48" i="2635"/>
  <c r="AM48" i="2635"/>
  <c r="AM7" i="2635"/>
  <c r="AM41" i="2635" s="1"/>
  <c r="AZ48" i="2635"/>
  <c r="AZ7" i="2635"/>
  <c r="AZ41" i="2635" s="1"/>
  <c r="BM48" i="2635"/>
  <c r="BM7" i="2635"/>
  <c r="BM41" i="2635" s="1"/>
  <c r="BZ48" i="2635"/>
  <c r="BZ7" i="2635"/>
  <c r="BZ41" i="2635" s="1"/>
  <c r="CM48" i="2635"/>
  <c r="CM7" i="2635"/>
  <c r="CM41" i="2635" s="1"/>
  <c r="CZ48" i="2635"/>
  <c r="CZ7" i="2635"/>
  <c r="CZ41" i="2635" s="1"/>
  <c r="DM48" i="2635"/>
  <c r="DM7" i="2635"/>
  <c r="DM41" i="2635" s="1"/>
  <c r="DZ48" i="2635"/>
  <c r="DZ7" i="2635"/>
  <c r="DZ41" i="2635" s="1"/>
  <c r="G32" i="2628"/>
  <c r="G7" i="2628"/>
  <c r="G30" i="2628" s="1"/>
  <c r="AJ7" i="2629"/>
  <c r="AJ41" i="2629" s="1"/>
  <c r="AJ42" i="2629"/>
  <c r="F48" i="2629"/>
  <c r="F7" i="2629"/>
  <c r="F41" i="2629" s="1"/>
  <c r="S48" i="2629"/>
  <c r="S7" i="2629"/>
  <c r="S41" i="2629" s="1"/>
  <c r="AF48" i="2629"/>
  <c r="AF7" i="2629"/>
  <c r="AF41" i="2629" s="1"/>
  <c r="AS48" i="2629"/>
  <c r="AS7" i="2629"/>
  <c r="AS41" i="2629" s="1"/>
  <c r="BF48" i="2629"/>
  <c r="BF7" i="2629"/>
  <c r="BF41" i="2629" s="1"/>
  <c r="BS48" i="2629"/>
  <c r="BS7" i="2629"/>
  <c r="BS41" i="2629" s="1"/>
  <c r="CF48" i="2629"/>
  <c r="CF7" i="2629"/>
  <c r="CF41" i="2629" s="1"/>
  <c r="CS48" i="2629"/>
  <c r="CS7" i="2629"/>
  <c r="CS41" i="2629" s="1"/>
  <c r="DF48" i="2629"/>
  <c r="DF7" i="2629"/>
  <c r="DF41" i="2629" s="1"/>
  <c r="H7" i="2631"/>
  <c r="BU7" i="2631"/>
  <c r="BU37" i="2631" s="1"/>
  <c r="CZ7" i="2631"/>
  <c r="CZ37" i="2631" s="1"/>
  <c r="W7" i="2631"/>
  <c r="W37" i="2631" s="1"/>
  <c r="W54" i="2631"/>
  <c r="AJ54" i="2631"/>
  <c r="AJ7" i="2631"/>
  <c r="AJ37" i="2631" s="1"/>
  <c r="AW54" i="2631"/>
  <c r="AW7" i="2631"/>
  <c r="AW37" i="2631" s="1"/>
  <c r="BJ54" i="2631"/>
  <c r="BJ7" i="2631"/>
  <c r="N52" i="2631"/>
  <c r="L46" i="2631"/>
  <c r="L45" i="2631" s="1"/>
  <c r="Y46" i="2631"/>
  <c r="Y45" i="2631" s="1"/>
  <c r="AL46" i="2631"/>
  <c r="AL45" i="2631" s="1"/>
  <c r="AY46" i="2631"/>
  <c r="AY45" i="2631" s="1"/>
  <c r="C7" i="2632"/>
  <c r="C43" i="2632" s="1"/>
  <c r="C44" i="2632"/>
  <c r="P44" i="2632"/>
  <c r="P7" i="2632"/>
  <c r="P43" i="2632" s="1"/>
  <c r="AC44" i="2632"/>
  <c r="AC7" i="2632"/>
  <c r="AC43" i="2632" s="1"/>
  <c r="AP44" i="2632"/>
  <c r="AP7" i="2632"/>
  <c r="AP43" i="2632" s="1"/>
  <c r="BC44" i="2632"/>
  <c r="BC7" i="2632"/>
  <c r="BC43" i="2632" s="1"/>
  <c r="BP44" i="2632"/>
  <c r="BP7" i="2632"/>
  <c r="BP43" i="2632" s="1"/>
  <c r="CC44" i="2632"/>
  <c r="CC7" i="2632"/>
  <c r="CC43" i="2632" s="1"/>
  <c r="CP44" i="2632"/>
  <c r="CP7" i="2632"/>
  <c r="CP43" i="2632" s="1"/>
  <c r="DC44" i="2632"/>
  <c r="DC7" i="2632"/>
  <c r="DC43" i="2632" s="1"/>
  <c r="DP44" i="2632"/>
  <c r="DP7" i="2632"/>
  <c r="DP43" i="2632" s="1"/>
  <c r="T50" i="2632"/>
  <c r="AA50" i="2632" s="1"/>
  <c r="T7" i="2632"/>
  <c r="T43" i="2632" s="1"/>
  <c r="CG7" i="2632"/>
  <c r="CG43" i="2632" s="1"/>
  <c r="CG50" i="2632"/>
  <c r="BC79" i="2632"/>
  <c r="AY35" i="2634"/>
  <c r="BL35" i="2634"/>
  <c r="BY7" i="2634"/>
  <c r="BY35" i="2634" s="1"/>
  <c r="M53" i="2634"/>
  <c r="M7" i="2634"/>
  <c r="Z53" i="2634"/>
  <c r="Z7" i="2634"/>
  <c r="Z35" i="2634" s="1"/>
  <c r="AM7" i="2634"/>
  <c r="AM53" i="2634"/>
  <c r="AZ53" i="2634"/>
  <c r="AZ7" i="2634"/>
  <c r="AZ35" i="2634" s="1"/>
  <c r="BM53" i="2634"/>
  <c r="BM7" i="2634"/>
  <c r="BM35" i="2634" s="1"/>
  <c r="CM7" i="2634"/>
  <c r="CM35" i="2634" s="1"/>
  <c r="CM53" i="2634"/>
  <c r="CM40" i="2634" s="1"/>
  <c r="CZ7" i="2634"/>
  <c r="CZ35" i="2634" s="1"/>
  <c r="CZ53" i="2634"/>
  <c r="DM7" i="2634"/>
  <c r="DM35" i="2634" s="1"/>
  <c r="DM53" i="2634"/>
  <c r="DZ7" i="2634"/>
  <c r="DZ53" i="2634"/>
  <c r="BQ60" i="2634"/>
  <c r="BQ59" i="2634" s="1"/>
  <c r="BQ93" i="2634" s="1"/>
  <c r="F51" i="2634"/>
  <c r="F45" i="2634" s="1"/>
  <c r="S51" i="2634"/>
  <c r="S45" i="2634" s="1"/>
  <c r="AF51" i="2634"/>
  <c r="AF45" i="2634" s="1"/>
  <c r="AS51" i="2634"/>
  <c r="AS45" i="2634" s="1"/>
  <c r="BT51" i="2634"/>
  <c r="BT45" i="2634" s="1"/>
  <c r="BT42" i="2634" s="1"/>
  <c r="CG51" i="2634"/>
  <c r="CG45" i="2634" s="1"/>
  <c r="CT51" i="2634"/>
  <c r="CT45" i="2634" s="1"/>
  <c r="DG51" i="2634"/>
  <c r="DG45" i="2634" s="1"/>
  <c r="DG42" i="2634" s="1"/>
  <c r="DT51" i="2634"/>
  <c r="DT45" i="2634" s="1"/>
  <c r="DT42" i="2634" s="1"/>
  <c r="CZ69" i="2634"/>
  <c r="CZ60" i="2634" s="1"/>
  <c r="CZ59" i="2634" s="1"/>
  <c r="O48" i="2635"/>
  <c r="O7" i="2635"/>
  <c r="O41" i="2635" s="1"/>
  <c r="AO48" i="2635"/>
  <c r="AO7" i="2635"/>
  <c r="AO41" i="2635" s="1"/>
  <c r="BB48" i="2635"/>
  <c r="BB7" i="2635"/>
  <c r="BB41" i="2635" s="1"/>
  <c r="BO48" i="2635"/>
  <c r="BO7" i="2635"/>
  <c r="BO41" i="2635" s="1"/>
  <c r="CB48" i="2635"/>
  <c r="CB7" i="2635"/>
  <c r="CB41" i="2635" s="1"/>
  <c r="CO48" i="2635"/>
  <c r="CO7" i="2635"/>
  <c r="CO41" i="2635" s="1"/>
  <c r="DB48" i="2635"/>
  <c r="DB7" i="2635"/>
  <c r="DB41" i="2635" s="1"/>
  <c r="DO48" i="2635"/>
  <c r="DO7" i="2635"/>
  <c r="DO41" i="2635" s="1"/>
  <c r="B7" i="2634"/>
  <c r="BP53" i="2634"/>
  <c r="BP7" i="2634"/>
  <c r="BP35" i="2634" s="1"/>
  <c r="BS60" i="2634"/>
  <c r="AD48" i="2635"/>
  <c r="AD7" i="2635"/>
  <c r="AD41" i="2635" s="1"/>
  <c r="I48" i="2629"/>
  <c r="I7" i="2629"/>
  <c r="I41" i="2629" s="1"/>
  <c r="V48" i="2629"/>
  <c r="V7" i="2629"/>
  <c r="V41" i="2629" s="1"/>
  <c r="AI48" i="2629"/>
  <c r="AI7" i="2629"/>
  <c r="AI41" i="2629" s="1"/>
  <c r="AV48" i="2629"/>
  <c r="AV7" i="2629"/>
  <c r="AV41" i="2629" s="1"/>
  <c r="BI48" i="2629"/>
  <c r="BI7" i="2629"/>
  <c r="BI41" i="2629" s="1"/>
  <c r="BV48" i="2629"/>
  <c r="BV7" i="2629"/>
  <c r="BV41" i="2629" s="1"/>
  <c r="CI48" i="2629"/>
  <c r="CI7" i="2629"/>
  <c r="CI41" i="2629" s="1"/>
  <c r="CV48" i="2629"/>
  <c r="CV7" i="2629"/>
  <c r="CV41" i="2629" s="1"/>
  <c r="DI7" i="2629"/>
  <c r="DI41" i="2629" s="1"/>
  <c r="DI48" i="2629"/>
  <c r="DV48" i="2629"/>
  <c r="K7" i="2631"/>
  <c r="BK37" i="2631"/>
  <c r="CG8" i="2631"/>
  <c r="CG7" i="2631" s="1"/>
  <c r="CG37" i="2631" s="1"/>
  <c r="DD7" i="2631"/>
  <c r="DD37" i="2631" s="1"/>
  <c r="M54" i="2631"/>
  <c r="M7" i="2631"/>
  <c r="Z54" i="2631"/>
  <c r="Z7" i="2631"/>
  <c r="Z37" i="2631" s="1"/>
  <c r="AM54" i="2631"/>
  <c r="AM7" i="2631"/>
  <c r="AM3" i="2631" s="1"/>
  <c r="AZ7" i="2631"/>
  <c r="AZ37" i="2631" s="1"/>
  <c r="AZ54" i="2631"/>
  <c r="BM7" i="2631"/>
  <c r="BM54" i="2631"/>
  <c r="BA52" i="2631"/>
  <c r="C63" i="2631"/>
  <c r="C46" i="2631"/>
  <c r="C45" i="2631" s="1"/>
  <c r="AP46" i="2631"/>
  <c r="AP45" i="2631" s="1"/>
  <c r="CD63" i="2631"/>
  <c r="CD62" i="2631" s="1"/>
  <c r="CD46" i="2631"/>
  <c r="CD45" i="2631" s="1"/>
  <c r="D72" i="2631"/>
  <c r="Q72" i="2631"/>
  <c r="BD72" i="2631"/>
  <c r="BD63" i="2631" s="1"/>
  <c r="BD62" i="2631" s="1"/>
  <c r="BD93" i="2631" s="1"/>
  <c r="BN48" i="2631"/>
  <c r="BN47" i="2631" s="1"/>
  <c r="AA49" i="2631"/>
  <c r="AA47" i="2631" s="1"/>
  <c r="F7" i="2632"/>
  <c r="F43" i="2632" s="1"/>
  <c r="F44" i="2632"/>
  <c r="S44" i="2632"/>
  <c r="S7" i="2632"/>
  <c r="S43" i="2632" s="1"/>
  <c r="AF44" i="2632"/>
  <c r="AF7" i="2632"/>
  <c r="AF43" i="2632" s="1"/>
  <c r="AS44" i="2632"/>
  <c r="AS7" i="2632"/>
  <c r="AS43" i="2632" s="1"/>
  <c r="BF44" i="2632"/>
  <c r="BF7" i="2632"/>
  <c r="BF43" i="2632" s="1"/>
  <c r="BS44" i="2632"/>
  <c r="BS7" i="2632"/>
  <c r="BS43" i="2632" s="1"/>
  <c r="CF44" i="2632"/>
  <c r="CF7" i="2632"/>
  <c r="CF43" i="2632" s="1"/>
  <c r="CS44" i="2632"/>
  <c r="CS7" i="2632"/>
  <c r="CS43" i="2632" s="1"/>
  <c r="DF44" i="2632"/>
  <c r="DF7" i="2632"/>
  <c r="DF43" i="2632" s="1"/>
  <c r="DS44" i="2632"/>
  <c r="DS7" i="2632"/>
  <c r="DS43" i="2632" s="1"/>
  <c r="AY100" i="2632"/>
  <c r="AY99" i="2632" s="1"/>
  <c r="C7" i="2634"/>
  <c r="Q53" i="2634"/>
  <c r="Q7" i="2634"/>
  <c r="AD7" i="2634"/>
  <c r="AD35" i="2634" s="1"/>
  <c r="AD53" i="2634"/>
  <c r="AQ7" i="2634"/>
  <c r="AQ35" i="2634" s="1"/>
  <c r="AQ36" i="2634" s="1"/>
  <c r="AQ53" i="2634"/>
  <c r="BD53" i="2634"/>
  <c r="BD7" i="2634"/>
  <c r="BD35" i="2634" s="1"/>
  <c r="BQ53" i="2634"/>
  <c r="BQ7" i="2634"/>
  <c r="CD53" i="2634"/>
  <c r="CD7" i="2634"/>
  <c r="CQ53" i="2634"/>
  <c r="CQ7" i="2634"/>
  <c r="DD7" i="2634"/>
  <c r="DD35" i="2634" s="1"/>
  <c r="DD53" i="2634"/>
  <c r="DQ7" i="2634"/>
  <c r="DQ35" i="2634" s="1"/>
  <c r="DQ53" i="2634"/>
  <c r="AI51" i="2634"/>
  <c r="AI45" i="2634" s="1"/>
  <c r="CW51" i="2634"/>
  <c r="CW45" i="2634" s="1"/>
  <c r="CW42" i="2634" s="1"/>
  <c r="DJ51" i="2634"/>
  <c r="DJ45" i="2634" s="1"/>
  <c r="DW51" i="2634"/>
  <c r="DW45" i="2634" s="1"/>
  <c r="DW42" i="2634" s="1"/>
  <c r="Q60" i="2634"/>
  <c r="Q59" i="2634" s="1"/>
  <c r="AG69" i="2634"/>
  <c r="AG60" i="2634" s="1"/>
  <c r="AG59" i="2634" s="1"/>
  <c r="AG93" i="2634" s="1"/>
  <c r="E7" i="2635"/>
  <c r="E41" i="2635" s="1"/>
  <c r="E48" i="2635"/>
  <c r="R48" i="2635"/>
  <c r="R7" i="2635"/>
  <c r="R41" i="2635" s="1"/>
  <c r="AE7" i="2635"/>
  <c r="AE41" i="2635" s="1"/>
  <c r="AE48" i="2635"/>
  <c r="AR7" i="2635"/>
  <c r="AR41" i="2635" s="1"/>
  <c r="AR48" i="2635"/>
  <c r="BE48" i="2635"/>
  <c r="BE7" i="2635"/>
  <c r="BE41" i="2635" s="1"/>
  <c r="BR48" i="2635"/>
  <c r="BR7" i="2635"/>
  <c r="BR41" i="2635" s="1"/>
  <c r="CE7" i="2635"/>
  <c r="CE41" i="2635" s="1"/>
  <c r="CE48" i="2635"/>
  <c r="CR7" i="2635"/>
  <c r="CR41" i="2635" s="1"/>
  <c r="CR48" i="2635"/>
  <c r="DE7" i="2635"/>
  <c r="DE41" i="2635" s="1"/>
  <c r="DE48" i="2635"/>
  <c r="DR48" i="2635"/>
  <c r="DR7" i="2635"/>
  <c r="DR41" i="2635" s="1"/>
  <c r="DN27" i="2636"/>
  <c r="EA27" i="2636"/>
  <c r="CB35" i="2634"/>
  <c r="BC53" i="2634"/>
  <c r="BC7" i="2634"/>
  <c r="DC53" i="2634"/>
  <c r="DC7" i="2634"/>
  <c r="DC35" i="2634" s="1"/>
  <c r="CD48" i="2635"/>
  <c r="CD7" i="2635"/>
  <c r="CD41" i="2635" s="1"/>
  <c r="AB42" i="2629"/>
  <c r="AB7" i="2629"/>
  <c r="AB41" i="2629" s="1"/>
  <c r="BO42" i="2629"/>
  <c r="BO7" i="2629"/>
  <c r="BO41" i="2629" s="1"/>
  <c r="CB42" i="2629"/>
  <c r="CB7" i="2629"/>
  <c r="CB41" i="2629" s="1"/>
  <c r="CO42" i="2629"/>
  <c r="CO7" i="2629"/>
  <c r="CO41" i="2629" s="1"/>
  <c r="EA8" i="2629"/>
  <c r="DO42" i="2629"/>
  <c r="DO7" i="2629"/>
  <c r="DO41" i="2629" s="1"/>
  <c r="J48" i="2629"/>
  <c r="J7" i="2629"/>
  <c r="J41" i="2629" s="1"/>
  <c r="W48" i="2629"/>
  <c r="W7" i="2629"/>
  <c r="W41" i="2629" s="1"/>
  <c r="AW48" i="2629"/>
  <c r="AW7" i="2629"/>
  <c r="AW41" i="2629" s="1"/>
  <c r="BJ48" i="2629"/>
  <c r="BJ7" i="2629"/>
  <c r="BJ41" i="2629" s="1"/>
  <c r="BW48" i="2629"/>
  <c r="BW7" i="2629"/>
  <c r="BW41" i="2629" s="1"/>
  <c r="CJ48" i="2629"/>
  <c r="CJ7" i="2629"/>
  <c r="CJ41" i="2629" s="1"/>
  <c r="CW48" i="2629"/>
  <c r="CW7" i="2629"/>
  <c r="CW41" i="2629" s="1"/>
  <c r="DJ7" i="2629"/>
  <c r="DJ41" i="2629" s="1"/>
  <c r="DJ48" i="2629"/>
  <c r="DW48" i="2629"/>
  <c r="L7" i="2631"/>
  <c r="DS7" i="2631"/>
  <c r="DS37" i="2631" s="1"/>
  <c r="O54" i="2631"/>
  <c r="O7" i="2631"/>
  <c r="O37" i="2631" s="1"/>
  <c r="AB7" i="2631"/>
  <c r="AB37" i="2631" s="1"/>
  <c r="AB54" i="2631"/>
  <c r="AO7" i="2631"/>
  <c r="AO54" i="2631"/>
  <c r="BB7" i="2631"/>
  <c r="BB54" i="2631"/>
  <c r="DH62" i="2631"/>
  <c r="AD63" i="2631"/>
  <c r="AD62" i="2631" s="1"/>
  <c r="AD93" i="2631" s="1"/>
  <c r="AD46" i="2631"/>
  <c r="AD45" i="2631" s="1"/>
  <c r="AD43" i="2631" s="1"/>
  <c r="AQ63" i="2631"/>
  <c r="AQ46" i="2631"/>
  <c r="AQ45" i="2631" s="1"/>
  <c r="AQ43" i="2631" s="1"/>
  <c r="BR63" i="2631"/>
  <c r="BR62" i="2631" s="1"/>
  <c r="BR46" i="2631"/>
  <c r="BR45" i="2631" s="1"/>
  <c r="CR63" i="2631"/>
  <c r="CR62" i="2631" s="1"/>
  <c r="CR46" i="2631"/>
  <c r="CR45" i="2631" s="1"/>
  <c r="DR63" i="2631"/>
  <c r="DR62" i="2631" s="1"/>
  <c r="DR46" i="2631"/>
  <c r="DR45" i="2631" s="1"/>
  <c r="AV63" i="2631"/>
  <c r="AV62" i="2631" s="1"/>
  <c r="AV93" i="2631" s="1"/>
  <c r="E63" i="2631"/>
  <c r="E62" i="2631" s="1"/>
  <c r="CY72" i="2631"/>
  <c r="G44" i="2632"/>
  <c r="G7" i="2632"/>
  <c r="G43" i="2632" s="1"/>
  <c r="AG44" i="2632"/>
  <c r="AG7" i="2632"/>
  <c r="AG43" i="2632" s="1"/>
  <c r="AT44" i="2632"/>
  <c r="AT7" i="2632"/>
  <c r="AT43" i="2632" s="1"/>
  <c r="BG44" i="2632"/>
  <c r="BG7" i="2632"/>
  <c r="BG43" i="2632" s="1"/>
  <c r="BT44" i="2632"/>
  <c r="BT7" i="2632"/>
  <c r="BT43" i="2632" s="1"/>
  <c r="CT44" i="2632"/>
  <c r="CT7" i="2632"/>
  <c r="CT43" i="2632" s="1"/>
  <c r="DG44" i="2632"/>
  <c r="DG7" i="2632"/>
  <c r="DG43" i="2632" s="1"/>
  <c r="DT44" i="2632"/>
  <c r="DT7" i="2632"/>
  <c r="DT43" i="2632" s="1"/>
  <c r="BK50" i="2632"/>
  <c r="BK7" i="2632"/>
  <c r="BK43" i="2632" s="1"/>
  <c r="AM100" i="2632"/>
  <c r="AM120" i="2632" s="1"/>
  <c r="AM119" i="2632" s="1"/>
  <c r="CZ100" i="2632"/>
  <c r="CZ120" i="2632" s="1"/>
  <c r="R53" i="2634"/>
  <c r="R7" i="2634"/>
  <c r="AE7" i="2634"/>
  <c r="AE53" i="2634"/>
  <c r="AR53" i="2634"/>
  <c r="AR7" i="2634"/>
  <c r="BE53" i="2634"/>
  <c r="BE7" i="2634"/>
  <c r="BR53" i="2634"/>
  <c r="BR7" i="2634"/>
  <c r="BR35" i="2634" s="1"/>
  <c r="CE53" i="2634"/>
  <c r="CE7" i="2634"/>
  <c r="CE35" i="2634" s="1"/>
  <c r="CR53" i="2634"/>
  <c r="CR7" i="2634"/>
  <c r="CR35" i="2634" s="1"/>
  <c r="DE7" i="2634"/>
  <c r="DE35" i="2634" s="1"/>
  <c r="DE53" i="2634"/>
  <c r="DE40" i="2634" s="1"/>
  <c r="DR7" i="2634"/>
  <c r="DR35" i="2634" s="1"/>
  <c r="DR53" i="2634"/>
  <c r="J60" i="2634"/>
  <c r="J59" i="2634" s="1"/>
  <c r="J55" i="2634" s="1"/>
  <c r="J51" i="2634"/>
  <c r="J45" i="2634" s="1"/>
  <c r="J42" i="2634" s="1"/>
  <c r="J40" i="2634" s="1"/>
  <c r="BX51" i="2634"/>
  <c r="BX45" i="2634" s="1"/>
  <c r="CK60" i="2634"/>
  <c r="CK59" i="2634" s="1"/>
  <c r="CK51" i="2634"/>
  <c r="CK45" i="2634" s="1"/>
  <c r="CK42" i="2634" s="1"/>
  <c r="CK40" i="2634" s="1"/>
  <c r="CK36" i="2634" s="1"/>
  <c r="DK51" i="2634"/>
  <c r="DK45" i="2634" s="1"/>
  <c r="AR69" i="2634"/>
  <c r="AR60" i="2634" s="1"/>
  <c r="AR59" i="2634" s="1"/>
  <c r="AR93" i="2634" s="1"/>
  <c r="F7" i="2635"/>
  <c r="F41" i="2635" s="1"/>
  <c r="F48" i="2635"/>
  <c r="S48" i="2635"/>
  <c r="S7" i="2635"/>
  <c r="S41" i="2635" s="1"/>
  <c r="AF48" i="2635"/>
  <c r="AF7" i="2635"/>
  <c r="AF41" i="2635" s="1"/>
  <c r="AS7" i="2635"/>
  <c r="AS41" i="2635" s="1"/>
  <c r="AS48" i="2635"/>
  <c r="BF48" i="2635"/>
  <c r="BF7" i="2635"/>
  <c r="BF41" i="2635" s="1"/>
  <c r="BS7" i="2635"/>
  <c r="BS41" i="2635" s="1"/>
  <c r="BS48" i="2635"/>
  <c r="CF48" i="2635"/>
  <c r="CF7" i="2635"/>
  <c r="CF41" i="2635" s="1"/>
  <c r="CS7" i="2635"/>
  <c r="CS41" i="2635" s="1"/>
  <c r="CS48" i="2635"/>
  <c r="DF7" i="2635"/>
  <c r="DF41" i="2635" s="1"/>
  <c r="DF48" i="2635"/>
  <c r="DS7" i="2635"/>
  <c r="DS41" i="2635" s="1"/>
  <c r="DS48" i="2635"/>
  <c r="DP53" i="2634"/>
  <c r="DP7" i="2634"/>
  <c r="DP35" i="2634" s="1"/>
  <c r="D7" i="2635"/>
  <c r="D41" i="2635" s="1"/>
  <c r="D48" i="2635"/>
  <c r="BD48" i="2635"/>
  <c r="BD7" i="2635"/>
  <c r="BD41" i="2635" s="1"/>
  <c r="CQ7" i="2635"/>
  <c r="CQ41" i="2635" s="1"/>
  <c r="CQ48" i="2635"/>
  <c r="DQ48" i="2635"/>
  <c r="DQ7" i="2635"/>
  <c r="DQ41" i="2635" s="1"/>
  <c r="K48" i="2629"/>
  <c r="K7" i="2629"/>
  <c r="K41" i="2629" s="1"/>
  <c r="AK48" i="2629"/>
  <c r="AK7" i="2629"/>
  <c r="AK41" i="2629" s="1"/>
  <c r="AX48" i="2629"/>
  <c r="AX7" i="2629"/>
  <c r="AX41" i="2629" s="1"/>
  <c r="BK48" i="2629"/>
  <c r="BK7" i="2629"/>
  <c r="BK41" i="2629" s="1"/>
  <c r="BX48" i="2629"/>
  <c r="BX7" i="2629"/>
  <c r="BX41" i="2629" s="1"/>
  <c r="CK48" i="2629"/>
  <c r="CK7" i="2629"/>
  <c r="CK41" i="2629" s="1"/>
  <c r="CX48" i="2629"/>
  <c r="CX7" i="2629"/>
  <c r="CX41" i="2629" s="1"/>
  <c r="DX48" i="2629"/>
  <c r="CI8" i="2631"/>
  <c r="DT7" i="2631"/>
  <c r="DT37" i="2631" s="1"/>
  <c r="P54" i="2631"/>
  <c r="P7" i="2631"/>
  <c r="P37" i="2631" s="1"/>
  <c r="AC54" i="2631"/>
  <c r="AC7" i="2631"/>
  <c r="AC37" i="2631" s="1"/>
  <c r="AP7" i="2631"/>
  <c r="AP54" i="2631"/>
  <c r="BC54" i="2631"/>
  <c r="BC7" i="2631"/>
  <c r="BC37" i="2631" s="1"/>
  <c r="BN23" i="2631"/>
  <c r="DN23" i="2631"/>
  <c r="EA23" i="2631"/>
  <c r="DX63" i="2631"/>
  <c r="DX62" i="2631" s="1"/>
  <c r="AF63" i="2631"/>
  <c r="AF62" i="2631" s="1"/>
  <c r="AF93" i="2631" s="1"/>
  <c r="BT72" i="2631"/>
  <c r="BT63" i="2631" s="1"/>
  <c r="BT62" i="2631" s="1"/>
  <c r="DG63" i="2631"/>
  <c r="DT63" i="2631"/>
  <c r="DT62" i="2631" s="1"/>
  <c r="BA49" i="2631"/>
  <c r="BA47" i="2631" s="1"/>
  <c r="H7" i="2632"/>
  <c r="H43" i="2632" s="1"/>
  <c r="H44" i="2632"/>
  <c r="U44" i="2632"/>
  <c r="U7" i="2632"/>
  <c r="U43" i="2632" s="1"/>
  <c r="AH7" i="2632"/>
  <c r="AH43" i="2632" s="1"/>
  <c r="AH44" i="2632"/>
  <c r="AU44" i="2632"/>
  <c r="AU7" i="2632"/>
  <c r="AU43" i="2632" s="1"/>
  <c r="BH7" i="2632"/>
  <c r="BH43" i="2632" s="1"/>
  <c r="BH44" i="2632"/>
  <c r="BU44" i="2632"/>
  <c r="BU7" i="2632"/>
  <c r="BU43" i="2632" s="1"/>
  <c r="CH7" i="2632"/>
  <c r="CH43" i="2632" s="1"/>
  <c r="CH44" i="2632"/>
  <c r="CU7" i="2632"/>
  <c r="CU43" i="2632" s="1"/>
  <c r="CU44" i="2632"/>
  <c r="DH7" i="2632"/>
  <c r="DH43" i="2632" s="1"/>
  <c r="DH44" i="2632"/>
  <c r="DU7" i="2632"/>
  <c r="DU43" i="2632" s="1"/>
  <c r="DU44" i="2632"/>
  <c r="L50" i="2632"/>
  <c r="N50" i="2632" s="1"/>
  <c r="L7" i="2632"/>
  <c r="L43" i="2632" s="1"/>
  <c r="E7" i="2634"/>
  <c r="R35" i="2634"/>
  <c r="AR35" i="2634"/>
  <c r="BE35" i="2634"/>
  <c r="S53" i="2634"/>
  <c r="S7" i="2634"/>
  <c r="S35" i="2634" s="1"/>
  <c r="S36" i="2634" s="1"/>
  <c r="AF53" i="2634"/>
  <c r="AF7" i="2634"/>
  <c r="AS53" i="2634"/>
  <c r="AS7" i="2634"/>
  <c r="BF7" i="2634"/>
  <c r="BF35" i="2634" s="1"/>
  <c r="BF53" i="2634"/>
  <c r="BS53" i="2634"/>
  <c r="BS7" i="2634"/>
  <c r="BS35" i="2634" s="1"/>
  <c r="CF53" i="2634"/>
  <c r="CF7" i="2634"/>
  <c r="CS53" i="2634"/>
  <c r="CS7" i="2634"/>
  <c r="CS35" i="2634" s="1"/>
  <c r="DF7" i="2634"/>
  <c r="DF53" i="2634"/>
  <c r="DS7" i="2634"/>
  <c r="DS35" i="2634" s="1"/>
  <c r="DS53" i="2634"/>
  <c r="K51" i="2634"/>
  <c r="K45" i="2634" s="1"/>
  <c r="K42" i="2634" s="1"/>
  <c r="K40" i="2634" s="1"/>
  <c r="BL51" i="2634"/>
  <c r="BL45" i="2634" s="1"/>
  <c r="CL51" i="2634"/>
  <c r="CL45" i="2634" s="1"/>
  <c r="CY51" i="2634"/>
  <c r="CY45" i="2634" s="1"/>
  <c r="DL51" i="2634"/>
  <c r="DL45" i="2634" s="1"/>
  <c r="DL42" i="2634" s="1"/>
  <c r="DL40" i="2634" s="1"/>
  <c r="DL36" i="2634" s="1"/>
  <c r="CF69" i="2634"/>
  <c r="CF60" i="2634" s="1"/>
  <c r="CF59" i="2634" s="1"/>
  <c r="G7" i="2635"/>
  <c r="G41" i="2635" s="1"/>
  <c r="G48" i="2635"/>
  <c r="T48" i="2635"/>
  <c r="T7" i="2635"/>
  <c r="T41" i="2635" s="1"/>
  <c r="AG7" i="2635"/>
  <c r="AG41" i="2635" s="1"/>
  <c r="AG48" i="2635"/>
  <c r="AT7" i="2635"/>
  <c r="AT41" i="2635" s="1"/>
  <c r="AT48" i="2635"/>
  <c r="BG48" i="2635"/>
  <c r="BG7" i="2635"/>
  <c r="BG41" i="2635" s="1"/>
  <c r="BT48" i="2635"/>
  <c r="BT7" i="2635"/>
  <c r="BT41" i="2635" s="1"/>
  <c r="CG48" i="2635"/>
  <c r="CG7" i="2635"/>
  <c r="CG41" i="2635" s="1"/>
  <c r="CT7" i="2635"/>
  <c r="CT41" i="2635" s="1"/>
  <c r="CT48" i="2635"/>
  <c r="DG7" i="2635"/>
  <c r="DG41" i="2635" s="1"/>
  <c r="DG48" i="2635"/>
  <c r="DT7" i="2635"/>
  <c r="DT41" i="2635" s="1"/>
  <c r="DT48" i="2635"/>
  <c r="BB35" i="2634"/>
  <c r="P7" i="2634"/>
  <c r="P35" i="2634" s="1"/>
  <c r="P53" i="2634"/>
  <c r="AP7" i="2634"/>
  <c r="AP35" i="2634" s="1"/>
  <c r="AP53" i="2634"/>
  <c r="CP53" i="2634"/>
  <c r="CP7" i="2634"/>
  <c r="DV51" i="2634"/>
  <c r="DV45" i="2634" s="1"/>
  <c r="DV42" i="2634" s="1"/>
  <c r="AQ42" i="2629"/>
  <c r="AQ7" i="2629"/>
  <c r="AQ41" i="2629" s="1"/>
  <c r="L7" i="2629"/>
  <c r="L41" i="2629" s="1"/>
  <c r="L48" i="2629"/>
  <c r="Y7" i="2629"/>
  <c r="Y41" i="2629" s="1"/>
  <c r="Y48" i="2629"/>
  <c r="AL48" i="2629"/>
  <c r="AL7" i="2629"/>
  <c r="AL41" i="2629" s="1"/>
  <c r="AY7" i="2629"/>
  <c r="AY41" i="2629" s="1"/>
  <c r="AY48" i="2629"/>
  <c r="BL48" i="2629"/>
  <c r="BL7" i="2629"/>
  <c r="BL41" i="2629" s="1"/>
  <c r="BY7" i="2629"/>
  <c r="BY41" i="2629" s="1"/>
  <c r="BY48" i="2629"/>
  <c r="CL7" i="2629"/>
  <c r="CL41" i="2629" s="1"/>
  <c r="CL48" i="2629"/>
  <c r="CY48" i="2629"/>
  <c r="CY7" i="2629"/>
  <c r="CY41" i="2629" s="1"/>
  <c r="BO7" i="2631"/>
  <c r="BO37" i="2631" s="1"/>
  <c r="DG7" i="2631"/>
  <c r="DG37" i="2631" s="1"/>
  <c r="DU7" i="2631"/>
  <c r="Q54" i="2631"/>
  <c r="Q7" i="2631"/>
  <c r="Q37" i="2631" s="1"/>
  <c r="AD54" i="2631"/>
  <c r="AD7" i="2631"/>
  <c r="AD37" i="2631" s="1"/>
  <c r="AQ54" i="2631"/>
  <c r="AQ7" i="2631"/>
  <c r="AQ37" i="2631" s="1"/>
  <c r="BD54" i="2631"/>
  <c r="BD7" i="2631"/>
  <c r="N23" i="2631"/>
  <c r="BP37" i="2631"/>
  <c r="CC37" i="2631"/>
  <c r="DG46" i="2631"/>
  <c r="DG45" i="2631" s="1"/>
  <c r="DT46" i="2631"/>
  <c r="DT45" i="2631" s="1"/>
  <c r="G72" i="2631"/>
  <c r="G63" i="2631" s="1"/>
  <c r="G62" i="2631" s="1"/>
  <c r="BU72" i="2631"/>
  <c r="BU63" i="2631" s="1"/>
  <c r="BU62" i="2631" s="1"/>
  <c r="I7" i="2632"/>
  <c r="I43" i="2632" s="1"/>
  <c r="I44" i="2632"/>
  <c r="V44" i="2632"/>
  <c r="V7" i="2632"/>
  <c r="V43" i="2632" s="1"/>
  <c r="AI7" i="2632"/>
  <c r="AI43" i="2632" s="1"/>
  <c r="AI44" i="2632"/>
  <c r="AV44" i="2632"/>
  <c r="AV7" i="2632"/>
  <c r="AV43" i="2632" s="1"/>
  <c r="BI7" i="2632"/>
  <c r="BI43" i="2632" s="1"/>
  <c r="BI44" i="2632"/>
  <c r="BV7" i="2632"/>
  <c r="BV43" i="2632" s="1"/>
  <c r="BV44" i="2632"/>
  <c r="CI7" i="2632"/>
  <c r="CI43" i="2632" s="1"/>
  <c r="CI44" i="2632"/>
  <c r="CV7" i="2632"/>
  <c r="CV43" i="2632" s="1"/>
  <c r="CV44" i="2632"/>
  <c r="DV7" i="2632"/>
  <c r="DV43" i="2632" s="1"/>
  <c r="DV44" i="2632"/>
  <c r="BZ50" i="2632"/>
  <c r="CA50" i="2632" s="1"/>
  <c r="BZ7" i="2632"/>
  <c r="BZ43" i="2632" s="1"/>
  <c r="DM50" i="2632"/>
  <c r="DM7" i="2632"/>
  <c r="DM43" i="2632" s="1"/>
  <c r="AF35" i="2634"/>
  <c r="AS35" i="2634"/>
  <c r="CF35" i="2634"/>
  <c r="T53" i="2634"/>
  <c r="T7" i="2634"/>
  <c r="AG53" i="2634"/>
  <c r="AG7" i="2634"/>
  <c r="AG35" i="2634" s="1"/>
  <c r="AT53" i="2634"/>
  <c r="AT7" i="2634"/>
  <c r="AT35" i="2634" s="1"/>
  <c r="BG53" i="2634"/>
  <c r="BG7" i="2634"/>
  <c r="BT53" i="2634"/>
  <c r="BT7" i="2634"/>
  <c r="CG53" i="2634"/>
  <c r="CG7" i="2634"/>
  <c r="CG35" i="2634" s="1"/>
  <c r="CT53" i="2634"/>
  <c r="CT7" i="2634"/>
  <c r="CT35" i="2634" s="1"/>
  <c r="DG7" i="2634"/>
  <c r="DG53" i="2634"/>
  <c r="DT7" i="2634"/>
  <c r="DT53" i="2634"/>
  <c r="AW35" i="2634"/>
  <c r="BJ35" i="2634"/>
  <c r="L51" i="2634"/>
  <c r="L45" i="2634" s="1"/>
  <c r="Y51" i="2634"/>
  <c r="Y45" i="2634" s="1"/>
  <c r="AL51" i="2634"/>
  <c r="AL45" i="2634" s="1"/>
  <c r="BM51" i="2634"/>
  <c r="BM45" i="2634" s="1"/>
  <c r="BM42" i="2634" s="1"/>
  <c r="BM40" i="2634" s="1"/>
  <c r="CZ51" i="2634"/>
  <c r="CZ45" i="2634" s="1"/>
  <c r="CZ42" i="2634" s="1"/>
  <c r="CZ40" i="2634" s="1"/>
  <c r="CZ36" i="2634" s="1"/>
  <c r="DM51" i="2634"/>
  <c r="DM45" i="2634" s="1"/>
  <c r="DZ51" i="2634"/>
  <c r="DZ45" i="2634" s="1"/>
  <c r="H7" i="2635"/>
  <c r="H41" i="2635" s="1"/>
  <c r="H48" i="2635"/>
  <c r="U48" i="2635"/>
  <c r="U7" i="2635"/>
  <c r="U41" i="2635" s="1"/>
  <c r="AH48" i="2635"/>
  <c r="AH7" i="2635"/>
  <c r="AH41" i="2635" s="1"/>
  <c r="AU48" i="2635"/>
  <c r="AU7" i="2635"/>
  <c r="AU41" i="2635" s="1"/>
  <c r="BH48" i="2635"/>
  <c r="BH7" i="2635"/>
  <c r="BH41" i="2635" s="1"/>
  <c r="BU48" i="2635"/>
  <c r="BU7" i="2635"/>
  <c r="BU41" i="2635" s="1"/>
  <c r="CH48" i="2635"/>
  <c r="CH7" i="2635"/>
  <c r="CH41" i="2635" s="1"/>
  <c r="CU48" i="2635"/>
  <c r="CU7" i="2635"/>
  <c r="CU41" i="2635" s="1"/>
  <c r="DH48" i="2635"/>
  <c r="DH7" i="2635"/>
  <c r="DH41" i="2635" s="1"/>
  <c r="DU48" i="2635"/>
  <c r="DU7" i="2635"/>
  <c r="DU41" i="2635" s="1"/>
  <c r="AC53" i="2634"/>
  <c r="AC7" i="2634"/>
  <c r="AC35" i="2634" s="1"/>
  <c r="P59" i="2634"/>
  <c r="P55" i="2634" s="1"/>
  <c r="CV51" i="2634"/>
  <c r="CV45" i="2634" s="1"/>
  <c r="DM69" i="2634"/>
  <c r="DM60" i="2634" s="1"/>
  <c r="DM59" i="2634" s="1"/>
  <c r="M7" i="2629"/>
  <c r="M41" i="2629" s="1"/>
  <c r="M48" i="2629"/>
  <c r="Z48" i="2629"/>
  <c r="Z7" i="2629"/>
  <c r="Z41" i="2629" s="1"/>
  <c r="AZ7" i="2629"/>
  <c r="AZ41" i="2629" s="1"/>
  <c r="AZ48" i="2629"/>
  <c r="BM48" i="2629"/>
  <c r="BM7" i="2629"/>
  <c r="BM41" i="2629" s="1"/>
  <c r="BZ7" i="2629"/>
  <c r="BZ41" i="2629" s="1"/>
  <c r="BZ48" i="2629"/>
  <c r="CM7" i="2629"/>
  <c r="CM41" i="2629" s="1"/>
  <c r="CM48" i="2629"/>
  <c r="CZ48" i="2629"/>
  <c r="CZ7" i="2629"/>
  <c r="CZ41" i="2629" s="1"/>
  <c r="DH37" i="2631"/>
  <c r="DH7" i="2631"/>
  <c r="DV7" i="2631"/>
  <c r="DV37" i="2631" s="1"/>
  <c r="DV38" i="2631" s="1"/>
  <c r="BW44" i="2631"/>
  <c r="BW43" i="2631" s="1"/>
  <c r="BW41" i="2631" s="1"/>
  <c r="R54" i="2631"/>
  <c r="R7" i="2631"/>
  <c r="R37" i="2631" s="1"/>
  <c r="AE54" i="2631"/>
  <c r="AE7" i="2631"/>
  <c r="AE37" i="2631" s="1"/>
  <c r="AR7" i="2631"/>
  <c r="AR37" i="2631" s="1"/>
  <c r="AR54" i="2631"/>
  <c r="BE54" i="2631"/>
  <c r="BE7" i="2631"/>
  <c r="AP37" i="2631"/>
  <c r="AG46" i="2631"/>
  <c r="AG45" i="2631" s="1"/>
  <c r="AG43" i="2631" s="1"/>
  <c r="BU46" i="2631"/>
  <c r="BU45" i="2631" s="1"/>
  <c r="CH63" i="2631"/>
  <c r="CH62" i="2631" s="1"/>
  <c r="CH46" i="2631"/>
  <c r="CH45" i="2631" s="1"/>
  <c r="DH46" i="2631"/>
  <c r="DH45" i="2631" s="1"/>
  <c r="DH43" i="2631" s="1"/>
  <c r="DU46" i="2631"/>
  <c r="DU45" i="2631" s="1"/>
  <c r="BI62" i="2631"/>
  <c r="BI93" i="2631" s="1"/>
  <c r="CW63" i="2631"/>
  <c r="CW62" i="2631" s="1"/>
  <c r="H72" i="2631"/>
  <c r="H63" i="2631" s="1"/>
  <c r="H62" i="2631" s="1"/>
  <c r="AH72" i="2631"/>
  <c r="AU72" i="2631"/>
  <c r="AU63" i="2631" s="1"/>
  <c r="AU62" i="2631" s="1"/>
  <c r="AU93" i="2631" s="1"/>
  <c r="DI63" i="2631"/>
  <c r="DI62" i="2631" s="1"/>
  <c r="J7" i="2632"/>
  <c r="J43" i="2632" s="1"/>
  <c r="J44" i="2632"/>
  <c r="W7" i="2632"/>
  <c r="W43" i="2632" s="1"/>
  <c r="W44" i="2632"/>
  <c r="AJ7" i="2632"/>
  <c r="AJ43" i="2632" s="1"/>
  <c r="AJ44" i="2632"/>
  <c r="AW7" i="2632"/>
  <c r="AW43" i="2632" s="1"/>
  <c r="AW44" i="2632"/>
  <c r="BJ7" i="2632"/>
  <c r="BJ43" i="2632" s="1"/>
  <c r="BJ44" i="2632"/>
  <c r="BW7" i="2632"/>
  <c r="BW43" i="2632" s="1"/>
  <c r="BW44" i="2632"/>
  <c r="CJ7" i="2632"/>
  <c r="CJ43" i="2632" s="1"/>
  <c r="CJ44" i="2632"/>
  <c r="CW7" i="2632"/>
  <c r="CW43" i="2632" s="1"/>
  <c r="CW44" i="2632"/>
  <c r="DJ7" i="2632"/>
  <c r="DJ43" i="2632" s="1"/>
  <c r="DJ44" i="2632"/>
  <c r="DW7" i="2632"/>
  <c r="DW43" i="2632" s="1"/>
  <c r="DW44" i="2632"/>
  <c r="BB50" i="2632"/>
  <c r="BB7" i="2632"/>
  <c r="BB43" i="2632" s="1"/>
  <c r="G7" i="2634"/>
  <c r="U53" i="2634"/>
  <c r="U7" i="2634"/>
  <c r="U35" i="2634" s="1"/>
  <c r="AH7" i="2634"/>
  <c r="AH53" i="2634"/>
  <c r="AU53" i="2634"/>
  <c r="AU7" i="2634"/>
  <c r="AU35" i="2634" s="1"/>
  <c r="BH53" i="2634"/>
  <c r="BH7" i="2634"/>
  <c r="BU53" i="2634"/>
  <c r="BU40" i="2634" s="1"/>
  <c r="BU7" i="2634"/>
  <c r="BU35" i="2634" s="1"/>
  <c r="CH53" i="2634"/>
  <c r="CH7" i="2634"/>
  <c r="CU53" i="2634"/>
  <c r="CU7" i="2634"/>
  <c r="CU35" i="2634" s="1"/>
  <c r="DH53" i="2634"/>
  <c r="DH7" i="2634"/>
  <c r="DH35" i="2634" s="1"/>
  <c r="DU53" i="2634"/>
  <c r="DU7" i="2634"/>
  <c r="DU35" i="2634" s="1"/>
  <c r="AK35" i="2634"/>
  <c r="CX35" i="2634"/>
  <c r="M51" i="2634"/>
  <c r="M45" i="2634" s="1"/>
  <c r="Z51" i="2634"/>
  <c r="Z45" i="2634" s="1"/>
  <c r="Z42" i="2634" s="1"/>
  <c r="AM51" i="2634"/>
  <c r="AM45" i="2634" s="1"/>
  <c r="AM42" i="2634" s="1"/>
  <c r="AZ51" i="2634"/>
  <c r="AZ45" i="2634" s="1"/>
  <c r="AZ42" i="2634" s="1"/>
  <c r="CN63" i="2634"/>
  <c r="DO51" i="2634"/>
  <c r="DO45" i="2634" s="1"/>
  <c r="AT60" i="2634"/>
  <c r="AT59" i="2634" s="1"/>
  <c r="AT93" i="2634" s="1"/>
  <c r="H69" i="2634"/>
  <c r="H60" i="2634" s="1"/>
  <c r="H59" i="2634" s="1"/>
  <c r="H55" i="2634" s="1"/>
  <c r="U69" i="2634"/>
  <c r="U60" i="2634" s="1"/>
  <c r="U59" i="2634" s="1"/>
  <c r="U55" i="2634" s="1"/>
  <c r="AH69" i="2634"/>
  <c r="AH60" i="2634" s="1"/>
  <c r="AH59" i="2634" s="1"/>
  <c r="AH93" i="2634" s="1"/>
  <c r="AU69" i="2634"/>
  <c r="AU60" i="2634" s="1"/>
  <c r="AU59" i="2634" s="1"/>
  <c r="AU93" i="2634" s="1"/>
  <c r="BH69" i="2634"/>
  <c r="BU69" i="2634"/>
  <c r="BU60" i="2634" s="1"/>
  <c r="BU59" i="2634" s="1"/>
  <c r="BU93" i="2634" s="1"/>
  <c r="CH69" i="2634"/>
  <c r="CH60" i="2634" s="1"/>
  <c r="CH59" i="2634" s="1"/>
  <c r="CU69" i="2634"/>
  <c r="DI69" i="2634"/>
  <c r="DV69" i="2634"/>
  <c r="AX69" i="2634"/>
  <c r="AX60" i="2634" s="1"/>
  <c r="AX59" i="2634" s="1"/>
  <c r="AX93" i="2634" s="1"/>
  <c r="CS69" i="2634"/>
  <c r="CS60" i="2634" s="1"/>
  <c r="CS59" i="2634" s="1"/>
  <c r="I48" i="2635"/>
  <c r="I7" i="2635"/>
  <c r="I41" i="2635" s="1"/>
  <c r="V7" i="2635"/>
  <c r="V41" i="2635" s="1"/>
  <c r="V48" i="2635"/>
  <c r="AI48" i="2635"/>
  <c r="AI7" i="2635"/>
  <c r="AI41" i="2635" s="1"/>
  <c r="AV7" i="2635"/>
  <c r="AV41" i="2635" s="1"/>
  <c r="AV48" i="2635"/>
  <c r="BI48" i="2635"/>
  <c r="BI7" i="2635"/>
  <c r="BI41" i="2635" s="1"/>
  <c r="BV7" i="2635"/>
  <c r="BV41" i="2635" s="1"/>
  <c r="BV48" i="2635"/>
  <c r="CI48" i="2635"/>
  <c r="CI7" i="2635"/>
  <c r="CI41" i="2635" s="1"/>
  <c r="CV48" i="2635"/>
  <c r="CV7" i="2635"/>
  <c r="CV41" i="2635" s="1"/>
  <c r="DI48" i="2635"/>
  <c r="DI7" i="2635"/>
  <c r="DI41" i="2635" s="1"/>
  <c r="DV48" i="2635"/>
  <c r="DV7" i="2635"/>
  <c r="DV41" i="2635" s="1"/>
  <c r="CC53" i="2634"/>
  <c r="CC7" i="2634"/>
  <c r="CC35" i="2634" s="1"/>
  <c r="DI51" i="2634"/>
  <c r="DI45" i="2634" s="1"/>
  <c r="DI42" i="2634" s="1"/>
  <c r="AQ7" i="2635"/>
  <c r="AQ41" i="2635" s="1"/>
  <c r="AQ48" i="2635"/>
  <c r="BQ48" i="2635"/>
  <c r="BQ7" i="2635"/>
  <c r="BQ41" i="2635" s="1"/>
  <c r="DD48" i="2635"/>
  <c r="DD7" i="2635"/>
  <c r="DD41" i="2635" s="1"/>
  <c r="B7" i="2629"/>
  <c r="B48" i="2629"/>
  <c r="O48" i="2629"/>
  <c r="O7" i="2629"/>
  <c r="O41" i="2629" s="1"/>
  <c r="AO48" i="2629"/>
  <c r="AO7" i="2629"/>
  <c r="AO41" i="2629" s="1"/>
  <c r="BB48" i="2629"/>
  <c r="BB7" i="2629"/>
  <c r="BB41" i="2629" s="1"/>
  <c r="DB48" i="2629"/>
  <c r="DB7" i="2629"/>
  <c r="DB41" i="2629" s="1"/>
  <c r="D7" i="2631"/>
  <c r="DI7" i="2631"/>
  <c r="DI37" i="2631" s="1"/>
  <c r="DW7" i="2631"/>
  <c r="DW37" i="2631" s="1"/>
  <c r="S54" i="2631"/>
  <c r="S41" i="2631" s="1"/>
  <c r="S7" i="2631"/>
  <c r="AF54" i="2631"/>
  <c r="AF7" i="2631"/>
  <c r="AF37" i="2631" s="1"/>
  <c r="AS7" i="2631"/>
  <c r="AS54" i="2631"/>
  <c r="BF54" i="2631"/>
  <c r="BF7" i="2631"/>
  <c r="BF37" i="2631" s="1"/>
  <c r="CR37" i="2631"/>
  <c r="H46" i="2631"/>
  <c r="H45" i="2631" s="1"/>
  <c r="H43" i="2631" s="1"/>
  <c r="H41" i="2631" s="1"/>
  <c r="U46" i="2631"/>
  <c r="U45" i="2631" s="1"/>
  <c r="U43" i="2631" s="1"/>
  <c r="AH46" i="2631"/>
  <c r="AH45" i="2631" s="1"/>
  <c r="AH43" i="2631" s="1"/>
  <c r="AU46" i="2631"/>
  <c r="AU45" i="2631" s="1"/>
  <c r="BH46" i="2631"/>
  <c r="BH45" i="2631" s="1"/>
  <c r="BV46" i="2631"/>
  <c r="BV45" i="2631" s="1"/>
  <c r="CI46" i="2631"/>
  <c r="CI45" i="2631" s="1"/>
  <c r="CI43" i="2631" s="1"/>
  <c r="K7" i="2632"/>
  <c r="K43" i="2632" s="1"/>
  <c r="K44" i="2632"/>
  <c r="X7" i="2632"/>
  <c r="X43" i="2632" s="1"/>
  <c r="X44" i="2632"/>
  <c r="AK7" i="2632"/>
  <c r="AK43" i="2632" s="1"/>
  <c r="AK44" i="2632"/>
  <c r="AX7" i="2632"/>
  <c r="AX43" i="2632" s="1"/>
  <c r="AX44" i="2632"/>
  <c r="BX7" i="2632"/>
  <c r="BX43" i="2632" s="1"/>
  <c r="BX44" i="2632"/>
  <c r="CK7" i="2632"/>
  <c r="CK43" i="2632" s="1"/>
  <c r="CK44" i="2632"/>
  <c r="CX7" i="2632"/>
  <c r="CX43" i="2632" s="1"/>
  <c r="CX44" i="2632"/>
  <c r="DK7" i="2632"/>
  <c r="DK43" i="2632" s="1"/>
  <c r="DK44" i="2632"/>
  <c r="DX7" i="2632"/>
  <c r="DX43" i="2632" s="1"/>
  <c r="DX44" i="2632"/>
  <c r="I53" i="2634"/>
  <c r="I7" i="2634"/>
  <c r="V53" i="2634"/>
  <c r="V7" i="2634"/>
  <c r="V35" i="2634" s="1"/>
  <c r="AI53" i="2634"/>
  <c r="AI7" i="2634"/>
  <c r="AI35" i="2634" s="1"/>
  <c r="AV53" i="2634"/>
  <c r="AV7" i="2634"/>
  <c r="BI53" i="2634"/>
  <c r="BI7" i="2634"/>
  <c r="BV53" i="2634"/>
  <c r="BV7" i="2634"/>
  <c r="CI53" i="2634"/>
  <c r="CI7" i="2634"/>
  <c r="CV53" i="2634"/>
  <c r="CV7" i="2634"/>
  <c r="CV35" i="2634" s="1"/>
  <c r="DI53" i="2634"/>
  <c r="DI7" i="2634"/>
  <c r="DI35" i="2634" s="1"/>
  <c r="DV53" i="2634"/>
  <c r="DV7" i="2634"/>
  <c r="B51" i="2634"/>
  <c r="B45" i="2634" s="1"/>
  <c r="O51" i="2634"/>
  <c r="O45" i="2634" s="1"/>
  <c r="AB51" i="2634"/>
  <c r="AB45" i="2634" s="1"/>
  <c r="AO60" i="2634"/>
  <c r="AO59" i="2634" s="1"/>
  <c r="AO93" i="2634" s="1"/>
  <c r="AO51" i="2634"/>
  <c r="AO45" i="2634" s="1"/>
  <c r="BB51" i="2634"/>
  <c r="BB45" i="2634" s="1"/>
  <c r="BP51" i="2634"/>
  <c r="BP45" i="2634" s="1"/>
  <c r="BP42" i="2634" s="1"/>
  <c r="CC51" i="2634"/>
  <c r="CC45" i="2634" s="1"/>
  <c r="CP51" i="2634"/>
  <c r="CP45" i="2634" s="1"/>
  <c r="CP42" i="2634" s="1"/>
  <c r="CP40" i="2634" s="1"/>
  <c r="DP51" i="2634"/>
  <c r="DP45" i="2634" s="1"/>
  <c r="DE60" i="2634"/>
  <c r="DE59" i="2634" s="1"/>
  <c r="V60" i="2634"/>
  <c r="V59" i="2634" s="1"/>
  <c r="AI60" i="2634"/>
  <c r="AI59" i="2634" s="1"/>
  <c r="AI93" i="2634" s="1"/>
  <c r="AV60" i="2634"/>
  <c r="AV59" i="2634" s="1"/>
  <c r="AV93" i="2634" s="1"/>
  <c r="BI60" i="2634"/>
  <c r="BI59" i="2634" s="1"/>
  <c r="BI93" i="2634" s="1"/>
  <c r="CI69" i="2634"/>
  <c r="CV69" i="2634"/>
  <c r="DJ69" i="2634"/>
  <c r="DJ60" i="2634" s="1"/>
  <c r="DJ59" i="2634" s="1"/>
  <c r="DW69" i="2634"/>
  <c r="AY69" i="2634"/>
  <c r="J48" i="2635"/>
  <c r="J7" i="2635"/>
  <c r="J41" i="2635" s="1"/>
  <c r="W7" i="2635"/>
  <c r="W41" i="2635" s="1"/>
  <c r="W48" i="2635"/>
  <c r="AJ48" i="2635"/>
  <c r="AJ7" i="2635"/>
  <c r="AJ41" i="2635" s="1"/>
  <c r="AW48" i="2635"/>
  <c r="AW7" i="2635"/>
  <c r="AW41" i="2635" s="1"/>
  <c r="BJ48" i="2635"/>
  <c r="BJ7" i="2635"/>
  <c r="BJ41" i="2635" s="1"/>
  <c r="BW7" i="2635"/>
  <c r="BW41" i="2635" s="1"/>
  <c r="BW48" i="2635"/>
  <c r="CJ48" i="2635"/>
  <c r="CJ7" i="2635"/>
  <c r="CJ41" i="2635" s="1"/>
  <c r="CW48" i="2635"/>
  <c r="CW7" i="2635"/>
  <c r="CW41" i="2635" s="1"/>
  <c r="DJ7" i="2635"/>
  <c r="DJ41" i="2635" s="1"/>
  <c r="DJ48" i="2635"/>
  <c r="DW48" i="2635"/>
  <c r="DW7" i="2635"/>
  <c r="DW41" i="2635" s="1"/>
  <c r="FJ9" i="2638"/>
  <c r="DP19" i="2629"/>
  <c r="DP53" i="2629" s="1"/>
  <c r="BN15" i="2628"/>
  <c r="CN15" i="2628"/>
  <c r="N40" i="2628"/>
  <c r="AN40" i="2628"/>
  <c r="BN40" i="2628"/>
  <c r="CA40" i="2628"/>
  <c r="DA40" i="2628"/>
  <c r="DN40" i="2628"/>
  <c r="EA40" i="2628"/>
  <c r="AA45" i="2629"/>
  <c r="AA50" i="2629"/>
  <c r="AN50" i="2629"/>
  <c r="CA50" i="2629"/>
  <c r="CN50" i="2629"/>
  <c r="EA50" i="2629"/>
  <c r="N29" i="2630"/>
  <c r="AA29" i="2630"/>
  <c r="BA29" i="2630"/>
  <c r="BD37" i="2631"/>
  <c r="DA50" i="2631"/>
  <c r="DN50" i="2631"/>
  <c r="CA44" i="2629"/>
  <c r="N49" i="2629"/>
  <c r="H9" i="2628"/>
  <c r="AA37" i="2628"/>
  <c r="BN37" i="2628"/>
  <c r="CA37" i="2628"/>
  <c r="CN37" i="2628"/>
  <c r="DN37" i="2628"/>
  <c r="EA37" i="2628"/>
  <c r="EA64" i="2629"/>
  <c r="BA39" i="2628"/>
  <c r="BN44" i="2629"/>
  <c r="DA49" i="2629"/>
  <c r="AJ9" i="2628"/>
  <c r="AM9" i="2628"/>
  <c r="AO9" i="2628"/>
  <c r="BS9" i="2628"/>
  <c r="CX9" i="2628"/>
  <c r="CX32" i="2628" s="1"/>
  <c r="O9" i="2628"/>
  <c r="N36" i="2628"/>
  <c r="AA36" i="2628"/>
  <c r="AN36" i="2628"/>
  <c r="BA36" i="2628"/>
  <c r="CN36" i="2628"/>
  <c r="DA36" i="2628"/>
  <c r="BA57" i="2629"/>
  <c r="BE43" i="2631"/>
  <c r="BE41" i="2631" s="1"/>
  <c r="DU43" i="2631"/>
  <c r="Q35" i="2634"/>
  <c r="CQ35" i="2634"/>
  <c r="S42" i="2634"/>
  <c r="S40" i="2634" s="1"/>
  <c r="CA39" i="2628"/>
  <c r="N44" i="2629"/>
  <c r="BA49" i="2629"/>
  <c r="CY9" i="2628"/>
  <c r="CY32" i="2628" s="1"/>
  <c r="P9" i="2628"/>
  <c r="N35" i="2628"/>
  <c r="AA35" i="2628"/>
  <c r="AN35" i="2628"/>
  <c r="BA35" i="2628"/>
  <c r="BN35" i="2628"/>
  <c r="CA35" i="2628"/>
  <c r="EA35" i="2628"/>
  <c r="Y43" i="2631"/>
  <c r="Y41" i="2631" s="1"/>
  <c r="Y38" i="2631" s="1"/>
  <c r="DE43" i="2631"/>
  <c r="DE41" i="2631" s="1"/>
  <c r="DE38" i="2631" s="1"/>
  <c r="BN39" i="2628"/>
  <c r="AA49" i="2629"/>
  <c r="L9" i="2628"/>
  <c r="AR9" i="2628"/>
  <c r="BZ9" i="2628"/>
  <c r="CZ9" i="2628"/>
  <c r="CZ32" i="2628" s="1"/>
  <c r="N34" i="2628"/>
  <c r="AA34" i="2628"/>
  <c r="AN34" i="2628"/>
  <c r="BA34" i="2628"/>
  <c r="BN34" i="2628"/>
  <c r="CA34" i="2628"/>
  <c r="CN34" i="2628"/>
  <c r="DA34" i="2628"/>
  <c r="DN34" i="2628"/>
  <c r="EA34" i="2628"/>
  <c r="AN58" i="2629"/>
  <c r="BA58" i="2629"/>
  <c r="BN58" i="2629"/>
  <c r="CA58" i="2629"/>
  <c r="DA58" i="2629"/>
  <c r="DN58" i="2629"/>
  <c r="N27" i="2631"/>
  <c r="AA27" i="2631"/>
  <c r="AN27" i="2631"/>
  <c r="BN27" i="2631"/>
  <c r="CA27" i="2631"/>
  <c r="DN27" i="2631"/>
  <c r="EA27" i="2631"/>
  <c r="AA39" i="2628"/>
  <c r="CN44" i="2629"/>
  <c r="BN49" i="2629"/>
  <c r="BV8" i="2631"/>
  <c r="CV43" i="2631"/>
  <c r="CV41" i="2631" s="1"/>
  <c r="AO37" i="2631"/>
  <c r="BM43" i="2631"/>
  <c r="M43" i="2631"/>
  <c r="AS43" i="2631"/>
  <c r="DN30" i="2628"/>
  <c r="CN39" i="2628"/>
  <c r="EA44" i="2629"/>
  <c r="CJ8" i="2631"/>
  <c r="AA21" i="2631"/>
  <c r="AN21" i="2631"/>
  <c r="BA21" i="2631"/>
  <c r="BN21" i="2631"/>
  <c r="CA21" i="2631"/>
  <c r="AV23" i="2631"/>
  <c r="AV7" i="2631" s="1"/>
  <c r="BA24" i="2631"/>
  <c r="DI43" i="2631"/>
  <c r="DI41" i="2631" s="1"/>
  <c r="DA39" i="2628"/>
  <c r="CA49" i="2629"/>
  <c r="CF9" i="2628"/>
  <c r="U9" i="2628"/>
  <c r="AU9" i="2628"/>
  <c r="CG9" i="2628"/>
  <c r="CG32" i="2628" s="1"/>
  <c r="CJ9" i="2628"/>
  <c r="CJ32" i="2628" s="1"/>
  <c r="CW9" i="2628"/>
  <c r="CW32" i="2628" s="1"/>
  <c r="AA19" i="2629"/>
  <c r="BX8" i="2631"/>
  <c r="CK8" i="2631"/>
  <c r="CX8" i="2631"/>
  <c r="Q43" i="2631"/>
  <c r="AE43" i="2631"/>
  <c r="N39" i="2628"/>
  <c r="EA39" i="2628"/>
  <c r="DA44" i="2629"/>
  <c r="DN49" i="2629"/>
  <c r="CK9" i="2628"/>
  <c r="CK32" i="2628" s="1"/>
  <c r="S37" i="2631"/>
  <c r="BQ43" i="2631"/>
  <c r="BQ41" i="2631" s="1"/>
  <c r="C62" i="2631"/>
  <c r="BC43" i="2631"/>
  <c r="AN39" i="2628"/>
  <c r="BD9" i="2628"/>
  <c r="CL9" i="2628"/>
  <c r="CL32" i="2628" s="1"/>
  <c r="AE9" i="2628"/>
  <c r="BF9" i="2628"/>
  <c r="CM9" i="2628"/>
  <c r="CM32" i="2628" s="1"/>
  <c r="BA42" i="2628"/>
  <c r="CN42" i="2628"/>
  <c r="N44" i="2628"/>
  <c r="BA44" i="2628"/>
  <c r="DA44" i="2628"/>
  <c r="DN44" i="2628"/>
  <c r="AN53" i="2629"/>
  <c r="BA53" i="2629"/>
  <c r="CA53" i="2629"/>
  <c r="CN53" i="2629"/>
  <c r="DA53" i="2629"/>
  <c r="BN54" i="2629"/>
  <c r="CA54" i="2629"/>
  <c r="DA54" i="2629"/>
  <c r="DN54" i="2629"/>
  <c r="CV8" i="2631"/>
  <c r="DN52" i="2631"/>
  <c r="EA52" i="2631"/>
  <c r="EA86" i="2631"/>
  <c r="DO83" i="2631"/>
  <c r="DO62" i="2631" s="1"/>
  <c r="BY43" i="2631"/>
  <c r="DT43" i="2631"/>
  <c r="DT41" i="2631" s="1"/>
  <c r="DT38" i="2631" s="1"/>
  <c r="CS43" i="2631"/>
  <c r="CA50" i="2631"/>
  <c r="DO63" i="2631"/>
  <c r="Z63" i="2631"/>
  <c r="Z62" i="2631" s="1"/>
  <c r="Z93" i="2631" s="1"/>
  <c r="CN78" i="2631"/>
  <c r="CN50" i="2631"/>
  <c r="J100" i="2632"/>
  <c r="J80" i="2632"/>
  <c r="J79" i="2632" s="1"/>
  <c r="N52" i="2629"/>
  <c r="BN52" i="2629"/>
  <c r="CA52" i="2629"/>
  <c r="N55" i="2629"/>
  <c r="AA55" i="2629"/>
  <c r="AN55" i="2629"/>
  <c r="BA55" i="2629"/>
  <c r="BN55" i="2629"/>
  <c r="CA55" i="2629"/>
  <c r="DA55" i="2629"/>
  <c r="DN55" i="2629"/>
  <c r="N59" i="2629"/>
  <c r="BA59" i="2629"/>
  <c r="BN59" i="2629"/>
  <c r="CA59" i="2629"/>
  <c r="CN59" i="2629"/>
  <c r="AA60" i="2629"/>
  <c r="AN60" i="2629"/>
  <c r="BN60" i="2629"/>
  <c r="CA60" i="2629"/>
  <c r="CN60" i="2629"/>
  <c r="DN60" i="2629"/>
  <c r="EA60" i="2629"/>
  <c r="N61" i="2629"/>
  <c r="CN61" i="2629"/>
  <c r="DA61" i="2629"/>
  <c r="DN61" i="2629"/>
  <c r="AN62" i="2629"/>
  <c r="DN62" i="2629"/>
  <c r="N71" i="2629"/>
  <c r="CN71" i="2629"/>
  <c r="BM37" i="2631"/>
  <c r="V37" i="2631"/>
  <c r="AI37" i="2631"/>
  <c r="CY8" i="2631"/>
  <c r="CT43" i="2631"/>
  <c r="M63" i="2631"/>
  <c r="M62" i="2631" s="1"/>
  <c r="AE62" i="2631"/>
  <c r="AE93" i="2631" s="1"/>
  <c r="CL8" i="2631"/>
  <c r="DV43" i="2631"/>
  <c r="DV41" i="2631" s="1"/>
  <c r="AZ43" i="2631"/>
  <c r="BC63" i="2631"/>
  <c r="BC62" i="2631" s="1"/>
  <c r="BC93" i="2631" s="1"/>
  <c r="N73" i="2631"/>
  <c r="DP72" i="2631"/>
  <c r="BN7" i="2630"/>
  <c r="CA7" i="2630"/>
  <c r="DA7" i="2630"/>
  <c r="DN7" i="2630"/>
  <c r="BY8" i="2631"/>
  <c r="CC43" i="2631"/>
  <c r="CN54" i="2631"/>
  <c r="CH43" i="2631"/>
  <c r="E43" i="2631"/>
  <c r="E41" i="2631" s="1"/>
  <c r="AO43" i="2631"/>
  <c r="CE62" i="2631"/>
  <c r="AC63" i="2631"/>
  <c r="AC62" i="2631" s="1"/>
  <c r="AC93" i="2631" s="1"/>
  <c r="CG62" i="2631"/>
  <c r="N52" i="2632"/>
  <c r="AA52" i="2632"/>
  <c r="AN52" i="2632"/>
  <c r="BA52" i="2632"/>
  <c r="BN52" i="2632"/>
  <c r="CA52" i="2632"/>
  <c r="CN52" i="2632"/>
  <c r="DA52" i="2632"/>
  <c r="DN52" i="2632"/>
  <c r="EA52" i="2632"/>
  <c r="N54" i="2632"/>
  <c r="AA54" i="2632"/>
  <c r="AN54" i="2632"/>
  <c r="BA54" i="2632"/>
  <c r="BN54" i="2632"/>
  <c r="CA54" i="2632"/>
  <c r="CN54" i="2632"/>
  <c r="DA54" i="2632"/>
  <c r="DN54" i="2632"/>
  <c r="EA54" i="2632"/>
  <c r="H42" i="2634"/>
  <c r="H40" i="2634" s="1"/>
  <c r="DC37" i="2631"/>
  <c r="CW43" i="2631"/>
  <c r="BA46" i="2632"/>
  <c r="BN46" i="2632"/>
  <c r="EA46" i="2632"/>
  <c r="N47" i="2632"/>
  <c r="AA47" i="2632"/>
  <c r="DA47" i="2632"/>
  <c r="DN47" i="2632"/>
  <c r="EA47" i="2632"/>
  <c r="AN45" i="2629"/>
  <c r="BA45" i="2629"/>
  <c r="BN45" i="2629"/>
  <c r="CN45" i="2629"/>
  <c r="DA45" i="2629"/>
  <c r="DN45" i="2629"/>
  <c r="EA45" i="2629"/>
  <c r="N46" i="2629"/>
  <c r="AA46" i="2629"/>
  <c r="AN46" i="2629"/>
  <c r="BN46" i="2629"/>
  <c r="CA46" i="2629"/>
  <c r="DN46" i="2629"/>
  <c r="EA46" i="2629"/>
  <c r="AA47" i="2629"/>
  <c r="AN47" i="2629"/>
  <c r="CA47" i="2629"/>
  <c r="CN47" i="2629"/>
  <c r="DA47" i="2629"/>
  <c r="CP8" i="2631"/>
  <c r="DR37" i="2631"/>
  <c r="CA48" i="2631"/>
  <c r="DA48" i="2631"/>
  <c r="DN48" i="2631"/>
  <c r="O43" i="2631"/>
  <c r="O41" i="2631" s="1"/>
  <c r="AY43" i="2631"/>
  <c r="F63" i="2631"/>
  <c r="F62" i="2631" s="1"/>
  <c r="S63" i="2631"/>
  <c r="S62" i="2631" s="1"/>
  <c r="S93" i="2631" s="1"/>
  <c r="AS63" i="2631"/>
  <c r="AS62" i="2631" s="1"/>
  <c r="AS93" i="2631" s="1"/>
  <c r="BF63" i="2631"/>
  <c r="BF62" i="2631" s="1"/>
  <c r="BF93" i="2631" s="1"/>
  <c r="AN8" i="2631"/>
  <c r="BA8" i="2631"/>
  <c r="BN8" i="2631"/>
  <c r="CQ37" i="2631"/>
  <c r="X43" i="2631"/>
  <c r="DC43" i="2631"/>
  <c r="DC41" i="2631" s="1"/>
  <c r="CC72" i="2631"/>
  <c r="CC63" i="2631" s="1"/>
  <c r="CC62" i="2631" s="1"/>
  <c r="BI112" i="2632"/>
  <c r="BI122" i="2632" s="1"/>
  <c r="BI92" i="2632"/>
  <c r="BV112" i="2632"/>
  <c r="BV122" i="2632" s="1"/>
  <c r="BV92" i="2632"/>
  <c r="CI112" i="2632"/>
  <c r="CI122" i="2632" s="1"/>
  <c r="CI92" i="2632"/>
  <c r="CV112" i="2632"/>
  <c r="CV122" i="2632" s="1"/>
  <c r="CV92" i="2632"/>
  <c r="DY35" i="2634"/>
  <c r="N43" i="2629"/>
  <c r="BA43" i="2629"/>
  <c r="BN43" i="2629"/>
  <c r="DA43" i="2629"/>
  <c r="DN43" i="2629"/>
  <c r="EA43" i="2629"/>
  <c r="BB37" i="2631"/>
  <c r="CD8" i="2631"/>
  <c r="DF37" i="2631"/>
  <c r="BT43" i="2631"/>
  <c r="DY37" i="2631"/>
  <c r="DY38" i="2631" s="1"/>
  <c r="L43" i="2631"/>
  <c r="L41" i="2631" s="1"/>
  <c r="AL43" i="2631"/>
  <c r="AL41" i="2631" s="1"/>
  <c r="EA44" i="2631"/>
  <c r="BI43" i="2631"/>
  <c r="EA51" i="2631"/>
  <c r="AH63" i="2631"/>
  <c r="AH62" i="2631" s="1"/>
  <c r="AH93" i="2631" s="1"/>
  <c r="T72" i="2631"/>
  <c r="T63" i="2631" s="1"/>
  <c r="T62" i="2631" s="1"/>
  <c r="T93" i="2631" s="1"/>
  <c r="AG72" i="2631"/>
  <c r="AG63" i="2631" s="1"/>
  <c r="AG62" i="2631" s="1"/>
  <c r="AG93" i="2631" s="1"/>
  <c r="AT72" i="2631"/>
  <c r="AT63" i="2631" s="1"/>
  <c r="AT62" i="2631" s="1"/>
  <c r="AT93" i="2631" s="1"/>
  <c r="BG72" i="2631"/>
  <c r="BG63" i="2631" s="1"/>
  <c r="BG62" i="2631" s="1"/>
  <c r="BG93" i="2631" s="1"/>
  <c r="CU72" i="2631"/>
  <c r="CU63" i="2631" s="1"/>
  <c r="CU62" i="2631" s="1"/>
  <c r="DU63" i="2631"/>
  <c r="DU62" i="2631" s="1"/>
  <c r="AA79" i="2631"/>
  <c r="AN79" i="2631"/>
  <c r="CF8" i="2631"/>
  <c r="CS8" i="2631"/>
  <c r="Z43" i="2631"/>
  <c r="AJ43" i="2631"/>
  <c r="AW43" i="2631"/>
  <c r="AW41" i="2631" s="1"/>
  <c r="V43" i="2631"/>
  <c r="AT43" i="2631"/>
  <c r="BF43" i="2631"/>
  <c r="DA47" i="2631"/>
  <c r="DA49" i="2631"/>
  <c r="DN49" i="2631"/>
  <c r="I63" i="2631"/>
  <c r="I62" i="2631" s="1"/>
  <c r="V63" i="2631"/>
  <c r="V62" i="2631" s="1"/>
  <c r="V93" i="2631" s="1"/>
  <c r="BV72" i="2631"/>
  <c r="BV63" i="2631" s="1"/>
  <c r="BV62" i="2631" s="1"/>
  <c r="N66" i="2631"/>
  <c r="AA66" i="2631"/>
  <c r="CP63" i="2631"/>
  <c r="CP62" i="2631" s="1"/>
  <c r="DC63" i="2631"/>
  <c r="DC62" i="2631" s="1"/>
  <c r="AM72" i="2631"/>
  <c r="AM63" i="2631" s="1"/>
  <c r="AM62" i="2631" s="1"/>
  <c r="AM93" i="2631" s="1"/>
  <c r="AZ72" i="2631"/>
  <c r="AZ63" i="2631" s="1"/>
  <c r="AZ62" i="2631" s="1"/>
  <c r="AZ93" i="2631" s="1"/>
  <c r="CA73" i="2631"/>
  <c r="CN73" i="2631"/>
  <c r="DA73" i="2631"/>
  <c r="DE72" i="2631"/>
  <c r="DE63" i="2631" s="1"/>
  <c r="DE62" i="2631" s="1"/>
  <c r="AQ62" i="2631"/>
  <c r="AQ93" i="2631" s="1"/>
  <c r="AH80" i="2632"/>
  <c r="AH79" i="2632" s="1"/>
  <c r="BF80" i="2632"/>
  <c r="CV80" i="2632"/>
  <c r="BK86" i="2632"/>
  <c r="CG112" i="2632"/>
  <c r="CG122" i="2632" s="1"/>
  <c r="CG92" i="2632"/>
  <c r="CT112" i="2632"/>
  <c r="CT122" i="2632" s="1"/>
  <c r="CT92" i="2632"/>
  <c r="AF42" i="2634"/>
  <c r="AS42" i="2634"/>
  <c r="BF42" i="2634"/>
  <c r="BF40" i="2634" s="1"/>
  <c r="R63" i="2631"/>
  <c r="R62" i="2631" s="1"/>
  <c r="R93" i="2631" s="1"/>
  <c r="BE63" i="2631"/>
  <c r="BE62" i="2631" s="1"/>
  <c r="BE93" i="2631" s="1"/>
  <c r="CF63" i="2631"/>
  <c r="CF62" i="2631" s="1"/>
  <c r="X63" i="2631"/>
  <c r="X62" i="2631" s="1"/>
  <c r="X93" i="2631" s="1"/>
  <c r="Q63" i="2631"/>
  <c r="Q62" i="2631" s="1"/>
  <c r="Q93" i="2631" s="1"/>
  <c r="N45" i="2632"/>
  <c r="AA45" i="2632"/>
  <c r="CA45" i="2632"/>
  <c r="CN45" i="2632"/>
  <c r="DA45" i="2632"/>
  <c r="AA49" i="2632"/>
  <c r="AN49" i="2632"/>
  <c r="DN49" i="2632"/>
  <c r="EA49" i="2632"/>
  <c r="N51" i="2632"/>
  <c r="AA51" i="2632"/>
  <c r="AN51" i="2632"/>
  <c r="BA51" i="2632"/>
  <c r="BN51" i="2632"/>
  <c r="CA51" i="2632"/>
  <c r="CN51" i="2632"/>
  <c r="DA51" i="2632"/>
  <c r="DN51" i="2632"/>
  <c r="EA51" i="2632"/>
  <c r="N53" i="2632"/>
  <c r="AA53" i="2632"/>
  <c r="AN53" i="2632"/>
  <c r="BA53" i="2632"/>
  <c r="BN53" i="2632"/>
  <c r="CA53" i="2632"/>
  <c r="CN53" i="2632"/>
  <c r="DA53" i="2632"/>
  <c r="DN53" i="2632"/>
  <c r="EA53" i="2632"/>
  <c r="BJ112" i="2632"/>
  <c r="BJ122" i="2632" s="1"/>
  <c r="BJ92" i="2632"/>
  <c r="BW112" i="2632"/>
  <c r="BW122" i="2632" s="1"/>
  <c r="BW92" i="2632"/>
  <c r="CJ112" i="2632"/>
  <c r="CJ122" i="2632" s="1"/>
  <c r="CJ92" i="2632"/>
  <c r="CW112" i="2632"/>
  <c r="CW122" i="2632" s="1"/>
  <c r="CW92" i="2632"/>
  <c r="AI42" i="2634"/>
  <c r="DC42" i="2634"/>
  <c r="DC40" i="2634" s="1"/>
  <c r="AQ80" i="2632"/>
  <c r="AQ79" i="2632" s="1"/>
  <c r="E80" i="2632"/>
  <c r="E79" i="2632" s="1"/>
  <c r="AE80" i="2632"/>
  <c r="AE79" i="2632" s="1"/>
  <c r="CR80" i="2632"/>
  <c r="DN111" i="2632"/>
  <c r="DN91" i="2632"/>
  <c r="AM60" i="2634"/>
  <c r="AM59" i="2634" s="1"/>
  <c r="AM93" i="2634" s="1"/>
  <c r="BO60" i="2634"/>
  <c r="DA63" i="2634"/>
  <c r="DN63" i="2634"/>
  <c r="DB60" i="2634"/>
  <c r="DB59" i="2634" s="1"/>
  <c r="DO60" i="2634"/>
  <c r="DO59" i="2634" s="1"/>
  <c r="DO42" i="2634"/>
  <c r="DO40" i="2634" s="1"/>
  <c r="BA59" i="2632"/>
  <c r="Q100" i="2632"/>
  <c r="Q80" i="2632"/>
  <c r="Q79" i="2632" s="1"/>
  <c r="AD100" i="2632"/>
  <c r="AD80" i="2632"/>
  <c r="AD79" i="2632" s="1"/>
  <c r="BQ100" i="2632"/>
  <c r="BQ80" i="2632"/>
  <c r="CD100" i="2632"/>
  <c r="CD80" i="2632"/>
  <c r="CD79" i="2632" s="1"/>
  <c r="CQ100" i="2632"/>
  <c r="CQ80" i="2632"/>
  <c r="L42" i="2634"/>
  <c r="L40" i="2634" s="1"/>
  <c r="CT42" i="2634"/>
  <c r="K69" i="2634"/>
  <c r="K60" i="2634" s="1"/>
  <c r="K59" i="2634" s="1"/>
  <c r="K55" i="2634" s="1"/>
  <c r="AK69" i="2634"/>
  <c r="AK60" i="2634" s="1"/>
  <c r="AK59" i="2634" s="1"/>
  <c r="AK93" i="2634" s="1"/>
  <c r="BK69" i="2634"/>
  <c r="BK60" i="2634" s="1"/>
  <c r="BK59" i="2634" s="1"/>
  <c r="BK93" i="2634" s="1"/>
  <c r="DF69" i="2634"/>
  <c r="DF60" i="2634" s="1"/>
  <c r="DF59" i="2634" s="1"/>
  <c r="DZ59" i="2634"/>
  <c r="DV62" i="2631"/>
  <c r="AS80" i="2632"/>
  <c r="AS79" i="2632" s="1"/>
  <c r="CK86" i="2632"/>
  <c r="CX86" i="2632"/>
  <c r="DN108" i="2632"/>
  <c r="BH86" i="2632"/>
  <c r="BU86" i="2632"/>
  <c r="CH106" i="2632"/>
  <c r="CH121" i="2632" s="1"/>
  <c r="CH86" i="2632"/>
  <c r="CU106" i="2632"/>
  <c r="CU121" i="2632" s="1"/>
  <c r="CU86" i="2632"/>
  <c r="H106" i="2632"/>
  <c r="H121" i="2632" s="1"/>
  <c r="U106" i="2632"/>
  <c r="U121" i="2632" s="1"/>
  <c r="AU106" i="2632"/>
  <c r="AU121" i="2632" s="1"/>
  <c r="AG106" i="2632"/>
  <c r="AG121" i="2632" s="1"/>
  <c r="T35" i="2634"/>
  <c r="BT35" i="2634"/>
  <c r="Y69" i="2634"/>
  <c r="Y60" i="2634" s="1"/>
  <c r="Y59" i="2634" s="1"/>
  <c r="Y42" i="2634"/>
  <c r="AL69" i="2634"/>
  <c r="AL60" i="2634" s="1"/>
  <c r="AL59" i="2634" s="1"/>
  <c r="AL93" i="2634" s="1"/>
  <c r="CT69" i="2634"/>
  <c r="CT60" i="2634" s="1"/>
  <c r="CT59" i="2634" s="1"/>
  <c r="DG69" i="2634"/>
  <c r="DT69" i="2634"/>
  <c r="DT60" i="2634" s="1"/>
  <c r="DT59" i="2634" s="1"/>
  <c r="CV63" i="2631"/>
  <c r="CV62" i="2631" s="1"/>
  <c r="DJ62" i="2631"/>
  <c r="CA55" i="2632"/>
  <c r="N63" i="2632"/>
  <c r="AA63" i="2632"/>
  <c r="AN63" i="2632"/>
  <c r="BA63" i="2632"/>
  <c r="BN63" i="2632"/>
  <c r="CA63" i="2632"/>
  <c r="CN63" i="2632"/>
  <c r="DA63" i="2632"/>
  <c r="DN63" i="2632"/>
  <c r="EA63" i="2632"/>
  <c r="N64" i="2632"/>
  <c r="AA64" i="2632"/>
  <c r="AN64" i="2632"/>
  <c r="BA64" i="2632"/>
  <c r="BN64" i="2632"/>
  <c r="CA64" i="2632"/>
  <c r="CN64" i="2632"/>
  <c r="DA64" i="2632"/>
  <c r="DN64" i="2632"/>
  <c r="EA64" i="2632"/>
  <c r="D80" i="2632"/>
  <c r="D79" i="2632" s="1"/>
  <c r="BR80" i="2632"/>
  <c r="F100" i="2632"/>
  <c r="S100" i="2632"/>
  <c r="AF100" i="2632"/>
  <c r="AF80" i="2632"/>
  <c r="AF79" i="2632" s="1"/>
  <c r="AS100" i="2632"/>
  <c r="BF100" i="2632"/>
  <c r="BS100" i="2632"/>
  <c r="CF100" i="2632"/>
  <c r="CF80" i="2632"/>
  <c r="CS80" i="2632"/>
  <c r="CS79" i="2632" s="1"/>
  <c r="AW80" i="2632"/>
  <c r="AW79" i="2632" s="1"/>
  <c r="CW100" i="2632"/>
  <c r="CW80" i="2632"/>
  <c r="BB86" i="2632"/>
  <c r="CA107" i="2632"/>
  <c r="BO86" i="2632"/>
  <c r="DN87" i="2632"/>
  <c r="BG86" i="2632"/>
  <c r="BT86" i="2632"/>
  <c r="CG86" i="2632"/>
  <c r="CT106" i="2632"/>
  <c r="CT121" i="2632" s="1"/>
  <c r="CT86" i="2632"/>
  <c r="I106" i="2632"/>
  <c r="I121" i="2632" s="1"/>
  <c r="AI106" i="2632"/>
  <c r="AI121" i="2632" s="1"/>
  <c r="AH106" i="2632"/>
  <c r="AH121" i="2632" s="1"/>
  <c r="DM42" i="2634"/>
  <c r="M60" i="2634"/>
  <c r="M59" i="2634" s="1"/>
  <c r="M55" i="2634" s="1"/>
  <c r="CA51" i="2631"/>
  <c r="CN51" i="2631"/>
  <c r="DA51" i="2631"/>
  <c r="J63" i="2631"/>
  <c r="J62" i="2631" s="1"/>
  <c r="DK63" i="2631"/>
  <c r="DK62" i="2631" s="1"/>
  <c r="AI72" i="2631"/>
  <c r="AI63" i="2631" s="1"/>
  <c r="AI62" i="2631" s="1"/>
  <c r="AI93" i="2631" s="1"/>
  <c r="DP83" i="2631"/>
  <c r="N62" i="2632"/>
  <c r="AA62" i="2632"/>
  <c r="AN62" i="2632"/>
  <c r="BA62" i="2632"/>
  <c r="BN62" i="2632"/>
  <c r="CA62" i="2632"/>
  <c r="CN62" i="2632"/>
  <c r="DA62" i="2632"/>
  <c r="DN62" i="2632"/>
  <c r="EA62" i="2632"/>
  <c r="F80" i="2632"/>
  <c r="F79" i="2632" s="1"/>
  <c r="BS80" i="2632"/>
  <c r="G100" i="2632"/>
  <c r="T100" i="2632"/>
  <c r="T80" i="2632"/>
  <c r="T79" i="2632" s="1"/>
  <c r="AG100" i="2632"/>
  <c r="AG80" i="2632"/>
  <c r="AG79" i="2632" s="1"/>
  <c r="AT100" i="2632"/>
  <c r="AT80" i="2632"/>
  <c r="AT79" i="2632" s="1"/>
  <c r="BG100" i="2632"/>
  <c r="BT100" i="2632"/>
  <c r="BZ86" i="2632"/>
  <c r="BZ79" i="2632" s="1"/>
  <c r="CM86" i="2632"/>
  <c r="CM79" i="2632" s="1"/>
  <c r="CZ86" i="2632"/>
  <c r="DN88" i="2632"/>
  <c r="BJ86" i="2632"/>
  <c r="BW106" i="2632"/>
  <c r="BW121" i="2632" s="1"/>
  <c r="BW86" i="2632"/>
  <c r="CW86" i="2632"/>
  <c r="W72" i="2631"/>
  <c r="W63" i="2631" s="1"/>
  <c r="W62" i="2631" s="1"/>
  <c r="W93" i="2631" s="1"/>
  <c r="DN8" i="2632"/>
  <c r="EA8" i="2632"/>
  <c r="CN55" i="2632"/>
  <c r="N56" i="2632"/>
  <c r="AA56" i="2632"/>
  <c r="AN56" i="2632"/>
  <c r="BA56" i="2632"/>
  <c r="BN56" i="2632"/>
  <c r="CA56" i="2632"/>
  <c r="CN56" i="2632"/>
  <c r="DA56" i="2632"/>
  <c r="DN56" i="2632"/>
  <c r="EA56" i="2632"/>
  <c r="N57" i="2632"/>
  <c r="AA57" i="2632"/>
  <c r="AN57" i="2632"/>
  <c r="BA57" i="2632"/>
  <c r="BN57" i="2632"/>
  <c r="CA57" i="2632"/>
  <c r="CN57" i="2632"/>
  <c r="DA57" i="2632"/>
  <c r="DN57" i="2632"/>
  <c r="EA57" i="2632"/>
  <c r="N60" i="2632"/>
  <c r="AA60" i="2632"/>
  <c r="AN60" i="2632"/>
  <c r="BA60" i="2632"/>
  <c r="BN60" i="2632"/>
  <c r="CA60" i="2632"/>
  <c r="CN60" i="2632"/>
  <c r="DA60" i="2632"/>
  <c r="DN60" i="2632"/>
  <c r="EA60" i="2632"/>
  <c r="N61" i="2632"/>
  <c r="AA61" i="2632"/>
  <c r="AN61" i="2632"/>
  <c r="BA61" i="2632"/>
  <c r="BN61" i="2632"/>
  <c r="CA61" i="2632"/>
  <c r="CN61" i="2632"/>
  <c r="DA61" i="2632"/>
  <c r="DN61" i="2632"/>
  <c r="EA61" i="2632"/>
  <c r="EA65" i="2632"/>
  <c r="G80" i="2632"/>
  <c r="G79" i="2632" s="1"/>
  <c r="BT80" i="2632"/>
  <c r="CR86" i="2632"/>
  <c r="BD106" i="2632"/>
  <c r="BD121" i="2632" s="1"/>
  <c r="BD86" i="2632"/>
  <c r="CQ106" i="2632"/>
  <c r="CQ121" i="2632" s="1"/>
  <c r="CQ86" i="2632"/>
  <c r="CQ79" i="2632" s="1"/>
  <c r="CN108" i="2632"/>
  <c r="BG35" i="2634"/>
  <c r="DJ35" i="2634"/>
  <c r="BQ42" i="2634"/>
  <c r="BQ40" i="2634" s="1"/>
  <c r="CV42" i="2634"/>
  <c r="BL69" i="2634"/>
  <c r="BL60" i="2634" s="1"/>
  <c r="BL59" i="2634" s="1"/>
  <c r="BL93" i="2634" s="1"/>
  <c r="CM63" i="2631"/>
  <c r="CM62" i="2631" s="1"/>
  <c r="DZ63" i="2631"/>
  <c r="DZ62" i="2631" s="1"/>
  <c r="BH63" i="2631"/>
  <c r="BH62" i="2631" s="1"/>
  <c r="BH93" i="2631" s="1"/>
  <c r="CB72" i="2631"/>
  <c r="CB63" i="2631" s="1"/>
  <c r="BY72" i="2631"/>
  <c r="BY63" i="2631" s="1"/>
  <c r="BY62" i="2631" s="1"/>
  <c r="N86" i="2631"/>
  <c r="AA86" i="2631"/>
  <c r="AN86" i="2631"/>
  <c r="BA86" i="2631"/>
  <c r="BN86" i="2631"/>
  <c r="CA86" i="2631"/>
  <c r="DA55" i="2632"/>
  <c r="DN55" i="2632"/>
  <c r="EA55" i="2632"/>
  <c r="H80" i="2632"/>
  <c r="H79" i="2632" s="1"/>
  <c r="BD80" i="2632"/>
  <c r="BU80" i="2632"/>
  <c r="AI100" i="2632"/>
  <c r="AV100" i="2632"/>
  <c r="AV80" i="2632"/>
  <c r="AV79" i="2632" s="1"/>
  <c r="BI80" i="2632"/>
  <c r="CI100" i="2632"/>
  <c r="CV100" i="2632"/>
  <c r="BR106" i="2632"/>
  <c r="BR121" i="2632" s="1"/>
  <c r="BR86" i="2632"/>
  <c r="CE106" i="2632"/>
  <c r="CE121" i="2632" s="1"/>
  <c r="CE86" i="2632"/>
  <c r="W106" i="2632"/>
  <c r="W121" i="2632" s="1"/>
  <c r="H112" i="2632"/>
  <c r="H122" i="2632" s="1"/>
  <c r="AU112" i="2632"/>
  <c r="AU122" i="2632" s="1"/>
  <c r="AQ42" i="2634"/>
  <c r="AQ40" i="2634" s="1"/>
  <c r="CQ42" i="2634"/>
  <c r="CY42" i="2634"/>
  <c r="CY40" i="2634" s="1"/>
  <c r="Q42" i="2634"/>
  <c r="AJ80" i="2632"/>
  <c r="AJ79" i="2632" s="1"/>
  <c r="E100" i="2632"/>
  <c r="R100" i="2632"/>
  <c r="AE100" i="2632"/>
  <c r="AR100" i="2632"/>
  <c r="BE100" i="2632"/>
  <c r="BR100" i="2632"/>
  <c r="CE100" i="2632"/>
  <c r="CR100" i="2632"/>
  <c r="BC106" i="2632"/>
  <c r="BC121" i="2632" s="1"/>
  <c r="BP106" i="2632"/>
  <c r="BP121" i="2632" s="1"/>
  <c r="CP106" i="2632"/>
  <c r="CP121" i="2632" s="1"/>
  <c r="AS106" i="2632"/>
  <c r="AS121" i="2632" s="1"/>
  <c r="AT112" i="2632"/>
  <c r="AT122" i="2632" s="1"/>
  <c r="BI35" i="2634"/>
  <c r="DV35" i="2634"/>
  <c r="CD35" i="2634"/>
  <c r="BI42" i="2634"/>
  <c r="P93" i="2634"/>
  <c r="BM69" i="2634"/>
  <c r="BM60" i="2634" s="1"/>
  <c r="BM59" i="2634" s="1"/>
  <c r="BM93" i="2634" s="1"/>
  <c r="U100" i="2632"/>
  <c r="AH100" i="2632"/>
  <c r="AU100" i="2632"/>
  <c r="BH100" i="2632"/>
  <c r="CU100" i="2632"/>
  <c r="K106" i="2632"/>
  <c r="K121" i="2632" s="1"/>
  <c r="J112" i="2632"/>
  <c r="J122" i="2632" s="1"/>
  <c r="DG35" i="2634"/>
  <c r="DT35" i="2634"/>
  <c r="DK42" i="2634"/>
  <c r="N63" i="2634"/>
  <c r="BN63" i="2634"/>
  <c r="BB60" i="2634"/>
  <c r="DC60" i="2634"/>
  <c r="DC59" i="2634" s="1"/>
  <c r="Z60" i="2634"/>
  <c r="Z59" i="2634" s="1"/>
  <c r="Z55" i="2634" s="1"/>
  <c r="BP86" i="2632"/>
  <c r="CF86" i="2632"/>
  <c r="BG106" i="2632"/>
  <c r="BG121" i="2632" s="1"/>
  <c r="BT106" i="2632"/>
  <c r="BT121" i="2632" s="1"/>
  <c r="CG106" i="2632"/>
  <c r="CG121" i="2632" s="1"/>
  <c r="DN89" i="2632"/>
  <c r="CK92" i="2632"/>
  <c r="CX92" i="2632"/>
  <c r="O106" i="2632"/>
  <c r="O121" i="2632" s="1"/>
  <c r="AB106" i="2632"/>
  <c r="AB121" i="2632" s="1"/>
  <c r="AO106" i="2632"/>
  <c r="AO121" i="2632" s="1"/>
  <c r="AK106" i="2632"/>
  <c r="AK121" i="2632" s="1"/>
  <c r="K112" i="2632"/>
  <c r="K122" i="2632" s="1"/>
  <c r="AH35" i="2634"/>
  <c r="BH35" i="2634"/>
  <c r="CH35" i="2634"/>
  <c r="AV42" i="2634"/>
  <c r="C60" i="2634"/>
  <c r="C59" i="2634" s="1"/>
  <c r="C55" i="2634" s="1"/>
  <c r="AC60" i="2634"/>
  <c r="BC60" i="2634"/>
  <c r="BC59" i="2634" s="1"/>
  <c r="BC93" i="2634" s="1"/>
  <c r="BC42" i="2634"/>
  <c r="CD60" i="2634"/>
  <c r="CD59" i="2634" s="1"/>
  <c r="CD42" i="2634"/>
  <c r="CQ60" i="2634"/>
  <c r="CQ59" i="2634" s="1"/>
  <c r="AJ100" i="2632"/>
  <c r="BW100" i="2632"/>
  <c r="CJ100" i="2632"/>
  <c r="N86" i="2632"/>
  <c r="AA86" i="2632"/>
  <c r="BA86" i="2632"/>
  <c r="BH106" i="2632"/>
  <c r="BH121" i="2632" s="1"/>
  <c r="BU106" i="2632"/>
  <c r="BU121" i="2632" s="1"/>
  <c r="DA109" i="2632"/>
  <c r="BX92" i="2632"/>
  <c r="C106" i="2632"/>
  <c r="C121" i="2632" s="1"/>
  <c r="P106" i="2632"/>
  <c r="P121" i="2632" s="1"/>
  <c r="AC106" i="2632"/>
  <c r="AC121" i="2632" s="1"/>
  <c r="AP106" i="2632"/>
  <c r="AP121" i="2632" s="1"/>
  <c r="B106" i="2632"/>
  <c r="B121" i="2632" s="1"/>
  <c r="Y106" i="2632"/>
  <c r="Y121" i="2632" s="1"/>
  <c r="N29" i="2633"/>
  <c r="AA29" i="2633"/>
  <c r="AN29" i="2633"/>
  <c r="BA29" i="2633"/>
  <c r="CN29" i="2633"/>
  <c r="DA29" i="2633"/>
  <c r="DN29" i="2633"/>
  <c r="AV35" i="2634"/>
  <c r="BV35" i="2634"/>
  <c r="CI35" i="2634"/>
  <c r="DJ42" i="2634"/>
  <c r="DZ42" i="2634"/>
  <c r="D59" i="2634"/>
  <c r="D55" i="2634" s="1"/>
  <c r="BS86" i="2632"/>
  <c r="BK92" i="2632"/>
  <c r="CN114" i="2632"/>
  <c r="CN115" i="2632"/>
  <c r="DA116" i="2632"/>
  <c r="CN117" i="2632"/>
  <c r="N109" i="2632"/>
  <c r="AN109" i="2632"/>
  <c r="BW35" i="2634"/>
  <c r="CJ35" i="2634"/>
  <c r="DW35" i="2634"/>
  <c r="N23" i="2634"/>
  <c r="AA23" i="2634"/>
  <c r="AN23" i="2634"/>
  <c r="BA23" i="2634"/>
  <c r="BN23" i="2634"/>
  <c r="CA23" i="2634"/>
  <c r="CN23" i="2634"/>
  <c r="DA23" i="2634"/>
  <c r="DN23" i="2634"/>
  <c r="N27" i="2634"/>
  <c r="AA27" i="2634"/>
  <c r="BA27" i="2634"/>
  <c r="BN27" i="2634"/>
  <c r="CA27" i="2634"/>
  <c r="CN27" i="2634"/>
  <c r="DA27" i="2634"/>
  <c r="DN27" i="2634"/>
  <c r="EA27" i="2634"/>
  <c r="CA47" i="2634"/>
  <c r="CN47" i="2634"/>
  <c r="DA47" i="2634"/>
  <c r="DN47" i="2634"/>
  <c r="AZ69" i="2634"/>
  <c r="AZ60" i="2634" s="1"/>
  <c r="AZ59" i="2634" s="1"/>
  <c r="AZ93" i="2634" s="1"/>
  <c r="BZ69" i="2634"/>
  <c r="BZ60" i="2634" s="1"/>
  <c r="BZ59" i="2634" s="1"/>
  <c r="N104" i="2632"/>
  <c r="AA104" i="2632"/>
  <c r="BJ106" i="2632"/>
  <c r="BJ121" i="2632" s="1"/>
  <c r="CJ106" i="2632"/>
  <c r="CJ121" i="2632" s="1"/>
  <c r="CW106" i="2632"/>
  <c r="CW121" i="2632" s="1"/>
  <c r="DN90" i="2632"/>
  <c r="CO92" i="2632"/>
  <c r="AE106" i="2632"/>
  <c r="AE121" i="2632" s="1"/>
  <c r="AA110" i="2632"/>
  <c r="BA110" i="2632"/>
  <c r="AO112" i="2632"/>
  <c r="AO122" i="2632" s="1"/>
  <c r="AN115" i="2632"/>
  <c r="BA116" i="2632"/>
  <c r="N117" i="2632"/>
  <c r="AA117" i="2632"/>
  <c r="AN117" i="2632"/>
  <c r="BA117" i="2632"/>
  <c r="X35" i="2634"/>
  <c r="AX35" i="2634"/>
  <c r="BK35" i="2634"/>
  <c r="BX35" i="2634"/>
  <c r="DK35" i="2634"/>
  <c r="CM59" i="2634"/>
  <c r="AU80" i="2632"/>
  <c r="AU79" i="2632" s="1"/>
  <c r="AN103" i="2632"/>
  <c r="BF86" i="2632"/>
  <c r="BX106" i="2632"/>
  <c r="BX121" i="2632" s="1"/>
  <c r="CK106" i="2632"/>
  <c r="CK121" i="2632" s="1"/>
  <c r="CX106" i="2632"/>
  <c r="CX121" i="2632" s="1"/>
  <c r="DA110" i="2632"/>
  <c r="DN110" i="2632"/>
  <c r="S106" i="2632"/>
  <c r="S121" i="2632" s="1"/>
  <c r="N111" i="2632"/>
  <c r="AN111" i="2632"/>
  <c r="BA111" i="2632"/>
  <c r="AC112" i="2632"/>
  <c r="AC122" i="2632" s="1"/>
  <c r="AN21" i="2634"/>
  <c r="BA21" i="2634"/>
  <c r="BN21" i="2634"/>
  <c r="BZ42" i="2634"/>
  <c r="BZ40" i="2634" s="1"/>
  <c r="I42" i="2634"/>
  <c r="I40" i="2634" s="1"/>
  <c r="BE42" i="2634"/>
  <c r="DH42" i="2634"/>
  <c r="CP60" i="2634"/>
  <c r="CP59" i="2634" s="1"/>
  <c r="T59" i="2634"/>
  <c r="T55" i="2634" s="1"/>
  <c r="DH60" i="2634"/>
  <c r="DH59" i="2634" s="1"/>
  <c r="DU60" i="2634"/>
  <c r="DQ60" i="2634"/>
  <c r="DQ59" i="2634" s="1"/>
  <c r="BA102" i="2632"/>
  <c r="BL106" i="2632"/>
  <c r="BL121" i="2632" s="1"/>
  <c r="BY106" i="2632"/>
  <c r="BY121" i="2632" s="1"/>
  <c r="CL106" i="2632"/>
  <c r="CL121" i="2632" s="1"/>
  <c r="CY106" i="2632"/>
  <c r="CY121" i="2632" s="1"/>
  <c r="BO92" i="2632"/>
  <c r="G106" i="2632"/>
  <c r="G121" i="2632" s="1"/>
  <c r="Q112" i="2632"/>
  <c r="Q122" i="2632" s="1"/>
  <c r="D112" i="2632"/>
  <c r="D122" i="2632" s="1"/>
  <c r="N7" i="2633"/>
  <c r="AA7" i="2633"/>
  <c r="AN7" i="2633"/>
  <c r="BA7" i="2633"/>
  <c r="BN7" i="2633"/>
  <c r="CA7" i="2633"/>
  <c r="CN7" i="2633"/>
  <c r="DA7" i="2633"/>
  <c r="DN7" i="2633"/>
  <c r="EA7" i="2633"/>
  <c r="CN21" i="2634"/>
  <c r="B42" i="2634"/>
  <c r="B40" i="2634" s="1"/>
  <c r="CA43" i="2634"/>
  <c r="CN43" i="2634"/>
  <c r="DA43" i="2634"/>
  <c r="DN43" i="2634"/>
  <c r="CA44" i="2634"/>
  <c r="CN44" i="2634"/>
  <c r="DA44" i="2634"/>
  <c r="V42" i="2634"/>
  <c r="V40" i="2634" s="1"/>
  <c r="AH42" i="2634"/>
  <c r="AT42" i="2634"/>
  <c r="BR42" i="2634"/>
  <c r="AO42" i="2634"/>
  <c r="BD59" i="2634"/>
  <c r="BD93" i="2634" s="1"/>
  <c r="CV60" i="2634"/>
  <c r="CV59" i="2634" s="1"/>
  <c r="DI60" i="2634"/>
  <c r="DI59" i="2634" s="1"/>
  <c r="DV60" i="2634"/>
  <c r="DV59" i="2634" s="1"/>
  <c r="BN47" i="2635"/>
  <c r="CA47" i="2635"/>
  <c r="DA47" i="2635"/>
  <c r="DN47" i="2635"/>
  <c r="EA47" i="2635"/>
  <c r="BM106" i="2632"/>
  <c r="BM121" i="2632" s="1"/>
  <c r="BZ106" i="2632"/>
  <c r="BZ121" i="2632" s="1"/>
  <c r="CM106" i="2632"/>
  <c r="CM121" i="2632" s="1"/>
  <c r="CZ106" i="2632"/>
  <c r="CZ121" i="2632" s="1"/>
  <c r="N92" i="2632"/>
  <c r="AA92" i="2632"/>
  <c r="AN92" i="2632"/>
  <c r="BA92" i="2632"/>
  <c r="BB92" i="2632"/>
  <c r="E112" i="2632"/>
  <c r="E122" i="2632" s="1"/>
  <c r="N8" i="2634"/>
  <c r="P42" i="2634"/>
  <c r="P40" i="2634" s="1"/>
  <c r="BS42" i="2634"/>
  <c r="I60" i="2634"/>
  <c r="I59" i="2634" s="1"/>
  <c r="I55" i="2634" s="1"/>
  <c r="CJ60" i="2634"/>
  <c r="CJ59" i="2634" s="1"/>
  <c r="CX59" i="2634"/>
  <c r="DS69" i="2634"/>
  <c r="DS60" i="2634" s="1"/>
  <c r="DS59" i="2634" s="1"/>
  <c r="BG42" i="2634"/>
  <c r="BG59" i="2634"/>
  <c r="BG93" i="2634" s="1"/>
  <c r="BA44" i="2635"/>
  <c r="BN44" i="2635"/>
  <c r="DA44" i="2635"/>
  <c r="EA44" i="2635"/>
  <c r="AA45" i="2635"/>
  <c r="AN45" i="2635"/>
  <c r="DN45" i="2635"/>
  <c r="EA45" i="2635"/>
  <c r="N46" i="2635"/>
  <c r="AA46" i="2635"/>
  <c r="AN46" i="2635"/>
  <c r="BA46" i="2635"/>
  <c r="BN46" i="2635"/>
  <c r="CA46" i="2635"/>
  <c r="CN46" i="2635"/>
  <c r="DN46" i="2635"/>
  <c r="EA46" i="2635"/>
  <c r="CH42" i="2634"/>
  <c r="T42" i="2634"/>
  <c r="BS59" i="2634"/>
  <c r="BS93" i="2634" s="1"/>
  <c r="AD60" i="2634"/>
  <c r="X69" i="2634"/>
  <c r="X60" i="2634" s="1"/>
  <c r="X59" i="2634" s="1"/>
  <c r="B69" i="2634"/>
  <c r="AK42" i="2634"/>
  <c r="BJ42" i="2634"/>
  <c r="BV42" i="2634"/>
  <c r="CI42" i="2634"/>
  <c r="U42" i="2634"/>
  <c r="U40" i="2634" s="1"/>
  <c r="BV60" i="2634"/>
  <c r="BV59" i="2634" s="1"/>
  <c r="BV93" i="2634" s="1"/>
  <c r="L69" i="2634"/>
  <c r="L60" i="2634" s="1"/>
  <c r="CY69" i="2634"/>
  <c r="CY60" i="2634" s="1"/>
  <c r="CY59" i="2634" s="1"/>
  <c r="AN53" i="2635"/>
  <c r="CW60" i="2634"/>
  <c r="CW59" i="2634" s="1"/>
  <c r="DG60" i="2634"/>
  <c r="DG59" i="2634" s="1"/>
  <c r="AW59" i="2634"/>
  <c r="AW93" i="2634" s="1"/>
  <c r="DA14" i="2635"/>
  <c r="DN14" i="2635"/>
  <c r="BH60" i="2634"/>
  <c r="BH59" i="2634" s="1"/>
  <c r="BH93" i="2634" s="1"/>
  <c r="CU60" i="2634"/>
  <c r="CU59" i="2634" s="1"/>
  <c r="N70" i="2634"/>
  <c r="CN70" i="2634"/>
  <c r="DA70" i="2634"/>
  <c r="DA83" i="2634"/>
  <c r="DN86" i="2634"/>
  <c r="CI60" i="2634"/>
  <c r="CI59" i="2634" s="1"/>
  <c r="BW60" i="2634"/>
  <c r="BW59" i="2634" s="1"/>
  <c r="CO69" i="2634"/>
  <c r="DN79" i="2634"/>
  <c r="N83" i="2634"/>
  <c r="BN62" i="2635"/>
  <c r="DA62" i="2635"/>
  <c r="DN62" i="2635"/>
  <c r="EA62" i="2635"/>
  <c r="BN71" i="2635"/>
  <c r="CA71" i="2635"/>
  <c r="DA71" i="2635"/>
  <c r="DN71" i="2635"/>
  <c r="DK60" i="2634"/>
  <c r="DK59" i="2634" s="1"/>
  <c r="BY69" i="2634"/>
  <c r="BY60" i="2634" s="1"/>
  <c r="BY59" i="2634" s="1"/>
  <c r="AE69" i="2634"/>
  <c r="AE60" i="2634" s="1"/>
  <c r="AA83" i="2634"/>
  <c r="CA86" i="2634"/>
  <c r="DA55" i="2635"/>
  <c r="DN55" i="2635"/>
  <c r="N61" i="2635"/>
  <c r="AN61" i="2635"/>
  <c r="BA61" i="2635"/>
  <c r="BN61" i="2635"/>
  <c r="DA61" i="2635"/>
  <c r="DN61" i="2635"/>
  <c r="EA61" i="2635"/>
  <c r="N7" i="2636"/>
  <c r="AA7" i="2636"/>
  <c r="AN7" i="2636"/>
  <c r="BA7" i="2636"/>
  <c r="BN7" i="2636"/>
  <c r="CA7" i="2636"/>
  <c r="CN7" i="2636"/>
  <c r="DA7" i="2636"/>
  <c r="DN7" i="2636"/>
  <c r="EA7" i="2636"/>
  <c r="DR42" i="2634"/>
  <c r="DR40" i="2634" s="1"/>
  <c r="CR42" i="2634"/>
  <c r="CC42" i="2634"/>
  <c r="DX42" i="2634"/>
  <c r="DX40" i="2634" s="1"/>
  <c r="BH42" i="2634"/>
  <c r="CJ42" i="2634"/>
  <c r="S69" i="2634"/>
  <c r="S60" i="2634" s="1"/>
  <c r="S59" i="2634" s="1"/>
  <c r="S55" i="2634" s="1"/>
  <c r="N55" i="2635"/>
  <c r="N60" i="2635"/>
  <c r="BN60" i="2635"/>
  <c r="CA60" i="2635"/>
  <c r="CN60" i="2635"/>
  <c r="DA60" i="2635"/>
  <c r="DN60" i="2635"/>
  <c r="EA60" i="2635"/>
  <c r="CN50" i="2634"/>
  <c r="DA50" i="2634"/>
  <c r="DN50" i="2634"/>
  <c r="AY60" i="2634"/>
  <c r="AY59" i="2634" s="1"/>
  <c r="AY93" i="2634" s="1"/>
  <c r="CB69" i="2634"/>
  <c r="CB60" i="2634" s="1"/>
  <c r="G69" i="2634"/>
  <c r="G60" i="2634" s="1"/>
  <c r="G59" i="2634" s="1"/>
  <c r="G55" i="2634" s="1"/>
  <c r="BT69" i="2634"/>
  <c r="BT60" i="2634" s="1"/>
  <c r="BT59" i="2634" s="1"/>
  <c r="BT93" i="2634" s="1"/>
  <c r="BJ69" i="2634"/>
  <c r="BJ60" i="2634" s="1"/>
  <c r="DR69" i="2634"/>
  <c r="DR60" i="2634" s="1"/>
  <c r="DR59" i="2634" s="1"/>
  <c r="BO83" i="2634"/>
  <c r="CA83" i="2634" s="1"/>
  <c r="AA54" i="2635"/>
  <c r="AN54" i="2635"/>
  <c r="CA54" i="2635"/>
  <c r="CN54" i="2635"/>
  <c r="DA54" i="2635"/>
  <c r="DN54" i="2635"/>
  <c r="AN58" i="2635"/>
  <c r="BA58" i="2635"/>
  <c r="BN58" i="2635"/>
  <c r="CA58" i="2635"/>
  <c r="CN58" i="2635"/>
  <c r="DA58" i="2635"/>
  <c r="DN58" i="2635"/>
  <c r="EA58" i="2635"/>
  <c r="N59" i="2635"/>
  <c r="AA59" i="2635"/>
  <c r="K9" i="2628"/>
  <c r="AN15" i="2628"/>
  <c r="AI9" i="2628"/>
  <c r="CD9" i="2628"/>
  <c r="AW9" i="2628"/>
  <c r="CC9" i="2628"/>
  <c r="CE9" i="2628"/>
  <c r="AK9" i="2628"/>
  <c r="BQ9" i="2628"/>
  <c r="BI9" i="2628"/>
  <c r="DC9" i="2628"/>
  <c r="DC32" i="2628" s="1"/>
  <c r="Y9" i="2628"/>
  <c r="BE9" i="2628"/>
  <c r="CA33" i="2628"/>
  <c r="DD9" i="2628"/>
  <c r="DD32" i="2628" s="1"/>
  <c r="M9" i="2628"/>
  <c r="AZ9" i="2628"/>
  <c r="DN38" i="2628"/>
  <c r="DN15" i="2628"/>
  <c r="V9" i="2628"/>
  <c r="DE9" i="2628"/>
  <c r="DE32" i="2628" s="1"/>
  <c r="AB9" i="2628"/>
  <c r="BA10" i="2628"/>
  <c r="BN33" i="2628"/>
  <c r="BB9" i="2628"/>
  <c r="BN10" i="2628"/>
  <c r="CO9" i="2628"/>
  <c r="CO32" i="2628" s="1"/>
  <c r="W9" i="2628"/>
  <c r="AP9" i="2628"/>
  <c r="CA10" i="2628"/>
  <c r="CN10" i="2628"/>
  <c r="DA33" i="2628"/>
  <c r="DN10" i="2628"/>
  <c r="DN33" i="2628"/>
  <c r="CU9" i="2628"/>
  <c r="CU32" i="2628" s="1"/>
  <c r="X9" i="2628"/>
  <c r="BR9" i="2628"/>
  <c r="CP7" i="2628"/>
  <c r="CP30" i="2628" s="1"/>
  <c r="AD9" i="2628"/>
  <c r="CI9" i="2628"/>
  <c r="CI32" i="2628" s="1"/>
  <c r="EA30" i="2628"/>
  <c r="DN42" i="2628"/>
  <c r="CQ7" i="2628"/>
  <c r="CQ30" i="2628" s="1"/>
  <c r="BW9" i="2628"/>
  <c r="CW7" i="2628"/>
  <c r="CW30" i="2628" s="1"/>
  <c r="CN33" i="2628"/>
  <c r="BA40" i="2628"/>
  <c r="CA44" i="2628"/>
  <c r="DA15" i="2628"/>
  <c r="AV9" i="2628"/>
  <c r="CR7" i="2628"/>
  <c r="CR30" i="2628" s="1"/>
  <c r="N33" i="2628"/>
  <c r="F9" i="2628"/>
  <c r="N38" i="2628"/>
  <c r="B9" i="2628"/>
  <c r="N15" i="2628"/>
  <c r="Z9" i="2628"/>
  <c r="AN38" i="2628"/>
  <c r="AL9" i="2628"/>
  <c r="BA38" i="2628"/>
  <c r="AX9" i="2628"/>
  <c r="BK9" i="2628"/>
  <c r="DN35" i="2628"/>
  <c r="DN36" i="2628"/>
  <c r="EA38" i="2628"/>
  <c r="J9" i="2628"/>
  <c r="BU9" i="2628"/>
  <c r="AA38" i="2628"/>
  <c r="AA15" i="2628"/>
  <c r="BL9" i="2628"/>
  <c r="EA33" i="2628"/>
  <c r="AA8" i="2629"/>
  <c r="N37" i="2628"/>
  <c r="AA44" i="2628"/>
  <c r="AN44" i="2628"/>
  <c r="AN8" i="2629"/>
  <c r="BN8" i="2629"/>
  <c r="CN55" i="2629"/>
  <c r="AN37" i="2628"/>
  <c r="BA37" i="2628"/>
  <c r="BN44" i="2628"/>
  <c r="CN8" i="2629"/>
  <c r="AA14" i="2629"/>
  <c r="AN14" i="2629"/>
  <c r="DA10" i="2628"/>
  <c r="CN44" i="2628"/>
  <c r="DA8" i="2629"/>
  <c r="DN8" i="2629"/>
  <c r="BA14" i="2629"/>
  <c r="BN14" i="2629"/>
  <c r="CA14" i="2629"/>
  <c r="N57" i="2629"/>
  <c r="AA57" i="2629"/>
  <c r="AA23" i="2629"/>
  <c r="AA43" i="2629"/>
  <c r="AN43" i="2629"/>
  <c r="CA43" i="2629"/>
  <c r="CN43" i="2629"/>
  <c r="AA44" i="2629"/>
  <c r="AN44" i="2629"/>
  <c r="BA44" i="2629"/>
  <c r="N45" i="2629"/>
  <c r="N58" i="2629"/>
  <c r="AA58" i="2629"/>
  <c r="AA59" i="2629"/>
  <c r="AN59" i="2629"/>
  <c r="DN39" i="2628"/>
  <c r="BN41" i="2628"/>
  <c r="EA44" i="2628"/>
  <c r="EA14" i="2629"/>
  <c r="AN57" i="2629"/>
  <c r="BN57" i="2629"/>
  <c r="CA57" i="2629"/>
  <c r="CN57" i="2629"/>
  <c r="DA57" i="2629"/>
  <c r="DN57" i="2629"/>
  <c r="EA57" i="2629"/>
  <c r="DN44" i="2629"/>
  <c r="CA45" i="2629"/>
  <c r="CN58" i="2629"/>
  <c r="DN59" i="2629"/>
  <c r="N60" i="2629"/>
  <c r="DA37" i="2628"/>
  <c r="CN41" i="2628"/>
  <c r="DA41" i="2628"/>
  <c r="BA46" i="2629"/>
  <c r="CN46" i="2629"/>
  <c r="DA46" i="2629"/>
  <c r="N47" i="2629"/>
  <c r="BA47" i="2629"/>
  <c r="BN47" i="2629"/>
  <c r="AN49" i="2629"/>
  <c r="CN49" i="2629"/>
  <c r="EA49" i="2629"/>
  <c r="AN61" i="2629"/>
  <c r="BN61" i="2629"/>
  <c r="DN47" i="2629"/>
  <c r="EA47" i="2629"/>
  <c r="N50" i="2629"/>
  <c r="BA50" i="2629"/>
  <c r="BN50" i="2629"/>
  <c r="DA50" i="2629"/>
  <c r="DN50" i="2629"/>
  <c r="N51" i="2629"/>
  <c r="AA51" i="2629"/>
  <c r="BN51" i="2629"/>
  <c r="CA51" i="2629"/>
  <c r="CN51" i="2629"/>
  <c r="AA52" i="2629"/>
  <c r="AN52" i="2629"/>
  <c r="BA52" i="2629"/>
  <c r="N62" i="2629"/>
  <c r="BN62" i="2629"/>
  <c r="CA62" i="2629"/>
  <c r="CN62" i="2629"/>
  <c r="DB37" i="2631"/>
  <c r="BN36" i="2628"/>
  <c r="CA36" i="2628"/>
  <c r="AA40" i="2628"/>
  <c r="EA51" i="2629"/>
  <c r="CN52" i="2629"/>
  <c r="DA52" i="2629"/>
  <c r="DN52" i="2629"/>
  <c r="EA52" i="2629"/>
  <c r="AN71" i="2629"/>
  <c r="BN71" i="2629"/>
  <c r="BJ9" i="2628"/>
  <c r="BV9" i="2628"/>
  <c r="CH9" i="2628"/>
  <c r="CH32" i="2628" s="1"/>
  <c r="CT9" i="2628"/>
  <c r="CT32" i="2628" s="1"/>
  <c r="N10" i="2628"/>
  <c r="BA15" i="2628"/>
  <c r="N42" i="2628"/>
  <c r="AA42" i="2628"/>
  <c r="AN42" i="2628"/>
  <c r="AA10" i="2628"/>
  <c r="CN35" i="2628"/>
  <c r="DA35" i="2628"/>
  <c r="BN42" i="2628"/>
  <c r="CA42" i="2628"/>
  <c r="DO20" i="2629"/>
  <c r="BN53" i="2629"/>
  <c r="C9" i="2628"/>
  <c r="BX9" i="2628"/>
  <c r="AN10" i="2628"/>
  <c r="CA38" i="2628"/>
  <c r="CA15" i="2628"/>
  <c r="EA36" i="2628"/>
  <c r="DA42" i="2628"/>
  <c r="EA7" i="2630"/>
  <c r="BY9" i="2628"/>
  <c r="CN40" i="2628"/>
  <c r="EA42" i="2628"/>
  <c r="N54" i="2629"/>
  <c r="AA54" i="2629"/>
  <c r="AN54" i="2629"/>
  <c r="BA54" i="2629"/>
  <c r="BA8" i="2629"/>
  <c r="N23" i="2629"/>
  <c r="N53" i="2629"/>
  <c r="AA53" i="2629"/>
  <c r="BA60" i="2629"/>
  <c r="N7" i="2630"/>
  <c r="AA7" i="2630"/>
  <c r="AN7" i="2630"/>
  <c r="BA7" i="2630"/>
  <c r="N8" i="2631"/>
  <c r="AA8" i="2631"/>
  <c r="DO37" i="2631"/>
  <c r="EA8" i="2631"/>
  <c r="AA18" i="2631"/>
  <c r="AA54" i="2631" s="1"/>
  <c r="AN18" i="2631"/>
  <c r="AN54" i="2631" s="1"/>
  <c r="BA18" i="2631"/>
  <c r="BA54" i="2631" s="1"/>
  <c r="BN18" i="2631"/>
  <c r="BN54" i="2631" s="1"/>
  <c r="CZ43" i="2631"/>
  <c r="CA8" i="2629"/>
  <c r="CN14" i="2629"/>
  <c r="AN23" i="2629"/>
  <c r="DA60" i="2629"/>
  <c r="EA61" i="2629"/>
  <c r="CN7" i="2630"/>
  <c r="CN10" i="2631"/>
  <c r="DA10" i="2631"/>
  <c r="CA18" i="2631"/>
  <c r="DA14" i="2629"/>
  <c r="N19" i="2629"/>
  <c r="BA23" i="2629"/>
  <c r="CN54" i="2629"/>
  <c r="CA44" i="2631"/>
  <c r="CL43" i="2631"/>
  <c r="DQ43" i="2631"/>
  <c r="CN48" i="2631"/>
  <c r="EA47" i="2631"/>
  <c r="DN14" i="2629"/>
  <c r="BN23" i="2629"/>
  <c r="AA62" i="2629"/>
  <c r="AA71" i="2629"/>
  <c r="CE8" i="2631"/>
  <c r="N21" i="2631"/>
  <c r="EA50" i="2631"/>
  <c r="CA23" i="2629"/>
  <c r="DA59" i="2629"/>
  <c r="BA62" i="2629"/>
  <c r="BA71" i="2629"/>
  <c r="R43" i="2631"/>
  <c r="DA54" i="2631"/>
  <c r="DN54" i="2631"/>
  <c r="DP21" i="2629"/>
  <c r="DP55" i="2629" s="1"/>
  <c r="CN23" i="2629"/>
  <c r="DN53" i="2629"/>
  <c r="EA59" i="2629"/>
  <c r="CA71" i="2629"/>
  <c r="AT37" i="2631"/>
  <c r="CN21" i="2631"/>
  <c r="DA21" i="2631"/>
  <c r="DN21" i="2631"/>
  <c r="EA21" i="2631"/>
  <c r="F43" i="2631"/>
  <c r="F41" i="2631" s="1"/>
  <c r="DG43" i="2631"/>
  <c r="BL43" i="2631"/>
  <c r="BZ43" i="2631"/>
  <c r="BZ41" i="2631" s="1"/>
  <c r="CE43" i="2631"/>
  <c r="CY63" i="2631"/>
  <c r="CY62" i="2631" s="1"/>
  <c r="CY43" i="2631"/>
  <c r="DA23" i="2629"/>
  <c r="DA71" i="2629"/>
  <c r="DN71" i="2629"/>
  <c r="EA71" i="2629"/>
  <c r="AH37" i="2631"/>
  <c r="CH37" i="2631"/>
  <c r="CU8" i="2631"/>
  <c r="BZ37" i="2631"/>
  <c r="AA23" i="2631"/>
  <c r="AN23" i="2631"/>
  <c r="CA23" i="2631"/>
  <c r="CN23" i="2631"/>
  <c r="CO37" i="2631"/>
  <c r="T43" i="2631"/>
  <c r="K43" i="2631"/>
  <c r="K41" i="2631" s="1"/>
  <c r="W43" i="2631"/>
  <c r="AI43" i="2631"/>
  <c r="AI41" i="2631" s="1"/>
  <c r="AU43" i="2631"/>
  <c r="BG43" i="2631"/>
  <c r="BS43" i="2631"/>
  <c r="CB83" i="2631"/>
  <c r="CN83" i="2631" s="1"/>
  <c r="CN86" i="2631"/>
  <c r="DY62" i="2631"/>
  <c r="N14" i="2629"/>
  <c r="DN23" i="2629"/>
  <c r="N42" i="2629"/>
  <c r="EA58" i="2629"/>
  <c r="DA62" i="2629"/>
  <c r="AN29" i="2630"/>
  <c r="BU43" i="2631"/>
  <c r="BB43" i="2631"/>
  <c r="BB41" i="2631" s="1"/>
  <c r="CA52" i="2631"/>
  <c r="CN52" i="2631"/>
  <c r="DA52" i="2631"/>
  <c r="DD72" i="2631"/>
  <c r="DD63" i="2631" s="1"/>
  <c r="DD62" i="2631" s="1"/>
  <c r="EA23" i="2629"/>
  <c r="AA61" i="2629"/>
  <c r="EA62" i="2629"/>
  <c r="BN29" i="2630"/>
  <c r="CA29" i="2630"/>
  <c r="CN29" i="2630"/>
  <c r="DA29" i="2630"/>
  <c r="DN29" i="2630"/>
  <c r="EA29" i="2630"/>
  <c r="BJ37" i="2631"/>
  <c r="BW8" i="2631"/>
  <c r="BH43" i="2631"/>
  <c r="AB43" i="2631"/>
  <c r="AP43" i="2631"/>
  <c r="BP43" i="2631"/>
  <c r="CF43" i="2631"/>
  <c r="CA49" i="2631"/>
  <c r="CN49" i="2631"/>
  <c r="EA49" i="2631"/>
  <c r="BA61" i="2629"/>
  <c r="BA27" i="2631"/>
  <c r="CN27" i="2631"/>
  <c r="DA27" i="2631"/>
  <c r="J43" i="2631"/>
  <c r="J41" i="2631" s="1"/>
  <c r="AV43" i="2631"/>
  <c r="D43" i="2631"/>
  <c r="D41" i="2631" s="1"/>
  <c r="P43" i="2631"/>
  <c r="CG43" i="2631"/>
  <c r="DX43" i="2631"/>
  <c r="CQ43" i="2631"/>
  <c r="AO63" i="2631"/>
  <c r="CA61" i="2629"/>
  <c r="DZ37" i="2631"/>
  <c r="N18" i="2631"/>
  <c r="N54" i="2631" s="1"/>
  <c r="BJ43" i="2631"/>
  <c r="DZ43" i="2631"/>
  <c r="DZ41" i="2631" s="1"/>
  <c r="AR43" i="2631"/>
  <c r="DA23" i="2631"/>
  <c r="EA48" i="2631"/>
  <c r="EA54" i="2631"/>
  <c r="EA72" i="2631"/>
  <c r="AA73" i="2631"/>
  <c r="DN73" i="2631"/>
  <c r="EA73" i="2631"/>
  <c r="CA54" i="2631"/>
  <c r="CA66" i="2631"/>
  <c r="N83" i="2631"/>
  <c r="DA83" i="2631"/>
  <c r="CQ63" i="2631"/>
  <c r="CQ62" i="2631" s="1"/>
  <c r="AN66" i="2631"/>
  <c r="AN46" i="2631" s="1"/>
  <c r="BA66" i="2631"/>
  <c r="BN66" i="2631"/>
  <c r="BB63" i="2631"/>
  <c r="CN66" i="2631"/>
  <c r="DA66" i="2631"/>
  <c r="DB62" i="2631"/>
  <c r="DN66" i="2631"/>
  <c r="EA66" i="2631"/>
  <c r="BA23" i="2632"/>
  <c r="DM43" i="2631"/>
  <c r="N79" i="2631"/>
  <c r="BN83" i="2631"/>
  <c r="BA55" i="2632"/>
  <c r="BA19" i="2632"/>
  <c r="AF43" i="2631"/>
  <c r="BN8" i="2632"/>
  <c r="BW72" i="2631"/>
  <c r="BW63" i="2631" s="1"/>
  <c r="BW62" i="2631" s="1"/>
  <c r="BA79" i="2631"/>
  <c r="BN79" i="2631"/>
  <c r="CA79" i="2631"/>
  <c r="DN86" i="2631"/>
  <c r="AS37" i="2631"/>
  <c r="BE37" i="2631"/>
  <c r="CA10" i="2631"/>
  <c r="CN18" i="2631"/>
  <c r="BR43" i="2631"/>
  <c r="CD43" i="2631"/>
  <c r="BK72" i="2631"/>
  <c r="BK63" i="2631" s="1"/>
  <c r="BK62" i="2631" s="1"/>
  <c r="BK93" i="2631" s="1"/>
  <c r="BX72" i="2631"/>
  <c r="BX63" i="2631" s="1"/>
  <c r="BX62" i="2631" s="1"/>
  <c r="AA83" i="2631"/>
  <c r="DN47" i="2631"/>
  <c r="O63" i="2631"/>
  <c r="BL72" i="2631"/>
  <c r="BL63" i="2631" s="1"/>
  <c r="BL62" i="2631" s="1"/>
  <c r="BL93" i="2631" s="1"/>
  <c r="AY72" i="2631"/>
  <c r="AY63" i="2631" s="1"/>
  <c r="AY62" i="2631" s="1"/>
  <c r="AY93" i="2631" s="1"/>
  <c r="DN82" i="2631"/>
  <c r="BA83" i="2631"/>
  <c r="AN73" i="2631"/>
  <c r="N8" i="2632"/>
  <c r="N14" i="2632"/>
  <c r="BN55" i="2632"/>
  <c r="BN19" i="2632"/>
  <c r="BN59" i="2632"/>
  <c r="BN23" i="2632"/>
  <c r="CA48" i="2632"/>
  <c r="CN48" i="2632"/>
  <c r="BA73" i="2631"/>
  <c r="BN73" i="2631"/>
  <c r="AA8" i="2632"/>
  <c r="AA14" i="2632"/>
  <c r="AN14" i="2632"/>
  <c r="BA50" i="2632"/>
  <c r="BA14" i="2632"/>
  <c r="CA59" i="2632"/>
  <c r="CA23" i="2632"/>
  <c r="AN45" i="2632"/>
  <c r="BA45" i="2632"/>
  <c r="BN45" i="2632"/>
  <c r="AB83" i="2631"/>
  <c r="AN83" i="2631" s="1"/>
  <c r="DG83" i="2631"/>
  <c r="DG62" i="2631" s="1"/>
  <c r="AN8" i="2632"/>
  <c r="BN14" i="2632"/>
  <c r="CN59" i="2632"/>
  <c r="CN23" i="2632"/>
  <c r="BA8" i="2632"/>
  <c r="CA14" i="2632"/>
  <c r="CA19" i="2632"/>
  <c r="DA59" i="2632"/>
  <c r="DA23" i="2632"/>
  <c r="DN45" i="2632"/>
  <c r="EA45" i="2632"/>
  <c r="N49" i="2632"/>
  <c r="CN14" i="2632"/>
  <c r="DN59" i="2632"/>
  <c r="DN23" i="2632"/>
  <c r="N46" i="2632"/>
  <c r="AA46" i="2632"/>
  <c r="AN46" i="2632"/>
  <c r="BA49" i="2632"/>
  <c r="BN49" i="2632"/>
  <c r="CA49" i="2632"/>
  <c r="CN49" i="2632"/>
  <c r="DA49" i="2632"/>
  <c r="BO83" i="2631"/>
  <c r="CA83" i="2631" s="1"/>
  <c r="DA86" i="2631"/>
  <c r="CA8" i="2632"/>
  <c r="DA50" i="2632"/>
  <c r="DA14" i="2632"/>
  <c r="EA23" i="2632"/>
  <c r="CN8" i="2632"/>
  <c r="DN14" i="2632"/>
  <c r="CN19" i="2632"/>
  <c r="CA46" i="2632"/>
  <c r="CN46" i="2632"/>
  <c r="DA46" i="2632"/>
  <c r="DN46" i="2632"/>
  <c r="DA8" i="2632"/>
  <c r="EA50" i="2632"/>
  <c r="EA14" i="2632"/>
  <c r="N59" i="2632"/>
  <c r="N23" i="2632"/>
  <c r="N19" i="2632"/>
  <c r="AA55" i="2632"/>
  <c r="AA19" i="2632"/>
  <c r="AA59" i="2632"/>
  <c r="AA23" i="2632"/>
  <c r="AN47" i="2632"/>
  <c r="BA47" i="2632"/>
  <c r="BN47" i="2632"/>
  <c r="CA47" i="2632"/>
  <c r="CN47" i="2632"/>
  <c r="AN55" i="2632"/>
  <c r="AN19" i="2632"/>
  <c r="AN59" i="2632"/>
  <c r="AN23" i="2632"/>
  <c r="EA59" i="2632"/>
  <c r="O100" i="2632"/>
  <c r="AA81" i="2632"/>
  <c r="N102" i="2632"/>
  <c r="N82" i="2632"/>
  <c r="AB100" i="2632"/>
  <c r="AN81" i="2632"/>
  <c r="AA102" i="2632"/>
  <c r="AA82" i="2632"/>
  <c r="N83" i="2632"/>
  <c r="AO100" i="2632"/>
  <c r="BA81" i="2632"/>
  <c r="AN102" i="2632"/>
  <c r="AN82" i="2632"/>
  <c r="AA103" i="2632"/>
  <c r="AA83" i="2632"/>
  <c r="N84" i="2632"/>
  <c r="CO86" i="2632"/>
  <c r="DA87" i="2632"/>
  <c r="BB100" i="2632"/>
  <c r="BN81" i="2632"/>
  <c r="BA82" i="2632"/>
  <c r="AN83" i="2632"/>
  <c r="AA84" i="2632"/>
  <c r="N105" i="2632"/>
  <c r="N85" i="2632"/>
  <c r="AN86" i="2632"/>
  <c r="CC106" i="2632"/>
  <c r="CC121" i="2632" s="1"/>
  <c r="CC86" i="2632"/>
  <c r="BO100" i="2632"/>
  <c r="CA81" i="2632"/>
  <c r="BN102" i="2632"/>
  <c r="BN82" i="2632"/>
  <c r="BA83" i="2632"/>
  <c r="AN104" i="2632"/>
  <c r="AN84" i="2632"/>
  <c r="AA105" i="2632"/>
  <c r="AA85" i="2632"/>
  <c r="BQ106" i="2632"/>
  <c r="BQ121" i="2632" s="1"/>
  <c r="BQ86" i="2632"/>
  <c r="CB100" i="2632"/>
  <c r="CN81" i="2632"/>
  <c r="CA102" i="2632"/>
  <c r="CA82" i="2632"/>
  <c r="BN83" i="2632"/>
  <c r="BA104" i="2632"/>
  <c r="BA84" i="2632"/>
  <c r="AN105" i="2632"/>
  <c r="AN85" i="2632"/>
  <c r="BE106" i="2632"/>
  <c r="BE121" i="2632" s="1"/>
  <c r="BE86" i="2632"/>
  <c r="BE79" i="2632" s="1"/>
  <c r="DA81" i="2632"/>
  <c r="CN102" i="2632"/>
  <c r="CN82" i="2632"/>
  <c r="CA83" i="2632"/>
  <c r="BN104" i="2632"/>
  <c r="BN84" i="2632"/>
  <c r="BN105" i="2632"/>
  <c r="BN85" i="2632"/>
  <c r="AN50" i="2632"/>
  <c r="K80" i="2632"/>
  <c r="K79" i="2632" s="1"/>
  <c r="W80" i="2632"/>
  <c r="W79" i="2632" s="1"/>
  <c r="AI80" i="2632"/>
  <c r="AI79" i="2632" s="1"/>
  <c r="DN81" i="2632"/>
  <c r="DA102" i="2632"/>
  <c r="DA82" i="2632"/>
  <c r="CN83" i="2632"/>
  <c r="CA104" i="2632"/>
  <c r="CA84" i="2632"/>
  <c r="CA105" i="2632"/>
  <c r="CA85" i="2632"/>
  <c r="N55" i="2632"/>
  <c r="EA101" i="2632"/>
  <c r="EA81" i="2632"/>
  <c r="DN102" i="2632"/>
  <c r="DN82" i="2632"/>
  <c r="DA83" i="2632"/>
  <c r="CN104" i="2632"/>
  <c r="CN84" i="2632"/>
  <c r="CN105" i="2632"/>
  <c r="CN85" i="2632"/>
  <c r="EA102" i="2632"/>
  <c r="EA82" i="2632"/>
  <c r="DN103" i="2632"/>
  <c r="DN83" i="2632"/>
  <c r="DA84" i="2632"/>
  <c r="DA105" i="2632"/>
  <c r="DA85" i="2632"/>
  <c r="B80" i="2632"/>
  <c r="B79" i="2632" s="1"/>
  <c r="Z80" i="2632"/>
  <c r="Z79" i="2632" s="1"/>
  <c r="AL80" i="2632"/>
  <c r="AL79" i="2632" s="1"/>
  <c r="AX80" i="2632"/>
  <c r="AX79" i="2632" s="1"/>
  <c r="BJ80" i="2632"/>
  <c r="BV80" i="2632"/>
  <c r="CH80" i="2632"/>
  <c r="CT80" i="2632"/>
  <c r="Y100" i="2632"/>
  <c r="AK100" i="2632"/>
  <c r="AW100" i="2632"/>
  <c r="BI100" i="2632"/>
  <c r="BU100" i="2632"/>
  <c r="CG100" i="2632"/>
  <c r="CS100" i="2632"/>
  <c r="EA103" i="2632"/>
  <c r="EA83" i="2632"/>
  <c r="DN104" i="2632"/>
  <c r="DN84" i="2632"/>
  <c r="DN105" i="2632"/>
  <c r="DN85" i="2632"/>
  <c r="C80" i="2632"/>
  <c r="C79" i="2632" s="1"/>
  <c r="O80" i="2632"/>
  <c r="O79" i="2632" s="1"/>
  <c r="AM80" i="2632"/>
  <c r="AM79" i="2632" s="1"/>
  <c r="AY80" i="2632"/>
  <c r="AY79" i="2632" s="1"/>
  <c r="BK80" i="2632"/>
  <c r="BW80" i="2632"/>
  <c r="CI80" i="2632"/>
  <c r="CU80" i="2632"/>
  <c r="B100" i="2632"/>
  <c r="N81" i="2632"/>
  <c r="Z100" i="2632"/>
  <c r="AL100" i="2632"/>
  <c r="AX100" i="2632"/>
  <c r="BJ100" i="2632"/>
  <c r="BV100" i="2632"/>
  <c r="CH100" i="2632"/>
  <c r="CT100" i="2632"/>
  <c r="EA84" i="2632"/>
  <c r="EA85" i="2632"/>
  <c r="EA115" i="2632"/>
  <c r="EA95" i="2632"/>
  <c r="DA117" i="2632"/>
  <c r="DA97" i="2632"/>
  <c r="BA105" i="2632"/>
  <c r="BA85" i="2632"/>
  <c r="BL86" i="2632"/>
  <c r="BX86" i="2632"/>
  <c r="BX79" i="2632" s="1"/>
  <c r="CJ86" i="2632"/>
  <c r="CV86" i="2632"/>
  <c r="BK106" i="2632"/>
  <c r="BK121" i="2632" s="1"/>
  <c r="EA116" i="2632"/>
  <c r="EA96" i="2632"/>
  <c r="EA97" i="2632"/>
  <c r="BB106" i="2632"/>
  <c r="BB121" i="2632" s="1"/>
  <c r="BN87" i="2632"/>
  <c r="BN108" i="2632"/>
  <c r="BN88" i="2632"/>
  <c r="BN109" i="2632"/>
  <c r="BN89" i="2632"/>
  <c r="BN110" i="2632"/>
  <c r="BN90" i="2632"/>
  <c r="BN111" i="2632"/>
  <c r="BN91" i="2632"/>
  <c r="CA87" i="2632"/>
  <c r="CA108" i="2632"/>
  <c r="CA88" i="2632"/>
  <c r="CA109" i="2632"/>
  <c r="CA89" i="2632"/>
  <c r="CA110" i="2632"/>
  <c r="CA90" i="2632"/>
  <c r="CA111" i="2632"/>
  <c r="CA91" i="2632"/>
  <c r="BB112" i="2632"/>
  <c r="BB122" i="2632" s="1"/>
  <c r="BN113" i="2632"/>
  <c r="BN93" i="2632"/>
  <c r="CB106" i="2632"/>
  <c r="CB121" i="2632" s="1"/>
  <c r="CN107" i="2632"/>
  <c r="CN87" i="2632"/>
  <c r="CN88" i="2632"/>
  <c r="CN109" i="2632"/>
  <c r="CN89" i="2632"/>
  <c r="CN110" i="2632"/>
  <c r="CN90" i="2632"/>
  <c r="CN111" i="2632"/>
  <c r="CN91" i="2632"/>
  <c r="BD92" i="2632"/>
  <c r="BP92" i="2632"/>
  <c r="CB92" i="2632"/>
  <c r="CZ92" i="2632"/>
  <c r="BO112" i="2632"/>
  <c r="BO122" i="2632" s="1"/>
  <c r="CA93" i="2632"/>
  <c r="BN114" i="2632"/>
  <c r="BN94" i="2632"/>
  <c r="AA108" i="2632"/>
  <c r="BA108" i="2632"/>
  <c r="DA108" i="2632"/>
  <c r="DA88" i="2632"/>
  <c r="DA89" i="2632"/>
  <c r="DA90" i="2632"/>
  <c r="DA91" i="2632"/>
  <c r="CN113" i="2632"/>
  <c r="CB112" i="2632"/>
  <c r="CB122" i="2632" s="1"/>
  <c r="CN93" i="2632"/>
  <c r="CA114" i="2632"/>
  <c r="CA94" i="2632"/>
  <c r="BN115" i="2632"/>
  <c r="BN95" i="2632"/>
  <c r="EA107" i="2632"/>
  <c r="EA87" i="2632"/>
  <c r="EA108" i="2632"/>
  <c r="EA88" i="2632"/>
  <c r="DN109" i="2632"/>
  <c r="EA109" i="2632"/>
  <c r="EA89" i="2632"/>
  <c r="EA110" i="2632"/>
  <c r="EA90" i="2632"/>
  <c r="EA91" i="2632"/>
  <c r="CO112" i="2632"/>
  <c r="CO122" i="2632" s="1"/>
  <c r="DA113" i="2632"/>
  <c r="DA93" i="2632"/>
  <c r="CN94" i="2632"/>
  <c r="CA115" i="2632"/>
  <c r="CA95" i="2632"/>
  <c r="BN116" i="2632"/>
  <c r="BN96" i="2632"/>
  <c r="EA92" i="2632"/>
  <c r="DA114" i="2632"/>
  <c r="DA94" i="2632"/>
  <c r="CN95" i="2632"/>
  <c r="CA116" i="2632"/>
  <c r="CA96" i="2632"/>
  <c r="BN117" i="2632"/>
  <c r="BN97" i="2632"/>
  <c r="CR106" i="2632"/>
  <c r="CR121" i="2632" s="1"/>
  <c r="EA113" i="2632"/>
  <c r="EA93" i="2632"/>
  <c r="DA115" i="2632"/>
  <c r="DA95" i="2632"/>
  <c r="CN116" i="2632"/>
  <c r="CN96" i="2632"/>
  <c r="CA117" i="2632"/>
  <c r="CA97" i="2632"/>
  <c r="N107" i="2632"/>
  <c r="EA114" i="2632"/>
  <c r="EA94" i="2632"/>
  <c r="DA96" i="2632"/>
  <c r="CN97" i="2632"/>
  <c r="AA107" i="2632"/>
  <c r="AN107" i="2632"/>
  <c r="BA107" i="2632"/>
  <c r="N113" i="2632"/>
  <c r="AA113" i="2632"/>
  <c r="AN113" i="2632"/>
  <c r="BA113" i="2632"/>
  <c r="AN112" i="2632"/>
  <c r="N108" i="2632"/>
  <c r="N110" i="2632"/>
  <c r="R112" i="2632"/>
  <c r="R122" i="2632" s="1"/>
  <c r="N115" i="2632"/>
  <c r="AA115" i="2632"/>
  <c r="AN110" i="2632"/>
  <c r="F112" i="2632"/>
  <c r="F122" i="2632" s="1"/>
  <c r="N114" i="2632"/>
  <c r="AA114" i="2632"/>
  <c r="AN114" i="2632"/>
  <c r="BA114" i="2632"/>
  <c r="BA115" i="2632"/>
  <c r="AN108" i="2632"/>
  <c r="AA109" i="2632"/>
  <c r="L106" i="2632"/>
  <c r="L121" i="2632" s="1"/>
  <c r="X106" i="2632"/>
  <c r="X121" i="2632" s="1"/>
  <c r="AJ106" i="2632"/>
  <c r="AJ121" i="2632" s="1"/>
  <c r="AV106" i="2632"/>
  <c r="AV121" i="2632" s="1"/>
  <c r="BA109" i="2632"/>
  <c r="AN122" i="2632"/>
  <c r="N116" i="2632"/>
  <c r="AA116" i="2632"/>
  <c r="AN116" i="2632"/>
  <c r="AA111" i="2632"/>
  <c r="BN29" i="2633"/>
  <c r="CA29" i="2633"/>
  <c r="B112" i="2632"/>
  <c r="B122" i="2632" s="1"/>
  <c r="EA29" i="2633"/>
  <c r="AB35" i="2634"/>
  <c r="CO35" i="2634"/>
  <c r="DF35" i="2634"/>
  <c r="EA18" i="2634"/>
  <c r="BM36" i="2634"/>
  <c r="BX42" i="2634"/>
  <c r="N21" i="2634"/>
  <c r="AA21" i="2634"/>
  <c r="CA21" i="2634"/>
  <c r="O35" i="2634"/>
  <c r="AA8" i="2634"/>
  <c r="EA23" i="2634"/>
  <c r="AN8" i="2634"/>
  <c r="AN27" i="2634"/>
  <c r="CS42" i="2634"/>
  <c r="BQ35" i="2634"/>
  <c r="BA8" i="2634"/>
  <c r="BN8" i="2634"/>
  <c r="BO35" i="2634"/>
  <c r="CA8" i="2634"/>
  <c r="CN8" i="2634"/>
  <c r="DA8" i="2634"/>
  <c r="AE35" i="2634"/>
  <c r="CP35" i="2634"/>
  <c r="DN8" i="2634"/>
  <c r="DZ35" i="2634"/>
  <c r="EA8" i="2634"/>
  <c r="N18" i="2634"/>
  <c r="N53" i="2634" s="1"/>
  <c r="AA18" i="2634"/>
  <c r="AA53" i="2634" s="1"/>
  <c r="BA18" i="2634"/>
  <c r="BA53" i="2634" s="1"/>
  <c r="BZ36" i="2634"/>
  <c r="BN18" i="2634"/>
  <c r="BN53" i="2634" s="1"/>
  <c r="CN18" i="2634"/>
  <c r="DA18" i="2634"/>
  <c r="AY42" i="2634"/>
  <c r="BB42" i="2634"/>
  <c r="CL42" i="2634"/>
  <c r="CX42" i="2634"/>
  <c r="CA46" i="2634"/>
  <c r="R93" i="2634"/>
  <c r="AU42" i="2634"/>
  <c r="AE42" i="2634"/>
  <c r="AE59" i="2634"/>
  <c r="AE93" i="2634" s="1"/>
  <c r="DN18" i="2634"/>
  <c r="AD42" i="2634"/>
  <c r="AP42" i="2634"/>
  <c r="C42" i="2634"/>
  <c r="C40" i="2634" s="1"/>
  <c r="O42" i="2634"/>
  <c r="O40" i="2634" s="1"/>
  <c r="BK42" i="2634"/>
  <c r="BW42" i="2634"/>
  <c r="DW60" i="2634"/>
  <c r="DW59" i="2634" s="1"/>
  <c r="F42" i="2634"/>
  <c r="F40" i="2634" s="1"/>
  <c r="R42" i="2634"/>
  <c r="BL42" i="2634"/>
  <c r="CA49" i="2634"/>
  <c r="CN49" i="2634"/>
  <c r="DA49" i="2634"/>
  <c r="DN49" i="2634"/>
  <c r="T93" i="2634"/>
  <c r="W42" i="2634"/>
  <c r="W60" i="2634"/>
  <c r="W59" i="2634" s="1"/>
  <c r="W55" i="2634" s="1"/>
  <c r="DN83" i="2634"/>
  <c r="CG42" i="2634"/>
  <c r="AX42" i="2634"/>
  <c r="BB59" i="2634"/>
  <c r="BX69" i="2634"/>
  <c r="BX60" i="2634" s="1"/>
  <c r="BX59" i="2634" s="1"/>
  <c r="CN7" i="2634"/>
  <c r="BJ59" i="2634"/>
  <c r="BJ93" i="2634" s="1"/>
  <c r="EA43" i="2634"/>
  <c r="AW42" i="2634"/>
  <c r="AN18" i="2634"/>
  <c r="AN53" i="2634" s="1"/>
  <c r="CA50" i="2634"/>
  <c r="EA50" i="2634"/>
  <c r="AD59" i="2634"/>
  <c r="AD93" i="2634" s="1"/>
  <c r="M42" i="2634"/>
  <c r="M40" i="2634" s="1"/>
  <c r="DF42" i="2634"/>
  <c r="DS42" i="2634"/>
  <c r="CA48" i="2634"/>
  <c r="CN48" i="2634"/>
  <c r="DA48" i="2634"/>
  <c r="DN48" i="2634"/>
  <c r="DY83" i="2634"/>
  <c r="DY51" i="2634" s="1"/>
  <c r="DY45" i="2634" s="1"/>
  <c r="CA53" i="2634"/>
  <c r="CA18" i="2634"/>
  <c r="DP42" i="2634"/>
  <c r="DP40" i="2634" s="1"/>
  <c r="AB42" i="2634"/>
  <c r="DN44" i="2634"/>
  <c r="EA44" i="2634"/>
  <c r="DQ42" i="2634"/>
  <c r="CU42" i="2634"/>
  <c r="BO59" i="2634"/>
  <c r="DU59" i="2634"/>
  <c r="DU42" i="2634"/>
  <c r="CN86" i="2634"/>
  <c r="CB83" i="2634"/>
  <c r="CB51" i="2634" s="1"/>
  <c r="CB45" i="2634" s="1"/>
  <c r="BA86" i="2634"/>
  <c r="BN83" i="2634"/>
  <c r="BN86" i="2634"/>
  <c r="EA53" i="2635"/>
  <c r="B60" i="2634"/>
  <c r="N79" i="2634"/>
  <c r="CC69" i="2634"/>
  <c r="CC60" i="2634" s="1"/>
  <c r="CC59" i="2634" s="1"/>
  <c r="CN79" i="2634"/>
  <c r="N86" i="2634"/>
  <c r="AA86" i="2634"/>
  <c r="DN53" i="2635"/>
  <c r="CA63" i="2634"/>
  <c r="AA70" i="2634"/>
  <c r="AN70" i="2634"/>
  <c r="BA70" i="2634"/>
  <c r="BN70" i="2634"/>
  <c r="CA70" i="2634"/>
  <c r="EA70" i="2634"/>
  <c r="AA79" i="2634"/>
  <c r="AN79" i="2634"/>
  <c r="BA79" i="2634"/>
  <c r="BN79" i="2634"/>
  <c r="CA79" i="2634"/>
  <c r="AN86" i="2634"/>
  <c r="AC83" i="2634"/>
  <c r="AC51" i="2634" s="1"/>
  <c r="AC45" i="2634" s="1"/>
  <c r="DA53" i="2635"/>
  <c r="AA63" i="2634"/>
  <c r="AA51" i="2634" s="1"/>
  <c r="AA45" i="2634" s="1"/>
  <c r="AA42" i="2634" s="1"/>
  <c r="AA40" i="2634" s="1"/>
  <c r="AN63" i="2634"/>
  <c r="BA63" i="2634"/>
  <c r="BA51" i="2634" s="1"/>
  <c r="EA63" i="2634"/>
  <c r="AN69" i="2634"/>
  <c r="CN49" i="2635"/>
  <c r="AN59" i="2635"/>
  <c r="EA47" i="2634"/>
  <c r="DP60" i="2634"/>
  <c r="DP59" i="2634" s="1"/>
  <c r="DN8" i="2635"/>
  <c r="EA48" i="2634"/>
  <c r="EA49" i="2634"/>
  <c r="DN70" i="2634"/>
  <c r="DD69" i="2634"/>
  <c r="DD60" i="2634" s="1"/>
  <c r="BA83" i="2634"/>
  <c r="AN19" i="2635"/>
  <c r="DY69" i="2634"/>
  <c r="DY60" i="2634" s="1"/>
  <c r="BN53" i="2635"/>
  <c r="CO60" i="2634"/>
  <c r="DA79" i="2634"/>
  <c r="BA57" i="2635"/>
  <c r="L59" i="2634"/>
  <c r="L55" i="2634" s="1"/>
  <c r="EA79" i="2634"/>
  <c r="DA86" i="2634"/>
  <c r="O60" i="2634"/>
  <c r="AA19" i="2635"/>
  <c r="EA57" i="2635"/>
  <c r="EA23" i="2635"/>
  <c r="AA8" i="2635"/>
  <c r="AA14" i="2635"/>
  <c r="BA53" i="2635"/>
  <c r="BA19" i="2635"/>
  <c r="DA46" i="2635"/>
  <c r="EA86" i="2634"/>
  <c r="AN8" i="2635"/>
  <c r="AN14" i="2635"/>
  <c r="BN19" i="2635"/>
  <c r="CN47" i="2635"/>
  <c r="AA53" i="2635"/>
  <c r="AA60" i="2635"/>
  <c r="AN60" i="2635"/>
  <c r="BA60" i="2635"/>
  <c r="AA61" i="2635"/>
  <c r="CA61" i="2635"/>
  <c r="CN61" i="2635"/>
  <c r="BA8" i="2635"/>
  <c r="BA14" i="2635"/>
  <c r="CN53" i="2635"/>
  <c r="CN19" i="2635"/>
  <c r="AN43" i="2635"/>
  <c r="BA43" i="2635"/>
  <c r="BN43" i="2635"/>
  <c r="N50" i="2635"/>
  <c r="AA50" i="2635"/>
  <c r="AN50" i="2635"/>
  <c r="BA54" i="2635"/>
  <c r="BN54" i="2635"/>
  <c r="N62" i="2635"/>
  <c r="AA62" i="2635"/>
  <c r="AN62" i="2635"/>
  <c r="BA62" i="2635"/>
  <c r="CA62" i="2635"/>
  <c r="CN62" i="2635"/>
  <c r="BN8" i="2635"/>
  <c r="BN14" i="2635"/>
  <c r="DA19" i="2635"/>
  <c r="N57" i="2635"/>
  <c r="N23" i="2635"/>
  <c r="EA54" i="2635"/>
  <c r="CA8" i="2635"/>
  <c r="CN8" i="2635"/>
  <c r="CA14" i="2635"/>
  <c r="DN19" i="2635"/>
  <c r="AN57" i="2635"/>
  <c r="AN23" i="2635"/>
  <c r="BA42" i="2635"/>
  <c r="DN43" i="2635"/>
  <c r="EA43" i="2635"/>
  <c r="N44" i="2635"/>
  <c r="AA44" i="2635"/>
  <c r="AN44" i="2635"/>
  <c r="CA50" i="2635"/>
  <c r="CN50" i="2635"/>
  <c r="DA50" i="2635"/>
  <c r="DN50" i="2635"/>
  <c r="EA50" i="2635"/>
  <c r="N54" i="2635"/>
  <c r="DA8" i="2635"/>
  <c r="CN14" i="2635"/>
  <c r="EA19" i="2635"/>
  <c r="BA23" i="2635"/>
  <c r="N51" i="2635"/>
  <c r="BN57" i="2635"/>
  <c r="BN23" i="2635"/>
  <c r="CA44" i="2635"/>
  <c r="CN44" i="2635"/>
  <c r="DN44" i="2635"/>
  <c r="AN51" i="2635"/>
  <c r="BA51" i="2635"/>
  <c r="BN51" i="2635"/>
  <c r="CA51" i="2635"/>
  <c r="CN51" i="2635"/>
  <c r="DA51" i="2635"/>
  <c r="N71" i="2635"/>
  <c r="AA71" i="2635"/>
  <c r="AN71" i="2635"/>
  <c r="BA71" i="2635"/>
  <c r="CN71" i="2635"/>
  <c r="EA8" i="2635"/>
  <c r="EA14" i="2635"/>
  <c r="CA57" i="2635"/>
  <c r="CA23" i="2635"/>
  <c r="EA51" i="2635"/>
  <c r="CN57" i="2635"/>
  <c r="CN23" i="2635"/>
  <c r="N45" i="2635"/>
  <c r="AA52" i="2635"/>
  <c r="BA52" i="2635"/>
  <c r="BN52" i="2635"/>
  <c r="CA52" i="2635"/>
  <c r="EA71" i="2635"/>
  <c r="N53" i="2635"/>
  <c r="N19" i="2635"/>
  <c r="DA57" i="2635"/>
  <c r="DA23" i="2635"/>
  <c r="BA45" i="2635"/>
  <c r="BN45" i="2635"/>
  <c r="CA45" i="2635"/>
  <c r="CN45" i="2635"/>
  <c r="DA45" i="2635"/>
  <c r="DA52" i="2635"/>
  <c r="DN52" i="2635"/>
  <c r="EA52" i="2635"/>
  <c r="N58" i="2635"/>
  <c r="AA55" i="2635"/>
  <c r="AN55" i="2635"/>
  <c r="BA55" i="2635"/>
  <c r="BN55" i="2635"/>
  <c r="CA55" i="2635"/>
  <c r="CN55" i="2635"/>
  <c r="N8" i="2635"/>
  <c r="CA53" i="2635"/>
  <c r="CA19" i="2635"/>
  <c r="DN57" i="2635"/>
  <c r="DN23" i="2635"/>
  <c r="DA49" i="2635"/>
  <c r="DN49" i="2635"/>
  <c r="EA49" i="2635"/>
  <c r="EA55" i="2635"/>
  <c r="N14" i="2635"/>
  <c r="AA57" i="2635"/>
  <c r="AA23" i="2635"/>
  <c r="N47" i="2635"/>
  <c r="AA47" i="2635"/>
  <c r="AN47" i="2635"/>
  <c r="BA47" i="2635"/>
  <c r="BA59" i="2635"/>
  <c r="BN59" i="2635"/>
  <c r="CA59" i="2635"/>
  <c r="CN59" i="2635"/>
  <c r="DA59" i="2635"/>
  <c r="DN59" i="2635"/>
  <c r="EA59" i="2635"/>
  <c r="N27" i="2636"/>
  <c r="AA27" i="2636"/>
  <c r="AN27" i="2636"/>
  <c r="BA27" i="2636"/>
  <c r="BN27" i="2636"/>
  <c r="CA27" i="2636"/>
  <c r="CN27" i="2636"/>
  <c r="EZ33" i="2626"/>
  <c r="EY33" i="2626"/>
  <c r="EX33" i="2626"/>
  <c r="EW33" i="2626"/>
  <c r="DZ33" i="2626"/>
  <c r="DY33" i="2626"/>
  <c r="DX33" i="2626"/>
  <c r="DW33" i="2626"/>
  <c r="DV33" i="2626"/>
  <c r="DU33" i="2626"/>
  <c r="DT33" i="2626"/>
  <c r="DS33" i="2626"/>
  <c r="DR33" i="2626"/>
  <c r="DQ33" i="2626"/>
  <c r="DP33" i="2626"/>
  <c r="DO33" i="2626"/>
  <c r="DN33" i="2626"/>
  <c r="DM33" i="2626"/>
  <c r="DL33" i="2626"/>
  <c r="DK33" i="2626"/>
  <c r="DJ33" i="2626"/>
  <c r="DI33" i="2626"/>
  <c r="DH33" i="2626"/>
  <c r="DG33" i="2626"/>
  <c r="DF33" i="2626"/>
  <c r="DE33" i="2626"/>
  <c r="DD33" i="2626"/>
  <c r="DC33" i="2626"/>
  <c r="DB33" i="2626"/>
  <c r="DA33" i="2626"/>
  <c r="CZ33" i="2626"/>
  <c r="CY33" i="2626"/>
  <c r="CX33" i="2626"/>
  <c r="CW33" i="2626"/>
  <c r="CV33" i="2626"/>
  <c r="CU33" i="2626"/>
  <c r="CT33" i="2626"/>
  <c r="CS33" i="2626"/>
  <c r="CR33" i="2626"/>
  <c r="CQ33" i="2626"/>
  <c r="CP33" i="2626"/>
  <c r="CO33" i="2626"/>
  <c r="CN33" i="2626"/>
  <c r="CM33" i="2626"/>
  <c r="CL33" i="2626"/>
  <c r="CK33" i="2626"/>
  <c r="CJ33" i="2626"/>
  <c r="CI33" i="2626"/>
  <c r="CH33" i="2626"/>
  <c r="CG33" i="2626"/>
  <c r="CF33" i="2626"/>
  <c r="CE33" i="2626"/>
  <c r="CD33" i="2626"/>
  <c r="CC33" i="2626"/>
  <c r="CB33" i="2626"/>
  <c r="CA33" i="2626"/>
  <c r="BZ33" i="2626"/>
  <c r="BY33" i="2626"/>
  <c r="BX33" i="2626"/>
  <c r="BW33" i="2626"/>
  <c r="BV33" i="2626"/>
  <c r="BU33" i="2626"/>
  <c r="BT33" i="2626"/>
  <c r="BS33" i="2626"/>
  <c r="BR33" i="2626"/>
  <c r="BQ33" i="2626"/>
  <c r="BP33" i="2626"/>
  <c r="BO33" i="2626"/>
  <c r="BM33" i="2626"/>
  <c r="BL33" i="2626"/>
  <c r="BK33" i="2626"/>
  <c r="BJ33" i="2626"/>
  <c r="BI33" i="2626"/>
  <c r="BH33" i="2626"/>
  <c r="BG33" i="2626"/>
  <c r="BF33" i="2626"/>
  <c r="BE33" i="2626"/>
  <c r="BD33" i="2626"/>
  <c r="BC33" i="2626"/>
  <c r="BB33" i="2626"/>
  <c r="AZ33" i="2626"/>
  <c r="AY33" i="2626"/>
  <c r="AX33" i="2626"/>
  <c r="AW33" i="2626"/>
  <c r="AV33" i="2626"/>
  <c r="AU33" i="2626"/>
  <c r="AT33" i="2626"/>
  <c r="AS33" i="2626"/>
  <c r="AR33" i="2626"/>
  <c r="AQ33" i="2626"/>
  <c r="AP33" i="2626"/>
  <c r="AO33" i="2626"/>
  <c r="AM33" i="2626"/>
  <c r="AL33" i="2626"/>
  <c r="AK33" i="2626"/>
  <c r="AJ33" i="2626"/>
  <c r="AI33" i="2626"/>
  <c r="AH33" i="2626"/>
  <c r="AG33" i="2626"/>
  <c r="AF33" i="2626"/>
  <c r="AE33" i="2626"/>
  <c r="AD33" i="2626"/>
  <c r="AC33" i="2626"/>
  <c r="AB33" i="2626"/>
  <c r="Z33" i="2626"/>
  <c r="Y33" i="2626"/>
  <c r="X33" i="2626"/>
  <c r="W33" i="2626"/>
  <c r="V33" i="2626"/>
  <c r="U33" i="2626"/>
  <c r="T33" i="2626"/>
  <c r="S33" i="2626"/>
  <c r="R33" i="2626"/>
  <c r="Q33" i="2626"/>
  <c r="P33" i="2626"/>
  <c r="O33" i="2626"/>
  <c r="EZ31" i="2626"/>
  <c r="EY31" i="2626"/>
  <c r="EX31" i="2626"/>
  <c r="EW31" i="2626"/>
  <c r="DZ31" i="2626"/>
  <c r="DY31" i="2626"/>
  <c r="DX31" i="2626"/>
  <c r="DW31" i="2626"/>
  <c r="DV31" i="2626"/>
  <c r="DU31" i="2626"/>
  <c r="DT31" i="2626"/>
  <c r="DS31" i="2626"/>
  <c r="DR31" i="2626"/>
  <c r="DQ31" i="2626"/>
  <c r="DP31" i="2626"/>
  <c r="DO31" i="2626"/>
  <c r="DN31" i="2626"/>
  <c r="DM31" i="2626"/>
  <c r="DL31" i="2626"/>
  <c r="DK31" i="2626"/>
  <c r="DJ31" i="2626"/>
  <c r="DI31" i="2626"/>
  <c r="DH31" i="2626"/>
  <c r="DG31" i="2626"/>
  <c r="DF31" i="2626"/>
  <c r="DE31" i="2626"/>
  <c r="DD31" i="2626"/>
  <c r="DC31" i="2626"/>
  <c r="DB31" i="2626"/>
  <c r="DA31" i="2626"/>
  <c r="CZ31" i="2626"/>
  <c r="CY31" i="2626"/>
  <c r="CX31" i="2626"/>
  <c r="CW31" i="2626"/>
  <c r="CV31" i="2626"/>
  <c r="CU31" i="2626"/>
  <c r="CT31" i="2626"/>
  <c r="CS31" i="2626"/>
  <c r="CR31" i="2626"/>
  <c r="CQ31" i="2626"/>
  <c r="CP31" i="2626"/>
  <c r="CO31" i="2626"/>
  <c r="CN31" i="2626"/>
  <c r="CM31" i="2626"/>
  <c r="CL31" i="2626"/>
  <c r="CK31" i="2626"/>
  <c r="CJ31" i="2626"/>
  <c r="CI31" i="2626"/>
  <c r="CH31" i="2626"/>
  <c r="CG31" i="2626"/>
  <c r="CF31" i="2626"/>
  <c r="CE31" i="2626"/>
  <c r="CD31" i="2626"/>
  <c r="CC31" i="2626"/>
  <c r="CB31" i="2626"/>
  <c r="CA31" i="2626"/>
  <c r="BZ31" i="2626"/>
  <c r="BY31" i="2626"/>
  <c r="BX31" i="2626"/>
  <c r="BW31" i="2626"/>
  <c r="BV31" i="2626"/>
  <c r="BU31" i="2626"/>
  <c r="BT31" i="2626"/>
  <c r="BS31" i="2626"/>
  <c r="BR31" i="2626"/>
  <c r="BQ31" i="2626"/>
  <c r="BP31" i="2626"/>
  <c r="BO31" i="2626"/>
  <c r="BM31" i="2626"/>
  <c r="BL31" i="2626"/>
  <c r="BK31" i="2626"/>
  <c r="BJ31" i="2626"/>
  <c r="BI31" i="2626"/>
  <c r="BH31" i="2626"/>
  <c r="BG31" i="2626"/>
  <c r="BF31" i="2626"/>
  <c r="BE31" i="2626"/>
  <c r="BD31" i="2626"/>
  <c r="BC31" i="2626"/>
  <c r="BB31" i="2626"/>
  <c r="AZ31" i="2626"/>
  <c r="AY31" i="2626"/>
  <c r="AX31" i="2626"/>
  <c r="AW31" i="2626"/>
  <c r="AV31" i="2626"/>
  <c r="AU31" i="2626"/>
  <c r="AT31" i="2626"/>
  <c r="AS31" i="2626"/>
  <c r="AR31" i="2626"/>
  <c r="AQ31" i="2626"/>
  <c r="AP31" i="2626"/>
  <c r="AO31" i="2626"/>
  <c r="AM31" i="2626"/>
  <c r="AL31" i="2626"/>
  <c r="AK31" i="2626"/>
  <c r="AJ31" i="2626"/>
  <c r="AI31" i="2626"/>
  <c r="AH31" i="2626"/>
  <c r="AG31" i="2626"/>
  <c r="AF31" i="2626"/>
  <c r="AE31" i="2626"/>
  <c r="AD31" i="2626"/>
  <c r="AC31" i="2626"/>
  <c r="AB31" i="2626"/>
  <c r="Z31" i="2626"/>
  <c r="Y31" i="2626"/>
  <c r="X31" i="2626"/>
  <c r="W31" i="2626"/>
  <c r="V31" i="2626"/>
  <c r="U31" i="2626"/>
  <c r="T31" i="2626"/>
  <c r="S31" i="2626"/>
  <c r="R31" i="2626"/>
  <c r="Q31" i="2626"/>
  <c r="P31" i="2626"/>
  <c r="O31" i="2626"/>
  <c r="EZ30" i="2626"/>
  <c r="EY30" i="2626"/>
  <c r="EX30" i="2626"/>
  <c r="EW30" i="2626"/>
  <c r="DZ30" i="2626"/>
  <c r="DY30" i="2626"/>
  <c r="DX30" i="2626"/>
  <c r="DW30" i="2626"/>
  <c r="DV30" i="2626"/>
  <c r="DU30" i="2626"/>
  <c r="DT30" i="2626"/>
  <c r="DS30" i="2626"/>
  <c r="DR30" i="2626"/>
  <c r="DQ30" i="2626"/>
  <c r="DP30" i="2626"/>
  <c r="DO30" i="2626"/>
  <c r="DN30" i="2626"/>
  <c r="DM30" i="2626"/>
  <c r="DL30" i="2626"/>
  <c r="DK30" i="2626"/>
  <c r="DJ30" i="2626"/>
  <c r="DI30" i="2626"/>
  <c r="DH30" i="2626"/>
  <c r="DG30" i="2626"/>
  <c r="DF30" i="2626"/>
  <c r="DE30" i="2626"/>
  <c r="DD30" i="2626"/>
  <c r="DC30" i="2626"/>
  <c r="DB30" i="2626"/>
  <c r="DA30" i="2626"/>
  <c r="CZ30" i="2626"/>
  <c r="CY30" i="2626"/>
  <c r="CX30" i="2626"/>
  <c r="CW30" i="2626"/>
  <c r="CV30" i="2626"/>
  <c r="CU30" i="2626"/>
  <c r="CT30" i="2626"/>
  <c r="CS30" i="2626"/>
  <c r="CR30" i="2626"/>
  <c r="CQ30" i="2626"/>
  <c r="CP30" i="2626"/>
  <c r="CO30" i="2626"/>
  <c r="CN30" i="2626"/>
  <c r="CM30" i="2626"/>
  <c r="CL30" i="2626"/>
  <c r="CK30" i="2626"/>
  <c r="CJ30" i="2626"/>
  <c r="CI30" i="2626"/>
  <c r="CH30" i="2626"/>
  <c r="CG30" i="2626"/>
  <c r="CF30" i="2626"/>
  <c r="CE30" i="2626"/>
  <c r="CD30" i="2626"/>
  <c r="CC30" i="2626"/>
  <c r="CB30" i="2626"/>
  <c r="CA30" i="2626"/>
  <c r="BZ30" i="2626"/>
  <c r="BY30" i="2626"/>
  <c r="BX30" i="2626"/>
  <c r="BW30" i="2626"/>
  <c r="BV30" i="2626"/>
  <c r="BU30" i="2626"/>
  <c r="BT30" i="2626"/>
  <c r="BS30" i="2626"/>
  <c r="BR30" i="2626"/>
  <c r="BQ30" i="2626"/>
  <c r="BP30" i="2626"/>
  <c r="BO30" i="2626"/>
  <c r="BM30" i="2626"/>
  <c r="BL30" i="2626"/>
  <c r="BK30" i="2626"/>
  <c r="BJ30" i="2626"/>
  <c r="BI30" i="2626"/>
  <c r="BH30" i="2626"/>
  <c r="BG30" i="2626"/>
  <c r="BF30" i="2626"/>
  <c r="BE30" i="2626"/>
  <c r="BD30" i="2626"/>
  <c r="BC30" i="2626"/>
  <c r="BB30" i="2626"/>
  <c r="AZ30" i="2626"/>
  <c r="AY30" i="2626"/>
  <c r="AX30" i="2626"/>
  <c r="AW30" i="2626"/>
  <c r="AV30" i="2626"/>
  <c r="AU30" i="2626"/>
  <c r="AT30" i="2626"/>
  <c r="AS30" i="2626"/>
  <c r="AR30" i="2626"/>
  <c r="AQ30" i="2626"/>
  <c r="AP30" i="2626"/>
  <c r="AO30" i="2626"/>
  <c r="AM30" i="2626"/>
  <c r="AL30" i="2626"/>
  <c r="AK30" i="2626"/>
  <c r="AJ30" i="2626"/>
  <c r="AI30" i="2626"/>
  <c r="AH30" i="2626"/>
  <c r="AG30" i="2626"/>
  <c r="AF30" i="2626"/>
  <c r="AE30" i="2626"/>
  <c r="AD30" i="2626"/>
  <c r="AC30" i="2626"/>
  <c r="AB30" i="2626"/>
  <c r="Z30" i="2626"/>
  <c r="Y30" i="2626"/>
  <c r="X30" i="2626"/>
  <c r="W30" i="2626"/>
  <c r="V30" i="2626"/>
  <c r="U30" i="2626"/>
  <c r="T30" i="2626"/>
  <c r="S30" i="2626"/>
  <c r="R30" i="2626"/>
  <c r="Q30" i="2626"/>
  <c r="P30" i="2626"/>
  <c r="O30" i="2626"/>
  <c r="EZ29" i="2626"/>
  <c r="EY29" i="2626"/>
  <c r="EX29" i="2626"/>
  <c r="EW29" i="2626"/>
  <c r="DZ29" i="2626"/>
  <c r="DY29" i="2626"/>
  <c r="DX29" i="2626"/>
  <c r="DW29" i="2626"/>
  <c r="DV29" i="2626"/>
  <c r="DU29" i="2626"/>
  <c r="DT29" i="2626"/>
  <c r="DS29" i="2626"/>
  <c r="DR29" i="2626"/>
  <c r="DQ29" i="2626"/>
  <c r="DP29" i="2626"/>
  <c r="DO29" i="2626"/>
  <c r="DN29" i="2626"/>
  <c r="DM29" i="2626"/>
  <c r="DL29" i="2626"/>
  <c r="DK29" i="2626"/>
  <c r="DJ29" i="2626"/>
  <c r="DI29" i="2626"/>
  <c r="DH29" i="2626"/>
  <c r="DG29" i="2626"/>
  <c r="DF29" i="2626"/>
  <c r="DE29" i="2626"/>
  <c r="DD29" i="2626"/>
  <c r="DC29" i="2626"/>
  <c r="DB29" i="2626"/>
  <c r="DA29" i="2626"/>
  <c r="CZ29" i="2626"/>
  <c r="CY29" i="2626"/>
  <c r="CX29" i="2626"/>
  <c r="CW29" i="2626"/>
  <c r="CV29" i="2626"/>
  <c r="CU29" i="2626"/>
  <c r="CT29" i="2626"/>
  <c r="CS29" i="2626"/>
  <c r="CR29" i="2626"/>
  <c r="CQ29" i="2626"/>
  <c r="CP29" i="2626"/>
  <c r="CO29" i="2626"/>
  <c r="CN29" i="2626"/>
  <c r="CM29" i="2626"/>
  <c r="CL29" i="2626"/>
  <c r="CK29" i="2626"/>
  <c r="CJ29" i="2626"/>
  <c r="CI29" i="2626"/>
  <c r="CH29" i="2626"/>
  <c r="CG29" i="2626"/>
  <c r="CF29" i="2626"/>
  <c r="CE29" i="2626"/>
  <c r="CD29" i="2626"/>
  <c r="CC29" i="2626"/>
  <c r="CB29" i="2626"/>
  <c r="CA29" i="2626"/>
  <c r="BZ29" i="2626"/>
  <c r="BY29" i="2626"/>
  <c r="BX29" i="2626"/>
  <c r="BW29" i="2626"/>
  <c r="BV29" i="2626"/>
  <c r="BU29" i="2626"/>
  <c r="BT29" i="2626"/>
  <c r="BS29" i="2626"/>
  <c r="BR29" i="2626"/>
  <c r="BQ29" i="2626"/>
  <c r="BP29" i="2626"/>
  <c r="BO29" i="2626"/>
  <c r="BM29" i="2626"/>
  <c r="BL29" i="2626"/>
  <c r="BK29" i="2626"/>
  <c r="BJ29" i="2626"/>
  <c r="BI29" i="2626"/>
  <c r="BH29" i="2626"/>
  <c r="BG29" i="2626"/>
  <c r="BF29" i="2626"/>
  <c r="BE29" i="2626"/>
  <c r="BD29" i="2626"/>
  <c r="BC29" i="2626"/>
  <c r="BB29" i="2626"/>
  <c r="AZ29" i="2626"/>
  <c r="AY29" i="2626"/>
  <c r="AX29" i="2626"/>
  <c r="AW29" i="2626"/>
  <c r="AV29" i="2626"/>
  <c r="AU29" i="2626"/>
  <c r="AT29" i="2626"/>
  <c r="AS29" i="2626"/>
  <c r="AR29" i="2626"/>
  <c r="AQ29" i="2626"/>
  <c r="AP29" i="2626"/>
  <c r="AO29" i="2626"/>
  <c r="AM29" i="2626"/>
  <c r="AL29" i="2626"/>
  <c r="AK29" i="2626"/>
  <c r="AJ29" i="2626"/>
  <c r="AI29" i="2626"/>
  <c r="AH29" i="2626"/>
  <c r="AG29" i="2626"/>
  <c r="AF29" i="2626"/>
  <c r="AE29" i="2626"/>
  <c r="AD29" i="2626"/>
  <c r="AC29" i="2626"/>
  <c r="AB29" i="2626"/>
  <c r="Z29" i="2626"/>
  <c r="Y29" i="2626"/>
  <c r="X29" i="2626"/>
  <c r="W29" i="2626"/>
  <c r="V29" i="2626"/>
  <c r="U29" i="2626"/>
  <c r="T29" i="2626"/>
  <c r="S29" i="2626"/>
  <c r="R29" i="2626"/>
  <c r="Q29" i="2626"/>
  <c r="P29" i="2626"/>
  <c r="O29" i="2626"/>
  <c r="EZ28" i="2626"/>
  <c r="EY28" i="2626"/>
  <c r="EX28" i="2626"/>
  <c r="EW28" i="2626"/>
  <c r="DZ28" i="2626"/>
  <c r="DY28" i="2626"/>
  <c r="DX28" i="2626"/>
  <c r="DW28" i="2626"/>
  <c r="DV28" i="2626"/>
  <c r="DU28" i="2626"/>
  <c r="DT28" i="2626"/>
  <c r="DS28" i="2626"/>
  <c r="DR28" i="2626"/>
  <c r="DQ28" i="2626"/>
  <c r="DP28" i="2626"/>
  <c r="DO28" i="2626"/>
  <c r="DN28" i="2626"/>
  <c r="DM28" i="2626"/>
  <c r="DL28" i="2626"/>
  <c r="DK28" i="2626"/>
  <c r="DJ28" i="2626"/>
  <c r="DI28" i="2626"/>
  <c r="DH28" i="2626"/>
  <c r="DG28" i="2626"/>
  <c r="DF28" i="2626"/>
  <c r="DE28" i="2626"/>
  <c r="DD28" i="2626"/>
  <c r="DC28" i="2626"/>
  <c r="DB28" i="2626"/>
  <c r="DA28" i="2626"/>
  <c r="CZ28" i="2626"/>
  <c r="CY28" i="2626"/>
  <c r="CX28" i="2626"/>
  <c r="CW28" i="2626"/>
  <c r="CV28" i="2626"/>
  <c r="CU28" i="2626"/>
  <c r="CT28" i="2626"/>
  <c r="CS28" i="2626"/>
  <c r="CR28" i="2626"/>
  <c r="CQ28" i="2626"/>
  <c r="CP28" i="2626"/>
  <c r="CO28" i="2626"/>
  <c r="CN28" i="2626"/>
  <c r="CM28" i="2626"/>
  <c r="CL28" i="2626"/>
  <c r="CK28" i="2626"/>
  <c r="CJ28" i="2626"/>
  <c r="CI28" i="2626"/>
  <c r="CH28" i="2626"/>
  <c r="CG28" i="2626"/>
  <c r="CF28" i="2626"/>
  <c r="CE28" i="2626"/>
  <c r="CD28" i="2626"/>
  <c r="CC28" i="2626"/>
  <c r="CB28" i="2626"/>
  <c r="CA28" i="2626"/>
  <c r="BZ28" i="2626"/>
  <c r="BY28" i="2626"/>
  <c r="BX28" i="2626"/>
  <c r="BW28" i="2626"/>
  <c r="BV28" i="2626"/>
  <c r="BU28" i="2626"/>
  <c r="BT28" i="2626"/>
  <c r="BS28" i="2626"/>
  <c r="BR28" i="2626"/>
  <c r="BQ28" i="2626"/>
  <c r="BP28" i="2626"/>
  <c r="BO28" i="2626"/>
  <c r="BM28" i="2626"/>
  <c r="BL28" i="2626"/>
  <c r="BK28" i="2626"/>
  <c r="BJ28" i="2626"/>
  <c r="BI28" i="2626"/>
  <c r="BH28" i="2626"/>
  <c r="BG28" i="2626"/>
  <c r="BF28" i="2626"/>
  <c r="BE28" i="2626"/>
  <c r="BD28" i="2626"/>
  <c r="BC28" i="2626"/>
  <c r="BB28" i="2626"/>
  <c r="AZ28" i="2626"/>
  <c r="AY28" i="2626"/>
  <c r="AX28" i="2626"/>
  <c r="AW28" i="2626"/>
  <c r="AV28" i="2626"/>
  <c r="AU28" i="2626"/>
  <c r="AT28" i="2626"/>
  <c r="AS28" i="2626"/>
  <c r="AR28" i="2626"/>
  <c r="AQ28" i="2626"/>
  <c r="AP28" i="2626"/>
  <c r="AO28" i="2626"/>
  <c r="AM28" i="2626"/>
  <c r="AL28" i="2626"/>
  <c r="AK28" i="2626"/>
  <c r="AJ28" i="2626"/>
  <c r="AI28" i="2626"/>
  <c r="AH28" i="2626"/>
  <c r="AG28" i="2626"/>
  <c r="AF28" i="2626"/>
  <c r="AE28" i="2626"/>
  <c r="AD28" i="2626"/>
  <c r="AC28" i="2626"/>
  <c r="AB28" i="2626"/>
  <c r="Z28" i="2626"/>
  <c r="Y28" i="2626"/>
  <c r="X28" i="2626"/>
  <c r="W28" i="2626"/>
  <c r="V28" i="2626"/>
  <c r="U28" i="2626"/>
  <c r="T28" i="2626"/>
  <c r="S28" i="2626"/>
  <c r="R28" i="2626"/>
  <c r="Q28" i="2626"/>
  <c r="P28" i="2626"/>
  <c r="O28" i="2626"/>
  <c r="EZ27" i="2626"/>
  <c r="EY27" i="2626"/>
  <c r="EX27" i="2626"/>
  <c r="EW27" i="2626"/>
  <c r="DZ27" i="2626"/>
  <c r="DY27" i="2626"/>
  <c r="DX27" i="2626"/>
  <c r="DW27" i="2626"/>
  <c r="DV27" i="2626"/>
  <c r="DU27" i="2626"/>
  <c r="DT27" i="2626"/>
  <c r="DS27" i="2626"/>
  <c r="DR27" i="2626"/>
  <c r="DQ27" i="2626"/>
  <c r="DP27" i="2626"/>
  <c r="DO27" i="2626"/>
  <c r="DN27" i="2626"/>
  <c r="DM27" i="2626"/>
  <c r="DL27" i="2626"/>
  <c r="DK27" i="2626"/>
  <c r="DJ27" i="2626"/>
  <c r="DI27" i="2626"/>
  <c r="DH27" i="2626"/>
  <c r="DG27" i="2626"/>
  <c r="DF27" i="2626"/>
  <c r="DE27" i="2626"/>
  <c r="DD27" i="2626"/>
  <c r="DC27" i="2626"/>
  <c r="DB27" i="2626"/>
  <c r="DA27" i="2626"/>
  <c r="CZ27" i="2626"/>
  <c r="CY27" i="2626"/>
  <c r="CX27" i="2626"/>
  <c r="CW27" i="2626"/>
  <c r="CV27" i="2626"/>
  <c r="CU27" i="2626"/>
  <c r="CT27" i="2626"/>
  <c r="CS27" i="2626"/>
  <c r="CR27" i="2626"/>
  <c r="CQ27" i="2626"/>
  <c r="CP27" i="2626"/>
  <c r="CO27" i="2626"/>
  <c r="CN27" i="2626"/>
  <c r="CM27" i="2626"/>
  <c r="CL27" i="2626"/>
  <c r="CK27" i="2626"/>
  <c r="CJ27" i="2626"/>
  <c r="CI27" i="2626"/>
  <c r="CH27" i="2626"/>
  <c r="CG27" i="2626"/>
  <c r="CF27" i="2626"/>
  <c r="CE27" i="2626"/>
  <c r="CD27" i="2626"/>
  <c r="CC27" i="2626"/>
  <c r="CB27" i="2626"/>
  <c r="CA27" i="2626"/>
  <c r="BZ27" i="2626"/>
  <c r="BY27" i="2626"/>
  <c r="BX27" i="2626"/>
  <c r="BW27" i="2626"/>
  <c r="BV27" i="2626"/>
  <c r="BU27" i="2626"/>
  <c r="BT27" i="2626"/>
  <c r="BS27" i="2626"/>
  <c r="BR27" i="2626"/>
  <c r="BQ27" i="2626"/>
  <c r="BP27" i="2626"/>
  <c r="BO27" i="2626"/>
  <c r="BM27" i="2626"/>
  <c r="BL27" i="2626"/>
  <c r="BK27" i="2626"/>
  <c r="BJ27" i="2626"/>
  <c r="BI27" i="2626"/>
  <c r="BH27" i="2626"/>
  <c r="BG27" i="2626"/>
  <c r="BF27" i="2626"/>
  <c r="BE27" i="2626"/>
  <c r="BD27" i="2626"/>
  <c r="BC27" i="2626"/>
  <c r="BB27" i="2626"/>
  <c r="AZ27" i="2626"/>
  <c r="AY27" i="2626"/>
  <c r="AX27" i="2626"/>
  <c r="AW27" i="2626"/>
  <c r="AV27" i="2626"/>
  <c r="AU27" i="2626"/>
  <c r="AT27" i="2626"/>
  <c r="AS27" i="2626"/>
  <c r="AR27" i="2626"/>
  <c r="AQ27" i="2626"/>
  <c r="AP27" i="2626"/>
  <c r="AO27" i="2626"/>
  <c r="AM27" i="2626"/>
  <c r="AL27" i="2626"/>
  <c r="AK27" i="2626"/>
  <c r="AJ27" i="2626"/>
  <c r="AI27" i="2626"/>
  <c r="AH27" i="2626"/>
  <c r="AG27" i="2626"/>
  <c r="AF27" i="2626"/>
  <c r="AE27" i="2626"/>
  <c r="AD27" i="2626"/>
  <c r="AC27" i="2626"/>
  <c r="AB27" i="2626"/>
  <c r="Z27" i="2626"/>
  <c r="Y27" i="2626"/>
  <c r="X27" i="2626"/>
  <c r="W27" i="2626"/>
  <c r="V27" i="2626"/>
  <c r="U27" i="2626"/>
  <c r="T27" i="2626"/>
  <c r="S27" i="2626"/>
  <c r="R27" i="2626"/>
  <c r="Q27" i="2626"/>
  <c r="P27" i="2626"/>
  <c r="O27" i="2626"/>
  <c r="EZ26" i="2626"/>
  <c r="EY26" i="2626"/>
  <c r="EX26" i="2626"/>
  <c r="EW26" i="2626"/>
  <c r="DZ26" i="2626"/>
  <c r="DY26" i="2626"/>
  <c r="DX26" i="2626"/>
  <c r="DW26" i="2626"/>
  <c r="DV26" i="2626"/>
  <c r="DU26" i="2626"/>
  <c r="DT26" i="2626"/>
  <c r="DS26" i="2626"/>
  <c r="DR26" i="2626"/>
  <c r="DQ26" i="2626"/>
  <c r="DP26" i="2626"/>
  <c r="DO26" i="2626"/>
  <c r="DN26" i="2626"/>
  <c r="DM26" i="2626"/>
  <c r="DL26" i="2626"/>
  <c r="DK26" i="2626"/>
  <c r="DJ26" i="2626"/>
  <c r="DI26" i="2626"/>
  <c r="DH26" i="2626"/>
  <c r="DG26" i="2626"/>
  <c r="DF26" i="2626"/>
  <c r="DE26" i="2626"/>
  <c r="DD26" i="2626"/>
  <c r="DC26" i="2626"/>
  <c r="DB26" i="2626"/>
  <c r="DA26" i="2626"/>
  <c r="CZ26" i="2626"/>
  <c r="CY26" i="2626"/>
  <c r="CX26" i="2626"/>
  <c r="CW26" i="2626"/>
  <c r="CV26" i="2626"/>
  <c r="CU26" i="2626"/>
  <c r="CT26" i="2626"/>
  <c r="CS26" i="2626"/>
  <c r="CR26" i="2626"/>
  <c r="CQ26" i="2626"/>
  <c r="CP26" i="2626"/>
  <c r="CO26" i="2626"/>
  <c r="CN26" i="2626"/>
  <c r="CM26" i="2626"/>
  <c r="CL26" i="2626"/>
  <c r="CK26" i="2626"/>
  <c r="CJ26" i="2626"/>
  <c r="CI26" i="2626"/>
  <c r="CH26" i="2626"/>
  <c r="CG26" i="2626"/>
  <c r="CF26" i="2626"/>
  <c r="CE26" i="2626"/>
  <c r="CD26" i="2626"/>
  <c r="CC26" i="2626"/>
  <c r="CB26" i="2626"/>
  <c r="CA26" i="2626"/>
  <c r="BZ26" i="2626"/>
  <c r="BY26" i="2626"/>
  <c r="BX26" i="2626"/>
  <c r="BW26" i="2626"/>
  <c r="BV26" i="2626"/>
  <c r="BU26" i="2626"/>
  <c r="BT26" i="2626"/>
  <c r="BS26" i="2626"/>
  <c r="BR26" i="2626"/>
  <c r="BQ26" i="2626"/>
  <c r="BP26" i="2626"/>
  <c r="BO26" i="2626"/>
  <c r="BM26" i="2626"/>
  <c r="BL26" i="2626"/>
  <c r="BK26" i="2626"/>
  <c r="BJ26" i="2626"/>
  <c r="BI26" i="2626"/>
  <c r="BH26" i="2626"/>
  <c r="BG26" i="2626"/>
  <c r="BF26" i="2626"/>
  <c r="BE26" i="2626"/>
  <c r="BD26" i="2626"/>
  <c r="BC26" i="2626"/>
  <c r="BB26" i="2626"/>
  <c r="AZ26" i="2626"/>
  <c r="AY26" i="2626"/>
  <c r="AX26" i="2626"/>
  <c r="AW26" i="2626"/>
  <c r="AV26" i="2626"/>
  <c r="AU26" i="2626"/>
  <c r="AT26" i="2626"/>
  <c r="AS26" i="2626"/>
  <c r="AR26" i="2626"/>
  <c r="AQ26" i="2626"/>
  <c r="AP26" i="2626"/>
  <c r="AO26" i="2626"/>
  <c r="AM26" i="2626"/>
  <c r="AL26" i="2626"/>
  <c r="AK26" i="2626"/>
  <c r="AJ26" i="2626"/>
  <c r="AI26" i="2626"/>
  <c r="AH26" i="2626"/>
  <c r="AG26" i="2626"/>
  <c r="AF26" i="2626"/>
  <c r="AE26" i="2626"/>
  <c r="AD26" i="2626"/>
  <c r="AC26" i="2626"/>
  <c r="AB26" i="2626"/>
  <c r="Z26" i="2626"/>
  <c r="Y26" i="2626"/>
  <c r="X26" i="2626"/>
  <c r="W26" i="2626"/>
  <c r="V26" i="2626"/>
  <c r="U26" i="2626"/>
  <c r="T26" i="2626"/>
  <c r="S26" i="2626"/>
  <c r="R26" i="2626"/>
  <c r="Q26" i="2626"/>
  <c r="P26" i="2626"/>
  <c r="O26" i="2626"/>
  <c r="EZ25" i="2626"/>
  <c r="EY25" i="2626"/>
  <c r="EX25" i="2626"/>
  <c r="EW25" i="2626"/>
  <c r="DZ25" i="2626"/>
  <c r="DY25" i="2626"/>
  <c r="DX25" i="2626"/>
  <c r="DW25" i="2626"/>
  <c r="DV25" i="2626"/>
  <c r="DU25" i="2626"/>
  <c r="DT25" i="2626"/>
  <c r="DS25" i="2626"/>
  <c r="DR25" i="2626"/>
  <c r="DQ25" i="2626"/>
  <c r="DP25" i="2626"/>
  <c r="DO25" i="2626"/>
  <c r="DN25" i="2626"/>
  <c r="DM25" i="2626"/>
  <c r="DL25" i="2626"/>
  <c r="DK25" i="2626"/>
  <c r="DJ25" i="2626"/>
  <c r="DI25" i="2626"/>
  <c r="DH25" i="2626"/>
  <c r="DG25" i="2626"/>
  <c r="DF25" i="2626"/>
  <c r="DE25" i="2626"/>
  <c r="DD25" i="2626"/>
  <c r="DC25" i="2626"/>
  <c r="DB25" i="2626"/>
  <c r="DA25" i="2626"/>
  <c r="CZ25" i="2626"/>
  <c r="CY25" i="2626"/>
  <c r="CX25" i="2626"/>
  <c r="CW25" i="2626"/>
  <c r="CV25" i="2626"/>
  <c r="CU25" i="2626"/>
  <c r="CT25" i="2626"/>
  <c r="CS25" i="2626"/>
  <c r="CR25" i="2626"/>
  <c r="CQ25" i="2626"/>
  <c r="CP25" i="2626"/>
  <c r="CO25" i="2626"/>
  <c r="CN25" i="2626"/>
  <c r="CM25" i="2626"/>
  <c r="CL25" i="2626"/>
  <c r="CK25" i="2626"/>
  <c r="CJ25" i="2626"/>
  <c r="CI25" i="2626"/>
  <c r="CH25" i="2626"/>
  <c r="CG25" i="2626"/>
  <c r="CF25" i="2626"/>
  <c r="CE25" i="2626"/>
  <c r="CD25" i="2626"/>
  <c r="CC25" i="2626"/>
  <c r="CB25" i="2626"/>
  <c r="CA25" i="2626"/>
  <c r="BZ25" i="2626"/>
  <c r="BY25" i="2626"/>
  <c r="BX25" i="2626"/>
  <c r="BW25" i="2626"/>
  <c r="BV25" i="2626"/>
  <c r="BU25" i="2626"/>
  <c r="BT25" i="2626"/>
  <c r="BS25" i="2626"/>
  <c r="BR25" i="2626"/>
  <c r="BQ25" i="2626"/>
  <c r="BP25" i="2626"/>
  <c r="BO25" i="2626"/>
  <c r="BM25" i="2626"/>
  <c r="BL25" i="2626"/>
  <c r="BK25" i="2626"/>
  <c r="BJ25" i="2626"/>
  <c r="BI25" i="2626"/>
  <c r="BH25" i="2626"/>
  <c r="BG25" i="2626"/>
  <c r="BF25" i="2626"/>
  <c r="BE25" i="2626"/>
  <c r="BD25" i="2626"/>
  <c r="BC25" i="2626"/>
  <c r="BB25" i="2626"/>
  <c r="AZ25" i="2626"/>
  <c r="AY25" i="2626"/>
  <c r="AX25" i="2626"/>
  <c r="AW25" i="2626"/>
  <c r="AV25" i="2626"/>
  <c r="AU25" i="2626"/>
  <c r="AT25" i="2626"/>
  <c r="AS25" i="2626"/>
  <c r="AR25" i="2626"/>
  <c r="AQ25" i="2626"/>
  <c r="AP25" i="2626"/>
  <c r="AO25" i="2626"/>
  <c r="AM25" i="2626"/>
  <c r="AL25" i="2626"/>
  <c r="AK25" i="2626"/>
  <c r="AJ25" i="2626"/>
  <c r="AI25" i="2626"/>
  <c r="AH25" i="2626"/>
  <c r="AG25" i="2626"/>
  <c r="AF25" i="2626"/>
  <c r="AE25" i="2626"/>
  <c r="AD25" i="2626"/>
  <c r="AC25" i="2626"/>
  <c r="AB25" i="2626"/>
  <c r="Z25" i="2626"/>
  <c r="Y25" i="2626"/>
  <c r="X25" i="2626"/>
  <c r="W25" i="2626"/>
  <c r="V25" i="2626"/>
  <c r="U25" i="2626"/>
  <c r="T25" i="2626"/>
  <c r="S25" i="2626"/>
  <c r="R25" i="2626"/>
  <c r="Q25" i="2626"/>
  <c r="P25" i="2626"/>
  <c r="O25" i="2626"/>
  <c r="EZ24" i="2626"/>
  <c r="EY24" i="2626"/>
  <c r="EX24" i="2626"/>
  <c r="EW24" i="2626"/>
  <c r="EQ24" i="2626"/>
  <c r="EP24" i="2626"/>
  <c r="EO24" i="2626"/>
  <c r="DZ24" i="2626"/>
  <c r="DY24" i="2626"/>
  <c r="DX24" i="2626"/>
  <c r="DW24" i="2626"/>
  <c r="DV24" i="2626"/>
  <c r="DU24" i="2626"/>
  <c r="DT24" i="2626"/>
  <c r="DS24" i="2626"/>
  <c r="DR24" i="2626"/>
  <c r="DQ24" i="2626"/>
  <c r="DP24" i="2626"/>
  <c r="DO24" i="2626"/>
  <c r="DN24" i="2626"/>
  <c r="DM24" i="2626"/>
  <c r="DL24" i="2626"/>
  <c r="DK24" i="2626"/>
  <c r="DJ24" i="2626"/>
  <c r="DI24" i="2626"/>
  <c r="DH24" i="2626"/>
  <c r="DG24" i="2626"/>
  <c r="DF24" i="2626"/>
  <c r="DE24" i="2626"/>
  <c r="DD24" i="2626"/>
  <c r="DC24" i="2626"/>
  <c r="DB24" i="2626"/>
  <c r="DA24" i="2626"/>
  <c r="CZ24" i="2626"/>
  <c r="CY24" i="2626"/>
  <c r="CX24" i="2626"/>
  <c r="CW24" i="2626"/>
  <c r="CV24" i="2626"/>
  <c r="CU24" i="2626"/>
  <c r="CT24" i="2626"/>
  <c r="CS24" i="2626"/>
  <c r="CR24" i="2626"/>
  <c r="CQ24" i="2626"/>
  <c r="CP24" i="2626"/>
  <c r="CO24" i="2626"/>
  <c r="CN24" i="2626"/>
  <c r="CM24" i="2626"/>
  <c r="CL24" i="2626"/>
  <c r="CK24" i="2626"/>
  <c r="CJ24" i="2626"/>
  <c r="CI24" i="2626"/>
  <c r="CH24" i="2626"/>
  <c r="CG24" i="2626"/>
  <c r="CF24" i="2626"/>
  <c r="CE24" i="2626"/>
  <c r="CD24" i="2626"/>
  <c r="CC24" i="2626"/>
  <c r="CB24" i="2626"/>
  <c r="CA24" i="2626"/>
  <c r="BZ24" i="2626"/>
  <c r="BY24" i="2626"/>
  <c r="BX24" i="2626"/>
  <c r="BW24" i="2626"/>
  <c r="BV24" i="2626"/>
  <c r="BU24" i="2626"/>
  <c r="BT24" i="2626"/>
  <c r="BS24" i="2626"/>
  <c r="BR24" i="2626"/>
  <c r="BQ24" i="2626"/>
  <c r="BP24" i="2626"/>
  <c r="BO24" i="2626"/>
  <c r="BM24" i="2626"/>
  <c r="BL24" i="2626"/>
  <c r="BK24" i="2626"/>
  <c r="BJ24" i="2626"/>
  <c r="BI24" i="2626"/>
  <c r="BH24" i="2626"/>
  <c r="BG24" i="2626"/>
  <c r="BF24" i="2626"/>
  <c r="BE24" i="2626"/>
  <c r="BD24" i="2626"/>
  <c r="BC24" i="2626"/>
  <c r="BB24" i="2626"/>
  <c r="AZ24" i="2626"/>
  <c r="AY24" i="2626"/>
  <c r="AX24" i="2626"/>
  <c r="AW24" i="2626"/>
  <c r="AV24" i="2626"/>
  <c r="AU24" i="2626"/>
  <c r="AT24" i="2626"/>
  <c r="AS24" i="2626"/>
  <c r="AR24" i="2626"/>
  <c r="AQ24" i="2626"/>
  <c r="AP24" i="2626"/>
  <c r="AO24" i="2626"/>
  <c r="AM24" i="2626"/>
  <c r="AL24" i="2626"/>
  <c r="AK24" i="2626"/>
  <c r="AJ24" i="2626"/>
  <c r="AI24" i="2626"/>
  <c r="AH24" i="2626"/>
  <c r="AG24" i="2626"/>
  <c r="AF24" i="2626"/>
  <c r="AE24" i="2626"/>
  <c r="AD24" i="2626"/>
  <c r="AC24" i="2626"/>
  <c r="AB24" i="2626"/>
  <c r="Z24" i="2626"/>
  <c r="Y24" i="2626"/>
  <c r="X24" i="2626"/>
  <c r="W24" i="2626"/>
  <c r="V24" i="2626"/>
  <c r="U24" i="2626"/>
  <c r="T24" i="2626"/>
  <c r="S24" i="2626"/>
  <c r="R24" i="2626"/>
  <c r="Q24" i="2626"/>
  <c r="P24" i="2626"/>
  <c r="O24" i="2626"/>
  <c r="EZ23" i="2626"/>
  <c r="EY23" i="2626"/>
  <c r="EX23" i="2626"/>
  <c r="EW23" i="2626"/>
  <c r="EQ23" i="2626"/>
  <c r="EP23" i="2626"/>
  <c r="EO23" i="2626"/>
  <c r="DZ23" i="2626"/>
  <c r="DY23" i="2626"/>
  <c r="DX23" i="2626"/>
  <c r="DW23" i="2626"/>
  <c r="DV23" i="2626"/>
  <c r="DU23" i="2626"/>
  <c r="DT23" i="2626"/>
  <c r="DS23" i="2626"/>
  <c r="DR23" i="2626"/>
  <c r="DQ23" i="2626"/>
  <c r="DP23" i="2626"/>
  <c r="DO23" i="2626"/>
  <c r="DN23" i="2626"/>
  <c r="DM23" i="2626"/>
  <c r="DL23" i="2626"/>
  <c r="DK23" i="2626"/>
  <c r="DJ23" i="2626"/>
  <c r="DI23" i="2626"/>
  <c r="DH23" i="2626"/>
  <c r="DG23" i="2626"/>
  <c r="DF23" i="2626"/>
  <c r="DE23" i="2626"/>
  <c r="DD23" i="2626"/>
  <c r="DC23" i="2626"/>
  <c r="DB23" i="2626"/>
  <c r="DA23" i="2626"/>
  <c r="CZ23" i="2626"/>
  <c r="CY23" i="2626"/>
  <c r="CX23" i="2626"/>
  <c r="CW23" i="2626"/>
  <c r="CV23" i="2626"/>
  <c r="CU23" i="2626"/>
  <c r="CT23" i="2626"/>
  <c r="CS23" i="2626"/>
  <c r="CR23" i="2626"/>
  <c r="CQ23" i="2626"/>
  <c r="CP23" i="2626"/>
  <c r="CO23" i="2626"/>
  <c r="CN23" i="2626"/>
  <c r="CM23" i="2626"/>
  <c r="CL23" i="2626"/>
  <c r="CK23" i="2626"/>
  <c r="CJ23" i="2626"/>
  <c r="CI23" i="2626"/>
  <c r="CH23" i="2626"/>
  <c r="CG23" i="2626"/>
  <c r="CF23" i="2626"/>
  <c r="CE23" i="2626"/>
  <c r="CD23" i="2626"/>
  <c r="CC23" i="2626"/>
  <c r="CB23" i="2626"/>
  <c r="CA23" i="2626"/>
  <c r="BZ23" i="2626"/>
  <c r="BY23" i="2626"/>
  <c r="BX23" i="2626"/>
  <c r="BW23" i="2626"/>
  <c r="BV23" i="2626"/>
  <c r="BU23" i="2626"/>
  <c r="BT23" i="2626"/>
  <c r="BS23" i="2626"/>
  <c r="BR23" i="2626"/>
  <c r="BQ23" i="2626"/>
  <c r="BP23" i="2626"/>
  <c r="BO23" i="2626"/>
  <c r="BM23" i="2626"/>
  <c r="BL23" i="2626"/>
  <c r="BK23" i="2626"/>
  <c r="BJ23" i="2626"/>
  <c r="BI23" i="2626"/>
  <c r="BH23" i="2626"/>
  <c r="BG23" i="2626"/>
  <c r="BF23" i="2626"/>
  <c r="BE23" i="2626"/>
  <c r="BD23" i="2626"/>
  <c r="BC23" i="2626"/>
  <c r="BB23" i="2626"/>
  <c r="AZ23" i="2626"/>
  <c r="AY23" i="2626"/>
  <c r="AX23" i="2626"/>
  <c r="AW23" i="2626"/>
  <c r="AV23" i="2626"/>
  <c r="AU23" i="2626"/>
  <c r="AT23" i="2626"/>
  <c r="AS23" i="2626"/>
  <c r="AR23" i="2626"/>
  <c r="AQ23" i="2626"/>
  <c r="AP23" i="2626"/>
  <c r="AO23" i="2626"/>
  <c r="AM23" i="2626"/>
  <c r="AL23" i="2626"/>
  <c r="AK23" i="2626"/>
  <c r="AJ23" i="2626"/>
  <c r="AI23" i="2626"/>
  <c r="AH23" i="2626"/>
  <c r="AG23" i="2626"/>
  <c r="AF23" i="2626"/>
  <c r="AE23" i="2626"/>
  <c r="AD23" i="2626"/>
  <c r="AC23" i="2626"/>
  <c r="AB23" i="2626"/>
  <c r="Z23" i="2626"/>
  <c r="Y23" i="2626"/>
  <c r="X23" i="2626"/>
  <c r="W23" i="2626"/>
  <c r="V23" i="2626"/>
  <c r="U23" i="2626"/>
  <c r="T23" i="2626"/>
  <c r="S23" i="2626"/>
  <c r="R23" i="2626"/>
  <c r="Q23" i="2626"/>
  <c r="P23" i="2626"/>
  <c r="O23" i="2626"/>
  <c r="EA33" i="2626"/>
  <c r="BN33" i="2626"/>
  <c r="AA33" i="2626"/>
  <c r="EA31" i="2626"/>
  <c r="BN31" i="2626"/>
  <c r="BN30" i="2626"/>
  <c r="EA29" i="2626"/>
  <c r="BN29" i="2626"/>
  <c r="EA28" i="2626"/>
  <c r="AN28" i="2626"/>
  <c r="EA27" i="2626"/>
  <c r="BN27" i="2626"/>
  <c r="EA26" i="2626"/>
  <c r="BN26" i="2626"/>
  <c r="EA25" i="2626"/>
  <c r="BN25" i="2626"/>
  <c r="BN24" i="2626"/>
  <c r="BN23" i="2626"/>
  <c r="FD36" i="2628" l="1"/>
  <c r="FD35" i="2628"/>
  <c r="FD18" i="2628"/>
  <c r="FD33" i="2631"/>
  <c r="FD17" i="2631"/>
  <c r="FD9" i="2631"/>
  <c r="FD27" i="2631"/>
  <c r="FD25" i="2631"/>
  <c r="FD39" i="2628"/>
  <c r="FD41" i="2628"/>
  <c r="FD17" i="2628"/>
  <c r="FD14" i="2628"/>
  <c r="FD19" i="2631"/>
  <c r="FD31" i="2631"/>
  <c r="FD12" i="2631"/>
  <c r="FD29" i="2631"/>
  <c r="FD11" i="2631"/>
  <c r="AX38" i="2631"/>
  <c r="DN83" i="2631"/>
  <c r="AS38" i="2631"/>
  <c r="FD15" i="2631"/>
  <c r="FD59" i="2631" s="1"/>
  <c r="FF59" i="2631"/>
  <c r="Z41" i="2631"/>
  <c r="AW38" i="2631"/>
  <c r="DN51" i="2631"/>
  <c r="FD13" i="2631"/>
  <c r="DN72" i="2631"/>
  <c r="FD23" i="2631"/>
  <c r="AS41" i="2631"/>
  <c r="DC38" i="2631"/>
  <c r="FD24" i="2631"/>
  <c r="CA46" i="2631"/>
  <c r="BM41" i="2631"/>
  <c r="BM38" i="2631" s="1"/>
  <c r="FD10" i="2631"/>
  <c r="FD40" i="2628"/>
  <c r="FD37" i="2628"/>
  <c r="FD32" i="2628"/>
  <c r="FD30" i="2628"/>
  <c r="FD11" i="2628"/>
  <c r="AF32" i="2628"/>
  <c r="AH7" i="2628"/>
  <c r="AH30" i="2628" s="1"/>
  <c r="FD38" i="2628"/>
  <c r="FD33" i="2628"/>
  <c r="FD12" i="2628"/>
  <c r="FD21" i="2628"/>
  <c r="FD15" i="2628"/>
  <c r="FD34" i="2628"/>
  <c r="FD10" i="2628"/>
  <c r="FD42" i="2628"/>
  <c r="AG7" i="2628"/>
  <c r="AG30" i="2628" s="1"/>
  <c r="FD13" i="2628"/>
  <c r="FD19" i="2628"/>
  <c r="Z40" i="2634"/>
  <c r="Z36" i="2634" s="1"/>
  <c r="AN51" i="2634"/>
  <c r="AN45" i="2634" s="1"/>
  <c r="AA7" i="2634"/>
  <c r="DD36" i="2634"/>
  <c r="AI40" i="2634"/>
  <c r="AI36" i="2634" s="1"/>
  <c r="V36" i="2634"/>
  <c r="BF36" i="2634"/>
  <c r="BP40" i="2634"/>
  <c r="BP36" i="2634" s="1"/>
  <c r="CN53" i="2634"/>
  <c r="BU36" i="2634"/>
  <c r="DA53" i="2634"/>
  <c r="BY36" i="2634"/>
  <c r="AN83" i="2634"/>
  <c r="CE40" i="2634"/>
  <c r="CE36" i="2634" s="1"/>
  <c r="CY36" i="2634"/>
  <c r="DR36" i="2634"/>
  <c r="CW40" i="2634"/>
  <c r="BY45" i="2634"/>
  <c r="BY42" i="2634" s="1"/>
  <c r="BY40" i="2634" s="1"/>
  <c r="DE36" i="2634"/>
  <c r="AV40" i="2634"/>
  <c r="BN51" i="2634"/>
  <c r="BN45" i="2634" s="1"/>
  <c r="DV40" i="2634"/>
  <c r="DV36" i="2634" s="1"/>
  <c r="AJ36" i="2634"/>
  <c r="BA45" i="2634"/>
  <c r="CX119" i="2632"/>
  <c r="AA46" i="2631"/>
  <c r="DJ45" i="2631"/>
  <c r="DJ43" i="2631" s="1"/>
  <c r="BI41" i="2631"/>
  <c r="BI38" i="2631" s="1"/>
  <c r="N72" i="2631"/>
  <c r="AC38" i="2631"/>
  <c r="AB41" i="2631"/>
  <c r="AB38" i="2631" s="1"/>
  <c r="DA72" i="2631"/>
  <c r="Q41" i="2631"/>
  <c r="Q38" i="2631" s="1"/>
  <c r="DF45" i="2631"/>
  <c r="DF43" i="2631" s="1"/>
  <c r="DF41" i="2631" s="1"/>
  <c r="DF38" i="2631" s="1"/>
  <c r="AN45" i="2631"/>
  <c r="AN43" i="2631" s="1"/>
  <c r="AN41" i="2631" s="1"/>
  <c r="DN8" i="2631"/>
  <c r="AN72" i="2631"/>
  <c r="DL45" i="2631"/>
  <c r="DL43" i="2631" s="1"/>
  <c r="DI38" i="2631"/>
  <c r="AG41" i="2631"/>
  <c r="S38" i="2631"/>
  <c r="CN48" i="2635"/>
  <c r="AA48" i="2635"/>
  <c r="N48" i="2635"/>
  <c r="DA48" i="2635"/>
  <c r="EA48" i="2635"/>
  <c r="DN48" i="2635"/>
  <c r="AN48" i="2635"/>
  <c r="BA48" i="2635"/>
  <c r="CA48" i="2635"/>
  <c r="DA41" i="2635"/>
  <c r="BN48" i="2635"/>
  <c r="CY119" i="2632"/>
  <c r="BM119" i="2632"/>
  <c r="CK119" i="2632"/>
  <c r="CL119" i="2632"/>
  <c r="CC119" i="2632"/>
  <c r="BP119" i="2632"/>
  <c r="AC119" i="2632"/>
  <c r="AP119" i="2632"/>
  <c r="L119" i="2632"/>
  <c r="BK119" i="2632"/>
  <c r="BY119" i="2632"/>
  <c r="C119" i="2632"/>
  <c r="X119" i="2632"/>
  <c r="K119" i="2632"/>
  <c r="BL119" i="2632"/>
  <c r="CP119" i="2632"/>
  <c r="W119" i="2632"/>
  <c r="BC119" i="2632"/>
  <c r="BD119" i="2632"/>
  <c r="BZ119" i="2632"/>
  <c r="P119" i="2632"/>
  <c r="H119" i="2632"/>
  <c r="D119" i="2632"/>
  <c r="CZ119" i="2632"/>
  <c r="DA103" i="2632"/>
  <c r="AY120" i="2632"/>
  <c r="AY119" i="2632" s="1"/>
  <c r="EA104" i="2632"/>
  <c r="CB79" i="2632"/>
  <c r="CA103" i="2632"/>
  <c r="N101" i="2632"/>
  <c r="DN50" i="2632"/>
  <c r="BH79" i="2632"/>
  <c r="BN101" i="2632"/>
  <c r="BN50" i="2632"/>
  <c r="BA101" i="2632"/>
  <c r="EA44" i="2632"/>
  <c r="CN50" i="2632"/>
  <c r="AA101" i="2632"/>
  <c r="AZ100" i="2632"/>
  <c r="BA100" i="2632" s="1"/>
  <c r="BS79" i="2632"/>
  <c r="DA101" i="2632"/>
  <c r="BQ79" i="2632"/>
  <c r="CT79" i="2632"/>
  <c r="DA44" i="2632"/>
  <c r="AM99" i="2632"/>
  <c r="BG79" i="2632"/>
  <c r="N44" i="2632"/>
  <c r="CV79" i="2632"/>
  <c r="CA101" i="2632"/>
  <c r="BF79" i="2632"/>
  <c r="DN101" i="2632"/>
  <c r="BA112" i="2632"/>
  <c r="CN101" i="2632"/>
  <c r="BN103" i="2632"/>
  <c r="BD79" i="2632"/>
  <c r="BB79" i="2632"/>
  <c r="C99" i="2632"/>
  <c r="AQ99" i="2632"/>
  <c r="AQ120" i="2632"/>
  <c r="AQ119" i="2632" s="1"/>
  <c r="M99" i="2632"/>
  <c r="M120" i="2632"/>
  <c r="M119" i="2632" s="1"/>
  <c r="CZ79" i="2632"/>
  <c r="BX100" i="2632"/>
  <c r="BX120" i="2632" s="1"/>
  <c r="BX119" i="2632" s="1"/>
  <c r="BA122" i="2632"/>
  <c r="DN80" i="2632"/>
  <c r="N103" i="2632"/>
  <c r="AN43" i="2632"/>
  <c r="BA44" i="2632"/>
  <c r="CA43" i="2632"/>
  <c r="CN103" i="2632"/>
  <c r="CJ79" i="2632"/>
  <c r="CE79" i="2632"/>
  <c r="AN44" i="2632"/>
  <c r="CC79" i="2632"/>
  <c r="CF79" i="2632"/>
  <c r="BO79" i="2632"/>
  <c r="CN43" i="2632"/>
  <c r="BP79" i="2632"/>
  <c r="B41" i="2629"/>
  <c r="N41" i="2629" s="1"/>
  <c r="BN42" i="2629"/>
  <c r="AN48" i="2629"/>
  <c r="CP99" i="2632"/>
  <c r="BP99" i="2632"/>
  <c r="BM99" i="2632"/>
  <c r="AA48" i="2629"/>
  <c r="N48" i="2629"/>
  <c r="DN48" i="2629"/>
  <c r="CA48" i="2629"/>
  <c r="DQ19" i="2629"/>
  <c r="DA48" i="2629"/>
  <c r="BN48" i="2629"/>
  <c r="CN48" i="2629"/>
  <c r="J32" i="2628"/>
  <c r="J7" i="2628"/>
  <c r="J30" i="2628" s="1"/>
  <c r="AE32" i="2628"/>
  <c r="AE7" i="2628"/>
  <c r="AE30" i="2628" s="1"/>
  <c r="B7" i="2628"/>
  <c r="B30" i="2628" s="1"/>
  <c r="B32" i="2628"/>
  <c r="AD7" i="2628"/>
  <c r="AD30" i="2628" s="1"/>
  <c r="AD32" i="2628"/>
  <c r="W32" i="2628"/>
  <c r="W7" i="2628"/>
  <c r="W30" i="2628" s="1"/>
  <c r="BI7" i="2628"/>
  <c r="BI30" i="2628" s="1"/>
  <c r="BI32" i="2628"/>
  <c r="AZ32" i="2628"/>
  <c r="AZ7" i="2628"/>
  <c r="AZ30" i="2628" s="1"/>
  <c r="K32" i="2628"/>
  <c r="K7" i="2628"/>
  <c r="K30" i="2628" s="1"/>
  <c r="BD7" i="2628"/>
  <c r="BD30" i="2628" s="1"/>
  <c r="BD32" i="2628"/>
  <c r="AJ32" i="2628"/>
  <c r="AJ7" i="2628"/>
  <c r="AJ30" i="2628" s="1"/>
  <c r="AT7" i="2628"/>
  <c r="AT30" i="2628" s="1"/>
  <c r="AT32" i="2628"/>
  <c r="AY32" i="2628"/>
  <c r="AY7" i="2628"/>
  <c r="AY30" i="2628" s="1"/>
  <c r="U32" i="2628"/>
  <c r="U7" i="2628"/>
  <c r="U30" i="2628" s="1"/>
  <c r="BP32" i="2628"/>
  <c r="BP7" i="2628"/>
  <c r="BP30" i="2628" s="1"/>
  <c r="C7" i="2628"/>
  <c r="C30" i="2628" s="1"/>
  <c r="C32" i="2628"/>
  <c r="F32" i="2628"/>
  <c r="F7" i="2628"/>
  <c r="F30" i="2628" s="1"/>
  <c r="M7" i="2628"/>
  <c r="M30" i="2628" s="1"/>
  <c r="M32" i="2628"/>
  <c r="BQ32" i="2628"/>
  <c r="BQ7" i="2628"/>
  <c r="BQ30" i="2628" s="1"/>
  <c r="AA9" i="2628"/>
  <c r="X32" i="2628"/>
  <c r="X7" i="2628"/>
  <c r="X30" i="2628" s="1"/>
  <c r="BO32" i="2628"/>
  <c r="BO7" i="2628"/>
  <c r="BO30" i="2628" s="1"/>
  <c r="BK7" i="2628"/>
  <c r="BK30" i="2628" s="1"/>
  <c r="BK32" i="2628"/>
  <c r="AV7" i="2628"/>
  <c r="AV30" i="2628" s="1"/>
  <c r="AV32" i="2628"/>
  <c r="BT7" i="2628"/>
  <c r="BT30" i="2628" s="1"/>
  <c r="R32" i="2628"/>
  <c r="R7" i="2628"/>
  <c r="R30" i="2628" s="1"/>
  <c r="BJ7" i="2628"/>
  <c r="BJ30" i="2628" s="1"/>
  <c r="BJ32" i="2628"/>
  <c r="AX32" i="2628"/>
  <c r="AX7" i="2628"/>
  <c r="AX30" i="2628" s="1"/>
  <c r="BW7" i="2628"/>
  <c r="BW30" i="2628" s="1"/>
  <c r="BW32" i="2628"/>
  <c r="AB32" i="2628"/>
  <c r="AB7" i="2628"/>
  <c r="AB30" i="2628" s="1"/>
  <c r="BE7" i="2628"/>
  <c r="BE30" i="2628" s="1"/>
  <c r="BE32" i="2628"/>
  <c r="AR7" i="2628"/>
  <c r="AR30" i="2628" s="1"/>
  <c r="AR32" i="2628"/>
  <c r="BG32" i="2628"/>
  <c r="BG7" i="2628"/>
  <c r="BG30" i="2628" s="1"/>
  <c r="Q7" i="2628"/>
  <c r="Q30" i="2628" s="1"/>
  <c r="Q32" i="2628"/>
  <c r="AL32" i="2628"/>
  <c r="AL7" i="2628"/>
  <c r="AL30" i="2628" s="1"/>
  <c r="AW32" i="2628"/>
  <c r="AW7" i="2628"/>
  <c r="AW30" i="2628" s="1"/>
  <c r="L7" i="2628"/>
  <c r="L30" i="2628" s="1"/>
  <c r="L32" i="2628"/>
  <c r="O7" i="2628"/>
  <c r="O30" i="2628" s="1"/>
  <c r="O32" i="2628"/>
  <c r="E7" i="2628"/>
  <c r="E30" i="2628" s="1"/>
  <c r="E32" i="2628"/>
  <c r="T32" i="2628"/>
  <c r="T7" i="2628"/>
  <c r="T30" i="2628" s="1"/>
  <c r="CL7" i="2628"/>
  <c r="CL30" i="2628" s="1"/>
  <c r="Y7" i="2628"/>
  <c r="Y30" i="2628" s="1"/>
  <c r="Y32" i="2628"/>
  <c r="CD7" i="2628"/>
  <c r="CD30" i="2628" s="1"/>
  <c r="CD32" i="2628"/>
  <c r="P7" i="2628"/>
  <c r="P30" i="2628" s="1"/>
  <c r="P32" i="2628"/>
  <c r="H32" i="2628"/>
  <c r="H7" i="2628"/>
  <c r="H30" i="2628" s="1"/>
  <c r="CV32" i="2628"/>
  <c r="CV7" i="2628"/>
  <c r="CV30" i="2628" s="1"/>
  <c r="AC32" i="2628"/>
  <c r="AC7" i="2628"/>
  <c r="AC30" i="2628" s="1"/>
  <c r="CK7" i="2628"/>
  <c r="CK30" i="2628" s="1"/>
  <c r="BV32" i="2628"/>
  <c r="BV7" i="2628"/>
  <c r="BV30" i="2628" s="1"/>
  <c r="BU7" i="2628"/>
  <c r="BU30" i="2628" s="1"/>
  <c r="BU32" i="2628"/>
  <c r="Z7" i="2628"/>
  <c r="Z30" i="2628" s="1"/>
  <c r="Z32" i="2628"/>
  <c r="V32" i="2628"/>
  <c r="V7" i="2628"/>
  <c r="V30" i="2628" s="1"/>
  <c r="AI32" i="2628"/>
  <c r="AI7" i="2628"/>
  <c r="AI30" i="2628" s="1"/>
  <c r="BF7" i="2628"/>
  <c r="BF30" i="2628" s="1"/>
  <c r="BF32" i="2628"/>
  <c r="AU7" i="2628"/>
  <c r="AU30" i="2628" s="1"/>
  <c r="AU32" i="2628"/>
  <c r="D32" i="2628"/>
  <c r="D7" i="2628"/>
  <c r="D30" i="2628" s="1"/>
  <c r="AQ7" i="2628"/>
  <c r="AQ30" i="2628" s="1"/>
  <c r="AQ32" i="2628"/>
  <c r="AA24" i="2626"/>
  <c r="AN27" i="2626"/>
  <c r="AN26" i="2626"/>
  <c r="DW38" i="2631"/>
  <c r="CM36" i="2634"/>
  <c r="CW36" i="2634"/>
  <c r="DN53" i="2634"/>
  <c r="AA72" i="2631"/>
  <c r="DP20" i="2629"/>
  <c r="DP54" i="2629" s="1"/>
  <c r="DO54" i="2629"/>
  <c r="DN7" i="2631"/>
  <c r="BC41" i="2631"/>
  <c r="BC38" i="2631" s="1"/>
  <c r="BS7" i="2628"/>
  <c r="BS30" i="2628" s="1"/>
  <c r="BS32" i="2628"/>
  <c r="DU37" i="2631"/>
  <c r="P36" i="2634"/>
  <c r="AA45" i="2631"/>
  <c r="AA43" i="2631" s="1"/>
  <c r="AA41" i="2631" s="1"/>
  <c r="CY7" i="2631"/>
  <c r="CY37" i="2631" s="1"/>
  <c r="AO7" i="2628"/>
  <c r="AO30" i="2628" s="1"/>
  <c r="AO32" i="2628"/>
  <c r="N42" i="2634"/>
  <c r="N40" i="2634" s="1"/>
  <c r="DA104" i="2632"/>
  <c r="DJ40" i="2634"/>
  <c r="DJ36" i="2634" s="1"/>
  <c r="BC40" i="2634"/>
  <c r="N46" i="2631"/>
  <c r="N45" i="2631" s="1"/>
  <c r="N43" i="2631" s="1"/>
  <c r="N41" i="2631" s="1"/>
  <c r="CF7" i="2631"/>
  <c r="CF37" i="2631" s="1"/>
  <c r="CL7" i="2631"/>
  <c r="CL37" i="2631" s="1"/>
  <c r="AM7" i="2628"/>
  <c r="AM30" i="2628" s="1"/>
  <c r="AM32" i="2628"/>
  <c r="DP7" i="2629"/>
  <c r="DP41" i="2629" s="1"/>
  <c r="CM37" i="2631"/>
  <c r="CM7" i="2631"/>
  <c r="CN9" i="2628"/>
  <c r="CC7" i="2628"/>
  <c r="CC30" i="2628" s="1"/>
  <c r="CC32" i="2628"/>
  <c r="AN7" i="2632"/>
  <c r="BN46" i="2631"/>
  <c r="BN45" i="2631" s="1"/>
  <c r="BN43" i="2631" s="1"/>
  <c r="BN41" i="2631" s="1"/>
  <c r="BI40" i="2634"/>
  <c r="BI36" i="2634" s="1"/>
  <c r="CU79" i="2632"/>
  <c r="CD7" i="2631"/>
  <c r="AE41" i="2631"/>
  <c r="AE38" i="2631" s="1"/>
  <c r="AV37" i="2631"/>
  <c r="M41" i="2631"/>
  <c r="AP7" i="2628"/>
  <c r="AP30" i="2628" s="1"/>
  <c r="AP32" i="2628"/>
  <c r="AN31" i="2626"/>
  <c r="EA24" i="2626"/>
  <c r="S93" i="2634"/>
  <c r="BA46" i="2631"/>
  <c r="BA45" i="2631" s="1"/>
  <c r="BA43" i="2631" s="1"/>
  <c r="BA41" i="2631" s="1"/>
  <c r="CE7" i="2631"/>
  <c r="CE37" i="2631" s="1"/>
  <c r="BR7" i="2628"/>
  <c r="BR30" i="2628" s="1"/>
  <c r="BR32" i="2628"/>
  <c r="AN60" i="2634"/>
  <c r="Q40" i="2634"/>
  <c r="Q36" i="2634" s="1"/>
  <c r="Y93" i="2634"/>
  <c r="Y55" i="2634"/>
  <c r="DC36" i="2634"/>
  <c r="N51" i="2634"/>
  <c r="N45" i="2634" s="1"/>
  <c r="BL79" i="2632"/>
  <c r="BW7" i="2631"/>
  <c r="BW37" i="2631" s="1"/>
  <c r="BW38" i="2631" s="1"/>
  <c r="AK32" i="2628"/>
  <c r="AK7" i="2628"/>
  <c r="AK30" i="2628" s="1"/>
  <c r="CX7" i="2628"/>
  <c r="CX30" i="2628" s="1"/>
  <c r="BR79" i="2632"/>
  <c r="CH79" i="2632"/>
  <c r="CI79" i="2632"/>
  <c r="AO41" i="2631"/>
  <c r="AO38" i="2631" s="1"/>
  <c r="BZ7" i="2628"/>
  <c r="BZ30" i="2628" s="1"/>
  <c r="BZ32" i="2628"/>
  <c r="CI7" i="2631"/>
  <c r="CI37" i="2631" s="1"/>
  <c r="BT40" i="2634"/>
  <c r="BT36" i="2634" s="1"/>
  <c r="BD40" i="2634"/>
  <c r="BD36" i="2634" s="1"/>
  <c r="CU7" i="2631"/>
  <c r="CU37" i="2631" s="1"/>
  <c r="CU38" i="2631" s="1"/>
  <c r="BY7" i="2628"/>
  <c r="BY30" i="2628" s="1"/>
  <c r="BY32" i="2628"/>
  <c r="BB7" i="2628"/>
  <c r="BB30" i="2628" s="1"/>
  <c r="BB32" i="2628"/>
  <c r="CE7" i="2628"/>
  <c r="CE30" i="2628" s="1"/>
  <c r="CE32" i="2628"/>
  <c r="X36" i="2634"/>
  <c r="BW79" i="2632"/>
  <c r="DM40" i="2634"/>
  <c r="DM36" i="2634" s="1"/>
  <c r="AS40" i="2634"/>
  <c r="AS36" i="2634" s="1"/>
  <c r="CP7" i="2631"/>
  <c r="CP37" i="2631" s="1"/>
  <c r="CX7" i="2631"/>
  <c r="CX37" i="2631" s="1"/>
  <c r="AQ41" i="2631"/>
  <c r="AQ38" i="2631" s="1"/>
  <c r="CM100" i="2632"/>
  <c r="CM120" i="2632" s="1"/>
  <c r="CM119" i="2632" s="1"/>
  <c r="X93" i="2634"/>
  <c r="X55" i="2634"/>
  <c r="CS7" i="2631"/>
  <c r="CS37" i="2631" s="1"/>
  <c r="DA51" i="2634"/>
  <c r="CA7" i="2632"/>
  <c r="AV36" i="2634"/>
  <c r="BU79" i="2632"/>
  <c r="BV79" i="2632"/>
  <c r="CK7" i="2631"/>
  <c r="CK37" i="2631" s="1"/>
  <c r="CK38" i="2631" s="1"/>
  <c r="U41" i="2631"/>
  <c r="U38" i="2631" s="1"/>
  <c r="V93" i="2634"/>
  <c r="V55" i="2634"/>
  <c r="AR40" i="2634"/>
  <c r="AR36" i="2634" s="1"/>
  <c r="CN69" i="2634"/>
  <c r="BB40" i="2634"/>
  <c r="AK40" i="2634"/>
  <c r="AK36" i="2634" s="1"/>
  <c r="AN121" i="2632"/>
  <c r="CQ40" i="2634"/>
  <c r="CQ36" i="2634" s="1"/>
  <c r="BJ79" i="2632"/>
  <c r="BV7" i="2631"/>
  <c r="BV37" i="2631" s="1"/>
  <c r="AA69" i="2634"/>
  <c r="DA69" i="2634"/>
  <c r="CN72" i="2631"/>
  <c r="D63" i="2631"/>
  <c r="D62" i="2631" s="1"/>
  <c r="N62" i="2631" s="1"/>
  <c r="BX32" i="2628"/>
  <c r="BX7" i="2628"/>
  <c r="BX30" i="2628" s="1"/>
  <c r="BL32" i="2628"/>
  <c r="BL7" i="2628"/>
  <c r="BL30" i="2628" s="1"/>
  <c r="BI79" i="2632"/>
  <c r="BX7" i="2631"/>
  <c r="BX37" i="2631" s="1"/>
  <c r="CJ7" i="2631"/>
  <c r="CJ37" i="2631" s="1"/>
  <c r="Q93" i="2634"/>
  <c r="Q55" i="2634"/>
  <c r="CB7" i="2628"/>
  <c r="CB30" i="2628" s="1"/>
  <c r="CB32" i="2628"/>
  <c r="BA69" i="2634"/>
  <c r="AM37" i="2631"/>
  <c r="AM38" i="2631" s="1"/>
  <c r="CR79" i="2632"/>
  <c r="DP63" i="2631"/>
  <c r="DP62" i="2631" s="1"/>
  <c r="BY7" i="2631"/>
  <c r="BY37" i="2631" s="1"/>
  <c r="CV7" i="2631"/>
  <c r="CV37" i="2631" s="1"/>
  <c r="CV38" i="2631" s="1"/>
  <c r="CF7" i="2628"/>
  <c r="CF30" i="2628" s="1"/>
  <c r="CF32" i="2628"/>
  <c r="BO51" i="2634"/>
  <c r="BO45" i="2634" s="1"/>
  <c r="AE40" i="2634"/>
  <c r="AE36" i="2634" s="1"/>
  <c r="K99" i="2632"/>
  <c r="AX120" i="2632"/>
  <c r="AX119" i="2632" s="1"/>
  <c r="AX99" i="2632"/>
  <c r="BI99" i="2632"/>
  <c r="BI120" i="2632"/>
  <c r="BI119" i="2632" s="1"/>
  <c r="BO120" i="2632"/>
  <c r="CD41" i="2631"/>
  <c r="DL41" i="2631"/>
  <c r="DL38" i="2631" s="1"/>
  <c r="DZ40" i="2634"/>
  <c r="DZ36" i="2634" s="1"/>
  <c r="U120" i="2632"/>
  <c r="U119" i="2632" s="1"/>
  <c r="U99" i="2632"/>
  <c r="AE120" i="2632"/>
  <c r="AE119" i="2632" s="1"/>
  <c r="AE99" i="2632"/>
  <c r="CI120" i="2632"/>
  <c r="CI119" i="2632" s="1"/>
  <c r="CI99" i="2632"/>
  <c r="G120" i="2632"/>
  <c r="G119" i="2632" s="1"/>
  <c r="G99" i="2632"/>
  <c r="CQ120" i="2632"/>
  <c r="CQ119" i="2632" s="1"/>
  <c r="CQ99" i="2632"/>
  <c r="CS41" i="2631"/>
  <c r="BC99" i="2632"/>
  <c r="AL120" i="2632"/>
  <c r="AL119" i="2632" s="1"/>
  <c r="AL99" i="2632"/>
  <c r="AW99" i="2632"/>
  <c r="AW120" i="2632"/>
  <c r="AW119" i="2632" s="1"/>
  <c r="CI40" i="2634"/>
  <c r="CI36" i="2634" s="1"/>
  <c r="AO40" i="2634"/>
  <c r="AO36" i="2634" s="1"/>
  <c r="R99" i="2632"/>
  <c r="R120" i="2632"/>
  <c r="R119" i="2632" s="1"/>
  <c r="CG79" i="2632"/>
  <c r="AF120" i="2632"/>
  <c r="AF119" i="2632" s="1"/>
  <c r="AF99" i="2632"/>
  <c r="CX79" i="2632"/>
  <c r="CM41" i="2631"/>
  <c r="CZ99" i="2632"/>
  <c r="BL99" i="2632"/>
  <c r="AB40" i="2634"/>
  <c r="AB36" i="2634" s="1"/>
  <c r="AW40" i="2634"/>
  <c r="AW36" i="2634" s="1"/>
  <c r="BR41" i="2631"/>
  <c r="BR38" i="2631" s="1"/>
  <c r="CQ41" i="2631"/>
  <c r="CQ38" i="2631" s="1"/>
  <c r="T41" i="2631"/>
  <c r="T38" i="2631" s="1"/>
  <c r="Z120" i="2632"/>
  <c r="Z119" i="2632" s="1"/>
  <c r="Z99" i="2632"/>
  <c r="AK120" i="2632"/>
  <c r="AK119" i="2632" s="1"/>
  <c r="AK99" i="2632"/>
  <c r="BB120" i="2632"/>
  <c r="BB119" i="2632" s="1"/>
  <c r="BB99" i="2632"/>
  <c r="O120" i="2632"/>
  <c r="O119" i="2632" s="1"/>
  <c r="O99" i="2632"/>
  <c r="BJ41" i="2631"/>
  <c r="BJ38" i="2631" s="1"/>
  <c r="CY41" i="2631"/>
  <c r="BV40" i="2634"/>
  <c r="BV36" i="2634" s="1"/>
  <c r="T40" i="2634"/>
  <c r="T36" i="2634" s="1"/>
  <c r="BR40" i="2634"/>
  <c r="BR36" i="2634" s="1"/>
  <c r="E99" i="2632"/>
  <c r="E120" i="2632"/>
  <c r="E119" i="2632" s="1"/>
  <c r="CA86" i="2632"/>
  <c r="BT79" i="2632"/>
  <c r="S120" i="2632"/>
  <c r="S119" i="2632" s="1"/>
  <c r="S99" i="2632"/>
  <c r="CK79" i="2632"/>
  <c r="CD120" i="2632"/>
  <c r="CD119" i="2632" s="1"/>
  <c r="CD99" i="2632"/>
  <c r="BT41" i="2631"/>
  <c r="BT38" i="2631" s="1"/>
  <c r="DH41" i="2631"/>
  <c r="DH38" i="2631" s="1"/>
  <c r="BY41" i="2631"/>
  <c r="D99" i="2632"/>
  <c r="AP99" i="2632"/>
  <c r="CX99" i="2632"/>
  <c r="BL40" i="2634"/>
  <c r="BL36" i="2634" s="1"/>
  <c r="AP40" i="2634"/>
  <c r="AP36" i="2634" s="1"/>
  <c r="AU40" i="2634"/>
  <c r="AU36" i="2634" s="1"/>
  <c r="BQ36" i="2634"/>
  <c r="Y99" i="2632"/>
  <c r="Y120" i="2632"/>
  <c r="Y119" i="2632" s="1"/>
  <c r="CO120" i="2632"/>
  <c r="AO120" i="2632"/>
  <c r="AO119" i="2632" s="1"/>
  <c r="AO99" i="2632"/>
  <c r="DX41" i="2631"/>
  <c r="DX38" i="2631" s="1"/>
  <c r="CJ40" i="2634"/>
  <c r="CJ36" i="2634" s="1"/>
  <c r="BJ40" i="2634"/>
  <c r="BJ36" i="2634" s="1"/>
  <c r="AT40" i="2634"/>
  <c r="AT36" i="2634" s="1"/>
  <c r="AV99" i="2632"/>
  <c r="AV120" i="2632"/>
  <c r="AV119" i="2632" s="1"/>
  <c r="CW120" i="2632"/>
  <c r="CW119" i="2632" s="1"/>
  <c r="CW99" i="2632"/>
  <c r="F99" i="2632"/>
  <c r="F120" i="2632"/>
  <c r="F119" i="2632" s="1"/>
  <c r="Y40" i="2634"/>
  <c r="Y36" i="2634" s="1"/>
  <c r="BK79" i="2632"/>
  <c r="CI41" i="2631"/>
  <c r="W99" i="2632"/>
  <c r="R40" i="2634"/>
  <c r="R36" i="2634" s="1"/>
  <c r="AB99" i="2632"/>
  <c r="AB120" i="2632"/>
  <c r="AB119" i="2632" s="1"/>
  <c r="AK41" i="2631"/>
  <c r="AK38" i="2631" s="1"/>
  <c r="BH40" i="2634"/>
  <c r="BH36" i="2634" s="1"/>
  <c r="CH40" i="2634"/>
  <c r="CH36" i="2634" s="1"/>
  <c r="AH40" i="2634"/>
  <c r="AH36" i="2634" s="1"/>
  <c r="AI120" i="2632"/>
  <c r="AI119" i="2632" s="1"/>
  <c r="AI99" i="2632"/>
  <c r="BT120" i="2632"/>
  <c r="BT119" i="2632" s="1"/>
  <c r="BT99" i="2632"/>
  <c r="CX41" i="2631"/>
  <c r="BQ120" i="2632"/>
  <c r="BQ119" i="2632" s="1"/>
  <c r="BQ99" i="2632"/>
  <c r="BF41" i="2631"/>
  <c r="BF38" i="2631" s="1"/>
  <c r="J120" i="2632"/>
  <c r="J119" i="2632" s="1"/>
  <c r="J99" i="2632"/>
  <c r="L99" i="2632"/>
  <c r="CK99" i="2632"/>
  <c r="BU41" i="2631"/>
  <c r="BU38" i="2631" s="1"/>
  <c r="AD40" i="2634"/>
  <c r="AD36" i="2634" s="1"/>
  <c r="CG41" i="2631"/>
  <c r="CG38" i="2631" s="1"/>
  <c r="DQ41" i="2631"/>
  <c r="DQ38" i="2631" s="1"/>
  <c r="DU40" i="2634"/>
  <c r="DU36" i="2634" s="1"/>
  <c r="DS40" i="2634"/>
  <c r="DS36" i="2634" s="1"/>
  <c r="DI40" i="2634"/>
  <c r="DI36" i="2634" s="1"/>
  <c r="AY40" i="2634"/>
  <c r="AY36" i="2634" s="1"/>
  <c r="B120" i="2632"/>
  <c r="B119" i="2632" s="1"/>
  <c r="B99" i="2632"/>
  <c r="CO79" i="2632"/>
  <c r="BD41" i="2631"/>
  <c r="BD38" i="2631" s="1"/>
  <c r="CF41" i="2631"/>
  <c r="CE41" i="2631"/>
  <c r="CL41" i="2631"/>
  <c r="V120" i="2632"/>
  <c r="V119" i="2632" s="1"/>
  <c r="V99" i="2632"/>
  <c r="CW79" i="2632"/>
  <c r="BG120" i="2632"/>
  <c r="BG119" i="2632" s="1"/>
  <c r="BG99" i="2632"/>
  <c r="AT41" i="2631"/>
  <c r="AT38" i="2631" s="1"/>
  <c r="AC99" i="2632"/>
  <c r="AM40" i="2634"/>
  <c r="AM36" i="2634" s="1"/>
  <c r="BJ120" i="2632"/>
  <c r="BJ119" i="2632" s="1"/>
  <c r="BJ99" i="2632"/>
  <c r="BG36" i="2634"/>
  <c r="BG40" i="2634"/>
  <c r="AH99" i="2632"/>
  <c r="AH120" i="2632"/>
  <c r="AH119" i="2632" s="1"/>
  <c r="T120" i="2632"/>
  <c r="T119" i="2632" s="1"/>
  <c r="T99" i="2632"/>
  <c r="AZ41" i="2631"/>
  <c r="AZ38" i="2631" s="1"/>
  <c r="CT41" i="2631"/>
  <c r="CT38" i="2631" s="1"/>
  <c r="DU38" i="2631"/>
  <c r="DU41" i="2631"/>
  <c r="DF40" i="2634"/>
  <c r="DF36" i="2634" s="1"/>
  <c r="P41" i="2631"/>
  <c r="P38" i="2631" s="1"/>
  <c r="BP41" i="2631"/>
  <c r="BP38" i="2631" s="1"/>
  <c r="R41" i="2631"/>
  <c r="R38" i="2631" s="1"/>
  <c r="CJ120" i="2632"/>
  <c r="CJ119" i="2632" s="1"/>
  <c r="CJ99" i="2632"/>
  <c r="I120" i="2632"/>
  <c r="I119" i="2632" s="1"/>
  <c r="I99" i="2632"/>
  <c r="DG40" i="2634"/>
  <c r="DG36" i="2634" s="1"/>
  <c r="AD99" i="2632"/>
  <c r="AD120" i="2632"/>
  <c r="AD119" i="2632" s="1"/>
  <c r="AH41" i="2631"/>
  <c r="AH38" i="2631" s="1"/>
  <c r="CW41" i="2631"/>
  <c r="CW38" i="2631" s="1"/>
  <c r="BZ99" i="2632"/>
  <c r="H99" i="2632"/>
  <c r="CD40" i="2634"/>
  <c r="CD36" i="2634" s="1"/>
  <c r="DK40" i="2634"/>
  <c r="DK36" i="2634" s="1"/>
  <c r="AR99" i="2632"/>
  <c r="AR120" i="2632"/>
  <c r="AR119" i="2632" s="1"/>
  <c r="CV120" i="2632"/>
  <c r="CV119" i="2632" s="1"/>
  <c r="CV99" i="2632"/>
  <c r="AS120" i="2632"/>
  <c r="AS119" i="2632" s="1"/>
  <c r="AS99" i="2632"/>
  <c r="AZ40" i="2634"/>
  <c r="AZ36" i="2634" s="1"/>
  <c r="DW40" i="2634"/>
  <c r="DW36" i="2634" s="1"/>
  <c r="BX40" i="2634"/>
  <c r="BX36" i="2634" s="1"/>
  <c r="BS41" i="2631"/>
  <c r="BS38" i="2631" s="1"/>
  <c r="AP41" i="2631"/>
  <c r="AP38" i="2631" s="1"/>
  <c r="BG41" i="2631"/>
  <c r="BG38" i="2631" s="1"/>
  <c r="CC40" i="2634"/>
  <c r="CC36" i="2634" s="1"/>
  <c r="CF40" i="2634"/>
  <c r="CF36" i="2634" s="1"/>
  <c r="BW99" i="2632"/>
  <c r="BW120" i="2632"/>
  <c r="BW119" i="2632" s="1"/>
  <c r="CR99" i="2632"/>
  <c r="CR120" i="2632"/>
  <c r="CR119" i="2632" s="1"/>
  <c r="AT120" i="2632"/>
  <c r="AT119" i="2632" s="1"/>
  <c r="AT99" i="2632"/>
  <c r="CT40" i="2634"/>
  <c r="CT36" i="2634" s="1"/>
  <c r="V41" i="2631"/>
  <c r="V38" i="2631" s="1"/>
  <c r="P99" i="2632"/>
  <c r="CY99" i="2632"/>
  <c r="CL40" i="2634"/>
  <c r="CL36" i="2634" s="1"/>
  <c r="BU120" i="2632"/>
  <c r="BU119" i="2632" s="1"/>
  <c r="BU99" i="2632"/>
  <c r="DG41" i="2631"/>
  <c r="DG38" i="2631" s="1"/>
  <c r="AG40" i="2634"/>
  <c r="AG36" i="2634" s="1"/>
  <c r="CU40" i="2634"/>
  <c r="CU36" i="2634" s="1"/>
  <c r="AX40" i="2634"/>
  <c r="AX36" i="2634" s="1"/>
  <c r="CT120" i="2632"/>
  <c r="CT119" i="2632" s="1"/>
  <c r="CT99" i="2632"/>
  <c r="BL41" i="2631"/>
  <c r="BL38" i="2631" s="1"/>
  <c r="DQ40" i="2634"/>
  <c r="DQ36" i="2634" s="1"/>
  <c r="CG40" i="2634"/>
  <c r="CG36" i="2634" s="1"/>
  <c r="BW40" i="2634"/>
  <c r="BW36" i="2634" s="1"/>
  <c r="CS40" i="2634"/>
  <c r="CS36" i="2634" s="1"/>
  <c r="CH120" i="2632"/>
  <c r="CH119" i="2632" s="1"/>
  <c r="CH99" i="2632"/>
  <c r="CS120" i="2632"/>
  <c r="CS119" i="2632" s="1"/>
  <c r="CS99" i="2632"/>
  <c r="AR41" i="2631"/>
  <c r="AR38" i="2631" s="1"/>
  <c r="DS41" i="2631"/>
  <c r="DS38" i="2631" s="1"/>
  <c r="BH120" i="2632"/>
  <c r="BH119" i="2632" s="1"/>
  <c r="BH99" i="2632"/>
  <c r="BR99" i="2632"/>
  <c r="BR120" i="2632"/>
  <c r="BR119" i="2632" s="1"/>
  <c r="AG120" i="2632"/>
  <c r="AG119" i="2632" s="1"/>
  <c r="AG99" i="2632"/>
  <c r="BS120" i="2632"/>
  <c r="BS119" i="2632" s="1"/>
  <c r="BS99" i="2632"/>
  <c r="AY41" i="2631"/>
  <c r="AY38" i="2631" s="1"/>
  <c r="DJ41" i="2631"/>
  <c r="DJ38" i="2631" s="1"/>
  <c r="CC99" i="2632"/>
  <c r="BK99" i="2632"/>
  <c r="W40" i="2634"/>
  <c r="W36" i="2634" s="1"/>
  <c r="AV41" i="2631"/>
  <c r="AV38" i="2631" s="1"/>
  <c r="AU41" i="2631"/>
  <c r="AU38" i="2631" s="1"/>
  <c r="CR40" i="2634"/>
  <c r="CR36" i="2634" s="1"/>
  <c r="BS40" i="2634"/>
  <c r="BS36" i="2634" s="1"/>
  <c r="DH40" i="2634"/>
  <c r="DH36" i="2634" s="1"/>
  <c r="AJ120" i="2632"/>
  <c r="AJ119" i="2632" s="1"/>
  <c r="AJ99" i="2632"/>
  <c r="CU99" i="2632"/>
  <c r="CU120" i="2632"/>
  <c r="CU119" i="2632" s="1"/>
  <c r="CE120" i="2632"/>
  <c r="CE119" i="2632" s="1"/>
  <c r="CE99" i="2632"/>
  <c r="CF120" i="2632"/>
  <c r="CF119" i="2632" s="1"/>
  <c r="CF99" i="2632"/>
  <c r="Q120" i="2632"/>
  <c r="Q119" i="2632" s="1"/>
  <c r="Q99" i="2632"/>
  <c r="AF40" i="2634"/>
  <c r="AF36" i="2634" s="1"/>
  <c r="X41" i="2631"/>
  <c r="X38" i="2631" s="1"/>
  <c r="BK41" i="2631"/>
  <c r="BK38" i="2631" s="1"/>
  <c r="CH41" i="2631"/>
  <c r="CH38" i="2631" s="1"/>
  <c r="CL99" i="2632"/>
  <c r="BK40" i="2634"/>
  <c r="BK36" i="2634" s="1"/>
  <c r="CX40" i="2634"/>
  <c r="CX36" i="2634" s="1"/>
  <c r="BV120" i="2632"/>
  <c r="BV119" i="2632" s="1"/>
  <c r="BV99" i="2632"/>
  <c r="CG120" i="2632"/>
  <c r="CG119" i="2632" s="1"/>
  <c r="CG99" i="2632"/>
  <c r="CB99" i="2632"/>
  <c r="CB120" i="2632"/>
  <c r="CB119" i="2632" s="1"/>
  <c r="AF41" i="2631"/>
  <c r="AF38" i="2631" s="1"/>
  <c r="DM41" i="2631"/>
  <c r="DM38" i="2631" s="1"/>
  <c r="AD41" i="2631"/>
  <c r="AD38" i="2631" s="1"/>
  <c r="BH41" i="2631"/>
  <c r="BH38" i="2631" s="1"/>
  <c r="W41" i="2631"/>
  <c r="W38" i="2631" s="1"/>
  <c r="CZ41" i="2631"/>
  <c r="CZ38" i="2631" s="1"/>
  <c r="BE40" i="2634"/>
  <c r="BE36" i="2634" s="1"/>
  <c r="AU120" i="2632"/>
  <c r="AU119" i="2632" s="1"/>
  <c r="AU99" i="2632"/>
  <c r="BE99" i="2632"/>
  <c r="BE120" i="2632"/>
  <c r="BE119" i="2632" s="1"/>
  <c r="CV40" i="2634"/>
  <c r="CV36" i="2634" s="1"/>
  <c r="BF120" i="2632"/>
  <c r="BF119" i="2632" s="1"/>
  <c r="BF99" i="2632"/>
  <c r="DT40" i="2634"/>
  <c r="DT36" i="2634" s="1"/>
  <c r="AJ41" i="2631"/>
  <c r="AJ38" i="2631" s="1"/>
  <c r="CC41" i="2631"/>
  <c r="CC38" i="2631" s="1"/>
  <c r="CJ41" i="2631"/>
  <c r="BD99" i="2632"/>
  <c r="BY99" i="2632"/>
  <c r="X99" i="2632"/>
  <c r="AA25" i="2626"/>
  <c r="AA29" i="2626"/>
  <c r="AN23" i="2626"/>
  <c r="AA27" i="2626"/>
  <c r="AN33" i="2626"/>
  <c r="BA28" i="2626"/>
  <c r="AA30" i="2626"/>
  <c r="FJ7" i="2638"/>
  <c r="CN63" i="2631"/>
  <c r="CB62" i="2631"/>
  <c r="CN62" i="2631" s="1"/>
  <c r="BN69" i="2634"/>
  <c r="AN24" i="2626"/>
  <c r="BA27" i="2626"/>
  <c r="CN42" i="2635"/>
  <c r="BA41" i="2635"/>
  <c r="DN51" i="2634"/>
  <c r="DN107" i="2632"/>
  <c r="AN33" i="2628"/>
  <c r="CZ7" i="2628"/>
  <c r="CZ30" i="2628" s="1"/>
  <c r="CY7" i="2628"/>
  <c r="CY30" i="2628" s="1"/>
  <c r="AN29" i="2626"/>
  <c r="CA41" i="2635"/>
  <c r="DY42" i="2634"/>
  <c r="EA46" i="2631"/>
  <c r="EA83" i="2631"/>
  <c r="DA42" i="2629"/>
  <c r="EA7" i="2631"/>
  <c r="U93" i="2634"/>
  <c r="BX43" i="2631"/>
  <c r="AA23" i="2626"/>
  <c r="AA28" i="2626"/>
  <c r="CA60" i="2634"/>
  <c r="CN46" i="2634"/>
  <c r="BB36" i="2634"/>
  <c r="BO106" i="2632"/>
  <c r="BO121" i="2632" s="1"/>
  <c r="CA121" i="2632" s="1"/>
  <c r="DA92" i="2632"/>
  <c r="AA44" i="2632"/>
  <c r="DD43" i="2631"/>
  <c r="CN44" i="2631"/>
  <c r="BZ38" i="2631"/>
  <c r="CP43" i="2631"/>
  <c r="DN106" i="2632"/>
  <c r="EA51" i="2634"/>
  <c r="N41" i="2635"/>
  <c r="BA42" i="2634"/>
  <c r="BA40" i="2634" s="1"/>
  <c r="CP36" i="2634"/>
  <c r="CA113" i="2632"/>
  <c r="AN101" i="2632"/>
  <c r="CN44" i="2632"/>
  <c r="CA44" i="2632"/>
  <c r="AG38" i="2631"/>
  <c r="AL42" i="2634"/>
  <c r="CR43" i="2631"/>
  <c r="O38" i="2631"/>
  <c r="N7" i="2631"/>
  <c r="CA7" i="2631"/>
  <c r="CM7" i="2628"/>
  <c r="CM30" i="2628" s="1"/>
  <c r="BV43" i="2631"/>
  <c r="AA31" i="2626"/>
  <c r="AA26" i="2626"/>
  <c r="BA59" i="2634"/>
  <c r="BA7" i="2634"/>
  <c r="AN79" i="2632"/>
  <c r="CN47" i="2631"/>
  <c r="BB38" i="2631"/>
  <c r="BA42" i="2629"/>
  <c r="Z93" i="2634"/>
  <c r="Z38" i="2631"/>
  <c r="CJ7" i="2628"/>
  <c r="CJ30" i="2628" s="1"/>
  <c r="BN28" i="2626"/>
  <c r="AA41" i="2635"/>
  <c r="U36" i="2634"/>
  <c r="CG7" i="2628"/>
  <c r="CG30" i="2628" s="1"/>
  <c r="EA30" i="2626"/>
  <c r="AA42" i="2635"/>
  <c r="DA62" i="2631"/>
  <c r="BN7" i="2631"/>
  <c r="DN86" i="2632"/>
  <c r="DR43" i="2631"/>
  <c r="C43" i="2631"/>
  <c r="C41" i="2631" s="1"/>
  <c r="BA106" i="2632"/>
  <c r="DN63" i="2631"/>
  <c r="BA23" i="2631"/>
  <c r="AN25" i="2626"/>
  <c r="AN30" i="2626"/>
  <c r="N42" i="2635"/>
  <c r="BA121" i="2632"/>
  <c r="AI38" i="2631"/>
  <c r="EA83" i="2634"/>
  <c r="N69" i="2634"/>
  <c r="BA79" i="2632"/>
  <c r="EA48" i="2629"/>
  <c r="AN42" i="2629"/>
  <c r="BA41" i="2629"/>
  <c r="BN60" i="2634"/>
  <c r="DD59" i="2634"/>
  <c r="DN59" i="2634" s="1"/>
  <c r="DN60" i="2634"/>
  <c r="DN41" i="2635"/>
  <c r="DN7" i="2635"/>
  <c r="CA7" i="2635"/>
  <c r="EA60" i="2634"/>
  <c r="DA7" i="2634"/>
  <c r="AN7" i="2631"/>
  <c r="AL38" i="2631"/>
  <c r="CN8" i="2631"/>
  <c r="DN42" i="2629"/>
  <c r="N7" i="2629"/>
  <c r="BN9" i="2628"/>
  <c r="DA60" i="2634"/>
  <c r="CO59" i="2634"/>
  <c r="DA59" i="2634" s="1"/>
  <c r="N60" i="2634"/>
  <c r="B59" i="2634"/>
  <c r="B55" i="2634" s="1"/>
  <c r="AN7" i="2634"/>
  <c r="N7" i="2634"/>
  <c r="EA106" i="2632"/>
  <c r="CN122" i="2632"/>
  <c r="CN112" i="2632"/>
  <c r="DA100" i="2632"/>
  <c r="CA92" i="2632"/>
  <c r="BN43" i="2632"/>
  <c r="BN7" i="2632"/>
  <c r="BN44" i="2632"/>
  <c r="CA63" i="2631"/>
  <c r="CN80" i="2632"/>
  <c r="CH7" i="2628"/>
  <c r="CH30" i="2628" s="1"/>
  <c r="CN41" i="2629"/>
  <c r="CN7" i="2629"/>
  <c r="CN38" i="2628"/>
  <c r="N9" i="2628"/>
  <c r="BN42" i="2634"/>
  <c r="BN40" i="2634" s="1"/>
  <c r="N106" i="2632"/>
  <c r="CN121" i="2632"/>
  <c r="CN106" i="2632"/>
  <c r="BN107" i="2632"/>
  <c r="BN92" i="2632"/>
  <c r="CN86" i="2632"/>
  <c r="DA43" i="2632"/>
  <c r="CA72" i="2631"/>
  <c r="DA63" i="2631"/>
  <c r="EA43" i="2632"/>
  <c r="AN7" i="2629"/>
  <c r="AN41" i="2629"/>
  <c r="CN42" i="2629"/>
  <c r="AN9" i="2628"/>
  <c r="CA45" i="2631"/>
  <c r="CT7" i="2628"/>
  <c r="CT30" i="2628" s="1"/>
  <c r="CN41" i="2635"/>
  <c r="CN7" i="2635"/>
  <c r="EA41" i="2635"/>
  <c r="EA42" i="2635"/>
  <c r="DN46" i="2634"/>
  <c r="EA45" i="2634"/>
  <c r="DN69" i="2634"/>
  <c r="N121" i="2632"/>
  <c r="BN121" i="2632"/>
  <c r="BN106" i="2632"/>
  <c r="EA122" i="2632"/>
  <c r="AA100" i="2632"/>
  <c r="N43" i="2632"/>
  <c r="DN44" i="2632"/>
  <c r="AA43" i="2632"/>
  <c r="AA7" i="2632"/>
  <c r="CA8" i="2631"/>
  <c r="CA41" i="2629"/>
  <c r="BA33" i="2628"/>
  <c r="AN41" i="2635"/>
  <c r="AN7" i="2635"/>
  <c r="CA42" i="2635"/>
  <c r="AN42" i="2635"/>
  <c r="BA7" i="2635"/>
  <c r="AA60" i="2634"/>
  <c r="O59" i="2634"/>
  <c r="O55" i="2634" s="1"/>
  <c r="EA7" i="2635"/>
  <c r="AN42" i="2634"/>
  <c r="AN40" i="2634" s="1"/>
  <c r="BA60" i="2634"/>
  <c r="N7" i="2635"/>
  <c r="EA7" i="2634"/>
  <c r="AA122" i="2632"/>
  <c r="AA112" i="2632"/>
  <c r="AN106" i="2632"/>
  <c r="BN100" i="2632"/>
  <c r="DA86" i="2632"/>
  <c r="EA7" i="2632"/>
  <c r="DZ38" i="2631"/>
  <c r="BA7" i="2631"/>
  <c r="DO43" i="2631"/>
  <c r="DO41" i="2631" s="1"/>
  <c r="AA7" i="2631"/>
  <c r="BA48" i="2629"/>
  <c r="DA8" i="2631"/>
  <c r="CA7" i="2629"/>
  <c r="BO93" i="2634"/>
  <c r="CA59" i="2634"/>
  <c r="BC35" i="2634"/>
  <c r="BC36" i="2634" s="1"/>
  <c r="BN7" i="2634"/>
  <c r="BN7" i="2635"/>
  <c r="DA46" i="2634"/>
  <c r="EA53" i="2634"/>
  <c r="N122" i="2632"/>
  <c r="N112" i="2632"/>
  <c r="DA122" i="2632"/>
  <c r="DA112" i="2632"/>
  <c r="EA86" i="2632"/>
  <c r="DA107" i="2632"/>
  <c r="CO106" i="2632"/>
  <c r="CO121" i="2632" s="1"/>
  <c r="AN100" i="2632"/>
  <c r="DA44" i="2631"/>
  <c r="CO43" i="2631"/>
  <c r="CO41" i="2631" s="1"/>
  <c r="BN41" i="2629"/>
  <c r="BN7" i="2629"/>
  <c r="CN92" i="2632"/>
  <c r="N80" i="2632"/>
  <c r="N79" i="2632"/>
  <c r="BO62" i="2631"/>
  <c r="CA62" i="2631" s="1"/>
  <c r="DA7" i="2635"/>
  <c r="DN42" i="2635"/>
  <c r="BN41" i="2635"/>
  <c r="CN60" i="2634"/>
  <c r="BB93" i="2634"/>
  <c r="BN59" i="2634"/>
  <c r="DB35" i="2634"/>
  <c r="DN7" i="2634"/>
  <c r="AA106" i="2632"/>
  <c r="AA80" i="2632"/>
  <c r="AA79" i="2632"/>
  <c r="AN80" i="2632"/>
  <c r="CN7" i="2632"/>
  <c r="N7" i="2632"/>
  <c r="DN62" i="2631"/>
  <c r="CA47" i="2631"/>
  <c r="DQ21" i="2629"/>
  <c r="DQ55" i="2629" s="1"/>
  <c r="EA42" i="2629"/>
  <c r="DN44" i="2631"/>
  <c r="BA9" i="2628"/>
  <c r="CU7" i="2628"/>
  <c r="CU30" i="2628" s="1"/>
  <c r="BA7" i="2629"/>
  <c r="DA9" i="2628"/>
  <c r="CO7" i="2628"/>
  <c r="CO30" i="2628" s="1"/>
  <c r="BA43" i="2632"/>
  <c r="BA7" i="2632"/>
  <c r="DA42" i="2635"/>
  <c r="BN42" i="2635"/>
  <c r="CA69" i="2634"/>
  <c r="CN83" i="2634"/>
  <c r="CB59" i="2634"/>
  <c r="CN59" i="2634" s="1"/>
  <c r="O36" i="2634"/>
  <c r="CA7" i="2634"/>
  <c r="N100" i="2632"/>
  <c r="EA121" i="2632"/>
  <c r="BN86" i="2632"/>
  <c r="DA80" i="2632"/>
  <c r="DN7" i="2632"/>
  <c r="DN43" i="2632"/>
  <c r="EA80" i="2632"/>
  <c r="BN80" i="2632"/>
  <c r="CA80" i="2632"/>
  <c r="BA72" i="2631"/>
  <c r="CA42" i="2629"/>
  <c r="DN46" i="2631"/>
  <c r="AA33" i="2628"/>
  <c r="BN38" i="2628"/>
  <c r="DA38" i="2628"/>
  <c r="DY59" i="2634"/>
  <c r="EA46" i="2634"/>
  <c r="W93" i="2634"/>
  <c r="BN122" i="2632"/>
  <c r="BN112" i="2632"/>
  <c r="DA7" i="2632"/>
  <c r="AN63" i="2631"/>
  <c r="AB62" i="2631"/>
  <c r="BE38" i="2631"/>
  <c r="DA41" i="2629"/>
  <c r="DA7" i="2629"/>
  <c r="AA42" i="2629"/>
  <c r="CA9" i="2628"/>
  <c r="DN9" i="2628"/>
  <c r="AA121" i="2632"/>
  <c r="EA100" i="2632"/>
  <c r="O62" i="2631"/>
  <c r="AA63" i="2631"/>
  <c r="BA63" i="2631"/>
  <c r="AO62" i="2631"/>
  <c r="EA69" i="2634"/>
  <c r="AA7" i="2635"/>
  <c r="AC42" i="2634"/>
  <c r="AC59" i="2634"/>
  <c r="DP36" i="2634"/>
  <c r="EA42" i="2634"/>
  <c r="EA112" i="2632"/>
  <c r="CA122" i="2632"/>
  <c r="CA112" i="2632"/>
  <c r="BA80" i="2632"/>
  <c r="DP43" i="2631"/>
  <c r="CB37" i="2631"/>
  <c r="BN63" i="2631"/>
  <c r="BB62" i="2631"/>
  <c r="BN72" i="2631"/>
  <c r="CN46" i="2631"/>
  <c r="DA46" i="2631"/>
  <c r="DN41" i="2629"/>
  <c r="DN7" i="2629"/>
  <c r="AA7" i="2629"/>
  <c r="AA41" i="2629"/>
  <c r="CI7" i="2628"/>
  <c r="CI30" i="2628" s="1"/>
  <c r="DN32" i="2628"/>
  <c r="EA23" i="2626"/>
  <c r="BA26" i="2626"/>
  <c r="BA33" i="2626"/>
  <c r="BA25" i="2626"/>
  <c r="BA31" i="2626"/>
  <c r="BA24" i="2626"/>
  <c r="BA30" i="2626"/>
  <c r="BA23" i="2626"/>
  <c r="BA29" i="2626"/>
  <c r="FA9" i="1720"/>
  <c r="CY38" i="2631" l="1"/>
  <c r="AA32" i="2628"/>
  <c r="AA30" i="2628"/>
  <c r="BA32" i="2628"/>
  <c r="DA7" i="2631"/>
  <c r="CN7" i="2631"/>
  <c r="CX38" i="2631"/>
  <c r="AN119" i="2632"/>
  <c r="CN119" i="2632"/>
  <c r="BN119" i="2632"/>
  <c r="N119" i="2632"/>
  <c r="CO119" i="2632"/>
  <c r="DA119" i="2632" s="1"/>
  <c r="AA119" i="2632"/>
  <c r="BO119" i="2632"/>
  <c r="CA119" i="2632" s="1"/>
  <c r="DN100" i="2632"/>
  <c r="CA100" i="2632"/>
  <c r="BX99" i="2632"/>
  <c r="AZ99" i="2632"/>
  <c r="BA99" i="2632" s="1"/>
  <c r="AZ120" i="2632"/>
  <c r="AZ119" i="2632" s="1"/>
  <c r="BA119" i="2632" s="1"/>
  <c r="EA117" i="2632"/>
  <c r="CM99" i="2632"/>
  <c r="CN99" i="2632" s="1"/>
  <c r="EA79" i="2632"/>
  <c r="EA105" i="2632"/>
  <c r="DQ53" i="2629"/>
  <c r="CN79" i="2632"/>
  <c r="CA106" i="2632"/>
  <c r="DQ7" i="2629"/>
  <c r="DR19" i="2629"/>
  <c r="DQ20" i="2629"/>
  <c r="DR20" i="2629" s="1"/>
  <c r="DR54" i="2629" s="1"/>
  <c r="CA79" i="2632"/>
  <c r="N63" i="2631"/>
  <c r="CD37" i="2631"/>
  <c r="CD38" i="2631" s="1"/>
  <c r="CM38" i="2631"/>
  <c r="CI38" i="2631"/>
  <c r="CJ38" i="2631"/>
  <c r="BY38" i="2631"/>
  <c r="CS38" i="2631"/>
  <c r="EA63" i="2631"/>
  <c r="CN100" i="2632"/>
  <c r="CE38" i="2631"/>
  <c r="CF38" i="2631"/>
  <c r="CL38" i="2631"/>
  <c r="DP41" i="2631"/>
  <c r="DP38" i="2631" s="1"/>
  <c r="CP41" i="2631"/>
  <c r="CP38" i="2631" s="1"/>
  <c r="DY40" i="2634"/>
  <c r="DY36" i="2634" s="1"/>
  <c r="DD41" i="2631"/>
  <c r="DD38" i="2631" s="1"/>
  <c r="AC40" i="2634"/>
  <c r="AC36" i="2634" s="1"/>
  <c r="CR41" i="2631"/>
  <c r="CR38" i="2631" s="1"/>
  <c r="BV41" i="2631"/>
  <c r="BV38" i="2631" s="1"/>
  <c r="AL40" i="2634"/>
  <c r="AL36" i="2634" s="1"/>
  <c r="CA43" i="2631"/>
  <c r="BX41" i="2631"/>
  <c r="BX38" i="2631" s="1"/>
  <c r="BO99" i="2632"/>
  <c r="CO99" i="2632"/>
  <c r="DA99" i="2632" s="1"/>
  <c r="DR41" i="2631"/>
  <c r="DR38" i="2631" s="1"/>
  <c r="EA111" i="2632"/>
  <c r="DA79" i="2632"/>
  <c r="CA51" i="2634"/>
  <c r="EA62" i="2631"/>
  <c r="BN79" i="2632"/>
  <c r="DR21" i="2629"/>
  <c r="DR55" i="2629" s="1"/>
  <c r="DA45" i="2631"/>
  <c r="DN120" i="2632"/>
  <c r="O93" i="2631"/>
  <c r="AA62" i="2631"/>
  <c r="AB93" i="2631"/>
  <c r="AN62" i="2631"/>
  <c r="CN32" i="2628"/>
  <c r="BO38" i="2631"/>
  <c r="EA45" i="2631"/>
  <c r="CN120" i="2632"/>
  <c r="DN45" i="2634"/>
  <c r="DB42" i="2634"/>
  <c r="DB40" i="2634" s="1"/>
  <c r="DN115" i="2632"/>
  <c r="DN95" i="2632"/>
  <c r="DA30" i="2628"/>
  <c r="DA7" i="2628"/>
  <c r="AA7" i="2628"/>
  <c r="DA43" i="2631"/>
  <c r="AN32" i="2628"/>
  <c r="CN45" i="2631"/>
  <c r="CB43" i="2631"/>
  <c r="CB41" i="2631" s="1"/>
  <c r="DN45" i="2631"/>
  <c r="DB43" i="2631"/>
  <c r="DB41" i="2631" s="1"/>
  <c r="CA30" i="2628"/>
  <c r="CA7" i="2628"/>
  <c r="O93" i="2634"/>
  <c r="AA59" i="2634"/>
  <c r="AA55" i="2634" s="1"/>
  <c r="AN7" i="2628"/>
  <c r="AN30" i="2628"/>
  <c r="BA30" i="2628"/>
  <c r="EA99" i="2632"/>
  <c r="BA7" i="2628"/>
  <c r="EA120" i="2632"/>
  <c r="N99" i="2632"/>
  <c r="CN51" i="2634"/>
  <c r="DA32" i="2628"/>
  <c r="CA32" i="2628"/>
  <c r="DO36" i="2634"/>
  <c r="DN116" i="2632"/>
  <c r="DN96" i="2632"/>
  <c r="N120" i="2632"/>
  <c r="AN99" i="2632"/>
  <c r="BN99" i="2632"/>
  <c r="AA99" i="2632"/>
  <c r="BN32" i="2628"/>
  <c r="AN120" i="2632"/>
  <c r="DA45" i="2634"/>
  <c r="CO42" i="2634"/>
  <c r="CO40" i="2634" s="1"/>
  <c r="BN120" i="2632"/>
  <c r="AA120" i="2632"/>
  <c r="BN7" i="2628"/>
  <c r="BN30" i="2628"/>
  <c r="DN114" i="2632"/>
  <c r="DN94" i="2632"/>
  <c r="BB93" i="2631"/>
  <c r="BN62" i="2631"/>
  <c r="DN117" i="2632"/>
  <c r="DN97" i="2632"/>
  <c r="DA121" i="2632"/>
  <c r="DA106" i="2632"/>
  <c r="N30" i="2628"/>
  <c r="N7" i="2628"/>
  <c r="AC93" i="2634"/>
  <c r="AN59" i="2634"/>
  <c r="N32" i="2628"/>
  <c r="AO93" i="2631"/>
  <c r="BA62" i="2631"/>
  <c r="CA120" i="2632"/>
  <c r="EA59" i="2634"/>
  <c r="DN93" i="2632"/>
  <c r="CN30" i="2628"/>
  <c r="CN7" i="2628"/>
  <c r="EA43" i="2631"/>
  <c r="DA120" i="2632"/>
  <c r="N59" i="2634"/>
  <c r="N55" i="2634" s="1"/>
  <c r="FF13" i="2074"/>
  <c r="FE13" i="2074"/>
  <c r="FC13" i="2074"/>
  <c r="FF12" i="2074"/>
  <c r="FE12" i="2074"/>
  <c r="FC12" i="2074"/>
  <c r="FD10" i="2074"/>
  <c r="FC10" i="2074"/>
  <c r="FF9" i="2074"/>
  <c r="FD9" i="2074" s="1"/>
  <c r="FE9" i="2074"/>
  <c r="FC9" i="2074"/>
  <c r="FF8" i="2074"/>
  <c r="FE8" i="2074"/>
  <c r="FC8" i="2074"/>
  <c r="FC5" i="2074"/>
  <c r="EA119" i="2632" l="1"/>
  <c r="CA99" i="2632"/>
  <c r="BA120" i="2632"/>
  <c r="DQ54" i="2629"/>
  <c r="DS19" i="2629"/>
  <c r="DR7" i="2629"/>
  <c r="DR53" i="2629"/>
  <c r="DQ41" i="2629"/>
  <c r="DS21" i="2629"/>
  <c r="DS55" i="2629" s="1"/>
  <c r="DS53" i="2629"/>
  <c r="DS7" i="2629"/>
  <c r="DS20" i="2629"/>
  <c r="DS54" i="2629" s="1"/>
  <c r="FD8" i="2074"/>
  <c r="CA41" i="2631"/>
  <c r="EA40" i="2634"/>
  <c r="BO42" i="2634"/>
  <c r="BO40" i="2634" s="1"/>
  <c r="CA45" i="2634"/>
  <c r="FD12" i="2074"/>
  <c r="FD13" i="2074"/>
  <c r="DN121" i="2632"/>
  <c r="DA42" i="2634"/>
  <c r="DN43" i="2631"/>
  <c r="CB42" i="2634"/>
  <c r="CB40" i="2634" s="1"/>
  <c r="CN45" i="2634"/>
  <c r="EA41" i="2631"/>
  <c r="DO38" i="2631"/>
  <c r="DA41" i="2631"/>
  <c r="CO38" i="2631"/>
  <c r="CN43" i="2631"/>
  <c r="DN79" i="2632"/>
  <c r="DN92" i="2632"/>
  <c r="DN113" i="2632"/>
  <c r="DT21" i="2629"/>
  <c r="DT55" i="2629" s="1"/>
  <c r="DN42" i="2634"/>
  <c r="FF47" i="2083"/>
  <c r="FE47" i="2083"/>
  <c r="FC47" i="2083"/>
  <c r="FF46" i="2083"/>
  <c r="FE46" i="2083"/>
  <c r="FC46" i="2083"/>
  <c r="FF45" i="2083"/>
  <c r="FE45" i="2083"/>
  <c r="FC45" i="2083"/>
  <c r="FF44" i="2083"/>
  <c r="FE44" i="2083"/>
  <c r="FC44" i="2083"/>
  <c r="FF35" i="2083"/>
  <c r="FE35" i="2083"/>
  <c r="FC35" i="2083"/>
  <c r="FF34" i="2083"/>
  <c r="FE34" i="2083"/>
  <c r="FC34" i="2083"/>
  <c r="FF33" i="2083"/>
  <c r="FE33" i="2083"/>
  <c r="FC33" i="2083"/>
  <c r="FF32" i="2083"/>
  <c r="FE32" i="2083"/>
  <c r="FC32" i="2083"/>
  <c r="FF22" i="2083"/>
  <c r="FE22" i="2083"/>
  <c r="FC22" i="2083"/>
  <c r="DT19" i="2629" l="1"/>
  <c r="DU19" i="2629"/>
  <c r="DT20" i="2629"/>
  <c r="DT54" i="2629" s="1"/>
  <c r="DV19" i="2629"/>
  <c r="DV53" i="2629" s="1"/>
  <c r="DR41" i="2629"/>
  <c r="DS41" i="2629"/>
  <c r="DU21" i="2629"/>
  <c r="DU55" i="2629" s="1"/>
  <c r="FD45" i="2083"/>
  <c r="FD44" i="2083"/>
  <c r="FD47" i="2083"/>
  <c r="DU53" i="2629"/>
  <c r="DU7" i="2629"/>
  <c r="DN119" i="2632"/>
  <c r="DN99" i="2632"/>
  <c r="FD34" i="2083"/>
  <c r="FD33" i="2083"/>
  <c r="FD22" i="2083"/>
  <c r="CA42" i="2634"/>
  <c r="FD35" i="2083"/>
  <c r="FD32" i="2083"/>
  <c r="DN41" i="2631"/>
  <c r="DB38" i="2631"/>
  <c r="CB38" i="2631"/>
  <c r="CN41" i="2631"/>
  <c r="DN112" i="2632"/>
  <c r="CO36" i="2634"/>
  <c r="DA40" i="2634"/>
  <c r="CN42" i="2634"/>
  <c r="DB36" i="2634"/>
  <c r="DN40" i="2634"/>
  <c r="FD46" i="2083"/>
  <c r="FF67" i="1720"/>
  <c r="FE67" i="1720"/>
  <c r="FC67" i="1720"/>
  <c r="FF66" i="1720"/>
  <c r="FE66" i="1720"/>
  <c r="FC66" i="1720"/>
  <c r="FF63" i="1720"/>
  <c r="FE63" i="1720"/>
  <c r="FC63" i="1720"/>
  <c r="FF64" i="1720"/>
  <c r="FE64" i="1720"/>
  <c r="FC64" i="1720"/>
  <c r="FF62" i="1720"/>
  <c r="FE62" i="1720"/>
  <c r="FC62" i="1720"/>
  <c r="FF65" i="1720"/>
  <c r="FE65" i="1720"/>
  <c r="FC65" i="1720"/>
  <c r="FF61" i="1720"/>
  <c r="FE61" i="1720"/>
  <c r="FC61" i="1720"/>
  <c r="FA67" i="1720"/>
  <c r="FA66" i="1720"/>
  <c r="FA63" i="1720"/>
  <c r="FA64" i="1720"/>
  <c r="FA62" i="1720"/>
  <c r="FA65" i="1720"/>
  <c r="FA61" i="1720"/>
  <c r="DW19" i="2629" l="1"/>
  <c r="DU20" i="2629"/>
  <c r="DU54" i="2629" s="1"/>
  <c r="DV7" i="2629"/>
  <c r="DV41" i="2629" s="1"/>
  <c r="DT53" i="2629"/>
  <c r="DT7" i="2629"/>
  <c r="DT41" i="2629" s="1"/>
  <c r="DV21" i="2629"/>
  <c r="DV55" i="2629" s="1"/>
  <c r="DU41" i="2629"/>
  <c r="FD67" i="1720"/>
  <c r="FD66" i="1720"/>
  <c r="FD62" i="1720"/>
  <c r="FD61" i="1720"/>
  <c r="DW53" i="2629"/>
  <c r="DW7" i="2629"/>
  <c r="DV20" i="2629"/>
  <c r="DV54" i="2629" s="1"/>
  <c r="FD65" i="1720"/>
  <c r="CA40" i="2634"/>
  <c r="BO36" i="2634"/>
  <c r="DW21" i="2629"/>
  <c r="DW55" i="2629" s="1"/>
  <c r="FD64" i="1720"/>
  <c r="FD63" i="1720"/>
  <c r="DN122" i="2632"/>
  <c r="DX19" i="2629"/>
  <c r="CN40" i="2634"/>
  <c r="CB36" i="2634"/>
  <c r="DW41" i="2629" l="1"/>
  <c r="DX21" i="2629"/>
  <c r="DX55" i="2629" s="1"/>
  <c r="DX53" i="2629"/>
  <c r="DX7" i="2629"/>
  <c r="DW20" i="2629"/>
  <c r="DW54" i="2629" s="1"/>
  <c r="DX20" i="2629"/>
  <c r="DX54" i="2629" s="1"/>
  <c r="DY19" i="2629"/>
  <c r="DY21" i="2629" l="1"/>
  <c r="DZ21" i="2629" s="1"/>
  <c r="DY55" i="2629"/>
  <c r="DX41" i="2629"/>
  <c r="DY53" i="2629"/>
  <c r="DY7" i="2629"/>
  <c r="DY20" i="2629"/>
  <c r="DZ19" i="2629"/>
  <c r="DG45" i="822"/>
  <c r="DU44" i="822"/>
  <c r="DT44" i="822"/>
  <c r="DI44" i="822"/>
  <c r="DH44" i="822"/>
  <c r="CW44" i="822"/>
  <c r="CV44" i="822"/>
  <c r="CK44" i="822"/>
  <c r="CY43" i="822"/>
  <c r="CM43" i="822"/>
  <c r="CL43" i="822"/>
  <c r="A37" i="822"/>
  <c r="DZ31" i="822"/>
  <c r="DY31" i="822"/>
  <c r="DY44" i="822" s="1"/>
  <c r="DW31" i="822"/>
  <c r="DW44" i="822" s="1"/>
  <c r="DM31" i="822"/>
  <c r="DK31" i="822"/>
  <c r="DK44" i="822" s="1"/>
  <c r="DA31" i="822"/>
  <c r="DA44" i="822" s="1"/>
  <c r="CY31" i="822"/>
  <c r="CY44" i="822" s="1"/>
  <c r="CO31" i="822"/>
  <c r="CM31" i="822"/>
  <c r="CM44" i="822" s="1"/>
  <c r="CD31" i="822"/>
  <c r="CC31" i="822"/>
  <c r="CA31" i="822"/>
  <c r="EF29" i="822"/>
  <c r="EF43" i="822" s="1"/>
  <c r="EE29" i="822"/>
  <c r="ED29" i="822"/>
  <c r="DT29" i="822"/>
  <c r="DT43" i="822" s="1"/>
  <c r="DS29" i="822"/>
  <c r="DS43" i="822" s="1"/>
  <c r="DR29" i="822"/>
  <c r="DH29" i="822"/>
  <c r="DH43" i="822" s="1"/>
  <c r="DG29" i="822"/>
  <c r="DF29" i="822"/>
  <c r="DF43" i="822" s="1"/>
  <c r="CV29" i="822"/>
  <c r="CV43" i="822" s="1"/>
  <c r="CU29" i="822"/>
  <c r="CU43" i="822" s="1"/>
  <c r="CT29" i="822"/>
  <c r="CJ29" i="822"/>
  <c r="CI29" i="822"/>
  <c r="CH29" i="822"/>
  <c r="BX29" i="822"/>
  <c r="BW29" i="822"/>
  <c r="BV29" i="822"/>
  <c r="DW27" i="822"/>
  <c r="DK27" i="822"/>
  <c r="CZ27" i="822"/>
  <c r="A22" i="822"/>
  <c r="EJ17" i="822"/>
  <c r="EI17" i="822"/>
  <c r="EJ16" i="822"/>
  <c r="EI16" i="822"/>
  <c r="EJ15" i="822"/>
  <c r="EI15" i="822"/>
  <c r="EJ14" i="822"/>
  <c r="EH14" i="822"/>
  <c r="EH31" i="822" s="1"/>
  <c r="EG14" i="822"/>
  <c r="EG31" i="822" s="1"/>
  <c r="EG44" i="822" s="1"/>
  <c r="EF14" i="822"/>
  <c r="EF31" i="822" s="1"/>
  <c r="EF44" i="822" s="1"/>
  <c r="EE14" i="822"/>
  <c r="EE31" i="822" s="1"/>
  <c r="ED14" i="822"/>
  <c r="ED31" i="822" s="1"/>
  <c r="EC14" i="822"/>
  <c r="EC31" i="822" s="1"/>
  <c r="EB14" i="822"/>
  <c r="EB31" i="822" s="1"/>
  <c r="EA14" i="822"/>
  <c r="DZ14" i="822"/>
  <c r="DY14" i="822"/>
  <c r="DX14" i="822"/>
  <c r="DX31" i="822" s="1"/>
  <c r="DW14" i="822"/>
  <c r="DV14" i="822"/>
  <c r="DV31" i="822" s="1"/>
  <c r="DU14" i="822"/>
  <c r="DU31" i="822" s="1"/>
  <c r="DT14" i="822"/>
  <c r="DT31" i="822" s="1"/>
  <c r="DS14" i="822"/>
  <c r="DS31" i="822" s="1"/>
  <c r="DR14" i="822"/>
  <c r="DR31" i="822" s="1"/>
  <c r="DQ14" i="822"/>
  <c r="DQ31" i="822" s="1"/>
  <c r="DP14" i="822"/>
  <c r="DP31" i="822" s="1"/>
  <c r="DO14" i="822"/>
  <c r="DN14" i="822"/>
  <c r="DN31" i="822" s="1"/>
  <c r="DM14" i="822"/>
  <c r="DL14" i="822"/>
  <c r="DL31" i="822" s="1"/>
  <c r="DK14" i="822"/>
  <c r="DJ14" i="822"/>
  <c r="DJ31" i="822" s="1"/>
  <c r="DI14" i="822"/>
  <c r="DI31" i="822" s="1"/>
  <c r="DH14" i="822"/>
  <c r="DH31" i="822" s="1"/>
  <c r="DG14" i="822"/>
  <c r="DG31" i="822" s="1"/>
  <c r="DF14" i="822"/>
  <c r="DF31" i="822" s="1"/>
  <c r="DE14" i="822"/>
  <c r="DE31" i="822" s="1"/>
  <c r="DD14" i="822"/>
  <c r="DD31" i="822" s="1"/>
  <c r="DC14" i="822"/>
  <c r="DB14" i="822"/>
  <c r="DB31" i="822" s="1"/>
  <c r="DA14" i="822"/>
  <c r="CZ14" i="822"/>
  <c r="CZ31" i="822" s="1"/>
  <c r="CY14" i="822"/>
  <c r="CX14" i="822"/>
  <c r="CX31" i="822" s="1"/>
  <c r="CW14" i="822"/>
  <c r="CW31" i="822" s="1"/>
  <c r="CV14" i="822"/>
  <c r="CV31" i="822" s="1"/>
  <c r="CU14" i="822"/>
  <c r="CU31" i="822" s="1"/>
  <c r="CT14" i="822"/>
  <c r="CT31" i="822" s="1"/>
  <c r="CS14" i="822"/>
  <c r="CS31" i="822" s="1"/>
  <c r="CR14" i="822"/>
  <c r="CR31" i="822" s="1"/>
  <c r="CQ14" i="822"/>
  <c r="CP14" i="822"/>
  <c r="CP31" i="822" s="1"/>
  <c r="CO14" i="822"/>
  <c r="CN14" i="822"/>
  <c r="CN31" i="822" s="1"/>
  <c r="CM14" i="822"/>
  <c r="CL14" i="822"/>
  <c r="CL31" i="822" s="1"/>
  <c r="CK14" i="822"/>
  <c r="CK31" i="822" s="1"/>
  <c r="CJ14" i="822"/>
  <c r="CJ31" i="822" s="1"/>
  <c r="CI14" i="822"/>
  <c r="CI31" i="822" s="1"/>
  <c r="CH14" i="822"/>
  <c r="CH31" i="822" s="1"/>
  <c r="CG14" i="822"/>
  <c r="CG31" i="822" s="1"/>
  <c r="CF14" i="822"/>
  <c r="CF31" i="822" s="1"/>
  <c r="CE14" i="822"/>
  <c r="CD14" i="822"/>
  <c r="CC14" i="822"/>
  <c r="CB14" i="822"/>
  <c r="CB31" i="822" s="1"/>
  <c r="CA14" i="822"/>
  <c r="BZ14" i="822"/>
  <c r="BZ31" i="822" s="1"/>
  <c r="BY14" i="822"/>
  <c r="BY31" i="822" s="1"/>
  <c r="BX14" i="822"/>
  <c r="BX31" i="822" s="1"/>
  <c r="BW14" i="822"/>
  <c r="BW31" i="822" s="1"/>
  <c r="BV14" i="822"/>
  <c r="BV31" i="822" s="1"/>
  <c r="BU14" i="822"/>
  <c r="BT14" i="822"/>
  <c r="BS14" i="822"/>
  <c r="BS7" i="822" s="1"/>
  <c r="BR14" i="822"/>
  <c r="BQ14" i="822"/>
  <c r="BP14" i="822"/>
  <c r="BO14" i="822"/>
  <c r="BN14" i="822"/>
  <c r="BM14" i="822"/>
  <c r="BL14" i="822"/>
  <c r="BK14" i="822"/>
  <c r="BJ14" i="822"/>
  <c r="BI14" i="822"/>
  <c r="BH14" i="822"/>
  <c r="BG14" i="822"/>
  <c r="BG7" i="822" s="1"/>
  <c r="BF14" i="822"/>
  <c r="BE14" i="822"/>
  <c r="BD14" i="822"/>
  <c r="BC14" i="822"/>
  <c r="BB14" i="822"/>
  <c r="BA14" i="822"/>
  <c r="AZ14" i="822"/>
  <c r="AY14" i="822"/>
  <c r="AX14" i="822"/>
  <c r="AW14" i="822"/>
  <c r="AV14" i="822"/>
  <c r="AU14" i="822"/>
  <c r="AU7" i="822" s="1"/>
  <c r="AT14" i="822"/>
  <c r="AS14" i="822"/>
  <c r="AR14" i="822"/>
  <c r="AQ14" i="822"/>
  <c r="AP14" i="822"/>
  <c r="AO14" i="822"/>
  <c r="AN14" i="822"/>
  <c r="AM14" i="822"/>
  <c r="AL14" i="822"/>
  <c r="AK14" i="822"/>
  <c r="AJ14" i="822"/>
  <c r="AI14" i="822"/>
  <c r="AI7" i="822" s="1"/>
  <c r="AH14" i="822"/>
  <c r="AG14" i="822"/>
  <c r="AF14" i="822"/>
  <c r="AE14" i="822"/>
  <c r="AD14" i="822"/>
  <c r="AC14" i="822"/>
  <c r="AB14" i="822"/>
  <c r="AA14" i="822"/>
  <c r="Z14" i="822"/>
  <c r="Y14" i="822"/>
  <c r="X14" i="822"/>
  <c r="W14" i="822"/>
  <c r="W7" i="822" s="1"/>
  <c r="V14" i="822"/>
  <c r="U14" i="822"/>
  <c r="T14" i="822"/>
  <c r="S14" i="822"/>
  <c r="R14" i="822"/>
  <c r="Q14" i="822"/>
  <c r="P14" i="822"/>
  <c r="O14" i="822"/>
  <c r="N14" i="822"/>
  <c r="M14" i="822"/>
  <c r="L14" i="822"/>
  <c r="K14" i="822"/>
  <c r="K7" i="822" s="1"/>
  <c r="J14" i="822"/>
  <c r="I14" i="822"/>
  <c r="H14" i="822"/>
  <c r="G14" i="822"/>
  <c r="F14" i="822"/>
  <c r="E14" i="822"/>
  <c r="D14" i="822"/>
  <c r="C14" i="822"/>
  <c r="B14" i="822"/>
  <c r="EJ12" i="822"/>
  <c r="EI12" i="822"/>
  <c r="EJ11" i="822"/>
  <c r="EI11" i="822"/>
  <c r="EJ10" i="822"/>
  <c r="EI10" i="822"/>
  <c r="DM10" i="822"/>
  <c r="EH9" i="822"/>
  <c r="EJ9" i="822" s="1"/>
  <c r="EG9" i="822"/>
  <c r="EG29" i="822" s="1"/>
  <c r="EF9" i="822"/>
  <c r="EE9" i="822"/>
  <c r="ED9" i="822"/>
  <c r="ED7" i="822" s="1"/>
  <c r="ED27" i="822" s="1"/>
  <c r="EC9" i="822"/>
  <c r="EB9" i="822"/>
  <c r="EA9" i="822"/>
  <c r="EA29" i="822" s="1"/>
  <c r="DZ9" i="822"/>
  <c r="DZ29" i="822" s="1"/>
  <c r="DY9" i="822"/>
  <c r="DY29" i="822" s="1"/>
  <c r="DX9" i="822"/>
  <c r="DX29" i="822" s="1"/>
  <c r="DW9" i="822"/>
  <c r="DW29" i="822" s="1"/>
  <c r="DW43" i="822" s="1"/>
  <c r="DV9" i="822"/>
  <c r="DV29" i="822" s="1"/>
  <c r="DV43" i="822" s="1"/>
  <c r="DU9" i="822"/>
  <c r="DU29" i="822" s="1"/>
  <c r="DT9" i="822"/>
  <c r="DS9" i="822"/>
  <c r="DR9" i="822"/>
  <c r="DR7" i="822" s="1"/>
  <c r="DR27" i="822" s="1"/>
  <c r="DR45" i="822" s="1"/>
  <c r="DQ9" i="822"/>
  <c r="DP9" i="822"/>
  <c r="DO9" i="822"/>
  <c r="DO29" i="822" s="1"/>
  <c r="DN9" i="822"/>
  <c r="DN29" i="822" s="1"/>
  <c r="DM9" i="822"/>
  <c r="DM29" i="822" s="1"/>
  <c r="DL9" i="822"/>
  <c r="DL29" i="822" s="1"/>
  <c r="DK9" i="822"/>
  <c r="DK29" i="822" s="1"/>
  <c r="DK43" i="822" s="1"/>
  <c r="DJ9" i="822"/>
  <c r="DJ29" i="822" s="1"/>
  <c r="DJ43" i="822" s="1"/>
  <c r="DI9" i="822"/>
  <c r="DI29" i="822" s="1"/>
  <c r="DH9" i="822"/>
  <c r="DG9" i="822"/>
  <c r="DF9" i="822"/>
  <c r="DF7" i="822" s="1"/>
  <c r="DF27" i="822" s="1"/>
  <c r="DE9" i="822"/>
  <c r="DD9" i="822"/>
  <c r="DC9" i="822"/>
  <c r="DC29" i="822" s="1"/>
  <c r="DB9" i="822"/>
  <c r="DB29" i="822" s="1"/>
  <c r="DA9" i="822"/>
  <c r="DA29" i="822" s="1"/>
  <c r="CZ9" i="822"/>
  <c r="CZ29" i="822" s="1"/>
  <c r="CY9" i="822"/>
  <c r="CY29" i="822" s="1"/>
  <c r="CX9" i="822"/>
  <c r="CX29" i="822" s="1"/>
  <c r="CW9" i="822"/>
  <c r="CW29" i="822" s="1"/>
  <c r="CV9" i="822"/>
  <c r="CU9" i="822"/>
  <c r="CT9" i="822"/>
  <c r="CT7" i="822" s="1"/>
  <c r="CT27" i="822" s="1"/>
  <c r="CS9" i="822"/>
  <c r="CR9" i="822"/>
  <c r="CQ9" i="822"/>
  <c r="CQ29" i="822" s="1"/>
  <c r="CP9" i="822"/>
  <c r="CP29" i="822" s="1"/>
  <c r="CO9" i="822"/>
  <c r="CO29" i="822" s="1"/>
  <c r="CN9" i="822"/>
  <c r="CN29" i="822" s="1"/>
  <c r="CM9" i="822"/>
  <c r="CM29" i="822" s="1"/>
  <c r="CL9" i="822"/>
  <c r="CL29" i="822" s="1"/>
  <c r="CX43" i="822" s="1"/>
  <c r="CK9" i="822"/>
  <c r="CK29" i="822" s="1"/>
  <c r="CJ9" i="822"/>
  <c r="CI9" i="822"/>
  <c r="CH9" i="822"/>
  <c r="CH7" i="822" s="1"/>
  <c r="CH27" i="822" s="1"/>
  <c r="CG9" i="822"/>
  <c r="CF9" i="822"/>
  <c r="CE9" i="822"/>
  <c r="CE29" i="822" s="1"/>
  <c r="CD9" i="822"/>
  <c r="CD29" i="822" s="1"/>
  <c r="CC9" i="822"/>
  <c r="CC29" i="822" s="1"/>
  <c r="CB9" i="822"/>
  <c r="CB29" i="822" s="1"/>
  <c r="CA9" i="822"/>
  <c r="CA29" i="822" s="1"/>
  <c r="BZ9" i="822"/>
  <c r="BZ29" i="822" s="1"/>
  <c r="BY9" i="822"/>
  <c r="BY29" i="822" s="1"/>
  <c r="BX9" i="822"/>
  <c r="BW9" i="822"/>
  <c r="BV9" i="822"/>
  <c r="BV7" i="822" s="1"/>
  <c r="BV27" i="822" s="1"/>
  <c r="BU9" i="822"/>
  <c r="BU7" i="822" s="1"/>
  <c r="BT9" i="822"/>
  <c r="BT7" i="822" s="1"/>
  <c r="BS9" i="822"/>
  <c r="BR9" i="822"/>
  <c r="BR7" i="822" s="1"/>
  <c r="BQ9" i="822"/>
  <c r="BP9" i="822"/>
  <c r="BO9" i="822"/>
  <c r="BN9" i="822"/>
  <c r="BM9" i="822"/>
  <c r="BL9" i="822"/>
  <c r="BK9" i="822"/>
  <c r="BJ9" i="822"/>
  <c r="BJ7" i="822" s="1"/>
  <c r="BI9" i="822"/>
  <c r="BI7" i="822" s="1"/>
  <c r="BH9" i="822"/>
  <c r="BH7" i="822" s="1"/>
  <c r="BG9" i="822"/>
  <c r="BF9" i="822"/>
  <c r="BF7" i="822" s="1"/>
  <c r="BE9" i="822"/>
  <c r="BD9" i="822"/>
  <c r="BC9" i="822"/>
  <c r="BB9" i="822"/>
  <c r="BA9" i="822"/>
  <c r="AZ9" i="822"/>
  <c r="AY9" i="822"/>
  <c r="AX9" i="822"/>
  <c r="AX7" i="822" s="1"/>
  <c r="AW9" i="822"/>
  <c r="AW7" i="822" s="1"/>
  <c r="AV9" i="822"/>
  <c r="AV7" i="822" s="1"/>
  <c r="AU9" i="822"/>
  <c r="AT9" i="822"/>
  <c r="AT7" i="822" s="1"/>
  <c r="AS9" i="822"/>
  <c r="AR9" i="822"/>
  <c r="AQ9" i="822"/>
  <c r="AP9" i="822"/>
  <c r="AO9" i="822"/>
  <c r="AN9" i="822"/>
  <c r="AM9" i="822"/>
  <c r="AL9" i="822"/>
  <c r="AL7" i="822" s="1"/>
  <c r="AK9" i="822"/>
  <c r="AK7" i="822" s="1"/>
  <c r="AJ9" i="822"/>
  <c r="AJ7" i="822" s="1"/>
  <c r="AI9" i="822"/>
  <c r="AH9" i="822"/>
  <c r="AH7" i="822" s="1"/>
  <c r="AG9" i="822"/>
  <c r="AF9" i="822"/>
  <c r="AE9" i="822"/>
  <c r="AD9" i="822"/>
  <c r="AC9" i="822"/>
  <c r="AB9" i="822"/>
  <c r="AA9" i="822"/>
  <c r="Z9" i="822"/>
  <c r="Z7" i="822" s="1"/>
  <c r="Y9" i="822"/>
  <c r="Y7" i="822" s="1"/>
  <c r="X9" i="822"/>
  <c r="X7" i="822" s="1"/>
  <c r="W9" i="822"/>
  <c r="V9" i="822"/>
  <c r="V7" i="822" s="1"/>
  <c r="U9" i="822"/>
  <c r="T9" i="822"/>
  <c r="S9" i="822"/>
  <c r="R9" i="822"/>
  <c r="Q9" i="822"/>
  <c r="P9" i="822"/>
  <c r="O9" i="822"/>
  <c r="N9" i="822"/>
  <c r="N7" i="822" s="1"/>
  <c r="M9" i="822"/>
  <c r="M7" i="822" s="1"/>
  <c r="L9" i="822"/>
  <c r="L7" i="822" s="1"/>
  <c r="K9" i="822"/>
  <c r="J9" i="822"/>
  <c r="J7" i="822" s="1"/>
  <c r="I9" i="822"/>
  <c r="H9" i="822"/>
  <c r="G9" i="822"/>
  <c r="F9" i="822"/>
  <c r="E9" i="822"/>
  <c r="D9" i="822"/>
  <c r="C9" i="822"/>
  <c r="B9" i="822"/>
  <c r="B7" i="822" s="1"/>
  <c r="EJ7" i="822"/>
  <c r="EI7" i="822"/>
  <c r="EH7" i="822"/>
  <c r="EH27" i="822" s="1"/>
  <c r="EH45" i="822" s="1"/>
  <c r="EG7" i="822"/>
  <c r="EG27" i="822" s="1"/>
  <c r="EG45" i="822" s="1"/>
  <c r="EF7" i="822"/>
  <c r="EF27" i="822" s="1"/>
  <c r="EE7" i="822"/>
  <c r="EE27" i="822" s="1"/>
  <c r="EE45" i="822" s="1"/>
  <c r="DY7" i="822"/>
  <c r="DY27" i="822" s="1"/>
  <c r="DX7" i="822"/>
  <c r="DX27" i="822" s="1"/>
  <c r="DW7" i="822"/>
  <c r="DV7" i="822"/>
  <c r="DV27" i="822" s="1"/>
  <c r="DU7" i="822"/>
  <c r="DU27" i="822" s="1"/>
  <c r="DT7" i="822"/>
  <c r="DT27" i="822" s="1"/>
  <c r="DT45" i="822" s="1"/>
  <c r="DS7" i="822"/>
  <c r="DS27" i="822" s="1"/>
  <c r="DS45" i="822" s="1"/>
  <c r="DM7" i="822"/>
  <c r="DM27" i="822" s="1"/>
  <c r="DM45" i="822" s="1"/>
  <c r="DL7" i="822"/>
  <c r="DL27" i="822" s="1"/>
  <c r="DL45" i="822" s="1"/>
  <c r="DK7" i="822"/>
  <c r="DJ7" i="822"/>
  <c r="DJ27" i="822" s="1"/>
  <c r="DI7" i="822"/>
  <c r="DI27" i="822" s="1"/>
  <c r="DI45" i="822" s="1"/>
  <c r="DH7" i="822"/>
  <c r="DH27" i="822" s="1"/>
  <c r="DG7" i="822"/>
  <c r="DG27" i="822" s="1"/>
  <c r="DA7" i="822"/>
  <c r="DA27" i="822" s="1"/>
  <c r="CZ7" i="822"/>
  <c r="CY7" i="822"/>
  <c r="CY27" i="822" s="1"/>
  <c r="CX7" i="822"/>
  <c r="CX27" i="822" s="1"/>
  <c r="CX45" i="822" s="1"/>
  <c r="CW7" i="822"/>
  <c r="CW27" i="822" s="1"/>
  <c r="CW45" i="822" s="1"/>
  <c r="CV7" i="822"/>
  <c r="CV27" i="822" s="1"/>
  <c r="CV45" i="822" s="1"/>
  <c r="CU7" i="822"/>
  <c r="CU27" i="822" s="1"/>
  <c r="CU45" i="822" s="1"/>
  <c r="CO7" i="822"/>
  <c r="CO27" i="822" s="1"/>
  <c r="CO45" i="822" s="1"/>
  <c r="CN7" i="822"/>
  <c r="CN27" i="822" s="1"/>
  <c r="CM7" i="822"/>
  <c r="CM27" i="822" s="1"/>
  <c r="CM45" i="822" s="1"/>
  <c r="CL7" i="822"/>
  <c r="CL27" i="822" s="1"/>
  <c r="CK7" i="822"/>
  <c r="CK27" i="822" s="1"/>
  <c r="CJ7" i="822"/>
  <c r="CJ27" i="822" s="1"/>
  <c r="CI7" i="822"/>
  <c r="CI27" i="822" s="1"/>
  <c r="CC7" i="822"/>
  <c r="CC27" i="822" s="1"/>
  <c r="CB7" i="822"/>
  <c r="CB27" i="822" s="1"/>
  <c r="CA7" i="822"/>
  <c r="CA27" i="822" s="1"/>
  <c r="BZ7" i="822"/>
  <c r="BZ27" i="822" s="1"/>
  <c r="BY7" i="822"/>
  <c r="BY27" i="822" s="1"/>
  <c r="BX7" i="822"/>
  <c r="BX27" i="822" s="1"/>
  <c r="BW7" i="822"/>
  <c r="BW27" i="822" s="1"/>
  <c r="BQ7" i="822"/>
  <c r="BP7" i="822"/>
  <c r="BO7" i="822"/>
  <c r="BN7" i="822"/>
  <c r="BM7" i="822"/>
  <c r="BL7" i="822"/>
  <c r="BK7" i="822"/>
  <c r="BE7" i="822"/>
  <c r="BD7" i="822"/>
  <c r="BC7" i="822"/>
  <c r="BB7" i="822"/>
  <c r="BA7" i="822"/>
  <c r="AZ7" i="822"/>
  <c r="AY7" i="822"/>
  <c r="AS7" i="822"/>
  <c r="AR7" i="822"/>
  <c r="AQ7" i="822"/>
  <c r="AP7" i="822"/>
  <c r="AO7" i="822"/>
  <c r="AN7" i="822"/>
  <c r="AM7" i="822"/>
  <c r="AG7" i="822"/>
  <c r="AF7" i="822"/>
  <c r="AE7" i="822"/>
  <c r="AD7" i="822"/>
  <c r="AC7" i="822"/>
  <c r="AB7" i="822"/>
  <c r="AA7" i="822"/>
  <c r="U7" i="822"/>
  <c r="T7" i="822"/>
  <c r="S7" i="822"/>
  <c r="R7" i="822"/>
  <c r="Q7" i="822"/>
  <c r="P7" i="822"/>
  <c r="O7" i="822"/>
  <c r="I7" i="822"/>
  <c r="H7" i="822"/>
  <c r="G7" i="822"/>
  <c r="F7" i="822"/>
  <c r="E7" i="822"/>
  <c r="D7" i="822"/>
  <c r="C7" i="822"/>
  <c r="N4" i="1523"/>
  <c r="B4" i="1523"/>
  <c r="AU82" i="2079"/>
  <c r="W82" i="2079"/>
  <c r="BI81" i="2079"/>
  <c r="BH81" i="2079"/>
  <c r="AV81" i="2079"/>
  <c r="AX80" i="2079"/>
  <c r="AW80" i="2079"/>
  <c r="AV80" i="2079"/>
  <c r="Y80" i="2079"/>
  <c r="BJ69" i="2079"/>
  <c r="BI69" i="2079"/>
  <c r="BH69" i="2079"/>
  <c r="BG69" i="2079"/>
  <c r="BG81" i="2079" s="1"/>
  <c r="BF69" i="2079"/>
  <c r="BE69" i="2079"/>
  <c r="BD69" i="2079"/>
  <c r="BD81" i="2079" s="1"/>
  <c r="BC69" i="2079"/>
  <c r="BB69" i="2079"/>
  <c r="BA69" i="2079"/>
  <c r="AZ69" i="2079"/>
  <c r="AY69" i="2079"/>
  <c r="AX69" i="2079"/>
  <c r="AW69" i="2079"/>
  <c r="AV69" i="2079"/>
  <c r="AU69" i="2079"/>
  <c r="AT69" i="2079"/>
  <c r="AS69" i="2079"/>
  <c r="AS81" i="2079" s="1"/>
  <c r="AR69" i="2079"/>
  <c r="AQ69" i="2079"/>
  <c r="AP69" i="2079"/>
  <c r="AO69" i="2079"/>
  <c r="AN69" i="2079"/>
  <c r="AM69" i="2079"/>
  <c r="AL69" i="2079"/>
  <c r="AK69" i="2079"/>
  <c r="AK81" i="2079" s="1"/>
  <c r="AJ69" i="2079"/>
  <c r="AI69" i="2079"/>
  <c r="AI81" i="2079" s="1"/>
  <c r="AH69" i="2079"/>
  <c r="AG69" i="2079"/>
  <c r="AG81" i="2079" s="1"/>
  <c r="AF69" i="2079"/>
  <c r="AF81" i="2079" s="1"/>
  <c r="AE69" i="2079"/>
  <c r="AD69" i="2079"/>
  <c r="AC69" i="2079"/>
  <c r="AB69" i="2079"/>
  <c r="AA69" i="2079"/>
  <c r="Z69" i="2079"/>
  <c r="Y69" i="2079"/>
  <c r="Y81" i="2079" s="1"/>
  <c r="X69" i="2079"/>
  <c r="X81" i="2079" s="1"/>
  <c r="W69" i="2079"/>
  <c r="W81" i="2079" s="1"/>
  <c r="V69" i="2079"/>
  <c r="U69" i="2079"/>
  <c r="U81" i="2079" s="1"/>
  <c r="T69" i="2079"/>
  <c r="S69" i="2079"/>
  <c r="R69" i="2079"/>
  <c r="Q69" i="2079"/>
  <c r="P69" i="2079"/>
  <c r="O69" i="2079"/>
  <c r="N69" i="2079"/>
  <c r="M69" i="2079"/>
  <c r="M81" i="2079" s="1"/>
  <c r="L69" i="2079"/>
  <c r="L81" i="2079" s="1"/>
  <c r="K69" i="2079"/>
  <c r="K81" i="2079" s="1"/>
  <c r="J69" i="2079"/>
  <c r="J81" i="2079" s="1"/>
  <c r="I69" i="2079"/>
  <c r="I81" i="2079" s="1"/>
  <c r="H69" i="2079"/>
  <c r="H81" i="2079" s="1"/>
  <c r="G69" i="2079"/>
  <c r="G81" i="2079" s="1"/>
  <c r="F69" i="2079"/>
  <c r="F81" i="2079" s="1"/>
  <c r="E69" i="2079"/>
  <c r="E81" i="2079" s="1"/>
  <c r="D69" i="2079"/>
  <c r="D81" i="2079" s="1"/>
  <c r="C69" i="2079"/>
  <c r="C81" i="2079" s="1"/>
  <c r="B69" i="2079"/>
  <c r="B81" i="2079" s="1"/>
  <c r="BJ67" i="2079"/>
  <c r="BJ80" i="2079" s="1"/>
  <c r="BI67" i="2079"/>
  <c r="BI80" i="2079" s="1"/>
  <c r="BH67" i="2079"/>
  <c r="BH80" i="2079" s="1"/>
  <c r="BG67" i="2079"/>
  <c r="BF67" i="2079"/>
  <c r="BF80" i="2079" s="1"/>
  <c r="BE67" i="2079"/>
  <c r="BD67" i="2079"/>
  <c r="BC67" i="2079"/>
  <c r="BB67" i="2079"/>
  <c r="BA67" i="2079"/>
  <c r="AZ67" i="2079"/>
  <c r="AY67" i="2079"/>
  <c r="AX67" i="2079"/>
  <c r="AW67" i="2079"/>
  <c r="AV67" i="2079"/>
  <c r="AU67" i="2079"/>
  <c r="AT67" i="2079"/>
  <c r="AS67" i="2079"/>
  <c r="AR67" i="2079"/>
  <c r="AQ67" i="2079"/>
  <c r="AP67" i="2079"/>
  <c r="AO67" i="2079"/>
  <c r="AN67" i="2079"/>
  <c r="AM67" i="2079"/>
  <c r="AL67" i="2079"/>
  <c r="AK67" i="2079"/>
  <c r="AK80" i="2079" s="1"/>
  <c r="AJ67" i="2079"/>
  <c r="AI67" i="2079"/>
  <c r="AH67" i="2079"/>
  <c r="AH80" i="2079" s="1"/>
  <c r="AG67" i="2079"/>
  <c r="AF67" i="2079"/>
  <c r="AE67" i="2079"/>
  <c r="AD67" i="2079"/>
  <c r="AC67" i="2079"/>
  <c r="AB67" i="2079"/>
  <c r="AA67" i="2079"/>
  <c r="Z67" i="2079"/>
  <c r="Y67" i="2079"/>
  <c r="X67" i="2079"/>
  <c r="X80" i="2079" s="1"/>
  <c r="W67" i="2079"/>
  <c r="V67" i="2079"/>
  <c r="V80" i="2079" s="1"/>
  <c r="U67" i="2079"/>
  <c r="T67" i="2079"/>
  <c r="S67" i="2079"/>
  <c r="R67" i="2079"/>
  <c r="Q67" i="2079"/>
  <c r="P67" i="2079"/>
  <c r="O67" i="2079"/>
  <c r="N67" i="2079"/>
  <c r="N80" i="2079" s="1"/>
  <c r="M67" i="2079"/>
  <c r="M80" i="2079" s="1"/>
  <c r="L67" i="2079"/>
  <c r="L80" i="2079" s="1"/>
  <c r="K67" i="2079"/>
  <c r="K80" i="2079" s="1"/>
  <c r="J67" i="2079"/>
  <c r="J80" i="2079" s="1"/>
  <c r="I67" i="2079"/>
  <c r="I80" i="2079" s="1"/>
  <c r="H67" i="2079"/>
  <c r="H80" i="2079" s="1"/>
  <c r="G67" i="2079"/>
  <c r="G80" i="2079" s="1"/>
  <c r="F67" i="2079"/>
  <c r="F80" i="2079" s="1"/>
  <c r="E67" i="2079"/>
  <c r="E80" i="2079" s="1"/>
  <c r="D67" i="2079"/>
  <c r="D80" i="2079" s="1"/>
  <c r="C67" i="2079"/>
  <c r="C80" i="2079" s="1"/>
  <c r="B67" i="2079"/>
  <c r="B80" i="2079" s="1"/>
  <c r="BX50" i="2079"/>
  <c r="BW50" i="2079"/>
  <c r="BX48" i="2079"/>
  <c r="BW48" i="2079"/>
  <c r="BX46" i="2079"/>
  <c r="BW46" i="2079"/>
  <c r="BX45" i="2079"/>
  <c r="BW45" i="2079"/>
  <c r="BU44" i="2079"/>
  <c r="BT44" i="2079"/>
  <c r="BW44" i="2079" s="1"/>
  <c r="BS44" i="2079"/>
  <c r="BR44" i="2079"/>
  <c r="BQ44" i="2079"/>
  <c r="BP44" i="2079"/>
  <c r="BO44" i="2079"/>
  <c r="BN44" i="2079"/>
  <c r="BM44" i="2079"/>
  <c r="BL44" i="2079"/>
  <c r="BK44" i="2079"/>
  <c r="BJ44" i="2079"/>
  <c r="BI44" i="2079"/>
  <c r="BX44" i="2079" s="1"/>
  <c r="BH44" i="2079"/>
  <c r="BG44" i="2079"/>
  <c r="BF44" i="2079"/>
  <c r="BE44" i="2079"/>
  <c r="BD44" i="2079"/>
  <c r="BC44" i="2079"/>
  <c r="BB44" i="2079"/>
  <c r="BA44" i="2079"/>
  <c r="AZ44" i="2079"/>
  <c r="AY44" i="2079"/>
  <c r="AX44" i="2079"/>
  <c r="AW44" i="2079"/>
  <c r="AV44" i="2079"/>
  <c r="AU44" i="2079"/>
  <c r="AT44" i="2079"/>
  <c r="AS44" i="2079"/>
  <c r="AR44" i="2079"/>
  <c r="AQ44" i="2079"/>
  <c r="AP44" i="2079"/>
  <c r="AO44" i="2079"/>
  <c r="AN44" i="2079"/>
  <c r="AM44" i="2079"/>
  <c r="AL44" i="2079"/>
  <c r="AK44" i="2079"/>
  <c r="AJ44" i="2079"/>
  <c r="AI44" i="2079"/>
  <c r="AH44" i="2079"/>
  <c r="AG44" i="2079"/>
  <c r="AF44" i="2079"/>
  <c r="AE44" i="2079"/>
  <c r="AD44" i="2079"/>
  <c r="AD32" i="2079" s="1"/>
  <c r="AC44" i="2079"/>
  <c r="AB44" i="2079"/>
  <c r="AA44" i="2079"/>
  <c r="Z44" i="2079"/>
  <c r="BX43" i="2079"/>
  <c r="BW43" i="2079"/>
  <c r="BX42" i="2079"/>
  <c r="BW42" i="2079"/>
  <c r="BX41" i="2079"/>
  <c r="BW41" i="2079"/>
  <c r="BX40" i="2079"/>
  <c r="BW40" i="2079"/>
  <c r="BX39" i="2079"/>
  <c r="BW39" i="2079"/>
  <c r="BU38" i="2079"/>
  <c r="BT38" i="2079"/>
  <c r="BS38" i="2079"/>
  <c r="BR38" i="2079"/>
  <c r="BQ38" i="2079"/>
  <c r="BP38" i="2079"/>
  <c r="BO38" i="2079"/>
  <c r="BN38" i="2079"/>
  <c r="BM38" i="2079"/>
  <c r="BL38" i="2079"/>
  <c r="BK38" i="2079"/>
  <c r="BJ38" i="2079"/>
  <c r="BI38" i="2079"/>
  <c r="BH38" i="2079"/>
  <c r="BG38" i="2079"/>
  <c r="BF38" i="2079"/>
  <c r="BE38" i="2079"/>
  <c r="BD38" i="2079"/>
  <c r="BC38" i="2079"/>
  <c r="BB38" i="2079"/>
  <c r="BA38" i="2079"/>
  <c r="AZ38" i="2079"/>
  <c r="AY38" i="2079"/>
  <c r="AX38" i="2079"/>
  <c r="AW38" i="2079"/>
  <c r="AV38" i="2079"/>
  <c r="AU38" i="2079"/>
  <c r="AT38" i="2079"/>
  <c r="AS38" i="2079"/>
  <c r="AR38" i="2079"/>
  <c r="AQ38" i="2079"/>
  <c r="AP38" i="2079"/>
  <c r="AO38" i="2079"/>
  <c r="AN38" i="2079"/>
  <c r="AM38" i="2079"/>
  <c r="AL38" i="2079"/>
  <c r="AK38" i="2079"/>
  <c r="AJ38" i="2079"/>
  <c r="AI38" i="2079"/>
  <c r="AH38" i="2079"/>
  <c r="AG38" i="2079"/>
  <c r="AF38" i="2079"/>
  <c r="AE38" i="2079"/>
  <c r="AD38" i="2079"/>
  <c r="AC38" i="2079"/>
  <c r="AB38" i="2079"/>
  <c r="AA38" i="2079"/>
  <c r="Z38" i="2079"/>
  <c r="Y38" i="2079"/>
  <c r="X38" i="2079"/>
  <c r="W38" i="2079"/>
  <c r="V38" i="2079"/>
  <c r="U38" i="2079"/>
  <c r="T38" i="2079"/>
  <c r="S38" i="2079"/>
  <c r="R38" i="2079"/>
  <c r="Q38" i="2079"/>
  <c r="P38" i="2079"/>
  <c r="O38" i="2079"/>
  <c r="N38" i="2079"/>
  <c r="M38" i="2079"/>
  <c r="L38" i="2079"/>
  <c r="K38" i="2079"/>
  <c r="J38" i="2079"/>
  <c r="I38" i="2079"/>
  <c r="H38" i="2079"/>
  <c r="G38" i="2079"/>
  <c r="F38" i="2079"/>
  <c r="E38" i="2079"/>
  <c r="D38" i="2079"/>
  <c r="C38" i="2079"/>
  <c r="B38" i="2079"/>
  <c r="BX37" i="2079"/>
  <c r="BW37" i="2079"/>
  <c r="BX36" i="2079"/>
  <c r="BW36" i="2079"/>
  <c r="BX35" i="2079"/>
  <c r="BW35" i="2079"/>
  <c r="BX34" i="2079"/>
  <c r="BW34" i="2079"/>
  <c r="BU33" i="2079"/>
  <c r="BX33" i="2079" s="1"/>
  <c r="BT33" i="2079"/>
  <c r="BS33" i="2079"/>
  <c r="BR33" i="2079"/>
  <c r="BQ33" i="2079"/>
  <c r="BP33" i="2079"/>
  <c r="BO33" i="2079"/>
  <c r="BN33" i="2079"/>
  <c r="BM33" i="2079"/>
  <c r="BL33" i="2079"/>
  <c r="BK33" i="2079"/>
  <c r="BJ33" i="2079"/>
  <c r="BI33" i="2079"/>
  <c r="BH33" i="2079"/>
  <c r="BG33" i="2079"/>
  <c r="BF33" i="2079"/>
  <c r="BE33" i="2079"/>
  <c r="BD33" i="2079"/>
  <c r="BC33" i="2079"/>
  <c r="BB33" i="2079"/>
  <c r="BA33" i="2079"/>
  <c r="AZ33" i="2079"/>
  <c r="AY33" i="2079"/>
  <c r="AX33" i="2079"/>
  <c r="AW33" i="2079"/>
  <c r="AV33" i="2079"/>
  <c r="AU33" i="2079"/>
  <c r="AT33" i="2079"/>
  <c r="AS33" i="2079"/>
  <c r="AR33" i="2079"/>
  <c r="AQ33" i="2079"/>
  <c r="AP33" i="2079"/>
  <c r="AO33" i="2079"/>
  <c r="AN33" i="2079"/>
  <c r="AM33" i="2079"/>
  <c r="AL33" i="2079"/>
  <c r="AK33" i="2079"/>
  <c r="AJ33" i="2079"/>
  <c r="AI33" i="2079"/>
  <c r="AH33" i="2079"/>
  <c r="AG33" i="2079"/>
  <c r="AF33" i="2079"/>
  <c r="AE33" i="2079"/>
  <c r="AD33" i="2079"/>
  <c r="AC33" i="2079"/>
  <c r="AB33" i="2079"/>
  <c r="AA33" i="2079"/>
  <c r="Z33" i="2079"/>
  <c r="Y33" i="2079"/>
  <c r="Y32" i="2079" s="1"/>
  <c r="X33" i="2079"/>
  <c r="X32" i="2079" s="1"/>
  <c r="W33" i="2079"/>
  <c r="W32" i="2079" s="1"/>
  <c r="V33" i="2079"/>
  <c r="U33" i="2079"/>
  <c r="U32" i="2079" s="1"/>
  <c r="T33" i="2079"/>
  <c r="S33" i="2079"/>
  <c r="R33" i="2079"/>
  <c r="Q33" i="2079"/>
  <c r="P33" i="2079"/>
  <c r="O33" i="2079"/>
  <c r="N33" i="2079"/>
  <c r="M33" i="2079"/>
  <c r="M32" i="2079" s="1"/>
  <c r="L33" i="2079"/>
  <c r="L32" i="2079" s="1"/>
  <c r="K33" i="2079"/>
  <c r="K32" i="2079" s="1"/>
  <c r="J33" i="2079"/>
  <c r="I33" i="2079"/>
  <c r="I32" i="2079" s="1"/>
  <c r="H33" i="2079"/>
  <c r="G33" i="2079"/>
  <c r="F33" i="2079"/>
  <c r="E33" i="2079"/>
  <c r="D33" i="2079"/>
  <c r="C33" i="2079"/>
  <c r="B33" i="2079"/>
  <c r="BX31" i="2079"/>
  <c r="BW31" i="2079"/>
  <c r="BX30" i="2079"/>
  <c r="BW30" i="2079"/>
  <c r="BX29" i="2079"/>
  <c r="BW29" i="2079"/>
  <c r="BX28" i="2079"/>
  <c r="BW28" i="2079"/>
  <c r="BX27" i="2079"/>
  <c r="BW27" i="2079"/>
  <c r="BX26" i="2079"/>
  <c r="BW26" i="2079"/>
  <c r="BX25" i="2079"/>
  <c r="BW25" i="2079"/>
  <c r="BU24" i="2079"/>
  <c r="BT24" i="2079"/>
  <c r="BS24" i="2079"/>
  <c r="BR24" i="2079"/>
  <c r="BQ24" i="2079"/>
  <c r="BP24" i="2079"/>
  <c r="BO24" i="2079"/>
  <c r="BN24" i="2079"/>
  <c r="BM24" i="2079"/>
  <c r="BL24" i="2079"/>
  <c r="BK24" i="2079"/>
  <c r="BJ24" i="2079"/>
  <c r="BI24" i="2079"/>
  <c r="BH24" i="2079"/>
  <c r="BG24" i="2079"/>
  <c r="BF24" i="2079"/>
  <c r="BE24" i="2079"/>
  <c r="BD24" i="2079"/>
  <c r="BC24" i="2079"/>
  <c r="BB24" i="2079"/>
  <c r="BA24" i="2079"/>
  <c r="AZ24" i="2079"/>
  <c r="AY24" i="2079"/>
  <c r="AX24" i="2079"/>
  <c r="AW24" i="2079"/>
  <c r="AV24" i="2079"/>
  <c r="AU24" i="2079"/>
  <c r="AT24" i="2079"/>
  <c r="AS24" i="2079"/>
  <c r="AR24" i="2079"/>
  <c r="AQ24" i="2079"/>
  <c r="AP24" i="2079"/>
  <c r="AO24" i="2079"/>
  <c r="AN24" i="2079"/>
  <c r="AM24" i="2079"/>
  <c r="AL24" i="2079"/>
  <c r="AK24" i="2079"/>
  <c r="AJ24" i="2079"/>
  <c r="AI24" i="2079"/>
  <c r="AH24" i="2079"/>
  <c r="AG24" i="2079"/>
  <c r="AF24" i="2079"/>
  <c r="AE24" i="2079"/>
  <c r="AD24" i="2079"/>
  <c r="AC24" i="2079"/>
  <c r="AB24" i="2079"/>
  <c r="AA24" i="2079"/>
  <c r="Z24" i="2079"/>
  <c r="Y24" i="2079"/>
  <c r="X24" i="2079"/>
  <c r="W24" i="2079"/>
  <c r="W23" i="2079" s="1"/>
  <c r="V24" i="2079"/>
  <c r="U24" i="2079"/>
  <c r="T24" i="2079"/>
  <c r="S24" i="2079"/>
  <c r="R24" i="2079"/>
  <c r="Q24" i="2079"/>
  <c r="P24" i="2079"/>
  <c r="O24" i="2079"/>
  <c r="N24" i="2079"/>
  <c r="M24" i="2079"/>
  <c r="L24" i="2079"/>
  <c r="K24" i="2079"/>
  <c r="K23" i="2079" s="1"/>
  <c r="J24" i="2079"/>
  <c r="I24" i="2079"/>
  <c r="I23" i="2079" s="1"/>
  <c r="H24" i="2079"/>
  <c r="G24" i="2079"/>
  <c r="F24" i="2079"/>
  <c r="E24" i="2079"/>
  <c r="D24" i="2079"/>
  <c r="C24" i="2079"/>
  <c r="B24" i="2079"/>
  <c r="BX21" i="2079"/>
  <c r="BW21" i="2079"/>
  <c r="BX20" i="2079"/>
  <c r="BW20" i="2079"/>
  <c r="BX19" i="2079"/>
  <c r="BW19" i="2079"/>
  <c r="BX18" i="2079"/>
  <c r="BW18" i="2079"/>
  <c r="BX17" i="2079"/>
  <c r="BW17" i="2079"/>
  <c r="BX16" i="2079"/>
  <c r="BW16" i="2079"/>
  <c r="BX15" i="2079"/>
  <c r="BW15" i="2079"/>
  <c r="BX14" i="2079"/>
  <c r="BW14" i="2079"/>
  <c r="BX13" i="2079"/>
  <c r="BW13" i="2079"/>
  <c r="BX12" i="2079"/>
  <c r="BW12" i="2079"/>
  <c r="BU11" i="2079"/>
  <c r="BX11" i="2079" s="1"/>
  <c r="BT11" i="2079"/>
  <c r="BS11" i="2079"/>
  <c r="BR11" i="2079"/>
  <c r="BQ11" i="2079"/>
  <c r="BP11" i="2079"/>
  <c r="BO11" i="2079"/>
  <c r="BN11" i="2079"/>
  <c r="BM11" i="2079"/>
  <c r="BL11" i="2079"/>
  <c r="BK11" i="2079"/>
  <c r="BJ11" i="2079"/>
  <c r="BZ11" i="2079" s="1"/>
  <c r="BI11" i="2079"/>
  <c r="BH11" i="2079"/>
  <c r="BG11" i="2079"/>
  <c r="BF11" i="2079"/>
  <c r="BE11" i="2079"/>
  <c r="BD11" i="2079"/>
  <c r="BC11" i="2079"/>
  <c r="BB11" i="2079"/>
  <c r="BA11" i="2079"/>
  <c r="AZ11" i="2079"/>
  <c r="AY11" i="2079"/>
  <c r="AX11" i="2079"/>
  <c r="AW11" i="2079"/>
  <c r="AV11" i="2079"/>
  <c r="AU11" i="2079"/>
  <c r="AT11" i="2079"/>
  <c r="AS11" i="2079"/>
  <c r="AR11" i="2079"/>
  <c r="AQ11" i="2079"/>
  <c r="AP11" i="2079"/>
  <c r="AO11" i="2079"/>
  <c r="AN11" i="2079"/>
  <c r="AM11" i="2079"/>
  <c r="AL11" i="2079"/>
  <c r="AK11" i="2079"/>
  <c r="AJ11" i="2079"/>
  <c r="AI11" i="2079"/>
  <c r="AH11" i="2079"/>
  <c r="AG11" i="2079"/>
  <c r="AF11" i="2079"/>
  <c r="AE11" i="2079"/>
  <c r="AD11" i="2079"/>
  <c r="AC11" i="2079"/>
  <c r="AB11" i="2079"/>
  <c r="AA11" i="2079"/>
  <c r="Z11" i="2079"/>
  <c r="Y11" i="2079"/>
  <c r="X11" i="2079"/>
  <c r="W11" i="2079"/>
  <c r="V11" i="2079"/>
  <c r="U11" i="2079"/>
  <c r="T11" i="2079"/>
  <c r="S11" i="2079"/>
  <c r="R11" i="2079"/>
  <c r="Q11" i="2079"/>
  <c r="P11" i="2079"/>
  <c r="O11" i="2079"/>
  <c r="N11" i="2079"/>
  <c r="M11" i="2079"/>
  <c r="L11" i="2079"/>
  <c r="K11" i="2079"/>
  <c r="J11" i="2079"/>
  <c r="I11" i="2079"/>
  <c r="H11" i="2079"/>
  <c r="G11" i="2079"/>
  <c r="F11" i="2079"/>
  <c r="E11" i="2079"/>
  <c r="D11" i="2079"/>
  <c r="C11" i="2079"/>
  <c r="B11" i="2079"/>
  <c r="BX9" i="2079"/>
  <c r="BW9" i="2079"/>
  <c r="BX8" i="2079"/>
  <c r="BW8" i="2079"/>
  <c r="BU7" i="2079"/>
  <c r="BW7" i="2079" s="1"/>
  <c r="BT7" i="2079"/>
  <c r="BS7" i="2079"/>
  <c r="BR7" i="2079"/>
  <c r="BQ7" i="2079"/>
  <c r="BP7" i="2079"/>
  <c r="BO7" i="2079"/>
  <c r="BN7" i="2079"/>
  <c r="BM7" i="2079"/>
  <c r="BL7" i="2079"/>
  <c r="BK7" i="2079"/>
  <c r="BJ7" i="2079"/>
  <c r="BZ28" i="2079" s="1"/>
  <c r="BI7" i="2079"/>
  <c r="BI65" i="2079" s="1"/>
  <c r="BH7" i="2079"/>
  <c r="BH65" i="2079" s="1"/>
  <c r="BG7" i="2079"/>
  <c r="BG65" i="2079" s="1"/>
  <c r="BF7" i="2079"/>
  <c r="BF65" i="2079" s="1"/>
  <c r="BE7" i="2079"/>
  <c r="BE65" i="2079" s="1"/>
  <c r="BD7" i="2079"/>
  <c r="BD65" i="2079" s="1"/>
  <c r="BC7" i="2079"/>
  <c r="BC65" i="2079" s="1"/>
  <c r="BB7" i="2079"/>
  <c r="BB65" i="2079" s="1"/>
  <c r="BA7" i="2079"/>
  <c r="BA65" i="2079" s="1"/>
  <c r="AZ7" i="2079"/>
  <c r="AZ65" i="2079" s="1"/>
  <c r="AY7" i="2079"/>
  <c r="AY65" i="2079" s="1"/>
  <c r="AX7" i="2079"/>
  <c r="AX65" i="2079" s="1"/>
  <c r="AW7" i="2079"/>
  <c r="AW65" i="2079" s="1"/>
  <c r="AV7" i="2079"/>
  <c r="AV65" i="2079" s="1"/>
  <c r="AU7" i="2079"/>
  <c r="AU65" i="2079" s="1"/>
  <c r="AT7" i="2079"/>
  <c r="AT65" i="2079" s="1"/>
  <c r="AS7" i="2079"/>
  <c r="AS65" i="2079" s="1"/>
  <c r="AR7" i="2079"/>
  <c r="AR65" i="2079" s="1"/>
  <c r="AQ7" i="2079"/>
  <c r="AQ65" i="2079" s="1"/>
  <c r="AP7" i="2079"/>
  <c r="AP65" i="2079" s="1"/>
  <c r="AO7" i="2079"/>
  <c r="AO65" i="2079" s="1"/>
  <c r="AN7" i="2079"/>
  <c r="AN65" i="2079" s="1"/>
  <c r="AM7" i="2079"/>
  <c r="AM65" i="2079" s="1"/>
  <c r="AL7" i="2079"/>
  <c r="AL65" i="2079" s="1"/>
  <c r="AK7" i="2079"/>
  <c r="AK65" i="2079" s="1"/>
  <c r="AJ7" i="2079"/>
  <c r="AJ65" i="2079" s="1"/>
  <c r="AI7" i="2079"/>
  <c r="AI65" i="2079" s="1"/>
  <c r="AH7" i="2079"/>
  <c r="AH65" i="2079" s="1"/>
  <c r="AG7" i="2079"/>
  <c r="AG65" i="2079" s="1"/>
  <c r="AF7" i="2079"/>
  <c r="AF65" i="2079" s="1"/>
  <c r="AE7" i="2079"/>
  <c r="AE65" i="2079" s="1"/>
  <c r="AD7" i="2079"/>
  <c r="AD65" i="2079" s="1"/>
  <c r="AC7" i="2079"/>
  <c r="AC65" i="2079" s="1"/>
  <c r="AB7" i="2079"/>
  <c r="AB65" i="2079" s="1"/>
  <c r="AA7" i="2079"/>
  <c r="AA65" i="2079" s="1"/>
  <c r="Z7" i="2079"/>
  <c r="Z65" i="2079" s="1"/>
  <c r="Y7" i="2079"/>
  <c r="Y65" i="2079" s="1"/>
  <c r="X7" i="2079"/>
  <c r="X65" i="2079" s="1"/>
  <c r="W7" i="2079"/>
  <c r="W65" i="2079" s="1"/>
  <c r="V7" i="2079"/>
  <c r="V65" i="2079" s="1"/>
  <c r="U7" i="2079"/>
  <c r="U65" i="2079" s="1"/>
  <c r="T7" i="2079"/>
  <c r="T65" i="2079" s="1"/>
  <c r="S7" i="2079"/>
  <c r="S65" i="2079" s="1"/>
  <c r="R7" i="2079"/>
  <c r="R65" i="2079" s="1"/>
  <c r="Q7" i="2079"/>
  <c r="Q65" i="2079" s="1"/>
  <c r="P7" i="2079"/>
  <c r="P65" i="2079" s="1"/>
  <c r="O7" i="2079"/>
  <c r="O65" i="2079" s="1"/>
  <c r="N7" i="2079"/>
  <c r="N65" i="2079" s="1"/>
  <c r="M7" i="2079"/>
  <c r="M65" i="2079" s="1"/>
  <c r="M82" i="2079" s="1"/>
  <c r="L7" i="2079"/>
  <c r="L65" i="2079" s="1"/>
  <c r="L82" i="2079" s="1"/>
  <c r="K7" i="2079"/>
  <c r="K65" i="2079" s="1"/>
  <c r="K82" i="2079" s="1"/>
  <c r="J7" i="2079"/>
  <c r="J65" i="2079" s="1"/>
  <c r="J82" i="2079" s="1"/>
  <c r="I7" i="2079"/>
  <c r="I65" i="2079" s="1"/>
  <c r="I82" i="2079" s="1"/>
  <c r="H7" i="2079"/>
  <c r="H65" i="2079" s="1"/>
  <c r="H82" i="2079" s="1"/>
  <c r="G7" i="2079"/>
  <c r="G65" i="2079" s="1"/>
  <c r="G82" i="2079" s="1"/>
  <c r="F7" i="2079"/>
  <c r="F65" i="2079" s="1"/>
  <c r="F82" i="2079" s="1"/>
  <c r="E7" i="2079"/>
  <c r="E65" i="2079" s="1"/>
  <c r="E82" i="2079" s="1"/>
  <c r="D7" i="2079"/>
  <c r="D65" i="2079" s="1"/>
  <c r="D82" i="2079" s="1"/>
  <c r="C7" i="2079"/>
  <c r="C65" i="2079" s="1"/>
  <c r="C82" i="2079" s="1"/>
  <c r="B7" i="2079"/>
  <c r="BA38" i="2078"/>
  <c r="Q38" i="2078"/>
  <c r="E38" i="2078"/>
  <c r="BI30" i="2078"/>
  <c r="BI39" i="2078" s="1"/>
  <c r="BH30" i="2078"/>
  <c r="BB30" i="2078"/>
  <c r="AW30" i="2078"/>
  <c r="AV30" i="2078"/>
  <c r="AP30" i="2078"/>
  <c r="AK30" i="2078"/>
  <c r="AK39" i="2078" s="1"/>
  <c r="AJ30" i="2078"/>
  <c r="AJ39" i="2078" s="1"/>
  <c r="AD30" i="2078"/>
  <c r="Y30" i="2078"/>
  <c r="X30" i="2078"/>
  <c r="X39" i="2078" s="1"/>
  <c r="R30" i="2078"/>
  <c r="R39" i="2078" s="1"/>
  <c r="M30" i="2078"/>
  <c r="M39" i="2078" s="1"/>
  <c r="L30" i="2078"/>
  <c r="L39" i="2078" s="1"/>
  <c r="F30" i="2078"/>
  <c r="F39" i="2078" s="1"/>
  <c r="BJ29" i="2078"/>
  <c r="BI29" i="2078"/>
  <c r="AX29" i="2078"/>
  <c r="AX38" i="2078" s="1"/>
  <c r="AW29" i="2078"/>
  <c r="AW38" i="2078" s="1"/>
  <c r="AL29" i="2078"/>
  <c r="AK29" i="2078"/>
  <c r="AK38" i="2078" s="1"/>
  <c r="Z29" i="2078"/>
  <c r="Z38" i="2078" s="1"/>
  <c r="Y29" i="2078"/>
  <c r="N29" i="2078"/>
  <c r="M29" i="2078"/>
  <c r="M38" i="2078" s="1"/>
  <c r="B29" i="2078"/>
  <c r="B38" i="2078" s="1"/>
  <c r="BD28" i="2078"/>
  <c r="AY28" i="2078"/>
  <c r="AR28" i="2078"/>
  <c r="AM28" i="2078"/>
  <c r="AM40" i="2078" s="1"/>
  <c r="AA28" i="2078"/>
  <c r="O28" i="2078"/>
  <c r="O40" i="2078" s="1"/>
  <c r="C28" i="2078"/>
  <c r="C40" i="2078" s="1"/>
  <c r="BX17" i="2078"/>
  <c r="BW17" i="2078"/>
  <c r="BX16" i="2078"/>
  <c r="BW16" i="2078"/>
  <c r="BX15" i="2078"/>
  <c r="BW15" i="2078"/>
  <c r="BX14" i="2078"/>
  <c r="BU14" i="2078"/>
  <c r="BT14" i="2078"/>
  <c r="BW14" i="2078" s="1"/>
  <c r="BS14" i="2078"/>
  <c r="BS7" i="2078" s="1"/>
  <c r="BR14" i="2078"/>
  <c r="BR7" i="2078" s="1"/>
  <c r="BQ14" i="2078"/>
  <c r="BP14" i="2078"/>
  <c r="BO14" i="2078"/>
  <c r="BN14" i="2078"/>
  <c r="BM14" i="2078"/>
  <c r="BL14" i="2078"/>
  <c r="BL7" i="2078" s="1"/>
  <c r="BK14" i="2078"/>
  <c r="BJ14" i="2078"/>
  <c r="BJ30" i="2078" s="1"/>
  <c r="BI14" i="2078"/>
  <c r="BH14" i="2078"/>
  <c r="BG14" i="2078"/>
  <c r="BF14" i="2078"/>
  <c r="BE14" i="2078"/>
  <c r="BE30" i="2078" s="1"/>
  <c r="BD14" i="2078"/>
  <c r="BD30" i="2078" s="1"/>
  <c r="BC14" i="2078"/>
  <c r="BC30" i="2078" s="1"/>
  <c r="BB14" i="2078"/>
  <c r="BA14" i="2078"/>
  <c r="BA30" i="2078" s="1"/>
  <c r="AZ14" i="2078"/>
  <c r="AY14" i="2078"/>
  <c r="AY30" i="2078" s="1"/>
  <c r="AX14" i="2078"/>
  <c r="AX30" i="2078" s="1"/>
  <c r="AW14" i="2078"/>
  <c r="AV14" i="2078"/>
  <c r="AU14" i="2078"/>
  <c r="AT14" i="2078"/>
  <c r="AS14" i="2078"/>
  <c r="AS30" i="2078" s="1"/>
  <c r="AR14" i="2078"/>
  <c r="AR30" i="2078" s="1"/>
  <c r="AQ14" i="2078"/>
  <c r="AQ30" i="2078" s="1"/>
  <c r="AP14" i="2078"/>
  <c r="AO14" i="2078"/>
  <c r="AO30" i="2078" s="1"/>
  <c r="AN14" i="2078"/>
  <c r="AM14" i="2078"/>
  <c r="AM30" i="2078" s="1"/>
  <c r="AL14" i="2078"/>
  <c r="AL30" i="2078" s="1"/>
  <c r="AK14" i="2078"/>
  <c r="AJ14" i="2078"/>
  <c r="AI14" i="2078"/>
  <c r="AH14" i="2078"/>
  <c r="AG14" i="2078"/>
  <c r="AG30" i="2078" s="1"/>
  <c r="AF14" i="2078"/>
  <c r="AF30" i="2078" s="1"/>
  <c r="AE14" i="2078"/>
  <c r="AE30" i="2078" s="1"/>
  <c r="AD14" i="2078"/>
  <c r="AC14" i="2078"/>
  <c r="AC30" i="2078" s="1"/>
  <c r="AB14" i="2078"/>
  <c r="AA14" i="2078"/>
  <c r="AA30" i="2078" s="1"/>
  <c r="Z14" i="2078"/>
  <c r="Z30" i="2078" s="1"/>
  <c r="Y14" i="2078"/>
  <c r="X14" i="2078"/>
  <c r="W14" i="2078"/>
  <c r="V14" i="2078"/>
  <c r="U14" i="2078"/>
  <c r="U30" i="2078" s="1"/>
  <c r="T14" i="2078"/>
  <c r="T30" i="2078" s="1"/>
  <c r="S14" i="2078"/>
  <c r="S30" i="2078" s="1"/>
  <c r="R14" i="2078"/>
  <c r="Q14" i="2078"/>
  <c r="Q30" i="2078" s="1"/>
  <c r="P14" i="2078"/>
  <c r="O14" i="2078"/>
  <c r="O30" i="2078" s="1"/>
  <c r="N14" i="2078"/>
  <c r="N30" i="2078" s="1"/>
  <c r="M14" i="2078"/>
  <c r="L14" i="2078"/>
  <c r="K14" i="2078"/>
  <c r="J14" i="2078"/>
  <c r="I14" i="2078"/>
  <c r="I30" i="2078" s="1"/>
  <c r="I39" i="2078" s="1"/>
  <c r="H14" i="2078"/>
  <c r="H30" i="2078" s="1"/>
  <c r="H39" i="2078" s="1"/>
  <c r="G14" i="2078"/>
  <c r="G30" i="2078" s="1"/>
  <c r="G39" i="2078" s="1"/>
  <c r="F14" i="2078"/>
  <c r="E14" i="2078"/>
  <c r="E30" i="2078" s="1"/>
  <c r="E39" i="2078" s="1"/>
  <c r="D14" i="2078"/>
  <c r="C14" i="2078"/>
  <c r="C30" i="2078" s="1"/>
  <c r="C39" i="2078" s="1"/>
  <c r="B14" i="2078"/>
  <c r="B30" i="2078" s="1"/>
  <c r="B39" i="2078" s="1"/>
  <c r="BX12" i="2078"/>
  <c r="BW12" i="2078"/>
  <c r="BX11" i="2078"/>
  <c r="BW11" i="2078"/>
  <c r="BX10" i="2078"/>
  <c r="BW10" i="2078"/>
  <c r="BU9" i="2078"/>
  <c r="BX9" i="2078" s="1"/>
  <c r="BT9" i="2078"/>
  <c r="BT7" i="2078" s="1"/>
  <c r="BS9" i="2078"/>
  <c r="BR9" i="2078"/>
  <c r="BQ9" i="2078"/>
  <c r="BP9" i="2078"/>
  <c r="BO9" i="2078"/>
  <c r="BO7" i="2078" s="1"/>
  <c r="BN9" i="2078"/>
  <c r="BN7" i="2078" s="1"/>
  <c r="BM9" i="2078"/>
  <c r="BL9" i="2078"/>
  <c r="BK9" i="2078"/>
  <c r="BJ9" i="2078"/>
  <c r="BI9" i="2078"/>
  <c r="BH9" i="2078"/>
  <c r="BG9" i="2078"/>
  <c r="BG29" i="2078" s="1"/>
  <c r="BG38" i="2078" s="1"/>
  <c r="BF9" i="2078"/>
  <c r="BF29" i="2078" s="1"/>
  <c r="BE9" i="2078"/>
  <c r="BE29" i="2078" s="1"/>
  <c r="BD9" i="2078"/>
  <c r="BD29" i="2078" s="1"/>
  <c r="BC9" i="2078"/>
  <c r="BB9" i="2078"/>
  <c r="BA9" i="2078"/>
  <c r="BA29" i="2078" s="1"/>
  <c r="AZ9" i="2078"/>
  <c r="AZ29" i="2078" s="1"/>
  <c r="AY9" i="2078"/>
  <c r="AY29" i="2078" s="1"/>
  <c r="AX9" i="2078"/>
  <c r="AW9" i="2078"/>
  <c r="AV9" i="2078"/>
  <c r="AU9" i="2078"/>
  <c r="AU29" i="2078" s="1"/>
  <c r="AU38" i="2078" s="1"/>
  <c r="AT9" i="2078"/>
  <c r="AT29" i="2078" s="1"/>
  <c r="AS9" i="2078"/>
  <c r="AS29" i="2078" s="1"/>
  <c r="AR9" i="2078"/>
  <c r="AR29" i="2078" s="1"/>
  <c r="AQ9" i="2078"/>
  <c r="AP9" i="2078"/>
  <c r="AO9" i="2078"/>
  <c r="AO29" i="2078" s="1"/>
  <c r="AO38" i="2078" s="1"/>
  <c r="AN9" i="2078"/>
  <c r="AN29" i="2078" s="1"/>
  <c r="AM9" i="2078"/>
  <c r="AM29" i="2078" s="1"/>
  <c r="AL9" i="2078"/>
  <c r="AK9" i="2078"/>
  <c r="AJ9" i="2078"/>
  <c r="AI9" i="2078"/>
  <c r="AI29" i="2078" s="1"/>
  <c r="AI38" i="2078" s="1"/>
  <c r="AH9" i="2078"/>
  <c r="AH29" i="2078" s="1"/>
  <c r="AG9" i="2078"/>
  <c r="AG29" i="2078" s="1"/>
  <c r="AF9" i="2078"/>
  <c r="AF29" i="2078" s="1"/>
  <c r="AE9" i="2078"/>
  <c r="AD9" i="2078"/>
  <c r="AC9" i="2078"/>
  <c r="AC29" i="2078" s="1"/>
  <c r="AC38" i="2078" s="1"/>
  <c r="AB9" i="2078"/>
  <c r="AB29" i="2078" s="1"/>
  <c r="AA9" i="2078"/>
  <c r="AA29" i="2078" s="1"/>
  <c r="Z9" i="2078"/>
  <c r="Y9" i="2078"/>
  <c r="X9" i="2078"/>
  <c r="W9" i="2078"/>
  <c r="W29" i="2078" s="1"/>
  <c r="W38" i="2078" s="1"/>
  <c r="V9" i="2078"/>
  <c r="V29" i="2078" s="1"/>
  <c r="U9" i="2078"/>
  <c r="U29" i="2078" s="1"/>
  <c r="T9" i="2078"/>
  <c r="T29" i="2078" s="1"/>
  <c r="S9" i="2078"/>
  <c r="R9" i="2078"/>
  <c r="Q9" i="2078"/>
  <c r="Q29" i="2078" s="1"/>
  <c r="P9" i="2078"/>
  <c r="P29" i="2078" s="1"/>
  <c r="O9" i="2078"/>
  <c r="O29" i="2078" s="1"/>
  <c r="N9" i="2078"/>
  <c r="M9" i="2078"/>
  <c r="L9" i="2078"/>
  <c r="K9" i="2078"/>
  <c r="K29" i="2078" s="1"/>
  <c r="K38" i="2078" s="1"/>
  <c r="J9" i="2078"/>
  <c r="J29" i="2078" s="1"/>
  <c r="J38" i="2078" s="1"/>
  <c r="I9" i="2078"/>
  <c r="I29" i="2078" s="1"/>
  <c r="I38" i="2078" s="1"/>
  <c r="H9" i="2078"/>
  <c r="H29" i="2078" s="1"/>
  <c r="H38" i="2078" s="1"/>
  <c r="G9" i="2078"/>
  <c r="F9" i="2078"/>
  <c r="E9" i="2078"/>
  <c r="E29" i="2078" s="1"/>
  <c r="D9" i="2078"/>
  <c r="D29" i="2078" s="1"/>
  <c r="D38" i="2078" s="1"/>
  <c r="C9" i="2078"/>
  <c r="C29" i="2078" s="1"/>
  <c r="C38" i="2078" s="1"/>
  <c r="B9" i="2078"/>
  <c r="BW7" i="2078"/>
  <c r="BU7" i="2078"/>
  <c r="BQ7" i="2078"/>
  <c r="BP7" i="2078"/>
  <c r="BM7" i="2078"/>
  <c r="BK7" i="2078"/>
  <c r="BJ7" i="2078"/>
  <c r="BI7" i="2078"/>
  <c r="BI28" i="2078" s="1"/>
  <c r="BE7" i="2078"/>
  <c r="BD7" i="2078"/>
  <c r="BA7" i="2078"/>
  <c r="BA28" i="2078" s="1"/>
  <c r="BA40" i="2078" s="1"/>
  <c r="AY7" i="2078"/>
  <c r="AX7" i="2078"/>
  <c r="AW7" i="2078"/>
  <c r="AW28" i="2078" s="1"/>
  <c r="AW40" i="2078" s="1"/>
  <c r="AS7" i="2078"/>
  <c r="AS28" i="2078" s="1"/>
  <c r="AS40" i="2078" s="1"/>
  <c r="AR7" i="2078"/>
  <c r="AO7" i="2078"/>
  <c r="AO28" i="2078" s="1"/>
  <c r="AM7" i="2078"/>
  <c r="AL7" i="2078"/>
  <c r="AL28" i="2078" s="1"/>
  <c r="AK7" i="2078"/>
  <c r="AK28" i="2078" s="1"/>
  <c r="AG7" i="2078"/>
  <c r="AG28" i="2078" s="1"/>
  <c r="AG40" i="2078" s="1"/>
  <c r="AF7" i="2078"/>
  <c r="AF28" i="2078" s="1"/>
  <c r="AC7" i="2078"/>
  <c r="AC28" i="2078" s="1"/>
  <c r="AC40" i="2078" s="1"/>
  <c r="AA7" i="2078"/>
  <c r="Z7" i="2078"/>
  <c r="Z28" i="2078" s="1"/>
  <c r="Z40" i="2078" s="1"/>
  <c r="Y7" i="2078"/>
  <c r="Y28" i="2078" s="1"/>
  <c r="Y40" i="2078" s="1"/>
  <c r="U7" i="2078"/>
  <c r="U28" i="2078" s="1"/>
  <c r="U40" i="2078" s="1"/>
  <c r="T7" i="2078"/>
  <c r="T28" i="2078" s="1"/>
  <c r="T40" i="2078" s="1"/>
  <c r="Q7" i="2078"/>
  <c r="Q28" i="2078" s="1"/>
  <c r="O7" i="2078"/>
  <c r="N7" i="2078"/>
  <c r="N28" i="2078" s="1"/>
  <c r="M7" i="2078"/>
  <c r="M28" i="2078" s="1"/>
  <c r="M40" i="2078" s="1"/>
  <c r="I7" i="2078"/>
  <c r="I28" i="2078" s="1"/>
  <c r="I40" i="2078" s="1"/>
  <c r="H7" i="2078"/>
  <c r="H28" i="2078" s="1"/>
  <c r="H40" i="2078" s="1"/>
  <c r="E7" i="2078"/>
  <c r="E28" i="2078" s="1"/>
  <c r="E40" i="2078" s="1"/>
  <c r="C7" i="2078"/>
  <c r="B7" i="2078"/>
  <c r="B28" i="2078" s="1"/>
  <c r="B40" i="2078" s="1"/>
  <c r="BX25" i="2077"/>
  <c r="BW25" i="2077"/>
  <c r="BX24" i="2077"/>
  <c r="BW24" i="2077"/>
  <c r="BX23" i="2077"/>
  <c r="BW23" i="2077"/>
  <c r="BX22" i="2077"/>
  <c r="BW22" i="2077"/>
  <c r="BU21" i="2077"/>
  <c r="BX21" i="2077" s="1"/>
  <c r="BT21" i="2077"/>
  <c r="BS21" i="2077"/>
  <c r="BR21" i="2077"/>
  <c r="BQ21" i="2077"/>
  <c r="BP21" i="2077"/>
  <c r="BO21" i="2077"/>
  <c r="BO7" i="2077" s="1"/>
  <c r="BN21" i="2077"/>
  <c r="BN7" i="2077" s="1"/>
  <c r="BM21" i="2077"/>
  <c r="BL21" i="2077"/>
  <c r="BK21" i="2077"/>
  <c r="BJ21" i="2077"/>
  <c r="BI21" i="2077"/>
  <c r="BH21" i="2077"/>
  <c r="BH7" i="2077" s="1"/>
  <c r="BG21" i="2077"/>
  <c r="BF21" i="2077"/>
  <c r="BE21" i="2077"/>
  <c r="BD21" i="2077"/>
  <c r="BC21" i="2077"/>
  <c r="BC7" i="2077" s="1"/>
  <c r="BB21" i="2077"/>
  <c r="BB7" i="2077" s="1"/>
  <c r="BA21" i="2077"/>
  <c r="AZ21" i="2077"/>
  <c r="AY21" i="2077"/>
  <c r="AX21" i="2077"/>
  <c r="AW21" i="2077"/>
  <c r="AV21" i="2077"/>
  <c r="AV7" i="2077" s="1"/>
  <c r="AU21" i="2077"/>
  <c r="AT21" i="2077"/>
  <c r="AS21" i="2077"/>
  <c r="AR21" i="2077"/>
  <c r="AQ21" i="2077"/>
  <c r="AQ7" i="2077" s="1"/>
  <c r="AP21" i="2077"/>
  <c r="AP7" i="2077" s="1"/>
  <c r="AO21" i="2077"/>
  <c r="AN21" i="2077"/>
  <c r="AM21" i="2077"/>
  <c r="AL21" i="2077"/>
  <c r="AK21" i="2077"/>
  <c r="AJ21" i="2077"/>
  <c r="AJ7" i="2077" s="1"/>
  <c r="AI21" i="2077"/>
  <c r="AH21" i="2077"/>
  <c r="AG21" i="2077"/>
  <c r="AF21" i="2077"/>
  <c r="AE21" i="2077"/>
  <c r="AE7" i="2077" s="1"/>
  <c r="AD21" i="2077"/>
  <c r="AD7" i="2077" s="1"/>
  <c r="AC21" i="2077"/>
  <c r="AB21" i="2077"/>
  <c r="AA21" i="2077"/>
  <c r="Z21" i="2077"/>
  <c r="Y21" i="2077"/>
  <c r="X21" i="2077"/>
  <c r="X7" i="2077" s="1"/>
  <c r="W21" i="2077"/>
  <c r="V21" i="2077"/>
  <c r="U21" i="2077"/>
  <c r="T21" i="2077"/>
  <c r="S21" i="2077"/>
  <c r="S7" i="2077" s="1"/>
  <c r="R21" i="2077"/>
  <c r="R7" i="2077" s="1"/>
  <c r="Q21" i="2077"/>
  <c r="P21" i="2077"/>
  <c r="O21" i="2077"/>
  <c r="N21" i="2077"/>
  <c r="M21" i="2077"/>
  <c r="L21" i="2077"/>
  <c r="L7" i="2077" s="1"/>
  <c r="K21" i="2077"/>
  <c r="J21" i="2077"/>
  <c r="I21" i="2077"/>
  <c r="H21" i="2077"/>
  <c r="G21" i="2077"/>
  <c r="G7" i="2077" s="1"/>
  <c r="F21" i="2077"/>
  <c r="F7" i="2077" s="1"/>
  <c r="E21" i="2077"/>
  <c r="D21" i="2077"/>
  <c r="C21" i="2077"/>
  <c r="B21" i="2077"/>
  <c r="BX19" i="2077"/>
  <c r="BW19" i="2077"/>
  <c r="BX18" i="2077"/>
  <c r="BW18" i="2077"/>
  <c r="BX17" i="2077"/>
  <c r="BW17" i="2077"/>
  <c r="BX16" i="2077"/>
  <c r="BW16" i="2077"/>
  <c r="BX15" i="2077"/>
  <c r="BU15" i="2077"/>
  <c r="BT15" i="2077"/>
  <c r="BW15" i="2077" s="1"/>
  <c r="BS15" i="2077"/>
  <c r="BR15" i="2077"/>
  <c r="BQ15" i="2077"/>
  <c r="BP15" i="2077"/>
  <c r="BO15" i="2077"/>
  <c r="BN15" i="2077"/>
  <c r="BM15" i="2077"/>
  <c r="BL15" i="2077"/>
  <c r="BK15" i="2077"/>
  <c r="BJ15" i="2077"/>
  <c r="BI15" i="2077"/>
  <c r="BH15" i="2077"/>
  <c r="BG15" i="2077"/>
  <c r="BF15" i="2077"/>
  <c r="BE15" i="2077"/>
  <c r="BD15" i="2077"/>
  <c r="BC15" i="2077"/>
  <c r="BB15" i="2077"/>
  <c r="BA15" i="2077"/>
  <c r="AZ15" i="2077"/>
  <c r="AY15" i="2077"/>
  <c r="AX15" i="2077"/>
  <c r="AW15" i="2077"/>
  <c r="AV15" i="2077"/>
  <c r="AU15" i="2077"/>
  <c r="AT15" i="2077"/>
  <c r="AS15" i="2077"/>
  <c r="AR15" i="2077"/>
  <c r="AQ15" i="2077"/>
  <c r="AP15" i="2077"/>
  <c r="AO15" i="2077"/>
  <c r="AN15" i="2077"/>
  <c r="AM15" i="2077"/>
  <c r="AL15" i="2077"/>
  <c r="AK15" i="2077"/>
  <c r="AJ15" i="2077"/>
  <c r="AI15" i="2077"/>
  <c r="AH15" i="2077"/>
  <c r="AG15" i="2077"/>
  <c r="AF15" i="2077"/>
  <c r="AE15" i="2077"/>
  <c r="AD15" i="2077"/>
  <c r="AC15" i="2077"/>
  <c r="AB15" i="2077"/>
  <c r="AA15" i="2077"/>
  <c r="Z15" i="2077"/>
  <c r="Y15" i="2077"/>
  <c r="X15" i="2077"/>
  <c r="W15" i="2077"/>
  <c r="V15" i="2077"/>
  <c r="U15" i="2077"/>
  <c r="T15" i="2077"/>
  <c r="S15" i="2077"/>
  <c r="R15" i="2077"/>
  <c r="Q15" i="2077"/>
  <c r="P15" i="2077"/>
  <c r="O15" i="2077"/>
  <c r="N15" i="2077"/>
  <c r="M15" i="2077"/>
  <c r="L15" i="2077"/>
  <c r="K15" i="2077"/>
  <c r="J15" i="2077"/>
  <c r="I15" i="2077"/>
  <c r="H15" i="2077"/>
  <c r="G15" i="2077"/>
  <c r="F15" i="2077"/>
  <c r="E15" i="2077"/>
  <c r="D15" i="2077"/>
  <c r="C15" i="2077"/>
  <c r="B15" i="2077"/>
  <c r="BX13" i="2077"/>
  <c r="BW13" i="2077"/>
  <c r="BX12" i="2077"/>
  <c r="BW12" i="2077"/>
  <c r="BX11" i="2077"/>
  <c r="BW11" i="2077"/>
  <c r="BX10" i="2077"/>
  <c r="BW10" i="2077"/>
  <c r="BX9" i="2077"/>
  <c r="BW9" i="2077"/>
  <c r="BU9" i="2077"/>
  <c r="BT9" i="2077"/>
  <c r="BS9" i="2077"/>
  <c r="BR9" i="2077"/>
  <c r="BQ9" i="2077"/>
  <c r="BP9" i="2077"/>
  <c r="BP7" i="2077" s="1"/>
  <c r="BO9" i="2077"/>
  <c r="BN9" i="2077"/>
  <c r="BM9" i="2077"/>
  <c r="BL9" i="2077"/>
  <c r="BK9" i="2077"/>
  <c r="BK7" i="2077" s="1"/>
  <c r="BJ9" i="2077"/>
  <c r="BJ7" i="2077" s="1"/>
  <c r="BI9" i="2077"/>
  <c r="BH9" i="2077"/>
  <c r="BG9" i="2077"/>
  <c r="BF9" i="2077"/>
  <c r="BE9" i="2077"/>
  <c r="BD9" i="2077"/>
  <c r="BD7" i="2077" s="1"/>
  <c r="BC9" i="2077"/>
  <c r="BB9" i="2077"/>
  <c r="BA9" i="2077"/>
  <c r="AZ9" i="2077"/>
  <c r="AY9" i="2077"/>
  <c r="AY7" i="2077" s="1"/>
  <c r="AX9" i="2077"/>
  <c r="AX7" i="2077" s="1"/>
  <c r="AW9" i="2077"/>
  <c r="AV9" i="2077"/>
  <c r="AU9" i="2077"/>
  <c r="AT9" i="2077"/>
  <c r="AS9" i="2077"/>
  <c r="AR9" i="2077"/>
  <c r="AR7" i="2077" s="1"/>
  <c r="AQ9" i="2077"/>
  <c r="AP9" i="2077"/>
  <c r="AO9" i="2077"/>
  <c r="AN9" i="2077"/>
  <c r="AM9" i="2077"/>
  <c r="AM7" i="2077" s="1"/>
  <c r="AL9" i="2077"/>
  <c r="AL7" i="2077" s="1"/>
  <c r="AK9" i="2077"/>
  <c r="AJ9" i="2077"/>
  <c r="AI9" i="2077"/>
  <c r="AH9" i="2077"/>
  <c r="AG9" i="2077"/>
  <c r="AF9" i="2077"/>
  <c r="AF7" i="2077" s="1"/>
  <c r="AE9" i="2077"/>
  <c r="AD9" i="2077"/>
  <c r="AC9" i="2077"/>
  <c r="AB9" i="2077"/>
  <c r="AA9" i="2077"/>
  <c r="AA7" i="2077" s="1"/>
  <c r="Z9" i="2077"/>
  <c r="Z7" i="2077" s="1"/>
  <c r="Y9" i="2077"/>
  <c r="X9" i="2077"/>
  <c r="W9" i="2077"/>
  <c r="V9" i="2077"/>
  <c r="U9" i="2077"/>
  <c r="T9" i="2077"/>
  <c r="T7" i="2077" s="1"/>
  <c r="S9" i="2077"/>
  <c r="R9" i="2077"/>
  <c r="Q9" i="2077"/>
  <c r="P9" i="2077"/>
  <c r="O9" i="2077"/>
  <c r="O7" i="2077" s="1"/>
  <c r="N9" i="2077"/>
  <c r="N7" i="2077" s="1"/>
  <c r="M9" i="2077"/>
  <c r="L9" i="2077"/>
  <c r="K9" i="2077"/>
  <c r="J9" i="2077"/>
  <c r="I9" i="2077"/>
  <c r="H9" i="2077"/>
  <c r="H7" i="2077" s="1"/>
  <c r="G9" i="2077"/>
  <c r="F9" i="2077"/>
  <c r="E9" i="2077"/>
  <c r="D9" i="2077"/>
  <c r="C9" i="2077"/>
  <c r="C7" i="2077" s="1"/>
  <c r="B9" i="2077"/>
  <c r="B7" i="2077" s="1"/>
  <c r="BU7" i="2077"/>
  <c r="BS7" i="2077"/>
  <c r="BR7" i="2077"/>
  <c r="BQ7" i="2077"/>
  <c r="BM7" i="2077"/>
  <c r="BL7" i="2077"/>
  <c r="BI7" i="2077"/>
  <c r="BX7" i="2077" s="1"/>
  <c r="BG7" i="2077"/>
  <c r="BF7" i="2077"/>
  <c r="BE7" i="2077"/>
  <c r="BA7" i="2077"/>
  <c r="AZ7" i="2077"/>
  <c r="AW7" i="2077"/>
  <c r="AU7" i="2077"/>
  <c r="AT7" i="2077"/>
  <c r="AS7" i="2077"/>
  <c r="AO7" i="2077"/>
  <c r="AN7" i="2077"/>
  <c r="AK7" i="2077"/>
  <c r="AI7" i="2077"/>
  <c r="AH7" i="2077"/>
  <c r="AG7" i="2077"/>
  <c r="AC7" i="2077"/>
  <c r="AB7" i="2077"/>
  <c r="Y7" i="2077"/>
  <c r="W7" i="2077"/>
  <c r="V7" i="2077"/>
  <c r="U7" i="2077"/>
  <c r="Q7" i="2077"/>
  <c r="P7" i="2077"/>
  <c r="M7" i="2077"/>
  <c r="K7" i="2077"/>
  <c r="J7" i="2077"/>
  <c r="I7" i="2077"/>
  <c r="E7" i="2077"/>
  <c r="D7" i="2077"/>
  <c r="BX34" i="2076"/>
  <c r="BW34" i="2076"/>
  <c r="BX33" i="2076"/>
  <c r="BW33" i="2076"/>
  <c r="BX32" i="2076"/>
  <c r="BW32" i="2076"/>
  <c r="BX31" i="2076"/>
  <c r="BW31" i="2076"/>
  <c r="BX30" i="2076"/>
  <c r="BW30" i="2076"/>
  <c r="BX29" i="2076"/>
  <c r="BW29" i="2076"/>
  <c r="BX28" i="2076"/>
  <c r="BW28" i="2076"/>
  <c r="BU27" i="2076"/>
  <c r="BT27" i="2076"/>
  <c r="BS27" i="2076"/>
  <c r="BR27" i="2076"/>
  <c r="BQ27" i="2076"/>
  <c r="BP27" i="2076"/>
  <c r="BO27" i="2076"/>
  <c r="BN27" i="2076"/>
  <c r="BM27" i="2076"/>
  <c r="BL27" i="2076"/>
  <c r="BK27" i="2076"/>
  <c r="BJ27" i="2076"/>
  <c r="BI27" i="2076"/>
  <c r="BH27" i="2076"/>
  <c r="BG27" i="2076"/>
  <c r="BF27" i="2076"/>
  <c r="BE27" i="2076"/>
  <c r="BD27" i="2076"/>
  <c r="BC27" i="2076"/>
  <c r="BB27" i="2076"/>
  <c r="BA27" i="2076"/>
  <c r="AZ27" i="2076"/>
  <c r="AY27" i="2076"/>
  <c r="AX27" i="2076"/>
  <c r="AW27" i="2076"/>
  <c r="AV27" i="2076"/>
  <c r="AU27" i="2076"/>
  <c r="AT27" i="2076"/>
  <c r="AS27" i="2076"/>
  <c r="AR27" i="2076"/>
  <c r="AQ27" i="2076"/>
  <c r="AP27" i="2076"/>
  <c r="AO27" i="2076"/>
  <c r="AN27" i="2076"/>
  <c r="AM27" i="2076"/>
  <c r="AL27" i="2076"/>
  <c r="AK27" i="2076"/>
  <c r="AJ27" i="2076"/>
  <c r="AI27" i="2076"/>
  <c r="AH27" i="2076"/>
  <c r="AG27" i="2076"/>
  <c r="AF27" i="2076"/>
  <c r="AE27" i="2076"/>
  <c r="AD27" i="2076"/>
  <c r="AC27" i="2076"/>
  <c r="AB27" i="2076"/>
  <c r="AA27" i="2076"/>
  <c r="Z27" i="2076"/>
  <c r="Y27" i="2076"/>
  <c r="X27" i="2076"/>
  <c r="W27" i="2076"/>
  <c r="V27" i="2076"/>
  <c r="U27" i="2076"/>
  <c r="T27" i="2076"/>
  <c r="S27" i="2076"/>
  <c r="R27" i="2076"/>
  <c r="Q27" i="2076"/>
  <c r="P27" i="2076"/>
  <c r="O27" i="2076"/>
  <c r="N27" i="2076"/>
  <c r="M27" i="2076"/>
  <c r="L27" i="2076"/>
  <c r="K27" i="2076"/>
  <c r="J27" i="2076"/>
  <c r="I27" i="2076"/>
  <c r="H27" i="2076"/>
  <c r="G27" i="2076"/>
  <c r="F27" i="2076"/>
  <c r="E27" i="2076"/>
  <c r="D27" i="2076"/>
  <c r="C27" i="2076"/>
  <c r="B27" i="2076"/>
  <c r="BX26" i="2076"/>
  <c r="BW26" i="2076"/>
  <c r="BX25" i="2076"/>
  <c r="BW25" i="2076"/>
  <c r="BX24" i="2076"/>
  <c r="BW24" i="2076"/>
  <c r="BX23" i="2076"/>
  <c r="BW23" i="2076"/>
  <c r="BU22" i="2076"/>
  <c r="BX22" i="2076" s="1"/>
  <c r="BT22" i="2076"/>
  <c r="BT21" i="2076" s="1"/>
  <c r="BS22" i="2076"/>
  <c r="BS21" i="2076" s="1"/>
  <c r="BR22" i="2076"/>
  <c r="BR21" i="2076" s="1"/>
  <c r="BQ22" i="2076"/>
  <c r="BQ21" i="2076" s="1"/>
  <c r="BP22" i="2076"/>
  <c r="BO22" i="2076"/>
  <c r="BN22" i="2076"/>
  <c r="BM22" i="2076"/>
  <c r="BL22" i="2076"/>
  <c r="BK22" i="2076"/>
  <c r="BJ22" i="2076"/>
  <c r="BI22" i="2076"/>
  <c r="BH22" i="2076"/>
  <c r="BH21" i="2076" s="1"/>
  <c r="BG22" i="2076"/>
  <c r="BG21" i="2076" s="1"/>
  <c r="BF22" i="2076"/>
  <c r="BF21" i="2076" s="1"/>
  <c r="BE22" i="2076"/>
  <c r="BE21" i="2076" s="1"/>
  <c r="BD22" i="2076"/>
  <c r="BC22" i="2076"/>
  <c r="BB22" i="2076"/>
  <c r="BA22" i="2076"/>
  <c r="AZ22" i="2076"/>
  <c r="AY22" i="2076"/>
  <c r="AX22" i="2076"/>
  <c r="AW22" i="2076"/>
  <c r="AV22" i="2076"/>
  <c r="AV21" i="2076" s="1"/>
  <c r="AU22" i="2076"/>
  <c r="AU21" i="2076" s="1"/>
  <c r="AT22" i="2076"/>
  <c r="AT21" i="2076" s="1"/>
  <c r="AS22" i="2076"/>
  <c r="AS21" i="2076" s="1"/>
  <c r="AR22" i="2076"/>
  <c r="AQ22" i="2076"/>
  <c r="AP22" i="2076"/>
  <c r="AO22" i="2076"/>
  <c r="AN22" i="2076"/>
  <c r="AM22" i="2076"/>
  <c r="AL22" i="2076"/>
  <c r="AK22" i="2076"/>
  <c r="AJ22" i="2076"/>
  <c r="AJ21" i="2076" s="1"/>
  <c r="AI22" i="2076"/>
  <c r="AI21" i="2076" s="1"/>
  <c r="AH22" i="2076"/>
  <c r="AH21" i="2076" s="1"/>
  <c r="AG22" i="2076"/>
  <c r="AG21" i="2076" s="1"/>
  <c r="AF22" i="2076"/>
  <c r="AE22" i="2076"/>
  <c r="AD22" i="2076"/>
  <c r="AC22" i="2076"/>
  <c r="AB22" i="2076"/>
  <c r="AA22" i="2076"/>
  <c r="Z22" i="2076"/>
  <c r="Y22" i="2076"/>
  <c r="X22" i="2076"/>
  <c r="X21" i="2076" s="1"/>
  <c r="W22" i="2076"/>
  <c r="W21" i="2076" s="1"/>
  <c r="V22" i="2076"/>
  <c r="V21" i="2076" s="1"/>
  <c r="U22" i="2076"/>
  <c r="U21" i="2076" s="1"/>
  <c r="T22" i="2076"/>
  <c r="S22" i="2076"/>
  <c r="R22" i="2076"/>
  <c r="Q22" i="2076"/>
  <c r="P22" i="2076"/>
  <c r="O22" i="2076"/>
  <c r="N22" i="2076"/>
  <c r="M22" i="2076"/>
  <c r="L22" i="2076"/>
  <c r="K22" i="2076"/>
  <c r="K21" i="2076" s="1"/>
  <c r="J22" i="2076"/>
  <c r="J21" i="2076" s="1"/>
  <c r="I22" i="2076"/>
  <c r="I21" i="2076" s="1"/>
  <c r="H22" i="2076"/>
  <c r="G22" i="2076"/>
  <c r="F22" i="2076"/>
  <c r="E22" i="2076"/>
  <c r="D22" i="2076"/>
  <c r="C22" i="2076"/>
  <c r="B22" i="2076"/>
  <c r="BX20" i="2076"/>
  <c r="BW20" i="2076"/>
  <c r="BX19" i="2076"/>
  <c r="BW19" i="2076"/>
  <c r="BX18" i="2076"/>
  <c r="BW18" i="2076"/>
  <c r="BX17" i="2076"/>
  <c r="BW17" i="2076"/>
  <c r="BX16" i="2076"/>
  <c r="BW16" i="2076"/>
  <c r="BX15" i="2076"/>
  <c r="BW15" i="2076"/>
  <c r="BX14" i="2076"/>
  <c r="BW14" i="2076"/>
  <c r="BX13" i="2076"/>
  <c r="BW13" i="2076"/>
  <c r="BX12" i="2076"/>
  <c r="BW12" i="2076"/>
  <c r="BX11" i="2076"/>
  <c r="BW11" i="2076"/>
  <c r="BX10" i="2076"/>
  <c r="BW10" i="2076"/>
  <c r="BU9" i="2076"/>
  <c r="BT9" i="2076"/>
  <c r="BS9" i="2076"/>
  <c r="BR9" i="2076"/>
  <c r="BQ9" i="2076"/>
  <c r="BP9" i="2076"/>
  <c r="BO9" i="2076"/>
  <c r="BN9" i="2076"/>
  <c r="BM9" i="2076"/>
  <c r="BL9" i="2076"/>
  <c r="BK9" i="2076"/>
  <c r="BJ9" i="2076"/>
  <c r="BI9" i="2076"/>
  <c r="BH9" i="2076"/>
  <c r="BG9" i="2076"/>
  <c r="BF9" i="2076"/>
  <c r="BE9" i="2076"/>
  <c r="BD9" i="2076"/>
  <c r="BC9" i="2076"/>
  <c r="BB9" i="2076"/>
  <c r="BA9" i="2076"/>
  <c r="AZ9" i="2076"/>
  <c r="AY9" i="2076"/>
  <c r="AX9" i="2076"/>
  <c r="AW9" i="2076"/>
  <c r="AV9" i="2076"/>
  <c r="AU9" i="2076"/>
  <c r="AT9" i="2076"/>
  <c r="AS9" i="2076"/>
  <c r="AR9" i="2076"/>
  <c r="AQ9" i="2076"/>
  <c r="AP9" i="2076"/>
  <c r="AO9" i="2076"/>
  <c r="AN9" i="2076"/>
  <c r="AM9" i="2076"/>
  <c r="AL9" i="2076"/>
  <c r="AK9" i="2076"/>
  <c r="AJ9" i="2076"/>
  <c r="AI9" i="2076"/>
  <c r="AH9" i="2076"/>
  <c r="AG9" i="2076"/>
  <c r="AF9" i="2076"/>
  <c r="AE9" i="2076"/>
  <c r="AD9" i="2076"/>
  <c r="AC9" i="2076"/>
  <c r="AB9" i="2076"/>
  <c r="AA9" i="2076"/>
  <c r="Z9" i="2076"/>
  <c r="Y9" i="2076"/>
  <c r="X9" i="2076"/>
  <c r="W9" i="2076"/>
  <c r="V9" i="2076"/>
  <c r="U9" i="2076"/>
  <c r="T9" i="2076"/>
  <c r="S9" i="2076"/>
  <c r="R9" i="2076"/>
  <c r="Q9" i="2076"/>
  <c r="P9" i="2076"/>
  <c r="O9" i="2076"/>
  <c r="N9" i="2076"/>
  <c r="M9" i="2076"/>
  <c r="L9" i="2076"/>
  <c r="K9" i="2076"/>
  <c r="J9" i="2076"/>
  <c r="I9" i="2076"/>
  <c r="H9" i="2076"/>
  <c r="G9" i="2076"/>
  <c r="F9" i="2076"/>
  <c r="E9" i="2076"/>
  <c r="D9" i="2076"/>
  <c r="C9" i="2076"/>
  <c r="B9" i="2076"/>
  <c r="AM26" i="1814"/>
  <c r="AK26" i="1814"/>
  <c r="AJ26" i="1814"/>
  <c r="AG26" i="1814"/>
  <c r="AF26" i="1814"/>
  <c r="AE26" i="1814"/>
  <c r="AD26" i="1814"/>
  <c r="AC26" i="1814"/>
  <c r="AB26" i="1814"/>
  <c r="AA26" i="1814"/>
  <c r="Z26" i="1814"/>
  <c r="Y26" i="1814"/>
  <c r="X26" i="1814"/>
  <c r="W26" i="1814"/>
  <c r="V26" i="1814"/>
  <c r="U26" i="1814"/>
  <c r="T26" i="1814"/>
  <c r="S26" i="1814"/>
  <c r="R26" i="1814"/>
  <c r="Q26" i="1814"/>
  <c r="P26" i="1814"/>
  <c r="O26" i="1814"/>
  <c r="N26" i="1814"/>
  <c r="M26" i="1814"/>
  <c r="L26" i="1814"/>
  <c r="K26" i="1814"/>
  <c r="J26" i="1814"/>
  <c r="I26" i="1814"/>
  <c r="H26" i="1814"/>
  <c r="G26" i="1814"/>
  <c r="F26" i="1814"/>
  <c r="E26" i="1814"/>
  <c r="D26" i="1814"/>
  <c r="AM25" i="1814"/>
  <c r="AK25" i="1814"/>
  <c r="AJ25" i="1814"/>
  <c r="AG25" i="1814"/>
  <c r="AF25" i="1814"/>
  <c r="AE25" i="1814"/>
  <c r="AD25" i="1814"/>
  <c r="AC25" i="1814"/>
  <c r="AB25" i="1814"/>
  <c r="AA25" i="1814"/>
  <c r="Z25" i="1814"/>
  <c r="Y25" i="1814"/>
  <c r="X25" i="1814"/>
  <c r="W25" i="1814"/>
  <c r="V25" i="1814"/>
  <c r="U25" i="1814"/>
  <c r="T25" i="1814"/>
  <c r="S25" i="1814"/>
  <c r="R25" i="1814"/>
  <c r="Q25" i="1814"/>
  <c r="P25" i="1814"/>
  <c r="O25" i="1814"/>
  <c r="N25" i="1814"/>
  <c r="M25" i="1814"/>
  <c r="L25" i="1814"/>
  <c r="K25" i="1814"/>
  <c r="J25" i="1814"/>
  <c r="I25" i="1814"/>
  <c r="H25" i="1814"/>
  <c r="G25" i="1814"/>
  <c r="F25" i="1814"/>
  <c r="E25" i="1814"/>
  <c r="D25" i="1814"/>
  <c r="AM24" i="1814"/>
  <c r="AK24" i="1814"/>
  <c r="AJ24" i="1814"/>
  <c r="AG24" i="1814"/>
  <c r="AF24" i="1814"/>
  <c r="AE24" i="1814"/>
  <c r="AD24" i="1814"/>
  <c r="AC24" i="1814"/>
  <c r="AB24" i="1814"/>
  <c r="AA24" i="1814"/>
  <c r="Z24" i="1814"/>
  <c r="Y24" i="1814"/>
  <c r="X24" i="1814"/>
  <c r="W24" i="1814"/>
  <c r="V24" i="1814"/>
  <c r="U24" i="1814"/>
  <c r="T24" i="1814"/>
  <c r="S24" i="1814"/>
  <c r="R24" i="1814"/>
  <c r="Q24" i="1814"/>
  <c r="P24" i="1814"/>
  <c r="O24" i="1814"/>
  <c r="N24" i="1814"/>
  <c r="M24" i="1814"/>
  <c r="L24" i="1814"/>
  <c r="K24" i="1814"/>
  <c r="J24" i="1814"/>
  <c r="I24" i="1814"/>
  <c r="H24" i="1814"/>
  <c r="G24" i="1814"/>
  <c r="F24" i="1814"/>
  <c r="E24" i="1814"/>
  <c r="D24" i="1814"/>
  <c r="AM23" i="1814"/>
  <c r="AK23" i="1814"/>
  <c r="AJ23" i="1814"/>
  <c r="AG23" i="1814"/>
  <c r="AF23" i="1814"/>
  <c r="AE23" i="1814"/>
  <c r="AD23" i="1814"/>
  <c r="AC23" i="1814"/>
  <c r="AB23" i="1814"/>
  <c r="AA23" i="1814"/>
  <c r="Z23" i="1814"/>
  <c r="Y23" i="1814"/>
  <c r="X23" i="1814"/>
  <c r="W23" i="1814"/>
  <c r="V23" i="1814"/>
  <c r="U23" i="1814"/>
  <c r="T23" i="1814"/>
  <c r="S23" i="1814"/>
  <c r="R23" i="1814"/>
  <c r="Q23" i="1814"/>
  <c r="P23" i="1814"/>
  <c r="O23" i="1814"/>
  <c r="N23" i="1814"/>
  <c r="M23" i="1814"/>
  <c r="L23" i="1814"/>
  <c r="K23" i="1814"/>
  <c r="J23" i="1814"/>
  <c r="I23" i="1814"/>
  <c r="H23" i="1814"/>
  <c r="G23" i="1814"/>
  <c r="F23" i="1814"/>
  <c r="E23" i="1814"/>
  <c r="D23" i="1814"/>
  <c r="AM22" i="1814"/>
  <c r="AK22" i="1814"/>
  <c r="AJ22" i="1814"/>
  <c r="AG22" i="1814"/>
  <c r="AF22" i="1814"/>
  <c r="AE22" i="1814"/>
  <c r="AD22" i="1814"/>
  <c r="AC22" i="1814"/>
  <c r="AB22" i="1814"/>
  <c r="AA22" i="1814"/>
  <c r="Z22" i="1814"/>
  <c r="Y22" i="1814"/>
  <c r="X22" i="1814"/>
  <c r="W22" i="1814"/>
  <c r="V22" i="1814"/>
  <c r="U22" i="1814"/>
  <c r="T22" i="1814"/>
  <c r="S22" i="1814"/>
  <c r="R22" i="1814"/>
  <c r="Q22" i="1814"/>
  <c r="P22" i="1814"/>
  <c r="O22" i="1814"/>
  <c r="N22" i="1814"/>
  <c r="M22" i="1814"/>
  <c r="L22" i="1814"/>
  <c r="K22" i="1814"/>
  <c r="J22" i="1814"/>
  <c r="I22" i="1814"/>
  <c r="H22" i="1814"/>
  <c r="G22" i="1814"/>
  <c r="F22" i="1814"/>
  <c r="E22" i="1814"/>
  <c r="D22" i="1814"/>
  <c r="AM21" i="1814"/>
  <c r="AK21" i="1814"/>
  <c r="AJ21" i="1814"/>
  <c r="AG21" i="1814"/>
  <c r="AF21" i="1814"/>
  <c r="AE21" i="1814"/>
  <c r="AD21" i="1814"/>
  <c r="AC21" i="1814"/>
  <c r="AB21" i="1814"/>
  <c r="AA21" i="1814"/>
  <c r="Z21" i="1814"/>
  <c r="Y21" i="1814"/>
  <c r="X21" i="1814"/>
  <c r="W21" i="1814"/>
  <c r="V21" i="1814"/>
  <c r="U21" i="1814"/>
  <c r="T21" i="1814"/>
  <c r="S21" i="1814"/>
  <c r="R21" i="1814"/>
  <c r="Q21" i="1814"/>
  <c r="P21" i="1814"/>
  <c r="O21" i="1814"/>
  <c r="N21" i="1814"/>
  <c r="M21" i="1814"/>
  <c r="L21" i="1814"/>
  <c r="K21" i="1814"/>
  <c r="J21" i="1814"/>
  <c r="I21" i="1814"/>
  <c r="H21" i="1814"/>
  <c r="G21" i="1814"/>
  <c r="F21" i="1814"/>
  <c r="E21" i="1814"/>
  <c r="D21" i="1814"/>
  <c r="AM20" i="1814"/>
  <c r="AK20" i="1814"/>
  <c r="AJ20" i="1814"/>
  <c r="AG20" i="1814"/>
  <c r="AF20" i="1814"/>
  <c r="AE20" i="1814"/>
  <c r="AD20" i="1814"/>
  <c r="AC20" i="1814"/>
  <c r="AB20" i="1814"/>
  <c r="AA20" i="1814"/>
  <c r="Z20" i="1814"/>
  <c r="Y20" i="1814"/>
  <c r="X20" i="1814"/>
  <c r="W20" i="1814"/>
  <c r="V20" i="1814"/>
  <c r="U20" i="1814"/>
  <c r="T20" i="1814"/>
  <c r="S20" i="1814"/>
  <c r="R20" i="1814"/>
  <c r="Q20" i="1814"/>
  <c r="P20" i="1814"/>
  <c r="O20" i="1814"/>
  <c r="N20" i="1814"/>
  <c r="M20" i="1814"/>
  <c r="L20" i="1814"/>
  <c r="K20" i="1814"/>
  <c r="J20" i="1814"/>
  <c r="I20" i="1814"/>
  <c r="H20" i="1814"/>
  <c r="G20" i="1814"/>
  <c r="F20" i="1814"/>
  <c r="E20" i="1814"/>
  <c r="D20" i="1814"/>
  <c r="AM19" i="1814"/>
  <c r="AK19" i="1814"/>
  <c r="AJ19" i="1814"/>
  <c r="AG19" i="1814"/>
  <c r="AF19" i="1814"/>
  <c r="AE19" i="1814"/>
  <c r="AD19" i="1814"/>
  <c r="AC19" i="1814"/>
  <c r="AB19" i="1814"/>
  <c r="AA19" i="1814"/>
  <c r="Z19" i="1814"/>
  <c r="Y19" i="1814"/>
  <c r="X19" i="1814"/>
  <c r="W19" i="1814"/>
  <c r="V19" i="1814"/>
  <c r="U19" i="1814"/>
  <c r="T19" i="1814"/>
  <c r="S19" i="1814"/>
  <c r="R19" i="1814"/>
  <c r="Q19" i="1814"/>
  <c r="P19" i="1814"/>
  <c r="O19" i="1814"/>
  <c r="N19" i="1814"/>
  <c r="M19" i="1814"/>
  <c r="L19" i="1814"/>
  <c r="K19" i="1814"/>
  <c r="J19" i="1814"/>
  <c r="I19" i="1814"/>
  <c r="H19" i="1814"/>
  <c r="G19" i="1814"/>
  <c r="F19" i="1814"/>
  <c r="E19" i="1814"/>
  <c r="D19" i="1814"/>
  <c r="AM18" i="1814"/>
  <c r="AK18" i="1814"/>
  <c r="AJ18" i="1814"/>
  <c r="AG18" i="1814"/>
  <c r="AF18" i="1814"/>
  <c r="AE18" i="1814"/>
  <c r="AD18" i="1814"/>
  <c r="AC18" i="1814"/>
  <c r="AB18" i="1814"/>
  <c r="AA18" i="1814"/>
  <c r="Z18" i="1814"/>
  <c r="Y18" i="1814"/>
  <c r="X18" i="1814"/>
  <c r="W18" i="1814"/>
  <c r="V18" i="1814"/>
  <c r="U18" i="1814"/>
  <c r="T18" i="1814"/>
  <c r="S18" i="1814"/>
  <c r="R18" i="1814"/>
  <c r="Q18" i="1814"/>
  <c r="P18" i="1814"/>
  <c r="O18" i="1814"/>
  <c r="N18" i="1814"/>
  <c r="M18" i="1814"/>
  <c r="L18" i="1814"/>
  <c r="K18" i="1814"/>
  <c r="J18" i="1814"/>
  <c r="I18" i="1814"/>
  <c r="H18" i="1814"/>
  <c r="G18" i="1814"/>
  <c r="F18" i="1814"/>
  <c r="E18" i="1814"/>
  <c r="D18" i="1814"/>
  <c r="B18" i="1814"/>
  <c r="AN14" i="1814"/>
  <c r="AN26" i="1814" s="1"/>
  <c r="AH14" i="1814"/>
  <c r="AH26" i="1814" s="1"/>
  <c r="AN13" i="1814"/>
  <c r="AN25" i="1814" s="1"/>
  <c r="AH13" i="1814"/>
  <c r="AN12" i="1814"/>
  <c r="AN24" i="1814" s="1"/>
  <c r="AH12" i="1814"/>
  <c r="AH24" i="1814" s="1"/>
  <c r="AN11" i="1814"/>
  <c r="AN23" i="1814" s="1"/>
  <c r="AH11" i="1814"/>
  <c r="AH23" i="1814" s="1"/>
  <c r="AN10" i="1814"/>
  <c r="AN22" i="1814" s="1"/>
  <c r="AH10" i="1814"/>
  <c r="AH22" i="1814" s="1"/>
  <c r="AN9" i="1814"/>
  <c r="AN21" i="1814" s="1"/>
  <c r="AH9" i="1814"/>
  <c r="AI21" i="1814" s="1"/>
  <c r="AN8" i="1814"/>
  <c r="AN20" i="1814" s="1"/>
  <c r="AH8" i="1814"/>
  <c r="AH20" i="1814" s="1"/>
  <c r="AN7" i="1814"/>
  <c r="AN19" i="1814" s="1"/>
  <c r="AH7" i="1814"/>
  <c r="AN6" i="1814"/>
  <c r="AN18" i="1814" s="1"/>
  <c r="AH6" i="1814"/>
  <c r="AH18" i="1814" s="1"/>
  <c r="B6" i="1814"/>
  <c r="FA47" i="2083"/>
  <c r="EA47" i="2083"/>
  <c r="DN47" i="2083"/>
  <c r="DA47" i="2083"/>
  <c r="CN47" i="2083"/>
  <c r="CA47" i="2083"/>
  <c r="BN47" i="2083"/>
  <c r="BA47" i="2083"/>
  <c r="AN47" i="2083"/>
  <c r="AA47" i="2083"/>
  <c r="N47" i="2083"/>
  <c r="FA46" i="2083"/>
  <c r="EA46" i="2083"/>
  <c r="DN46" i="2083"/>
  <c r="DA46" i="2083"/>
  <c r="CN46" i="2083"/>
  <c r="CA46" i="2083"/>
  <c r="BN46" i="2083"/>
  <c r="BA46" i="2083"/>
  <c r="AN46" i="2083"/>
  <c r="AA46" i="2083"/>
  <c r="N46" i="2083"/>
  <c r="FA45" i="2083"/>
  <c r="EA45" i="2083"/>
  <c r="DN45" i="2083"/>
  <c r="DA45" i="2083"/>
  <c r="CN45" i="2083"/>
  <c r="CA45" i="2083"/>
  <c r="BN45" i="2083"/>
  <c r="BA45" i="2083"/>
  <c r="AN45" i="2083"/>
  <c r="AA45" i="2083"/>
  <c r="N45" i="2083"/>
  <c r="FA44" i="2083"/>
  <c r="EA44" i="2083"/>
  <c r="DN44" i="2083"/>
  <c r="DA44" i="2083"/>
  <c r="CN44" i="2083"/>
  <c r="CA44" i="2083"/>
  <c r="BN44" i="2083"/>
  <c r="BA44" i="2083"/>
  <c r="AN44" i="2083"/>
  <c r="AA44" i="2083"/>
  <c r="N44" i="2083"/>
  <c r="EZ43" i="2083"/>
  <c r="EY43" i="2083"/>
  <c r="EX43" i="2083"/>
  <c r="EW43" i="2083"/>
  <c r="EV43" i="2083"/>
  <c r="EU43" i="2083"/>
  <c r="ET43" i="2083"/>
  <c r="ES43" i="2083"/>
  <c r="ER43" i="2083"/>
  <c r="EQ43" i="2083"/>
  <c r="EP43" i="2083"/>
  <c r="EO43" i="2083"/>
  <c r="DZ43" i="2083"/>
  <c r="DY43" i="2083"/>
  <c r="DX43" i="2083"/>
  <c r="DW43" i="2083"/>
  <c r="DV43" i="2083"/>
  <c r="DU43" i="2083"/>
  <c r="DT43" i="2083"/>
  <c r="DS43" i="2083"/>
  <c r="DR43" i="2083"/>
  <c r="DQ43" i="2083"/>
  <c r="DP43" i="2083"/>
  <c r="DO43" i="2083"/>
  <c r="DM43" i="2083"/>
  <c r="DL43" i="2083"/>
  <c r="DK43" i="2083"/>
  <c r="DJ43" i="2083"/>
  <c r="DI43" i="2083"/>
  <c r="DH43" i="2083"/>
  <c r="DG43" i="2083"/>
  <c r="DF43" i="2083"/>
  <c r="DE43" i="2083"/>
  <c r="DD43" i="2083"/>
  <c r="DC43" i="2083"/>
  <c r="DB43" i="2083"/>
  <c r="CZ43" i="2083"/>
  <c r="CY43" i="2083"/>
  <c r="CX43" i="2083"/>
  <c r="CW43" i="2083"/>
  <c r="CV43" i="2083"/>
  <c r="CU43" i="2083"/>
  <c r="CT43" i="2083"/>
  <c r="CS43" i="2083"/>
  <c r="CR43" i="2083"/>
  <c r="CQ43" i="2083"/>
  <c r="CP43" i="2083"/>
  <c r="CO43" i="2083"/>
  <c r="CM43" i="2083"/>
  <c r="CL43" i="2083"/>
  <c r="CK43" i="2083"/>
  <c r="CJ43" i="2083"/>
  <c r="CI43" i="2083"/>
  <c r="CH43" i="2083"/>
  <c r="CG43" i="2083"/>
  <c r="CF43" i="2083"/>
  <c r="CE43" i="2083"/>
  <c r="CD43" i="2083"/>
  <c r="CC43" i="2083"/>
  <c r="CB43" i="2083"/>
  <c r="BZ43" i="2083"/>
  <c r="BY43" i="2083"/>
  <c r="BX43" i="2083"/>
  <c r="BW43" i="2083"/>
  <c r="BV43" i="2083"/>
  <c r="BU43" i="2083"/>
  <c r="BT43" i="2083"/>
  <c r="BS43" i="2083"/>
  <c r="BR43" i="2083"/>
  <c r="BQ43" i="2083"/>
  <c r="BP43" i="2083"/>
  <c r="BO43" i="2083"/>
  <c r="BM43" i="2083"/>
  <c r="BL43" i="2083"/>
  <c r="BK43" i="2083"/>
  <c r="BJ43" i="2083"/>
  <c r="BI43" i="2083"/>
  <c r="BH43" i="2083"/>
  <c r="BG43" i="2083"/>
  <c r="BF43" i="2083"/>
  <c r="BE43" i="2083"/>
  <c r="BD43" i="2083"/>
  <c r="BC43" i="2083"/>
  <c r="BB43" i="2083"/>
  <c r="AZ43" i="2083"/>
  <c r="AY43" i="2083"/>
  <c r="AX43" i="2083"/>
  <c r="AW43" i="2083"/>
  <c r="AV43" i="2083"/>
  <c r="AU43" i="2083"/>
  <c r="AT43" i="2083"/>
  <c r="AS43" i="2083"/>
  <c r="AR43" i="2083"/>
  <c r="AQ43" i="2083"/>
  <c r="AP43" i="2083"/>
  <c r="AO43" i="2083"/>
  <c r="AM43" i="2083"/>
  <c r="AL43" i="2083"/>
  <c r="AK43" i="2083"/>
  <c r="AJ43" i="2083"/>
  <c r="AI43" i="2083"/>
  <c r="AH43" i="2083"/>
  <c r="AG43" i="2083"/>
  <c r="AF43" i="2083"/>
  <c r="AE43" i="2083"/>
  <c r="AD43" i="2083"/>
  <c r="AC43" i="2083"/>
  <c r="AB43" i="2083"/>
  <c r="Z43" i="2083"/>
  <c r="Y43" i="2083"/>
  <c r="X43" i="2083"/>
  <c r="W43" i="2083"/>
  <c r="V43" i="2083"/>
  <c r="U43" i="2083"/>
  <c r="T43" i="2083"/>
  <c r="S43" i="2083"/>
  <c r="R43" i="2083"/>
  <c r="Q43" i="2083"/>
  <c r="P43" i="2083"/>
  <c r="O43" i="2083"/>
  <c r="M43" i="2083"/>
  <c r="L43" i="2083"/>
  <c r="K43" i="2083"/>
  <c r="J43" i="2083"/>
  <c r="I43" i="2083"/>
  <c r="H43" i="2083"/>
  <c r="G43" i="2083"/>
  <c r="F43" i="2083"/>
  <c r="E43" i="2083"/>
  <c r="D43" i="2083"/>
  <c r="C43" i="2083"/>
  <c r="B43" i="2083"/>
  <c r="FA35" i="2083"/>
  <c r="EA35" i="2083"/>
  <c r="DN35" i="2083"/>
  <c r="DA35" i="2083"/>
  <c r="CN35" i="2083"/>
  <c r="CA35" i="2083"/>
  <c r="BN35" i="2083"/>
  <c r="BA35" i="2083"/>
  <c r="AN35" i="2083"/>
  <c r="AA35" i="2083"/>
  <c r="N35" i="2083"/>
  <c r="FA34" i="2083"/>
  <c r="EA34" i="2083"/>
  <c r="DN34" i="2083"/>
  <c r="DA34" i="2083"/>
  <c r="CN34" i="2083"/>
  <c r="CA34" i="2083"/>
  <c r="BN34" i="2083"/>
  <c r="BA34" i="2083"/>
  <c r="AN34" i="2083"/>
  <c r="AA34" i="2083"/>
  <c r="N34" i="2083"/>
  <c r="FA33" i="2083"/>
  <c r="EA33" i="2083"/>
  <c r="DN33" i="2083"/>
  <c r="DA33" i="2083"/>
  <c r="CN33" i="2083"/>
  <c r="CA33" i="2083"/>
  <c r="BN33" i="2083"/>
  <c r="BA33" i="2083"/>
  <c r="AN33" i="2083"/>
  <c r="AA33" i="2083"/>
  <c r="N33" i="2083"/>
  <c r="FA32" i="2083"/>
  <c r="EA32" i="2083"/>
  <c r="DN32" i="2083"/>
  <c r="DA32" i="2083"/>
  <c r="CN32" i="2083"/>
  <c r="CA32" i="2083"/>
  <c r="BN32" i="2083"/>
  <c r="BA32" i="2083"/>
  <c r="AN32" i="2083"/>
  <c r="AA32" i="2083"/>
  <c r="N32" i="2083"/>
  <c r="EZ31" i="2083"/>
  <c r="EY31" i="2083"/>
  <c r="EX31" i="2083"/>
  <c r="EW31" i="2083"/>
  <c r="EV31" i="2083"/>
  <c r="EU31" i="2083"/>
  <c r="ET31" i="2083"/>
  <c r="ES31" i="2083"/>
  <c r="ER31" i="2083"/>
  <c r="EQ31" i="2083"/>
  <c r="EP31" i="2083"/>
  <c r="EO31" i="2083"/>
  <c r="DZ31" i="2083"/>
  <c r="DY31" i="2083"/>
  <c r="DX31" i="2083"/>
  <c r="DW31" i="2083"/>
  <c r="DV31" i="2083"/>
  <c r="DU31" i="2083"/>
  <c r="DT31" i="2083"/>
  <c r="DS31" i="2083"/>
  <c r="DR31" i="2083"/>
  <c r="DQ31" i="2083"/>
  <c r="DP31" i="2083"/>
  <c r="DO31" i="2083"/>
  <c r="DM31" i="2083"/>
  <c r="DL31" i="2083"/>
  <c r="DK31" i="2083"/>
  <c r="DJ31" i="2083"/>
  <c r="DI31" i="2083"/>
  <c r="DH31" i="2083"/>
  <c r="DG31" i="2083"/>
  <c r="DF31" i="2083"/>
  <c r="DE31" i="2083"/>
  <c r="DD31" i="2083"/>
  <c r="DC31" i="2083"/>
  <c r="DB31" i="2083"/>
  <c r="CZ31" i="2083"/>
  <c r="CY31" i="2083"/>
  <c r="CX31" i="2083"/>
  <c r="CW31" i="2083"/>
  <c r="CV31" i="2083"/>
  <c r="CU31" i="2083"/>
  <c r="CT31" i="2083"/>
  <c r="CS31" i="2083"/>
  <c r="CR31" i="2083"/>
  <c r="CQ31" i="2083"/>
  <c r="CP31" i="2083"/>
  <c r="CO31" i="2083"/>
  <c r="CM31" i="2083"/>
  <c r="CL31" i="2083"/>
  <c r="CK31" i="2083"/>
  <c r="CJ31" i="2083"/>
  <c r="CI31" i="2083"/>
  <c r="CH31" i="2083"/>
  <c r="CG31" i="2083"/>
  <c r="CF31" i="2083"/>
  <c r="CE31" i="2083"/>
  <c r="CD31" i="2083"/>
  <c r="CC31" i="2083"/>
  <c r="CB31" i="2083"/>
  <c r="BZ31" i="2083"/>
  <c r="BY31" i="2083"/>
  <c r="BX31" i="2083"/>
  <c r="BW31" i="2083"/>
  <c r="BV31" i="2083"/>
  <c r="BU31" i="2083"/>
  <c r="BT31" i="2083"/>
  <c r="BS31" i="2083"/>
  <c r="BR31" i="2083"/>
  <c r="BQ31" i="2083"/>
  <c r="BP31" i="2083"/>
  <c r="BO31" i="2083"/>
  <c r="BM31" i="2083"/>
  <c r="BL31" i="2083"/>
  <c r="BK31" i="2083"/>
  <c r="BJ31" i="2083"/>
  <c r="BI31" i="2083"/>
  <c r="BH31" i="2083"/>
  <c r="BG31" i="2083"/>
  <c r="BF31" i="2083"/>
  <c r="BE31" i="2083"/>
  <c r="BD31" i="2083"/>
  <c r="BC31" i="2083"/>
  <c r="BB31" i="2083"/>
  <c r="AZ31" i="2083"/>
  <c r="AY31" i="2083"/>
  <c r="AX31" i="2083"/>
  <c r="AW31" i="2083"/>
  <c r="AV31" i="2083"/>
  <c r="AU31" i="2083"/>
  <c r="AT31" i="2083"/>
  <c r="AS31" i="2083"/>
  <c r="AR31" i="2083"/>
  <c r="AQ31" i="2083"/>
  <c r="AP31" i="2083"/>
  <c r="AO31" i="2083"/>
  <c r="AM31" i="2083"/>
  <c r="AL31" i="2083"/>
  <c r="AK31" i="2083"/>
  <c r="AJ31" i="2083"/>
  <c r="AI31" i="2083"/>
  <c r="AH31" i="2083"/>
  <c r="AG31" i="2083"/>
  <c r="AF31" i="2083"/>
  <c r="AE31" i="2083"/>
  <c r="AD31" i="2083"/>
  <c r="AC31" i="2083"/>
  <c r="AB31" i="2083"/>
  <c r="Z31" i="2083"/>
  <c r="Y31" i="2083"/>
  <c r="X31" i="2083"/>
  <c r="W31" i="2083"/>
  <c r="V31" i="2083"/>
  <c r="U31" i="2083"/>
  <c r="T31" i="2083"/>
  <c r="S31" i="2083"/>
  <c r="R31" i="2083"/>
  <c r="Q31" i="2083"/>
  <c r="P31" i="2083"/>
  <c r="O31" i="2083"/>
  <c r="M31" i="2083"/>
  <c r="L31" i="2083"/>
  <c r="K31" i="2083"/>
  <c r="J31" i="2083"/>
  <c r="I31" i="2083"/>
  <c r="H31" i="2083"/>
  <c r="G31" i="2083"/>
  <c r="F31" i="2083"/>
  <c r="E31" i="2083"/>
  <c r="D31" i="2083"/>
  <c r="C31" i="2083"/>
  <c r="B31" i="2083"/>
  <c r="FA22" i="2083"/>
  <c r="EA22" i="2083"/>
  <c r="DN22" i="2083"/>
  <c r="DA22" i="2083"/>
  <c r="CN22" i="2083"/>
  <c r="CA22" i="2083"/>
  <c r="N22" i="2083"/>
  <c r="N21" i="2083"/>
  <c r="FA14" i="2083"/>
  <c r="EA14" i="2083"/>
  <c r="DN14" i="2083"/>
  <c r="DA14" i="2083"/>
  <c r="CN14" i="2083"/>
  <c r="CA14" i="2083"/>
  <c r="BN14" i="2083"/>
  <c r="BA14" i="2083"/>
  <c r="AN14" i="2083"/>
  <c r="AA14" i="2083"/>
  <c r="N14" i="2083"/>
  <c r="EZ13" i="2083"/>
  <c r="EY13" i="2083"/>
  <c r="EX13" i="2083"/>
  <c r="EW13" i="2083"/>
  <c r="EV13" i="2083"/>
  <c r="EU13" i="2083"/>
  <c r="ET13" i="2083"/>
  <c r="ES13" i="2083"/>
  <c r="ER13" i="2083"/>
  <c r="EQ13" i="2083"/>
  <c r="EP13" i="2083"/>
  <c r="EO13" i="2083"/>
  <c r="DZ13" i="2083"/>
  <c r="DY13" i="2083"/>
  <c r="DX13" i="2083"/>
  <c r="DW13" i="2083"/>
  <c r="DV13" i="2083"/>
  <c r="DU13" i="2083"/>
  <c r="DT13" i="2083"/>
  <c r="DS13" i="2083"/>
  <c r="DR13" i="2083"/>
  <c r="DQ13" i="2083"/>
  <c r="DP13" i="2083"/>
  <c r="DO13" i="2083"/>
  <c r="DM13" i="2083"/>
  <c r="DL13" i="2083"/>
  <c r="DK13" i="2083"/>
  <c r="DJ13" i="2083"/>
  <c r="DI13" i="2083"/>
  <c r="DH13" i="2083"/>
  <c r="DG13" i="2083"/>
  <c r="DF13" i="2083"/>
  <c r="DE13" i="2083"/>
  <c r="DD13" i="2083"/>
  <c r="DC13" i="2083"/>
  <c r="DB13" i="2083"/>
  <c r="CZ13" i="2083"/>
  <c r="CY13" i="2083"/>
  <c r="CX13" i="2083"/>
  <c r="CW13" i="2083"/>
  <c r="CV13" i="2083"/>
  <c r="CU13" i="2083"/>
  <c r="CT13" i="2083"/>
  <c r="CS13" i="2083"/>
  <c r="CR13" i="2083"/>
  <c r="CQ13" i="2083"/>
  <c r="CP13" i="2083"/>
  <c r="CO13" i="2083"/>
  <c r="CM13" i="2083"/>
  <c r="CL13" i="2083"/>
  <c r="CK13" i="2083"/>
  <c r="CJ13" i="2083"/>
  <c r="CI13" i="2083"/>
  <c r="CH13" i="2083"/>
  <c r="CG13" i="2083"/>
  <c r="CF13" i="2083"/>
  <c r="CE13" i="2083"/>
  <c r="CD13" i="2083"/>
  <c r="CC13" i="2083"/>
  <c r="CB13" i="2083"/>
  <c r="BZ13" i="2083"/>
  <c r="BY13" i="2083"/>
  <c r="BX13" i="2083"/>
  <c r="BW13" i="2083"/>
  <c r="BV13" i="2083"/>
  <c r="BU13" i="2083"/>
  <c r="BT13" i="2083"/>
  <c r="BS13" i="2083"/>
  <c r="BR13" i="2083"/>
  <c r="BQ13" i="2083"/>
  <c r="BP13" i="2083"/>
  <c r="BO13" i="2083"/>
  <c r="BM13" i="2083"/>
  <c r="BL13" i="2083"/>
  <c r="BK13" i="2083"/>
  <c r="BJ13" i="2083"/>
  <c r="BI13" i="2083"/>
  <c r="BH13" i="2083"/>
  <c r="BG13" i="2083"/>
  <c r="BF13" i="2083"/>
  <c r="BE13" i="2083"/>
  <c r="BD13" i="2083"/>
  <c r="BC13" i="2083"/>
  <c r="BB13" i="2083"/>
  <c r="AZ13" i="2083"/>
  <c r="AY13" i="2083"/>
  <c r="AX13" i="2083"/>
  <c r="AW13" i="2083"/>
  <c r="AV13" i="2083"/>
  <c r="AU13" i="2083"/>
  <c r="AT13" i="2083"/>
  <c r="AS13" i="2083"/>
  <c r="AR13" i="2083"/>
  <c r="AQ13" i="2083"/>
  <c r="AP13" i="2083"/>
  <c r="AO13" i="2083"/>
  <c r="AM13" i="2083"/>
  <c r="AL13" i="2083"/>
  <c r="AK13" i="2083"/>
  <c r="AJ13" i="2083"/>
  <c r="AI13" i="2083"/>
  <c r="AH13" i="2083"/>
  <c r="AG13" i="2083"/>
  <c r="AF13" i="2083"/>
  <c r="AE13" i="2083"/>
  <c r="AD13" i="2083"/>
  <c r="AC13" i="2083"/>
  <c r="AB13" i="2083"/>
  <c r="Z13" i="2083"/>
  <c r="Y13" i="2083"/>
  <c r="X13" i="2083"/>
  <c r="W13" i="2083"/>
  <c r="V13" i="2083"/>
  <c r="U13" i="2083"/>
  <c r="T13" i="2083"/>
  <c r="S13" i="2083"/>
  <c r="R13" i="2083"/>
  <c r="Q13" i="2083"/>
  <c r="P13" i="2083"/>
  <c r="O13" i="2083"/>
  <c r="M13" i="2083"/>
  <c r="L13" i="2083"/>
  <c r="K13" i="2083"/>
  <c r="J13" i="2083"/>
  <c r="I13" i="2083"/>
  <c r="H13" i="2083"/>
  <c r="G13" i="2083"/>
  <c r="F13" i="2083"/>
  <c r="E13" i="2083"/>
  <c r="D13" i="2083"/>
  <c r="C13" i="2083"/>
  <c r="B13" i="2083"/>
  <c r="FA11" i="2083"/>
  <c r="EA11" i="2083"/>
  <c r="DN11" i="2083"/>
  <c r="DA11" i="2083"/>
  <c r="CN11" i="2083"/>
  <c r="CA11" i="2083"/>
  <c r="BN11" i="2083"/>
  <c r="BA11" i="2083"/>
  <c r="AN11" i="2083"/>
  <c r="AA11" i="2083"/>
  <c r="N11" i="2083"/>
  <c r="FA10" i="2083"/>
  <c r="EA10" i="2083"/>
  <c r="DN10" i="2083"/>
  <c r="DA10" i="2083"/>
  <c r="CN10" i="2083"/>
  <c r="CA10" i="2083"/>
  <c r="BN10" i="2083"/>
  <c r="BA10" i="2083"/>
  <c r="AN10" i="2083"/>
  <c r="AA10" i="2083"/>
  <c r="N10" i="2083"/>
  <c r="FA9" i="2083"/>
  <c r="EA9" i="2083"/>
  <c r="DN9" i="2083"/>
  <c r="DA9" i="2083"/>
  <c r="CN9" i="2083"/>
  <c r="CA9" i="2083"/>
  <c r="BN9" i="2083"/>
  <c r="BA9" i="2083"/>
  <c r="AN9" i="2083"/>
  <c r="AA9" i="2083"/>
  <c r="N9" i="2083"/>
  <c r="FA8" i="2083"/>
  <c r="EA8" i="2083"/>
  <c r="DN8" i="2083"/>
  <c r="DA8" i="2083"/>
  <c r="CN8" i="2083"/>
  <c r="CA8" i="2083"/>
  <c r="BN8" i="2083"/>
  <c r="BA8" i="2083"/>
  <c r="AN8" i="2083"/>
  <c r="AA8" i="2083"/>
  <c r="N8" i="2083"/>
  <c r="FA7" i="2083"/>
  <c r="EA7" i="2083"/>
  <c r="DN7" i="2083"/>
  <c r="DA7" i="2083"/>
  <c r="CN7" i="2083"/>
  <c r="CA7" i="2083"/>
  <c r="BN7" i="2083"/>
  <c r="BA7" i="2083"/>
  <c r="AN7" i="2083"/>
  <c r="AA7" i="2083"/>
  <c r="N7" i="2083"/>
  <c r="EZ17" i="2074"/>
  <c r="EY17" i="2074"/>
  <c r="EX17" i="2074"/>
  <c r="EW17" i="2074"/>
  <c r="EV17" i="2074"/>
  <c r="EU17" i="2074"/>
  <c r="ET17" i="2074"/>
  <c r="ES17" i="2074"/>
  <c r="ER17" i="2074"/>
  <c r="EQ17" i="2074"/>
  <c r="EP17" i="2074"/>
  <c r="EO17" i="2074"/>
  <c r="EZ16" i="2074"/>
  <c r="EY16" i="2074"/>
  <c r="EX16" i="2074"/>
  <c r="EW16" i="2074"/>
  <c r="EV16" i="2074"/>
  <c r="EU16" i="2074"/>
  <c r="ET16" i="2074"/>
  <c r="ES16" i="2074"/>
  <c r="ER16" i="2074"/>
  <c r="EQ16" i="2074"/>
  <c r="EP16" i="2074"/>
  <c r="EO16" i="2074"/>
  <c r="FA13" i="2074"/>
  <c r="EA13" i="2074"/>
  <c r="DN13" i="2074"/>
  <c r="DN17" i="2074" s="1"/>
  <c r="DA13" i="2074"/>
  <c r="CN13" i="2074"/>
  <c r="CA13" i="2074"/>
  <c r="BN13" i="2074"/>
  <c r="BA13" i="2074"/>
  <c r="AN13" i="2074"/>
  <c r="AA13" i="2074"/>
  <c r="N13" i="2074"/>
  <c r="FA12" i="2074"/>
  <c r="EA12" i="2074"/>
  <c r="DN12" i="2074"/>
  <c r="DA12" i="2074"/>
  <c r="DN16" i="2074" s="1"/>
  <c r="CN12" i="2074"/>
  <c r="CA12" i="2074"/>
  <c r="BN12" i="2074"/>
  <c r="BA12" i="2074"/>
  <c r="AN12" i="2074"/>
  <c r="AA12" i="2074"/>
  <c r="N12" i="2074"/>
  <c r="EZ11" i="2074"/>
  <c r="EY11" i="2074"/>
  <c r="EX11" i="2074"/>
  <c r="EW11" i="2074"/>
  <c r="EV11" i="2074"/>
  <c r="EU11" i="2074"/>
  <c r="ET11" i="2074"/>
  <c r="ES11" i="2074"/>
  <c r="ER11" i="2074"/>
  <c r="EQ11" i="2074"/>
  <c r="EP11" i="2074"/>
  <c r="EO11" i="2074"/>
  <c r="DZ11" i="2074"/>
  <c r="EZ15" i="2074" s="1"/>
  <c r="DY11" i="2074"/>
  <c r="EY15" i="2074" s="1"/>
  <c r="DX11" i="2074"/>
  <c r="EX15" i="2074" s="1"/>
  <c r="DW11" i="2074"/>
  <c r="EW15" i="2074" s="1"/>
  <c r="DV11" i="2074"/>
  <c r="DU11" i="2074"/>
  <c r="DT11" i="2074"/>
  <c r="DS11" i="2074"/>
  <c r="DR11" i="2074"/>
  <c r="ER15" i="2074" s="1"/>
  <c r="DQ11" i="2074"/>
  <c r="DP11" i="2074"/>
  <c r="DO11" i="2074"/>
  <c r="DM11" i="2074"/>
  <c r="DL11" i="2074"/>
  <c r="DK11" i="2074"/>
  <c r="DJ11" i="2074"/>
  <c r="DI11" i="2074"/>
  <c r="DH11" i="2074"/>
  <c r="DG11" i="2074"/>
  <c r="DF11" i="2074"/>
  <c r="DE11" i="2074"/>
  <c r="DD11" i="2074"/>
  <c r="DC11" i="2074"/>
  <c r="DB11" i="2074"/>
  <c r="CZ11" i="2074"/>
  <c r="CY11" i="2074"/>
  <c r="CX11" i="2074"/>
  <c r="CW11" i="2074"/>
  <c r="CV11" i="2074"/>
  <c r="CU11" i="2074"/>
  <c r="CT11" i="2074"/>
  <c r="CS11" i="2074"/>
  <c r="CR11" i="2074"/>
  <c r="CQ11" i="2074"/>
  <c r="CP11" i="2074"/>
  <c r="CO11" i="2074"/>
  <c r="CM11" i="2074"/>
  <c r="CL11" i="2074"/>
  <c r="CK11" i="2074"/>
  <c r="CJ11" i="2074"/>
  <c r="CI11" i="2074"/>
  <c r="CH11" i="2074"/>
  <c r="CG11" i="2074"/>
  <c r="CF11" i="2074"/>
  <c r="CE11" i="2074"/>
  <c r="CD11" i="2074"/>
  <c r="CC11" i="2074"/>
  <c r="CB11" i="2074"/>
  <c r="BZ11" i="2074"/>
  <c r="BY11" i="2074"/>
  <c r="BX11" i="2074"/>
  <c r="BW11" i="2074"/>
  <c r="BV11" i="2074"/>
  <c r="BU11" i="2074"/>
  <c r="BT11" i="2074"/>
  <c r="BS11" i="2074"/>
  <c r="BR11" i="2074"/>
  <c r="BQ11" i="2074"/>
  <c r="BP11" i="2074"/>
  <c r="BO11" i="2074"/>
  <c r="BN11" i="2074"/>
  <c r="BM11" i="2074"/>
  <c r="BL11" i="2074"/>
  <c r="BK11" i="2074"/>
  <c r="BJ11" i="2074"/>
  <c r="BI11" i="2074"/>
  <c r="BH11" i="2074"/>
  <c r="BG11" i="2074"/>
  <c r="BF11" i="2074"/>
  <c r="BE11" i="2074"/>
  <c r="BD11" i="2074"/>
  <c r="BC11" i="2074"/>
  <c r="BB11" i="2074"/>
  <c r="AZ11" i="2074"/>
  <c r="AY11" i="2074"/>
  <c r="AX11" i="2074"/>
  <c r="AW11" i="2074"/>
  <c r="AV11" i="2074"/>
  <c r="AU11" i="2074"/>
  <c r="AT11" i="2074"/>
  <c r="AS11" i="2074"/>
  <c r="AR11" i="2074"/>
  <c r="AQ11" i="2074"/>
  <c r="AP11" i="2074"/>
  <c r="AO11" i="2074"/>
  <c r="AM11" i="2074"/>
  <c r="AL11" i="2074"/>
  <c r="AK11" i="2074"/>
  <c r="AJ11" i="2074"/>
  <c r="AI11" i="2074"/>
  <c r="AH11" i="2074"/>
  <c r="AG11" i="2074"/>
  <c r="AF11" i="2074"/>
  <c r="AE11" i="2074"/>
  <c r="AD11" i="2074"/>
  <c r="AC11" i="2074"/>
  <c r="AB11" i="2074"/>
  <c r="O11" i="2074"/>
  <c r="M11" i="2074"/>
  <c r="L11" i="2074"/>
  <c r="K11" i="2074"/>
  <c r="J11" i="2074"/>
  <c r="I11" i="2074"/>
  <c r="H11" i="2074"/>
  <c r="G11" i="2074"/>
  <c r="F11" i="2074"/>
  <c r="E11" i="2074"/>
  <c r="D11" i="2074"/>
  <c r="C11" i="2074"/>
  <c r="B11" i="2074"/>
  <c r="FA9" i="2074"/>
  <c r="EA9" i="2074"/>
  <c r="DN9" i="2074"/>
  <c r="DA9" i="2074"/>
  <c r="CN9" i="2074"/>
  <c r="CA9" i="2074"/>
  <c r="BN9" i="2074"/>
  <c r="BA9" i="2074"/>
  <c r="AN9" i="2074"/>
  <c r="AA9" i="2074"/>
  <c r="N9" i="2074"/>
  <c r="FA8" i="2074"/>
  <c r="EA8" i="2074"/>
  <c r="DN8" i="2074"/>
  <c r="DA8" i="2074"/>
  <c r="CN8" i="2074"/>
  <c r="CA8" i="2074"/>
  <c r="BN8" i="2074"/>
  <c r="BN7" i="2074" s="1"/>
  <c r="BA8" i="2074"/>
  <c r="AN8" i="2074"/>
  <c r="AA8" i="2074"/>
  <c r="N8" i="2074"/>
  <c r="EZ7" i="2074"/>
  <c r="EY7" i="2074"/>
  <c r="EX7" i="2074"/>
  <c r="EW7" i="2074"/>
  <c r="EV7" i="2074"/>
  <c r="EU7" i="2074"/>
  <c r="ET7" i="2074"/>
  <c r="ES7" i="2074"/>
  <c r="ER7" i="2074"/>
  <c r="EQ7" i="2074"/>
  <c r="EP7" i="2074"/>
  <c r="EO7" i="2074"/>
  <c r="DZ7" i="2074"/>
  <c r="DY7" i="2074"/>
  <c r="DX7" i="2074"/>
  <c r="DW7" i="2074"/>
  <c r="DV7" i="2074"/>
  <c r="DU7" i="2074"/>
  <c r="DT7" i="2074"/>
  <c r="DS7" i="2074"/>
  <c r="DR7" i="2074"/>
  <c r="DQ7" i="2074"/>
  <c r="DP7" i="2074"/>
  <c r="DO7" i="2074"/>
  <c r="DM7" i="2074"/>
  <c r="DL7" i="2074"/>
  <c r="DK7" i="2074"/>
  <c r="DJ7" i="2074"/>
  <c r="DI7" i="2074"/>
  <c r="DH7" i="2074"/>
  <c r="DG7" i="2074"/>
  <c r="DF7" i="2074"/>
  <c r="DE7" i="2074"/>
  <c r="DD7" i="2074"/>
  <c r="DC7" i="2074"/>
  <c r="DB7" i="2074"/>
  <c r="CZ7" i="2074"/>
  <c r="CY7" i="2074"/>
  <c r="CX7" i="2074"/>
  <c r="CW7" i="2074"/>
  <c r="CV7" i="2074"/>
  <c r="CU7" i="2074"/>
  <c r="CT7" i="2074"/>
  <c r="CS7" i="2074"/>
  <c r="CR7" i="2074"/>
  <c r="CQ7" i="2074"/>
  <c r="CP7" i="2074"/>
  <c r="CO7" i="2074"/>
  <c r="CM7" i="2074"/>
  <c r="CL7" i="2074"/>
  <c r="CK7" i="2074"/>
  <c r="CJ7" i="2074"/>
  <c r="CI7" i="2074"/>
  <c r="CH7" i="2074"/>
  <c r="CG7" i="2074"/>
  <c r="CF7" i="2074"/>
  <c r="CE7" i="2074"/>
  <c r="CD7" i="2074"/>
  <c r="CC7" i="2074"/>
  <c r="CB7" i="2074"/>
  <c r="BZ7" i="2074"/>
  <c r="BY7" i="2074"/>
  <c r="BX7" i="2074"/>
  <c r="BW7" i="2074"/>
  <c r="BV7" i="2074"/>
  <c r="BU7" i="2074"/>
  <c r="BT7" i="2074"/>
  <c r="BS7" i="2074"/>
  <c r="BR7" i="2074"/>
  <c r="BQ7" i="2074"/>
  <c r="BP7" i="2074"/>
  <c r="BO7" i="2074"/>
  <c r="BM7" i="2074"/>
  <c r="BL7" i="2074"/>
  <c r="BK7" i="2074"/>
  <c r="BJ7" i="2074"/>
  <c r="BI7" i="2074"/>
  <c r="BH7" i="2074"/>
  <c r="BG7" i="2074"/>
  <c r="BF7" i="2074"/>
  <c r="BE7" i="2074"/>
  <c r="BD7" i="2074"/>
  <c r="BC7" i="2074"/>
  <c r="BB7" i="2074"/>
  <c r="AZ7" i="2074"/>
  <c r="AY7" i="2074"/>
  <c r="AX7" i="2074"/>
  <c r="AW7" i="2074"/>
  <c r="AV7" i="2074"/>
  <c r="AU7" i="2074"/>
  <c r="AT7" i="2074"/>
  <c r="AS7" i="2074"/>
  <c r="AR7" i="2074"/>
  <c r="AQ7" i="2074"/>
  <c r="AP7" i="2074"/>
  <c r="AO7" i="2074"/>
  <c r="AM7" i="2074"/>
  <c r="AL7" i="2074"/>
  <c r="AK7" i="2074"/>
  <c r="AJ7" i="2074"/>
  <c r="AI7" i="2074"/>
  <c r="AH7" i="2074"/>
  <c r="AG7" i="2074"/>
  <c r="AF7" i="2074"/>
  <c r="AE7" i="2074"/>
  <c r="AD7" i="2074"/>
  <c r="AC7" i="2074"/>
  <c r="AB7" i="2074"/>
  <c r="O7" i="2074"/>
  <c r="AA7" i="2074" s="1"/>
  <c r="M7" i="2074"/>
  <c r="L7" i="2074"/>
  <c r="K7" i="2074"/>
  <c r="J7" i="2074"/>
  <c r="I7" i="2074"/>
  <c r="H7" i="2074"/>
  <c r="G7" i="2074"/>
  <c r="F7" i="2074"/>
  <c r="E7" i="2074"/>
  <c r="D7" i="2074"/>
  <c r="C7" i="2074"/>
  <c r="B7" i="2074"/>
  <c r="FD5" i="2074"/>
  <c r="FF5" i="2074" s="1"/>
  <c r="EA5" i="2074"/>
  <c r="DN5" i="2074"/>
  <c r="DA5" i="2074"/>
  <c r="CN5" i="2074"/>
  <c r="CA5" i="2074"/>
  <c r="BN5" i="2074"/>
  <c r="BA5" i="2074"/>
  <c r="AN5" i="2074"/>
  <c r="AA5" i="2074"/>
  <c r="N5" i="2074"/>
  <c r="DZ41" i="2082"/>
  <c r="DZ7" i="2082" s="1"/>
  <c r="DY41" i="2082"/>
  <c r="DW41" i="2082"/>
  <c r="DW7" i="2082" s="1"/>
  <c r="DV41" i="2082"/>
  <c r="DV7" i="2082" s="1"/>
  <c r="DU41" i="2082"/>
  <c r="DU7" i="2082" s="1"/>
  <c r="DT41" i="2082"/>
  <c r="DT7" i="2082" s="1"/>
  <c r="DS41" i="2082"/>
  <c r="DS7" i="2082" s="1"/>
  <c r="DR41" i="2082"/>
  <c r="DQ41" i="2082"/>
  <c r="DP41" i="2082"/>
  <c r="DO41" i="2082"/>
  <c r="DM41" i="2082"/>
  <c r="DM7" i="2082" s="1"/>
  <c r="DL41" i="2082"/>
  <c r="DL7" i="2082" s="1"/>
  <c r="DK41" i="2082"/>
  <c r="DJ41" i="2082"/>
  <c r="DI41" i="2082"/>
  <c r="DI7" i="2082" s="1"/>
  <c r="DH41" i="2082"/>
  <c r="DH7" i="2082" s="1"/>
  <c r="DG41" i="2082"/>
  <c r="DG7" i="2082" s="1"/>
  <c r="DF41" i="2082"/>
  <c r="DF7" i="2082" s="1"/>
  <c r="DE41" i="2082"/>
  <c r="DE7" i="2082" s="1"/>
  <c r="CZ41" i="2082"/>
  <c r="CZ7" i="2082" s="1"/>
  <c r="CY41" i="2082"/>
  <c r="CX41" i="2082"/>
  <c r="CX7" i="2082" s="1"/>
  <c r="CW41" i="2082"/>
  <c r="CW7" i="2082" s="1"/>
  <c r="CV41" i="2082"/>
  <c r="CV7" i="2082" s="1"/>
  <c r="CU41" i="2082"/>
  <c r="CU7" i="2082" s="1"/>
  <c r="CT41" i="2082"/>
  <c r="CT7" i="2082" s="1"/>
  <c r="CS41" i="2082"/>
  <c r="CS7" i="2082" s="1"/>
  <c r="CR41" i="2082"/>
  <c r="CR7" i="2082" s="1"/>
  <c r="CQ41" i="2082"/>
  <c r="CQ7" i="2082" s="1"/>
  <c r="CP41" i="2082"/>
  <c r="CP7" i="2082" s="1"/>
  <c r="CO41" i="2082"/>
  <c r="CM41" i="2082"/>
  <c r="CL41" i="2082"/>
  <c r="CG41" i="2082"/>
  <c r="CG7" i="2082" s="1"/>
  <c r="CD41" i="2082"/>
  <c r="BW41" i="2082"/>
  <c r="BW7" i="2082" s="1"/>
  <c r="BM41" i="2082"/>
  <c r="BL41" i="2082"/>
  <c r="BL7" i="2082" s="1"/>
  <c r="BK41" i="2082"/>
  <c r="BK7" i="2082" s="1"/>
  <c r="BJ41" i="2082"/>
  <c r="BJ7" i="2082" s="1"/>
  <c r="BI41" i="2082"/>
  <c r="BI7" i="2082" s="1"/>
  <c r="BH41" i="2082"/>
  <c r="BH7" i="2082" s="1"/>
  <c r="BG41" i="2082"/>
  <c r="BF41" i="2082"/>
  <c r="BE41" i="2082"/>
  <c r="BD41" i="2082"/>
  <c r="BD7" i="2082" s="1"/>
  <c r="BC41" i="2082"/>
  <c r="BC7" i="2082" s="1"/>
  <c r="BB41" i="2082"/>
  <c r="AM41" i="2082"/>
  <c r="AM7" i="2082" s="1"/>
  <c r="AL41" i="2082"/>
  <c r="AL7" i="2082" s="1"/>
  <c r="AK41" i="2082"/>
  <c r="AK7" i="2082" s="1"/>
  <c r="AJ41" i="2082"/>
  <c r="AJ7" i="2082" s="1"/>
  <c r="AI41" i="2082"/>
  <c r="AI7" i="2082" s="1"/>
  <c r="AH41" i="2082"/>
  <c r="AG41" i="2082"/>
  <c r="AF41" i="2082"/>
  <c r="AF7" i="2082" s="1"/>
  <c r="AE41" i="2082"/>
  <c r="AE7" i="2082" s="1"/>
  <c r="AD41" i="2082"/>
  <c r="AC41" i="2082"/>
  <c r="AC7" i="2082" s="1"/>
  <c r="AB41" i="2082"/>
  <c r="Z41" i="2082"/>
  <c r="Z7" i="2082" s="1"/>
  <c r="Y41" i="2082"/>
  <c r="Y7" i="2082" s="1"/>
  <c r="X41" i="2082"/>
  <c r="X7" i="2082" s="1"/>
  <c r="W41" i="2082"/>
  <c r="W7" i="2082" s="1"/>
  <c r="V41" i="2082"/>
  <c r="V7" i="2082" s="1"/>
  <c r="U41" i="2082"/>
  <c r="U7" i="2082" s="1"/>
  <c r="T41" i="2082"/>
  <c r="T7" i="2082" s="1"/>
  <c r="S41" i="2082"/>
  <c r="S7" i="2082" s="1"/>
  <c r="R41" i="2082"/>
  <c r="Q41" i="2082"/>
  <c r="Q7" i="2082" s="1"/>
  <c r="P41" i="2082"/>
  <c r="P7" i="2082" s="1"/>
  <c r="O41" i="2082"/>
  <c r="M41" i="2082"/>
  <c r="M7" i="2082" s="1"/>
  <c r="L41" i="2082"/>
  <c r="L7" i="2082" s="1"/>
  <c r="K41" i="2082"/>
  <c r="K7" i="2082" s="1"/>
  <c r="J41" i="2082"/>
  <c r="J7" i="2082" s="1"/>
  <c r="I41" i="2082"/>
  <c r="I7" i="2082" s="1"/>
  <c r="H41" i="2082"/>
  <c r="H7" i="2082" s="1"/>
  <c r="G41" i="2082"/>
  <c r="G7" i="2082" s="1"/>
  <c r="F41" i="2082"/>
  <c r="F7" i="2082" s="1"/>
  <c r="E41" i="2082"/>
  <c r="E7" i="2082" s="1"/>
  <c r="D41" i="2082"/>
  <c r="C41" i="2082"/>
  <c r="B41" i="2082"/>
  <c r="FI32" i="2082"/>
  <c r="FI19" i="2082"/>
  <c r="C17" i="2082"/>
  <c r="EZ7" i="2082"/>
  <c r="EY7" i="2082"/>
  <c r="EX7" i="2082"/>
  <c r="EW7" i="2082"/>
  <c r="EV7" i="2082"/>
  <c r="EU7" i="2082"/>
  <c r="ET7" i="2082"/>
  <c r="ES7" i="2082"/>
  <c r="ER7" i="2082"/>
  <c r="EQ7" i="2082"/>
  <c r="EP7" i="2082"/>
  <c r="DY7" i="2082"/>
  <c r="DX7" i="2082"/>
  <c r="DR7" i="2082"/>
  <c r="DQ7" i="2082"/>
  <c r="DP7" i="2082"/>
  <c r="DK7" i="2082"/>
  <c r="DJ7" i="2082"/>
  <c r="DD7" i="2082"/>
  <c r="DC7" i="2082"/>
  <c r="DB7" i="2082"/>
  <c r="CY7" i="2082"/>
  <c r="CO7" i="2082"/>
  <c r="CM7" i="2082"/>
  <c r="CL7" i="2082"/>
  <c r="CK7" i="2082"/>
  <c r="CJ7" i="2082"/>
  <c r="CI7" i="2082"/>
  <c r="CH7" i="2082"/>
  <c r="CF7" i="2082"/>
  <c r="CE7" i="2082"/>
  <c r="CC7" i="2082"/>
  <c r="CB7" i="2082"/>
  <c r="BZ7" i="2082"/>
  <c r="BY7" i="2082"/>
  <c r="BX7" i="2082"/>
  <c r="BV7" i="2082"/>
  <c r="BU7" i="2082"/>
  <c r="BT7" i="2082"/>
  <c r="BS7" i="2082"/>
  <c r="BR7" i="2082"/>
  <c r="BQ7" i="2082"/>
  <c r="BP7" i="2082"/>
  <c r="BO7" i="2082"/>
  <c r="BM7" i="2082"/>
  <c r="BG7" i="2082"/>
  <c r="BF7" i="2082"/>
  <c r="BE7" i="2082"/>
  <c r="BB7" i="2082"/>
  <c r="AZ7" i="2082"/>
  <c r="AY7" i="2082"/>
  <c r="AX7" i="2082"/>
  <c r="AW7" i="2082"/>
  <c r="AV7" i="2082"/>
  <c r="AU7" i="2082"/>
  <c r="AT7" i="2082"/>
  <c r="AS7" i="2082"/>
  <c r="AR7" i="2082"/>
  <c r="AQ7" i="2082"/>
  <c r="AP7" i="2082"/>
  <c r="AO7" i="2082"/>
  <c r="AH7" i="2082"/>
  <c r="AG7" i="2082"/>
  <c r="AD7" i="2082"/>
  <c r="R7" i="2082"/>
  <c r="D7" i="2082"/>
  <c r="B7" i="2082"/>
  <c r="DZ41" i="2081"/>
  <c r="DY41" i="2081"/>
  <c r="DY7" i="2081" s="1"/>
  <c r="DY47" i="2081" s="1"/>
  <c r="DX41" i="2081"/>
  <c r="DX7" i="2081" s="1"/>
  <c r="DX47" i="2081" s="1"/>
  <c r="DW41" i="2081"/>
  <c r="DV41" i="2081"/>
  <c r="DU41" i="2081"/>
  <c r="DT41" i="2081"/>
  <c r="DS41" i="2081"/>
  <c r="DR41" i="2081"/>
  <c r="DQ41" i="2081"/>
  <c r="DP41" i="2081"/>
  <c r="DO41" i="2081"/>
  <c r="DM41" i="2081"/>
  <c r="DL41" i="2081"/>
  <c r="DK41" i="2081"/>
  <c r="DJ41" i="2081"/>
  <c r="DI41" i="2081"/>
  <c r="DH41" i="2081"/>
  <c r="DG41" i="2081"/>
  <c r="DF41" i="2081"/>
  <c r="CZ41" i="2081"/>
  <c r="CZ7" i="2081" s="1"/>
  <c r="CY41" i="2081"/>
  <c r="CY7" i="2081" s="1"/>
  <c r="CX41" i="2081"/>
  <c r="CX7" i="2081" s="1"/>
  <c r="CW41" i="2081"/>
  <c r="CW7" i="2081" s="1"/>
  <c r="CV41" i="2081"/>
  <c r="CV7" i="2081" s="1"/>
  <c r="CU41" i="2081"/>
  <c r="CU7" i="2081" s="1"/>
  <c r="CT41" i="2081"/>
  <c r="CT7" i="2081" s="1"/>
  <c r="CS41" i="2081"/>
  <c r="CS7" i="2081" s="1"/>
  <c r="CR41" i="2081"/>
  <c r="CR7" i="2081" s="1"/>
  <c r="CQ41" i="2081"/>
  <c r="CQ7" i="2081" s="1"/>
  <c r="CP41" i="2081"/>
  <c r="CP7" i="2081" s="1"/>
  <c r="CO41" i="2081"/>
  <c r="CM41" i="2081"/>
  <c r="CN41" i="2081" s="1"/>
  <c r="BW41" i="2081"/>
  <c r="BV41" i="2081"/>
  <c r="BT41" i="2081"/>
  <c r="BM41" i="2081"/>
  <c r="BM7" i="2081" s="1"/>
  <c r="BL41" i="2081"/>
  <c r="BL7" i="2081" s="1"/>
  <c r="BK41" i="2081"/>
  <c r="BK7" i="2081" s="1"/>
  <c r="BJ41" i="2081"/>
  <c r="BJ7" i="2081" s="1"/>
  <c r="BI41" i="2081"/>
  <c r="BI7" i="2081" s="1"/>
  <c r="BH41" i="2081"/>
  <c r="BH7" i="2081" s="1"/>
  <c r="BG41" i="2081"/>
  <c r="BG7" i="2081" s="1"/>
  <c r="BF41" i="2081"/>
  <c r="BF7" i="2081" s="1"/>
  <c r="BE41" i="2081"/>
  <c r="BD41" i="2081"/>
  <c r="BD7" i="2081" s="1"/>
  <c r="BC41" i="2081"/>
  <c r="BC7" i="2081" s="1"/>
  <c r="BB41" i="2081"/>
  <c r="AM41" i="2081"/>
  <c r="AM7" i="2081" s="1"/>
  <c r="AL41" i="2081"/>
  <c r="AL7" i="2081" s="1"/>
  <c r="AK41" i="2081"/>
  <c r="AK7" i="2081" s="1"/>
  <c r="AJ41" i="2081"/>
  <c r="AJ7" i="2081" s="1"/>
  <c r="AI41" i="2081"/>
  <c r="AI7" i="2081" s="1"/>
  <c r="AH41" i="2081"/>
  <c r="AH7" i="2081" s="1"/>
  <c r="AG41" i="2081"/>
  <c r="AG7" i="2081" s="1"/>
  <c r="AF41" i="2081"/>
  <c r="AF7" i="2081" s="1"/>
  <c r="AE41" i="2081"/>
  <c r="AE7" i="2081" s="1"/>
  <c r="AD41" i="2081"/>
  <c r="AD7" i="2081" s="1"/>
  <c r="AC41" i="2081"/>
  <c r="AC7" i="2081" s="1"/>
  <c r="AB41" i="2081"/>
  <c r="Z41" i="2081"/>
  <c r="Z7" i="2081" s="1"/>
  <c r="Y41" i="2081"/>
  <c r="Y7" i="2081" s="1"/>
  <c r="X41" i="2081"/>
  <c r="X7" i="2081" s="1"/>
  <c r="W41" i="2081"/>
  <c r="W7" i="2081" s="1"/>
  <c r="V41" i="2081"/>
  <c r="V7" i="2081" s="1"/>
  <c r="U41" i="2081"/>
  <c r="U7" i="2081" s="1"/>
  <c r="S41" i="2081"/>
  <c r="S7" i="2081" s="1"/>
  <c r="R41" i="2081"/>
  <c r="R7" i="2081" s="1"/>
  <c r="Q41" i="2081"/>
  <c r="Q7" i="2081" s="1"/>
  <c r="P41" i="2081"/>
  <c r="P7" i="2081" s="1"/>
  <c r="O41" i="2081"/>
  <c r="M41" i="2081"/>
  <c r="M7" i="2081" s="1"/>
  <c r="L41" i="2081"/>
  <c r="L7" i="2081" s="1"/>
  <c r="K41" i="2081"/>
  <c r="K7" i="2081" s="1"/>
  <c r="J41" i="2081"/>
  <c r="J7" i="2081" s="1"/>
  <c r="I41" i="2081"/>
  <c r="I7" i="2081" s="1"/>
  <c r="H41" i="2081"/>
  <c r="H7" i="2081" s="1"/>
  <c r="G41" i="2081"/>
  <c r="E41" i="2081"/>
  <c r="E7" i="2081" s="1"/>
  <c r="D41" i="2081"/>
  <c r="D7" i="2081" s="1"/>
  <c r="C41" i="2081"/>
  <c r="C7" i="2081" s="1"/>
  <c r="B41" i="2081"/>
  <c r="DV40" i="2081"/>
  <c r="DU40" i="2081"/>
  <c r="DT40" i="2081"/>
  <c r="DS40" i="2081"/>
  <c r="DR40" i="2081"/>
  <c r="DQ40" i="2081"/>
  <c r="DP40" i="2081"/>
  <c r="DI40" i="2081"/>
  <c r="DH40" i="2081"/>
  <c r="DG40" i="2081"/>
  <c r="DN40" i="2081" s="1"/>
  <c r="BW40" i="2081"/>
  <c r="BV40" i="2081"/>
  <c r="CA40" i="2081" s="1"/>
  <c r="BV36" i="2081"/>
  <c r="CA36" i="2081" s="1"/>
  <c r="BW35" i="2081"/>
  <c r="CA35" i="2081" s="1"/>
  <c r="DW30" i="2081"/>
  <c r="DV30" i="2081"/>
  <c r="DU30" i="2081"/>
  <c r="DT30" i="2081"/>
  <c r="DS30" i="2081"/>
  <c r="DR30" i="2081"/>
  <c r="DQ30" i="2081"/>
  <c r="DP30" i="2081"/>
  <c r="DO30" i="2081"/>
  <c r="DM30" i="2081"/>
  <c r="DK30" i="2081"/>
  <c r="DJ30" i="2081"/>
  <c r="DI30" i="2081"/>
  <c r="DH30" i="2081"/>
  <c r="DG30" i="2081"/>
  <c r="BW30" i="2081"/>
  <c r="BV30" i="2081"/>
  <c r="DW29" i="2081"/>
  <c r="DU29" i="2081"/>
  <c r="DR29" i="2081"/>
  <c r="DQ29" i="2081"/>
  <c r="DP29" i="2081"/>
  <c r="DO29" i="2081"/>
  <c r="EA29" i="2081" s="1"/>
  <c r="DM29" i="2081"/>
  <c r="DL29" i="2081"/>
  <c r="DK29" i="2081"/>
  <c r="DI29" i="2081"/>
  <c r="DH29" i="2081"/>
  <c r="DN29" i="2081" s="1"/>
  <c r="BW29" i="2081"/>
  <c r="BV29" i="2081"/>
  <c r="DW28" i="2081"/>
  <c r="DV28" i="2081"/>
  <c r="DU28" i="2081"/>
  <c r="DT28" i="2081"/>
  <c r="DS28" i="2081"/>
  <c r="DR28" i="2081"/>
  <c r="DQ28" i="2081"/>
  <c r="DP28" i="2081"/>
  <c r="DO28" i="2081"/>
  <c r="DM28" i="2081"/>
  <c r="DL28" i="2081"/>
  <c r="DK28" i="2081"/>
  <c r="DJ28" i="2081"/>
  <c r="DI28" i="2081"/>
  <c r="DH28" i="2081"/>
  <c r="DG28" i="2081"/>
  <c r="DF28" i="2081"/>
  <c r="BW28" i="2081"/>
  <c r="CA28" i="2081" s="1"/>
  <c r="BE28" i="2081"/>
  <c r="BN28" i="2081" s="1"/>
  <c r="DW23" i="2081"/>
  <c r="DR23" i="2081"/>
  <c r="DP23" i="2081"/>
  <c r="DO23" i="2081"/>
  <c r="DK23" i="2081"/>
  <c r="DN23" i="2081" s="1"/>
  <c r="DP21" i="2081"/>
  <c r="EA21" i="2081" s="1"/>
  <c r="DW20" i="2081"/>
  <c r="DV20" i="2081"/>
  <c r="DU20" i="2081"/>
  <c r="DR20" i="2081"/>
  <c r="DQ20" i="2081"/>
  <c r="DP20" i="2081"/>
  <c r="BW20" i="2081"/>
  <c r="CA20" i="2081" s="1"/>
  <c r="DI19" i="2081"/>
  <c r="DN19" i="2081" s="1"/>
  <c r="BV19" i="2081"/>
  <c r="CA19" i="2081" s="1"/>
  <c r="DW17" i="2081"/>
  <c r="DT17" i="2081"/>
  <c r="DS17" i="2081"/>
  <c r="DR17" i="2081"/>
  <c r="DQ17" i="2081"/>
  <c r="DP17" i="2081"/>
  <c r="DO17" i="2081"/>
  <c r="EA17" i="2081" s="1"/>
  <c r="DM17" i="2081"/>
  <c r="DL17" i="2081"/>
  <c r="DK17" i="2081"/>
  <c r="DJ17" i="2081"/>
  <c r="DI17" i="2081"/>
  <c r="DH17" i="2081"/>
  <c r="DG17" i="2081"/>
  <c r="DC17" i="2081"/>
  <c r="BW17" i="2081"/>
  <c r="BV17" i="2081"/>
  <c r="DI16" i="2081"/>
  <c r="DN16" i="2081" s="1"/>
  <c r="DW11" i="2081"/>
  <c r="DV11" i="2081"/>
  <c r="DT11" i="2081"/>
  <c r="DQ11" i="2081"/>
  <c r="DO11" i="2081"/>
  <c r="DL11" i="2081"/>
  <c r="DK11" i="2081"/>
  <c r="DJ11" i="2081"/>
  <c r="DI11" i="2081"/>
  <c r="DH11" i="2081"/>
  <c r="DG11" i="2081"/>
  <c r="DC11" i="2081"/>
  <c r="DC7" i="2081" s="1"/>
  <c r="DB11" i="2081"/>
  <c r="BW11" i="2081"/>
  <c r="BV11" i="2081"/>
  <c r="DV10" i="2081"/>
  <c r="EA10" i="2081" s="1"/>
  <c r="T10" i="2081"/>
  <c r="AA10" i="2081" s="1"/>
  <c r="G10" i="2081"/>
  <c r="N10" i="2081" s="1"/>
  <c r="DV9" i="2081"/>
  <c r="DU9" i="2081"/>
  <c r="BW9" i="2081"/>
  <c r="BV9" i="2081"/>
  <c r="CA9" i="2081" s="1"/>
  <c r="EO7" i="2081"/>
  <c r="EZ68" i="1720"/>
  <c r="EZ70" i="1720" s="1"/>
  <c r="EY68" i="1720"/>
  <c r="EY70" i="1720" s="1"/>
  <c r="EX68" i="1720"/>
  <c r="EX70" i="1720" s="1"/>
  <c r="EW68" i="1720"/>
  <c r="EW70" i="1720" s="1"/>
  <c r="EV68" i="1720"/>
  <c r="EV70" i="1720" s="1"/>
  <c r="EU68" i="1720"/>
  <c r="EU70" i="1720" s="1"/>
  <c r="ET68" i="1720"/>
  <c r="ET70" i="1720" s="1"/>
  <c r="ES68" i="1720"/>
  <c r="ES70" i="1720" s="1"/>
  <c r="ER68" i="1720"/>
  <c r="ER70" i="1720" s="1"/>
  <c r="DZ68" i="1720"/>
  <c r="DZ70" i="1720" s="1"/>
  <c r="DY68" i="1720"/>
  <c r="DY70" i="1720" s="1"/>
  <c r="DX68" i="1720"/>
  <c r="DX70" i="1720" s="1"/>
  <c r="DW68" i="1720"/>
  <c r="DW70" i="1720" s="1"/>
  <c r="DV68" i="1720"/>
  <c r="DV70" i="1720" s="1"/>
  <c r="DU68" i="1720"/>
  <c r="DU70" i="1720" s="1"/>
  <c r="DT68" i="1720"/>
  <c r="DT70" i="1720" s="1"/>
  <c r="DS68" i="1720"/>
  <c r="DS70" i="1720" s="1"/>
  <c r="DR68" i="1720"/>
  <c r="DR70" i="1720" s="1"/>
  <c r="DQ68" i="1720"/>
  <c r="DQ70" i="1720" s="1"/>
  <c r="DP68" i="1720"/>
  <c r="DP70" i="1720" s="1"/>
  <c r="DO68" i="1720"/>
  <c r="DO70" i="1720" s="1"/>
  <c r="DM68" i="1720"/>
  <c r="DM70" i="1720" s="1"/>
  <c r="DK68" i="1720"/>
  <c r="DJ68" i="1720"/>
  <c r="DJ70" i="1720" s="1"/>
  <c r="DI68" i="1720"/>
  <c r="DI70" i="1720" s="1"/>
  <c r="DH68" i="1720"/>
  <c r="DH70" i="1720" s="1"/>
  <c r="DG68" i="1720"/>
  <c r="DG70" i="1720" s="1"/>
  <c r="DF68" i="1720"/>
  <c r="DF70" i="1720" s="1"/>
  <c r="DE68" i="1720"/>
  <c r="DE70" i="1720" s="1"/>
  <c r="DD68" i="1720"/>
  <c r="DD70" i="1720" s="1"/>
  <c r="DC68" i="1720"/>
  <c r="DC70" i="1720" s="1"/>
  <c r="DB68" i="1720"/>
  <c r="DB70" i="1720" s="1"/>
  <c r="CZ68" i="1720"/>
  <c r="CZ70" i="1720" s="1"/>
  <c r="CY68" i="1720"/>
  <c r="CY70" i="1720" s="1"/>
  <c r="CX68" i="1720"/>
  <c r="CX70" i="1720" s="1"/>
  <c r="CW68" i="1720"/>
  <c r="CW70" i="1720" s="1"/>
  <c r="CV68" i="1720"/>
  <c r="CV70" i="1720" s="1"/>
  <c r="CU68" i="1720"/>
  <c r="CU70" i="1720" s="1"/>
  <c r="CT68" i="1720"/>
  <c r="CT70" i="1720" s="1"/>
  <c r="CS68" i="1720"/>
  <c r="CS70" i="1720" s="1"/>
  <c r="CM68" i="1720"/>
  <c r="CM70" i="1720" s="1"/>
  <c r="CL68" i="1720"/>
  <c r="CL70" i="1720" s="1"/>
  <c r="CK68" i="1720"/>
  <c r="CK70" i="1720" s="1"/>
  <c r="CJ68" i="1720"/>
  <c r="CJ70" i="1720" s="1"/>
  <c r="CI68" i="1720"/>
  <c r="CI70" i="1720" s="1"/>
  <c r="CH68" i="1720"/>
  <c r="CH70" i="1720" s="1"/>
  <c r="CG68" i="1720"/>
  <c r="CG70" i="1720" s="1"/>
  <c r="CF68" i="1720"/>
  <c r="CF70" i="1720" s="1"/>
  <c r="CE68" i="1720"/>
  <c r="CE70" i="1720" s="1"/>
  <c r="CD68" i="1720"/>
  <c r="CD70" i="1720" s="1"/>
  <c r="CC68" i="1720"/>
  <c r="CC70" i="1720" s="1"/>
  <c r="CB68" i="1720"/>
  <c r="BZ68" i="1720"/>
  <c r="BY68" i="1720"/>
  <c r="BX68" i="1720"/>
  <c r="BW68" i="1720"/>
  <c r="BV68" i="1720"/>
  <c r="BU68" i="1720"/>
  <c r="BT68" i="1720"/>
  <c r="BS68" i="1720"/>
  <c r="BR68" i="1720"/>
  <c r="BQ68" i="1720"/>
  <c r="BP68" i="1720"/>
  <c r="BO68" i="1720"/>
  <c r="BM68" i="1720"/>
  <c r="BL68" i="1720"/>
  <c r="BK68" i="1720"/>
  <c r="BJ68" i="1720"/>
  <c r="BI68" i="1720"/>
  <c r="BH68" i="1720"/>
  <c r="BG68" i="1720"/>
  <c r="BF68" i="1720"/>
  <c r="BE68" i="1720"/>
  <c r="BD68" i="1720"/>
  <c r="BC68" i="1720"/>
  <c r="BB68" i="1720"/>
  <c r="AZ68" i="1720"/>
  <c r="AY68" i="1720"/>
  <c r="AX68" i="1720"/>
  <c r="AW68" i="1720"/>
  <c r="AV68" i="1720"/>
  <c r="AU68" i="1720"/>
  <c r="AT68" i="1720"/>
  <c r="AS68" i="1720"/>
  <c r="AR68" i="1720"/>
  <c r="AQ68" i="1720"/>
  <c r="AP68" i="1720"/>
  <c r="AO68" i="1720"/>
  <c r="AM68" i="1720"/>
  <c r="AL68" i="1720"/>
  <c r="AK68" i="1720"/>
  <c r="AJ68" i="1720"/>
  <c r="AI68" i="1720"/>
  <c r="AH68" i="1720"/>
  <c r="AG68" i="1720"/>
  <c r="AF68" i="1720"/>
  <c r="AE68" i="1720"/>
  <c r="AD68" i="1720"/>
  <c r="AC68" i="1720"/>
  <c r="AB68" i="1720"/>
  <c r="Z68" i="1720"/>
  <c r="Y68" i="1720"/>
  <c r="X68" i="1720"/>
  <c r="W68" i="1720"/>
  <c r="V68" i="1720"/>
  <c r="U68" i="1720"/>
  <c r="T68" i="1720"/>
  <c r="S68" i="1720"/>
  <c r="R68" i="1720"/>
  <c r="Q68" i="1720"/>
  <c r="P68" i="1720"/>
  <c r="O68" i="1720"/>
  <c r="M68" i="1720"/>
  <c r="L68" i="1720"/>
  <c r="K68" i="1720"/>
  <c r="J68" i="1720"/>
  <c r="I68" i="1720"/>
  <c r="H68" i="1720"/>
  <c r="G68" i="1720"/>
  <c r="F68" i="1720"/>
  <c r="E68" i="1720"/>
  <c r="D68" i="1720"/>
  <c r="C68" i="1720"/>
  <c r="B68" i="1720"/>
  <c r="EA67" i="1720"/>
  <c r="DN67" i="1720"/>
  <c r="CR67" i="1720"/>
  <c r="CR68" i="1720" s="1"/>
  <c r="CR70" i="1720" s="1"/>
  <c r="CQ67" i="1720"/>
  <c r="CQ68" i="1720" s="1"/>
  <c r="CQ70" i="1720" s="1"/>
  <c r="CP67" i="1720"/>
  <c r="CP68" i="1720" s="1"/>
  <c r="CP70" i="1720" s="1"/>
  <c r="CO67" i="1720"/>
  <c r="CN67" i="1720"/>
  <c r="CA67" i="1720"/>
  <c r="BN67" i="1720"/>
  <c r="BA67" i="1720"/>
  <c r="AN67" i="1720"/>
  <c r="AA67" i="1720"/>
  <c r="N67" i="1720"/>
  <c r="EA66" i="1720"/>
  <c r="DL66" i="1720"/>
  <c r="DL68" i="1720" s="1"/>
  <c r="DL70" i="1720" s="1"/>
  <c r="DA66" i="1720"/>
  <c r="CN66" i="1720"/>
  <c r="CA66" i="1720"/>
  <c r="BN66" i="1720"/>
  <c r="BA66" i="1720"/>
  <c r="AN66" i="1720"/>
  <c r="AA66" i="1720"/>
  <c r="N66" i="1720"/>
  <c r="EA63" i="1720"/>
  <c r="DN63" i="1720"/>
  <c r="DA63" i="1720"/>
  <c r="CN63" i="1720"/>
  <c r="CA63" i="1720"/>
  <c r="BN63" i="1720"/>
  <c r="BA63" i="1720"/>
  <c r="AN63" i="1720"/>
  <c r="AA63" i="1720"/>
  <c r="N63" i="1720"/>
  <c r="EA64" i="1720"/>
  <c r="DN64" i="1720"/>
  <c r="DA64" i="1720"/>
  <c r="CN64" i="1720"/>
  <c r="CA64" i="1720"/>
  <c r="BN64" i="1720"/>
  <c r="BA64" i="1720"/>
  <c r="AN64" i="1720"/>
  <c r="AA64" i="1720"/>
  <c r="N64" i="1720"/>
  <c r="EA62" i="1720"/>
  <c r="DN62" i="1720"/>
  <c r="DA62" i="1720"/>
  <c r="CN62" i="1720"/>
  <c r="CA62" i="1720"/>
  <c r="BN62" i="1720"/>
  <c r="BA62" i="1720"/>
  <c r="AN62" i="1720"/>
  <c r="AA62" i="1720"/>
  <c r="N62" i="1720"/>
  <c r="EA65" i="1720"/>
  <c r="DN65" i="1720"/>
  <c r="DA65" i="1720"/>
  <c r="CN65" i="1720"/>
  <c r="CA65" i="1720"/>
  <c r="BN65" i="1720"/>
  <c r="BA65" i="1720"/>
  <c r="AN65" i="1720"/>
  <c r="AA65" i="1720"/>
  <c r="N65" i="1720"/>
  <c r="EA61" i="1720"/>
  <c r="DN61" i="1720"/>
  <c r="DA61" i="1720"/>
  <c r="CN61" i="1720"/>
  <c r="CA61" i="1720"/>
  <c r="BN61" i="1720"/>
  <c r="BA61" i="1720"/>
  <c r="AN61" i="1720"/>
  <c r="AA61" i="1720"/>
  <c r="N61" i="1720"/>
  <c r="FA54" i="1720"/>
  <c r="EA54" i="1720"/>
  <c r="DN54" i="1720"/>
  <c r="DA54" i="1720"/>
  <c r="CN54" i="1720"/>
  <c r="CA54" i="1720"/>
  <c r="BN54" i="1720"/>
  <c r="BA54" i="1720"/>
  <c r="AN54" i="1720"/>
  <c r="AA54" i="1720"/>
  <c r="N54" i="1720"/>
  <c r="FA52" i="1720"/>
  <c r="EA52" i="1720"/>
  <c r="DH52" i="1720"/>
  <c r="DH11" i="1720" s="1"/>
  <c r="DH71" i="1720" s="1"/>
  <c r="CP52" i="1720"/>
  <c r="CO52" i="1720"/>
  <c r="CO11" i="1720" s="1"/>
  <c r="CO71" i="1720" s="1"/>
  <c r="CN52" i="1720"/>
  <c r="CA52" i="1720"/>
  <c r="BN52" i="1720"/>
  <c r="BA52" i="1720"/>
  <c r="AN52" i="1720"/>
  <c r="AA52" i="1720"/>
  <c r="N52" i="1720"/>
  <c r="FA51" i="1720"/>
  <c r="EA51" i="1720"/>
  <c r="DN51" i="1720"/>
  <c r="DA51" i="1720"/>
  <c r="CN51" i="1720"/>
  <c r="CA51" i="1720"/>
  <c r="BN51" i="1720"/>
  <c r="BA51" i="1720"/>
  <c r="AN51" i="1720"/>
  <c r="AA51" i="1720"/>
  <c r="N51" i="1720"/>
  <c r="FA50" i="1720"/>
  <c r="EA50" i="1720"/>
  <c r="DN50" i="1720"/>
  <c r="DA50" i="1720"/>
  <c r="CN50" i="1720"/>
  <c r="CA50" i="1720"/>
  <c r="BN50" i="1720"/>
  <c r="BA50" i="1720"/>
  <c r="AN50" i="1720"/>
  <c r="AA50" i="1720"/>
  <c r="N50" i="1720"/>
  <c r="FA49" i="1720"/>
  <c r="EA49" i="1720"/>
  <c r="DN49" i="1720"/>
  <c r="DA49" i="1720"/>
  <c r="CN49" i="1720"/>
  <c r="CA49" i="1720"/>
  <c r="BN49" i="1720"/>
  <c r="BA49" i="1720"/>
  <c r="AN49" i="1720"/>
  <c r="AA49" i="1720"/>
  <c r="N49" i="1720"/>
  <c r="FA48" i="1720"/>
  <c r="EA48" i="1720"/>
  <c r="DN48" i="1720"/>
  <c r="DA48" i="1720"/>
  <c r="CN48" i="1720"/>
  <c r="CA48" i="1720"/>
  <c r="BN48" i="1720"/>
  <c r="BA48" i="1720"/>
  <c r="AN48" i="1720"/>
  <c r="AA48" i="1720"/>
  <c r="N48" i="1720"/>
  <c r="FA47" i="1720"/>
  <c r="EA47" i="1720"/>
  <c r="DN47" i="1720"/>
  <c r="DA47" i="1720"/>
  <c r="CN47" i="1720"/>
  <c r="CA47" i="1720"/>
  <c r="BN47" i="1720"/>
  <c r="BA47" i="1720"/>
  <c r="AN47" i="1720"/>
  <c r="AA47" i="1720"/>
  <c r="N47" i="1720"/>
  <c r="FA46" i="1720"/>
  <c r="EA46" i="1720"/>
  <c r="DN46" i="1720"/>
  <c r="DA46" i="1720"/>
  <c r="CN46" i="1720"/>
  <c r="CA46" i="1720"/>
  <c r="BN46" i="1720"/>
  <c r="BA46" i="1720"/>
  <c r="AN46" i="1720"/>
  <c r="AA46" i="1720"/>
  <c r="N46" i="1720"/>
  <c r="FA45" i="1720"/>
  <c r="EA45" i="1720"/>
  <c r="DN45" i="1720"/>
  <c r="DA45" i="1720"/>
  <c r="CN45" i="1720"/>
  <c r="CA45" i="1720"/>
  <c r="BN45" i="1720"/>
  <c r="BA45" i="1720"/>
  <c r="AN45" i="1720"/>
  <c r="AA45" i="1720"/>
  <c r="N45" i="1720"/>
  <c r="FA44" i="1720"/>
  <c r="EA44" i="1720"/>
  <c r="DN44" i="1720"/>
  <c r="DA44" i="1720"/>
  <c r="CN44" i="1720"/>
  <c r="CA44" i="1720"/>
  <c r="BN44" i="1720"/>
  <c r="BA44" i="1720"/>
  <c r="AN44" i="1720"/>
  <c r="AA44" i="1720"/>
  <c r="N44" i="1720"/>
  <c r="FA43" i="1720"/>
  <c r="EA43" i="1720"/>
  <c r="DN43" i="1720"/>
  <c r="DA43" i="1720"/>
  <c r="CN43" i="1720"/>
  <c r="CA43" i="1720"/>
  <c r="BN43" i="1720"/>
  <c r="BA43" i="1720"/>
  <c r="AN43" i="1720"/>
  <c r="AA43" i="1720"/>
  <c r="N43" i="1720"/>
  <c r="FA42" i="1720"/>
  <c r="EA42" i="1720"/>
  <c r="DN42" i="1720"/>
  <c r="DA42" i="1720"/>
  <c r="CN42" i="1720"/>
  <c r="CA42" i="1720"/>
  <c r="BN42" i="1720"/>
  <c r="BA42" i="1720"/>
  <c r="AN42" i="1720"/>
  <c r="AA42" i="1720"/>
  <c r="N42" i="1720"/>
  <c r="FA41" i="1720"/>
  <c r="EA41" i="1720"/>
  <c r="DN41" i="1720"/>
  <c r="DA41" i="1720"/>
  <c r="CN41" i="1720"/>
  <c r="CA41" i="1720"/>
  <c r="BN41" i="1720"/>
  <c r="BA41" i="1720"/>
  <c r="AN41" i="1720"/>
  <c r="AA41" i="1720"/>
  <c r="N41" i="1720"/>
  <c r="FA39" i="1720"/>
  <c r="EA39" i="1720"/>
  <c r="DN39" i="1720"/>
  <c r="DA39" i="1720"/>
  <c r="CN39" i="1720"/>
  <c r="CA39" i="1720"/>
  <c r="BN39" i="1720"/>
  <c r="BA39" i="1720"/>
  <c r="AN39" i="1720"/>
  <c r="AA39" i="1720"/>
  <c r="N39" i="1720"/>
  <c r="FA40" i="1720"/>
  <c r="EA40" i="1720"/>
  <c r="DN40" i="1720"/>
  <c r="DA40" i="1720"/>
  <c r="CN40" i="1720"/>
  <c r="CA40" i="1720"/>
  <c r="BN40" i="1720"/>
  <c r="BA40" i="1720"/>
  <c r="AN40" i="1720"/>
  <c r="AA40" i="1720"/>
  <c r="N40" i="1720"/>
  <c r="FA38" i="1720"/>
  <c r="EA38" i="1720"/>
  <c r="DN38" i="1720"/>
  <c r="DA38" i="1720"/>
  <c r="CN38" i="1720"/>
  <c r="CA38" i="1720"/>
  <c r="BN38" i="1720"/>
  <c r="BA38" i="1720"/>
  <c r="AN38" i="1720"/>
  <c r="AA38" i="1720"/>
  <c r="N38" i="1720"/>
  <c r="FA37" i="1720"/>
  <c r="EA37" i="1720"/>
  <c r="DN37" i="1720"/>
  <c r="DA37" i="1720"/>
  <c r="CN37" i="1720"/>
  <c r="CA37" i="1720"/>
  <c r="BN37" i="1720"/>
  <c r="BA37" i="1720"/>
  <c r="AN37" i="1720"/>
  <c r="AA37" i="1720"/>
  <c r="N37" i="1720"/>
  <c r="FA36" i="1720"/>
  <c r="EA36" i="1720"/>
  <c r="DN36" i="1720"/>
  <c r="DA36" i="1720"/>
  <c r="CN36" i="1720"/>
  <c r="CA36" i="1720"/>
  <c r="BN36" i="1720"/>
  <c r="BA36" i="1720"/>
  <c r="AN36" i="1720"/>
  <c r="AA36" i="1720"/>
  <c r="N36" i="1720"/>
  <c r="FA35" i="1720"/>
  <c r="EA35" i="1720"/>
  <c r="DN35" i="1720"/>
  <c r="DA35" i="1720"/>
  <c r="CN35" i="1720"/>
  <c r="CA35" i="1720"/>
  <c r="BN35" i="1720"/>
  <c r="BA35" i="1720"/>
  <c r="AN35" i="1720"/>
  <c r="AA35" i="1720"/>
  <c r="N35" i="1720"/>
  <c r="FA34" i="1720"/>
  <c r="EA34" i="1720"/>
  <c r="DN34" i="1720"/>
  <c r="DA34" i="1720"/>
  <c r="CN34" i="1720"/>
  <c r="CA34" i="1720"/>
  <c r="BN34" i="1720"/>
  <c r="BA34" i="1720"/>
  <c r="AN34" i="1720"/>
  <c r="AA34" i="1720"/>
  <c r="N34" i="1720"/>
  <c r="FA33" i="1720"/>
  <c r="EA33" i="1720"/>
  <c r="DN33" i="1720"/>
  <c r="DA33" i="1720"/>
  <c r="CN33" i="1720"/>
  <c r="CA33" i="1720"/>
  <c r="BN33" i="1720"/>
  <c r="BA33" i="1720"/>
  <c r="AN33" i="1720"/>
  <c r="AA33" i="1720"/>
  <c r="N33" i="1720"/>
  <c r="FA32" i="1720"/>
  <c r="EA32" i="1720"/>
  <c r="DN32" i="1720"/>
  <c r="DA32" i="1720"/>
  <c r="CN32" i="1720"/>
  <c r="CA32" i="1720"/>
  <c r="BN32" i="1720"/>
  <c r="BA32" i="1720"/>
  <c r="AN32" i="1720"/>
  <c r="AA32" i="1720"/>
  <c r="N32" i="1720"/>
  <c r="FA31" i="1720"/>
  <c r="EA31" i="1720"/>
  <c r="DN31" i="1720"/>
  <c r="DA31" i="1720"/>
  <c r="CN31" i="1720"/>
  <c r="CA31" i="1720"/>
  <c r="BN31" i="1720"/>
  <c r="BA31" i="1720"/>
  <c r="AN31" i="1720"/>
  <c r="AA31" i="1720"/>
  <c r="N31" i="1720"/>
  <c r="FA30" i="1720"/>
  <c r="EA30" i="1720"/>
  <c r="DN30" i="1720"/>
  <c r="DA30" i="1720"/>
  <c r="CN30" i="1720"/>
  <c r="CA30" i="1720"/>
  <c r="BN30" i="1720"/>
  <c r="BA30" i="1720"/>
  <c r="AN30" i="1720"/>
  <c r="AA30" i="1720"/>
  <c r="N30" i="1720"/>
  <c r="FA29" i="1720"/>
  <c r="EA29" i="1720"/>
  <c r="DN29" i="1720"/>
  <c r="DA29" i="1720"/>
  <c r="CN29" i="1720"/>
  <c r="CA29" i="1720"/>
  <c r="BN29" i="1720"/>
  <c r="BA29" i="1720"/>
  <c r="AN29" i="1720"/>
  <c r="AA29" i="1720"/>
  <c r="N29" i="1720"/>
  <c r="FA28" i="1720"/>
  <c r="EA28" i="1720"/>
  <c r="DN28" i="1720"/>
  <c r="DA28" i="1720"/>
  <c r="CN28" i="1720"/>
  <c r="CA28" i="1720"/>
  <c r="BN28" i="1720"/>
  <c r="BA28" i="1720"/>
  <c r="AN28" i="1720"/>
  <c r="AA28" i="1720"/>
  <c r="N28" i="1720"/>
  <c r="FA27" i="1720"/>
  <c r="EA27" i="1720"/>
  <c r="DN27" i="1720"/>
  <c r="DA27" i="1720"/>
  <c r="CN27" i="1720"/>
  <c r="CA27" i="1720"/>
  <c r="BN27" i="1720"/>
  <c r="BA27" i="1720"/>
  <c r="AN27" i="1720"/>
  <c r="AA27" i="1720"/>
  <c r="N27" i="1720"/>
  <c r="FA26" i="1720"/>
  <c r="EA26" i="1720"/>
  <c r="DN26" i="1720"/>
  <c r="DA26" i="1720"/>
  <c r="CN26" i="1720"/>
  <c r="CA26" i="1720"/>
  <c r="BN26" i="1720"/>
  <c r="BA26" i="1720"/>
  <c r="AN26" i="1720"/>
  <c r="AA26" i="1720"/>
  <c r="N26" i="1720"/>
  <c r="FA25" i="1720"/>
  <c r="EA25" i="1720"/>
  <c r="DN25" i="1720"/>
  <c r="DA25" i="1720"/>
  <c r="CN25" i="1720"/>
  <c r="CA25" i="1720"/>
  <c r="BN25" i="1720"/>
  <c r="BA25" i="1720"/>
  <c r="AN25" i="1720"/>
  <c r="AA25" i="1720"/>
  <c r="N25" i="1720"/>
  <c r="FA24" i="1720"/>
  <c r="EA24" i="1720"/>
  <c r="DN24" i="1720"/>
  <c r="DA24" i="1720"/>
  <c r="CN24" i="1720"/>
  <c r="CA24" i="1720"/>
  <c r="BN24" i="1720"/>
  <c r="BA24" i="1720"/>
  <c r="AN24" i="1720"/>
  <c r="AA24" i="1720"/>
  <c r="N24" i="1720"/>
  <c r="FA23" i="1720"/>
  <c r="EA23" i="1720"/>
  <c r="DN23" i="1720"/>
  <c r="DA23" i="1720"/>
  <c r="CN23" i="1720"/>
  <c r="CA23" i="1720"/>
  <c r="BN23" i="1720"/>
  <c r="BA23" i="1720"/>
  <c r="AN23" i="1720"/>
  <c r="AA23" i="1720"/>
  <c r="N23" i="1720"/>
  <c r="FA22" i="1720"/>
  <c r="EA22" i="1720"/>
  <c r="DN22" i="1720"/>
  <c r="DA22" i="1720"/>
  <c r="CN22" i="1720"/>
  <c r="CA22" i="1720"/>
  <c r="BN22" i="1720"/>
  <c r="BA22" i="1720"/>
  <c r="AN22" i="1720"/>
  <c r="AA22" i="1720"/>
  <c r="N22" i="1720"/>
  <c r="FA21" i="1720"/>
  <c r="EA21" i="1720"/>
  <c r="DN21" i="1720"/>
  <c r="DA21" i="1720"/>
  <c r="CN21" i="1720"/>
  <c r="CA21" i="1720"/>
  <c r="BN21" i="1720"/>
  <c r="BA21" i="1720"/>
  <c r="AN21" i="1720"/>
  <c r="AA21" i="1720"/>
  <c r="N21" i="1720"/>
  <c r="FA20" i="1720"/>
  <c r="EA20" i="1720"/>
  <c r="DN20" i="1720"/>
  <c r="DA20" i="1720"/>
  <c r="CN20" i="1720"/>
  <c r="CA20" i="1720"/>
  <c r="BN20" i="1720"/>
  <c r="BA20" i="1720"/>
  <c r="AN20" i="1720"/>
  <c r="AA20" i="1720"/>
  <c r="N20" i="1720"/>
  <c r="FA19" i="1720"/>
  <c r="EA19" i="1720"/>
  <c r="DN19" i="1720"/>
  <c r="DA19" i="1720"/>
  <c r="CN19" i="1720"/>
  <c r="CA19" i="1720"/>
  <c r="BN19" i="1720"/>
  <c r="BA19" i="1720"/>
  <c r="AN19" i="1720"/>
  <c r="AA19" i="1720"/>
  <c r="N19" i="1720"/>
  <c r="FA18" i="1720"/>
  <c r="EA18" i="1720"/>
  <c r="DN18" i="1720"/>
  <c r="DA18" i="1720"/>
  <c r="CN18" i="1720"/>
  <c r="CA18" i="1720"/>
  <c r="BN18" i="1720"/>
  <c r="BA18" i="1720"/>
  <c r="AN18" i="1720"/>
  <c r="AA18" i="1720"/>
  <c r="N18" i="1720"/>
  <c r="FA17" i="1720"/>
  <c r="EA17" i="1720"/>
  <c r="DN17" i="1720"/>
  <c r="DA17" i="1720"/>
  <c r="CN17" i="1720"/>
  <c r="CA17" i="1720"/>
  <c r="BN17" i="1720"/>
  <c r="BA17" i="1720"/>
  <c r="AN17" i="1720"/>
  <c r="AA17" i="1720"/>
  <c r="N17" i="1720"/>
  <c r="FA16" i="1720"/>
  <c r="EA16" i="1720"/>
  <c r="DN16" i="1720"/>
  <c r="DA16" i="1720"/>
  <c r="CN16" i="1720"/>
  <c r="CA16" i="1720"/>
  <c r="BN16" i="1720"/>
  <c r="BA16" i="1720"/>
  <c r="AN16" i="1720"/>
  <c r="AA16" i="1720"/>
  <c r="N16" i="1720"/>
  <c r="FA15" i="1720"/>
  <c r="EA15" i="1720"/>
  <c r="DN15" i="1720"/>
  <c r="DA15" i="1720"/>
  <c r="CN15" i="1720"/>
  <c r="CA15" i="1720"/>
  <c r="BN15" i="1720"/>
  <c r="BA15" i="1720"/>
  <c r="AN15" i="1720"/>
  <c r="AA15" i="1720"/>
  <c r="N15" i="1720"/>
  <c r="FA14" i="1720"/>
  <c r="EA14" i="1720"/>
  <c r="DN14" i="1720"/>
  <c r="DA14" i="1720"/>
  <c r="CN14" i="1720"/>
  <c r="CA14" i="1720"/>
  <c r="BN14" i="1720"/>
  <c r="BA14" i="1720"/>
  <c r="AN14" i="1720"/>
  <c r="AA14" i="1720"/>
  <c r="N14" i="1720"/>
  <c r="FA13" i="1720"/>
  <c r="EA13" i="1720"/>
  <c r="DN13" i="1720"/>
  <c r="DA13" i="1720"/>
  <c r="CN13" i="1720"/>
  <c r="CA13" i="1720"/>
  <c r="BN13" i="1720"/>
  <c r="BA13" i="1720"/>
  <c r="AN13" i="1720"/>
  <c r="AA13" i="1720"/>
  <c r="N13" i="1720"/>
  <c r="FA12" i="1720"/>
  <c r="EA12" i="1720"/>
  <c r="DN12" i="1720"/>
  <c r="DA12" i="1720"/>
  <c r="CN12" i="1720"/>
  <c r="CA12" i="1720"/>
  <c r="BN12" i="1720"/>
  <c r="BA12" i="1720"/>
  <c r="AN12" i="1720"/>
  <c r="AA12" i="1720"/>
  <c r="N12" i="1720"/>
  <c r="EZ11" i="1720"/>
  <c r="EZ71" i="1720" s="1"/>
  <c r="EY11" i="1720"/>
  <c r="EY71" i="1720" s="1"/>
  <c r="EX11" i="1720"/>
  <c r="EX71" i="1720" s="1"/>
  <c r="EW11" i="1720"/>
  <c r="EW71" i="1720" s="1"/>
  <c r="EV11" i="1720"/>
  <c r="EV71" i="1720" s="1"/>
  <c r="EU11" i="1720"/>
  <c r="EU71" i="1720" s="1"/>
  <c r="ET11" i="1720"/>
  <c r="ET71" i="1720" s="1"/>
  <c r="ES11" i="1720"/>
  <c r="ES71" i="1720" s="1"/>
  <c r="ER11" i="1720"/>
  <c r="ER71" i="1720" s="1"/>
  <c r="EQ11" i="1720"/>
  <c r="EQ71" i="1720" s="1"/>
  <c r="EP11" i="1720"/>
  <c r="EP71" i="1720" s="1"/>
  <c r="EO71" i="1720"/>
  <c r="DZ11" i="1720"/>
  <c r="DZ71" i="1720" s="1"/>
  <c r="DY11" i="1720"/>
  <c r="DY71" i="1720" s="1"/>
  <c r="DX11" i="1720"/>
  <c r="DX71" i="1720" s="1"/>
  <c r="DW11" i="1720"/>
  <c r="DW71" i="1720" s="1"/>
  <c r="DV11" i="1720"/>
  <c r="DV71" i="1720" s="1"/>
  <c r="DU11" i="1720"/>
  <c r="DU71" i="1720" s="1"/>
  <c r="DT11" i="1720"/>
  <c r="DT71" i="1720" s="1"/>
  <c r="DS11" i="1720"/>
  <c r="DS71" i="1720" s="1"/>
  <c r="DR11" i="1720"/>
  <c r="DR71" i="1720" s="1"/>
  <c r="DQ11" i="1720"/>
  <c r="DQ71" i="1720" s="1"/>
  <c r="DP11" i="1720"/>
  <c r="DP71" i="1720" s="1"/>
  <c r="DO11" i="1720"/>
  <c r="DM11" i="1720"/>
  <c r="DM71" i="1720" s="1"/>
  <c r="DL11" i="1720"/>
  <c r="DL71" i="1720" s="1"/>
  <c r="DK11" i="1720"/>
  <c r="DJ11" i="1720"/>
  <c r="DJ71" i="1720" s="1"/>
  <c r="DI11" i="1720"/>
  <c r="DI71" i="1720" s="1"/>
  <c r="CZ11" i="1720"/>
  <c r="CZ71" i="1720" s="1"/>
  <c r="CY11" i="1720"/>
  <c r="CY71" i="1720" s="1"/>
  <c r="CX11" i="1720"/>
  <c r="CX71" i="1720" s="1"/>
  <c r="CW11" i="1720"/>
  <c r="CW71" i="1720" s="1"/>
  <c r="CV11" i="1720"/>
  <c r="CV71" i="1720" s="1"/>
  <c r="CU11" i="1720"/>
  <c r="CU71" i="1720" s="1"/>
  <c r="CT11" i="1720"/>
  <c r="CT71" i="1720" s="1"/>
  <c r="CS11" i="1720"/>
  <c r="CS71" i="1720" s="1"/>
  <c r="CR11" i="1720"/>
  <c r="CR71" i="1720" s="1"/>
  <c r="CQ11" i="1720"/>
  <c r="CQ71" i="1720" s="1"/>
  <c r="CM11" i="1720"/>
  <c r="CM71" i="1720" s="1"/>
  <c r="CL11" i="1720"/>
  <c r="CL71" i="1720" s="1"/>
  <c r="CK11" i="1720"/>
  <c r="CK71" i="1720" s="1"/>
  <c r="CJ11" i="1720"/>
  <c r="CJ71" i="1720" s="1"/>
  <c r="CI11" i="1720"/>
  <c r="CI71" i="1720" s="1"/>
  <c r="CH11" i="1720"/>
  <c r="CH71" i="1720" s="1"/>
  <c r="CG11" i="1720"/>
  <c r="CG71" i="1720" s="1"/>
  <c r="CF11" i="1720"/>
  <c r="CF71" i="1720" s="1"/>
  <c r="CE11" i="1720"/>
  <c r="CE71" i="1720" s="1"/>
  <c r="CD11" i="1720"/>
  <c r="CD71" i="1720" s="1"/>
  <c r="CC11" i="1720"/>
  <c r="CC71" i="1720" s="1"/>
  <c r="CB11" i="1720"/>
  <c r="CB71" i="1720" s="1"/>
  <c r="BZ11" i="1720"/>
  <c r="BY11" i="1720"/>
  <c r="BX11" i="1720"/>
  <c r="BW11" i="1720"/>
  <c r="BV11" i="1720"/>
  <c r="BU11" i="1720"/>
  <c r="BT11" i="1720"/>
  <c r="BS11" i="1720"/>
  <c r="BR11" i="1720"/>
  <c r="BQ11" i="1720"/>
  <c r="BP11" i="1720"/>
  <c r="BO11" i="1720"/>
  <c r="BM11" i="1720"/>
  <c r="BL11" i="1720"/>
  <c r="BK11" i="1720"/>
  <c r="BJ11" i="1720"/>
  <c r="BI11" i="1720"/>
  <c r="BH11" i="1720"/>
  <c r="BG11" i="1720"/>
  <c r="BF11" i="1720"/>
  <c r="BE11" i="1720"/>
  <c r="BD11" i="1720"/>
  <c r="BC11" i="1720"/>
  <c r="BB11" i="1720"/>
  <c r="AZ11" i="1720"/>
  <c r="AY11" i="1720"/>
  <c r="AX11" i="1720"/>
  <c r="AW11" i="1720"/>
  <c r="AV11" i="1720"/>
  <c r="AU11" i="1720"/>
  <c r="AT11" i="1720"/>
  <c r="AS11" i="1720"/>
  <c r="AR11" i="1720"/>
  <c r="AQ11" i="1720"/>
  <c r="AP11" i="1720"/>
  <c r="AO11" i="1720"/>
  <c r="AM11" i="1720"/>
  <c r="AL11" i="1720"/>
  <c r="AK11" i="1720"/>
  <c r="AJ11" i="1720"/>
  <c r="AI11" i="1720"/>
  <c r="AH11" i="1720"/>
  <c r="AG11" i="1720"/>
  <c r="AF11" i="1720"/>
  <c r="AE11" i="1720"/>
  <c r="AD11" i="1720"/>
  <c r="AC11" i="1720"/>
  <c r="AB11" i="1720"/>
  <c r="Z11" i="1720"/>
  <c r="Y11" i="1720"/>
  <c r="X11" i="1720"/>
  <c r="W11" i="1720"/>
  <c r="V11" i="1720"/>
  <c r="U11" i="1720"/>
  <c r="T11" i="1720"/>
  <c r="S11" i="1720"/>
  <c r="R11" i="1720"/>
  <c r="Q11" i="1720"/>
  <c r="P11" i="1720"/>
  <c r="O11" i="1720"/>
  <c r="M11" i="1720"/>
  <c r="L11" i="1720"/>
  <c r="K11" i="1720"/>
  <c r="J11" i="1720"/>
  <c r="I11" i="1720"/>
  <c r="H11" i="1720"/>
  <c r="G11" i="1720"/>
  <c r="F11" i="1720"/>
  <c r="E11" i="1720"/>
  <c r="D11" i="1720"/>
  <c r="C11" i="1720"/>
  <c r="B11" i="1720"/>
  <c r="EA9" i="1720"/>
  <c r="DN9" i="1720"/>
  <c r="DA9" i="1720"/>
  <c r="CN9" i="1720"/>
  <c r="CA9" i="1720"/>
  <c r="BN9" i="1720"/>
  <c r="BA9" i="1720"/>
  <c r="AN9" i="1720"/>
  <c r="AA9" i="1720"/>
  <c r="N9" i="1720"/>
  <c r="FA8" i="1720"/>
  <c r="EA8" i="1720"/>
  <c r="DK8" i="1720"/>
  <c r="DK7" i="1720" s="1"/>
  <c r="DA8" i="1720"/>
  <c r="CN8" i="1720"/>
  <c r="CA8" i="1720"/>
  <c r="BN8" i="1720"/>
  <c r="BA8" i="1720"/>
  <c r="AN8" i="1720"/>
  <c r="AA8" i="1720"/>
  <c r="N8" i="1720"/>
  <c r="DF52" i="1720"/>
  <c r="DF11" i="1720" s="1"/>
  <c r="DF71" i="1720" s="1"/>
  <c r="DE52" i="1720"/>
  <c r="DE11" i="1720" s="1"/>
  <c r="DE71" i="1720" s="1"/>
  <c r="DD52" i="1720"/>
  <c r="DD11" i="1720" s="1"/>
  <c r="DD71" i="1720" s="1"/>
  <c r="DC52" i="1720"/>
  <c r="DC11" i="1720" s="1"/>
  <c r="DC71" i="1720" s="1"/>
  <c r="DB52" i="1720"/>
  <c r="CA7" i="1720"/>
  <c r="Z7" i="1720"/>
  <c r="Y7" i="1720"/>
  <c r="X7" i="1720"/>
  <c r="W7" i="1720"/>
  <c r="V7" i="1720"/>
  <c r="U7" i="1720"/>
  <c r="T7" i="1720"/>
  <c r="S7" i="1720"/>
  <c r="R7" i="1720"/>
  <c r="Q7" i="1720"/>
  <c r="P7" i="1720"/>
  <c r="O7" i="1720"/>
  <c r="M7" i="1720"/>
  <c r="L7" i="1720"/>
  <c r="K7" i="1720"/>
  <c r="J7" i="1720"/>
  <c r="I7" i="1720"/>
  <c r="H7" i="1720"/>
  <c r="G7" i="1720"/>
  <c r="F7" i="1720"/>
  <c r="E7" i="1720"/>
  <c r="D7" i="1720"/>
  <c r="C7" i="1720"/>
  <c r="B7" i="1720"/>
  <c r="EA5" i="1720"/>
  <c r="DN5" i="1720"/>
  <c r="DA5" i="1720"/>
  <c r="CN5" i="1720"/>
  <c r="CA5" i="1720"/>
  <c r="BN5" i="1720"/>
  <c r="BA5" i="1720"/>
  <c r="AN5" i="1720"/>
  <c r="AA5" i="1720"/>
  <c r="N5" i="1720"/>
  <c r="FH30" i="1897"/>
  <c r="FH45" i="1897"/>
  <c r="FH13" i="1897"/>
  <c r="FA7" i="1897"/>
  <c r="FA26" i="1896"/>
  <c r="FH26" i="1896" s="1"/>
  <c r="FA25" i="1896"/>
  <c r="FH25" i="1896" s="1"/>
  <c r="FA12" i="1896"/>
  <c r="FH12" i="1896" s="1"/>
  <c r="FA33" i="1896"/>
  <c r="FH33" i="1896" s="1"/>
  <c r="FA11" i="1896"/>
  <c r="FH11" i="1896" s="1"/>
  <c r="FA10" i="1896"/>
  <c r="FH10" i="1896" s="1"/>
  <c r="FA23" i="1896"/>
  <c r="FH23" i="1896" s="1"/>
  <c r="FA18" i="1896"/>
  <c r="FH18" i="1896" s="1"/>
  <c r="FA13" i="1896"/>
  <c r="FH13" i="1896" s="1"/>
  <c r="FA21" i="1896"/>
  <c r="FH21" i="1896" s="1"/>
  <c r="FA14" i="1896"/>
  <c r="FH14" i="1896" s="1"/>
  <c r="FA30" i="1896"/>
  <c r="FH30" i="1896" s="1"/>
  <c r="FA31" i="1896"/>
  <c r="FH31" i="1896" s="1"/>
  <c r="FA20" i="1896"/>
  <c r="FH20" i="1896" s="1"/>
  <c r="FA27" i="1896"/>
  <c r="FH27" i="1896" s="1"/>
  <c r="FA19" i="1896"/>
  <c r="FH19" i="1896" s="1"/>
  <c r="FA24" i="1896"/>
  <c r="FH24" i="1896" s="1"/>
  <c r="FA22" i="1896"/>
  <c r="FH22" i="1896" s="1"/>
  <c r="FA17" i="1896"/>
  <c r="FH17" i="1896" s="1"/>
  <c r="FA32" i="1896"/>
  <c r="FH32" i="1896" s="1"/>
  <c r="FA28" i="1896"/>
  <c r="FH28" i="1896" s="1"/>
  <c r="FA15" i="1896"/>
  <c r="FH15" i="1896" s="1"/>
  <c r="FA16" i="1896"/>
  <c r="FH16" i="1896" s="1"/>
  <c r="FA9" i="1896"/>
  <c r="FH9" i="1896" s="1"/>
  <c r="FN7" i="1895"/>
  <c r="FH51" i="1893"/>
  <c r="FH38" i="1893"/>
  <c r="FH50" i="1893"/>
  <c r="FH35" i="1893"/>
  <c r="FH34" i="1893"/>
  <c r="FH41" i="1893"/>
  <c r="FH29" i="1893"/>
  <c r="FH48" i="1893"/>
  <c r="FH25" i="1893"/>
  <c r="FH24" i="1893"/>
  <c r="FH21" i="1893"/>
  <c r="FH20" i="1893"/>
  <c r="FH19" i="1893"/>
  <c r="FH17" i="1893"/>
  <c r="FH43" i="1893"/>
  <c r="FH16" i="1893"/>
  <c r="FH13" i="1893"/>
  <c r="FH40" i="1893"/>
  <c r="FH12" i="1893"/>
  <c r="BN55" i="2080"/>
  <c r="BA55" i="2080"/>
  <c r="AN55" i="2080"/>
  <c r="AA55" i="2080"/>
  <c r="N55" i="2080"/>
  <c r="FH55" i="2080" s="1"/>
  <c r="BN54" i="2080"/>
  <c r="BA54" i="2080"/>
  <c r="AN54" i="2080"/>
  <c r="AA54" i="2080"/>
  <c r="N54" i="2080"/>
  <c r="BN53" i="2080"/>
  <c r="BA53" i="2080"/>
  <c r="AN53" i="2080"/>
  <c r="AA53" i="2080"/>
  <c r="N53" i="2080"/>
  <c r="FH53" i="2080" s="1"/>
  <c r="BN52" i="2080"/>
  <c r="BA52" i="2080"/>
  <c r="AN52" i="2080"/>
  <c r="AA52" i="2080"/>
  <c r="N52" i="2080"/>
  <c r="BN51" i="2080"/>
  <c r="BA51" i="2080"/>
  <c r="AN51" i="2080"/>
  <c r="AA51" i="2080"/>
  <c r="N51" i="2080"/>
  <c r="BN50" i="2080"/>
  <c r="BA50" i="2080"/>
  <c r="AN50" i="2080"/>
  <c r="AA50" i="2080"/>
  <c r="N50" i="2080"/>
  <c r="BN9" i="2080"/>
  <c r="BA9" i="2080"/>
  <c r="AN9" i="2080"/>
  <c r="AA9" i="2080"/>
  <c r="N9" i="2080"/>
  <c r="BN30" i="2080"/>
  <c r="BA30" i="2080"/>
  <c r="AN30" i="2080"/>
  <c r="AA30" i="2080"/>
  <c r="N30" i="2080"/>
  <c r="BN29" i="2080"/>
  <c r="BA29" i="2080"/>
  <c r="AN29" i="2080"/>
  <c r="AA29" i="2080"/>
  <c r="N29" i="2080"/>
  <c r="BN16" i="2080"/>
  <c r="BA16" i="2080"/>
  <c r="AN16" i="2080"/>
  <c r="AA16" i="2080"/>
  <c r="N16" i="2080"/>
  <c r="BN37" i="2080"/>
  <c r="BA37" i="2080"/>
  <c r="AN37" i="2080"/>
  <c r="AA37" i="2080"/>
  <c r="N37" i="2080"/>
  <c r="BN15" i="2080"/>
  <c r="BA15" i="2080"/>
  <c r="AN15" i="2080"/>
  <c r="AA15" i="2080"/>
  <c r="N15" i="2080"/>
  <c r="BN14" i="2080"/>
  <c r="BA14" i="2080"/>
  <c r="AN14" i="2080"/>
  <c r="AA14" i="2080"/>
  <c r="N14" i="2080"/>
  <c r="BN27" i="2080"/>
  <c r="BA27" i="2080"/>
  <c r="AN27" i="2080"/>
  <c r="AA27" i="2080"/>
  <c r="N27" i="2080"/>
  <c r="BN22" i="2080"/>
  <c r="BA22" i="2080"/>
  <c r="AN22" i="2080"/>
  <c r="AA22" i="2080"/>
  <c r="N22" i="2080"/>
  <c r="BN17" i="2080"/>
  <c r="BA17" i="2080"/>
  <c r="AN17" i="2080"/>
  <c r="AA17" i="2080"/>
  <c r="N17" i="2080"/>
  <c r="FH17" i="2080" s="1"/>
  <c r="BN25" i="2080"/>
  <c r="BA25" i="2080"/>
  <c r="AN25" i="2080"/>
  <c r="AA25" i="2080"/>
  <c r="N25" i="2080"/>
  <c r="BN18" i="2080"/>
  <c r="BA18" i="2080"/>
  <c r="AN18" i="2080"/>
  <c r="AA18" i="2080"/>
  <c r="N18" i="2080"/>
  <c r="BN34" i="2080"/>
  <c r="BA34" i="2080"/>
  <c r="AN34" i="2080"/>
  <c r="AA34" i="2080"/>
  <c r="N34" i="2080"/>
  <c r="BN35" i="2080"/>
  <c r="BA35" i="2080"/>
  <c r="AN35" i="2080"/>
  <c r="AA35" i="2080"/>
  <c r="N35" i="2080"/>
  <c r="BN24" i="2080"/>
  <c r="BA24" i="2080"/>
  <c r="AN24" i="2080"/>
  <c r="AA24" i="2080"/>
  <c r="N24" i="2080"/>
  <c r="BN31" i="2080"/>
  <c r="BA31" i="2080"/>
  <c r="AN31" i="2080"/>
  <c r="AA31" i="2080"/>
  <c r="N31" i="2080"/>
  <c r="BN23" i="2080"/>
  <c r="BA23" i="2080"/>
  <c r="AN23" i="2080"/>
  <c r="AA23" i="2080"/>
  <c r="N23" i="2080"/>
  <c r="BN28" i="2080"/>
  <c r="BA28" i="2080"/>
  <c r="AN28" i="2080"/>
  <c r="AA28" i="2080"/>
  <c r="N28" i="2080"/>
  <c r="BN26" i="2080"/>
  <c r="BA26" i="2080"/>
  <c r="AN26" i="2080"/>
  <c r="AA26" i="2080"/>
  <c r="N26" i="2080"/>
  <c r="BN21" i="2080"/>
  <c r="BA21" i="2080"/>
  <c r="AN21" i="2080"/>
  <c r="AA21" i="2080"/>
  <c r="N21" i="2080"/>
  <c r="BN36" i="2080"/>
  <c r="BA36" i="2080"/>
  <c r="AN36" i="2080"/>
  <c r="AA36" i="2080"/>
  <c r="N36" i="2080"/>
  <c r="BN32" i="2080"/>
  <c r="BA32" i="2080"/>
  <c r="AN32" i="2080"/>
  <c r="AA32" i="2080"/>
  <c r="N32" i="2080"/>
  <c r="BN19" i="2080"/>
  <c r="BA19" i="2080"/>
  <c r="AN19" i="2080"/>
  <c r="AA19" i="2080"/>
  <c r="N19" i="2080"/>
  <c r="BN20" i="2080"/>
  <c r="BA20" i="2080"/>
  <c r="AN20" i="2080"/>
  <c r="AA20" i="2080"/>
  <c r="N20" i="2080"/>
  <c r="BN13" i="2080"/>
  <c r="BA13" i="2080"/>
  <c r="AN13" i="2080"/>
  <c r="AA13" i="2080"/>
  <c r="N13" i="2080"/>
  <c r="BN8" i="2080"/>
  <c r="BA8" i="2080"/>
  <c r="AN8" i="2080"/>
  <c r="AA8" i="2080"/>
  <c r="N8" i="2080"/>
  <c r="AR32" i="2079" l="1"/>
  <c r="AJ81" i="2079"/>
  <c r="F32" i="2079"/>
  <c r="F23" i="2079" s="1"/>
  <c r="F57" i="2079" s="1"/>
  <c r="F58" i="2079" s="1"/>
  <c r="R32" i="2079"/>
  <c r="R23" i="2079" s="1"/>
  <c r="R57" i="2079" s="1"/>
  <c r="R58" i="2079" s="1"/>
  <c r="Z80" i="2079"/>
  <c r="AQ32" i="2079"/>
  <c r="AQ23" i="2079" s="1"/>
  <c r="AQ57" i="2079" s="1"/>
  <c r="AQ58" i="2079" s="1"/>
  <c r="I57" i="2079"/>
  <c r="I58" i="2079" s="1"/>
  <c r="AG80" i="2079"/>
  <c r="AR81" i="2079"/>
  <c r="AT80" i="2079"/>
  <c r="AE32" i="2079"/>
  <c r="AE23" i="2079" s="1"/>
  <c r="AE57" i="2079" s="1"/>
  <c r="AE58" i="2079" s="1"/>
  <c r="BD32" i="2079"/>
  <c r="E32" i="2079"/>
  <c r="E23" i="2079" s="1"/>
  <c r="E57" i="2079" s="1"/>
  <c r="E58" i="2079" s="1"/>
  <c r="AV82" i="2079"/>
  <c r="BH82" i="2079"/>
  <c r="K57" i="2079"/>
  <c r="K58" i="2079" s="1"/>
  <c r="W57" i="2079"/>
  <c r="W58" i="2079" s="1"/>
  <c r="AC80" i="2079"/>
  <c r="AB81" i="2079"/>
  <c r="AN81" i="2079"/>
  <c r="AZ81" i="2079"/>
  <c r="BE81" i="2079"/>
  <c r="BO32" i="2079"/>
  <c r="AJ80" i="2079"/>
  <c r="Q32" i="2079"/>
  <c r="AF32" i="2079"/>
  <c r="BZ37" i="2079"/>
  <c r="AU81" i="2079"/>
  <c r="BX24" i="2079"/>
  <c r="AB32" i="2079"/>
  <c r="AB23" i="2079" s="1"/>
  <c r="AB57" i="2079" s="1"/>
  <c r="AB58" i="2079" s="1"/>
  <c r="BC32" i="2079"/>
  <c r="BC23" i="2079" s="1"/>
  <c r="BC57" i="2079" s="1"/>
  <c r="BC58" i="2079" s="1"/>
  <c r="BP32" i="2079"/>
  <c r="BZ24" i="2079"/>
  <c r="AC32" i="2079"/>
  <c r="AC23" i="2079" s="1"/>
  <c r="AC57" i="2079" s="1"/>
  <c r="AC58" i="2079" s="1"/>
  <c r="AK32" i="2079"/>
  <c r="AK23" i="2079" s="1"/>
  <c r="AK57" i="2079" s="1"/>
  <c r="AK58" i="2079" s="1"/>
  <c r="AW32" i="2079"/>
  <c r="AW23" i="2079" s="1"/>
  <c r="AW57" i="2079" s="1"/>
  <c r="AW58" i="2079" s="1"/>
  <c r="BI32" i="2079"/>
  <c r="BI23" i="2079" s="1"/>
  <c r="BI57" i="2079" s="1"/>
  <c r="BI58" i="2079" s="1"/>
  <c r="BU32" i="2079"/>
  <c r="BU23" i="2079" s="1"/>
  <c r="BU57" i="2079" s="1"/>
  <c r="BU58" i="2079" s="1"/>
  <c r="AA32" i="2079"/>
  <c r="AA23" i="2079" s="1"/>
  <c r="AA57" i="2079" s="1"/>
  <c r="AA58" i="2079" s="1"/>
  <c r="Q80" i="2079"/>
  <c r="AO80" i="2079"/>
  <c r="BA80" i="2079"/>
  <c r="P81" i="2079"/>
  <c r="B32" i="2079"/>
  <c r="B23" i="2079" s="1"/>
  <c r="B57" i="2079" s="1"/>
  <c r="B58" i="2079" s="1"/>
  <c r="N32" i="2079"/>
  <c r="N23" i="2079" s="1"/>
  <c r="N57" i="2079" s="1"/>
  <c r="N58" i="2079" s="1"/>
  <c r="AD23" i="2079"/>
  <c r="AD57" i="2079" s="1"/>
  <c r="AD58" i="2079" s="1"/>
  <c r="R80" i="2079"/>
  <c r="AD80" i="2079"/>
  <c r="AP80" i="2079"/>
  <c r="BB80" i="2079"/>
  <c r="Q81" i="2079"/>
  <c r="AC81" i="2079"/>
  <c r="AO81" i="2079"/>
  <c r="BA81" i="2079"/>
  <c r="V82" i="2079"/>
  <c r="AH82" i="2079"/>
  <c r="AT82" i="2079"/>
  <c r="BF82" i="2079"/>
  <c r="C32" i="2079"/>
  <c r="O32" i="2079"/>
  <c r="O23" i="2079" s="1"/>
  <c r="O57" i="2079" s="1"/>
  <c r="O58" i="2079" s="1"/>
  <c r="S80" i="2079"/>
  <c r="AE80" i="2079"/>
  <c r="AQ80" i="2079"/>
  <c r="BC80" i="2079"/>
  <c r="R81" i="2079"/>
  <c r="AD81" i="2079"/>
  <c r="AP81" i="2079"/>
  <c r="BB81" i="2079"/>
  <c r="AI82" i="2079"/>
  <c r="BG82" i="2079"/>
  <c r="D32" i="2079"/>
  <c r="D23" i="2079" s="1"/>
  <c r="P32" i="2079"/>
  <c r="P23" i="2079" s="1"/>
  <c r="P57" i="2079" s="1"/>
  <c r="P58" i="2079" s="1"/>
  <c r="T80" i="2079"/>
  <c r="AF80" i="2079"/>
  <c r="AR80" i="2079"/>
  <c r="BD80" i="2079"/>
  <c r="S81" i="2079"/>
  <c r="AE81" i="2079"/>
  <c r="AQ81" i="2079"/>
  <c r="BC81" i="2079"/>
  <c r="AJ82" i="2079"/>
  <c r="U80" i="2079"/>
  <c r="BE80" i="2079"/>
  <c r="BD23" i="2079"/>
  <c r="BD57" i="2079" s="1"/>
  <c r="BD58" i="2079" s="1"/>
  <c r="B65" i="2079"/>
  <c r="B82" i="2079" s="1"/>
  <c r="L23" i="2079"/>
  <c r="L57" i="2079" s="1"/>
  <c r="L58" i="2079" s="1"/>
  <c r="X23" i="2079"/>
  <c r="X57" i="2079" s="1"/>
  <c r="X58" i="2079" s="1"/>
  <c r="BW24" i="2079"/>
  <c r="G32" i="2079"/>
  <c r="G23" i="2079" s="1"/>
  <c r="G57" i="2079" s="1"/>
  <c r="G58" i="2079" s="1"/>
  <c r="S32" i="2079"/>
  <c r="S23" i="2079" s="1"/>
  <c r="S57" i="2079" s="1"/>
  <c r="S58" i="2079" s="1"/>
  <c r="W80" i="2079"/>
  <c r="AI80" i="2079"/>
  <c r="AU80" i="2079"/>
  <c r="BG80" i="2079"/>
  <c r="V81" i="2079"/>
  <c r="AH81" i="2079"/>
  <c r="AT81" i="2079"/>
  <c r="BF81" i="2079"/>
  <c r="X82" i="2079"/>
  <c r="BP23" i="2079"/>
  <c r="BP57" i="2079" s="1"/>
  <c r="BP58" i="2079" s="1"/>
  <c r="AY82" i="2079"/>
  <c r="M23" i="2079"/>
  <c r="M57" i="2079" s="1"/>
  <c r="M58" i="2079" s="1"/>
  <c r="Y23" i="2079"/>
  <c r="Y57" i="2079" s="1"/>
  <c r="Y58" i="2079" s="1"/>
  <c r="H32" i="2079"/>
  <c r="H23" i="2079" s="1"/>
  <c r="H57" i="2079" s="1"/>
  <c r="H58" i="2079" s="1"/>
  <c r="T32" i="2079"/>
  <c r="T23" i="2079" s="1"/>
  <c r="T57" i="2079" s="1"/>
  <c r="T58" i="2079" s="1"/>
  <c r="BW33" i="2079"/>
  <c r="BO23" i="2079"/>
  <c r="BO57" i="2079" s="1"/>
  <c r="BO58" i="2079" s="1"/>
  <c r="AF23" i="2079"/>
  <c r="AF57" i="2079" s="1"/>
  <c r="AF58" i="2079" s="1"/>
  <c r="U23" i="2079"/>
  <c r="U57" i="2079" s="1"/>
  <c r="U58" i="2079" s="1"/>
  <c r="AI32" i="2079"/>
  <c r="AI23" i="2079" s="1"/>
  <c r="AI57" i="2079" s="1"/>
  <c r="AI58" i="2079" s="1"/>
  <c r="AU32" i="2079"/>
  <c r="AU23" i="2079" s="1"/>
  <c r="AU57" i="2079" s="1"/>
  <c r="AU58" i="2079" s="1"/>
  <c r="BG32" i="2079"/>
  <c r="BG23" i="2079" s="1"/>
  <c r="BG57" i="2079" s="1"/>
  <c r="BG58" i="2079" s="1"/>
  <c r="BS32" i="2079"/>
  <c r="BS23" i="2079" s="1"/>
  <c r="BS57" i="2079" s="1"/>
  <c r="BS58" i="2079" s="1"/>
  <c r="Q23" i="2079"/>
  <c r="Q57" i="2079" s="1"/>
  <c r="Q58" i="2079" s="1"/>
  <c r="AS80" i="2079"/>
  <c r="T81" i="2079"/>
  <c r="BX7" i="2079"/>
  <c r="AR23" i="2079"/>
  <c r="AR57" i="2079" s="1"/>
  <c r="AR58" i="2079" s="1"/>
  <c r="Q82" i="2079"/>
  <c r="AO82" i="2079"/>
  <c r="C23" i="2079"/>
  <c r="C57" i="2079" s="1"/>
  <c r="C58" i="2079" s="1"/>
  <c r="J32" i="2079"/>
  <c r="J23" i="2079" s="1"/>
  <c r="J57" i="2079" s="1"/>
  <c r="J58" i="2079" s="1"/>
  <c r="V32" i="2079"/>
  <c r="V23" i="2079" s="1"/>
  <c r="V57" i="2079" s="1"/>
  <c r="V58" i="2079" s="1"/>
  <c r="AJ32" i="2079"/>
  <c r="AJ23" i="2079" s="1"/>
  <c r="AJ57" i="2079" s="1"/>
  <c r="AJ58" i="2079" s="1"/>
  <c r="AV32" i="2079"/>
  <c r="AV23" i="2079" s="1"/>
  <c r="AV57" i="2079" s="1"/>
  <c r="AV58" i="2079" s="1"/>
  <c r="BH32" i="2079"/>
  <c r="BH23" i="2079" s="1"/>
  <c r="BH57" i="2079" s="1"/>
  <c r="BH58" i="2079" s="1"/>
  <c r="BT32" i="2079"/>
  <c r="BT23" i="2079" s="1"/>
  <c r="BT57" i="2079" s="1"/>
  <c r="BT58" i="2079" s="1"/>
  <c r="Z32" i="2079"/>
  <c r="Z23" i="2079" s="1"/>
  <c r="Z57" i="2079" s="1"/>
  <c r="Z58" i="2079" s="1"/>
  <c r="AL80" i="2079"/>
  <c r="AW81" i="2079"/>
  <c r="F21" i="2076"/>
  <c r="R21" i="2076"/>
  <c r="AD21" i="2076"/>
  <c r="AP21" i="2076"/>
  <c r="BB21" i="2076"/>
  <c r="BN21" i="2076"/>
  <c r="BN7" i="2076" s="1"/>
  <c r="BN30" i="2077" s="1"/>
  <c r="AG7" i="2076"/>
  <c r="U7" i="2076"/>
  <c r="BF7" i="2076"/>
  <c r="BQ7" i="2076"/>
  <c r="BQ30" i="2077" s="1"/>
  <c r="P21" i="2076"/>
  <c r="P7" i="2076" s="1"/>
  <c r="BL21" i="2076"/>
  <c r="BL7" i="2076" s="1"/>
  <c r="BL30" i="2077" s="1"/>
  <c r="E21" i="2076"/>
  <c r="Q21" i="2076"/>
  <c r="AC21" i="2076"/>
  <c r="AC7" i="2076" s="1"/>
  <c r="AO21" i="2076"/>
  <c r="AO7" i="2076" s="1"/>
  <c r="BA21" i="2076"/>
  <c r="BA7" i="2076" s="1"/>
  <c r="BM21" i="2076"/>
  <c r="BM7" i="2076" s="1"/>
  <c r="BM30" i="2077" s="1"/>
  <c r="AS7" i="2076"/>
  <c r="AN21" i="2076"/>
  <c r="AN7" i="2076" s="1"/>
  <c r="AB7" i="2076"/>
  <c r="BE7" i="2076"/>
  <c r="D21" i="2076"/>
  <c r="D7" i="2076" s="1"/>
  <c r="AZ21" i="2076"/>
  <c r="AZ7" i="2076" s="1"/>
  <c r="E7" i="2076"/>
  <c r="Q7" i="2076"/>
  <c r="AH7" i="2076"/>
  <c r="AB21" i="2076"/>
  <c r="BG7" i="2076"/>
  <c r="AV7" i="2076"/>
  <c r="BW9" i="2076"/>
  <c r="BI21" i="2076"/>
  <c r="BI7" i="2076" s="1"/>
  <c r="BX9" i="2076"/>
  <c r="B21" i="2076"/>
  <c r="B7" i="2076" s="1"/>
  <c r="N21" i="2076"/>
  <c r="N7" i="2076" s="1"/>
  <c r="Z21" i="2076"/>
  <c r="Z7" i="2076" s="1"/>
  <c r="AL21" i="2076"/>
  <c r="AL7" i="2076" s="1"/>
  <c r="AX21" i="2076"/>
  <c r="AX7" i="2076" s="1"/>
  <c r="BJ21" i="2076"/>
  <c r="BJ7" i="2076" s="1"/>
  <c r="BW22" i="2076"/>
  <c r="X7" i="2076"/>
  <c r="BH7" i="2076"/>
  <c r="Y21" i="2076"/>
  <c r="Y7" i="2076" s="1"/>
  <c r="AW21" i="2076"/>
  <c r="AW7" i="2076" s="1"/>
  <c r="AA7" i="2076"/>
  <c r="AM7" i="2076"/>
  <c r="C21" i="2076"/>
  <c r="C7" i="2076" s="1"/>
  <c r="O21" i="2076"/>
  <c r="O7" i="2076" s="1"/>
  <c r="AA21" i="2076"/>
  <c r="AM21" i="2076"/>
  <c r="AY21" i="2076"/>
  <c r="AY7" i="2076" s="1"/>
  <c r="BK21" i="2076"/>
  <c r="BK7" i="2076" s="1"/>
  <c r="BK30" i="2077" s="1"/>
  <c r="W7" i="2076"/>
  <c r="BX27" i="2076"/>
  <c r="AJ7" i="2076"/>
  <c r="BT7" i="2076"/>
  <c r="BT30" i="2077" s="1"/>
  <c r="AK21" i="2076"/>
  <c r="AK7" i="2076" s="1"/>
  <c r="BU21" i="2076"/>
  <c r="AU7" i="2076"/>
  <c r="F7" i="2076"/>
  <c r="G21" i="2076"/>
  <c r="G7" i="2076" s="1"/>
  <c r="S21" i="2076"/>
  <c r="S7" i="2076" s="1"/>
  <c r="AE21" i="2076"/>
  <c r="AE7" i="2076" s="1"/>
  <c r="AQ21" i="2076"/>
  <c r="AQ7" i="2076" s="1"/>
  <c r="BC21" i="2076"/>
  <c r="BC7" i="2076" s="1"/>
  <c r="BO21" i="2076"/>
  <c r="BO7" i="2076" s="1"/>
  <c r="BO30" i="2077" s="1"/>
  <c r="K7" i="2076"/>
  <c r="BS7" i="2076"/>
  <c r="BS30" i="2077" s="1"/>
  <c r="AD7" i="2076"/>
  <c r="H21" i="2076"/>
  <c r="H7" i="2076" s="1"/>
  <c r="T21" i="2076"/>
  <c r="T7" i="2076" s="1"/>
  <c r="AF21" i="2076"/>
  <c r="AF7" i="2076" s="1"/>
  <c r="AR21" i="2076"/>
  <c r="AR7" i="2076" s="1"/>
  <c r="BD21" i="2076"/>
  <c r="BD7" i="2076" s="1"/>
  <c r="BP21" i="2076"/>
  <c r="BP7" i="2076" s="1"/>
  <c r="BP30" i="2077" s="1"/>
  <c r="AP7" i="2076"/>
  <c r="I7" i="2076"/>
  <c r="AI7" i="2076"/>
  <c r="R7" i="2076"/>
  <c r="BB7" i="2076"/>
  <c r="BF30" i="2077"/>
  <c r="J7" i="2076"/>
  <c r="V7" i="2076"/>
  <c r="AT7" i="2076"/>
  <c r="BR7" i="2076"/>
  <c r="BR30" i="2077" s="1"/>
  <c r="DZ55" i="2629"/>
  <c r="EA55" i="2629" s="1"/>
  <c r="EA21" i="2629"/>
  <c r="DY54" i="2629"/>
  <c r="DY41" i="2629"/>
  <c r="DZ20" i="2629"/>
  <c r="DZ54" i="2629" s="1"/>
  <c r="AZ21" i="1814"/>
  <c r="AI23" i="1814"/>
  <c r="AI26" i="1814"/>
  <c r="BA26" i="1814" s="1"/>
  <c r="AI18" i="1814"/>
  <c r="BA18" i="1814" s="1"/>
  <c r="BB18" i="1814" s="1"/>
  <c r="AZ26" i="1814"/>
  <c r="AI24" i="1814"/>
  <c r="BA24" i="1814" s="1"/>
  <c r="AI20" i="1814"/>
  <c r="BA20" i="1814" s="1"/>
  <c r="AZ24" i="1814"/>
  <c r="FF14" i="2083"/>
  <c r="FC8" i="2083"/>
  <c r="FF11" i="2083"/>
  <c r="FE7" i="2083"/>
  <c r="FE8" i="2083"/>
  <c r="FF7" i="2083"/>
  <c r="FC13" i="2083"/>
  <c r="FF8" i="2083"/>
  <c r="FC9" i="2083"/>
  <c r="FC14" i="2083"/>
  <c r="FF9" i="2083"/>
  <c r="FE10" i="2083"/>
  <c r="FC7" i="2083"/>
  <c r="FF10" i="2083"/>
  <c r="FE11" i="2083"/>
  <c r="FF13" i="2083"/>
  <c r="FE9" i="2083"/>
  <c r="FC10" i="2083"/>
  <c r="FE13" i="2083"/>
  <c r="FE14" i="2083"/>
  <c r="FC11" i="2083"/>
  <c r="CA31" i="2083"/>
  <c r="FC31" i="2083"/>
  <c r="BA43" i="2083"/>
  <c r="BN43" i="2083"/>
  <c r="DN43" i="2083"/>
  <c r="FE43" i="2083"/>
  <c r="FF43" i="2083"/>
  <c r="N31" i="2083"/>
  <c r="AA31" i="2083"/>
  <c r="BN31" i="2083"/>
  <c r="CN31" i="2083"/>
  <c r="CA43" i="2083"/>
  <c r="AA41" i="2081"/>
  <c r="EA23" i="2081"/>
  <c r="CA30" i="2081"/>
  <c r="EA40" i="2081"/>
  <c r="EA11" i="2081"/>
  <c r="DN30" i="2081"/>
  <c r="FH30" i="2081" s="1"/>
  <c r="CA11" i="2081"/>
  <c r="EA20" i="2081"/>
  <c r="EA28" i="2081"/>
  <c r="AN41" i="2081"/>
  <c r="BN41" i="2081"/>
  <c r="CA41" i="2081"/>
  <c r="EA41" i="2081"/>
  <c r="DN28" i="2081"/>
  <c r="CA17" i="2081"/>
  <c r="EA30" i="2081"/>
  <c r="DA41" i="2081"/>
  <c r="DN41" i="2081"/>
  <c r="DN11" i="2081"/>
  <c r="N41" i="2081"/>
  <c r="DN17" i="2081"/>
  <c r="FH17" i="2081" s="1"/>
  <c r="EA9" i="2081"/>
  <c r="CA29" i="2081"/>
  <c r="FH29" i="2081" s="1"/>
  <c r="FF54" i="1720"/>
  <c r="FE50" i="1720"/>
  <c r="FF46" i="1720"/>
  <c r="FC43" i="1720"/>
  <c r="FE39" i="1720"/>
  <c r="FC36" i="1720"/>
  <c r="FE32" i="1720"/>
  <c r="FF29" i="1720"/>
  <c r="FC26" i="1720"/>
  <c r="FE22" i="1720"/>
  <c r="FC19" i="1720"/>
  <c r="FE15" i="1720"/>
  <c r="FE11" i="1720"/>
  <c r="FE14" i="1720"/>
  <c r="FE45" i="1720"/>
  <c r="FC25" i="1720"/>
  <c r="FC9" i="1720"/>
  <c r="FF41" i="1720"/>
  <c r="FC21" i="1720"/>
  <c r="FF8" i="1720"/>
  <c r="FE48" i="1720"/>
  <c r="FE31" i="1720"/>
  <c r="FE13" i="1720"/>
  <c r="FE37" i="1720"/>
  <c r="FC8" i="1720"/>
  <c r="FE44" i="1720"/>
  <c r="FF23" i="1720"/>
  <c r="FF12" i="1720"/>
  <c r="FF30" i="1720"/>
  <c r="FE12" i="1720"/>
  <c r="FC40" i="1720"/>
  <c r="FE19" i="1720"/>
  <c r="FE7" i="1720"/>
  <c r="FF32" i="1720"/>
  <c r="FE54" i="1720"/>
  <c r="FC50" i="1720"/>
  <c r="FE46" i="1720"/>
  <c r="FF42" i="1720"/>
  <c r="FF35" i="1720"/>
  <c r="FC32" i="1720"/>
  <c r="FE29" i="1720"/>
  <c r="FF25" i="1720"/>
  <c r="FF18" i="1720"/>
  <c r="FC15" i="1720"/>
  <c r="FC11" i="1720"/>
  <c r="FE9" i="1720"/>
  <c r="FC42" i="1720"/>
  <c r="FE28" i="1720"/>
  <c r="FF17" i="1720"/>
  <c r="FE34" i="1720"/>
  <c r="FE17" i="1720"/>
  <c r="FC45" i="1720"/>
  <c r="FC34" i="1720"/>
  <c r="FF20" i="1720"/>
  <c r="FE8" i="1720"/>
  <c r="FF33" i="1720"/>
  <c r="FE20" i="1720"/>
  <c r="FE51" i="1720"/>
  <c r="FE33" i="1720"/>
  <c r="FC20" i="1720"/>
  <c r="FC44" i="1720"/>
  <c r="FE23" i="1720"/>
  <c r="FE47" i="1720"/>
  <c r="FE30" i="1720"/>
  <c r="FC12" i="1720"/>
  <c r="FF50" i="1720"/>
  <c r="FE26" i="1720"/>
  <c r="FC7" i="1720"/>
  <c r="FC54" i="1720"/>
  <c r="FF49" i="1720"/>
  <c r="FC46" i="1720"/>
  <c r="FE42" i="1720"/>
  <c r="FC39" i="1720"/>
  <c r="FE35" i="1720"/>
  <c r="FC29" i="1720"/>
  <c r="FE25" i="1720"/>
  <c r="FC22" i="1720"/>
  <c r="FE18" i="1720"/>
  <c r="FF14" i="1720"/>
  <c r="FF9" i="1720"/>
  <c r="FC18" i="1720"/>
  <c r="FE52" i="1720"/>
  <c r="FF34" i="1720"/>
  <c r="FE21" i="1720"/>
  <c r="FC38" i="1720"/>
  <c r="FF24" i="1720"/>
  <c r="FC52" i="1720"/>
  <c r="FF37" i="1720"/>
  <c r="FC28" i="1720"/>
  <c r="FC17" i="1720"/>
  <c r="FF44" i="1720"/>
  <c r="FC24" i="1720"/>
  <c r="FF16" i="1720"/>
  <c r="FC48" i="1720"/>
  <c r="FC31" i="1720"/>
  <c r="FE16" i="1720"/>
  <c r="FC27" i="1720"/>
  <c r="FF7" i="1720"/>
  <c r="FE36" i="1720"/>
  <c r="FC16" i="1720"/>
  <c r="FC47" i="1720"/>
  <c r="FC30" i="1720"/>
  <c r="FF15" i="1720"/>
  <c r="FF52" i="1720"/>
  <c r="FE49" i="1720"/>
  <c r="FF45" i="1720"/>
  <c r="FF38" i="1720"/>
  <c r="FC35" i="1720"/>
  <c r="FF28" i="1720"/>
  <c r="FF21" i="1720"/>
  <c r="FC49" i="1720"/>
  <c r="FE38" i="1720"/>
  <c r="FC14" i="1720"/>
  <c r="FF48" i="1720"/>
  <c r="FF31" i="1720"/>
  <c r="FF13" i="1720"/>
  <c r="FE41" i="1720"/>
  <c r="FE24" i="1720"/>
  <c r="FF51" i="1720"/>
  <c r="FF27" i="1720"/>
  <c r="FC13" i="1720"/>
  <c r="FF40" i="1720"/>
  <c r="FE27" i="1720"/>
  <c r="FF36" i="1720"/>
  <c r="FF19" i="1720"/>
  <c r="FF43" i="1720"/>
  <c r="FC23" i="1720"/>
  <c r="FE43" i="1720"/>
  <c r="FF11" i="1720"/>
  <c r="FC41" i="1720"/>
  <c r="FE40" i="1720"/>
  <c r="FF47" i="1720"/>
  <c r="FC37" i="1720"/>
  <c r="FC51" i="1720"/>
  <c r="FC33" i="1720"/>
  <c r="FF26" i="1720"/>
  <c r="FF39" i="1720"/>
  <c r="FF22" i="1720"/>
  <c r="AT34" i="1896" a="1"/>
  <c r="AT34" i="1896" s="1"/>
  <c r="S34" i="1896" a="1"/>
  <c r="S34" i="1896" s="1"/>
  <c r="EG34" i="1896" a="1"/>
  <c r="EG34" i="1896" s="1"/>
  <c r="EG7" i="1896" s="1"/>
  <c r="G34" i="1896" a="1"/>
  <c r="G34" i="1896" s="1"/>
  <c r="I34" i="1896" a="1"/>
  <c r="I34" i="1896" s="1"/>
  <c r="DV34" i="1896" a="1"/>
  <c r="DV34" i="1896" s="1"/>
  <c r="AH34" i="1896" a="1"/>
  <c r="AH34" i="1896" s="1"/>
  <c r="BF34" i="1896" a="1"/>
  <c r="BF34" i="1896" s="1"/>
  <c r="BE34" i="1896" a="1"/>
  <c r="BE34" i="1896" s="1"/>
  <c r="X34" i="1896" a="1"/>
  <c r="X34" i="1896" s="1"/>
  <c r="DK34" i="1896" a="1"/>
  <c r="DK34" i="1896" s="1"/>
  <c r="CX34" i="1896" a="1"/>
  <c r="CX34" i="1896" s="1"/>
  <c r="BY34" i="1896" a="1"/>
  <c r="BY34" i="1896" s="1"/>
  <c r="BL34" i="1896" a="1"/>
  <c r="BL34" i="1896" s="1"/>
  <c r="AM34" i="1896" a="1"/>
  <c r="AM34" i="1896" s="1"/>
  <c r="Z34" i="1896" a="1"/>
  <c r="Z34" i="1896" s="1"/>
  <c r="EO34" i="1896" a="1"/>
  <c r="EO34" i="1896" s="1"/>
  <c r="CS34" i="1896" a="1"/>
  <c r="CS34" i="1896" s="1"/>
  <c r="CF34" i="1896" a="1"/>
  <c r="CF34" i="1896" s="1"/>
  <c r="BG34" i="1896" a="1"/>
  <c r="BG34" i="1896" s="1"/>
  <c r="DY34" i="1896" a="1"/>
  <c r="DY34" i="1896" s="1"/>
  <c r="CO34" i="1896" a="1"/>
  <c r="CO34" i="1896" s="1"/>
  <c r="CC34" i="1896" a="1"/>
  <c r="CC34" i="1896" s="1"/>
  <c r="BB34" i="1896" a="1"/>
  <c r="BB34" i="1896" s="1"/>
  <c r="BX34" i="1896" a="1"/>
  <c r="BX34" i="1896" s="1"/>
  <c r="BK34" i="1896" a="1"/>
  <c r="BK34" i="1896" s="1"/>
  <c r="AY34" i="1896" a="1"/>
  <c r="AY34" i="1896" s="1"/>
  <c r="AL34" i="1896" a="1"/>
  <c r="AL34" i="1896" s="1"/>
  <c r="M34" i="1896" a="1"/>
  <c r="M34" i="1896" s="1"/>
  <c r="CR34" i="1896" a="1"/>
  <c r="CR34" i="1896" s="1"/>
  <c r="CE34" i="1896" a="1"/>
  <c r="CE34" i="1896" s="1"/>
  <c r="BS34" i="1896" a="1"/>
  <c r="BS34" i="1896" s="1"/>
  <c r="DX34" i="1896" a="1"/>
  <c r="DX34" i="1896" s="1"/>
  <c r="EV34" i="1896" a="1"/>
  <c r="EV34" i="1896" s="1"/>
  <c r="H34" i="1896" a="1"/>
  <c r="H34" i="1896" s="1"/>
  <c r="DI34" i="1896" a="1"/>
  <c r="DI34" i="1896" s="1"/>
  <c r="CL34" i="1896" a="1"/>
  <c r="CL34" i="1896" s="1"/>
  <c r="AP34" i="1896" a="1"/>
  <c r="AP34" i="1896" s="1"/>
  <c r="AX34" i="1896" a="1"/>
  <c r="AX34" i="1896" s="1"/>
  <c r="AK34" i="1896" a="1"/>
  <c r="AK34" i="1896" s="1"/>
  <c r="Y34" i="1896" a="1"/>
  <c r="Y34" i="1896" s="1"/>
  <c r="DD34" i="1896" a="1"/>
  <c r="DD34" i="1896" s="1"/>
  <c r="CQ34" i="1896" a="1"/>
  <c r="CQ34" i="1896" s="1"/>
  <c r="BR34" i="1896" a="1"/>
  <c r="BR34" i="1896" s="1"/>
  <c r="EF34" i="1896" a="1"/>
  <c r="EF34" i="1896" s="1"/>
  <c r="EF7" i="1896" s="1"/>
  <c r="U34" i="1896" a="1"/>
  <c r="U34" i="1896" s="1"/>
  <c r="EU34" i="1896" a="1"/>
  <c r="EU34" i="1896" s="1"/>
  <c r="EE34" i="1896" a="1"/>
  <c r="EE34" i="1896" s="1"/>
  <c r="EE7" i="1896" s="1"/>
  <c r="DU34" i="1896" a="1"/>
  <c r="DU34" i="1896" s="1"/>
  <c r="CI34" i="1896" a="1"/>
  <c r="CI34" i="1896" s="1"/>
  <c r="CK34" i="1896" a="1"/>
  <c r="CK34" i="1896" s="1"/>
  <c r="R34" i="1896" a="1"/>
  <c r="R34" i="1896" s="1"/>
  <c r="EW34" i="1896" a="1"/>
  <c r="EW34" i="1896" s="1"/>
  <c r="DP34" i="1896" a="1"/>
  <c r="DP34" i="1896" s="1"/>
  <c r="DC34" i="1896" a="1"/>
  <c r="DC34" i="1896" s="1"/>
  <c r="CD34" i="1896" a="1"/>
  <c r="CD34" i="1896" s="1"/>
  <c r="CP34" i="1896" a="1"/>
  <c r="CP34" i="1896" s="1"/>
  <c r="DB34" i="1896" a="1"/>
  <c r="DB34" i="1896" s="1"/>
  <c r="BM34" i="1896" a="1"/>
  <c r="BM34" i="1896" s="1"/>
  <c r="AG34" i="1896" a="1"/>
  <c r="AG34" i="1896" s="1"/>
  <c r="T34" i="1896" a="1"/>
  <c r="T34" i="1896" s="1"/>
  <c r="DW34" i="1896" a="1"/>
  <c r="DW34" i="1896" s="1"/>
  <c r="ED34" i="1896" a="1"/>
  <c r="ED34" i="1896" s="1"/>
  <c r="ED7" i="1896" s="1"/>
  <c r="DH34" i="1896" a="1"/>
  <c r="DH34" i="1896" s="1"/>
  <c r="CU34" i="1896" a="1"/>
  <c r="CU34" i="1896" s="1"/>
  <c r="CV34" i="1896" a="1"/>
  <c r="CV34" i="1896" s="1"/>
  <c r="J34" i="1896" a="1"/>
  <c r="J34" i="1896" s="1"/>
  <c r="EK34" i="1896" a="1"/>
  <c r="EK34" i="1896" s="1"/>
  <c r="EK7" i="1896" s="1"/>
  <c r="DO34" i="1896" a="1"/>
  <c r="DO34" i="1896" s="1"/>
  <c r="EI34" i="1896" a="1"/>
  <c r="EI34" i="1896" s="1"/>
  <c r="EI7" i="1896" s="1"/>
  <c r="O34" i="1896" a="1"/>
  <c r="O34" i="1896" s="1"/>
  <c r="AS34" i="1896" a="1"/>
  <c r="AS34" i="1896" s="1"/>
  <c r="AF34" i="1896" a="1"/>
  <c r="AF34" i="1896" s="1"/>
  <c r="ES34" i="1896" a="1"/>
  <c r="ES34" i="1896" s="1"/>
  <c r="CJ34" i="1896" a="1"/>
  <c r="CJ34" i="1896" s="1"/>
  <c r="DT34" i="1896" a="1"/>
  <c r="DT34" i="1896" s="1"/>
  <c r="DG34" i="1896" a="1"/>
  <c r="DG34" i="1896" s="1"/>
  <c r="BI34" i="1896" a="1"/>
  <c r="BI34" i="1896" s="1"/>
  <c r="W34" i="1896" a="1"/>
  <c r="W34" i="1896" s="1"/>
  <c r="AJ34" i="1896" a="1"/>
  <c r="AJ34" i="1896" s="1"/>
  <c r="EJ34" i="1896" a="1"/>
  <c r="EJ34" i="1896" s="1"/>
  <c r="EJ7" i="1896" s="1"/>
  <c r="BQ34" i="1896" a="1"/>
  <c r="BQ34" i="1896" s="1"/>
  <c r="CG34" i="1896" a="1"/>
  <c r="CG34" i="1896" s="1"/>
  <c r="AR34" i="1896" a="1"/>
  <c r="AR34" i="1896" s="1"/>
  <c r="AE34" i="1896" a="1"/>
  <c r="AE34" i="1896" s="1"/>
  <c r="F34" i="1896" a="1"/>
  <c r="F34" i="1896" s="1"/>
  <c r="DJ34" i="1896" a="1"/>
  <c r="DJ34" i="1896" s="1"/>
  <c r="EC34" i="1896" a="1"/>
  <c r="EC34" i="1896" s="1"/>
  <c r="EC7" i="1896" s="1"/>
  <c r="DS34" i="1896" a="1"/>
  <c r="DS34" i="1896" s="1"/>
  <c r="CT34" i="1896" a="1"/>
  <c r="CT34" i="1896" s="1"/>
  <c r="BZ34" i="1896" a="1"/>
  <c r="BZ34" i="1896" s="1"/>
  <c r="EZ34" i="1896" a="1"/>
  <c r="EZ34" i="1896" s="1"/>
  <c r="CW34" i="1896" a="1"/>
  <c r="CW34" i="1896" s="1"/>
  <c r="DZ34" i="1896" a="1"/>
  <c r="DZ34" i="1896" s="1"/>
  <c r="AZ34" i="1896" a="1"/>
  <c r="AZ34" i="1896" s="1"/>
  <c r="BD34" i="1896" a="1"/>
  <c r="BD34" i="1896" s="1"/>
  <c r="AQ34" i="1896" a="1"/>
  <c r="AQ34" i="1896" s="1"/>
  <c r="E34" i="1896" a="1"/>
  <c r="E34" i="1896" s="1"/>
  <c r="ER34" i="1896" a="1"/>
  <c r="ER34" i="1896" s="1"/>
  <c r="EB34" i="1896" a="1"/>
  <c r="EB34" i="1896" s="1"/>
  <c r="DR34" i="1896" a="1"/>
  <c r="DR34" i="1896" s="1"/>
  <c r="DF34" i="1896" a="1"/>
  <c r="DF34" i="1896" s="1"/>
  <c r="BV34" i="1896" a="1"/>
  <c r="BV34" i="1896" s="1"/>
  <c r="L34" i="1896" a="1"/>
  <c r="L34" i="1896" s="1"/>
  <c r="EY34" i="1896" a="1"/>
  <c r="EY34" i="1896" s="1"/>
  <c r="EH34" i="1896" a="1"/>
  <c r="EH34" i="1896" s="1"/>
  <c r="EH7" i="1896" s="1"/>
  <c r="B34" i="1896" a="1"/>
  <c r="B34" i="1896" s="1"/>
  <c r="BP34" i="1896" a="1"/>
  <c r="BP34" i="1896" s="1"/>
  <c r="BC34" i="1896" a="1"/>
  <c r="BC34" i="1896" s="1"/>
  <c r="Q34" i="1896" a="1"/>
  <c r="Q34" i="1896" s="1"/>
  <c r="D34" i="1896" a="1"/>
  <c r="D34" i="1896" s="1"/>
  <c r="BW34" i="1896" a="1"/>
  <c r="BW34" i="1896" s="1"/>
  <c r="EM34" i="1896" a="1"/>
  <c r="EM34" i="1896" s="1"/>
  <c r="EM7" i="1896" s="1"/>
  <c r="DE34" i="1896" a="1"/>
  <c r="DE34" i="1896" s="1"/>
  <c r="CH34" i="1896" a="1"/>
  <c r="CH34" i="1896" s="1"/>
  <c r="K34" i="1896" a="1"/>
  <c r="K34" i="1896" s="1"/>
  <c r="EX34" i="1896" a="1"/>
  <c r="EX34" i="1896" s="1"/>
  <c r="ET34" i="1896" a="1"/>
  <c r="ET34" i="1896" s="1"/>
  <c r="BJ34" i="1896" a="1"/>
  <c r="BJ34" i="1896" s="1"/>
  <c r="CB34" i="1896" a="1"/>
  <c r="CB34" i="1896" s="1"/>
  <c r="BO34" i="1896" a="1"/>
  <c r="BO34" i="1896" s="1"/>
  <c r="AC34" i="1896" a="1"/>
  <c r="AC34" i="1896" s="1"/>
  <c r="P34" i="1896" a="1"/>
  <c r="P34" i="1896" s="1"/>
  <c r="EQ34" i="1896" a="1"/>
  <c r="EQ34" i="1896" s="1"/>
  <c r="AW34" i="1896" a="1"/>
  <c r="AW34" i="1896" s="1"/>
  <c r="DQ34" i="1896" a="1"/>
  <c r="DQ34" i="1896" s="1"/>
  <c r="AV34" i="1896" a="1"/>
  <c r="AV34" i="1896" s="1"/>
  <c r="AI34" i="1896" a="1"/>
  <c r="AI34" i="1896" s="1"/>
  <c r="AD34" i="1896" a="1"/>
  <c r="AD34" i="1896" s="1"/>
  <c r="CY34" i="1896" a="1"/>
  <c r="CY34" i="1896" s="1"/>
  <c r="AU34" i="1896" a="1"/>
  <c r="AU34" i="1896" s="1"/>
  <c r="CZ34" i="1896" a="1"/>
  <c r="CZ34" i="1896" s="1"/>
  <c r="CM34" i="1896" a="1"/>
  <c r="CM34" i="1896" s="1"/>
  <c r="AO34" i="1896" a="1"/>
  <c r="AO34" i="1896" s="1"/>
  <c r="AB34" i="1896" a="1"/>
  <c r="AB34" i="1896" s="1"/>
  <c r="C34" i="1896" a="1"/>
  <c r="C34" i="1896" s="1"/>
  <c r="EP34" i="1896" a="1"/>
  <c r="EP34" i="1896" s="1"/>
  <c r="EL34" i="1896" a="1"/>
  <c r="EL34" i="1896" s="1"/>
  <c r="EL7" i="1896" s="1"/>
  <c r="BU34" i="1896" a="1"/>
  <c r="BU34" i="1896" s="1"/>
  <c r="BH34" i="1896" a="1"/>
  <c r="BH34" i="1896" s="1"/>
  <c r="V34" i="1896" a="1"/>
  <c r="V34" i="1896" s="1"/>
  <c r="DL34" i="1896" a="1"/>
  <c r="DL34" i="1896" s="1"/>
  <c r="BT34" i="1896" a="1"/>
  <c r="BT34" i="1896" s="1"/>
  <c r="DM34" i="1896" a="1"/>
  <c r="DM34" i="1896" s="1"/>
  <c r="FH29" i="2080"/>
  <c r="DA52" i="1720"/>
  <c r="CA68" i="1720"/>
  <c r="BN68" i="1720"/>
  <c r="FI20" i="2082"/>
  <c r="FI33" i="2082"/>
  <c r="FE10" i="2082"/>
  <c r="FC36" i="2082"/>
  <c r="FF36" i="2082"/>
  <c r="FF10" i="2082"/>
  <c r="FE36" i="2082"/>
  <c r="FC10" i="2082"/>
  <c r="FF29" i="2082"/>
  <c r="FE29" i="2082"/>
  <c r="FC29" i="2082"/>
  <c r="FE21" i="2082"/>
  <c r="FE27" i="2082"/>
  <c r="FC19" i="2082"/>
  <c r="FE13" i="2082"/>
  <c r="FF16" i="2082"/>
  <c r="FF39" i="2082"/>
  <c r="FE24" i="2082"/>
  <c r="FE38" i="2082"/>
  <c r="FC28" i="2082"/>
  <c r="FE28" i="2082"/>
  <c r="FF28" i="2082"/>
  <c r="FE18" i="2082"/>
  <c r="FE31" i="2082"/>
  <c r="FC22" i="2082"/>
  <c r="FE16" i="2082"/>
  <c r="FE32" i="2082"/>
  <c r="FF19" i="2082"/>
  <c r="FF35" i="2082"/>
  <c r="FE15" i="2082"/>
  <c r="FC16" i="2082"/>
  <c r="FE22" i="2082"/>
  <c r="FE39" i="2082"/>
  <c r="FF22" i="2082"/>
  <c r="FE12" i="2082"/>
  <c r="FE34" i="2082"/>
  <c r="FC25" i="2082"/>
  <c r="FC39" i="2082"/>
  <c r="FE25" i="2082"/>
  <c r="FE35" i="2082"/>
  <c r="FF25" i="2082"/>
  <c r="FC13" i="2082"/>
  <c r="FC32" i="2082"/>
  <c r="FC35" i="2082"/>
  <c r="FE19" i="2082"/>
  <c r="FF13" i="2082"/>
  <c r="FF32" i="2082"/>
  <c r="FC11" i="2082"/>
  <c r="FC31" i="2082"/>
  <c r="FF23" i="2082"/>
  <c r="FE17" i="2082"/>
  <c r="FF31" i="2082"/>
  <c r="FF11" i="2082"/>
  <c r="FF24" i="2082"/>
  <c r="FD24" i="2082" s="1"/>
  <c r="FE37" i="2082"/>
  <c r="FE26" i="2082"/>
  <c r="FC17" i="2082"/>
  <c r="FF38" i="2082"/>
  <c r="FC27" i="2082"/>
  <c r="FF20" i="2082"/>
  <c r="FE14" i="2082"/>
  <c r="FC21" i="2082"/>
  <c r="FC18" i="2082"/>
  <c r="FC15" i="2082"/>
  <c r="FC23" i="2082"/>
  <c r="FF30" i="2082"/>
  <c r="FC14" i="2082"/>
  <c r="FF34" i="2082"/>
  <c r="FC24" i="2082"/>
  <c r="FF17" i="2082"/>
  <c r="FE11" i="2082"/>
  <c r="FF14" i="2082"/>
  <c r="FC37" i="2082"/>
  <c r="FE40" i="2082"/>
  <c r="FC30" i="2082"/>
  <c r="FF12" i="2082"/>
  <c r="FC34" i="2082"/>
  <c r="FC40" i="2082"/>
  <c r="FC33" i="2082"/>
  <c r="FC12" i="2082"/>
  <c r="FF33" i="2082"/>
  <c r="FF26" i="2082"/>
  <c r="FF27" i="2082"/>
  <c r="FF21" i="2082"/>
  <c r="FD21" i="2082" s="1"/>
  <c r="FC20" i="2082"/>
  <c r="FE23" i="2082"/>
  <c r="FF18" i="2082"/>
  <c r="FF40" i="2082"/>
  <c r="FE33" i="2082"/>
  <c r="FC26" i="2082"/>
  <c r="FF15" i="2082"/>
  <c r="FF37" i="2082"/>
  <c r="FE30" i="2082"/>
  <c r="FC38" i="2082"/>
  <c r="FE20" i="2082"/>
  <c r="FI15" i="2082"/>
  <c r="FI27" i="2082"/>
  <c r="FI31" i="2082"/>
  <c r="FI16" i="2082"/>
  <c r="FI28" i="2082"/>
  <c r="FI14" i="2082"/>
  <c r="FI26" i="2082"/>
  <c r="FI40" i="2082"/>
  <c r="FI30" i="2082"/>
  <c r="FI11" i="2082"/>
  <c r="FI39" i="2082"/>
  <c r="FI13" i="2082"/>
  <c r="FI12" i="2082"/>
  <c r="FI23" i="2082"/>
  <c r="FI37" i="2082"/>
  <c r="FI18" i="2082"/>
  <c r="FI38" i="2082"/>
  <c r="FI22" i="2082"/>
  <c r="FI35" i="2082"/>
  <c r="FI25" i="2082"/>
  <c r="FI24" i="2082"/>
  <c r="FI21" i="2082"/>
  <c r="FI34" i="2082"/>
  <c r="C7" i="2082"/>
  <c r="FE41" i="2082"/>
  <c r="FC7" i="2082"/>
  <c r="FC9" i="2082"/>
  <c r="FF41" i="2082"/>
  <c r="FF7" i="2082"/>
  <c r="FE9" i="2082"/>
  <c r="FF9" i="2082"/>
  <c r="FC41" i="2082"/>
  <c r="FI9" i="2082"/>
  <c r="DQ7" i="2081"/>
  <c r="DQ47" i="2081" s="1"/>
  <c r="G7" i="2081"/>
  <c r="DL7" i="2081"/>
  <c r="FH19" i="2081"/>
  <c r="T7" i="2081"/>
  <c r="FH10" i="2081"/>
  <c r="DO7" i="2081"/>
  <c r="FE11" i="2081"/>
  <c r="FD11" i="2081" s="1"/>
  <c r="FE28" i="2081"/>
  <c r="FD28" i="2081" s="1"/>
  <c r="DT7" i="2081"/>
  <c r="DT47" i="2081" s="1"/>
  <c r="FE20" i="2081"/>
  <c r="FD20" i="2081" s="1"/>
  <c r="BE7" i="2081"/>
  <c r="DZ7" i="2081"/>
  <c r="FC41" i="2081"/>
  <c r="DM7" i="2081"/>
  <c r="FH35" i="2081"/>
  <c r="AB7" i="2081"/>
  <c r="AN7" i="2081" s="1"/>
  <c r="BB7" i="2081"/>
  <c r="BT7" i="2081"/>
  <c r="FE41" i="2081"/>
  <c r="FD41" i="2081" s="1"/>
  <c r="DB7" i="2081"/>
  <c r="DW7" i="2081"/>
  <c r="DW47" i="2081" s="1"/>
  <c r="FE17" i="2081"/>
  <c r="FD17" i="2081" s="1"/>
  <c r="DF7" i="2081"/>
  <c r="FE29" i="2081"/>
  <c r="FD29" i="2081" s="1"/>
  <c r="FH36" i="2081"/>
  <c r="O7" i="2081"/>
  <c r="AA7" i="2081" s="1"/>
  <c r="B7" i="2081"/>
  <c r="DG7" i="2081"/>
  <c r="FE30" i="2081"/>
  <c r="FD30" i="2081" s="1"/>
  <c r="CM7" i="2081"/>
  <c r="CN7" i="2081" s="1"/>
  <c r="FH16" i="2081"/>
  <c r="BV7" i="2081"/>
  <c r="DH7" i="2081"/>
  <c r="DR7" i="2081"/>
  <c r="DR47" i="2081" s="1"/>
  <c r="CO7" i="2081"/>
  <c r="DA7" i="2081" s="1"/>
  <c r="FE10" i="2081"/>
  <c r="FD10" i="2081" s="1"/>
  <c r="DP7" i="2081"/>
  <c r="DP47" i="2081" s="1"/>
  <c r="BW7" i="2081"/>
  <c r="DI7" i="2081"/>
  <c r="DS7" i="2081"/>
  <c r="DS47" i="2081" s="1"/>
  <c r="FH21" i="2081"/>
  <c r="FE21" i="2081"/>
  <c r="FD21" i="2081" s="1"/>
  <c r="DU7" i="2081"/>
  <c r="DU47" i="2081" s="1"/>
  <c r="FE9" i="2081"/>
  <c r="FD9" i="2081" s="1"/>
  <c r="DJ7" i="2081"/>
  <c r="DV7" i="2081"/>
  <c r="DV47" i="2081" s="1"/>
  <c r="DK7" i="2081"/>
  <c r="FE23" i="2081"/>
  <c r="FD23" i="2081" s="1"/>
  <c r="FE40" i="2081"/>
  <c r="FD40" i="2081" s="1"/>
  <c r="FI17" i="2082"/>
  <c r="CD7" i="2082"/>
  <c r="AB7" i="2082"/>
  <c r="O7" i="2082"/>
  <c r="DK71" i="1720"/>
  <c r="DK70" i="1720"/>
  <c r="CN68" i="1720"/>
  <c r="CN70" i="1720" s="1"/>
  <c r="CB70" i="1720"/>
  <c r="DN66" i="1720"/>
  <c r="DN8" i="1720"/>
  <c r="DN7" i="1720" s="1"/>
  <c r="CP11" i="1720"/>
  <c r="CP71" i="1720" s="1"/>
  <c r="FH10" i="1897"/>
  <c r="FH17" i="1897"/>
  <c r="FH46" i="1897"/>
  <c r="FH49" i="1897"/>
  <c r="FC42" i="1897"/>
  <c r="FC10" i="1897"/>
  <c r="FF37" i="1897"/>
  <c r="FF17" i="1897"/>
  <c r="FE33" i="1897"/>
  <c r="FE17" i="1897"/>
  <c r="FC37" i="1897"/>
  <c r="FC13" i="1897"/>
  <c r="FC38" i="1897"/>
  <c r="FC18" i="1897"/>
  <c r="FF45" i="1897"/>
  <c r="FF21" i="1897"/>
  <c r="FE41" i="1897"/>
  <c r="FE21" i="1897"/>
  <c r="FC33" i="1897"/>
  <c r="FC21" i="1897"/>
  <c r="FC46" i="1897"/>
  <c r="FC14" i="1897"/>
  <c r="FF41" i="1897"/>
  <c r="FF13" i="1897"/>
  <c r="FE37" i="1897"/>
  <c r="FE13" i="1897"/>
  <c r="FC41" i="1897"/>
  <c r="FC17" i="1897"/>
  <c r="FC34" i="1897"/>
  <c r="FF49" i="1897"/>
  <c r="FF9" i="1897"/>
  <c r="FE45" i="1897"/>
  <c r="FC29" i="1897"/>
  <c r="FC26" i="1897"/>
  <c r="FF29" i="1897"/>
  <c r="FE49" i="1897"/>
  <c r="FC49" i="1897"/>
  <c r="FC30" i="1897"/>
  <c r="FC22" i="1897"/>
  <c r="FF33" i="1897"/>
  <c r="FF25" i="1897"/>
  <c r="FE29" i="1897"/>
  <c r="FE25" i="1897"/>
  <c r="FE9" i="1897"/>
  <c r="FC45" i="1897"/>
  <c r="FC25" i="1897"/>
  <c r="FC9" i="1897"/>
  <c r="FE48" i="1897"/>
  <c r="FF44" i="1897"/>
  <c r="FC39" i="1897"/>
  <c r="FF39" i="1897"/>
  <c r="FC23" i="1897"/>
  <c r="FC36" i="1897"/>
  <c r="FF26" i="1897"/>
  <c r="FE12" i="1897"/>
  <c r="FF27" i="1897"/>
  <c r="FC32" i="1897"/>
  <c r="FF48" i="1897"/>
  <c r="FE15" i="1897"/>
  <c r="FF43" i="1897"/>
  <c r="FC31" i="1897"/>
  <c r="FC40" i="1897"/>
  <c r="FF42" i="1897"/>
  <c r="FE16" i="1897"/>
  <c r="FE23" i="1897"/>
  <c r="FF47" i="1897"/>
  <c r="FC35" i="1897"/>
  <c r="FC44" i="1897"/>
  <c r="FF46" i="1897"/>
  <c r="FE20" i="1897"/>
  <c r="FF11" i="1897"/>
  <c r="FE32" i="1897"/>
  <c r="FF15" i="1897"/>
  <c r="FE14" i="1897"/>
  <c r="FF19" i="1897"/>
  <c r="FE19" i="1897"/>
  <c r="FF23" i="1897"/>
  <c r="FF30" i="1897"/>
  <c r="FE38" i="1897"/>
  <c r="FF34" i="1897"/>
  <c r="FF35" i="1897"/>
  <c r="FF32" i="1897"/>
  <c r="FC15" i="1897"/>
  <c r="FF7" i="1897"/>
  <c r="FE18" i="1897"/>
  <c r="FE35" i="1897"/>
  <c r="FC47" i="1897"/>
  <c r="FC48" i="1897"/>
  <c r="FC11" i="1897"/>
  <c r="FE24" i="1897"/>
  <c r="FE10" i="1897"/>
  <c r="FC43" i="1897"/>
  <c r="FF10" i="1897"/>
  <c r="FE26" i="1897"/>
  <c r="FE34" i="1897"/>
  <c r="FE40" i="1897"/>
  <c r="FF22" i="1897"/>
  <c r="FE42" i="1897"/>
  <c r="FF14" i="1897"/>
  <c r="FF36" i="1897"/>
  <c r="FE47" i="1897"/>
  <c r="FE7" i="1897"/>
  <c r="FF12" i="1897"/>
  <c r="FD12" i="1897" s="1"/>
  <c r="FE43" i="1897"/>
  <c r="FE31" i="1897"/>
  <c r="FC27" i="1897"/>
  <c r="FE28" i="1897"/>
  <c r="FF16" i="1897"/>
  <c r="FC7" i="1897"/>
  <c r="FF20" i="1897"/>
  <c r="FC12" i="1897"/>
  <c r="FE36" i="1897"/>
  <c r="FC16" i="1897"/>
  <c r="FE22" i="1897"/>
  <c r="FF28" i="1897"/>
  <c r="FE44" i="1897"/>
  <c r="FC24" i="1897"/>
  <c r="FF38" i="1897"/>
  <c r="FE46" i="1897"/>
  <c r="FF18" i="1897"/>
  <c r="FE11" i="1897"/>
  <c r="FE27" i="1897"/>
  <c r="FC20" i="1897"/>
  <c r="FC28" i="1897"/>
  <c r="FF40" i="1897"/>
  <c r="FF24" i="1897"/>
  <c r="FE30" i="1897"/>
  <c r="FE39" i="1897"/>
  <c r="FF31" i="1897"/>
  <c r="FC19" i="1897"/>
  <c r="FH9" i="1897"/>
  <c r="FH43" i="1897"/>
  <c r="FE4" i="1897"/>
  <c r="FC4" i="1897"/>
  <c r="FH38" i="1897"/>
  <c r="FH18" i="1897"/>
  <c r="FH27" i="1897"/>
  <c r="FH36" i="1897"/>
  <c r="FH14" i="1897"/>
  <c r="FH42" i="1897"/>
  <c r="FH25" i="1897"/>
  <c r="FH35" i="1897"/>
  <c r="FH12" i="1897"/>
  <c r="FH20" i="1897"/>
  <c r="FH28" i="1897"/>
  <c r="FH15" i="1897"/>
  <c r="FH23" i="1897"/>
  <c r="FH33" i="1897"/>
  <c r="FH21" i="1897"/>
  <c r="FH31" i="1897"/>
  <c r="FH26" i="1897"/>
  <c r="FH47" i="1897"/>
  <c r="FH40" i="1897"/>
  <c r="FH44" i="1897"/>
  <c r="FH29" i="1897"/>
  <c r="FH16" i="1897"/>
  <c r="FH24" i="1897"/>
  <c r="FH34" i="1897"/>
  <c r="FH11" i="1897"/>
  <c r="FH19" i="1897"/>
  <c r="FH39" i="1897"/>
  <c r="FH37" i="1897"/>
  <c r="FH41" i="1897"/>
  <c r="FH22" i="1897"/>
  <c r="FH32" i="1897"/>
  <c r="FK34" i="1894" a="1"/>
  <c r="FK34" i="1894" s="1"/>
  <c r="FK7" i="1894" s="1"/>
  <c r="FR33" i="1894"/>
  <c r="FS33" i="1894"/>
  <c r="FS29" i="1894"/>
  <c r="FR29" i="1894"/>
  <c r="FS18" i="1894"/>
  <c r="FR18" i="1894"/>
  <c r="FS25" i="1894"/>
  <c r="FS13" i="1894"/>
  <c r="FR11" i="1894"/>
  <c r="FS11" i="1894"/>
  <c r="FS23" i="1894"/>
  <c r="FQ27" i="1894"/>
  <c r="FR13" i="1894"/>
  <c r="FS26" i="1894"/>
  <c r="FR23" i="1894"/>
  <c r="FR21" i="1894"/>
  <c r="FR10" i="1894"/>
  <c r="FQ15" i="1894"/>
  <c r="FR12" i="1894"/>
  <c r="FR25" i="1894"/>
  <c r="FS21" i="1894"/>
  <c r="FQ16" i="1894"/>
  <c r="FS12" i="1894"/>
  <c r="FS10" i="1894"/>
  <c r="FR26" i="1894"/>
  <c r="FH52" i="2080"/>
  <c r="FH50" i="2080"/>
  <c r="FH16" i="2080"/>
  <c r="FH51" i="2080"/>
  <c r="FH54" i="2080"/>
  <c r="FH36" i="2080"/>
  <c r="FH22" i="2080"/>
  <c r="FH37" i="2080"/>
  <c r="FH14" i="2080"/>
  <c r="FH30" i="2080"/>
  <c r="FH15" i="2080"/>
  <c r="FH25" i="2080"/>
  <c r="FH27" i="2080"/>
  <c r="L21" i="2076"/>
  <c r="L7" i="2076" s="1"/>
  <c r="AO32" i="2079"/>
  <c r="AO23" i="2079" s="1"/>
  <c r="AO57" i="2079" s="1"/>
  <c r="AO58" i="2079" s="1"/>
  <c r="BA32" i="2079"/>
  <c r="BA23" i="2079" s="1"/>
  <c r="BA57" i="2079" s="1"/>
  <c r="BA58" i="2079" s="1"/>
  <c r="BM32" i="2079"/>
  <c r="BM23" i="2079" s="1"/>
  <c r="BM57" i="2079" s="1"/>
  <c r="BM58" i="2079" s="1"/>
  <c r="DZ53" i="2629"/>
  <c r="EA53" i="2629" s="1"/>
  <c r="DZ7" i="2629"/>
  <c r="DZ41" i="2629" s="1"/>
  <c r="AL32" i="2079"/>
  <c r="AL23" i="2079" s="1"/>
  <c r="AL57" i="2079" s="1"/>
  <c r="AL58" i="2079" s="1"/>
  <c r="BL32" i="2079"/>
  <c r="BL23" i="2079" s="1"/>
  <c r="BL57" i="2079" s="1"/>
  <c r="BL58" i="2079" s="1"/>
  <c r="AP32" i="2079"/>
  <c r="AP23" i="2079" s="1"/>
  <c r="AP57" i="2079" s="1"/>
  <c r="AP58" i="2079" s="1"/>
  <c r="BB32" i="2079"/>
  <c r="BB23" i="2079" s="1"/>
  <c r="BB57" i="2079" s="1"/>
  <c r="BB58" i="2079" s="1"/>
  <c r="BN32" i="2079"/>
  <c r="BN23" i="2079" s="1"/>
  <c r="BN57" i="2079" s="1"/>
  <c r="BN58" i="2079" s="1"/>
  <c r="DO71" i="1720"/>
  <c r="AX32" i="2079"/>
  <c r="AX23" i="2079" s="1"/>
  <c r="AX57" i="2079" s="1"/>
  <c r="AX58" i="2079" s="1"/>
  <c r="AM32" i="2079"/>
  <c r="AM23" i="2079" s="1"/>
  <c r="AM57" i="2079" s="1"/>
  <c r="AM58" i="2079" s="1"/>
  <c r="AZ32" i="2079"/>
  <c r="AZ23" i="2079" s="1"/>
  <c r="AZ57" i="2079" s="1"/>
  <c r="AZ58" i="2079" s="1"/>
  <c r="BJ32" i="2079"/>
  <c r="BJ23" i="2079" s="1"/>
  <c r="BJ57" i="2079" s="1"/>
  <c r="BJ58" i="2079" s="1"/>
  <c r="AY32" i="2079"/>
  <c r="AY23" i="2079" s="1"/>
  <c r="AY57" i="2079" s="1"/>
  <c r="AY58" i="2079" s="1"/>
  <c r="M21" i="2076"/>
  <c r="M7" i="2076" s="1"/>
  <c r="BA11" i="1720"/>
  <c r="AG32" i="2079"/>
  <c r="AG23" i="2079" s="1"/>
  <c r="AG57" i="2079" s="1"/>
  <c r="AG58" i="2079" s="1"/>
  <c r="AS32" i="2079"/>
  <c r="AS23" i="2079" s="1"/>
  <c r="AS57" i="2079" s="1"/>
  <c r="AS58" i="2079" s="1"/>
  <c r="BE32" i="2079"/>
  <c r="BE23" i="2079" s="1"/>
  <c r="BE57" i="2079" s="1"/>
  <c r="BE58" i="2079" s="1"/>
  <c r="BQ32" i="2079"/>
  <c r="BQ23" i="2079" s="1"/>
  <c r="BQ57" i="2079" s="1"/>
  <c r="BQ58" i="2079" s="1"/>
  <c r="AN32" i="2079"/>
  <c r="AN23" i="2079" s="1"/>
  <c r="AN57" i="2079" s="1"/>
  <c r="AN58" i="2079" s="1"/>
  <c r="N13" i="2083"/>
  <c r="AA13" i="2083"/>
  <c r="AN13" i="2083"/>
  <c r="BN13" i="2083"/>
  <c r="CA13" i="2083"/>
  <c r="CN13" i="2083"/>
  <c r="DA13" i="2083"/>
  <c r="DN13" i="2083"/>
  <c r="AH32" i="2079"/>
  <c r="AH23" i="2079" s="1"/>
  <c r="AH57" i="2079" s="1"/>
  <c r="AH58" i="2079" s="1"/>
  <c r="AT32" i="2079"/>
  <c r="AT23" i="2079" s="1"/>
  <c r="AT57" i="2079" s="1"/>
  <c r="AT58" i="2079" s="1"/>
  <c r="BF32" i="2079"/>
  <c r="BF23" i="2079" s="1"/>
  <c r="BF57" i="2079" s="1"/>
  <c r="BF58" i="2079" s="1"/>
  <c r="BR32" i="2079"/>
  <c r="BR23" i="2079" s="1"/>
  <c r="BR57" i="2079" s="1"/>
  <c r="BR58" i="2079" s="1"/>
  <c r="BK32" i="2079"/>
  <c r="BK23" i="2079" s="1"/>
  <c r="BK57" i="2079" s="1"/>
  <c r="BK58" i="2079" s="1"/>
  <c r="FH18" i="1893"/>
  <c r="FH26" i="1893"/>
  <c r="FH36" i="1893"/>
  <c r="FH15" i="1893"/>
  <c r="FH47" i="1893"/>
  <c r="FH32" i="1893"/>
  <c r="FH44" i="1893"/>
  <c r="FH27" i="1893"/>
  <c r="FH37" i="1893"/>
  <c r="FH14" i="1893"/>
  <c r="FH22" i="1893"/>
  <c r="FH30" i="1893"/>
  <c r="FH23" i="1893"/>
  <c r="FH33" i="1893"/>
  <c r="FH11" i="1893"/>
  <c r="FH45" i="1893"/>
  <c r="FH28" i="1893"/>
  <c r="FH49" i="1893"/>
  <c r="FH42" i="1893"/>
  <c r="FH46" i="1893"/>
  <c r="FH31" i="1893"/>
  <c r="FH32" i="2080"/>
  <c r="FH23" i="2080"/>
  <c r="FH20" i="2080"/>
  <c r="FH18" i="2080"/>
  <c r="FH26" i="2080"/>
  <c r="FH24" i="2080"/>
  <c r="FH35" i="2080"/>
  <c r="FH31" i="2080"/>
  <c r="FH19" i="2080"/>
  <c r="FH28" i="2080"/>
  <c r="FH13" i="2080"/>
  <c r="FH34" i="2080"/>
  <c r="FH21" i="2080"/>
  <c r="AA7" i="1720"/>
  <c r="DB11" i="1720"/>
  <c r="DB71" i="1720" s="1"/>
  <c r="DG52" i="1720"/>
  <c r="DG11" i="1720" s="1"/>
  <c r="DG71" i="1720" s="1"/>
  <c r="BA13" i="2083"/>
  <c r="CN43" i="822"/>
  <c r="CZ43" i="822"/>
  <c r="DL43" i="822"/>
  <c r="DX43" i="822"/>
  <c r="CN44" i="822"/>
  <c r="CZ44" i="822"/>
  <c r="DL44" i="822"/>
  <c r="DX44" i="822"/>
  <c r="AZ25" i="1814"/>
  <c r="AY40" i="2078"/>
  <c r="P82" i="2079"/>
  <c r="AB82" i="2079"/>
  <c r="AN82" i="2079"/>
  <c r="AZ82" i="2079"/>
  <c r="FE4" i="2074"/>
  <c r="FC4" i="2074" s="1"/>
  <c r="FC7" i="2074"/>
  <c r="N43" i="2083"/>
  <c r="AA43" i="2083"/>
  <c r="AN43" i="2083"/>
  <c r="AZ22" i="1814"/>
  <c r="FI34" i="1894" a="1"/>
  <c r="FI34" i="1894" s="1"/>
  <c r="FI7" i="1894" s="1"/>
  <c r="EA11" i="1720"/>
  <c r="N7" i="2074"/>
  <c r="AN7" i="2074"/>
  <c r="BA7" i="2074"/>
  <c r="CA7" i="2074"/>
  <c r="N11" i="2074"/>
  <c r="AA11" i="2074"/>
  <c r="AN11" i="2074"/>
  <c r="BA11" i="2074"/>
  <c r="AN31" i="2083"/>
  <c r="BA31" i="2083"/>
  <c r="CN43" i="2083"/>
  <c r="DA43" i="2083"/>
  <c r="EA43" i="2083"/>
  <c r="AI19" i="1814"/>
  <c r="AH19" i="1814"/>
  <c r="AI25" i="1814"/>
  <c r="AH25" i="1814"/>
  <c r="AZ23" i="1814"/>
  <c r="N7" i="1720"/>
  <c r="N68" i="1720"/>
  <c r="AA68" i="1720"/>
  <c r="AN68" i="1720"/>
  <c r="BA68" i="1720"/>
  <c r="CN7" i="2074"/>
  <c r="CA11" i="2074"/>
  <c r="CN11" i="2074"/>
  <c r="DA11" i="2074"/>
  <c r="DN11" i="2074"/>
  <c r="AZ20" i="1814"/>
  <c r="BA23" i="1814"/>
  <c r="AN7" i="1720"/>
  <c r="BA7" i="1720"/>
  <c r="BN7" i="1720"/>
  <c r="CN7" i="1720"/>
  <c r="DA7" i="1720"/>
  <c r="DO7" i="2082"/>
  <c r="FE7" i="2082" s="1"/>
  <c r="DN7" i="2074"/>
  <c r="DA31" i="2083"/>
  <c r="DN31" i="2083"/>
  <c r="N11" i="1720"/>
  <c r="AA11" i="1720"/>
  <c r="AN11" i="1720"/>
  <c r="AZ18" i="1814"/>
  <c r="AF40" i="2078"/>
  <c r="BN11" i="1720"/>
  <c r="CA11" i="1720"/>
  <c r="CN11" i="1720"/>
  <c r="AZ19" i="1814"/>
  <c r="AI22" i="1814"/>
  <c r="BA22" i="1814" s="1"/>
  <c r="BB22" i="1814" s="1"/>
  <c r="DA67" i="1720"/>
  <c r="CO68" i="1720"/>
  <c r="CO70" i="1720" s="1"/>
  <c r="N40" i="2078"/>
  <c r="AL40" i="2078"/>
  <c r="BJ28" i="2078"/>
  <c r="G7" i="2078"/>
  <c r="G28" i="2078" s="1"/>
  <c r="G40" i="2078" s="1"/>
  <c r="G29" i="2078"/>
  <c r="G38" i="2078" s="1"/>
  <c r="S7" i="2078"/>
  <c r="S28" i="2078" s="1"/>
  <c r="S29" i="2078"/>
  <c r="AE7" i="2078"/>
  <c r="AE28" i="2078" s="1"/>
  <c r="AE40" i="2078" s="1"/>
  <c r="AE29" i="2078"/>
  <c r="AE38" i="2078" s="1"/>
  <c r="AQ7" i="2078"/>
  <c r="AQ28" i="2078" s="1"/>
  <c r="AQ29" i="2078"/>
  <c r="AQ38" i="2078" s="1"/>
  <c r="BC7" i="2078"/>
  <c r="BC29" i="2078"/>
  <c r="BC38" i="2078" s="1"/>
  <c r="T38" i="2078"/>
  <c r="AF38" i="2078"/>
  <c r="AR38" i="2078"/>
  <c r="BD38" i="2078"/>
  <c r="N39" i="2078"/>
  <c r="Z39" i="2078"/>
  <c r="AL39" i="2078"/>
  <c r="AX39" i="2078"/>
  <c r="BJ39" i="2078"/>
  <c r="AR40" i="2078"/>
  <c r="AA40" i="2078"/>
  <c r="CN45" i="822"/>
  <c r="DJ45" i="822"/>
  <c r="EF45" i="822"/>
  <c r="CO43" i="822"/>
  <c r="DA43" i="822"/>
  <c r="DM43" i="822"/>
  <c r="DY43" i="822"/>
  <c r="EA7" i="1720"/>
  <c r="DA7" i="2074"/>
  <c r="BW21" i="2077"/>
  <c r="BT7" i="2077"/>
  <c r="Q40" i="2078"/>
  <c r="AO40" i="2078"/>
  <c r="U38" i="2078"/>
  <c r="AG38" i="2078"/>
  <c r="AS38" i="2078"/>
  <c r="BE38" i="2078"/>
  <c r="O39" i="2078"/>
  <c r="AA39" i="2078"/>
  <c r="AM39" i="2078"/>
  <c r="AY39" i="2078"/>
  <c r="AX28" i="2078"/>
  <c r="AX40" i="2078" s="1"/>
  <c r="BW11" i="2079"/>
  <c r="CP44" i="822"/>
  <c r="DB44" i="822"/>
  <c r="DN44" i="822"/>
  <c r="V38" i="2078"/>
  <c r="AH38" i="2078"/>
  <c r="AT38" i="2078"/>
  <c r="BF38" i="2078"/>
  <c r="D7" i="2078"/>
  <c r="D28" i="2078" s="1"/>
  <c r="D40" i="2078" s="1"/>
  <c r="D30" i="2078"/>
  <c r="D39" i="2078" s="1"/>
  <c r="P7" i="2078"/>
  <c r="P28" i="2078" s="1"/>
  <c r="P40" i="2078" s="1"/>
  <c r="P30" i="2078"/>
  <c r="AB7" i="2078"/>
  <c r="AB28" i="2078" s="1"/>
  <c r="AB30" i="2078"/>
  <c r="AN7" i="2078"/>
  <c r="AN28" i="2078" s="1"/>
  <c r="AN30" i="2078"/>
  <c r="AZ7" i="2078"/>
  <c r="AZ30" i="2078"/>
  <c r="AZ39" i="2078" s="1"/>
  <c r="AL38" i="2078"/>
  <c r="Y39" i="2078"/>
  <c r="BX38" i="2079"/>
  <c r="BW38" i="2079"/>
  <c r="DZ44" i="822"/>
  <c r="DN68" i="1720"/>
  <c r="FE7" i="2074"/>
  <c r="FF7" i="2074"/>
  <c r="FE31" i="2083"/>
  <c r="EA31" i="2083"/>
  <c r="Q39" i="2078"/>
  <c r="AC39" i="2078"/>
  <c r="AO39" i="2078"/>
  <c r="BA39" i="2078"/>
  <c r="BD40" i="2078"/>
  <c r="AD39" i="2078"/>
  <c r="T82" i="2079"/>
  <c r="AF82" i="2079"/>
  <c r="AR82" i="2079"/>
  <c r="BD82" i="2079"/>
  <c r="FE68" i="1720"/>
  <c r="EA68" i="1720"/>
  <c r="EA70" i="1720" s="1"/>
  <c r="L29" i="2078"/>
  <c r="L38" i="2078" s="1"/>
  <c r="L7" i="2078"/>
  <c r="L28" i="2078" s="1"/>
  <c r="L40" i="2078" s="1"/>
  <c r="X29" i="2078"/>
  <c r="X38" i="2078" s="1"/>
  <c r="X7" i="2078"/>
  <c r="X28" i="2078" s="1"/>
  <c r="X40" i="2078" s="1"/>
  <c r="AJ29" i="2078"/>
  <c r="AJ7" i="2078"/>
  <c r="AJ28" i="2078" s="1"/>
  <c r="AV29" i="2078"/>
  <c r="AV38" i="2078" s="1"/>
  <c r="AV7" i="2078"/>
  <c r="AV28" i="2078" s="1"/>
  <c r="AV40" i="2078" s="1"/>
  <c r="BH29" i="2078"/>
  <c r="BH38" i="2078" s="1"/>
  <c r="BH7" i="2078"/>
  <c r="U82" i="2079"/>
  <c r="AG82" i="2079"/>
  <c r="AS82" i="2079"/>
  <c r="BE82" i="2079"/>
  <c r="S39" i="2078"/>
  <c r="AE39" i="2078"/>
  <c r="AQ39" i="2078"/>
  <c r="BC39" i="2078"/>
  <c r="CT45" i="822"/>
  <c r="DF45" i="822"/>
  <c r="ED45" i="822"/>
  <c r="CT44" i="822"/>
  <c r="DF44" i="822"/>
  <c r="DR44" i="822"/>
  <c r="ED44" i="822"/>
  <c r="T39" i="2078"/>
  <c r="AF39" i="2078"/>
  <c r="AR39" i="2078"/>
  <c r="BD39" i="2078"/>
  <c r="AP39" i="2078"/>
  <c r="CY45" i="822"/>
  <c r="CZ45" i="822"/>
  <c r="FC11" i="2074"/>
  <c r="AH21" i="1814"/>
  <c r="BA21" i="1814" s="1"/>
  <c r="BB21" i="1814" s="1"/>
  <c r="O38" i="2078"/>
  <c r="AA38" i="2078"/>
  <c r="AM38" i="2078"/>
  <c r="AY38" i="2078"/>
  <c r="U39" i="2078"/>
  <c r="AG39" i="2078"/>
  <c r="AS39" i="2078"/>
  <c r="BE39" i="2078"/>
  <c r="BI38" i="2078"/>
  <c r="AV39" i="2078"/>
  <c r="AC82" i="2079"/>
  <c r="DK45" i="822"/>
  <c r="P38" i="2078"/>
  <c r="AB38" i="2078"/>
  <c r="AN38" i="2078"/>
  <c r="AZ38" i="2078"/>
  <c r="J30" i="2078"/>
  <c r="J39" i="2078" s="1"/>
  <c r="J7" i="2078"/>
  <c r="J28" i="2078" s="1"/>
  <c r="J40" i="2078" s="1"/>
  <c r="V30" i="2078"/>
  <c r="V39" i="2078" s="1"/>
  <c r="V7" i="2078"/>
  <c r="V28" i="2078" s="1"/>
  <c r="AH30" i="2078"/>
  <c r="AH39" i="2078" s="1"/>
  <c r="AH7" i="2078"/>
  <c r="AH28" i="2078" s="1"/>
  <c r="AH40" i="2078" s="1"/>
  <c r="AT30" i="2078"/>
  <c r="AT7" i="2078"/>
  <c r="AT28" i="2078" s="1"/>
  <c r="AT40" i="2078" s="1"/>
  <c r="BF30" i="2078"/>
  <c r="BF39" i="2078" s="1"/>
  <c r="BF7" i="2078"/>
  <c r="N38" i="2078"/>
  <c r="BJ38" i="2078"/>
  <c r="AW39" i="2078"/>
  <c r="AM82" i="2079"/>
  <c r="BE28" i="2078"/>
  <c r="BE40" i="2078" s="1"/>
  <c r="K30" i="2078"/>
  <c r="K39" i="2078" s="1"/>
  <c r="K7" i="2078"/>
  <c r="K28" i="2078" s="1"/>
  <c r="K40" i="2078" s="1"/>
  <c r="W30" i="2078"/>
  <c r="W39" i="2078" s="1"/>
  <c r="W7" i="2078"/>
  <c r="W28" i="2078" s="1"/>
  <c r="W40" i="2078" s="1"/>
  <c r="AI30" i="2078"/>
  <c r="AI39" i="2078" s="1"/>
  <c r="AI7" i="2078"/>
  <c r="AI28" i="2078" s="1"/>
  <c r="AU30" i="2078"/>
  <c r="AU7" i="2078"/>
  <c r="AU28" i="2078" s="1"/>
  <c r="AU40" i="2078" s="1"/>
  <c r="BG30" i="2078"/>
  <c r="BG39" i="2078" s="1"/>
  <c r="BG7" i="2078"/>
  <c r="BB39" i="2078"/>
  <c r="N82" i="2079"/>
  <c r="Z82" i="2079"/>
  <c r="AL82" i="2079"/>
  <c r="AX82" i="2079"/>
  <c r="BJ65" i="2079"/>
  <c r="BJ82" i="2079" s="1"/>
  <c r="BZ50" i="2079"/>
  <c r="BZ44" i="2079"/>
  <c r="BZ40" i="2079"/>
  <c r="BZ36" i="2079"/>
  <c r="BZ48" i="2079"/>
  <c r="CE18" i="2079" s="1"/>
  <c r="BZ43" i="2079"/>
  <c r="BZ39" i="2079"/>
  <c r="BZ35" i="2079"/>
  <c r="BZ46" i="2079"/>
  <c r="BZ42" i="2079"/>
  <c r="BZ34" i="2079"/>
  <c r="CE17" i="2079" s="1"/>
  <c r="BZ30" i="2079"/>
  <c r="BZ26" i="2079"/>
  <c r="BZ16" i="2079"/>
  <c r="BZ13" i="2079"/>
  <c r="CE13" i="2079" s="1"/>
  <c r="BZ8" i="2079"/>
  <c r="BZ45" i="2079"/>
  <c r="BZ33" i="2079"/>
  <c r="BZ27" i="2079"/>
  <c r="BZ31" i="2079"/>
  <c r="BZ12" i="2079"/>
  <c r="CE14" i="2079" s="1"/>
  <c r="BZ7" i="2079"/>
  <c r="BZ21" i="2079"/>
  <c r="BZ18" i="2079"/>
  <c r="BZ15" i="2079"/>
  <c r="CE15" i="2079" s="1"/>
  <c r="BZ25" i="2079"/>
  <c r="BZ20" i="2079"/>
  <c r="BZ29" i="2079"/>
  <c r="BZ17" i="2079"/>
  <c r="BZ14" i="2079"/>
  <c r="CE16" i="2079" s="1"/>
  <c r="BZ41" i="2079"/>
  <c r="BZ9" i="2079"/>
  <c r="BA82" i="2079"/>
  <c r="DX45" i="822"/>
  <c r="FE11" i="2074"/>
  <c r="FF11" i="2074"/>
  <c r="EA13" i="2083"/>
  <c r="FC43" i="2083"/>
  <c r="AK40" i="2078"/>
  <c r="BI40" i="2078"/>
  <c r="F7" i="2078"/>
  <c r="F28" i="2078" s="1"/>
  <c r="F40" i="2078" s="1"/>
  <c r="F29" i="2078"/>
  <c r="F38" i="2078" s="1"/>
  <c r="R7" i="2078"/>
  <c r="R28" i="2078" s="1"/>
  <c r="R40" i="2078" s="1"/>
  <c r="R29" i="2078"/>
  <c r="R38" i="2078" s="1"/>
  <c r="AD7" i="2078"/>
  <c r="AD28" i="2078" s="1"/>
  <c r="AD40" i="2078" s="1"/>
  <c r="AD29" i="2078"/>
  <c r="AD38" i="2078" s="1"/>
  <c r="AP7" i="2078"/>
  <c r="AP28" i="2078" s="1"/>
  <c r="AP29" i="2078"/>
  <c r="BB7" i="2078"/>
  <c r="BB29" i="2078"/>
  <c r="BB38" i="2078" s="1"/>
  <c r="Y38" i="2078"/>
  <c r="BH39" i="2078"/>
  <c r="O82" i="2079"/>
  <c r="AA82" i="2079"/>
  <c r="BZ19" i="2079"/>
  <c r="CP43" i="822"/>
  <c r="DB43" i="822"/>
  <c r="DN43" i="822"/>
  <c r="DZ43" i="822"/>
  <c r="CQ43" i="822"/>
  <c r="DC43" i="822"/>
  <c r="DO43" i="822"/>
  <c r="EA43" i="822"/>
  <c r="CE7" i="822"/>
  <c r="CE27" i="822" s="1"/>
  <c r="CE31" i="822"/>
  <c r="CQ7" i="822"/>
  <c r="CQ27" i="822" s="1"/>
  <c r="CQ45" i="822" s="1"/>
  <c r="CQ31" i="822"/>
  <c r="DC7" i="822"/>
  <c r="DC27" i="822" s="1"/>
  <c r="DC31" i="822"/>
  <c r="DC44" i="822" s="1"/>
  <c r="DO7" i="822"/>
  <c r="DO27" i="822" s="1"/>
  <c r="DO45" i="822" s="1"/>
  <c r="DO31" i="822"/>
  <c r="EA7" i="822"/>
  <c r="EA27" i="822" s="1"/>
  <c r="EA45" i="822" s="1"/>
  <c r="EA31" i="822"/>
  <c r="EA44" i="822" s="1"/>
  <c r="DW45" i="822"/>
  <c r="DG43" i="822"/>
  <c r="CO44" i="822"/>
  <c r="CF29" i="822"/>
  <c r="CF7" i="822"/>
  <c r="CF27" i="822" s="1"/>
  <c r="CR29" i="822"/>
  <c r="CR43" i="822" s="1"/>
  <c r="CR7" i="822"/>
  <c r="CR27" i="822" s="1"/>
  <c r="DD29" i="822"/>
  <c r="DD43" i="822" s="1"/>
  <c r="DD7" i="822"/>
  <c r="DD27" i="822" s="1"/>
  <c r="DD45" i="822" s="1"/>
  <c r="DP29" i="822"/>
  <c r="DP43" i="822" s="1"/>
  <c r="DP7" i="822"/>
  <c r="DP27" i="822" s="1"/>
  <c r="DP45" i="822" s="1"/>
  <c r="EB29" i="822"/>
  <c r="EB7" i="822"/>
  <c r="EB27" i="822" s="1"/>
  <c r="CR44" i="822"/>
  <c r="DD44" i="822"/>
  <c r="DP44" i="822"/>
  <c r="EB44" i="822"/>
  <c r="Y82" i="2079"/>
  <c r="AK82" i="2079"/>
  <c r="AW82" i="2079"/>
  <c r="BI82" i="2079"/>
  <c r="CG29" i="822"/>
  <c r="CG7" i="822"/>
  <c r="CG27" i="822" s="1"/>
  <c r="CS29" i="822"/>
  <c r="CS43" i="822" s="1"/>
  <c r="CS7" i="822"/>
  <c r="CS27" i="822" s="1"/>
  <c r="DE29" i="822"/>
  <c r="DE43" i="822" s="1"/>
  <c r="DE7" i="822"/>
  <c r="DE27" i="822" s="1"/>
  <c r="DQ29" i="822"/>
  <c r="DQ43" i="822" s="1"/>
  <c r="DQ7" i="822"/>
  <c r="DQ27" i="822" s="1"/>
  <c r="DQ45" i="822" s="1"/>
  <c r="EC29" i="822"/>
  <c r="EC7" i="822"/>
  <c r="EC27" i="822" s="1"/>
  <c r="CS44" i="822"/>
  <c r="DE44" i="822"/>
  <c r="DQ44" i="822"/>
  <c r="EC44" i="822"/>
  <c r="DR43" i="822"/>
  <c r="BX7" i="2078"/>
  <c r="BZ38" i="2079"/>
  <c r="DU45" i="822"/>
  <c r="CU44" i="822"/>
  <c r="DG44" i="822"/>
  <c r="DS44" i="822"/>
  <c r="EE44" i="822"/>
  <c r="BW9" i="2078"/>
  <c r="O80" i="2079"/>
  <c r="AA80" i="2079"/>
  <c r="AM80" i="2079"/>
  <c r="AY80" i="2079"/>
  <c r="N81" i="2079"/>
  <c r="Z81" i="2079"/>
  <c r="AL81" i="2079"/>
  <c r="AX81" i="2079"/>
  <c r="BJ81" i="2079"/>
  <c r="DV45" i="822"/>
  <c r="ED43" i="822"/>
  <c r="BW27" i="2076"/>
  <c r="P80" i="2079"/>
  <c r="AB80" i="2079"/>
  <c r="AN80" i="2079"/>
  <c r="AZ80" i="2079"/>
  <c r="O81" i="2079"/>
  <c r="AA81" i="2079"/>
  <c r="AM81" i="2079"/>
  <c r="AY81" i="2079"/>
  <c r="DA45" i="822"/>
  <c r="CK43" i="822"/>
  <c r="CW43" i="822"/>
  <c r="DI43" i="822"/>
  <c r="DU43" i="822"/>
  <c r="EG43" i="822"/>
  <c r="EE43" i="822"/>
  <c r="DM44" i="822"/>
  <c r="R82" i="2079"/>
  <c r="AD82" i="2079"/>
  <c r="AP82" i="2079"/>
  <c r="BB82" i="2079"/>
  <c r="CK45" i="822"/>
  <c r="CL44" i="822"/>
  <c r="CX44" i="822"/>
  <c r="DJ44" i="822"/>
  <c r="DV44" i="822"/>
  <c r="EH44" i="822"/>
  <c r="S82" i="2079"/>
  <c r="AE82" i="2079"/>
  <c r="AQ82" i="2079"/>
  <c r="BC82" i="2079"/>
  <c r="CL45" i="822"/>
  <c r="DH45" i="822"/>
  <c r="DY45" i="822"/>
  <c r="CT43" i="822"/>
  <c r="CD7" i="822"/>
  <c r="CD27" i="822" s="1"/>
  <c r="CP7" i="822"/>
  <c r="CP27" i="822" s="1"/>
  <c r="CP45" i="822" s="1"/>
  <c r="DB7" i="822"/>
  <c r="DB27" i="822" s="1"/>
  <c r="DN7" i="822"/>
  <c r="DN27" i="822" s="1"/>
  <c r="DZ7" i="822"/>
  <c r="EH29" i="822"/>
  <c r="EH43" i="822" s="1"/>
  <c r="EI9" i="822"/>
  <c r="EI14" i="822"/>
  <c r="EA19" i="2629"/>
  <c r="FA43" i="2083"/>
  <c r="FF31" i="2083"/>
  <c r="FA31" i="2083"/>
  <c r="FF68" i="1720"/>
  <c r="FC68" i="1720"/>
  <c r="EP15" i="2074"/>
  <c r="EQ15" i="2074"/>
  <c r="EU15" i="2074"/>
  <c r="EV15" i="2074"/>
  <c r="FA13" i="2083"/>
  <c r="FA7" i="2074"/>
  <c r="FA68" i="1720"/>
  <c r="FA11" i="1720"/>
  <c r="FA7" i="1720"/>
  <c r="FE5" i="2074"/>
  <c r="EO15" i="2074"/>
  <c r="ET15" i="2074"/>
  <c r="ES15" i="2074"/>
  <c r="FA11" i="2074"/>
  <c r="EA11" i="2074"/>
  <c r="EA7" i="2074"/>
  <c r="FA7" i="2081"/>
  <c r="FD44" i="1720" l="1"/>
  <c r="FD46" i="1720"/>
  <c r="DN70" i="1720"/>
  <c r="FD39" i="1720"/>
  <c r="FD19" i="1720"/>
  <c r="FD45" i="1720"/>
  <c r="FD49" i="1720"/>
  <c r="FD32" i="1720"/>
  <c r="FD47" i="1720"/>
  <c r="FD23" i="1720"/>
  <c r="FD43" i="1720"/>
  <c r="FD15" i="2082"/>
  <c r="FD50" i="1720"/>
  <c r="FD21" i="1720"/>
  <c r="FD40" i="1720"/>
  <c r="FD27" i="2082"/>
  <c r="FD32" i="2082"/>
  <c r="FD38" i="1720"/>
  <c r="FD52" i="1720"/>
  <c r="FD20" i="1720"/>
  <c r="FD17" i="1720"/>
  <c r="D57" i="2079"/>
  <c r="D58" i="2079" s="1"/>
  <c r="BA30" i="2077"/>
  <c r="AZ30" i="2077"/>
  <c r="BE30" i="2077"/>
  <c r="BC30" i="2077"/>
  <c r="AX30" i="2077"/>
  <c r="AY30" i="2077"/>
  <c r="BU7" i="2076"/>
  <c r="BU30" i="2077" s="1"/>
  <c r="BX21" i="2076"/>
  <c r="BJ30" i="2077"/>
  <c r="BD30" i="2077"/>
  <c r="BB30" i="2077"/>
  <c r="BI30" i="2077"/>
  <c r="BW21" i="2076"/>
  <c r="BH30" i="2077"/>
  <c r="BG30" i="2077"/>
  <c r="FD17" i="2082"/>
  <c r="FD13" i="2082"/>
  <c r="FD16" i="1720"/>
  <c r="FD9" i="1720"/>
  <c r="CA34" i="1896"/>
  <c r="FD26" i="1720"/>
  <c r="FD12" i="1720"/>
  <c r="FD28" i="1720"/>
  <c r="EA20" i="2629"/>
  <c r="BB23" i="1814"/>
  <c r="BB24" i="1814"/>
  <c r="BB26" i="1814"/>
  <c r="BB20" i="1814"/>
  <c r="BA25" i="1814"/>
  <c r="BB25" i="1814" s="1"/>
  <c r="FD13" i="2083"/>
  <c r="FD7" i="2083"/>
  <c r="FD9" i="2083"/>
  <c r="FD31" i="2083"/>
  <c r="FD8" i="2083"/>
  <c r="FD11" i="2083"/>
  <c r="FD10" i="2083"/>
  <c r="FD14" i="2083"/>
  <c r="FD43" i="2083"/>
  <c r="FD7" i="2074"/>
  <c r="DN7" i="2081"/>
  <c r="CA7" i="2081"/>
  <c r="DO47" i="2081"/>
  <c r="EA7" i="2081"/>
  <c r="EA47" i="2081" s="1"/>
  <c r="FC7" i="2081"/>
  <c r="DZ47" i="2081"/>
  <c r="BN7" i="2081"/>
  <c r="N7" i="2081"/>
  <c r="FD13" i="1720"/>
  <c r="FD22" i="1720"/>
  <c r="FD48" i="1720"/>
  <c r="FD15" i="1720"/>
  <c r="FD33" i="1720"/>
  <c r="FD8" i="1720"/>
  <c r="FD18" i="1720"/>
  <c r="FD36" i="1720"/>
  <c r="FD25" i="1720"/>
  <c r="FD41" i="1720"/>
  <c r="FD31" i="1720"/>
  <c r="FD29" i="1720"/>
  <c r="FD30" i="1720"/>
  <c r="FD7" i="1720"/>
  <c r="FD24" i="1720"/>
  <c r="FD35" i="1720"/>
  <c r="FD27" i="1720"/>
  <c r="FD34" i="1720"/>
  <c r="FD42" i="1720"/>
  <c r="FD51" i="1720"/>
  <c r="FD14" i="1720"/>
  <c r="FD37" i="1720"/>
  <c r="FD11" i="1720"/>
  <c r="FD54" i="1720"/>
  <c r="CN34" i="1896"/>
  <c r="N34" i="1896"/>
  <c r="AA34" i="1896"/>
  <c r="EA34" i="1896"/>
  <c r="BN34" i="1896"/>
  <c r="DN34" i="1896"/>
  <c r="DA34" i="1896"/>
  <c r="EB7" i="1896"/>
  <c r="EN7" i="1896" s="1"/>
  <c r="EN34" i="1896"/>
  <c r="AN34" i="1896"/>
  <c r="BA34" i="1896"/>
  <c r="DN15" i="2074"/>
  <c r="FD11" i="2074"/>
  <c r="FD68" i="1720"/>
  <c r="FD49" i="1897"/>
  <c r="CN71" i="1720"/>
  <c r="DA11" i="1720"/>
  <c r="FD34" i="2082"/>
  <c r="FD31" i="2082"/>
  <c r="FD38" i="2082"/>
  <c r="FD26" i="2082"/>
  <c r="FD10" i="2082"/>
  <c r="FD40" i="2082"/>
  <c r="FD33" i="2082"/>
  <c r="FD14" i="2082"/>
  <c r="FD22" i="2082"/>
  <c r="FD28" i="2082"/>
  <c r="FD36" i="2082"/>
  <c r="FD29" i="2082"/>
  <c r="FD25" i="2082"/>
  <c r="FD35" i="2082"/>
  <c r="FD37" i="2082"/>
  <c r="FD30" i="2082"/>
  <c r="FD11" i="2082"/>
  <c r="FD39" i="2082"/>
  <c r="FD12" i="2082"/>
  <c r="FD19" i="2082"/>
  <c r="FD16" i="2082"/>
  <c r="FD18" i="2082"/>
  <c r="FD23" i="2082"/>
  <c r="FD20" i="2082"/>
  <c r="FD9" i="2082"/>
  <c r="FD41" i="2082"/>
  <c r="FD7" i="2082"/>
  <c r="FH11" i="2081"/>
  <c r="FH9" i="2081"/>
  <c r="FH40" i="2081"/>
  <c r="FH28" i="2081"/>
  <c r="FH23" i="2081"/>
  <c r="FH20" i="2081"/>
  <c r="FE7" i="2081"/>
  <c r="FD7" i="2081" s="1"/>
  <c r="EA71" i="1720"/>
  <c r="FD10" i="1897"/>
  <c r="FD9" i="1897"/>
  <c r="FD29" i="1897"/>
  <c r="FD23" i="1897"/>
  <c r="FD35" i="1897"/>
  <c r="FD40" i="1897"/>
  <c r="FD7" i="1897"/>
  <c r="FD46" i="1897"/>
  <c r="FD41" i="1897"/>
  <c r="FD47" i="1897"/>
  <c r="FD33" i="1897"/>
  <c r="FD26" i="1897"/>
  <c r="FD34" i="1897"/>
  <c r="FD17" i="1897"/>
  <c r="FD48" i="1897"/>
  <c r="FD14" i="1897"/>
  <c r="FD28" i="1897"/>
  <c r="FD36" i="1897"/>
  <c r="FD21" i="1897"/>
  <c r="FD42" i="1897"/>
  <c r="FD39" i="1897"/>
  <c r="FD22" i="1897"/>
  <c r="FD18" i="1897"/>
  <c r="FD27" i="1897"/>
  <c r="FD43" i="1897"/>
  <c r="FD30" i="1897"/>
  <c r="FD24" i="1897"/>
  <c r="FD16" i="1897"/>
  <c r="FD38" i="1897"/>
  <c r="FD32" i="1897"/>
  <c r="FD44" i="1897"/>
  <c r="FD37" i="1897"/>
  <c r="FD20" i="1897"/>
  <c r="FD45" i="1897"/>
  <c r="FD31" i="1897"/>
  <c r="FD19" i="1897"/>
  <c r="FD15" i="1897"/>
  <c r="FD13" i="1897"/>
  <c r="FD25" i="1897"/>
  <c r="FD11" i="1897"/>
  <c r="FH34" i="1894" a="1"/>
  <c r="FH34" i="1894" s="1"/>
  <c r="FH7" i="1894" s="1"/>
  <c r="FG34" i="1894" a="1"/>
  <c r="FG34" i="1894" s="1"/>
  <c r="FG7" i="1894" s="1"/>
  <c r="FL34" i="1894" a="1"/>
  <c r="FL34" i="1894" s="1"/>
  <c r="FL7" i="1894" s="1"/>
  <c r="FF34" i="1894" a="1"/>
  <c r="FF34" i="1894" s="1"/>
  <c r="FF7" i="1894" s="1"/>
  <c r="FE34" i="1894" a="1"/>
  <c r="FE34" i="1894" s="1"/>
  <c r="FD34" i="1894" a="1"/>
  <c r="FD34" i="1894" s="1"/>
  <c r="FD7" i="1894" s="1"/>
  <c r="FB34" i="1894" a="1"/>
  <c r="FB34" i="1894" s="1"/>
  <c r="FC34" i="1894" a="1"/>
  <c r="FC34" i="1894" s="1"/>
  <c r="FC7" i="1894" s="1"/>
  <c r="FM34" i="1894" a="1"/>
  <c r="FM34" i="1894" s="1"/>
  <c r="FM7" i="1894" s="1"/>
  <c r="FJ34" i="1894" a="1"/>
  <c r="FJ34" i="1894" s="1"/>
  <c r="FJ7" i="1894" s="1"/>
  <c r="FQ21" i="1894"/>
  <c r="FQ18" i="1894"/>
  <c r="FQ13" i="1894"/>
  <c r="FQ19" i="1894"/>
  <c r="FQ29" i="1894"/>
  <c r="FQ17" i="1894"/>
  <c r="FQ33" i="1894"/>
  <c r="FQ10" i="1894"/>
  <c r="FQ32" i="1894"/>
  <c r="FQ26" i="1894"/>
  <c r="FQ9" i="1894"/>
  <c r="FQ14" i="1894"/>
  <c r="FQ20" i="1894"/>
  <c r="FQ22" i="1894"/>
  <c r="FQ28" i="1894"/>
  <c r="FQ23" i="1894"/>
  <c r="FQ25" i="1894"/>
  <c r="FQ11" i="1894"/>
  <c r="FQ30" i="1894"/>
  <c r="FQ31" i="1894"/>
  <c r="FQ24" i="1894"/>
  <c r="FQ12" i="1894"/>
  <c r="AZ28" i="2078"/>
  <c r="AZ40" i="2078" s="1"/>
  <c r="DZ25" i="822"/>
  <c r="DZ27" i="822"/>
  <c r="DZ45" i="822" s="1"/>
  <c r="BZ32" i="2079"/>
  <c r="BB28" i="2078"/>
  <c r="BB40" i="2078" s="1"/>
  <c r="AB40" i="2078"/>
  <c r="BH28" i="2078"/>
  <c r="BH40" i="2078" s="1"/>
  <c r="BF28" i="2078"/>
  <c r="BF40" i="2078" s="1"/>
  <c r="DE45" i="822"/>
  <c r="AJ40" i="2078"/>
  <c r="CS45" i="822"/>
  <c r="CR45" i="822"/>
  <c r="AT39" i="2078"/>
  <c r="BA19" i="1814"/>
  <c r="BB19" i="1814" s="1"/>
  <c r="DB45" i="822"/>
  <c r="EC43" i="822"/>
  <c r="EB43" i="822"/>
  <c r="CQ44" i="822"/>
  <c r="AP40" i="2078"/>
  <c r="AI40" i="2078"/>
  <c r="AN40" i="2078"/>
  <c r="S40" i="2078"/>
  <c r="AB39" i="2078"/>
  <c r="P39" i="2078"/>
  <c r="BJ40" i="2078"/>
  <c r="BC28" i="2078"/>
  <c r="BC40" i="2078" s="1"/>
  <c r="BX32" i="2079"/>
  <c r="BW32" i="2079"/>
  <c r="DO44" i="822"/>
  <c r="BG28" i="2078"/>
  <c r="BG40" i="2078" s="1"/>
  <c r="V40" i="2078"/>
  <c r="AJ38" i="2078"/>
  <c r="AQ40" i="2078"/>
  <c r="DA68" i="1720"/>
  <c r="DA70" i="1720" s="1"/>
  <c r="DN52" i="1720"/>
  <c r="BW7" i="2077"/>
  <c r="DN11" i="1720"/>
  <c r="DN71" i="1720" s="1"/>
  <c r="DN45" i="822"/>
  <c r="EC45" i="822"/>
  <c r="EB45" i="822"/>
  <c r="DC45" i="822"/>
  <c r="AP38" i="2078"/>
  <c r="CE19" i="2079"/>
  <c r="AU39" i="2078"/>
  <c r="AN39" i="2078"/>
  <c r="S38" i="2078"/>
  <c r="EA54" i="2629"/>
  <c r="EA41" i="2629"/>
  <c r="EA7" i="2629"/>
  <c r="BW7" i="2076" l="1"/>
  <c r="BX7" i="2076"/>
  <c r="DA71" i="1720"/>
  <c r="FB7" i="1894"/>
  <c r="FS34" i="1894"/>
  <c r="FQ34" i="1894" s="1"/>
  <c r="FN34" i="1894"/>
  <c r="FE7" i="1894"/>
  <c r="FP7" i="1894" s="1"/>
  <c r="FP34" i="1894"/>
  <c r="BX23" i="2079"/>
  <c r="BW23" i="2079"/>
  <c r="BZ31" i="2076"/>
  <c r="BZ27" i="2076"/>
  <c r="BZ23" i="2076"/>
  <c r="BZ34" i="2076"/>
  <c r="CE12" i="2076" s="1"/>
  <c r="BZ30" i="2076"/>
  <c r="BZ26" i="2076"/>
  <c r="BZ33" i="2076"/>
  <c r="BZ29" i="2076"/>
  <c r="BZ25" i="2076"/>
  <c r="BZ17" i="2076"/>
  <c r="BZ32" i="2076"/>
  <c r="BZ28" i="2076"/>
  <c r="BZ24" i="2076"/>
  <c r="BZ7" i="2076"/>
  <c r="BZ18" i="2076"/>
  <c r="BZ14" i="2076"/>
  <c r="BZ11" i="2076"/>
  <c r="CE11" i="2076" s="1"/>
  <c r="BZ16" i="2076"/>
  <c r="BZ13" i="2076"/>
  <c r="CE14" i="2076" s="1"/>
  <c r="BZ10" i="2076"/>
  <c r="BZ20" i="2076"/>
  <c r="BZ12" i="2076"/>
  <c r="CE13" i="2076" s="1"/>
  <c r="BZ15" i="2076"/>
  <c r="BZ19" i="2076"/>
  <c r="BZ9" i="2076"/>
  <c r="BZ22" i="2076"/>
  <c r="BZ21" i="2076"/>
  <c r="BZ23" i="2079"/>
  <c r="EO7" i="2082"/>
  <c r="FS7" i="1894" l="1"/>
  <c r="FQ7" i="1894" s="1"/>
  <c r="FN7" i="1894"/>
  <c r="CE10" i="2076"/>
  <c r="CE15" i="2076" s="1"/>
  <c r="FA7" i="2082"/>
  <c r="BV7" i="1896" l="1"/>
  <c r="AF7" i="1896"/>
  <c r="CV7" i="1896" l="1"/>
  <c r="AC7" i="1896"/>
  <c r="DQ7" i="1896"/>
  <c r="CF7" i="1896"/>
  <c r="EQ7" i="1896"/>
  <c r="Y7" i="1896"/>
  <c r="BS7" i="1896"/>
  <c r="BR7" i="1896"/>
  <c r="CZ7" i="1896"/>
  <c r="EW7" i="1896"/>
  <c r="ES7" i="1896"/>
  <c r="P7" i="1896"/>
  <c r="BP7" i="1896"/>
  <c r="DH7" i="1896"/>
  <c r="C7" i="1896"/>
  <c r="DS7" i="1896"/>
  <c r="DG7" i="1896"/>
  <c r="AT7" i="1896"/>
  <c r="J7" i="1896"/>
  <c r="BI7" i="1896"/>
  <c r="BH7" i="1896"/>
  <c r="CI7" i="1896"/>
  <c r="DL7" i="1896"/>
  <c r="DX7" i="1896"/>
  <c r="F7" i="1896"/>
  <c r="BE7" i="1896"/>
  <c r="CX7" i="1896"/>
  <c r="CK7" i="1896"/>
  <c r="CW7" i="1896"/>
  <c r="BU7" i="1896"/>
  <c r="AR7" i="1896"/>
  <c r="AX7" i="1896"/>
  <c r="BX7" i="1896"/>
  <c r="CS7" i="1896"/>
  <c r="AK7" i="1896"/>
  <c r="AV7" i="1896"/>
  <c r="CE7" i="1896"/>
  <c r="DF7" i="1896"/>
  <c r="CP7" i="1896"/>
  <c r="AL7" i="1896"/>
  <c r="AI7" i="1896"/>
  <c r="AH7" i="1896"/>
  <c r="BG7" i="1896"/>
  <c r="EX7" i="1896"/>
  <c r="EY7" i="1896"/>
  <c r="M7" i="1896"/>
  <c r="AE7" i="1896"/>
  <c r="CD7" i="1896"/>
  <c r="BT7" i="1896"/>
  <c r="DD7" i="1896"/>
  <c r="R7" i="1896"/>
  <c r="X7" i="1896"/>
  <c r="AQ7" i="1896"/>
  <c r="DK7" i="1896"/>
  <c r="DT7" i="1896"/>
  <c r="ET7" i="1896"/>
  <c r="V7" i="1896"/>
  <c r="BD7" i="1896"/>
  <c r="DU7" i="1896"/>
  <c r="EU7" i="1896"/>
  <c r="S7" i="1896"/>
  <c r="I7" i="1896"/>
  <c r="H7" i="1896"/>
  <c r="AG7" i="1896"/>
  <c r="CH7" i="1896"/>
  <c r="DJ7" i="1896"/>
  <c r="AZ7" i="1896"/>
  <c r="E7" i="1896"/>
  <c r="BY7" i="1896"/>
  <c r="BC7" i="1896"/>
  <c r="DC7" i="1896"/>
  <c r="DP7" i="1896"/>
  <c r="BM7" i="1896"/>
  <c r="DR7" i="1896"/>
  <c r="Q7" i="1896"/>
  <c r="BQ7" i="1896"/>
  <c r="CY7" i="1896"/>
  <c r="DV7" i="1896"/>
  <c r="CC7" i="1896"/>
  <c r="AD7" i="1896"/>
  <c r="EV7" i="1896"/>
  <c r="AU7" i="1896"/>
  <c r="CL7" i="1896"/>
  <c r="DW7" i="1896"/>
  <c r="BL7" i="1896"/>
  <c r="ER7" i="1896"/>
  <c r="BF7" i="1896"/>
  <c r="CR7" i="1896"/>
  <c r="AJ7" i="1896"/>
  <c r="AM7" i="1896"/>
  <c r="BZ7" i="1896"/>
  <c r="CM7" i="1896"/>
  <c r="L7" i="1896"/>
  <c r="T7" i="1896"/>
  <c r="AW7" i="1896"/>
  <c r="CG7" i="1896"/>
  <c r="EZ7" i="1896"/>
  <c r="CU7" i="1896"/>
  <c r="D7" i="1896"/>
  <c r="BJ7" i="1896"/>
  <c r="K7" i="1896"/>
  <c r="AS7" i="1896"/>
  <c r="Z7" i="1896"/>
  <c r="W7" i="1896"/>
  <c r="BW7" i="1896"/>
  <c r="DI7" i="1896"/>
  <c r="EP7" i="1896"/>
  <c r="DE7" i="1896"/>
  <c r="U7" i="1896"/>
  <c r="AY7" i="1896"/>
  <c r="CT7" i="1896"/>
  <c r="CJ7" i="1896"/>
  <c r="DM7" i="1896"/>
  <c r="BK7" i="1896"/>
  <c r="G7" i="1896"/>
  <c r="AP7" i="1896"/>
  <c r="CQ7" i="1896"/>
  <c r="DZ7" i="1896"/>
  <c r="AB7" i="1896" l="1"/>
  <c r="AN7" i="1896" s="1"/>
  <c r="O7" i="1896"/>
  <c r="AA7" i="1896" s="1"/>
  <c r="CB7" i="1896"/>
  <c r="CN7" i="1896" s="1"/>
  <c r="EO7" i="1896"/>
  <c r="FA7" i="1896" s="1"/>
  <c r="FA34" i="1896"/>
  <c r="DY7" i="1896"/>
  <c r="FC7" i="1896" s="1" a="1"/>
  <c r="FC7" i="1896" s="1"/>
  <c r="FC34" i="1896" a="1"/>
  <c r="FC34" i="1896" s="1"/>
  <c r="BO7" i="1896"/>
  <c r="CA7" i="1896" s="1"/>
  <c r="DO7" i="1896"/>
  <c r="FF34" i="1896" a="1"/>
  <c r="FF34" i="1896" s="1"/>
  <c r="B7" i="1896"/>
  <c r="N7" i="1896" s="1"/>
  <c r="AO7" i="1896"/>
  <c r="BA7" i="1896" s="1"/>
  <c r="CO7" i="1896"/>
  <c r="DA7" i="1896" s="1"/>
  <c r="BB7" i="1896"/>
  <c r="BN7" i="1896" s="1"/>
  <c r="DB7" i="1896"/>
  <c r="FE34" i="1896" a="1"/>
  <c r="FE34" i="1896" s="1"/>
  <c r="FD34" i="1896" l="1"/>
  <c r="DN7" i="1896"/>
  <c r="FE7" i="1896" a="1"/>
  <c r="FE7" i="1896" s="1"/>
  <c r="EA7" i="1896"/>
  <c r="FF7" i="1896" a="1"/>
  <c r="FF7" i="1896" s="1"/>
  <c r="FD7" i="189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<sst xmlns="http://schemas.openxmlformats.org/spreadsheetml/2006/main" count="2477" uniqueCount="676">
  <si>
    <t>TOTAL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</si>
  <si>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</si>
  <si>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</si>
  <si>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</si>
  <si>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</si>
  <si>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</si>
  <si>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</si>
  <si>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</si>
  <si>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</si>
  <si>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</si>
  <si>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</si>
  <si>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</si>
  <si>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</si>
  <si>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Oct</t>
  </si>
  <si>
    <t>Dic</t>
  </si>
  <si>
    <t>Arahuana</t>
  </si>
  <si>
    <t>Acarahuazú</t>
  </si>
  <si>
    <t>Achacubo</t>
  </si>
  <si>
    <t>Ashara</t>
  </si>
  <si>
    <t>Boquichico</t>
  </si>
  <si>
    <t>Bocón</t>
  </si>
  <si>
    <t>Carachama</t>
  </si>
  <si>
    <t>Chambira</t>
  </si>
  <si>
    <t>Corvina</t>
  </si>
  <si>
    <t>Chiu Chiu</t>
  </si>
  <si>
    <t>Doncella</t>
  </si>
  <si>
    <t>Dorado</t>
  </si>
  <si>
    <t>Fasaco</t>
  </si>
  <si>
    <t>Gamitana</t>
  </si>
  <si>
    <t>Leguía</t>
  </si>
  <si>
    <t>Llausa</t>
  </si>
  <si>
    <t>Manitoa</t>
  </si>
  <si>
    <t>Maparate</t>
  </si>
  <si>
    <t>Mota</t>
  </si>
  <si>
    <t>Novia</t>
  </si>
  <si>
    <t>Paiche</t>
  </si>
  <si>
    <t>Paco</t>
  </si>
  <si>
    <t>Palometa</t>
  </si>
  <si>
    <t>Panshin</t>
  </si>
  <si>
    <t>Paña</t>
  </si>
  <si>
    <t>Piro</t>
  </si>
  <si>
    <t>Ractacara</t>
  </si>
  <si>
    <t>Sábalo</t>
  </si>
  <si>
    <t>Saltón</t>
  </si>
  <si>
    <t>Sardina</t>
  </si>
  <si>
    <t>Shiripira</t>
  </si>
  <si>
    <t>Tucunaré</t>
  </si>
  <si>
    <t>Torre</t>
  </si>
  <si>
    <t>Turushuqui</t>
  </si>
  <si>
    <t>Vaselina</t>
  </si>
  <si>
    <t>Yulilla</t>
  </si>
  <si>
    <t>Caoba</t>
  </si>
  <si>
    <t>Capirona</t>
  </si>
  <si>
    <t>Catahua</t>
  </si>
  <si>
    <t>Cedro</t>
  </si>
  <si>
    <t>Copaiba</t>
  </si>
  <si>
    <t>Cumala</t>
  </si>
  <si>
    <t>Estoraque</t>
  </si>
  <si>
    <t>Huayruro</t>
  </si>
  <si>
    <t>Ishpingo</t>
  </si>
  <si>
    <t>Lupuna</t>
  </si>
  <si>
    <t>Mashonaste</t>
  </si>
  <si>
    <t>Moena</t>
  </si>
  <si>
    <t>Pashaco</t>
  </si>
  <si>
    <t>Pumaquiro</t>
  </si>
  <si>
    <t>Quinilla</t>
  </si>
  <si>
    <t>Shihuahuaco</t>
  </si>
  <si>
    <t>Tornillo</t>
  </si>
  <si>
    <t>Ubos</t>
  </si>
  <si>
    <t>Utucuro</t>
  </si>
  <si>
    <t>Yacushapana</t>
  </si>
  <si>
    <t>Otros</t>
  </si>
  <si>
    <t>Indice General</t>
  </si>
  <si>
    <t>Alimentos y bebidas</t>
  </si>
  <si>
    <t>Vestido y Calzado</t>
  </si>
  <si>
    <t>Alq. Vivienda, Comb. Elec.</t>
  </si>
  <si>
    <t>Muebles, Ens. y Manten.</t>
  </si>
  <si>
    <t>Cuidados y Cons. de Salud</t>
  </si>
  <si>
    <t>Transportes y Comunic.</t>
  </si>
  <si>
    <t>Otros Bienes y Servicios</t>
  </si>
  <si>
    <t>TOTAL SISTEMA FINANCIERO</t>
  </si>
  <si>
    <t>A. MONEDA NACIONAL</t>
  </si>
  <si>
    <t xml:space="preserve">B. MONEDA EXTRANJERA </t>
  </si>
  <si>
    <t>Total</t>
  </si>
  <si>
    <t>Manchinga</t>
  </si>
  <si>
    <t>ARRIBOS</t>
  </si>
  <si>
    <t>PERNOCTACIONES</t>
  </si>
  <si>
    <t>Bagre</t>
  </si>
  <si>
    <t>Panguana</t>
  </si>
  <si>
    <t>Jul</t>
  </si>
  <si>
    <t>(Hectáreas)</t>
  </si>
  <si>
    <t>(Toneladas métricas)</t>
  </si>
  <si>
    <t>(Métros cúbicos)</t>
  </si>
  <si>
    <t>(Número)</t>
  </si>
  <si>
    <t>Requia</t>
  </si>
  <si>
    <t>Ponderado</t>
  </si>
  <si>
    <t>Mes</t>
  </si>
  <si>
    <t>Anual</t>
  </si>
  <si>
    <t>Mensual</t>
  </si>
  <si>
    <t>Variación Porcentual</t>
  </si>
  <si>
    <t xml:space="preserve">Var. %  </t>
  </si>
  <si>
    <t>Aguano Masha</t>
  </si>
  <si>
    <t>A. DEPÓSITOS A LA VISTA</t>
  </si>
  <si>
    <t>B. DEPÓSITOS DE AHORRO</t>
  </si>
  <si>
    <t>C. DEPÓSITOS A PLAZO</t>
  </si>
  <si>
    <t>TOTAL DEPÓSITOS</t>
  </si>
  <si>
    <t>Achiote</t>
  </si>
  <si>
    <t>Ají</t>
  </si>
  <si>
    <t>Ajonjolí</t>
  </si>
  <si>
    <t>Algodón</t>
  </si>
  <si>
    <t>Anona</t>
  </si>
  <si>
    <t>Barbasco</t>
  </si>
  <si>
    <t>Caimito</t>
  </si>
  <si>
    <t>Camote</t>
  </si>
  <si>
    <t>Castaña</t>
  </si>
  <si>
    <t>Cocona</t>
  </si>
  <si>
    <t>Copoazú</t>
  </si>
  <si>
    <t>Culantro</t>
  </si>
  <si>
    <t>Frijol de Palo</t>
  </si>
  <si>
    <t>Granadilla</t>
  </si>
  <si>
    <t>Guanábana</t>
  </si>
  <si>
    <t>Guayaba</t>
  </si>
  <si>
    <t>Hierba Luisa</t>
  </si>
  <si>
    <t>Kion</t>
  </si>
  <si>
    <t>Lechuga</t>
  </si>
  <si>
    <t>Maíz Choclo</t>
  </si>
  <si>
    <t>Marañón</t>
  </si>
  <si>
    <t>Melón</t>
  </si>
  <si>
    <t>Pacae</t>
  </si>
  <si>
    <t>Pepino</t>
  </si>
  <si>
    <t>Pimienta</t>
  </si>
  <si>
    <t>Pituca</t>
  </si>
  <si>
    <t>Soya</t>
  </si>
  <si>
    <t>Tangelo</t>
  </si>
  <si>
    <t>Té</t>
  </si>
  <si>
    <t>Ungurahui</t>
  </si>
  <si>
    <t>Zapallo</t>
  </si>
  <si>
    <t>Zapote</t>
  </si>
  <si>
    <t>Jun</t>
  </si>
  <si>
    <t>Ene</t>
  </si>
  <si>
    <t>Feb</t>
  </si>
  <si>
    <t>Mar</t>
  </si>
  <si>
    <t>Abr</t>
  </si>
  <si>
    <t>May</t>
  </si>
  <si>
    <t>Fuente: Instituto Nacional de Estadística e Informática INEI-Pucallpa.</t>
  </si>
  <si>
    <t>1 / Preliminar.</t>
  </si>
  <si>
    <t xml:space="preserve">      Dic.</t>
  </si>
  <si>
    <t>Cachimbo</t>
  </si>
  <si>
    <t>Loro Micuna</t>
  </si>
  <si>
    <t>Pino</t>
  </si>
  <si>
    <t>Fuente: Dirección Regional de la Produccion - Ucayali.</t>
  </si>
  <si>
    <t>INGRESOS DEL GOBIERNO REGIONAL</t>
  </si>
  <si>
    <t>INVERSIONES POR SECTORES</t>
  </si>
  <si>
    <t>Ago</t>
  </si>
  <si>
    <t>Lote 31-C (LGN)</t>
  </si>
  <si>
    <t>Fuente: Superintendencia de Banca y Seguros.</t>
  </si>
  <si>
    <t>(Miles de US dólares)</t>
  </si>
  <si>
    <t>TOTAL EXPORTACIONES</t>
  </si>
  <si>
    <t>Madera aserrada</t>
  </si>
  <si>
    <t>Triplay</t>
  </si>
  <si>
    <t>Otros acabados</t>
  </si>
  <si>
    <t>Camu Camu</t>
  </si>
  <si>
    <t>1/ Preliminar.</t>
  </si>
  <si>
    <t>TOTAL SIEMBRAS</t>
  </si>
  <si>
    <t>Cuadro Nº 08</t>
  </si>
  <si>
    <t>Cuadro Nº 09</t>
  </si>
  <si>
    <t>Cuadro N° 10</t>
  </si>
  <si>
    <t>CUADRO Nº 18</t>
  </si>
  <si>
    <t>Cuadro Nº 05</t>
  </si>
  <si>
    <t>Plátano</t>
  </si>
  <si>
    <t>Yuca</t>
  </si>
  <si>
    <t>Limón</t>
  </si>
  <si>
    <t>Naranja</t>
  </si>
  <si>
    <t>Papaya</t>
  </si>
  <si>
    <t>Mandarina</t>
  </si>
  <si>
    <t>Piña</t>
  </si>
  <si>
    <t>Mango</t>
  </si>
  <si>
    <t>Tomate</t>
  </si>
  <si>
    <t>Sandía</t>
  </si>
  <si>
    <t>Cocotero</t>
  </si>
  <si>
    <t>Maní</t>
  </si>
  <si>
    <t>Maíz Amarillo Duro</t>
  </si>
  <si>
    <t>Palma Aceitera</t>
  </si>
  <si>
    <t>Cacao</t>
  </si>
  <si>
    <t>Café</t>
  </si>
  <si>
    <t>Aguaje</t>
  </si>
  <si>
    <t>Pijuayo Fruto</t>
  </si>
  <si>
    <t>Pijuayo Palmito</t>
  </si>
  <si>
    <t>OTROS CULTIVOS</t>
  </si>
  <si>
    <t>Fuente: Oficina de Información Agraria - Dirección Regional Agraria de Ucayali.</t>
  </si>
  <si>
    <t>Cuadro Nº 06</t>
  </si>
  <si>
    <t>Cuadro Nº 04</t>
  </si>
  <si>
    <t>Fuente: Perúpetro S.A.</t>
  </si>
  <si>
    <t>TOTAL DEPÓSITOS (A+B+C)</t>
  </si>
  <si>
    <t>Cuadro Nº 15</t>
  </si>
  <si>
    <t>TOTAL (I+II)</t>
  </si>
  <si>
    <t>I. INGRESOS TRIBUTARIOS</t>
  </si>
  <si>
    <t>2. Impuestos a las importaciones</t>
  </si>
  <si>
    <t>II. INGRESOS NO TRIBUTARIOS</t>
  </si>
  <si>
    <t>Fuente: SUNAT-ADUANAS.</t>
  </si>
  <si>
    <t>(Miles de nuevos soles)</t>
  </si>
  <si>
    <t>(Miles de nuevos soles).</t>
  </si>
  <si>
    <t>4. Impuesto selectivo al consumo (ISC)</t>
  </si>
  <si>
    <t>5. Otros ingresos tributarios</t>
  </si>
  <si>
    <t>Cuadro N° 14</t>
  </si>
  <si>
    <t>UCAYALI: ÍNDICE DE PRECIOS AL CONSUMIDOR DE LA CIUDAD DE PUCALLPA</t>
  </si>
  <si>
    <t>UCAYALI: PRODUCCIÓN DE ELECTRICIDAD Y AGUA</t>
  </si>
  <si>
    <t>ELECTRICIDAD</t>
  </si>
  <si>
    <t>AGUA</t>
  </si>
  <si>
    <t>PRODUCCION</t>
  </si>
  <si>
    <t>EMAPACOP S.A.</t>
  </si>
  <si>
    <t>TOTAL DE GASTOS</t>
  </si>
  <si>
    <t>Pescado seco salado</t>
  </si>
  <si>
    <t>UCAYALI: SALDO DE DEPÓSITOS DEL SISTEMA FINANCIERO, POR TIPO DE DEPÓSITO</t>
  </si>
  <si>
    <t>UCAYALI: SALDO DE DEPÓSITOS DEL SISTEMA FINANCIERO, POR TIPO DE MONEDA</t>
  </si>
  <si>
    <t>UCAYALI: SALDOS DE CRÉDITOS DEL SISTEMA FINANCIERO</t>
  </si>
  <si>
    <t>Tablillas y frisos</t>
  </si>
  <si>
    <t>Peces ornamentales</t>
  </si>
  <si>
    <t xml:space="preserve">   Depósitos vista</t>
  </si>
  <si>
    <t xml:space="preserve">   Depósitos de ahorro</t>
  </si>
  <si>
    <t xml:space="preserve">   Depósitos a plazo</t>
  </si>
  <si>
    <t>3. Impuesto general a las ventas (IGV)</t>
  </si>
  <si>
    <t>1. Impuestos a los ingresos</t>
  </si>
  <si>
    <t>IPM</t>
  </si>
  <si>
    <t>Sep.</t>
  </si>
  <si>
    <t>(Base año 2009=100)</t>
  </si>
  <si>
    <t>FUENTES DE FINANCIAMIENTO</t>
  </si>
  <si>
    <t>(MWH)</t>
  </si>
  <si>
    <t>Cuadro Nº 03</t>
  </si>
  <si>
    <t>(unidades)</t>
  </si>
  <si>
    <t>Cuadro N° 01</t>
  </si>
  <si>
    <t>AGROPECUARIO 2/</t>
  </si>
  <si>
    <t>Cuadro N° 02</t>
  </si>
  <si>
    <t>B. EMPRESAS FINANCIERAS</t>
  </si>
  <si>
    <t>C.G.T.Yarinacocha</t>
  </si>
  <si>
    <t>Compras de electricidad *</t>
  </si>
  <si>
    <t>Cuadro N° 07</t>
  </si>
  <si>
    <t>CUADRO Nº 20</t>
  </si>
  <si>
    <t>CUADRO Nº 21</t>
  </si>
  <si>
    <t>CUADRO Nº 22</t>
  </si>
  <si>
    <t>CUADRO Nº 23</t>
  </si>
  <si>
    <t>Cuadro N° 25</t>
  </si>
  <si>
    <t xml:space="preserve">Cuadro N° 26 </t>
  </si>
  <si>
    <t>INGRESOS RECAUDADOS EN UCAYALI</t>
  </si>
  <si>
    <t>Fuente: MEF.</t>
  </si>
  <si>
    <t>INVERSIONES POR FUNCIONES</t>
  </si>
  <si>
    <t>* De Electro Ucayali (incluye COES)</t>
  </si>
  <si>
    <t>(Saldos en miles de nuevos soles)</t>
  </si>
  <si>
    <t>Nov</t>
  </si>
  <si>
    <t>TOTAL COLOCACIONES</t>
  </si>
  <si>
    <t xml:space="preserve">  Fuente: Superintendencia de Banca y Seguros.</t>
  </si>
  <si>
    <t>Oct.09</t>
  </si>
  <si>
    <t>Nov.09</t>
  </si>
  <si>
    <t>Dic.09</t>
  </si>
  <si>
    <t>MONEDA NACIONAL</t>
  </si>
  <si>
    <t xml:space="preserve">MONEDA EXTRANJERA </t>
  </si>
  <si>
    <t>(valores reales)</t>
  </si>
  <si>
    <t>Sep</t>
  </si>
  <si>
    <t>(variaciones anuales reales)</t>
  </si>
  <si>
    <t>Cuadro Nº 13</t>
  </si>
  <si>
    <t>Cuadro N° 28</t>
  </si>
  <si>
    <t>(En porcentaje)</t>
  </si>
  <si>
    <t>C. ENTIDADES MICRO N.B.</t>
  </si>
  <si>
    <t>* a partir de enero 2009 se convirtió en Financiera CrediScotia</t>
  </si>
  <si>
    <t>** hasta marzo 2010 fue Edpyme Efectiva.</t>
  </si>
  <si>
    <t>Fuente: Empresas del Sistema Financiero.</t>
  </si>
  <si>
    <t>Fuente: SUNAT.</t>
  </si>
  <si>
    <t>Fuente: Oficina de Información Agraria - Dirección Regional del Minagri de Ucayali.</t>
  </si>
  <si>
    <t>Lote 131</t>
  </si>
  <si>
    <t>B.INSTITUCIONES NO BANCARIAS</t>
  </si>
  <si>
    <t>A. BANCA MÚLTIPLE</t>
  </si>
  <si>
    <t>C. BANCO DE LA NACIÓN</t>
  </si>
  <si>
    <t>B. INSTITUCIONES NO BANCARIAS</t>
  </si>
  <si>
    <t>G. Regional</t>
  </si>
  <si>
    <t>Remuneraciones</t>
  </si>
  <si>
    <t>Bienes y Servicios</t>
  </si>
  <si>
    <t>G. Locales</t>
  </si>
  <si>
    <t>Gobierno Regional real</t>
  </si>
  <si>
    <t>Gobiernos Locales real</t>
  </si>
  <si>
    <t>UCAYALI</t>
  </si>
  <si>
    <t>1/ No considera los créditos a las demás empresas del Sistema Financiero.</t>
  </si>
  <si>
    <t>2/ Sólo considera los créditos de consumo e hipotecario</t>
  </si>
  <si>
    <t>1/ cifras preliminares.</t>
  </si>
  <si>
    <t>Fuente: Encuesta Mensual a los establecimientos de hospedaje temporal - MINCETUR.</t>
  </si>
  <si>
    <t>MINCETUR</t>
  </si>
  <si>
    <t>Gasto público no financiero</t>
  </si>
  <si>
    <t>Otros gastos corrientes</t>
  </si>
  <si>
    <t>G. Nacional</t>
  </si>
  <si>
    <t>Gasto público no financiero-real</t>
  </si>
  <si>
    <t>Gobierno Nacional real</t>
  </si>
  <si>
    <t>UCAYALI: GASTOS NO FINANCIEROS DEL GOBIERNO NACIONAL</t>
  </si>
  <si>
    <t>INGRESOS</t>
  </si>
  <si>
    <t>a. INGRESOS CORRIENTES</t>
  </si>
  <si>
    <t>2. Transferencias</t>
  </si>
  <si>
    <t>b. INGRESOS DE CAPITAL</t>
  </si>
  <si>
    <t>INGRESOS TOTALES (a+b)</t>
  </si>
  <si>
    <t>1. TRBUTARIOS</t>
  </si>
  <si>
    <t>2. NO TRIBUTARIOS</t>
  </si>
  <si>
    <t>3. TRANSFERENCIAS</t>
  </si>
  <si>
    <t>Donaciones y transferencias</t>
  </si>
  <si>
    <t>Tahuari</t>
  </si>
  <si>
    <t>CUADRO Nº 24</t>
  </si>
  <si>
    <t>Cuadro N° 26</t>
  </si>
  <si>
    <t>Cuadro N° 27</t>
  </si>
  <si>
    <t>Cuadro N° 29</t>
  </si>
  <si>
    <t>(Miles de Soles)</t>
  </si>
  <si>
    <t>* cifras estimadas</t>
  </si>
  <si>
    <t>Nación</t>
  </si>
  <si>
    <t>(Base año 1994=100 empalmado con año 2001 y año 2009)</t>
  </si>
  <si>
    <t>Producción (MEM)</t>
  </si>
  <si>
    <t>Total Electro Ucayali</t>
  </si>
  <si>
    <t>CONSUMO-UCAYALI</t>
  </si>
  <si>
    <t>Industrial</t>
  </si>
  <si>
    <t>Comercial</t>
  </si>
  <si>
    <t>Residencial</t>
  </si>
  <si>
    <t>Alumbrado Público</t>
  </si>
  <si>
    <t>CONSUMO POR SECTORES</t>
  </si>
  <si>
    <t>FUENTE: ELECTRO UCAYALI S.A.</t>
  </si>
  <si>
    <t>FACTURACIÓN POR SECTORES</t>
  </si>
  <si>
    <t>(miles de soles)</t>
  </si>
  <si>
    <t>Facturación-UCAYALI</t>
  </si>
  <si>
    <t>Scotiabank</t>
  </si>
  <si>
    <t>* Mediante Resolución SBS N° 3261-2018 el 22 de agosto 2018 se autorizó el cambio de denominación social de Banco Financiero a Banco Pichincha.</t>
  </si>
  <si>
    <t>Fuente: Gobierno Regional de Ucayali- Dirección de Gestión Forestal y de Fauna Silvestre.</t>
  </si>
  <si>
    <t>Cuadro Nº 16</t>
  </si>
  <si>
    <t>**Mediante Resolución SBS N° 1286-2019 (08/05/2019) se autorizó a BBVA Banco Continental S.A. el cambio de denominación social a Banco BBVA Perú.</t>
  </si>
  <si>
    <t>** Hasta marzo 2010 fue Edpyme Efectiva.</t>
  </si>
  <si>
    <t>***Mediante Resolución SBS N° 1286-2019 (08/05/2019) se autorizó a BBVA Banco Continental S.A. el cambio de denominación social a Banco BBVA Perú.</t>
  </si>
  <si>
    <t>****Mediante Resolución SBS N° 1283-2019 de 27/03/2019, se le autorizó a la Edypme Marcimex S.A. el cambio de denominación social a "Empresa de Desarrollo de la Pequeña y Microempresa Progeso S.A.".</t>
  </si>
  <si>
    <t>Pensiones y otras prestaciones</t>
  </si>
  <si>
    <t>Donaciones y transferencias c</t>
  </si>
  <si>
    <t>Donaciones y transferencias cts</t>
  </si>
  <si>
    <t>Donaciones y transferencias ctes</t>
  </si>
  <si>
    <t>Pensiones y otras prestaciones s</t>
  </si>
  <si>
    <t>Achuni</t>
  </si>
  <si>
    <t>3/ Peso de animal en pie.</t>
  </si>
  <si>
    <t>2/ Incluye pescado fresco y seco salado.</t>
  </si>
  <si>
    <t>CUADRO Nº 17</t>
  </si>
  <si>
    <t>Cuadro Nº 19</t>
  </si>
  <si>
    <t>Aceite refinado de palma</t>
  </si>
  <si>
    <t>Cuadro Nº 11</t>
  </si>
  <si>
    <t>UCAYALI: ÍNDICE DE VOLUMEN FÍSICO DE LA PRODUCCIÓN INDUSTRIAL DE PUCALLPA 1/BASE 2007</t>
  </si>
  <si>
    <t>Promedio</t>
  </si>
  <si>
    <t>MANUFACTURA PRIMARIA</t>
  </si>
  <si>
    <t>MANUFACTURA NO PRIMARIA</t>
  </si>
  <si>
    <t>Fuente: Dirección Regional Sectorial de la Producción - Encuesta a Empresas Industriales.</t>
  </si>
  <si>
    <t>Estearina de palma</t>
  </si>
  <si>
    <t>Aceite crudo de palmiste</t>
  </si>
  <si>
    <t>A. AGRÍCOLA 2/</t>
  </si>
  <si>
    <t>B. PECUARIO 2/</t>
  </si>
  <si>
    <t>OTROS CULTIVOS 2/</t>
  </si>
  <si>
    <t>Taperiba</t>
  </si>
  <si>
    <t>UCAYALI: COSECHAS DE PRINCIPALES PRODUCTOS AGRÍCOLAS 1/</t>
  </si>
  <si>
    <t>UCAYALI: PRODUCCIÓN DE HIDROCARBUROS LÍQUIDOS Y GAS</t>
  </si>
  <si>
    <t>Lote 31-C</t>
  </si>
  <si>
    <t>1/ Miles de barriles.</t>
  </si>
  <si>
    <t>2/ Millones de pies cúbicos.</t>
  </si>
  <si>
    <t>UCAYALI : ARRIBOS Y PERNOCTACIONES A LOS ESTABLECIMIENTOS DE HOSPEDAJE 1/</t>
  </si>
  <si>
    <t>Nacionales</t>
  </si>
  <si>
    <t>Extranjeros</t>
  </si>
  <si>
    <t>C.G.H. Canuja</t>
  </si>
  <si>
    <t>C.G.T. Aguaytía</t>
  </si>
  <si>
    <t>C.G.T. Atalaya</t>
  </si>
  <si>
    <t>(M3)</t>
  </si>
  <si>
    <t>Fuente: MINEM, Electro Ucayali y EMAPACOP S.A</t>
  </si>
  <si>
    <t>Esparc. Div. Serv. Cult.</t>
  </si>
  <si>
    <t>Cacao en grano</t>
  </si>
  <si>
    <t>Aceite crudo de palma</t>
  </si>
  <si>
    <t>Pesqueros</t>
  </si>
  <si>
    <t>INGRESOS RECAUDADOS EN UCAYALI (EN VALORES REALES)</t>
  </si>
  <si>
    <t>GASTOS CORRIENTES</t>
  </si>
  <si>
    <t>Personal y obligaciones</t>
  </si>
  <si>
    <t>Pensiones y otras prestaciones sociales</t>
  </si>
  <si>
    <t>Bienes y servicios</t>
  </si>
  <si>
    <t>Donaciones y transferencias corrientes</t>
  </si>
  <si>
    <t>GASTOS DE CAPITAL</t>
  </si>
  <si>
    <t>Donaciones y transferencias de capital</t>
  </si>
  <si>
    <t>Otros gastos de capital</t>
  </si>
  <si>
    <t>Inversiones no financieras</t>
  </si>
  <si>
    <t>Inversiones financieras</t>
  </si>
  <si>
    <t>SERVICIO DE LA DEUDA</t>
  </si>
  <si>
    <t>Intereses</t>
  </si>
  <si>
    <t>Amortización</t>
  </si>
  <si>
    <t>GASTOS POR FUENTE</t>
  </si>
  <si>
    <t>Recursos ordinarios</t>
  </si>
  <si>
    <t>Recursos directamente recaudados</t>
  </si>
  <si>
    <t>Recursos por oper. ofi. de crédito</t>
  </si>
  <si>
    <t>Recursos determinados</t>
  </si>
  <si>
    <t>Privatización y concesiones</t>
  </si>
  <si>
    <t>Fondo de compensacion regional</t>
  </si>
  <si>
    <t>UCAYALI: EJECUCIÓN DE GASTOS DEL GOBIERNO NACIONAL (REALES)</t>
  </si>
  <si>
    <t>Bienes y Servicios deflactados</t>
  </si>
  <si>
    <t>Planeamiento</t>
  </si>
  <si>
    <t>Justicia</t>
  </si>
  <si>
    <t>Agropecuaria</t>
  </si>
  <si>
    <t>Trabajo</t>
  </si>
  <si>
    <t>Industria</t>
  </si>
  <si>
    <t>Educación</t>
  </si>
  <si>
    <t>Energía</t>
  </si>
  <si>
    <t>Comercio</t>
  </si>
  <si>
    <t>Pesca</t>
  </si>
  <si>
    <t>Saneamiento</t>
  </si>
  <si>
    <t>Salud</t>
  </si>
  <si>
    <t>Ambiente</t>
  </si>
  <si>
    <t>Transporte</t>
  </si>
  <si>
    <t>Comunicaciones</t>
  </si>
  <si>
    <t>Turismo</t>
  </si>
  <si>
    <t>Orden Público y Seguridad</t>
  </si>
  <si>
    <t>Recusos por operaciones oficiales de credito</t>
  </si>
  <si>
    <t>UCAYALI: EJECUCIÓN DE INGRESOS DEL GOBIERNO REGIONAL 1/</t>
  </si>
  <si>
    <t>INGRESOS CORRIENTES</t>
  </si>
  <si>
    <t>Impuestos y contribuciones obligatorias</t>
  </si>
  <si>
    <t>Venta de bienes y servicios y derechos adm.</t>
  </si>
  <si>
    <t>Tasas</t>
  </si>
  <si>
    <t>Venta de bienes</t>
  </si>
  <si>
    <t>Prestación de servicios</t>
  </si>
  <si>
    <t>Rentas de la propiedad</t>
  </si>
  <si>
    <t>Multas, sanciones y otros</t>
  </si>
  <si>
    <t>Otros ingresos corrientes</t>
  </si>
  <si>
    <t>INGRESOS DE CAPITAL</t>
  </si>
  <si>
    <t>Venta de activos no financieros</t>
  </si>
  <si>
    <t>Venta de activos financieros</t>
  </si>
  <si>
    <t>TRANSFERENCIAS</t>
  </si>
  <si>
    <t>Transferencias</t>
  </si>
  <si>
    <t>FINANCIAMIENTO</t>
  </si>
  <si>
    <t>Endeudamiento</t>
  </si>
  <si>
    <t>Saldo de balance</t>
  </si>
  <si>
    <t>INGRESOS POR FUENTE</t>
  </si>
  <si>
    <t>Recursos por operaciones oficiales de crédito</t>
  </si>
  <si>
    <t>Recursos por privatización y concesiones</t>
  </si>
  <si>
    <t>Fondo de compensación regional</t>
  </si>
  <si>
    <t>1. No tributarios</t>
  </si>
  <si>
    <t>- Recursos ordinarios</t>
  </si>
  <si>
    <t>- Canon</t>
  </si>
  <si>
    <t>- Canon y sobrecanon petrolero</t>
  </si>
  <si>
    <t>- Canon forestal</t>
  </si>
  <si>
    <t>- Focam</t>
  </si>
  <si>
    <t>- Eliminación exoneraciones tributarias</t>
  </si>
  <si>
    <t>- Otros</t>
  </si>
  <si>
    <t>D y T CORRIENTES</t>
  </si>
  <si>
    <t>De gobiernos extranjeros</t>
  </si>
  <si>
    <t>De organismos internacionales</t>
  </si>
  <si>
    <t>De otras unidades de gobierno</t>
  </si>
  <si>
    <t>Del Gobierno Nacional</t>
  </si>
  <si>
    <t>De los gobiernos regionales</t>
  </si>
  <si>
    <t>De los gobiernos locales</t>
  </si>
  <si>
    <t>De otras entidades públicas</t>
  </si>
  <si>
    <t>De fondos públicos</t>
  </si>
  <si>
    <t>Por participaciones de recursos determinados Canon y sobrecanon</t>
  </si>
  <si>
    <t>Canon y sobrecanon</t>
  </si>
  <si>
    <t>Canon petrolero</t>
  </si>
  <si>
    <t>Sobrecanon petrolero</t>
  </si>
  <si>
    <t>Canon gasífero</t>
  </si>
  <si>
    <t>Canon forestal</t>
  </si>
  <si>
    <t>Regalías (FOCAM)</t>
  </si>
  <si>
    <t>Por asignación especial</t>
  </si>
  <si>
    <t>Por plan de incentivos a la mejora de la gestión y modernización municipal</t>
  </si>
  <si>
    <t>Por bono de incentivo por la ejecución eficaz de inversiones</t>
  </si>
  <si>
    <t>Por eleminación de exoneración tributarias</t>
  </si>
  <si>
    <t>D DE CAPITAL</t>
  </si>
  <si>
    <t>UCAYALI: GASTOS NO FINANCIEROS DEL GOBIERNO REGIONAL</t>
  </si>
  <si>
    <t>Recursos D. recaudados</t>
  </si>
  <si>
    <t>Recursos por Oper. créd. interno</t>
  </si>
  <si>
    <t>Fondo de compénsación</t>
  </si>
  <si>
    <t>UCAYALI: EJECUCIÓN DE GASTOS DEL GOBIERNO REGIONAL (REALES)</t>
  </si>
  <si>
    <t>Pensions y otras prestaciones S.</t>
  </si>
  <si>
    <t>Donaciones y transferencia de K</t>
  </si>
  <si>
    <t>Recursos direct. recaudados</t>
  </si>
  <si>
    <t>Recursos oper. créd.interno</t>
  </si>
  <si>
    <t>Minería</t>
  </si>
  <si>
    <t>Recursos por operaiones de crédito externo</t>
  </si>
  <si>
    <t>Fondo de Compensación regional</t>
  </si>
  <si>
    <t>Fuente: Gobierno Regional (2002-2004) y MEF</t>
  </si>
  <si>
    <t>UCAYALI: EJECUCIÓN DE INGRESOS DE LOS GOBIERNOS LOCALES 1/</t>
  </si>
  <si>
    <t>- Canon y sobrecanon</t>
  </si>
  <si>
    <t>- FONCOMUN</t>
  </si>
  <si>
    <t>- FOCAM</t>
  </si>
  <si>
    <t>Por participaciones de recursos determinados</t>
  </si>
  <si>
    <t>Canon minero</t>
  </si>
  <si>
    <t>Renta de aduanas</t>
  </si>
  <si>
    <t>FONCOMUN</t>
  </si>
  <si>
    <t>Del gobierno regional</t>
  </si>
  <si>
    <t>UCAYALI: GASTOS NO FINANCIEROS DE LOS GOBIERNOS LOCALES</t>
  </si>
  <si>
    <t>Donaciones y Transferencias</t>
  </si>
  <si>
    <t>UCAYALI: EJECUCIÓN DE GASTOS DEL GOBIERNO LOCAL (REALES)</t>
  </si>
  <si>
    <t>Interses +comisiones</t>
  </si>
  <si>
    <t>UCAYALI: SALDO DE DEPÓSITOS DEL SISTEMA FINANCIERO</t>
  </si>
  <si>
    <t>BBVA**</t>
  </si>
  <si>
    <t>Crédito</t>
  </si>
  <si>
    <t>Interbank</t>
  </si>
  <si>
    <t>Mibanco</t>
  </si>
  <si>
    <t>Azteca</t>
  </si>
  <si>
    <t>Pichincha*</t>
  </si>
  <si>
    <t>BanBif</t>
  </si>
  <si>
    <t>Falabella</t>
  </si>
  <si>
    <t>Ripley</t>
  </si>
  <si>
    <t>Del Trabajo</t>
  </si>
  <si>
    <t>B1. EMPRESAS FINANCIERAS</t>
  </si>
  <si>
    <t>CrediScotia Financiera</t>
  </si>
  <si>
    <t>Financiera Confianza</t>
  </si>
  <si>
    <t>Compartamos Financiera</t>
  </si>
  <si>
    <t>Financiera Edyficar</t>
  </si>
  <si>
    <t>B2. RESTO</t>
  </si>
  <si>
    <t>CMAC Maynas</t>
  </si>
  <si>
    <t>CMAC Huancayo</t>
  </si>
  <si>
    <t>CMAC Piura</t>
  </si>
  <si>
    <t>CMAC Arequipa</t>
  </si>
  <si>
    <t>CRAC Señor de Luren</t>
  </si>
  <si>
    <t>C.R.A.C. Los Andes</t>
  </si>
  <si>
    <t>Banca Múltiple</t>
  </si>
  <si>
    <t>Empresas Financieras</t>
  </si>
  <si>
    <t>Entidades Microfinancieras NB</t>
  </si>
  <si>
    <t>Banco de la Nación</t>
  </si>
  <si>
    <t>Depósitos vista</t>
  </si>
  <si>
    <t>Depósitos de ahorro</t>
  </si>
  <si>
    <t>Depósitos a plazo</t>
  </si>
  <si>
    <t>B. MONEDA EXTRANJERA</t>
  </si>
  <si>
    <t>MONEDA EXTRANJERA</t>
  </si>
  <si>
    <t>Moneda nacional</t>
  </si>
  <si>
    <t>Moneda extranjera</t>
  </si>
  <si>
    <t>BBVA***</t>
  </si>
  <si>
    <t>B.1 EMPRESAS FINANCIERAS</t>
  </si>
  <si>
    <t>Financiera Confianza S.A.</t>
  </si>
  <si>
    <t>Financiera TFC S.A.</t>
  </si>
  <si>
    <t>Financiera Efectiva **</t>
  </si>
  <si>
    <t>Financiera OH S.A</t>
  </si>
  <si>
    <t>B.2 RESTO</t>
  </si>
  <si>
    <t>B.2.1 CAJAS MUNICIPALES</t>
  </si>
  <si>
    <t>B.2.2 EDPYMES</t>
  </si>
  <si>
    <t>EDPYME Solidaridad</t>
  </si>
  <si>
    <t>EDPYME Inversiones la Cruz</t>
  </si>
  <si>
    <t>EDPYME Acceso Crediticio</t>
  </si>
  <si>
    <t>EDPYME Progreso S.A****</t>
  </si>
  <si>
    <t>GMG Servicios Perú</t>
  </si>
  <si>
    <t>B.2.3 CAJAS RURALES</t>
  </si>
  <si>
    <t>C. BANCO DE LA NACIÓN 2/</t>
  </si>
  <si>
    <t>D. AGROBANCO 1/</t>
  </si>
  <si>
    <t>SISTEMA FINANCIERO</t>
  </si>
  <si>
    <t>Continental</t>
  </si>
  <si>
    <t>Del Trabajo *</t>
  </si>
  <si>
    <t>Azteca Del Perú</t>
  </si>
  <si>
    <t>Financiero</t>
  </si>
  <si>
    <t>Financiera TFC</t>
  </si>
  <si>
    <t>CMAC de Piura</t>
  </si>
  <si>
    <t>CMAC de Arequipa</t>
  </si>
  <si>
    <t>EDPYME Marcimex</t>
  </si>
  <si>
    <t>UCAYALI: COSECHAS DE OTROS CULTIVOS AGRÍCOLAS 1/</t>
  </si>
  <si>
    <t>UCAYALI: DESEMBARQUE DE PESCADO PARA CONSUMO HUMANO 1/ 3/</t>
  </si>
  <si>
    <t>Fresco</t>
  </si>
  <si>
    <t>PECES ORNAMENTALES</t>
  </si>
  <si>
    <t>Desembarque Fresco</t>
  </si>
  <si>
    <t>Acumulada</t>
  </si>
  <si>
    <t>Personas naturales</t>
  </si>
  <si>
    <t>Personas jurídicas</t>
  </si>
  <si>
    <t>Regularización</t>
  </si>
  <si>
    <t>Interno</t>
  </si>
  <si>
    <t>Importaciones</t>
  </si>
  <si>
    <t>|</t>
  </si>
  <si>
    <t>TOTAL AGRÍCOLA</t>
  </si>
  <si>
    <t>Otros agrícolas</t>
  </si>
  <si>
    <t>TOTAL PECUARIO</t>
  </si>
  <si>
    <t>Leche</t>
  </si>
  <si>
    <t>Huevos</t>
  </si>
  <si>
    <t>NO BORRAR</t>
  </si>
  <si>
    <t>Lisa</t>
  </si>
  <si>
    <t>UCAYALI: PRODUCCIÓN DE MADERA ROLLIZA SEGÚN ESPECIES 1/</t>
  </si>
  <si>
    <t>UCAYALI: PRODUCCIÓN DE MADERA ASERRADA SEGÚN ESPECIES 1/</t>
  </si>
  <si>
    <t>2320 - Refinación de petróleo</t>
  </si>
  <si>
    <t>1553 - Bebidas malteadas</t>
  </si>
  <si>
    <t>1554 - Bebidas gaseosas</t>
  </si>
  <si>
    <t>2010 - Madera aserrada</t>
  </si>
  <si>
    <t>2021 - Triplay</t>
  </si>
  <si>
    <t>2710 - Calaminas y varillas</t>
  </si>
  <si>
    <t>2899 - Clavos para madera</t>
  </si>
  <si>
    <t>PRODUCTOS NO TRADICIONALES</t>
  </si>
  <si>
    <t>Machihembrado</t>
  </si>
  <si>
    <t>Tableros</t>
  </si>
  <si>
    <t>Manteca vegetal</t>
  </si>
  <si>
    <t>Pescado congelado</t>
  </si>
  <si>
    <t>C. CAJAS MUNICIPALES</t>
  </si>
  <si>
    <t>D. CAJAS RURALES</t>
  </si>
  <si>
    <t>E. BANCO DE LA NACIÓN</t>
  </si>
  <si>
    <t>CRAC Los Andes</t>
  </si>
  <si>
    <t>(Miles de soles)</t>
  </si>
  <si>
    <t>D. EMPRESAS DE CREDITOS</t>
  </si>
  <si>
    <t>E. CAJAS RURALES</t>
  </si>
  <si>
    <t>F. BANCO DE LA NACIÓN 2/</t>
  </si>
  <si>
    <t>G. AGROBANCO 3/</t>
  </si>
  <si>
    <t>Moneda Nacional</t>
  </si>
  <si>
    <t>Moneda Extranjera</t>
  </si>
  <si>
    <t>Cajas Municipales</t>
  </si>
  <si>
    <t>Cajas Rurales de Ahorro y Crédito</t>
  </si>
  <si>
    <t>EDPYMEs</t>
  </si>
  <si>
    <t>Acum (-)</t>
  </si>
  <si>
    <t>(%)</t>
  </si>
  <si>
    <t>Mes (-)</t>
  </si>
  <si>
    <t>T - T-1</t>
  </si>
  <si>
    <t>T / T-1</t>
  </si>
  <si>
    <t>Café en grano</t>
  </si>
  <si>
    <t>Decking</t>
  </si>
  <si>
    <t>Madera laminada</t>
  </si>
  <si>
    <t>Madera moldurada</t>
  </si>
  <si>
    <t>Chocolates</t>
  </si>
  <si>
    <t>Carne</t>
  </si>
  <si>
    <t>UCAYALI: PRODUCCIÓN DE PRINCIPALES PRODUCTOS AGROPECUARIOS 1/</t>
  </si>
  <si>
    <t>UCAYALI: PRODUCCIÓN DE OTROS PRODUCTOS AGRÍCOLAS 1/</t>
  </si>
  <si>
    <t>UCAYALI: SIEMBRAS POR CAMPAÑA DE LOS PRINCIPALES PRODUCTOS AGRÍCOLAS 1/</t>
  </si>
  <si>
    <t>UCAYALI: SIEMBRAS POR CAMPAÑA DE OTROS PRODUCTOS AGRÍCOLAS 1/</t>
  </si>
  <si>
    <t>UCAYALI: EXPORTACIONES FOB POR GRUPO DE PRODUCTOS 1/</t>
  </si>
  <si>
    <t>UCAYALI: INVERSIÓN NO FINANCIERA DEL GOBIERNO NACIONAL 1/</t>
  </si>
  <si>
    <t>UCAYALI: INVERSIONES NO FINANCIERAS DEL GOBIERNO REGIONAL 1/</t>
  </si>
  <si>
    <t>UCAYALI: INVERSIÓN NO FINANCIERA DE LOS GOBIERNOS LOCALES 1/</t>
  </si>
  <si>
    <t>UCAYALI : RATIO DE CARTERA PESADA DEL SISTEMA FINANCIERO 1/</t>
  </si>
  <si>
    <t xml:space="preserve">Var. % </t>
  </si>
  <si>
    <t>C I I U</t>
  </si>
  <si>
    <t xml:space="preserve"> BBVA</t>
  </si>
  <si>
    <t xml:space="preserve"> Crédito</t>
  </si>
  <si>
    <t xml:space="preserve"> Interbank</t>
  </si>
  <si>
    <t xml:space="preserve"> Scotiabank</t>
  </si>
  <si>
    <t xml:space="preserve"> CMAC Piura</t>
  </si>
  <si>
    <t>PARA COMPROBAR</t>
  </si>
  <si>
    <t>NO BORRRAR</t>
  </si>
  <si>
    <t>Arroz Cáscara</t>
  </si>
  <si>
    <t>Caña de Azúcar</t>
  </si>
  <si>
    <t>Frijol Caupí Chiclayo</t>
  </si>
  <si>
    <t>Frijol Grano Seco</t>
  </si>
  <si>
    <t>Limón Sutil</t>
  </si>
  <si>
    <t>Sacha Inchi</t>
  </si>
  <si>
    <t>Carne de Ave</t>
  </si>
  <si>
    <t>Carne de Porcino</t>
  </si>
  <si>
    <t>Carne de Vacuno</t>
  </si>
  <si>
    <t>Carne de Ovino</t>
  </si>
  <si>
    <t>(VBP y toneladas métricas)</t>
  </si>
  <si>
    <t>2/ Valor Bruto de Producción a Precios 1994 (Miles de nuevos soles)</t>
  </si>
  <si>
    <t>(Miles nuevos soles)</t>
  </si>
  <si>
    <t>Regalías (Focam)</t>
  </si>
  <si>
    <t>OTROS AGRÍCOLAS</t>
  </si>
  <si>
    <t>Col o Repollo</t>
  </si>
  <si>
    <t>Maracuyá</t>
  </si>
  <si>
    <t>Palto</t>
  </si>
  <si>
    <t>Árbol de Pan</t>
  </si>
  <si>
    <t>Sacha Papa</t>
  </si>
  <si>
    <t>Urena (Yute)</t>
  </si>
  <si>
    <t>ZZ Aguaje</t>
  </si>
  <si>
    <t>Palillo o Cúrcuma</t>
  </si>
  <si>
    <t>ZZ Otros Pastos</t>
  </si>
  <si>
    <t>OTROS</t>
  </si>
  <si>
    <t>Lagarto Caspi</t>
  </si>
  <si>
    <t>Bolaina Blanca</t>
  </si>
  <si>
    <t>Huimba Negra</t>
  </si>
  <si>
    <t>Marupá</t>
  </si>
  <si>
    <t>3/ Incluye equipo petrolero y partes para aeronaves.</t>
  </si>
  <si>
    <t>2/ Incluye plantas, hojas secas, semillas, entre otros.</t>
  </si>
  <si>
    <t>1/ Cifras preliminares.</t>
  </si>
  <si>
    <t xml:space="preserve"> </t>
  </si>
  <si>
    <t>VARIACIONES %</t>
  </si>
  <si>
    <r>
      <t>DESEMBARQUE TOTAL</t>
    </r>
    <r>
      <rPr>
        <b/>
        <u/>
        <vertAlign val="superscript"/>
        <sz val="10"/>
        <color rgb="FF0000FF"/>
        <rFont val="Aptos Narrow"/>
        <family val="2"/>
        <scheme val="minor"/>
      </rPr>
      <t>2/</t>
    </r>
  </si>
  <si>
    <r>
      <t>DESEMBARQUE TOTAL</t>
    </r>
    <r>
      <rPr>
        <b/>
        <u/>
        <vertAlign val="superscript"/>
        <sz val="10"/>
        <color rgb="FF0000FF"/>
        <rFont val="Aptos Narrow"/>
        <family val="2"/>
        <scheme val="minor"/>
      </rPr>
      <t>1/</t>
    </r>
  </si>
  <si>
    <r>
      <t>LÍQUIDOS DE GAS NATURAL (LGN)</t>
    </r>
    <r>
      <rPr>
        <b/>
        <vertAlign val="superscript"/>
        <sz val="10"/>
        <color rgb="FF000000"/>
        <rFont val="Arial"/>
        <family val="2"/>
      </rPr>
      <t>1/</t>
    </r>
  </si>
  <si>
    <r>
      <t>PETROLEO CRUDO</t>
    </r>
    <r>
      <rPr>
        <b/>
        <vertAlign val="superscript"/>
        <sz val="10"/>
        <color rgb="FF000000"/>
        <rFont val="Arial"/>
        <family val="2"/>
      </rPr>
      <t>1/</t>
    </r>
  </si>
  <si>
    <r>
      <t>GAS NATURAL</t>
    </r>
    <r>
      <rPr>
        <b/>
        <vertAlign val="superscript"/>
        <sz val="10"/>
        <color rgb="FF000000"/>
        <rFont val="Arial"/>
        <family val="2"/>
      </rPr>
      <t>2/</t>
    </r>
  </si>
  <si>
    <t>Protección Social</t>
  </si>
  <si>
    <t>Defensa y Seguridad Nacional</t>
  </si>
  <si>
    <t>Cultura y Deporte</t>
  </si>
  <si>
    <t>Vivienda y Desarrollo Urbano</t>
  </si>
  <si>
    <t>Medio Ambiente</t>
  </si>
  <si>
    <t>* Educación: Incluye cultura hasta 2008</t>
  </si>
  <si>
    <t>* Saneamiento: Incluye salud hasta 2008</t>
  </si>
  <si>
    <t>* Industria: Incluye comercio y servicios hasta 2008</t>
  </si>
  <si>
    <t>Llambina</t>
  </si>
  <si>
    <t>COMPROBAR</t>
  </si>
  <si>
    <t>Seco-Salado</t>
  </si>
  <si>
    <r>
      <t>OTRAS EXPORTACIONES</t>
    </r>
    <r>
      <rPr>
        <b/>
        <u/>
        <vertAlign val="superscript"/>
        <sz val="10"/>
        <color rgb="FF000000"/>
        <rFont val="Aptos Narrow"/>
        <family val="2"/>
        <scheme val="minor"/>
      </rPr>
      <t>3/</t>
    </r>
  </si>
  <si>
    <r>
      <t>Resto</t>
    </r>
    <r>
      <rPr>
        <b/>
        <vertAlign val="superscript"/>
        <sz val="10"/>
        <color rgb="FF000000"/>
        <rFont val="Aptos Narrow"/>
        <family val="2"/>
        <scheme val="minor"/>
      </rPr>
      <t>2/</t>
    </r>
  </si>
  <si>
    <t>Maderas y sus manufacturas</t>
  </si>
  <si>
    <t>Agropecuarios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</si>
</sst>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164" formatCode="_-&quot;S/&quot;\ * #,##0_-;\-&quot;S/&quot;\ * #,##0_-;_-&quot;S/&quot;\ * &quot;-&quot;_-;_-@_-"/>
    <numFmt numFmtId="165" formatCode="_-&quot;S/&quot;\ * #,##0.00_-;\-&quot;S/&quot;\ * #,##0.00_-;_-&quot;S/&quot;\ * &quot;-&quot;??_-;_-@_-"/>
    <numFmt numFmtId="166" formatCode="_ * #,##0.00_ ;_ * \-#,##0.00_ ;_ * &quot;-&quot;??_ ;_ @_ "/>
    <numFmt numFmtId="167" formatCode="#,##0.0_);\(#,##0.0\)"/>
    <numFmt numFmtId="168" formatCode="0.0"/>
    <numFmt numFmtId="169" formatCode="0.00_);\(0.00\)"/>
    <numFmt numFmtId="170" formatCode="#,##0.0"/>
    <numFmt numFmtId="171" formatCode="#\ ###\ ##0"/>
    <numFmt numFmtId="172" formatCode="0.0_ ;\-0.0\ "/>
    <numFmt numFmtId="173" formatCode="#\ ##0.0"/>
    <numFmt numFmtId="174" formatCode="#\ ##0"/>
    <numFmt numFmtId="175" formatCode="0.00000"/>
    <numFmt numFmtId="176" formatCode="0.0%"/>
    <numFmt numFmtId="177" formatCode="#\ ###\ ###"/>
    <numFmt numFmtId="178" formatCode="###\ ###\ ###\ ##0"/>
    <numFmt numFmtId="179" formatCode="#,##0_ ;\-#,##0\ "/>
    <numFmt numFmtId="180" formatCode="###\ ###\ ##0"/>
    <numFmt numFmtId="181" formatCode="0.000000"/>
    <numFmt numFmtId="182" formatCode="#.00\ ###\ ##0"/>
    <numFmt numFmtId="183" formatCode="mmm\."/>
    <numFmt numFmtId="184" formatCode="#,##0_ ;[Red]\-#,##0\ "/>
    <numFmt numFmtId="185" formatCode="#,##0.0_ ;[Red]\-#,##0.0\ "/>
    <numFmt numFmtId="186" formatCode="[$-F800]dddd\,\ mmmm\ dd\,\ yyyy"/>
  </numFmts>
  <fonts count="51" x14ac:knownFonts="1">
    <font>
      <sz val="10"/>
      <name val="Aptos Narrow"/>
      <family val="2"/>
      <scheme val="minor"/>
    </font>
    <font>
      <sz val="1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0"/>
      <color indexed="12"/>
      <name val="Times New Roman"/>
      <family val="1"/>
    </font>
    <font>
      <sz val="10"/>
      <name val="Courier"/>
    </font>
    <font>
      <sz val="8"/>
      <name val="Courier"/>
    </font>
    <font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u val="double"/>
      <sz val="1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rgb="FF000000"/>
      <name val="Aptos Narrow"/>
      <family val="2"/>
      <scheme val="minor"/>
    </font>
    <font>
      <b/>
      <u/>
      <sz val="10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u val="double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b/>
      <sz val="11"/>
      <color rgb="FF0000FF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0"/>
      <name val="Courier"/>
    </font>
    <font>
      <u/>
      <sz val="10"/>
      <name val="Aptos Narrow"/>
      <family val="2"/>
      <scheme val="minor"/>
    </font>
    <font>
      <b/>
      <sz val="10"/>
      <name val="Courier"/>
    </font>
    <font>
      <b/>
      <u/>
      <sz val="10"/>
      <color rgb="FF0000FF"/>
      <name val="Aptos Narrow"/>
      <family val="2"/>
      <scheme val="minor"/>
    </font>
    <font>
      <u val="double"/>
      <sz val="10"/>
      <color rgb="FF0000FF"/>
      <name val="Courier"/>
    </font>
    <font>
      <b/>
      <u val="double"/>
      <sz val="10"/>
      <color rgb="FF0000FF"/>
      <name val="Aptos Narrow"/>
      <family val="2"/>
      <scheme val="minor"/>
    </font>
    <font>
      <b/>
      <u/>
      <sz val="10"/>
      <name val="Courier"/>
    </font>
    <font>
      <sz val="8"/>
      <color theme="1" tint="0.499984740745262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u/>
      <sz val="10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u/>
      <vertAlign val="superscript"/>
      <sz val="10"/>
      <color rgb="FF0000FF"/>
      <name val="Aptos Narrow"/>
      <family val="2"/>
      <scheme val="minor"/>
    </font>
    <font>
      <sz val="10"/>
      <color theme="1" tint="0.499984740745262"/>
      <name val="Aptos Narrow"/>
      <family val="2"/>
      <scheme val="minor"/>
    </font>
    <font>
      <b/>
      <sz val="10"/>
      <color theme="1" tint="0.499984740745262"/>
      <name val="Aptos Narrow"/>
      <family val="2"/>
      <scheme val="minor"/>
    </font>
    <font>
      <b/>
      <u/>
      <vertAlign val="superscript"/>
      <sz val="10"/>
      <color rgb="FF000000"/>
      <name val="Aptos Narrow"/>
      <family val="2"/>
      <scheme val="minor"/>
    </font>
    <font>
      <b/>
      <vertAlign val="superscript"/>
      <sz val="10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9">
    <xf numFmtId="179" fontId="0" fillId="0" borderId="0"/>
    <xf numFmtId="166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8" fillId="0" borderId="0" applyNumberFormat="0" applyFill="0" applyAlignment="0" applyProtection="0"/>
    <xf numFmtId="0" fontId="39" fillId="0" borderId="0" applyNumberFormat="0" applyFill="0" applyBorder="0" applyAlignment="0" applyProtection="0"/>
  </cellStyleXfs>
  <cellXfs count="998">
    <xf numFmtId="179" fontId="0" fillId="0" borderId="0" xfId="0"/>
    <xf numFmtId="3" fontId="28" fillId="0" borderId="0" xfId="7" applyNumberFormat="1" applyAlignment="1">
      <alignment vertical="center"/>
    </xf>
    <xf numFmtId="179" fontId="3" fillId="2" borderId="0" xfId="0" applyFont="1" applyFill="1" applyAlignment="1">
      <alignment horizontal="left"/>
    </xf>
    <xf numFmtId="179" fontId="4" fillId="2" borderId="0" xfId="0" applyFont="1" applyFill="1"/>
    <xf numFmtId="1" fontId="4" fillId="2" borderId="0" xfId="0" applyNumberFormat="1" applyFont="1" applyFill="1"/>
    <xf numFmtId="179" fontId="4" fillId="2" borderId="3" xfId="0" applyFont="1" applyFill="1" applyBorder="1" applyAlignment="1">
      <alignment horizontal="right"/>
    </xf>
    <xf numFmtId="179" fontId="4" fillId="2" borderId="4" xfId="0" applyFont="1" applyFill="1" applyBorder="1" applyAlignment="1">
      <alignment horizontal="right"/>
    </xf>
    <xf numFmtId="179" fontId="4" fillId="2" borderId="5" xfId="0" applyFont="1" applyFill="1" applyBorder="1" applyAlignment="1">
      <alignment horizontal="center"/>
    </xf>
    <xf numFmtId="179" fontId="4" fillId="2" borderId="5" xfId="0" applyFont="1" applyFill="1" applyBorder="1" applyAlignment="1">
      <alignment horizontal="right"/>
    </xf>
    <xf numFmtId="167" fontId="4" fillId="2" borderId="2" xfId="0" applyNumberFormat="1" applyFont="1" applyFill="1" applyBorder="1" applyAlignment="1">
      <alignment horizontal="center"/>
    </xf>
    <xf numFmtId="179" fontId="4" fillId="2" borderId="8" xfId="0" applyFont="1" applyFill="1" applyBorder="1"/>
    <xf numFmtId="179" fontId="4" fillId="2" borderId="6" xfId="0" applyFont="1" applyFill="1" applyBorder="1"/>
    <xf numFmtId="179" fontId="4" fillId="2" borderId="1" xfId="0" applyFont="1" applyFill="1" applyBorder="1"/>
    <xf numFmtId="179" fontId="4" fillId="2" borderId="12" xfId="0" applyFont="1" applyFill="1" applyBorder="1"/>
    <xf numFmtId="179" fontId="4" fillId="2" borderId="11" xfId="0" applyFont="1" applyFill="1" applyBorder="1"/>
    <xf numFmtId="179" fontId="4" fillId="2" borderId="10" xfId="0" applyFont="1" applyFill="1" applyBorder="1"/>
    <xf numFmtId="167" fontId="4" fillId="2" borderId="8" xfId="0" applyNumberFormat="1" applyFont="1" applyFill="1" applyBorder="1" applyAlignment="1">
      <alignment horizontal="center"/>
    </xf>
    <xf numFmtId="179" fontId="6" fillId="2" borderId="7" xfId="0" applyFont="1" applyFill="1" applyBorder="1"/>
    <xf numFmtId="171" fontId="6" fillId="2" borderId="6" xfId="0" applyNumberFormat="1" applyFont="1" applyFill="1" applyBorder="1"/>
    <xf numFmtId="171" fontId="6" fillId="2" borderId="0" xfId="0" applyNumberFormat="1" applyFont="1" applyFill="1"/>
    <xf numFmtId="171" fontId="6" fillId="2" borderId="1" xfId="0" applyNumberFormat="1" applyFont="1" applyFill="1" applyBorder="1"/>
    <xf numFmtId="172" fontId="6" fillId="2" borderId="7" xfId="0" applyNumberFormat="1" applyFont="1" applyFill="1" applyBorder="1" applyAlignment="1">
      <alignment horizontal="right" vertical="justify"/>
    </xf>
    <xf numFmtId="179" fontId="5" fillId="2" borderId="7" xfId="0" applyFont="1" applyFill="1" applyBorder="1"/>
    <xf numFmtId="179" fontId="4" fillId="2" borderId="7" xfId="0" applyFont="1" applyFill="1" applyBorder="1"/>
    <xf numFmtId="171" fontId="4" fillId="2" borderId="6" xfId="0" applyNumberFormat="1" applyFont="1" applyFill="1" applyBorder="1"/>
    <xf numFmtId="171" fontId="4" fillId="2" borderId="0" xfId="0" applyNumberFormat="1" applyFont="1" applyFill="1"/>
    <xf numFmtId="171" fontId="8" fillId="2" borderId="0" xfId="0" applyNumberFormat="1" applyFont="1" applyFill="1"/>
    <xf numFmtId="171" fontId="4" fillId="2" borderId="1" xfId="0" applyNumberFormat="1" applyFont="1" applyFill="1" applyBorder="1"/>
    <xf numFmtId="172" fontId="4" fillId="2" borderId="7" xfId="0" applyNumberFormat="1" applyFont="1" applyFill="1" applyBorder="1" applyAlignment="1">
      <alignment horizontal="right" vertical="justify"/>
    </xf>
    <xf numFmtId="179" fontId="4" fillId="2" borderId="0" xfId="0" applyFont="1" applyFill="1" applyAlignment="1">
      <alignment horizontal="left"/>
    </xf>
    <xf numFmtId="179" fontId="4" fillId="2" borderId="9" xfId="0" applyFont="1" applyFill="1" applyBorder="1"/>
    <xf numFmtId="171" fontId="4" fillId="2" borderId="4" xfId="0" applyNumberFormat="1" applyFont="1" applyFill="1" applyBorder="1"/>
    <xf numFmtId="172" fontId="4" fillId="2" borderId="9" xfId="0" applyNumberFormat="1" applyFont="1" applyFill="1" applyBorder="1" applyAlignment="1">
      <alignment horizontal="right" vertical="justify"/>
    </xf>
    <xf numFmtId="179" fontId="4" fillId="2" borderId="4" xfId="0" applyFont="1" applyFill="1" applyBorder="1"/>
    <xf numFmtId="170" fontId="6" fillId="2" borderId="7" xfId="0" applyNumberFormat="1" applyFont="1" applyFill="1" applyBorder="1" applyAlignment="1">
      <alignment horizontal="right"/>
    </xf>
    <xf numFmtId="170" fontId="4" fillId="2" borderId="7" xfId="0" applyNumberFormat="1" applyFont="1" applyFill="1" applyBorder="1" applyAlignment="1">
      <alignment horizontal="right"/>
    </xf>
    <xf numFmtId="3" fontId="4" fillId="2" borderId="6" xfId="0" applyNumberFormat="1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3" fontId="4" fillId="2" borderId="0" xfId="0" applyNumberFormat="1" applyFont="1" applyFill="1"/>
    <xf numFmtId="171" fontId="4" fillId="2" borderId="3" xfId="0" applyNumberFormat="1" applyFont="1" applyFill="1" applyBorder="1"/>
    <xf numFmtId="171" fontId="4" fillId="2" borderId="5" xfId="0" applyNumberFormat="1" applyFont="1" applyFill="1" applyBorder="1"/>
    <xf numFmtId="170" fontId="4" fillId="2" borderId="9" xfId="0" applyNumberFormat="1" applyFont="1" applyFill="1" applyBorder="1" applyAlignment="1">
      <alignment horizontal="right"/>
    </xf>
    <xf numFmtId="179" fontId="4" fillId="2" borderId="12" xfId="0" applyFont="1" applyFill="1" applyBorder="1" applyAlignment="1">
      <alignment horizontal="left"/>
    </xf>
    <xf numFmtId="2" fontId="5" fillId="2" borderId="6" xfId="0" applyNumberFormat="1" applyFont="1" applyFill="1" applyBorder="1"/>
    <xf numFmtId="2" fontId="5" fillId="2" borderId="0" xfId="0" applyNumberFormat="1" applyFont="1" applyFill="1"/>
    <xf numFmtId="2" fontId="5" fillId="2" borderId="1" xfId="0" applyNumberFormat="1" applyFont="1" applyFill="1" applyBorder="1"/>
    <xf numFmtId="3" fontId="6" fillId="2" borderId="6" xfId="0" applyNumberFormat="1" applyFont="1" applyFill="1" applyBorder="1"/>
    <xf numFmtId="3" fontId="6" fillId="2" borderId="0" xfId="0" applyNumberFormat="1" applyFont="1" applyFill="1"/>
    <xf numFmtId="3" fontId="6" fillId="2" borderId="1" xfId="0" applyNumberFormat="1" applyFont="1" applyFill="1" applyBorder="1"/>
    <xf numFmtId="167" fontId="4" fillId="2" borderId="12" xfId="0" applyNumberFormat="1" applyFont="1" applyFill="1" applyBorder="1"/>
    <xf numFmtId="167" fontId="4" fillId="2" borderId="0" xfId="0" applyNumberFormat="1" applyFont="1" applyFill="1"/>
    <xf numFmtId="167" fontId="6" fillId="2" borderId="0" xfId="0" applyNumberFormat="1" applyFont="1" applyFill="1" applyAlignment="1">
      <alignment horizontal="right" vertical="justify"/>
    </xf>
    <xf numFmtId="3" fontId="2" fillId="2" borderId="0" xfId="0" applyNumberFormat="1" applyFont="1" applyFill="1" applyAlignment="1">
      <alignment horizontal="right"/>
    </xf>
    <xf numFmtId="167" fontId="4" fillId="2" borderId="0" xfId="0" applyNumberFormat="1" applyFont="1" applyFill="1" applyAlignment="1">
      <alignment horizontal="right" vertical="justify"/>
    </xf>
    <xf numFmtId="3" fontId="4" fillId="2" borderId="4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179" fontId="4" fillId="2" borderId="9" xfId="0" applyFont="1" applyFill="1" applyBorder="1" applyAlignment="1">
      <alignment horizontal="left"/>
    </xf>
    <xf numFmtId="179" fontId="6" fillId="2" borderId="7" xfId="0" applyFont="1" applyFill="1" applyBorder="1" applyAlignment="1">
      <alignment horizontal="left"/>
    </xf>
    <xf numFmtId="3" fontId="4" fillId="2" borderId="5" xfId="0" applyNumberFormat="1" applyFont="1" applyFill="1" applyBorder="1" applyAlignment="1">
      <alignment horizontal="right"/>
    </xf>
    <xf numFmtId="170" fontId="4" fillId="2" borderId="6" xfId="0" applyNumberFormat="1" applyFont="1" applyFill="1" applyBorder="1" applyAlignment="1">
      <alignment horizontal="right"/>
    </xf>
    <xf numFmtId="170" fontId="4" fillId="2" borderId="0" xfId="0" applyNumberFormat="1" applyFont="1" applyFill="1" applyAlignment="1">
      <alignment horizontal="right"/>
    </xf>
    <xf numFmtId="171" fontId="6" fillId="2" borderId="0" xfId="0" applyNumberFormat="1" applyFont="1" applyFill="1" applyAlignment="1">
      <alignment horizontal="right"/>
    </xf>
    <xf numFmtId="171" fontId="6" fillId="2" borderId="1" xfId="0" applyNumberFormat="1" applyFont="1" applyFill="1" applyBorder="1" applyAlignment="1">
      <alignment horizontal="right"/>
    </xf>
    <xf numFmtId="171" fontId="6" fillId="2" borderId="6" xfId="0" applyNumberFormat="1" applyFont="1" applyFill="1" applyBorder="1" applyAlignment="1">
      <alignment horizontal="right"/>
    </xf>
    <xf numFmtId="179" fontId="4" fillId="2" borderId="3" xfId="0" applyFont="1" applyFill="1" applyBorder="1" applyAlignment="1">
      <alignment horizontal="right" vertical="center"/>
    </xf>
    <xf numFmtId="179" fontId="4" fillId="2" borderId="4" xfId="0" applyFont="1" applyFill="1" applyBorder="1" applyAlignment="1">
      <alignment horizontal="right" vertical="center"/>
    </xf>
    <xf numFmtId="39" fontId="4" fillId="2" borderId="0" xfId="0" applyNumberFormat="1" applyFont="1" applyFill="1"/>
    <xf numFmtId="39" fontId="3" fillId="2" borderId="0" xfId="0" applyNumberFormat="1" applyFont="1" applyFill="1" applyAlignment="1">
      <alignment horizontal="left"/>
    </xf>
    <xf numFmtId="175" fontId="7" fillId="2" borderId="0" xfId="0" applyNumberFormat="1" applyFont="1" applyFill="1"/>
    <xf numFmtId="3" fontId="4" fillId="2" borderId="6" xfId="0" applyNumberFormat="1" applyFont="1" applyFill="1" applyBorder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71" fontId="5" fillId="2" borderId="0" xfId="0" applyNumberFormat="1" applyFont="1" applyFill="1" applyAlignment="1">
      <alignment horizontal="right"/>
    </xf>
    <xf numFmtId="171" fontId="5" fillId="2" borderId="1" xfId="0" applyNumberFormat="1" applyFont="1" applyFill="1" applyBorder="1" applyAlignment="1">
      <alignment horizontal="right"/>
    </xf>
    <xf numFmtId="171" fontId="5" fillId="2" borderId="6" xfId="0" applyNumberFormat="1" applyFont="1" applyFill="1" applyBorder="1" applyAlignment="1">
      <alignment horizontal="right"/>
    </xf>
    <xf numFmtId="49" fontId="4" fillId="2" borderId="3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2" borderId="5" xfId="0" applyNumberFormat="1" applyFont="1" applyFill="1" applyBorder="1" applyAlignment="1">
      <alignment horizontal="right"/>
    </xf>
    <xf numFmtId="3" fontId="4" fillId="2" borderId="12" xfId="0" applyNumberFormat="1" applyFont="1" applyFill="1" applyBorder="1" applyAlignment="1">
      <alignment horizontal="center"/>
    </xf>
    <xf numFmtId="3" fontId="4" fillId="2" borderId="10" xfId="0" applyNumberFormat="1" applyFont="1" applyFill="1" applyBorder="1" applyAlignment="1">
      <alignment horizontal="center"/>
    </xf>
    <xf numFmtId="179" fontId="5" fillId="2" borderId="7" xfId="0" applyFont="1" applyFill="1" applyBorder="1" applyAlignment="1">
      <alignment horizontal="left"/>
    </xf>
    <xf numFmtId="170" fontId="4" fillId="2" borderId="1" xfId="0" applyNumberFormat="1" applyFont="1" applyFill="1" applyBorder="1" applyAlignment="1">
      <alignment horizontal="right"/>
    </xf>
    <xf numFmtId="179" fontId="5" fillId="2" borderId="9" xfId="0" applyFont="1" applyFill="1" applyBorder="1" applyAlignment="1">
      <alignment horizontal="left"/>
    </xf>
    <xf numFmtId="170" fontId="4" fillId="2" borderId="4" xfId="0" applyNumberFormat="1" applyFont="1" applyFill="1" applyBorder="1" applyAlignment="1">
      <alignment horizontal="right"/>
    </xf>
    <xf numFmtId="170" fontId="4" fillId="2" borderId="5" xfId="0" applyNumberFormat="1" applyFont="1" applyFill="1" applyBorder="1" applyAlignment="1">
      <alignment horizontal="right"/>
    </xf>
    <xf numFmtId="170" fontId="4" fillId="2" borderId="3" xfId="0" applyNumberFormat="1" applyFont="1" applyFill="1" applyBorder="1" applyAlignment="1">
      <alignment horizontal="right"/>
    </xf>
    <xf numFmtId="171" fontId="9" fillId="2" borderId="6" xfId="0" applyNumberFormat="1" applyFont="1" applyFill="1" applyBorder="1"/>
    <xf numFmtId="181" fontId="4" fillId="2" borderId="0" xfId="0" applyNumberFormat="1" applyFont="1" applyFill="1"/>
    <xf numFmtId="171" fontId="9" fillId="2" borderId="0" xfId="0" applyNumberFormat="1" applyFont="1" applyFill="1"/>
    <xf numFmtId="179" fontId="4" fillId="2" borderId="15" xfId="0" applyFont="1" applyFill="1" applyBorder="1"/>
    <xf numFmtId="179" fontId="3" fillId="3" borderId="0" xfId="0" applyFont="1" applyFill="1" applyAlignment="1">
      <alignment horizontal="left"/>
    </xf>
    <xf numFmtId="179" fontId="3" fillId="3" borderId="4" xfId="0" applyFont="1" applyFill="1" applyBorder="1" applyAlignment="1">
      <alignment horizontal="left"/>
    </xf>
    <xf numFmtId="179" fontId="4" fillId="3" borderId="0" xfId="0" applyFont="1" applyFill="1"/>
    <xf numFmtId="167" fontId="4" fillId="2" borderId="10" xfId="0" applyNumberFormat="1" applyFont="1" applyFill="1" applyBorder="1" applyAlignment="1">
      <alignment horizontal="center"/>
    </xf>
    <xf numFmtId="167" fontId="4" fillId="2" borderId="13" xfId="0" applyNumberFormat="1" applyFont="1" applyFill="1" applyBorder="1" applyAlignment="1">
      <alignment horizontal="center"/>
    </xf>
    <xf numFmtId="1" fontId="4" fillId="3" borderId="0" xfId="0" applyNumberFormat="1" applyFont="1" applyFill="1"/>
    <xf numFmtId="179" fontId="4" fillId="2" borderId="1" xfId="0" applyFont="1" applyFill="1" applyBorder="1" applyAlignment="1">
      <alignment horizontal="right" vertical="center"/>
    </xf>
    <xf numFmtId="167" fontId="2" fillId="3" borderId="0" xfId="0" applyNumberFormat="1" applyFont="1" applyFill="1"/>
    <xf numFmtId="1" fontId="4" fillId="3" borderId="4" xfId="0" applyNumberFormat="1" applyFont="1" applyFill="1" applyBorder="1"/>
    <xf numFmtId="179" fontId="0" fillId="2" borderId="8" xfId="0" applyFill="1" applyBorder="1"/>
    <xf numFmtId="179" fontId="0" fillId="2" borderId="9" xfId="0" applyFill="1" applyBorder="1"/>
    <xf numFmtId="1" fontId="12" fillId="2" borderId="11" xfId="0" applyNumberFormat="1" applyFont="1" applyFill="1" applyBorder="1" applyAlignment="1">
      <alignment horizontal="centerContinuous" vertical="center"/>
    </xf>
    <xf numFmtId="1" fontId="12" fillId="2" borderId="12" xfId="0" applyNumberFormat="1" applyFont="1" applyFill="1" applyBorder="1" applyAlignment="1">
      <alignment horizontal="centerContinuous" vertical="center"/>
    </xf>
    <xf numFmtId="1" fontId="12" fillId="2" borderId="8" xfId="0" applyNumberFormat="1" applyFont="1" applyFill="1" applyBorder="1" applyAlignment="1">
      <alignment horizontal="centerContinuous" vertical="center"/>
    </xf>
    <xf numFmtId="1" fontId="12" fillId="2" borderId="2" xfId="0" applyNumberFormat="1" applyFont="1" applyFill="1" applyBorder="1" applyAlignment="1">
      <alignment horizontal="center" vertical="center"/>
    </xf>
    <xf numFmtId="183" fontId="12" fillId="0" borderId="3" xfId="0" applyNumberFormat="1" applyFont="1" applyBorder="1" applyAlignment="1">
      <alignment horizontal="center" vertical="center"/>
    </xf>
    <xf numFmtId="183" fontId="12" fillId="0" borderId="4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3" fontId="12" fillId="2" borderId="9" xfId="0" applyNumberFormat="1" applyFont="1" applyFill="1" applyBorder="1" applyAlignment="1">
      <alignment horizontal="center" vertical="center"/>
    </xf>
    <xf numFmtId="179" fontId="14" fillId="0" borderId="0" xfId="0" applyFont="1"/>
    <xf numFmtId="179" fontId="13" fillId="0" borderId="0" xfId="0" applyFont="1"/>
    <xf numFmtId="179" fontId="15" fillId="0" borderId="0" xfId="0" applyFont="1"/>
    <xf numFmtId="3" fontId="13" fillId="2" borderId="0" xfId="0" applyNumberFormat="1" applyFont="1" applyFill="1"/>
    <xf numFmtId="1" fontId="12" fillId="2" borderId="8" xfId="0" applyNumberFormat="1" applyFont="1" applyFill="1" applyBorder="1" applyAlignment="1">
      <alignment horizontal="center" vertical="center"/>
    </xf>
    <xf numFmtId="3" fontId="0" fillId="0" borderId="0" xfId="0" applyNumberFormat="1"/>
    <xf numFmtId="179" fontId="16" fillId="0" borderId="0" xfId="0" applyFont="1"/>
    <xf numFmtId="179" fontId="17" fillId="0" borderId="0" xfId="0" applyFont="1"/>
    <xf numFmtId="179" fontId="17" fillId="0" borderId="8" xfId="0" applyFont="1" applyBorder="1"/>
    <xf numFmtId="179" fontId="17" fillId="0" borderId="12" xfId="0" applyFont="1" applyBorder="1"/>
    <xf numFmtId="179" fontId="17" fillId="0" borderId="9" xfId="0" applyFont="1" applyBorder="1"/>
    <xf numFmtId="179" fontId="17" fillId="0" borderId="7" xfId="0" applyFont="1" applyBorder="1"/>
    <xf numFmtId="3" fontId="17" fillId="0" borderId="0" xfId="0" applyNumberFormat="1" applyFont="1"/>
    <xf numFmtId="168" fontId="17" fillId="0" borderId="7" xfId="0" applyNumberFormat="1" applyFont="1" applyBorder="1"/>
    <xf numFmtId="1" fontId="17" fillId="0" borderId="0" xfId="0" applyNumberFormat="1" applyFont="1"/>
    <xf numFmtId="179" fontId="20" fillId="0" borderId="0" xfId="0" applyFont="1"/>
    <xf numFmtId="179" fontId="21" fillId="0" borderId="0" xfId="0" applyFont="1"/>
    <xf numFmtId="171" fontId="21" fillId="0" borderId="0" xfId="0" applyNumberFormat="1" applyFont="1"/>
    <xf numFmtId="179" fontId="20" fillId="0" borderId="4" xfId="0" applyFont="1" applyBorder="1"/>
    <xf numFmtId="179" fontId="21" fillId="0" borderId="8" xfId="0" applyFont="1" applyBorder="1"/>
    <xf numFmtId="179" fontId="21" fillId="0" borderId="11" xfId="0" applyFont="1" applyBorder="1"/>
    <xf numFmtId="179" fontId="21" fillId="0" borderId="12" xfId="0" applyFont="1" applyBorder="1"/>
    <xf numFmtId="179" fontId="21" fillId="0" borderId="10" xfId="0" applyFont="1" applyBorder="1"/>
    <xf numFmtId="179" fontId="21" fillId="0" borderId="9" xfId="0" applyFont="1" applyBorder="1"/>
    <xf numFmtId="37" fontId="21" fillId="0" borderId="0" xfId="0" applyNumberFormat="1" applyFont="1"/>
    <xf numFmtId="37" fontId="21" fillId="0" borderId="7" xfId="0" applyNumberFormat="1" applyFont="1" applyBorder="1"/>
    <xf numFmtId="37" fontId="21" fillId="0" borderId="8" xfId="0" applyNumberFormat="1" applyFont="1" applyBorder="1"/>
    <xf numFmtId="37" fontId="21" fillId="0" borderId="9" xfId="0" applyNumberFormat="1" applyFont="1" applyBorder="1"/>
    <xf numFmtId="179" fontId="21" fillId="0" borderId="7" xfId="0" applyFont="1" applyBorder="1"/>
    <xf numFmtId="167" fontId="22" fillId="0" borderId="8" xfId="0" applyNumberFormat="1" applyFont="1" applyBorder="1"/>
    <xf numFmtId="171" fontId="22" fillId="0" borderId="8" xfId="0" applyNumberFormat="1" applyFont="1" applyBorder="1"/>
    <xf numFmtId="179" fontId="22" fillId="0" borderId="7" xfId="0" applyFont="1" applyBorder="1"/>
    <xf numFmtId="171" fontId="22" fillId="0" borderId="0" xfId="0" applyNumberFormat="1" applyFont="1"/>
    <xf numFmtId="171" fontId="22" fillId="0" borderId="7" xfId="0" applyNumberFormat="1" applyFont="1" applyBorder="1"/>
    <xf numFmtId="171" fontId="22" fillId="0" borderId="6" xfId="0" applyNumberFormat="1" applyFont="1" applyBorder="1"/>
    <xf numFmtId="171" fontId="20" fillId="0" borderId="7" xfId="0" applyNumberFormat="1" applyFont="1" applyBorder="1"/>
    <xf numFmtId="168" fontId="22" fillId="0" borderId="7" xfId="0" applyNumberFormat="1" applyFont="1" applyBorder="1"/>
    <xf numFmtId="3" fontId="22" fillId="0" borderId="0" xfId="0" applyNumberFormat="1" applyFont="1"/>
    <xf numFmtId="171" fontId="21" fillId="0" borderId="7" xfId="0" applyNumberFormat="1" applyFont="1" applyBorder="1"/>
    <xf numFmtId="168" fontId="21" fillId="0" borderId="7" xfId="0" applyNumberFormat="1" applyFont="1" applyBorder="1"/>
    <xf numFmtId="1" fontId="21" fillId="0" borderId="7" xfId="0" applyNumberFormat="1" applyFont="1" applyBorder="1"/>
    <xf numFmtId="3" fontId="21" fillId="0" borderId="0" xfId="0" applyNumberFormat="1" applyFont="1"/>
    <xf numFmtId="171" fontId="21" fillId="0" borderId="6" xfId="0" applyNumberFormat="1" applyFont="1" applyBorder="1"/>
    <xf numFmtId="171" fontId="21" fillId="0" borderId="4" xfId="0" applyNumberFormat="1" applyFont="1" applyBorder="1"/>
    <xf numFmtId="171" fontId="21" fillId="0" borderId="9" xfId="0" applyNumberFormat="1" applyFont="1" applyBorder="1"/>
    <xf numFmtId="171" fontId="21" fillId="0" borderId="3" xfId="0" applyNumberFormat="1" applyFont="1" applyBorder="1"/>
    <xf numFmtId="168" fontId="21" fillId="0" borderId="9" xfId="0" applyNumberFormat="1" applyFont="1" applyBorder="1"/>
    <xf numFmtId="37" fontId="20" fillId="0" borderId="0" xfId="0" applyNumberFormat="1" applyFont="1"/>
    <xf numFmtId="37" fontId="20" fillId="0" borderId="4" xfId="0" applyNumberFormat="1" applyFont="1" applyBorder="1"/>
    <xf numFmtId="179" fontId="21" fillId="0" borderId="4" xfId="0" applyFont="1" applyBorder="1"/>
    <xf numFmtId="3" fontId="21" fillId="0" borderId="12" xfId="0" applyNumberFormat="1" applyFont="1" applyBorder="1"/>
    <xf numFmtId="3" fontId="21" fillId="0" borderId="7" xfId="0" applyNumberFormat="1" applyFont="1" applyBorder="1"/>
    <xf numFmtId="3" fontId="21" fillId="0" borderId="6" xfId="0" applyNumberFormat="1" applyFont="1" applyBorder="1"/>
    <xf numFmtId="3" fontId="21" fillId="0" borderId="1" xfId="0" applyNumberFormat="1" applyFont="1" applyBorder="1"/>
    <xf numFmtId="3" fontId="21" fillId="0" borderId="11" xfId="0" applyNumberFormat="1" applyFont="1" applyBorder="1"/>
    <xf numFmtId="3" fontId="21" fillId="0" borderId="8" xfId="0" applyNumberFormat="1" applyFont="1" applyBorder="1"/>
    <xf numFmtId="3" fontId="21" fillId="0" borderId="10" xfId="0" applyNumberFormat="1" applyFont="1" applyBorder="1"/>
    <xf numFmtId="167" fontId="22" fillId="0" borderId="7" xfId="0" applyNumberFormat="1" applyFont="1" applyBorder="1"/>
    <xf numFmtId="171" fontId="22" fillId="0" borderId="1" xfId="0" applyNumberFormat="1" applyFont="1" applyBorder="1"/>
    <xf numFmtId="1" fontId="21" fillId="0" borderId="0" xfId="0" applyNumberFormat="1" applyFont="1"/>
    <xf numFmtId="1" fontId="21" fillId="0" borderId="16" xfId="0" applyNumberFormat="1" applyFont="1" applyBorder="1"/>
    <xf numFmtId="168" fontId="21" fillId="0" borderId="1" xfId="0" applyNumberFormat="1" applyFont="1" applyBorder="1"/>
    <xf numFmtId="171" fontId="21" fillId="0" borderId="5" xfId="0" applyNumberFormat="1" applyFont="1" applyBorder="1"/>
    <xf numFmtId="171" fontId="22" fillId="0" borderId="9" xfId="0" applyNumberFormat="1" applyFont="1" applyBorder="1"/>
    <xf numFmtId="167" fontId="21" fillId="0" borderId="5" xfId="0" applyNumberFormat="1" applyFont="1" applyBorder="1"/>
    <xf numFmtId="170" fontId="21" fillId="0" borderId="0" xfId="0" applyNumberFormat="1" applyFont="1"/>
    <xf numFmtId="170" fontId="21" fillId="0" borderId="8" xfId="0" applyNumberFormat="1" applyFont="1" applyBorder="1"/>
    <xf numFmtId="170" fontId="21" fillId="0" borderId="9" xfId="0" applyNumberFormat="1" applyFont="1" applyBorder="1"/>
    <xf numFmtId="1" fontId="21" fillId="0" borderId="4" xfId="0" applyNumberFormat="1" applyFont="1" applyBorder="1"/>
    <xf numFmtId="170" fontId="22" fillId="0" borderId="7" xfId="0" applyNumberFormat="1" applyFont="1" applyBorder="1"/>
    <xf numFmtId="170" fontId="22" fillId="0" borderId="12" xfId="0" applyNumberFormat="1" applyFont="1" applyBorder="1"/>
    <xf numFmtId="170" fontId="22" fillId="0" borderId="11" xfId="0" applyNumberFormat="1" applyFont="1" applyBorder="1"/>
    <xf numFmtId="170" fontId="22" fillId="0" borderId="10" xfId="0" applyNumberFormat="1" applyFont="1" applyBorder="1"/>
    <xf numFmtId="170" fontId="22" fillId="0" borderId="8" xfId="0" applyNumberFormat="1" applyFont="1" applyBorder="1"/>
    <xf numFmtId="170" fontId="21" fillId="0" borderId="7" xfId="0" applyNumberFormat="1" applyFont="1" applyBorder="1"/>
    <xf numFmtId="170" fontId="21" fillId="0" borderId="6" xfId="0" applyNumberFormat="1" applyFont="1" applyBorder="1"/>
    <xf numFmtId="170" fontId="21" fillId="0" borderId="16" xfId="0" applyNumberFormat="1" applyFont="1" applyBorder="1"/>
    <xf numFmtId="170" fontId="21" fillId="0" borderId="5" xfId="0" applyNumberFormat="1" applyFont="1" applyBorder="1"/>
    <xf numFmtId="170" fontId="21" fillId="0" borderId="3" xfId="0" applyNumberFormat="1" applyFont="1" applyBorder="1"/>
    <xf numFmtId="170" fontId="21" fillId="0" borderId="4" xfId="0" applyNumberFormat="1" applyFont="1" applyBorder="1"/>
    <xf numFmtId="168" fontId="21" fillId="0" borderId="0" xfId="0" applyNumberFormat="1" applyFont="1"/>
    <xf numFmtId="168" fontId="21" fillId="0" borderId="6" xfId="0" applyNumberFormat="1" applyFont="1" applyBorder="1"/>
    <xf numFmtId="167" fontId="21" fillId="0" borderId="0" xfId="0" applyNumberFormat="1" applyFont="1"/>
    <xf numFmtId="1" fontId="21" fillId="0" borderId="10" xfId="0" applyNumberFormat="1" applyFont="1" applyBorder="1"/>
    <xf numFmtId="1" fontId="21" fillId="0" borderId="12" xfId="0" applyNumberFormat="1" applyFont="1" applyBorder="1"/>
    <xf numFmtId="1" fontId="21" fillId="0" borderId="8" xfId="0" applyNumberFormat="1" applyFont="1" applyBorder="1"/>
    <xf numFmtId="1" fontId="21" fillId="0" borderId="9" xfId="0" applyNumberFormat="1" applyFont="1" applyBorder="1"/>
    <xf numFmtId="1" fontId="21" fillId="0" borderId="5" xfId="0" applyNumberFormat="1" applyFont="1" applyBorder="1"/>
    <xf numFmtId="168" fontId="21" fillId="0" borderId="12" xfId="0" applyNumberFormat="1" applyFont="1" applyBorder="1"/>
    <xf numFmtId="3" fontId="21" fillId="0" borderId="5" xfId="0" applyNumberFormat="1" applyFont="1" applyBorder="1"/>
    <xf numFmtId="174" fontId="22" fillId="0" borderId="7" xfId="0" applyNumberFormat="1" applyFont="1" applyBorder="1"/>
    <xf numFmtId="171" fontId="21" fillId="0" borderId="16" xfId="0" applyNumberFormat="1" applyFont="1" applyBorder="1"/>
    <xf numFmtId="174" fontId="21" fillId="0" borderId="7" xfId="0" applyNumberFormat="1" applyFont="1" applyBorder="1"/>
    <xf numFmtId="168" fontId="21" fillId="0" borderId="5" xfId="0" applyNumberFormat="1" applyFont="1" applyBorder="1"/>
    <xf numFmtId="174" fontId="21" fillId="0" borderId="9" xfId="0" applyNumberFormat="1" applyFont="1" applyBorder="1"/>
    <xf numFmtId="174" fontId="21" fillId="0" borderId="0" xfId="0" applyNumberFormat="1" applyFont="1"/>
    <xf numFmtId="168" fontId="22" fillId="0" borderId="0" xfId="0" applyNumberFormat="1" applyFont="1"/>
    <xf numFmtId="174" fontId="22" fillId="0" borderId="0" xfId="0" applyNumberFormat="1" applyFont="1"/>
    <xf numFmtId="176" fontId="21" fillId="0" borderId="0" xfId="0" applyNumberFormat="1" applyFont="1"/>
    <xf numFmtId="10" fontId="24" fillId="0" borderId="0" xfId="0" applyNumberFormat="1" applyFont="1"/>
    <xf numFmtId="179" fontId="20" fillId="0" borderId="8" xfId="0" applyFont="1" applyBorder="1"/>
    <xf numFmtId="179" fontId="20" fillId="0" borderId="9" xfId="0" applyFont="1" applyBorder="1"/>
    <xf numFmtId="179" fontId="21" fillId="0" borderId="6" xfId="0" applyFont="1" applyBorder="1"/>
    <xf numFmtId="179" fontId="21" fillId="0" borderId="1" xfId="0" applyFont="1" applyBorder="1"/>
    <xf numFmtId="178" fontId="21" fillId="0" borderId="0" xfId="0" applyNumberFormat="1" applyFont="1"/>
    <xf numFmtId="179" fontId="22" fillId="0" borderId="0" xfId="0" applyFont="1"/>
    <xf numFmtId="174" fontId="21" fillId="0" borderId="4" xfId="0" applyNumberFormat="1" applyFont="1" applyBorder="1"/>
    <xf numFmtId="179" fontId="20" fillId="0" borderId="7" xfId="0" applyFont="1" applyBorder="1"/>
    <xf numFmtId="174" fontId="21" fillId="0" borderId="5" xfId="0" applyNumberFormat="1" applyFont="1" applyBorder="1"/>
    <xf numFmtId="179" fontId="21" fillId="0" borderId="16" xfId="0" applyFont="1" applyBorder="1"/>
    <xf numFmtId="2" fontId="22" fillId="0" borderId="8" xfId="0" applyNumberFormat="1" applyFont="1" applyBorder="1"/>
    <xf numFmtId="4" fontId="21" fillId="0" borderId="0" xfId="0" applyNumberFormat="1" applyFont="1"/>
    <xf numFmtId="2" fontId="21" fillId="0" borderId="7" xfId="0" applyNumberFormat="1" applyFont="1" applyBorder="1"/>
    <xf numFmtId="4" fontId="21" fillId="0" borderId="4" xfId="0" applyNumberFormat="1" applyFont="1" applyBorder="1"/>
    <xf numFmtId="2" fontId="21" fillId="0" borderId="9" xfId="0" applyNumberFormat="1" applyFont="1" applyBorder="1"/>
    <xf numFmtId="2" fontId="21" fillId="0" borderId="0" xfId="0" applyNumberFormat="1" applyFont="1"/>
    <xf numFmtId="2" fontId="22" fillId="0" borderId="0" xfId="0" applyNumberFormat="1" applyFont="1"/>
    <xf numFmtId="2" fontId="21" fillId="0" borderId="4" xfId="0" applyNumberFormat="1" applyFont="1" applyBorder="1"/>
    <xf numFmtId="2" fontId="21" fillId="0" borderId="5" xfId="0" applyNumberFormat="1" applyFont="1" applyBorder="1"/>
    <xf numFmtId="3" fontId="20" fillId="0" borderId="0" xfId="0" applyNumberFormat="1" applyFont="1"/>
    <xf numFmtId="3" fontId="21" fillId="0" borderId="4" xfId="0" applyNumberFormat="1" applyFont="1" applyBorder="1"/>
    <xf numFmtId="1" fontId="21" fillId="0" borderId="11" xfId="0" applyNumberFormat="1" applyFont="1" applyBorder="1"/>
    <xf numFmtId="3" fontId="21" fillId="0" borderId="9" xfId="0" applyNumberFormat="1" applyFont="1" applyBorder="1"/>
    <xf numFmtId="3" fontId="21" fillId="0" borderId="3" xfId="0" applyNumberFormat="1" applyFont="1" applyBorder="1"/>
    <xf numFmtId="3" fontId="22" fillId="0" borderId="7" xfId="0" applyNumberFormat="1" applyFont="1" applyBorder="1"/>
    <xf numFmtId="3" fontId="20" fillId="0" borderId="7" xfId="0" applyNumberFormat="1" applyFont="1" applyBorder="1"/>
    <xf numFmtId="171" fontId="20" fillId="0" borderId="0" xfId="0" applyNumberFormat="1" applyFont="1"/>
    <xf numFmtId="171" fontId="20" fillId="0" borderId="6" xfId="0" applyNumberFormat="1" applyFont="1" applyBorder="1"/>
    <xf numFmtId="171" fontId="20" fillId="0" borderId="16" xfId="0" applyNumberFormat="1" applyFont="1" applyBorder="1"/>
    <xf numFmtId="3" fontId="20" fillId="0" borderId="5" xfId="0" applyNumberFormat="1" applyFont="1" applyBorder="1"/>
    <xf numFmtId="171" fontId="20" fillId="0" borderId="9" xfId="0" applyNumberFormat="1" applyFont="1" applyBorder="1"/>
    <xf numFmtId="3" fontId="21" fillId="0" borderId="16" xfId="0" applyNumberFormat="1" applyFont="1" applyBorder="1"/>
    <xf numFmtId="174" fontId="22" fillId="0" borderId="6" xfId="0" applyNumberFormat="1" applyFont="1" applyBorder="1"/>
    <xf numFmtId="174" fontId="22" fillId="0" borderId="16" xfId="0" applyNumberFormat="1" applyFont="1" applyBorder="1"/>
    <xf numFmtId="168" fontId="22" fillId="0" borderId="16" xfId="0" applyNumberFormat="1" applyFont="1" applyBorder="1"/>
    <xf numFmtId="174" fontId="21" fillId="0" borderId="6" xfId="0" applyNumberFormat="1" applyFont="1" applyBorder="1"/>
    <xf numFmtId="174" fontId="21" fillId="0" borderId="16" xfId="0" applyNumberFormat="1" applyFont="1" applyBorder="1"/>
    <xf numFmtId="168" fontId="21" fillId="0" borderId="16" xfId="0" applyNumberFormat="1" applyFont="1" applyBorder="1"/>
    <xf numFmtId="3" fontId="22" fillId="0" borderId="9" xfId="0" applyNumberFormat="1" applyFont="1" applyBorder="1"/>
    <xf numFmtId="4" fontId="20" fillId="0" borderId="0" xfId="0" applyNumberFormat="1" applyFont="1"/>
    <xf numFmtId="175" fontId="21" fillId="0" borderId="0" xfId="0" applyNumberFormat="1" applyFont="1"/>
    <xf numFmtId="175" fontId="21" fillId="0" borderId="4" xfId="0" applyNumberFormat="1" applyFont="1" applyBorder="1"/>
    <xf numFmtId="3" fontId="20" fillId="0" borderId="4" xfId="0" applyNumberFormat="1" applyFont="1" applyBorder="1"/>
    <xf numFmtId="182" fontId="21" fillId="0" borderId="0" xfId="0" applyNumberFormat="1" applyFont="1"/>
    <xf numFmtId="179" fontId="21" fillId="0" borderId="3" xfId="0" applyFont="1" applyBorder="1"/>
    <xf numFmtId="179" fontId="21" fillId="0" borderId="5" xfId="0" applyFont="1" applyBorder="1"/>
    <xf numFmtId="168" fontId="20" fillId="0" borderId="16" xfId="0" applyNumberFormat="1" applyFont="1" applyBorder="1"/>
    <xf numFmtId="174" fontId="20" fillId="0" borderId="7" xfId="0" applyNumberFormat="1" applyFont="1" applyBorder="1"/>
    <xf numFmtId="167" fontId="22" fillId="0" borderId="10" xfId="0" applyNumberFormat="1" applyFont="1" applyBorder="1"/>
    <xf numFmtId="172" fontId="22" fillId="0" borderId="16" xfId="0" applyNumberFormat="1" applyFont="1" applyBorder="1"/>
    <xf numFmtId="171" fontId="21" fillId="0" borderId="0" xfId="0" applyNumberFormat="1" applyFont="1" applyProtection="1">
      <protection locked="0"/>
    </xf>
    <xf numFmtId="171" fontId="21" fillId="0" borderId="16" xfId="0" applyNumberFormat="1" applyFont="1" applyBorder="1" applyProtection="1">
      <protection locked="0"/>
    </xf>
    <xf numFmtId="171" fontId="21" fillId="0" borderId="6" xfId="0" applyNumberFormat="1" applyFont="1" applyBorder="1" applyProtection="1">
      <protection locked="0"/>
    </xf>
    <xf numFmtId="171" fontId="21" fillId="0" borderId="7" xfId="0" applyNumberFormat="1" applyFont="1" applyBorder="1" applyProtection="1">
      <protection locked="0"/>
    </xf>
    <xf numFmtId="172" fontId="21" fillId="0" borderId="16" xfId="0" applyNumberFormat="1" applyFont="1" applyBorder="1"/>
    <xf numFmtId="172" fontId="21" fillId="0" borderId="5" xfId="0" applyNumberFormat="1" applyFont="1" applyBorder="1"/>
    <xf numFmtId="1" fontId="20" fillId="0" borderId="16" xfId="0" applyNumberFormat="1" applyFont="1" applyBorder="1"/>
    <xf numFmtId="3" fontId="20" fillId="0" borderId="6" xfId="0" applyNumberFormat="1" applyFont="1" applyBorder="1"/>
    <xf numFmtId="3" fontId="20" fillId="0" borderId="16" xfId="0" applyNumberFormat="1" applyFont="1" applyBorder="1"/>
    <xf numFmtId="1" fontId="20" fillId="0" borderId="7" xfId="0" applyNumberFormat="1" applyFont="1" applyBorder="1"/>
    <xf numFmtId="173" fontId="20" fillId="0" borderId="7" xfId="0" applyNumberFormat="1" applyFont="1" applyBorder="1"/>
    <xf numFmtId="173" fontId="21" fillId="0" borderId="7" xfId="0" applyNumberFormat="1" applyFont="1" applyBorder="1"/>
    <xf numFmtId="3" fontId="22" fillId="0" borderId="6" xfId="0" applyNumberFormat="1" applyFont="1" applyBorder="1"/>
    <xf numFmtId="3" fontId="22" fillId="0" borderId="16" xfId="0" applyNumberFormat="1" applyFont="1" applyBorder="1"/>
    <xf numFmtId="173" fontId="21" fillId="0" borderId="9" xfId="0" applyNumberFormat="1" applyFont="1" applyBorder="1"/>
    <xf numFmtId="168" fontId="21" fillId="0" borderId="4" xfId="0" applyNumberFormat="1" applyFont="1" applyBorder="1"/>
    <xf numFmtId="171" fontId="20" fillId="0" borderId="12" xfId="0" applyNumberFormat="1" applyFont="1" applyBorder="1"/>
    <xf numFmtId="171" fontId="20" fillId="0" borderId="10" xfId="0" applyNumberFormat="1" applyFont="1" applyBorder="1"/>
    <xf numFmtId="171" fontId="20" fillId="0" borderId="11" xfId="0" applyNumberFormat="1" applyFont="1" applyBorder="1"/>
    <xf numFmtId="171" fontId="20" fillId="0" borderId="8" xfId="0" applyNumberFormat="1" applyFont="1" applyBorder="1"/>
    <xf numFmtId="3" fontId="21" fillId="0" borderId="6" xfId="0" applyNumberFormat="1" applyFont="1" applyBorder="1" applyProtection="1">
      <protection locked="0"/>
    </xf>
    <xf numFmtId="3" fontId="21" fillId="0" borderId="0" xfId="0" applyNumberFormat="1" applyFont="1" applyProtection="1">
      <protection locked="0"/>
    </xf>
    <xf numFmtId="3" fontId="21" fillId="0" borderId="16" xfId="0" applyNumberFormat="1" applyFont="1" applyBorder="1" applyProtection="1">
      <protection locked="0"/>
    </xf>
    <xf numFmtId="3" fontId="20" fillId="0" borderId="3" xfId="0" applyNumberFormat="1" applyFont="1" applyBorder="1"/>
    <xf numFmtId="179" fontId="20" fillId="0" borderId="2" xfId="0" applyFont="1" applyBorder="1"/>
    <xf numFmtId="171" fontId="20" fillId="0" borderId="15" xfId="0" applyNumberFormat="1" applyFont="1" applyBorder="1"/>
    <xf numFmtId="171" fontId="20" fillId="0" borderId="14" xfId="0" applyNumberFormat="1" applyFont="1" applyBorder="1"/>
    <xf numFmtId="171" fontId="20" fillId="0" borderId="13" xfId="0" applyNumberFormat="1" applyFont="1" applyBorder="1"/>
    <xf numFmtId="171" fontId="20" fillId="0" borderId="2" xfId="0" applyNumberFormat="1" applyFont="1" applyBorder="1"/>
    <xf numFmtId="1" fontId="20" fillId="0" borderId="12" xfId="0" applyNumberFormat="1" applyFont="1" applyBorder="1"/>
    <xf numFmtId="1" fontId="20" fillId="0" borderId="10" xfId="0" applyNumberFormat="1" applyFont="1" applyBorder="1"/>
    <xf numFmtId="3" fontId="20" fillId="0" borderId="11" xfId="0" applyNumberFormat="1" applyFont="1" applyBorder="1"/>
    <xf numFmtId="1" fontId="20" fillId="0" borderId="8" xfId="0" applyNumberFormat="1" applyFont="1" applyBorder="1"/>
    <xf numFmtId="172" fontId="20" fillId="0" borderId="13" xfId="0" applyNumberFormat="1" applyFont="1" applyBorder="1"/>
    <xf numFmtId="174" fontId="22" fillId="0" borderId="12" xfId="0" applyNumberFormat="1" applyFont="1" applyBorder="1"/>
    <xf numFmtId="174" fontId="22" fillId="0" borderId="10" xfId="0" applyNumberFormat="1" applyFont="1" applyBorder="1"/>
    <xf numFmtId="1" fontId="22" fillId="0" borderId="0" xfId="0" applyNumberFormat="1" applyFont="1"/>
    <xf numFmtId="1" fontId="22" fillId="0" borderId="7" xfId="0" applyNumberFormat="1" applyFont="1" applyBorder="1"/>
    <xf numFmtId="174" fontId="20" fillId="0" borderId="6" xfId="0" applyNumberFormat="1" applyFont="1" applyBorder="1"/>
    <xf numFmtId="174" fontId="20" fillId="0" borderId="0" xfId="0" applyNumberFormat="1" applyFont="1"/>
    <xf numFmtId="174" fontId="20" fillId="0" borderId="16" xfId="0" applyNumberFormat="1" applyFont="1" applyBorder="1"/>
    <xf numFmtId="172" fontId="20" fillId="0" borderId="16" xfId="0" applyNumberFormat="1" applyFont="1" applyBorder="1"/>
    <xf numFmtId="0" fontId="20" fillId="0" borderId="7" xfId="0" applyNumberFormat="1" applyFont="1" applyBorder="1"/>
    <xf numFmtId="0" fontId="21" fillId="0" borderId="7" xfId="0" applyNumberFormat="1" applyFont="1" applyBorder="1"/>
    <xf numFmtId="1" fontId="22" fillId="0" borderId="16" xfId="0" applyNumberFormat="1" applyFont="1" applyBorder="1"/>
    <xf numFmtId="174" fontId="21" fillId="0" borderId="3" xfId="0" applyNumberFormat="1" applyFont="1" applyBorder="1"/>
    <xf numFmtId="172" fontId="21" fillId="0" borderId="0" xfId="0" applyNumberFormat="1" applyFont="1"/>
    <xf numFmtId="172" fontId="21" fillId="0" borderId="9" xfId="0" applyNumberFormat="1" applyFont="1" applyBorder="1"/>
    <xf numFmtId="172" fontId="21" fillId="0" borderId="4" xfId="0" applyNumberFormat="1" applyFont="1" applyBorder="1"/>
    <xf numFmtId="173" fontId="20" fillId="0" borderId="8" xfId="0" applyNumberFormat="1" applyFont="1" applyBorder="1"/>
    <xf numFmtId="174" fontId="20" fillId="0" borderId="8" xfId="0" applyNumberFormat="1" applyFont="1" applyBorder="1"/>
    <xf numFmtId="0" fontId="21" fillId="0" borderId="0" xfId="0" applyNumberFormat="1" applyFont="1"/>
    <xf numFmtId="0" fontId="20" fillId="0" borderId="2" xfId="0" applyNumberFormat="1" applyFont="1" applyBorder="1"/>
    <xf numFmtId="0" fontId="22" fillId="0" borderId="7" xfId="0" applyNumberFormat="1" applyFont="1" applyBorder="1"/>
    <xf numFmtId="174" fontId="22" fillId="0" borderId="8" xfId="0" applyNumberFormat="1" applyFont="1" applyBorder="1"/>
    <xf numFmtId="172" fontId="22" fillId="0" borderId="8" xfId="0" applyNumberFormat="1" applyFont="1" applyBorder="1"/>
    <xf numFmtId="172" fontId="21" fillId="0" borderId="7" xfId="0" applyNumberFormat="1" applyFont="1" applyBorder="1"/>
    <xf numFmtId="172" fontId="20" fillId="0" borderId="7" xfId="0" applyNumberFormat="1" applyFont="1" applyBorder="1"/>
    <xf numFmtId="172" fontId="22" fillId="0" borderId="7" xfId="0" applyNumberFormat="1" applyFont="1" applyBorder="1"/>
    <xf numFmtId="0" fontId="21" fillId="0" borderId="9" xfId="0" applyNumberFormat="1" applyFont="1" applyBorder="1"/>
    <xf numFmtId="172" fontId="21" fillId="0" borderId="3" xfId="0" applyNumberFormat="1" applyFont="1" applyBorder="1"/>
    <xf numFmtId="167" fontId="21" fillId="0" borderId="2" xfId="0" applyNumberFormat="1" applyFont="1" applyBorder="1"/>
    <xf numFmtId="3" fontId="20" fillId="0" borderId="1" xfId="0" applyNumberFormat="1" applyFont="1" applyBorder="1"/>
    <xf numFmtId="3" fontId="22" fillId="0" borderId="1" xfId="0" applyNumberFormat="1" applyFont="1" applyBorder="1"/>
    <xf numFmtId="39" fontId="20" fillId="0" borderId="0" xfId="0" applyNumberFormat="1" applyFont="1"/>
    <xf numFmtId="39" fontId="21" fillId="0" borderId="0" xfId="0" applyNumberFormat="1" applyFont="1"/>
    <xf numFmtId="49" fontId="21" fillId="0" borderId="3" xfId="0" applyNumberFormat="1" applyFont="1" applyBorder="1"/>
    <xf numFmtId="49" fontId="21" fillId="0" borderId="4" xfId="0" applyNumberFormat="1" applyFont="1" applyBorder="1"/>
    <xf numFmtId="49" fontId="21" fillId="0" borderId="5" xfId="0" applyNumberFormat="1" applyFont="1" applyBorder="1"/>
    <xf numFmtId="49" fontId="21" fillId="0" borderId="9" xfId="0" applyNumberFormat="1" applyFont="1" applyBorder="1"/>
    <xf numFmtId="49" fontId="21" fillId="0" borderId="0" xfId="0" applyNumberFormat="1" applyFont="1"/>
    <xf numFmtId="170" fontId="21" fillId="0" borderId="1" xfId="0" applyNumberFormat="1" applyFont="1" applyBorder="1"/>
    <xf numFmtId="171" fontId="20" fillId="0" borderId="1" xfId="0" applyNumberFormat="1" applyFont="1" applyBorder="1"/>
    <xf numFmtId="39" fontId="21" fillId="0" borderId="3" xfId="0" applyNumberFormat="1" applyFont="1" applyBorder="1"/>
    <xf numFmtId="39" fontId="21" fillId="0" borderId="4" xfId="0" applyNumberFormat="1" applyFont="1" applyBorder="1"/>
    <xf numFmtId="39" fontId="21" fillId="0" borderId="5" xfId="0" applyNumberFormat="1" applyFont="1" applyBorder="1"/>
    <xf numFmtId="39" fontId="21" fillId="0" borderId="9" xfId="0" applyNumberFormat="1" applyFont="1" applyBorder="1"/>
    <xf numFmtId="168" fontId="22" fillId="0" borderId="6" xfId="0" applyNumberFormat="1" applyFont="1" applyBorder="1"/>
    <xf numFmtId="168" fontId="20" fillId="0" borderId="6" xfId="0" applyNumberFormat="1" applyFont="1" applyBorder="1"/>
    <xf numFmtId="179" fontId="20" fillId="0" borderId="6" xfId="0" applyFont="1" applyBorder="1"/>
    <xf numFmtId="168" fontId="21" fillId="0" borderId="3" xfId="0" applyNumberFormat="1" applyFont="1" applyBorder="1"/>
    <xf numFmtId="3" fontId="17" fillId="0" borderId="8" xfId="0" applyNumberFormat="1" applyFont="1" applyBorder="1"/>
    <xf numFmtId="3" fontId="17" fillId="0" borderId="12" xfId="0" applyNumberFormat="1" applyFont="1" applyBorder="1"/>
    <xf numFmtId="3" fontId="17" fillId="0" borderId="11" xfId="0" applyNumberFormat="1" applyFont="1" applyBorder="1"/>
    <xf numFmtId="3" fontId="17" fillId="0" borderId="10" xfId="0" applyNumberFormat="1" applyFont="1" applyBorder="1"/>
    <xf numFmtId="3" fontId="17" fillId="0" borderId="7" xfId="0" applyNumberFormat="1" applyFont="1" applyBorder="1"/>
    <xf numFmtId="3" fontId="17" fillId="0" borderId="6" xfId="0" applyNumberFormat="1" applyFont="1" applyBorder="1"/>
    <xf numFmtId="3" fontId="19" fillId="0" borderId="0" xfId="0" applyNumberFormat="1" applyFont="1"/>
    <xf numFmtId="179" fontId="19" fillId="0" borderId="0" xfId="0" applyFont="1"/>
    <xf numFmtId="179" fontId="17" fillId="0" borderId="7" xfId="0" applyFont="1" applyBorder="1" applyAlignment="1">
      <alignment horizontal="left" indent="1"/>
    </xf>
    <xf numFmtId="180" fontId="17" fillId="0" borderId="0" xfId="0" applyNumberFormat="1" applyFont="1"/>
    <xf numFmtId="180" fontId="19" fillId="0" borderId="0" xfId="0" applyNumberFormat="1" applyFont="1"/>
    <xf numFmtId="4" fontId="17" fillId="0" borderId="0" xfId="0" applyNumberFormat="1" applyFont="1"/>
    <xf numFmtId="4" fontId="17" fillId="0" borderId="12" xfId="0" applyNumberFormat="1" applyFont="1" applyBorder="1"/>
    <xf numFmtId="174" fontId="17" fillId="0" borderId="7" xfId="0" applyNumberFormat="1" applyFont="1" applyBorder="1"/>
    <xf numFmtId="168" fontId="19" fillId="0" borderId="9" xfId="0" applyNumberFormat="1" applyFont="1" applyBorder="1"/>
    <xf numFmtId="174" fontId="19" fillId="0" borderId="9" xfId="0" applyNumberFormat="1" applyFont="1" applyBorder="1"/>
    <xf numFmtId="168" fontId="19" fillId="0" borderId="0" xfId="0" applyNumberFormat="1" applyFont="1"/>
    <xf numFmtId="174" fontId="19" fillId="0" borderId="0" xfId="0" applyNumberFormat="1" applyFont="1"/>
    <xf numFmtId="170" fontId="17" fillId="0" borderId="0" xfId="0" applyNumberFormat="1" applyFont="1"/>
    <xf numFmtId="174" fontId="17" fillId="0" borderId="0" xfId="0" applyNumberFormat="1" applyFont="1"/>
    <xf numFmtId="3" fontId="17" fillId="0" borderId="16" xfId="0" applyNumberFormat="1" applyFont="1" applyBorder="1"/>
    <xf numFmtId="179" fontId="19" fillId="0" borderId="3" xfId="0" applyFont="1" applyBorder="1"/>
    <xf numFmtId="168" fontId="16" fillId="0" borderId="0" xfId="0" applyNumberFormat="1" applyFont="1"/>
    <xf numFmtId="168" fontId="18" fillId="0" borderId="8" xfId="0" applyNumberFormat="1" applyFont="1" applyBorder="1"/>
    <xf numFmtId="174" fontId="18" fillId="0" borderId="8" xfId="0" applyNumberFormat="1" applyFont="1" applyBorder="1"/>
    <xf numFmtId="3" fontId="19" fillId="0" borderId="3" xfId="0" applyNumberFormat="1" applyFont="1" applyBorder="1"/>
    <xf numFmtId="3" fontId="19" fillId="0" borderId="4" xfId="0" applyNumberFormat="1" applyFont="1" applyBorder="1"/>
    <xf numFmtId="3" fontId="19" fillId="0" borderId="5" xfId="0" applyNumberFormat="1" applyFont="1" applyBorder="1"/>
    <xf numFmtId="168" fontId="16" fillId="0" borderId="4" xfId="0" applyNumberFormat="1" applyFont="1" applyBorder="1"/>
    <xf numFmtId="168" fontId="19" fillId="0" borderId="4" xfId="0" applyNumberFormat="1" applyFont="1" applyBorder="1"/>
    <xf numFmtId="174" fontId="19" fillId="0" borderId="4" xfId="0" applyNumberFormat="1" applyFont="1" applyBorder="1"/>
    <xf numFmtId="3" fontId="19" fillId="0" borderId="9" xfId="0" applyNumberFormat="1" applyFont="1" applyBorder="1"/>
    <xf numFmtId="179" fontId="17" fillId="0" borderId="11" xfId="0" applyFont="1" applyBorder="1" applyAlignment="1">
      <alignment horizontal="left" indent="1"/>
    </xf>
    <xf numFmtId="179" fontId="17" fillId="0" borderId="6" xfId="0" applyFont="1" applyBorder="1" applyAlignment="1">
      <alignment horizontal="left" indent="1"/>
    </xf>
    <xf numFmtId="3" fontId="22" fillId="0" borderId="12" xfId="0" applyNumberFormat="1" applyFont="1" applyBorder="1"/>
    <xf numFmtId="179" fontId="22" fillId="0" borderId="8" xfId="0" applyFont="1" applyBorder="1"/>
    <xf numFmtId="1" fontId="12" fillId="2" borderId="10" xfId="0" applyNumberFormat="1" applyFont="1" applyFill="1" applyBorder="1" applyAlignment="1">
      <alignment horizontal="centerContinuous" vertical="center"/>
    </xf>
    <xf numFmtId="183" fontId="12" fillId="0" borderId="5" xfId="0" applyNumberFormat="1" applyFont="1" applyBorder="1" applyAlignment="1">
      <alignment horizontal="center" vertical="center"/>
    </xf>
    <xf numFmtId="170" fontId="20" fillId="0" borderId="7" xfId="0" applyNumberFormat="1" applyFont="1" applyBorder="1"/>
    <xf numFmtId="3" fontId="26" fillId="0" borderId="7" xfId="0" applyNumberFormat="1" applyFont="1" applyBorder="1"/>
    <xf numFmtId="3" fontId="26" fillId="0" borderId="6" xfId="0" applyNumberFormat="1" applyFont="1" applyBorder="1"/>
    <xf numFmtId="3" fontId="26" fillId="0" borderId="0" xfId="0" applyNumberFormat="1" applyFont="1"/>
    <xf numFmtId="168" fontId="26" fillId="0" borderId="7" xfId="0" applyNumberFormat="1" applyFont="1" applyBorder="1"/>
    <xf numFmtId="171" fontId="26" fillId="0" borderId="7" xfId="0" applyNumberFormat="1" applyFont="1" applyBorder="1"/>
    <xf numFmtId="37" fontId="21" fillId="0" borderId="2" xfId="0" applyNumberFormat="1" applyFont="1" applyBorder="1" applyAlignment="1">
      <alignment horizontal="center"/>
    </xf>
    <xf numFmtId="169" fontId="21" fillId="0" borderId="8" xfId="0" applyNumberFormat="1" applyFont="1" applyBorder="1" applyAlignment="1">
      <alignment horizontal="center"/>
    </xf>
    <xf numFmtId="169" fontId="21" fillId="0" borderId="2" xfId="0" applyNumberFormat="1" applyFont="1" applyBorder="1" applyAlignment="1">
      <alignment horizontal="center"/>
    </xf>
    <xf numFmtId="179" fontId="20" fillId="0" borderId="15" xfId="0" applyFont="1" applyBorder="1" applyAlignment="1">
      <alignment horizontal="centerContinuous"/>
    </xf>
    <xf numFmtId="179" fontId="20" fillId="0" borderId="14" xfId="0" applyFont="1" applyBorder="1" applyAlignment="1">
      <alignment horizontal="centerContinuous"/>
    </xf>
    <xf numFmtId="179" fontId="20" fillId="0" borderId="13" xfId="0" applyFont="1" applyBorder="1" applyAlignment="1">
      <alignment horizontal="centerContinuous"/>
    </xf>
    <xf numFmtId="3" fontId="23" fillId="0" borderId="0" xfId="0" applyNumberFormat="1" applyFont="1"/>
    <xf numFmtId="3" fontId="22" fillId="0" borderId="3" xfId="0" applyNumberFormat="1" applyFont="1" applyBorder="1"/>
    <xf numFmtId="3" fontId="22" fillId="0" borderId="4" xfId="0" applyNumberFormat="1" applyFont="1" applyBorder="1"/>
    <xf numFmtId="170" fontId="26" fillId="0" borderId="7" xfId="0" applyNumberFormat="1" applyFont="1" applyBorder="1"/>
    <xf numFmtId="171" fontId="26" fillId="0" borderId="0" xfId="0" applyNumberFormat="1" applyFont="1"/>
    <xf numFmtId="4" fontId="0" fillId="0" borderId="0" xfId="0" applyNumberFormat="1"/>
    <xf numFmtId="4" fontId="20" fillId="0" borderId="4" xfId="0" applyNumberFormat="1" applyFont="1" applyBorder="1"/>
    <xf numFmtId="49" fontId="21" fillId="0" borderId="7" xfId="0" applyNumberFormat="1" applyFont="1" applyBorder="1" applyAlignment="1">
      <alignment horizontal="left" indent="1"/>
    </xf>
    <xf numFmtId="49" fontId="21" fillId="0" borderId="7" xfId="0" applyNumberFormat="1" applyFont="1" applyBorder="1" applyAlignment="1">
      <alignment horizontal="left" indent="3"/>
    </xf>
    <xf numFmtId="171" fontId="21" fillId="0" borderId="8" xfId="0" applyNumberFormat="1" applyFont="1" applyBorder="1"/>
    <xf numFmtId="179" fontId="20" fillId="0" borderId="7" xfId="0" applyFont="1" applyBorder="1" applyAlignment="1">
      <alignment horizontal="left" indent="1"/>
    </xf>
    <xf numFmtId="179" fontId="21" fillId="0" borderId="7" xfId="0" applyFont="1" applyBorder="1" applyAlignment="1">
      <alignment horizontal="left" indent="1"/>
    </xf>
    <xf numFmtId="179" fontId="21" fillId="0" borderId="7" xfId="0" applyFont="1" applyBorder="1" applyAlignment="1">
      <alignment horizontal="left" indent="2"/>
    </xf>
    <xf numFmtId="179" fontId="21" fillId="0" borderId="16" xfId="0" applyFont="1" applyBorder="1" applyAlignment="1">
      <alignment horizontal="left" indent="2"/>
    </xf>
    <xf numFmtId="3" fontId="20" fillId="0" borderId="12" xfId="0" applyNumberFormat="1" applyFont="1" applyBorder="1"/>
    <xf numFmtId="3" fontId="20" fillId="0" borderId="10" xfId="0" applyNumberFormat="1" applyFont="1" applyBorder="1"/>
    <xf numFmtId="3" fontId="20" fillId="0" borderId="8" xfId="0" applyNumberFormat="1" applyFont="1" applyBorder="1"/>
    <xf numFmtId="179" fontId="21" fillId="0" borderId="9" xfId="0" applyFont="1" applyBorder="1" applyAlignment="1">
      <alignment horizontal="left" indent="2"/>
    </xf>
    <xf numFmtId="167" fontId="21" fillId="0" borderId="8" xfId="0" applyNumberFormat="1" applyFont="1" applyBorder="1"/>
    <xf numFmtId="172" fontId="20" fillId="0" borderId="2" xfId="0" applyNumberFormat="1" applyFont="1" applyBorder="1"/>
    <xf numFmtId="172" fontId="20" fillId="0" borderId="8" xfId="0" applyNumberFormat="1" applyFont="1" applyBorder="1"/>
    <xf numFmtId="172" fontId="20" fillId="0" borderId="10" xfId="0" applyNumberFormat="1" applyFont="1" applyBorder="1"/>
    <xf numFmtId="1" fontId="20" fillId="0" borderId="0" xfId="0" applyNumberFormat="1" applyFont="1"/>
    <xf numFmtId="179" fontId="21" fillId="0" borderId="9" xfId="0" applyFont="1" applyBorder="1" applyAlignment="1">
      <alignment horizontal="left" indent="1"/>
    </xf>
    <xf numFmtId="179" fontId="21" fillId="0" borderId="12" xfId="0" applyFont="1" applyBorder="1" applyAlignment="1">
      <alignment horizontal="left" indent="1"/>
    </xf>
    <xf numFmtId="170" fontId="21" fillId="0" borderId="12" xfId="0" applyNumberFormat="1" applyFont="1" applyBorder="1"/>
    <xf numFmtId="173" fontId="21" fillId="0" borderId="0" xfId="0" applyNumberFormat="1" applyFont="1"/>
    <xf numFmtId="176" fontId="20" fillId="0" borderId="0" xfId="0" applyNumberFormat="1" applyFont="1"/>
    <xf numFmtId="176" fontId="22" fillId="0" borderId="0" xfId="0" applyNumberFormat="1" applyFont="1"/>
    <xf numFmtId="179" fontId="26" fillId="0" borderId="7" xfId="0" applyFont="1" applyBorder="1"/>
    <xf numFmtId="170" fontId="26" fillId="0" borderId="6" xfId="0" applyNumberFormat="1" applyFont="1" applyBorder="1"/>
    <xf numFmtId="176" fontId="26" fillId="0" borderId="0" xfId="0" applyNumberFormat="1" applyFont="1"/>
    <xf numFmtId="179" fontId="26" fillId="0" borderId="0" xfId="0" applyFont="1"/>
    <xf numFmtId="3" fontId="26" fillId="0" borderId="1" xfId="0" applyNumberFormat="1" applyFont="1" applyBorder="1"/>
    <xf numFmtId="3" fontId="15" fillId="0" borderId="0" xfId="0" applyNumberFormat="1" applyFont="1"/>
    <xf numFmtId="3" fontId="13" fillId="0" borderId="0" xfId="0" applyNumberFormat="1" applyFont="1"/>
    <xf numFmtId="3" fontId="14" fillId="0" borderId="0" xfId="0" applyNumberFormat="1" applyFont="1"/>
    <xf numFmtId="167" fontId="21" fillId="0" borderId="2" xfId="0" applyNumberFormat="1" applyFont="1" applyBorder="1" applyAlignment="1">
      <alignment horizontal="centerContinuous"/>
    </xf>
    <xf numFmtId="179" fontId="23" fillId="0" borderId="7" xfId="0" applyFont="1" applyBorder="1"/>
    <xf numFmtId="3" fontId="23" fillId="0" borderId="6" xfId="0" applyNumberFormat="1" applyFont="1" applyBorder="1"/>
    <xf numFmtId="3" fontId="23" fillId="0" borderId="16" xfId="0" applyNumberFormat="1" applyFont="1" applyBorder="1"/>
    <xf numFmtId="170" fontId="22" fillId="0" borderId="6" xfId="0" applyNumberFormat="1" applyFont="1" applyBorder="1"/>
    <xf numFmtId="179" fontId="20" fillId="0" borderId="7" xfId="0" applyFont="1" applyBorder="1" applyAlignment="1">
      <alignment horizontal="left"/>
    </xf>
    <xf numFmtId="179" fontId="21" fillId="0" borderId="7" xfId="0" applyFont="1" applyBorder="1" applyAlignment="1">
      <alignment horizontal="left"/>
    </xf>
    <xf numFmtId="176" fontId="21" fillId="0" borderId="10" xfId="0" applyNumberFormat="1" applyFont="1" applyBorder="1"/>
    <xf numFmtId="176" fontId="21" fillId="0" borderId="16" xfId="0" applyNumberFormat="1" applyFont="1" applyBorder="1"/>
    <xf numFmtId="176" fontId="21" fillId="0" borderId="5" xfId="0" applyNumberFormat="1" applyFont="1" applyBorder="1"/>
    <xf numFmtId="167" fontId="21" fillId="0" borderId="2" xfId="0" applyNumberFormat="1" applyFont="1" applyBorder="1" applyAlignment="1">
      <alignment horizontal="center"/>
    </xf>
    <xf numFmtId="170" fontId="21" fillId="0" borderId="10" xfId="0" applyNumberFormat="1" applyFont="1" applyBorder="1"/>
    <xf numFmtId="179" fontId="20" fillId="0" borderId="7" xfId="0" applyFont="1" applyBorder="1" applyAlignment="1">
      <alignment horizontal="left" indent="2"/>
    </xf>
    <xf numFmtId="179" fontId="21" fillId="0" borderId="7" xfId="0" applyFont="1" applyBorder="1" applyAlignment="1">
      <alignment horizontal="left" indent="3"/>
    </xf>
    <xf numFmtId="168" fontId="21" fillId="0" borderId="11" xfId="0" applyNumberFormat="1" applyFont="1" applyBorder="1"/>
    <xf numFmtId="168" fontId="21" fillId="0" borderId="10" xfId="0" applyNumberFormat="1" applyFont="1" applyBorder="1"/>
    <xf numFmtId="168" fontId="20" fillId="0" borderId="0" xfId="0" applyNumberFormat="1" applyFont="1"/>
    <xf numFmtId="3" fontId="21" fillId="0" borderId="7" xfId="0" applyNumberFormat="1" applyFont="1" applyBorder="1" applyAlignment="1">
      <alignment horizontal="left" indent="1"/>
    </xf>
    <xf numFmtId="179" fontId="25" fillId="0" borderId="8" xfId="0" applyFont="1" applyBorder="1"/>
    <xf numFmtId="179" fontId="0" fillId="0" borderId="0" xfId="0" applyAlignment="1">
      <alignment vertical="center"/>
    </xf>
    <xf numFmtId="179" fontId="13" fillId="0" borderId="0" xfId="0" applyFont="1" applyAlignment="1">
      <alignment vertical="center"/>
    </xf>
    <xf numFmtId="179" fontId="14" fillId="0" borderId="0" xfId="0" applyFont="1" applyAlignment="1">
      <alignment vertical="center"/>
    </xf>
    <xf numFmtId="3" fontId="16" fillId="0" borderId="0" xfId="0" applyNumberFormat="1" applyFont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0" borderId="4" xfId="0" applyNumberFormat="1" applyFont="1" applyBorder="1" applyAlignment="1">
      <alignment vertical="center"/>
    </xf>
    <xf numFmtId="3" fontId="17" fillId="0" borderId="7" xfId="0" applyNumberFormat="1" applyFont="1" applyBorder="1" applyAlignment="1">
      <alignment vertical="center"/>
    </xf>
    <xf numFmtId="3" fontId="17" fillId="0" borderId="11" xfId="0" applyNumberFormat="1" applyFont="1" applyBorder="1" applyAlignment="1">
      <alignment vertical="center"/>
    </xf>
    <xf numFmtId="3" fontId="17" fillId="0" borderId="10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vertical="center"/>
    </xf>
    <xf numFmtId="3" fontId="17" fillId="0" borderId="6" xfId="0" applyNumberFormat="1" applyFont="1" applyBorder="1" applyAlignment="1">
      <alignment vertical="center"/>
    </xf>
    <xf numFmtId="184" fontId="17" fillId="0" borderId="7" xfId="0" applyNumberFormat="1" applyFont="1" applyBorder="1" applyAlignment="1">
      <alignment vertical="center"/>
    </xf>
    <xf numFmtId="184" fontId="17" fillId="0" borderId="16" xfId="0" applyNumberFormat="1" applyFont="1" applyBorder="1" applyAlignment="1">
      <alignment vertical="center"/>
    </xf>
    <xf numFmtId="3" fontId="16" fillId="0" borderId="7" xfId="0" applyNumberFormat="1" applyFont="1" applyBorder="1" applyAlignment="1">
      <alignment horizontal="left" vertical="center" indent="1"/>
    </xf>
    <xf numFmtId="3" fontId="16" fillId="0" borderId="6" xfId="0" applyNumberFormat="1" applyFont="1" applyBorder="1" applyAlignment="1">
      <alignment vertical="center"/>
    </xf>
    <xf numFmtId="3" fontId="16" fillId="0" borderId="16" xfId="0" applyNumberFormat="1" applyFont="1" applyBorder="1" applyAlignment="1">
      <alignment vertical="center"/>
    </xf>
    <xf numFmtId="184" fontId="16" fillId="0" borderId="7" xfId="0" applyNumberFormat="1" applyFont="1" applyBorder="1" applyAlignment="1">
      <alignment vertical="center"/>
    </xf>
    <xf numFmtId="184" fontId="16" fillId="0" borderId="16" xfId="0" applyNumberFormat="1" applyFont="1" applyBorder="1" applyAlignment="1">
      <alignment vertical="center"/>
    </xf>
    <xf numFmtId="3" fontId="17" fillId="0" borderId="7" xfId="0" applyNumberFormat="1" applyFont="1" applyBorder="1" applyAlignment="1">
      <alignment horizontal="left" vertical="center" indent="2"/>
    </xf>
    <xf numFmtId="3" fontId="17" fillId="0" borderId="5" xfId="0" applyNumberFormat="1" applyFont="1" applyBorder="1" applyAlignment="1">
      <alignment vertical="center"/>
    </xf>
    <xf numFmtId="184" fontId="17" fillId="0" borderId="9" xfId="0" applyNumberFormat="1" applyFont="1" applyBorder="1" applyAlignment="1">
      <alignment vertical="center"/>
    </xf>
    <xf numFmtId="184" fontId="17" fillId="0" borderId="5" xfId="0" applyNumberFormat="1" applyFont="1" applyBorder="1" applyAlignment="1">
      <alignment vertical="center"/>
    </xf>
    <xf numFmtId="3" fontId="28" fillId="2" borderId="0" xfId="7" applyNumberFormat="1" applyFill="1"/>
    <xf numFmtId="3" fontId="12" fillId="2" borderId="0" xfId="0" applyNumberFormat="1" applyFont="1" applyFill="1" applyAlignment="1">
      <alignment vertical="center"/>
    </xf>
    <xf numFmtId="3" fontId="14" fillId="2" borderId="0" xfId="0" applyNumberFormat="1" applyFont="1" applyFill="1" applyAlignment="1">
      <alignment vertical="center"/>
    </xf>
    <xf numFmtId="170" fontId="12" fillId="2" borderId="0" xfId="0" applyNumberFormat="1" applyFont="1" applyFill="1" applyAlignment="1">
      <alignment vertical="center"/>
    </xf>
    <xf numFmtId="1" fontId="29" fillId="2" borderId="12" xfId="0" applyNumberFormat="1" applyFont="1" applyFill="1" applyBorder="1" applyAlignment="1">
      <alignment horizontal="left" vertical="center"/>
    </xf>
    <xf numFmtId="1" fontId="29" fillId="2" borderId="12" xfId="0" applyNumberFormat="1" applyFont="1" applyFill="1" applyBorder="1" applyAlignment="1">
      <alignment horizontal="centerContinuous" vertical="center"/>
    </xf>
    <xf numFmtId="1" fontId="30" fillId="4" borderId="8" xfId="0" applyNumberFormat="1" applyFont="1" applyFill="1" applyBorder="1" applyAlignment="1">
      <alignment horizontal="centerContinuous" vertical="center" wrapText="1"/>
    </xf>
    <xf numFmtId="3" fontId="30" fillId="2" borderId="15" xfId="0" applyNumberFormat="1" applyFont="1" applyFill="1" applyBorder="1" applyAlignment="1">
      <alignment horizontal="centerContinuous" vertical="center"/>
    </xf>
    <xf numFmtId="3" fontId="30" fillId="2" borderId="14" xfId="0" applyNumberFormat="1" applyFont="1" applyFill="1" applyBorder="1" applyAlignment="1">
      <alignment horizontal="centerContinuous" vertical="center"/>
    </xf>
    <xf numFmtId="1" fontId="30" fillId="2" borderId="8" xfId="0" applyNumberFormat="1" applyFont="1" applyFill="1" applyBorder="1" applyAlignment="1">
      <alignment horizontal="center" vertical="center"/>
    </xf>
    <xf numFmtId="179" fontId="31" fillId="0" borderId="11" xfId="0" applyFont="1" applyBorder="1" applyAlignment="1">
      <alignment horizontal="centerContinuous" vertical="center"/>
    </xf>
    <xf numFmtId="179" fontId="31" fillId="0" borderId="12" xfId="0" applyFont="1" applyBorder="1" applyAlignment="1">
      <alignment horizontal="centerContinuous" vertical="center"/>
    </xf>
    <xf numFmtId="179" fontId="31" fillId="0" borderId="10" xfId="0" applyFont="1" applyBorder="1" applyAlignment="1">
      <alignment horizontal="centerContinuous" vertical="center"/>
    </xf>
    <xf numFmtId="183" fontId="29" fillId="0" borderId="4" xfId="0" applyNumberFormat="1" applyFont="1" applyBorder="1" applyAlignment="1">
      <alignment horizontal="left" vertical="center"/>
    </xf>
    <xf numFmtId="183" fontId="29" fillId="0" borderId="4" xfId="0" applyNumberFormat="1" applyFont="1" applyBorder="1" applyAlignment="1">
      <alignment horizontal="centerContinuous" vertical="center"/>
    </xf>
    <xf numFmtId="1" fontId="30" fillId="4" borderId="9" xfId="0" applyNumberFormat="1" applyFont="1" applyFill="1" applyBorder="1" applyAlignment="1">
      <alignment horizontal="centerContinuous" vertical="center"/>
    </xf>
    <xf numFmtId="183" fontId="30" fillId="0" borderId="3" xfId="0" applyNumberFormat="1" applyFont="1" applyBorder="1" applyAlignment="1">
      <alignment horizontal="center" vertical="center"/>
    </xf>
    <xf numFmtId="3" fontId="30" fillId="2" borderId="3" xfId="0" applyNumberFormat="1" applyFont="1" applyFill="1" applyBorder="1" applyAlignment="1">
      <alignment horizontal="center" vertical="center"/>
    </xf>
    <xf numFmtId="3" fontId="30" fillId="2" borderId="9" xfId="0" applyNumberFormat="1" applyFont="1" applyFill="1" applyBorder="1" applyAlignment="1">
      <alignment horizontal="center" vertical="center"/>
    </xf>
    <xf numFmtId="179" fontId="31" fillId="0" borderId="3" xfId="0" applyFont="1" applyBorder="1" applyAlignment="1">
      <alignment horizontal="centerContinuous" vertical="center"/>
    </xf>
    <xf numFmtId="179" fontId="31" fillId="0" borderId="4" xfId="0" applyFont="1" applyBorder="1" applyAlignment="1">
      <alignment horizontal="centerContinuous" vertical="center"/>
    </xf>
    <xf numFmtId="179" fontId="31" fillId="0" borderId="5" xfId="0" applyFont="1" applyBorder="1" applyAlignment="1">
      <alignment horizontal="centerContinuous" vertical="center"/>
    </xf>
    <xf numFmtId="184" fontId="0" fillId="0" borderId="0" xfId="0" applyNumberFormat="1" applyAlignment="1">
      <alignment horizontal="left" vertical="center"/>
    </xf>
    <xf numFmtId="184" fontId="0" fillId="0" borderId="0" xfId="0" applyNumberFormat="1" applyAlignment="1">
      <alignment horizontal="right" vertical="center"/>
    </xf>
    <xf numFmtId="184" fontId="0" fillId="4" borderId="7" xfId="0" applyNumberFormat="1" applyFill="1" applyBorder="1" applyAlignment="1">
      <alignment horizontal="right" vertical="center"/>
    </xf>
    <xf numFmtId="185" fontId="0" fillId="5" borderId="11" xfId="0" applyNumberFormat="1" applyFill="1" applyBorder="1" applyAlignment="1">
      <alignment horizontal="right" vertical="center"/>
    </xf>
    <xf numFmtId="185" fontId="0" fillId="5" borderId="12" xfId="0" applyNumberFormat="1" applyFill="1" applyBorder="1" applyAlignment="1">
      <alignment horizontal="right" vertical="center"/>
    </xf>
    <xf numFmtId="184" fontId="0" fillId="5" borderId="11" xfId="0" applyNumberFormat="1" applyFill="1" applyBorder="1" applyAlignment="1">
      <alignment horizontal="right" vertical="center"/>
    </xf>
    <xf numFmtId="184" fontId="0" fillId="5" borderId="10" xfId="0" applyNumberFormat="1" applyFill="1" applyBorder="1" applyAlignment="1">
      <alignment horizontal="right" vertical="center"/>
    </xf>
    <xf numFmtId="184" fontId="0" fillId="5" borderId="6" xfId="0" applyNumberFormat="1" applyFill="1" applyBorder="1" applyAlignment="1">
      <alignment horizontal="right" vertical="center"/>
    </xf>
    <xf numFmtId="3" fontId="0" fillId="5" borderId="0" xfId="0" applyNumberFormat="1" applyFill="1" applyAlignment="1">
      <alignment horizontal="left" vertical="center"/>
    </xf>
    <xf numFmtId="3" fontId="0" fillId="5" borderId="16" xfId="0" applyNumberFormat="1" applyFill="1" applyBorder="1" applyAlignment="1">
      <alignment horizontal="center" vertical="center"/>
    </xf>
    <xf numFmtId="184" fontId="13" fillId="5" borderId="0" xfId="0" applyNumberFormat="1" applyFont="1" applyFill="1" applyAlignment="1">
      <alignment horizontal="left" vertical="center"/>
    </xf>
    <xf numFmtId="184" fontId="13" fillId="5" borderId="0" xfId="0" applyNumberFormat="1" applyFont="1" applyFill="1" applyAlignment="1">
      <alignment horizontal="right" vertical="center"/>
    </xf>
    <xf numFmtId="184" fontId="13" fillId="4" borderId="7" xfId="0" applyNumberFormat="1" applyFont="1" applyFill="1" applyBorder="1" applyAlignment="1">
      <alignment horizontal="right" vertical="center"/>
    </xf>
    <xf numFmtId="179" fontId="32" fillId="0" borderId="0" xfId="0" applyFont="1" applyAlignment="1">
      <alignment vertical="center"/>
    </xf>
    <xf numFmtId="185" fontId="13" fillId="5" borderId="6" xfId="0" applyNumberFormat="1" applyFont="1" applyFill="1" applyBorder="1" applyAlignment="1">
      <alignment horizontal="right" vertical="center"/>
    </xf>
    <xf numFmtId="185" fontId="13" fillId="5" borderId="0" xfId="0" applyNumberFormat="1" applyFont="1" applyFill="1" applyAlignment="1">
      <alignment horizontal="right" vertical="center"/>
    </xf>
    <xf numFmtId="184" fontId="13" fillId="5" borderId="6" xfId="0" applyNumberFormat="1" applyFont="1" applyFill="1" applyBorder="1" applyAlignment="1">
      <alignment horizontal="right" vertical="center"/>
    </xf>
    <xf numFmtId="184" fontId="13" fillId="5" borderId="16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Alignment="1">
      <alignment vertical="center"/>
    </xf>
    <xf numFmtId="184" fontId="33" fillId="5" borderId="6" xfId="0" applyNumberFormat="1" applyFont="1" applyFill="1" applyBorder="1" applyAlignment="1">
      <alignment horizontal="right" vertical="center"/>
    </xf>
    <xf numFmtId="3" fontId="33" fillId="5" borderId="0" xfId="0" applyNumberFormat="1" applyFont="1" applyFill="1" applyAlignment="1">
      <alignment horizontal="left" vertical="center"/>
    </xf>
    <xf numFmtId="3" fontId="33" fillId="5" borderId="16" xfId="0" applyNumberFormat="1" applyFont="1" applyFill="1" applyBorder="1" applyAlignment="1">
      <alignment horizontal="center" vertical="center"/>
    </xf>
    <xf numFmtId="179" fontId="33" fillId="0" borderId="0" xfId="0" applyFont="1" applyAlignment="1">
      <alignment vertical="center"/>
    </xf>
    <xf numFmtId="184" fontId="14" fillId="5" borderId="0" xfId="0" applyNumberFormat="1" applyFont="1" applyFill="1" applyAlignment="1">
      <alignment horizontal="left" vertical="center"/>
    </xf>
    <xf numFmtId="184" fontId="14" fillId="5" borderId="0" xfId="0" applyNumberFormat="1" applyFont="1" applyFill="1" applyAlignment="1">
      <alignment horizontal="right" vertical="center"/>
    </xf>
    <xf numFmtId="184" fontId="14" fillId="4" borderId="7" xfId="0" applyNumberFormat="1" applyFont="1" applyFill="1" applyBorder="1" applyAlignment="1">
      <alignment horizontal="right" vertical="center"/>
    </xf>
    <xf numFmtId="179" fontId="34" fillId="0" borderId="0" xfId="0" applyFont="1" applyAlignment="1">
      <alignment vertical="center"/>
    </xf>
    <xf numFmtId="185" fontId="14" fillId="5" borderId="6" xfId="0" applyNumberFormat="1" applyFont="1" applyFill="1" applyBorder="1" applyAlignment="1">
      <alignment horizontal="right" vertical="center"/>
    </xf>
    <xf numFmtId="185" fontId="14" fillId="5" borderId="0" xfId="0" applyNumberFormat="1" applyFont="1" applyFill="1" applyAlignment="1">
      <alignment horizontal="right" vertical="center"/>
    </xf>
    <xf numFmtId="184" fontId="14" fillId="5" borderId="6" xfId="0" applyNumberFormat="1" applyFont="1" applyFill="1" applyBorder="1" applyAlignment="1">
      <alignment horizontal="right" vertical="center"/>
    </xf>
    <xf numFmtId="184" fontId="14" fillId="5" borderId="16" xfId="0" applyNumberFormat="1" applyFont="1" applyFill="1" applyBorder="1" applyAlignment="1">
      <alignment horizontal="right" vertical="center"/>
    </xf>
    <xf numFmtId="3" fontId="14" fillId="5" borderId="0" xfId="0" applyNumberFormat="1" applyFont="1" applyFill="1" applyAlignment="1">
      <alignment horizontal="left" vertical="center"/>
    </xf>
    <xf numFmtId="3" fontId="14" fillId="5" borderId="16" xfId="0" applyNumberFormat="1" applyFont="1" applyFill="1" applyBorder="1" applyAlignment="1">
      <alignment horizontal="center" vertical="center"/>
    </xf>
    <xf numFmtId="185" fontId="14" fillId="2" borderId="6" xfId="0" applyNumberFormat="1" applyFont="1" applyFill="1" applyBorder="1" applyAlignment="1">
      <alignment horizontal="right"/>
    </xf>
    <xf numFmtId="185" fontId="14" fillId="2" borderId="0" xfId="0" applyNumberFormat="1" applyFont="1" applyFill="1" applyAlignment="1">
      <alignment horizontal="right"/>
    </xf>
    <xf numFmtId="184" fontId="14" fillId="2" borderId="6" xfId="0" applyNumberFormat="1" applyFont="1" applyFill="1" applyBorder="1" applyAlignment="1">
      <alignment horizontal="right"/>
    </xf>
    <xf numFmtId="184" fontId="14" fillId="2" borderId="16" xfId="0" applyNumberFormat="1" applyFont="1" applyFill="1" applyBorder="1" applyAlignment="1">
      <alignment vertical="center"/>
    </xf>
    <xf numFmtId="3" fontId="14" fillId="2" borderId="6" xfId="0" applyNumberFormat="1" applyFont="1" applyFill="1" applyBorder="1" applyAlignment="1">
      <alignment vertical="center"/>
    </xf>
    <xf numFmtId="3" fontId="14" fillId="2" borderId="16" xfId="0" applyNumberFormat="1" applyFont="1" applyFill="1" applyBorder="1" applyAlignment="1">
      <alignment vertical="center"/>
    </xf>
    <xf numFmtId="184" fontId="12" fillId="5" borderId="0" xfId="0" applyNumberFormat="1" applyFont="1" applyFill="1" applyAlignment="1">
      <alignment horizontal="left" vertical="center"/>
    </xf>
    <xf numFmtId="184" fontId="12" fillId="5" borderId="0" xfId="0" applyNumberFormat="1" applyFont="1" applyFill="1" applyAlignment="1">
      <alignment horizontal="right" vertical="center"/>
    </xf>
    <xf numFmtId="184" fontId="12" fillId="4" borderId="7" xfId="0" applyNumberFormat="1" applyFont="1" applyFill="1" applyBorder="1" applyAlignment="1">
      <alignment horizontal="right" vertical="center"/>
    </xf>
    <xf numFmtId="179" fontId="10" fillId="0" borderId="0" xfId="0" applyFont="1" applyAlignment="1">
      <alignment vertical="center"/>
    </xf>
    <xf numFmtId="185" fontId="12" fillId="2" borderId="6" xfId="0" applyNumberFormat="1" applyFont="1" applyFill="1" applyBorder="1" applyAlignment="1">
      <alignment horizontal="right"/>
    </xf>
    <xf numFmtId="185" fontId="12" fillId="2" borderId="0" xfId="0" applyNumberFormat="1" applyFont="1" applyFill="1" applyAlignment="1">
      <alignment horizontal="right"/>
    </xf>
    <xf numFmtId="184" fontId="12" fillId="2" borderId="6" xfId="0" applyNumberFormat="1" applyFont="1" applyFill="1" applyBorder="1" applyAlignment="1">
      <alignment horizontal="right"/>
    </xf>
    <xf numFmtId="184" fontId="12" fillId="2" borderId="16" xfId="0" applyNumberFormat="1" applyFont="1" applyFill="1" applyBorder="1" applyAlignment="1">
      <alignment vertical="center"/>
    </xf>
    <xf numFmtId="3" fontId="12" fillId="2" borderId="6" xfId="0" applyNumberFormat="1" applyFont="1" applyFill="1" applyBorder="1" applyAlignment="1">
      <alignment vertical="center"/>
    </xf>
    <xf numFmtId="3" fontId="12" fillId="2" borderId="16" xfId="0" applyNumberFormat="1" applyFont="1" applyFill="1" applyBorder="1" applyAlignment="1">
      <alignment vertical="center"/>
    </xf>
    <xf numFmtId="184" fontId="35" fillId="5" borderId="0" xfId="0" applyNumberFormat="1" applyFont="1" applyFill="1" applyAlignment="1">
      <alignment horizontal="left" vertical="center"/>
    </xf>
    <xf numFmtId="184" fontId="35" fillId="5" borderId="0" xfId="0" applyNumberFormat="1" applyFont="1" applyFill="1" applyAlignment="1">
      <alignment horizontal="right" vertical="center"/>
    </xf>
    <xf numFmtId="184" fontId="35" fillId="4" borderId="7" xfId="0" applyNumberFormat="1" applyFont="1" applyFill="1" applyBorder="1" applyAlignment="1">
      <alignment horizontal="right" vertical="center"/>
    </xf>
    <xf numFmtId="179" fontId="36" fillId="0" borderId="0" xfId="0" applyFont="1" applyAlignment="1">
      <alignment vertical="center"/>
    </xf>
    <xf numFmtId="185" fontId="35" fillId="5" borderId="6" xfId="0" applyNumberFormat="1" applyFont="1" applyFill="1" applyBorder="1" applyAlignment="1">
      <alignment horizontal="right" vertical="center"/>
    </xf>
    <xf numFmtId="185" fontId="35" fillId="5" borderId="0" xfId="0" applyNumberFormat="1" applyFont="1" applyFill="1" applyAlignment="1">
      <alignment horizontal="right" vertical="center"/>
    </xf>
    <xf numFmtId="184" fontId="35" fillId="5" borderId="6" xfId="0" applyNumberFormat="1" applyFont="1" applyFill="1" applyBorder="1" applyAlignment="1">
      <alignment horizontal="right" vertical="center"/>
    </xf>
    <xf numFmtId="184" fontId="35" fillId="5" borderId="16" xfId="0" applyNumberFormat="1" applyFont="1" applyFill="1" applyBorder="1" applyAlignment="1">
      <alignment horizontal="right" vertical="center"/>
    </xf>
    <xf numFmtId="3" fontId="37" fillId="2" borderId="0" xfId="0" applyNumberFormat="1" applyFont="1" applyFill="1" applyAlignment="1">
      <alignment vertical="center"/>
    </xf>
    <xf numFmtId="185" fontId="12" fillId="5" borderId="6" xfId="0" applyNumberFormat="1" applyFont="1" applyFill="1" applyBorder="1" applyAlignment="1">
      <alignment horizontal="right" vertical="center"/>
    </xf>
    <xf numFmtId="185" fontId="12" fillId="5" borderId="0" xfId="0" applyNumberFormat="1" applyFont="1" applyFill="1" applyAlignment="1">
      <alignment horizontal="right" vertical="center"/>
    </xf>
    <xf numFmtId="184" fontId="12" fillId="5" borderId="6" xfId="0" applyNumberFormat="1" applyFont="1" applyFill="1" applyBorder="1" applyAlignment="1">
      <alignment horizontal="right" vertical="center"/>
    </xf>
    <xf numFmtId="184" fontId="12" fillId="5" borderId="16" xfId="0" applyNumberFormat="1" applyFont="1" applyFill="1" applyBorder="1" applyAlignment="1">
      <alignment horizontal="right" vertical="center"/>
    </xf>
    <xf numFmtId="3" fontId="12" fillId="5" borderId="0" xfId="0" applyNumberFormat="1" applyFont="1" applyFill="1" applyAlignment="1">
      <alignment horizontal="left" vertical="center"/>
    </xf>
    <xf numFmtId="3" fontId="12" fillId="5" borderId="16" xfId="0" applyNumberFormat="1" applyFont="1" applyFill="1" applyBorder="1" applyAlignment="1">
      <alignment horizontal="center" vertical="center"/>
    </xf>
    <xf numFmtId="184" fontId="0" fillId="0" borderId="0" xfId="0" applyNumberFormat="1" applyAlignment="1">
      <alignment horizontal="left" vertical="center" indent="1"/>
    </xf>
    <xf numFmtId="184" fontId="14" fillId="0" borderId="0" xfId="0" applyNumberFormat="1" applyFont="1" applyAlignment="1">
      <alignment horizontal="left" vertical="center" indent="1"/>
    </xf>
    <xf numFmtId="184" fontId="14" fillId="0" borderId="0" xfId="0" applyNumberFormat="1" applyFont="1" applyAlignment="1">
      <alignment horizontal="right" vertical="center"/>
    </xf>
    <xf numFmtId="179" fontId="0" fillId="0" borderId="0" xfId="0" applyAlignment="1">
      <alignment horizontal="left" vertical="center" indent="2"/>
    </xf>
    <xf numFmtId="184" fontId="12" fillId="0" borderId="0" xfId="0" applyNumberFormat="1" applyFont="1" applyAlignment="1">
      <alignment horizontal="right" vertical="center"/>
    </xf>
    <xf numFmtId="185" fontId="0" fillId="2" borderId="6" xfId="0" applyNumberFormat="1" applyFill="1" applyBorder="1" applyAlignment="1">
      <alignment horizontal="right"/>
    </xf>
    <xf numFmtId="185" fontId="0" fillId="2" borderId="0" xfId="0" applyNumberFormat="1" applyFill="1" applyAlignment="1">
      <alignment horizontal="right"/>
    </xf>
    <xf numFmtId="184" fontId="0" fillId="2" borderId="6" xfId="0" applyNumberFormat="1" applyFill="1" applyBorder="1" applyAlignment="1">
      <alignment horizontal="right"/>
    </xf>
    <xf numFmtId="184" fontId="0" fillId="2" borderId="16" xfId="0" applyNumberForma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179" fontId="38" fillId="0" borderId="0" xfId="0" applyFont="1" applyAlignment="1">
      <alignment vertical="center"/>
    </xf>
    <xf numFmtId="185" fontId="13" fillId="2" borderId="6" xfId="0" applyNumberFormat="1" applyFont="1" applyFill="1" applyBorder="1" applyAlignment="1">
      <alignment horizontal="right"/>
    </xf>
    <xf numFmtId="185" fontId="13" fillId="2" borderId="0" xfId="0" applyNumberFormat="1" applyFont="1" applyFill="1" applyAlignment="1">
      <alignment horizontal="right"/>
    </xf>
    <xf numFmtId="184" fontId="13" fillId="2" borderId="6" xfId="0" applyNumberFormat="1" applyFont="1" applyFill="1" applyBorder="1" applyAlignment="1">
      <alignment horizontal="right"/>
    </xf>
    <xf numFmtId="184" fontId="13" fillId="2" borderId="16" xfId="0" applyNumberFormat="1" applyFont="1" applyFill="1" applyBorder="1" applyAlignment="1">
      <alignment vertical="center"/>
    </xf>
    <xf numFmtId="184" fontId="29" fillId="5" borderId="0" xfId="0" applyNumberFormat="1" applyFont="1" applyFill="1" applyAlignment="1">
      <alignment horizontal="left" vertical="center"/>
    </xf>
    <xf numFmtId="184" fontId="29" fillId="5" borderId="0" xfId="0" applyNumberFormat="1" applyFont="1" applyFill="1" applyAlignment="1">
      <alignment horizontal="right" vertical="center"/>
    </xf>
    <xf numFmtId="184" fontId="29" fillId="4" borderId="7" xfId="0" applyNumberFormat="1" applyFont="1" applyFill="1" applyBorder="1" applyAlignment="1">
      <alignment horizontal="right" vertical="center"/>
    </xf>
    <xf numFmtId="171" fontId="13" fillId="2" borderId="0" xfId="0" applyNumberFormat="1" applyFont="1" applyFill="1" applyAlignment="1">
      <alignment vertical="center"/>
    </xf>
    <xf numFmtId="184" fontId="0" fillId="0" borderId="0" xfId="0" applyNumberFormat="1" applyAlignment="1">
      <alignment horizontal="left" vertical="center" indent="2"/>
    </xf>
    <xf numFmtId="184" fontId="0" fillId="5" borderId="4" xfId="0" applyNumberFormat="1" applyFill="1" applyBorder="1" applyAlignment="1">
      <alignment horizontal="left" vertical="center"/>
    </xf>
    <xf numFmtId="184" fontId="0" fillId="5" borderId="4" xfId="0" applyNumberFormat="1" applyFill="1" applyBorder="1" applyAlignment="1">
      <alignment horizontal="right" vertical="center"/>
    </xf>
    <xf numFmtId="184" fontId="0" fillId="4" borderId="9" xfId="0" applyNumberFormat="1" applyFill="1" applyBorder="1" applyAlignment="1">
      <alignment horizontal="right" vertical="center"/>
    </xf>
    <xf numFmtId="185" fontId="14" fillId="2" borderId="3" xfId="0" applyNumberFormat="1" applyFont="1" applyFill="1" applyBorder="1" applyAlignment="1">
      <alignment horizontal="right"/>
    </xf>
    <xf numFmtId="185" fontId="14" fillId="2" borderId="4" xfId="0" applyNumberFormat="1" applyFont="1" applyFill="1" applyBorder="1" applyAlignment="1">
      <alignment horizontal="right"/>
    </xf>
    <xf numFmtId="184" fontId="14" fillId="2" borderId="3" xfId="0" applyNumberFormat="1" applyFont="1" applyFill="1" applyBorder="1" applyAlignment="1">
      <alignment horizontal="right"/>
    </xf>
    <xf numFmtId="184" fontId="14" fillId="2" borderId="5" xfId="0" applyNumberFormat="1" applyFont="1" applyFill="1" applyBorder="1" applyAlignment="1">
      <alignment vertical="center"/>
    </xf>
    <xf numFmtId="3" fontId="12" fillId="2" borderId="3" xfId="0" applyNumberFormat="1" applyFont="1" applyFill="1" applyBorder="1" applyAlignment="1">
      <alignment vertical="center"/>
    </xf>
    <xf numFmtId="3" fontId="12" fillId="2" borderId="4" xfId="0" applyNumberFormat="1" applyFont="1" applyFill="1" applyBorder="1" applyAlignment="1">
      <alignment vertical="center"/>
    </xf>
    <xf numFmtId="3" fontId="12" fillId="2" borderId="5" xfId="0" applyNumberFormat="1" applyFont="1" applyFill="1" applyBorder="1" applyAlignment="1">
      <alignment vertical="center"/>
    </xf>
    <xf numFmtId="3" fontId="39" fillId="2" borderId="12" xfId="8" applyNumberFormat="1" applyFill="1" applyBorder="1" applyAlignment="1">
      <alignment vertical="center"/>
    </xf>
    <xf numFmtId="3" fontId="39" fillId="2" borderId="0" xfId="8" applyNumberFormat="1" applyFill="1" applyAlignment="1">
      <alignment vertical="center"/>
    </xf>
    <xf numFmtId="0" fontId="39" fillId="0" borderId="0" xfId="8" applyAlignment="1">
      <alignment vertical="center"/>
    </xf>
    <xf numFmtId="3" fontId="28" fillId="0" borderId="0" xfId="7" applyNumberFormat="1" applyAlignment="1">
      <alignment horizontal="left" vertical="center"/>
    </xf>
    <xf numFmtId="3" fontId="12" fillId="0" borderId="0" xfId="0" applyNumberFormat="1" applyFont="1" applyAlignment="1">
      <alignment vertical="center"/>
    </xf>
    <xf numFmtId="179" fontId="12" fillId="0" borderId="0" xfId="0" applyFont="1" applyAlignment="1">
      <alignment vertical="center"/>
    </xf>
    <xf numFmtId="3" fontId="12" fillId="0" borderId="4" xfId="0" applyNumberFormat="1" applyFont="1" applyBorder="1" applyAlignment="1">
      <alignment vertical="center"/>
    </xf>
    <xf numFmtId="1" fontId="30" fillId="0" borderId="8" xfId="0" applyNumberFormat="1" applyFont="1" applyBorder="1" applyAlignment="1">
      <alignment horizontal="left" vertical="center" wrapText="1"/>
    </xf>
    <xf numFmtId="1" fontId="30" fillId="0" borderId="9" xfId="0" applyNumberFormat="1" applyFont="1" applyBorder="1" applyAlignment="1">
      <alignment horizontal="left" vertical="center"/>
    </xf>
    <xf numFmtId="184" fontId="0" fillId="0" borderId="7" xfId="0" applyNumberFormat="1" applyBorder="1" applyAlignment="1">
      <alignment horizontal="left" vertical="center"/>
    </xf>
    <xf numFmtId="185" fontId="0" fillId="5" borderId="6" xfId="0" applyNumberFormat="1" applyFill="1" applyBorder="1" applyAlignment="1">
      <alignment horizontal="right" vertical="center"/>
    </xf>
    <xf numFmtId="185" fontId="0" fillId="5" borderId="0" xfId="0" applyNumberFormat="1" applyFill="1" applyAlignment="1">
      <alignment horizontal="right" vertical="center"/>
    </xf>
    <xf numFmtId="184" fontId="0" fillId="5" borderId="16" xfId="0" applyNumberFormat="1" applyFill="1" applyBorder="1" applyAlignment="1">
      <alignment horizontal="right" vertical="center"/>
    </xf>
    <xf numFmtId="184" fontId="12" fillId="5" borderId="11" xfId="0" applyNumberFormat="1" applyFont="1" applyFill="1" applyBorder="1" applyAlignment="1">
      <alignment horizontal="left" vertical="center"/>
    </xf>
    <xf numFmtId="3" fontId="12" fillId="5" borderId="12" xfId="0" applyNumberFormat="1" applyFont="1" applyFill="1" applyBorder="1" applyAlignment="1">
      <alignment horizontal="left" vertical="center"/>
    </xf>
    <xf numFmtId="3" fontId="12" fillId="5" borderId="10" xfId="0" applyNumberFormat="1" applyFont="1" applyFill="1" applyBorder="1" applyAlignment="1">
      <alignment horizontal="center" vertical="center"/>
    </xf>
    <xf numFmtId="184" fontId="13" fillId="0" borderId="7" xfId="0" applyNumberFormat="1" applyFont="1" applyBorder="1" applyAlignment="1">
      <alignment horizontal="left" vertical="center"/>
    </xf>
    <xf numFmtId="184" fontId="35" fillId="5" borderId="6" xfId="0" applyNumberFormat="1" applyFont="1" applyFill="1" applyBorder="1" applyAlignment="1">
      <alignment horizontal="left" vertical="center"/>
    </xf>
    <xf numFmtId="3" fontId="35" fillId="5" borderId="0" xfId="0" applyNumberFormat="1" applyFont="1" applyFill="1" applyAlignment="1">
      <alignment horizontal="left" vertical="center"/>
    </xf>
    <xf numFmtId="3" fontId="35" fillId="5" borderId="16" xfId="0" applyNumberFormat="1" applyFont="1" applyFill="1" applyBorder="1" applyAlignment="1">
      <alignment horizontal="center" vertical="center"/>
    </xf>
    <xf numFmtId="184" fontId="12" fillId="5" borderId="6" xfId="0" applyNumberFormat="1" applyFont="1" applyFill="1" applyBorder="1" applyAlignment="1">
      <alignment horizontal="left" vertical="center"/>
    </xf>
    <xf numFmtId="184" fontId="35" fillId="0" borderId="7" xfId="0" applyNumberFormat="1" applyFont="1" applyBorder="1" applyAlignment="1">
      <alignment horizontal="left" vertical="center"/>
    </xf>
    <xf numFmtId="179" fontId="29" fillId="0" borderId="0" xfId="0" applyFont="1" applyAlignment="1">
      <alignment vertical="center"/>
    </xf>
    <xf numFmtId="3" fontId="35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vertical="center"/>
    </xf>
    <xf numFmtId="184" fontId="0" fillId="0" borderId="7" xfId="0" applyNumberFormat="1" applyBorder="1" applyAlignment="1">
      <alignment horizontal="left" vertical="center" indent="1"/>
    </xf>
    <xf numFmtId="4" fontId="12" fillId="2" borderId="0" xfId="0" applyNumberFormat="1" applyFont="1" applyFill="1" applyAlignment="1">
      <alignment horizontal="right" vertical="center"/>
    </xf>
    <xf numFmtId="184" fontId="0" fillId="0" borderId="9" xfId="0" applyNumberFormat="1" applyBorder="1" applyAlignment="1">
      <alignment horizontal="left" vertical="center"/>
    </xf>
    <xf numFmtId="184" fontId="0" fillId="0" borderId="4" xfId="0" applyNumberFormat="1" applyBorder="1" applyAlignment="1">
      <alignment horizontal="right" vertical="center"/>
    </xf>
    <xf numFmtId="185" fontId="0" fillId="5" borderId="3" xfId="0" applyNumberFormat="1" applyFill="1" applyBorder="1" applyAlignment="1">
      <alignment horizontal="right" vertical="center"/>
    </xf>
    <xf numFmtId="185" fontId="0" fillId="5" borderId="4" xfId="0" applyNumberFormat="1" applyFill="1" applyBorder="1" applyAlignment="1">
      <alignment horizontal="right" vertical="center"/>
    </xf>
    <xf numFmtId="184" fontId="0" fillId="5" borderId="3" xfId="0" applyNumberFormat="1" applyFill="1" applyBorder="1" applyAlignment="1">
      <alignment horizontal="right" vertical="center"/>
    </xf>
    <xf numFmtId="184" fontId="0" fillId="5" borderId="5" xfId="0" applyNumberFormat="1" applyFill="1" applyBorder="1" applyAlignment="1">
      <alignment horizontal="right" vertical="center"/>
    </xf>
    <xf numFmtId="184" fontId="12" fillId="5" borderId="3" xfId="0" applyNumberFormat="1" applyFont="1" applyFill="1" applyBorder="1" applyAlignment="1">
      <alignment horizontal="right" vertical="center"/>
    </xf>
    <xf numFmtId="3" fontId="12" fillId="5" borderId="4" xfId="0" applyNumberFormat="1" applyFont="1" applyFill="1" applyBorder="1" applyAlignment="1">
      <alignment horizontal="left" vertical="center"/>
    </xf>
    <xf numFmtId="3" fontId="12" fillId="5" borderId="5" xfId="0" applyNumberFormat="1" applyFont="1" applyFill="1" applyBorder="1" applyAlignment="1">
      <alignment horizontal="center" vertical="center"/>
    </xf>
    <xf numFmtId="3" fontId="12" fillId="2" borderId="0" xfId="0" applyNumberFormat="1" applyFont="1" applyFill="1" applyAlignment="1">
      <alignment horizontal="left" vertical="center"/>
    </xf>
    <xf numFmtId="171" fontId="12" fillId="2" borderId="0" xfId="0" applyNumberFormat="1" applyFont="1" applyFill="1" applyAlignment="1">
      <alignment horizontal="right" vertical="center"/>
    </xf>
    <xf numFmtId="184" fontId="0" fillId="6" borderId="7" xfId="0" applyNumberFormat="1" applyFill="1" applyBorder="1" applyAlignment="1">
      <alignment horizontal="left" vertical="center" indent="1"/>
    </xf>
    <xf numFmtId="3" fontId="12" fillId="2" borderId="0" xfId="0" applyNumberFormat="1" applyFont="1" applyFill="1"/>
    <xf numFmtId="3" fontId="14" fillId="2" borderId="0" xfId="0" applyNumberFormat="1" applyFont="1" applyFill="1"/>
    <xf numFmtId="170" fontId="12" fillId="2" borderId="0" xfId="0" applyNumberFormat="1" applyFont="1" applyFill="1"/>
    <xf numFmtId="1" fontId="29" fillId="2" borderId="11" xfId="0" applyNumberFormat="1" applyFont="1" applyFill="1" applyBorder="1" applyAlignment="1">
      <alignment horizontal="left" vertical="center"/>
    </xf>
    <xf numFmtId="179" fontId="0" fillId="0" borderId="16" xfId="0" applyBorder="1"/>
    <xf numFmtId="183" fontId="29" fillId="0" borderId="3" xfId="0" applyNumberFormat="1" applyFont="1" applyBorder="1" applyAlignment="1">
      <alignment horizontal="left" vertical="center"/>
    </xf>
    <xf numFmtId="184" fontId="0" fillId="0" borderId="6" xfId="0" applyNumberFormat="1" applyBorder="1" applyAlignment="1">
      <alignment horizontal="left" vertical="center"/>
    </xf>
    <xf numFmtId="179" fontId="7" fillId="0" borderId="16" xfId="0" applyFont="1" applyBorder="1"/>
    <xf numFmtId="184" fontId="0" fillId="5" borderId="6" xfId="0" applyNumberFormat="1" applyFill="1" applyBorder="1" applyAlignment="1">
      <alignment horizontal="left" vertical="center"/>
    </xf>
    <xf numFmtId="184" fontId="0" fillId="5" borderId="0" xfId="0" applyNumberFormat="1" applyFill="1" applyAlignment="1">
      <alignment horizontal="right" vertical="center"/>
    </xf>
    <xf numFmtId="184" fontId="0" fillId="0" borderId="6" xfId="0" applyNumberFormat="1" applyBorder="1" applyAlignment="1">
      <alignment horizontal="left" vertical="center" indent="1"/>
    </xf>
    <xf numFmtId="184" fontId="14" fillId="0" borderId="6" xfId="0" applyNumberFormat="1" applyFont="1" applyBorder="1" applyAlignment="1">
      <alignment horizontal="left" vertical="center" indent="1"/>
    </xf>
    <xf numFmtId="179" fontId="14" fillId="0" borderId="16" xfId="0" applyFont="1" applyBorder="1"/>
    <xf numFmtId="184" fontId="0" fillId="0" borderId="3" xfId="0" applyNumberFormat="1" applyBorder="1" applyAlignment="1">
      <alignment horizontal="left" vertical="center"/>
    </xf>
    <xf numFmtId="185" fontId="0" fillId="2" borderId="3" xfId="0" applyNumberFormat="1" applyFill="1" applyBorder="1" applyAlignment="1">
      <alignment horizontal="right"/>
    </xf>
    <xf numFmtId="185" fontId="0" fillId="2" borderId="4" xfId="0" applyNumberFormat="1" applyFill="1" applyBorder="1" applyAlignment="1">
      <alignment horizontal="right"/>
    </xf>
    <xf numFmtId="184" fontId="0" fillId="2" borderId="3" xfId="0" applyNumberFormat="1" applyFill="1" applyBorder="1" applyAlignment="1">
      <alignment horizontal="right"/>
    </xf>
    <xf numFmtId="184" fontId="0" fillId="2" borderId="5" xfId="0" applyNumberFormat="1" applyFill="1" applyBorder="1"/>
    <xf numFmtId="184" fontId="7" fillId="5" borderId="3" xfId="0" applyNumberFormat="1" applyFont="1" applyFill="1" applyBorder="1" applyAlignment="1">
      <alignment horizontal="right" vertical="center"/>
    </xf>
    <xf numFmtId="3" fontId="7" fillId="5" borderId="4" xfId="0" applyNumberFormat="1" applyFont="1" applyFill="1" applyBorder="1" applyAlignment="1">
      <alignment horizontal="left" vertical="center"/>
    </xf>
    <xf numFmtId="3" fontId="7" fillId="5" borderId="5" xfId="0" applyNumberFormat="1" applyFont="1" applyFill="1" applyBorder="1" applyAlignment="1">
      <alignment horizontal="center" vertical="center"/>
    </xf>
    <xf numFmtId="183" fontId="29" fillId="0" borderId="4" xfId="0" applyNumberFormat="1" applyFont="1" applyBorder="1" applyAlignment="1">
      <alignment horizontal="center" vertical="center"/>
    </xf>
    <xf numFmtId="3" fontId="28" fillId="0" borderId="0" xfId="7" applyNumberFormat="1" applyAlignment="1">
      <alignment horizontal="left"/>
    </xf>
    <xf numFmtId="3" fontId="0" fillId="5" borderId="8" xfId="0" applyNumberFormat="1" applyFill="1" applyBorder="1" applyAlignment="1">
      <alignment vertical="center"/>
    </xf>
    <xf numFmtId="3" fontId="12" fillId="0" borderId="0" xfId="0" applyNumberFormat="1" applyFont="1"/>
    <xf numFmtId="3" fontId="0" fillId="5" borderId="9" xfId="0" applyNumberFormat="1" applyFill="1" applyBorder="1" applyAlignment="1">
      <alignment horizontal="left" vertical="center"/>
    </xf>
    <xf numFmtId="3" fontId="0" fillId="5" borderId="7" xfId="0" applyNumberFormat="1" applyFill="1" applyBorder="1" applyAlignment="1">
      <alignment horizontal="left" vertical="center"/>
    </xf>
    <xf numFmtId="3" fontId="35" fillId="5" borderId="7" xfId="0" applyNumberFormat="1" applyFont="1" applyFill="1" applyBorder="1" applyAlignment="1">
      <alignment horizontal="left" vertical="center"/>
    </xf>
    <xf numFmtId="179" fontId="38" fillId="0" borderId="0" xfId="0" applyFont="1"/>
    <xf numFmtId="3" fontId="0" fillId="0" borderId="7" xfId="0" applyNumberFormat="1" applyBorder="1" applyAlignment="1">
      <alignment horizontal="left" vertical="center"/>
    </xf>
    <xf numFmtId="185" fontId="0" fillId="0" borderId="6" xfId="0" applyNumberFormat="1" applyBorder="1" applyAlignment="1">
      <alignment horizontal="right" vertical="center"/>
    </xf>
    <xf numFmtId="185" fontId="0" fillId="0" borderId="0" xfId="0" applyNumberFormat="1" applyAlignment="1">
      <alignment horizontal="right" vertical="center"/>
    </xf>
    <xf numFmtId="184" fontId="0" fillId="0" borderId="6" xfId="0" applyNumberFormat="1" applyBorder="1" applyAlignment="1">
      <alignment horizontal="right" vertical="center"/>
    </xf>
    <xf numFmtId="184" fontId="0" fillId="0" borderId="16" xfId="0" applyNumberFormat="1" applyBorder="1" applyAlignment="1">
      <alignment horizontal="right" vertical="center"/>
    </xf>
    <xf numFmtId="185" fontId="0" fillId="0" borderId="6" xfId="0" applyNumberFormat="1" applyBorder="1" applyAlignment="1">
      <alignment horizontal="right"/>
    </xf>
    <xf numFmtId="185" fontId="0" fillId="0" borderId="0" xfId="0" applyNumberFormat="1" applyAlignment="1">
      <alignment horizontal="right"/>
    </xf>
    <xf numFmtId="184" fontId="0" fillId="0" borderId="6" xfId="0" applyNumberFormat="1" applyBorder="1" applyAlignment="1">
      <alignment horizontal="right"/>
    </xf>
    <xf numFmtId="184" fontId="0" fillId="0" borderId="16" xfId="0" applyNumberFormat="1" applyBorder="1"/>
    <xf numFmtId="3" fontId="0" fillId="5" borderId="9" xfId="0" applyNumberFormat="1" applyFill="1" applyBorder="1" applyAlignment="1">
      <alignment vertical="center"/>
    </xf>
    <xf numFmtId="3" fontId="39" fillId="0" borderId="0" xfId="8" applyNumberFormat="1" applyAlignment="1">
      <alignment vertical="center"/>
    </xf>
    <xf numFmtId="3" fontId="0" fillId="6" borderId="7" xfId="0" applyNumberFormat="1" applyFill="1" applyBorder="1" applyAlignment="1">
      <alignment horizontal="left" vertical="center"/>
    </xf>
    <xf numFmtId="184" fontId="0" fillId="2" borderId="16" xfId="0" applyNumberFormat="1" applyFill="1" applyBorder="1"/>
    <xf numFmtId="3" fontId="14" fillId="5" borderId="7" xfId="0" applyNumberFormat="1" applyFont="1" applyFill="1" applyBorder="1" applyAlignment="1">
      <alignment horizontal="left" vertical="center"/>
    </xf>
    <xf numFmtId="184" fontId="7" fillId="5" borderId="6" xfId="0" applyNumberFormat="1" applyFont="1" applyFill="1" applyBorder="1" applyAlignment="1">
      <alignment horizontal="right" vertical="center"/>
    </xf>
    <xf numFmtId="3" fontId="7" fillId="5" borderId="0" xfId="0" applyNumberFormat="1" applyFont="1" applyFill="1" applyAlignment="1">
      <alignment horizontal="left" vertical="center"/>
    </xf>
    <xf numFmtId="3" fontId="7" fillId="5" borderId="16" xfId="0" applyNumberFormat="1" applyFont="1" applyFill="1" applyBorder="1" applyAlignment="1">
      <alignment horizontal="center" vertical="center"/>
    </xf>
    <xf numFmtId="184" fontId="7" fillId="5" borderId="3" xfId="0" applyNumberFormat="1" applyFont="1" applyFill="1" applyBorder="1" applyAlignment="1">
      <alignment vertical="center"/>
    </xf>
    <xf numFmtId="3" fontId="7" fillId="5" borderId="4" xfId="0" applyNumberFormat="1" applyFont="1" applyFill="1" applyBorder="1" applyAlignment="1">
      <alignment vertical="center"/>
    </xf>
    <xf numFmtId="3" fontId="12" fillId="5" borderId="7" xfId="0" applyNumberFormat="1" applyFont="1" applyFill="1" applyBorder="1" applyAlignment="1">
      <alignment horizontal="left" vertical="center" indent="1"/>
    </xf>
    <xf numFmtId="3" fontId="12" fillId="0" borderId="9" xfId="0" applyNumberFormat="1" applyFont="1" applyBorder="1" applyAlignment="1">
      <alignment vertical="center"/>
    </xf>
    <xf numFmtId="184" fontId="12" fillId="5" borderId="4" xfId="0" applyNumberFormat="1" applyFont="1" applyFill="1" applyBorder="1" applyAlignment="1">
      <alignment horizontal="right" vertical="center"/>
    </xf>
    <xf numFmtId="184" fontId="12" fillId="4" borderId="9" xfId="0" applyNumberFormat="1" applyFont="1" applyFill="1" applyBorder="1" applyAlignment="1">
      <alignment horizontal="right" vertical="center"/>
    </xf>
    <xf numFmtId="185" fontId="12" fillId="5" borderId="3" xfId="0" applyNumberFormat="1" applyFont="1" applyFill="1" applyBorder="1" applyAlignment="1">
      <alignment horizontal="right" vertical="center"/>
    </xf>
    <xf numFmtId="185" fontId="12" fillId="5" borderId="4" xfId="0" applyNumberFormat="1" applyFont="1" applyFill="1" applyBorder="1" applyAlignment="1">
      <alignment horizontal="right" vertical="center"/>
    </xf>
    <xf numFmtId="184" fontId="12" fillId="5" borderId="5" xfId="0" applyNumberFormat="1" applyFont="1" applyFill="1" applyBorder="1" applyAlignment="1">
      <alignment horizontal="right" vertical="center"/>
    </xf>
    <xf numFmtId="3" fontId="12" fillId="0" borderId="0" xfId="0" applyNumberFormat="1" applyFont="1" applyAlignment="1">
      <alignment horizontal="left"/>
    </xf>
    <xf numFmtId="3" fontId="12" fillId="6" borderId="7" xfId="0" applyNumberFormat="1" applyFont="1" applyFill="1" applyBorder="1" applyAlignment="1">
      <alignment horizontal="left" vertical="center" indent="1"/>
    </xf>
    <xf numFmtId="179" fontId="28" fillId="0" borderId="0" xfId="7" applyNumberFormat="1"/>
    <xf numFmtId="3" fontId="30" fillId="2" borderId="0" xfId="0" applyNumberFormat="1" applyFont="1" applyFill="1"/>
    <xf numFmtId="1" fontId="29" fillId="2" borderId="11" xfId="0" applyNumberFormat="1" applyFont="1" applyFill="1" applyBorder="1" applyAlignment="1">
      <alignment horizontal="centerContinuous" vertical="center"/>
    </xf>
    <xf numFmtId="183" fontId="29" fillId="0" borderId="3" xfId="0" applyNumberFormat="1" applyFont="1" applyBorder="1" applyAlignment="1">
      <alignment horizontal="centerContinuous" vertical="center"/>
    </xf>
    <xf numFmtId="3" fontId="12" fillId="2" borderId="0" xfId="0" applyNumberFormat="1" applyFont="1" applyFill="1" applyAlignment="1">
      <alignment horizontal="right"/>
    </xf>
    <xf numFmtId="3" fontId="12" fillId="2" borderId="6" xfId="0" applyNumberFormat="1" applyFont="1" applyFill="1" applyBorder="1" applyAlignment="1">
      <alignment horizontal="left" vertical="center"/>
    </xf>
    <xf numFmtId="3" fontId="13" fillId="2" borderId="0" xfId="0" applyNumberFormat="1" applyFont="1" applyFill="1" applyAlignment="1">
      <alignment horizontal="center" vertical="center"/>
    </xf>
    <xf numFmtId="3" fontId="13" fillId="2" borderId="6" xfId="0" applyNumberFormat="1" applyFont="1" applyFill="1" applyBorder="1" applyAlignment="1">
      <alignment horizontal="left" vertical="center"/>
    </xf>
    <xf numFmtId="184" fontId="35" fillId="0" borderId="0" xfId="0" applyNumberFormat="1" applyFont="1" applyAlignment="1">
      <alignment horizontal="left" vertical="center"/>
    </xf>
    <xf numFmtId="3" fontId="12" fillId="2" borderId="0" xfId="0" applyNumberFormat="1" applyFont="1" applyFill="1" applyAlignment="1">
      <alignment horizontal="center" vertical="center"/>
    </xf>
    <xf numFmtId="184" fontId="14" fillId="0" borderId="7" xfId="0" applyNumberFormat="1" applyFont="1" applyBorder="1" applyAlignment="1">
      <alignment horizontal="left" vertical="center" indent="1"/>
    </xf>
    <xf numFmtId="184" fontId="14" fillId="0" borderId="6" xfId="0" applyNumberFormat="1" applyFont="1" applyBorder="1" applyAlignment="1">
      <alignment horizontal="right" vertical="center"/>
    </xf>
    <xf numFmtId="3" fontId="14" fillId="2" borderId="0" xfId="0" applyNumberFormat="1" applyFont="1" applyFill="1" applyAlignment="1">
      <alignment horizontal="center" vertical="center"/>
    </xf>
    <xf numFmtId="3" fontId="14" fillId="2" borderId="6" xfId="0" applyNumberFormat="1" applyFont="1" applyFill="1" applyBorder="1" applyAlignment="1">
      <alignment horizontal="left" vertical="center"/>
    </xf>
    <xf numFmtId="184" fontId="14" fillId="0" borderId="0" xfId="0" applyNumberFormat="1" applyFont="1" applyAlignment="1">
      <alignment horizontal="left" vertical="center"/>
    </xf>
    <xf numFmtId="184" fontId="0" fillId="0" borderId="3" xfId="0" applyNumberFormat="1" applyBorder="1" applyAlignment="1">
      <alignment horizontal="right" vertical="center"/>
    </xf>
    <xf numFmtId="3" fontId="12" fillId="2" borderId="3" xfId="0" applyNumberFormat="1" applyFont="1" applyFill="1" applyBorder="1" applyAlignment="1">
      <alignment horizontal="left" vertical="center"/>
    </xf>
    <xf numFmtId="184" fontId="0" fillId="0" borderId="4" xfId="0" applyNumberFormat="1" applyBorder="1" applyAlignment="1">
      <alignment horizontal="left" vertical="center"/>
    </xf>
    <xf numFmtId="179" fontId="0" fillId="0" borderId="5" xfId="0" applyBorder="1"/>
    <xf numFmtId="3" fontId="31" fillId="2" borderId="0" xfId="0" applyNumberFormat="1" applyFont="1" applyFill="1"/>
    <xf numFmtId="3" fontId="37" fillId="0" borderId="7" xfId="0" applyNumberFormat="1" applyFont="1" applyBorder="1" applyAlignment="1">
      <alignment vertical="center"/>
    </xf>
    <xf numFmtId="3" fontId="37" fillId="0" borderId="6" xfId="0" applyNumberFormat="1" applyFont="1" applyBorder="1" applyAlignment="1">
      <alignment vertical="center"/>
    </xf>
    <xf numFmtId="3" fontId="37" fillId="0" borderId="16" xfId="0" applyNumberFormat="1" applyFont="1" applyBorder="1" applyAlignment="1">
      <alignment vertical="center"/>
    </xf>
    <xf numFmtId="184" fontId="37" fillId="0" borderId="7" xfId="0" applyNumberFormat="1" applyFont="1" applyBorder="1" applyAlignment="1">
      <alignment vertical="center"/>
    </xf>
    <xf numFmtId="184" fontId="37" fillId="0" borderId="16" xfId="0" applyNumberFormat="1" applyFont="1" applyBorder="1" applyAlignment="1">
      <alignment vertical="center"/>
    </xf>
    <xf numFmtId="3" fontId="29" fillId="0" borderId="8" xfId="0" applyNumberFormat="1" applyFont="1" applyBorder="1" applyAlignment="1">
      <alignment vertical="center"/>
    </xf>
    <xf numFmtId="1" fontId="29" fillId="2" borderId="8" xfId="0" applyNumberFormat="1" applyFont="1" applyFill="1" applyBorder="1" applyAlignment="1">
      <alignment horizontal="centerContinuous" vertical="center"/>
    </xf>
    <xf numFmtId="3" fontId="30" fillId="2" borderId="8" xfId="0" applyNumberFormat="1" applyFont="1" applyFill="1" applyBorder="1" applyAlignment="1">
      <alignment horizontal="center" vertical="center"/>
    </xf>
    <xf numFmtId="3" fontId="30" fillId="2" borderId="10" xfId="0" applyNumberFormat="1" applyFont="1" applyFill="1" applyBorder="1" applyAlignment="1">
      <alignment horizontal="center" vertical="center"/>
    </xf>
    <xf numFmtId="3" fontId="29" fillId="0" borderId="9" xfId="0" applyNumberFormat="1" applyFont="1" applyBorder="1" applyAlignment="1">
      <alignment vertical="center"/>
    </xf>
    <xf numFmtId="183" fontId="29" fillId="0" borderId="3" xfId="0" applyNumberFormat="1" applyFont="1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/>
    </xf>
    <xf numFmtId="179" fontId="30" fillId="0" borderId="9" xfId="0" applyFont="1" applyBorder="1" applyAlignment="1">
      <alignment horizontal="center" vertical="center"/>
    </xf>
    <xf numFmtId="179" fontId="30" fillId="0" borderId="5" xfId="0" applyFont="1" applyBorder="1" applyAlignment="1">
      <alignment horizontal="center" vertical="center"/>
    </xf>
    <xf numFmtId="3" fontId="19" fillId="4" borderId="16" xfId="0" applyNumberFormat="1" applyFont="1" applyFill="1" applyBorder="1" applyAlignment="1">
      <alignment vertical="center"/>
    </xf>
    <xf numFmtId="3" fontId="19" fillId="4" borderId="6" xfId="0" applyNumberFormat="1" applyFont="1" applyFill="1" applyBorder="1" applyAlignment="1">
      <alignment vertical="center"/>
    </xf>
    <xf numFmtId="3" fontId="19" fillId="4" borderId="7" xfId="0" applyNumberFormat="1" applyFont="1" applyFill="1" applyBorder="1" applyAlignment="1">
      <alignment vertical="center"/>
    </xf>
    <xf numFmtId="184" fontId="19" fillId="4" borderId="7" xfId="0" applyNumberFormat="1" applyFont="1" applyFill="1" applyBorder="1" applyAlignment="1">
      <alignment vertical="center"/>
    </xf>
    <xf numFmtId="184" fontId="19" fillId="4" borderId="16" xfId="0" applyNumberFormat="1" applyFont="1" applyFill="1" applyBorder="1" applyAlignment="1">
      <alignment vertical="center"/>
    </xf>
    <xf numFmtId="184" fontId="0" fillId="6" borderId="0" xfId="0" applyNumberFormat="1" applyFill="1" applyAlignment="1">
      <alignment horizontal="left" vertical="center" indent="1"/>
    </xf>
    <xf numFmtId="179" fontId="0" fillId="0" borderId="0" xfId="0" applyAlignment="1">
      <alignment horizontal="left" vertical="center" indent="3"/>
    </xf>
    <xf numFmtId="3" fontId="0" fillId="2" borderId="0" xfId="0" applyNumberFormat="1" applyFill="1"/>
    <xf numFmtId="170" fontId="28" fillId="0" borderId="0" xfId="7" applyNumberFormat="1" applyAlignment="1">
      <alignment horizontal="left"/>
    </xf>
    <xf numFmtId="170" fontId="40" fillId="0" borderId="0" xfId="0" applyNumberFormat="1" applyFont="1" applyAlignment="1">
      <alignment horizontal="left"/>
    </xf>
    <xf numFmtId="170" fontId="40" fillId="2" borderId="0" xfId="0" applyNumberFormat="1" applyFont="1" applyFill="1" applyAlignment="1">
      <alignment horizontal="left"/>
    </xf>
    <xf numFmtId="170" fontId="41" fillId="2" borderId="0" xfId="0" applyNumberFormat="1" applyFont="1" applyFill="1" applyAlignment="1">
      <alignment horizontal="left"/>
    </xf>
    <xf numFmtId="170" fontId="12" fillId="0" borderId="0" xfId="0" applyNumberFormat="1" applyFont="1" applyAlignment="1">
      <alignment vertical="center"/>
    </xf>
    <xf numFmtId="1" fontId="30" fillId="2" borderId="2" xfId="0" applyNumberFormat="1" applyFont="1" applyFill="1" applyBorder="1" applyAlignment="1">
      <alignment horizontal="center" vertical="center"/>
    </xf>
    <xf numFmtId="170" fontId="12" fillId="2" borderId="7" xfId="0" applyNumberFormat="1" applyFont="1" applyFill="1" applyBorder="1" applyAlignment="1">
      <alignment horizontal="center" vertical="center"/>
    </xf>
    <xf numFmtId="185" fontId="12" fillId="0" borderId="0" xfId="0" applyNumberFormat="1" applyFont="1" applyAlignment="1">
      <alignment horizontal="centerContinuous" vertical="center"/>
    </xf>
    <xf numFmtId="185" fontId="12" fillId="0" borderId="16" xfId="0" applyNumberFormat="1" applyFont="1" applyBorder="1" applyAlignment="1">
      <alignment horizontal="centerContinuous" vertical="center"/>
    </xf>
    <xf numFmtId="185" fontId="12" fillId="4" borderId="16" xfId="0" applyNumberFormat="1" applyFont="1" applyFill="1" applyBorder="1" applyAlignment="1">
      <alignment horizontal="centerContinuous" vertical="center"/>
    </xf>
    <xf numFmtId="170" fontId="14" fillId="4" borderId="7" xfId="0" applyNumberFormat="1" applyFont="1" applyFill="1" applyBorder="1" applyAlignment="1">
      <alignment vertical="center"/>
    </xf>
    <xf numFmtId="185" fontId="14" fillId="4" borderId="0" xfId="0" applyNumberFormat="1" applyFont="1" applyFill="1" applyAlignment="1">
      <alignment vertical="center"/>
    </xf>
    <xf numFmtId="185" fontId="14" fillId="4" borderId="16" xfId="0" applyNumberFormat="1" applyFont="1" applyFill="1" applyBorder="1" applyAlignment="1">
      <alignment vertical="center"/>
    </xf>
    <xf numFmtId="170" fontId="12" fillId="2" borderId="7" xfId="0" applyNumberFormat="1" applyFont="1" applyFill="1" applyBorder="1" applyAlignment="1">
      <alignment horizontal="left" indent="1"/>
    </xf>
    <xf numFmtId="185" fontId="12" fillId="2" borderId="0" xfId="0" applyNumberFormat="1" applyFont="1" applyFill="1" applyAlignment="1">
      <alignment vertical="center"/>
    </xf>
    <xf numFmtId="185" fontId="12" fillId="2" borderId="16" xfId="0" applyNumberFormat="1" applyFont="1" applyFill="1" applyBorder="1" applyAlignment="1">
      <alignment vertical="center"/>
    </xf>
    <xf numFmtId="185" fontId="12" fillId="4" borderId="16" xfId="0" applyNumberFormat="1" applyFont="1" applyFill="1" applyBorder="1" applyAlignment="1">
      <alignment vertical="center"/>
    </xf>
    <xf numFmtId="170" fontId="35" fillId="2" borderId="2" xfId="0" applyNumberFormat="1" applyFont="1" applyFill="1" applyBorder="1" applyAlignment="1">
      <alignment vertical="center"/>
    </xf>
    <xf numFmtId="185" fontId="35" fillId="2" borderId="14" xfId="0" applyNumberFormat="1" applyFont="1" applyFill="1" applyBorder="1" applyAlignment="1">
      <alignment vertical="center"/>
    </xf>
    <xf numFmtId="185" fontId="35" fillId="2" borderId="13" xfId="0" applyNumberFormat="1" applyFont="1" applyFill="1" applyBorder="1" applyAlignment="1">
      <alignment vertical="center"/>
    </xf>
    <xf numFmtId="185" fontId="35" fillId="4" borderId="13" xfId="0" applyNumberFormat="1" applyFont="1" applyFill="1" applyBorder="1" applyAlignment="1">
      <alignment vertical="center"/>
    </xf>
    <xf numFmtId="170" fontId="12" fillId="2" borderId="0" xfId="0" applyNumberFormat="1" applyFont="1" applyFill="1" applyAlignment="1">
      <alignment horizontal="left"/>
    </xf>
    <xf numFmtId="170" fontId="12" fillId="0" borderId="0" xfId="0" applyNumberFormat="1" applyFont="1" applyAlignment="1">
      <alignment horizontal="left"/>
    </xf>
    <xf numFmtId="170" fontId="14" fillId="2" borderId="0" xfId="0" applyNumberFormat="1" applyFont="1" applyFill="1" applyAlignment="1">
      <alignment vertical="center"/>
    </xf>
    <xf numFmtId="170" fontId="28" fillId="2" borderId="0" xfId="7" applyNumberFormat="1" applyFill="1" applyAlignment="1">
      <alignment horizontal="left" vertical="center"/>
    </xf>
    <xf numFmtId="179" fontId="0" fillId="0" borderId="11" xfId="0" applyBorder="1" applyAlignment="1">
      <alignment vertical="center"/>
    </xf>
    <xf numFmtId="185" fontId="12" fillId="0" borderId="12" xfId="0" applyNumberFormat="1" applyFont="1" applyBorder="1" applyAlignment="1">
      <alignment horizontal="centerContinuous" vertical="center"/>
    </xf>
    <xf numFmtId="185" fontId="12" fillId="0" borderId="10" xfId="0" applyNumberFormat="1" applyFont="1" applyBorder="1" applyAlignment="1">
      <alignment horizontal="centerContinuous" vertical="center"/>
    </xf>
    <xf numFmtId="185" fontId="12" fillId="4" borderId="10" xfId="0" applyNumberFormat="1" applyFont="1" applyFill="1" applyBorder="1" applyAlignment="1">
      <alignment horizontal="centerContinuous" vertical="center"/>
    </xf>
    <xf numFmtId="179" fontId="29" fillId="0" borderId="8" xfId="0" applyFont="1" applyBorder="1"/>
    <xf numFmtId="179" fontId="29" fillId="0" borderId="0" xfId="0" applyFont="1"/>
    <xf numFmtId="179" fontId="29" fillId="0" borderId="9" xfId="0" applyFont="1" applyBorder="1"/>
    <xf numFmtId="179" fontId="35" fillId="0" borderId="7" xfId="0" applyFont="1" applyBorder="1"/>
    <xf numFmtId="3" fontId="35" fillId="0" borderId="7" xfId="0" applyNumberFormat="1" applyFont="1" applyBorder="1"/>
    <xf numFmtId="179" fontId="35" fillId="0" borderId="0" xfId="0" applyFont="1"/>
    <xf numFmtId="1" fontId="30" fillId="4" borderId="8" xfId="0" applyNumberFormat="1" applyFont="1" applyFill="1" applyBorder="1" applyAlignment="1">
      <alignment horizontal="centerContinuous" vertical="center"/>
    </xf>
    <xf numFmtId="1" fontId="30" fillId="4" borderId="9" xfId="0" applyNumberFormat="1" applyFont="1" applyFill="1" applyBorder="1" applyAlignment="1">
      <alignment horizontal="center" vertical="center"/>
    </xf>
    <xf numFmtId="184" fontId="17" fillId="0" borderId="6" xfId="0" applyNumberFormat="1" applyFont="1" applyBorder="1"/>
    <xf numFmtId="184" fontId="17" fillId="0" borderId="0" xfId="0" applyNumberFormat="1" applyFont="1"/>
    <xf numFmtId="184" fontId="17" fillId="4" borderId="8" xfId="0" applyNumberFormat="1" applyFont="1" applyFill="1" applyBorder="1"/>
    <xf numFmtId="184" fontId="35" fillId="0" borderId="6" xfId="0" applyNumberFormat="1" applyFont="1" applyBorder="1"/>
    <xf numFmtId="184" fontId="35" fillId="0" borderId="0" xfId="0" applyNumberFormat="1" applyFont="1"/>
    <xf numFmtId="184" fontId="35" fillId="4" borderId="7" xfId="0" applyNumberFormat="1" applyFont="1" applyFill="1" applyBorder="1"/>
    <xf numFmtId="184" fontId="17" fillId="4" borderId="7" xfId="0" applyNumberFormat="1" applyFont="1" applyFill="1" applyBorder="1"/>
    <xf numFmtId="184" fontId="19" fillId="0" borderId="3" xfId="0" applyNumberFormat="1" applyFont="1" applyBorder="1"/>
    <xf numFmtId="184" fontId="19" fillId="0" borderId="4" xfId="0" applyNumberFormat="1" applyFont="1" applyBorder="1"/>
    <xf numFmtId="184" fontId="19" fillId="4" borderId="9" xfId="0" applyNumberFormat="1" applyFont="1" applyFill="1" applyBorder="1"/>
    <xf numFmtId="185" fontId="12" fillId="0" borderId="0" xfId="0" applyNumberFormat="1" applyFont="1" applyAlignment="1">
      <alignment vertical="center"/>
    </xf>
    <xf numFmtId="185" fontId="12" fillId="0" borderId="16" xfId="0" applyNumberFormat="1" applyFont="1" applyBorder="1" applyAlignment="1">
      <alignment vertical="center"/>
    </xf>
    <xf numFmtId="37" fontId="28" fillId="0" borderId="0" xfId="7" applyNumberFormat="1"/>
    <xf numFmtId="37" fontId="42" fillId="0" borderId="0" xfId="7" applyNumberFormat="1" applyFont="1"/>
    <xf numFmtId="3" fontId="29" fillId="2" borderId="0" xfId="0" applyNumberFormat="1" applyFont="1" applyFill="1"/>
    <xf numFmtId="179" fontId="42" fillId="0" borderId="0" xfId="7" applyNumberFormat="1" applyFont="1"/>
    <xf numFmtId="3" fontId="42" fillId="0" borderId="0" xfId="7" applyNumberFormat="1" applyFont="1" applyAlignment="1">
      <alignment horizontal="left"/>
    </xf>
    <xf numFmtId="3" fontId="42" fillId="2" borderId="0" xfId="7" applyNumberFormat="1" applyFont="1" applyFill="1"/>
    <xf numFmtId="3" fontId="42" fillId="0" borderId="0" xfId="7" applyNumberFormat="1" applyFont="1" applyAlignment="1">
      <alignment horizontal="left" vertical="center"/>
    </xf>
    <xf numFmtId="170" fontId="0" fillId="2" borderId="7" xfId="0" applyNumberFormat="1" applyFill="1" applyBorder="1" applyAlignment="1">
      <alignment horizontal="left" indent="1"/>
    </xf>
    <xf numFmtId="1" fontId="0" fillId="2" borderId="8" xfId="0" applyNumberFormat="1" applyFill="1" applyBorder="1" applyAlignment="1">
      <alignment horizontal="center" vertical="center"/>
    </xf>
    <xf numFmtId="167" fontId="22" fillId="0" borderId="11" xfId="0" applyNumberFormat="1" applyFont="1" applyBorder="1"/>
    <xf numFmtId="167" fontId="21" fillId="0" borderId="3" xfId="0" applyNumberFormat="1" applyFont="1" applyBorder="1"/>
    <xf numFmtId="171" fontId="22" fillId="0" borderId="11" xfId="0" applyNumberFormat="1" applyFont="1" applyBorder="1"/>
    <xf numFmtId="171" fontId="22" fillId="0" borderId="10" xfId="0" applyNumberFormat="1" applyFont="1" applyBorder="1"/>
    <xf numFmtId="179" fontId="7" fillId="0" borderId="0" xfId="0" applyFont="1"/>
    <xf numFmtId="37" fontId="43" fillId="0" borderId="7" xfId="0" applyNumberFormat="1" applyFont="1" applyBorder="1"/>
    <xf numFmtId="3" fontId="43" fillId="0" borderId="6" xfId="0" applyNumberFormat="1" applyFont="1" applyBorder="1"/>
    <xf numFmtId="3" fontId="43" fillId="0" borderId="0" xfId="0" applyNumberFormat="1" applyFont="1"/>
    <xf numFmtId="3" fontId="43" fillId="0" borderId="7" xfId="0" applyNumberFormat="1" applyFont="1" applyBorder="1"/>
    <xf numFmtId="168" fontId="43" fillId="0" borderId="7" xfId="0" applyNumberFormat="1" applyFont="1" applyBorder="1"/>
    <xf numFmtId="168" fontId="43" fillId="0" borderId="1" xfId="0" applyNumberFormat="1" applyFont="1" applyBorder="1"/>
    <xf numFmtId="174" fontId="43" fillId="0" borderId="7" xfId="0" applyNumberFormat="1" applyFont="1" applyBorder="1"/>
    <xf numFmtId="179" fontId="43" fillId="0" borderId="0" xfId="0" applyFont="1"/>
    <xf numFmtId="179" fontId="29" fillId="2" borderId="8" xfId="0" applyFont="1" applyFill="1" applyBorder="1"/>
    <xf numFmtId="179" fontId="44" fillId="0" borderId="0" xfId="0" applyFont="1"/>
    <xf numFmtId="179" fontId="29" fillId="2" borderId="9" xfId="0" applyFont="1" applyFill="1" applyBorder="1"/>
    <xf numFmtId="1" fontId="30" fillId="2" borderId="10" xfId="0" applyNumberFormat="1" applyFont="1" applyFill="1" applyBorder="1" applyAlignment="1">
      <alignment horizontal="center" vertical="center"/>
    </xf>
    <xf numFmtId="3" fontId="30" fillId="2" borderId="5" xfId="0" applyNumberFormat="1" applyFont="1" applyFill="1" applyBorder="1" applyAlignment="1">
      <alignment horizontal="center" vertical="center"/>
    </xf>
    <xf numFmtId="3" fontId="12" fillId="2" borderId="11" xfId="0" applyNumberFormat="1" applyFont="1" applyFill="1" applyBorder="1" applyAlignment="1">
      <alignment vertical="center"/>
    </xf>
    <xf numFmtId="3" fontId="12" fillId="2" borderId="10" xfId="0" applyNumberFormat="1" applyFont="1" applyFill="1" applyBorder="1" applyAlignment="1">
      <alignment vertical="center"/>
    </xf>
    <xf numFmtId="168" fontId="12" fillId="2" borderId="6" xfId="6" applyNumberFormat="1" applyFont="1" applyFill="1" applyBorder="1" applyAlignment="1">
      <alignment horizontal="right"/>
    </xf>
    <xf numFmtId="170" fontId="0" fillId="2" borderId="16" xfId="0" applyNumberFormat="1" applyFill="1" applyBorder="1" applyAlignment="1">
      <alignment vertical="center"/>
    </xf>
    <xf numFmtId="168" fontId="14" fillId="4" borderId="6" xfId="6" applyNumberFormat="1" applyFont="1" applyFill="1" applyBorder="1" applyAlignment="1">
      <alignment horizontal="right"/>
    </xf>
    <xf numFmtId="170" fontId="14" fillId="4" borderId="16" xfId="0" applyNumberFormat="1" applyFont="1" applyFill="1" applyBorder="1" applyAlignment="1">
      <alignment vertical="center"/>
    </xf>
    <xf numFmtId="170" fontId="12" fillId="2" borderId="16" xfId="0" applyNumberFormat="1" applyFont="1" applyFill="1" applyBorder="1" applyAlignment="1">
      <alignment horizontal="right"/>
    </xf>
    <xf numFmtId="170" fontId="12" fillId="2" borderId="16" xfId="0" applyNumberFormat="1" applyFont="1" applyFill="1" applyBorder="1" applyAlignment="1">
      <alignment vertical="center"/>
    </xf>
    <xf numFmtId="168" fontId="12" fillId="2" borderId="3" xfId="6" applyNumberFormat="1" applyFont="1" applyFill="1" applyBorder="1" applyAlignment="1">
      <alignment horizontal="right"/>
    </xf>
    <xf numFmtId="170" fontId="12" fillId="2" borderId="5" xfId="0" applyNumberFormat="1" applyFont="1" applyFill="1" applyBorder="1" applyAlignment="1">
      <alignment vertical="center"/>
    </xf>
    <xf numFmtId="170" fontId="0" fillId="2" borderId="6" xfId="0" applyNumberFormat="1" applyFill="1" applyBorder="1" applyAlignment="1">
      <alignment vertical="center"/>
    </xf>
    <xf numFmtId="170" fontId="14" fillId="4" borderId="6" xfId="0" applyNumberFormat="1" applyFont="1" applyFill="1" applyBorder="1" applyAlignment="1">
      <alignment vertical="center"/>
    </xf>
    <xf numFmtId="170" fontId="12" fillId="2" borderId="6" xfId="0" applyNumberFormat="1" applyFont="1" applyFill="1" applyBorder="1" applyAlignment="1">
      <alignment vertical="center"/>
    </xf>
    <xf numFmtId="170" fontId="12" fillId="2" borderId="3" xfId="0" applyNumberFormat="1" applyFont="1" applyFill="1" applyBorder="1" applyAlignment="1">
      <alignment vertical="center"/>
    </xf>
    <xf numFmtId="168" fontId="35" fillId="0" borderId="15" xfId="6" applyNumberFormat="1" applyFont="1" applyFill="1" applyBorder="1" applyAlignment="1">
      <alignment horizontal="right"/>
    </xf>
    <xf numFmtId="170" fontId="35" fillId="0" borderId="13" xfId="0" applyNumberFormat="1" applyFont="1" applyBorder="1" applyAlignment="1">
      <alignment vertical="center"/>
    </xf>
    <xf numFmtId="170" fontId="35" fillId="0" borderId="15" xfId="0" applyNumberFormat="1" applyFont="1" applyBorder="1" applyAlignment="1">
      <alignment vertical="center"/>
    </xf>
    <xf numFmtId="3" fontId="14" fillId="4" borderId="6" xfId="6" applyNumberFormat="1" applyFont="1" applyFill="1" applyBorder="1" applyAlignment="1">
      <alignment horizontal="right" vertical="center"/>
    </xf>
    <xf numFmtId="3" fontId="14" fillId="4" borderId="16" xfId="6" applyNumberFormat="1" applyFont="1" applyFill="1" applyBorder="1" applyAlignment="1">
      <alignment horizontal="right" vertical="center"/>
    </xf>
    <xf numFmtId="185" fontId="14" fillId="4" borderId="6" xfId="6" applyNumberFormat="1" applyFont="1" applyFill="1" applyBorder="1" applyAlignment="1">
      <alignment horizontal="right" vertical="center"/>
    </xf>
    <xf numFmtId="185" fontId="14" fillId="4" borderId="16" xfId="6" applyNumberFormat="1" applyFont="1" applyFill="1" applyBorder="1" applyAlignment="1">
      <alignment horizontal="right" vertical="center"/>
    </xf>
    <xf numFmtId="177" fontId="21" fillId="0" borderId="0" xfId="0" applyNumberFormat="1" applyFont="1"/>
    <xf numFmtId="177" fontId="21" fillId="0" borderId="4" xfId="0" applyNumberFormat="1" applyFont="1" applyBorder="1"/>
    <xf numFmtId="179" fontId="43" fillId="0" borderId="7" xfId="0" applyFont="1" applyBorder="1"/>
    <xf numFmtId="185" fontId="29" fillId="5" borderId="6" xfId="0" applyNumberFormat="1" applyFont="1" applyFill="1" applyBorder="1" applyAlignment="1">
      <alignment horizontal="right" vertical="center"/>
    </xf>
    <xf numFmtId="184" fontId="29" fillId="5" borderId="6" xfId="0" applyNumberFormat="1" applyFont="1" applyFill="1" applyBorder="1" applyAlignment="1">
      <alignment horizontal="right" vertical="center"/>
    </xf>
    <xf numFmtId="184" fontId="29" fillId="5" borderId="16" xfId="0" applyNumberFormat="1" applyFont="1" applyFill="1" applyBorder="1" applyAlignment="1">
      <alignment horizontal="right" vertical="center"/>
    </xf>
    <xf numFmtId="185" fontId="29" fillId="5" borderId="0" xfId="0" applyNumberFormat="1" applyFont="1" applyFill="1" applyAlignment="1">
      <alignment horizontal="right" vertical="center"/>
    </xf>
    <xf numFmtId="185" fontId="29" fillId="5" borderId="3" xfId="0" applyNumberFormat="1" applyFont="1" applyFill="1" applyBorder="1" applyAlignment="1">
      <alignment horizontal="right" vertical="center"/>
    </xf>
    <xf numFmtId="185" fontId="29" fillId="5" borderId="4" xfId="0" applyNumberFormat="1" applyFont="1" applyFill="1" applyBorder="1" applyAlignment="1">
      <alignment horizontal="right" vertical="center"/>
    </xf>
    <xf numFmtId="184" fontId="29" fillId="5" borderId="3" xfId="0" applyNumberFormat="1" applyFont="1" applyFill="1" applyBorder="1" applyAlignment="1">
      <alignment horizontal="right" vertical="center"/>
    </xf>
    <xf numFmtId="184" fontId="29" fillId="5" borderId="5" xfId="0" applyNumberFormat="1" applyFont="1" applyFill="1" applyBorder="1" applyAlignment="1">
      <alignment horizontal="right" vertical="center"/>
    </xf>
    <xf numFmtId="179" fontId="44" fillId="0" borderId="6" xfId="0" applyFont="1" applyBorder="1"/>
    <xf numFmtId="3" fontId="22" fillId="4" borderId="8" xfId="0" applyNumberFormat="1" applyFont="1" applyFill="1" applyBorder="1"/>
    <xf numFmtId="3" fontId="43" fillId="4" borderId="7" xfId="0" applyNumberFormat="1" applyFont="1" applyFill="1" applyBorder="1"/>
    <xf numFmtId="3" fontId="21" fillId="4" borderId="7" xfId="0" applyNumberFormat="1" applyFont="1" applyFill="1" applyBorder="1"/>
    <xf numFmtId="177" fontId="21" fillId="4" borderId="9" xfId="0" applyNumberFormat="1" applyFont="1" applyFill="1" applyBorder="1"/>
    <xf numFmtId="3" fontId="44" fillId="0" borderId="8" xfId="0" applyNumberFormat="1" applyFont="1" applyBorder="1"/>
    <xf numFmtId="3" fontId="44" fillId="0" borderId="9" xfId="0" applyNumberFormat="1" applyFont="1" applyBorder="1"/>
    <xf numFmtId="171" fontId="43" fillId="0" borderId="0" xfId="0" applyNumberFormat="1" applyFont="1"/>
    <xf numFmtId="170" fontId="17" fillId="0" borderId="11" xfId="0" applyNumberFormat="1" applyFont="1" applyBorder="1" applyAlignment="1">
      <alignment vertical="center"/>
    </xf>
    <xf numFmtId="170" fontId="17" fillId="0" borderId="10" xfId="0" applyNumberFormat="1" applyFont="1" applyBorder="1" applyAlignment="1">
      <alignment vertical="center"/>
    </xf>
    <xf numFmtId="185" fontId="37" fillId="0" borderId="6" xfId="0" applyNumberFormat="1" applyFont="1" applyBorder="1" applyAlignment="1">
      <alignment vertical="center"/>
    </xf>
    <xf numFmtId="185" fontId="37" fillId="0" borderId="16" xfId="0" applyNumberFormat="1" applyFont="1" applyBorder="1" applyAlignment="1">
      <alignment vertical="center"/>
    </xf>
    <xf numFmtId="185" fontId="0" fillId="0" borderId="6" xfId="0" applyNumberFormat="1" applyBorder="1" applyAlignment="1">
      <alignment vertical="center"/>
    </xf>
    <xf numFmtId="185" fontId="0" fillId="0" borderId="16" xfId="0" applyNumberFormat="1" applyBorder="1" applyAlignment="1">
      <alignment vertical="center"/>
    </xf>
    <xf numFmtId="3" fontId="0" fillId="0" borderId="6" xfId="0" applyNumberFormat="1" applyBorder="1" applyAlignment="1">
      <alignment vertical="center"/>
    </xf>
    <xf numFmtId="3" fontId="0" fillId="0" borderId="16" xfId="0" applyNumberFormat="1" applyBorder="1" applyAlignment="1">
      <alignment vertical="center"/>
    </xf>
    <xf numFmtId="185" fontId="35" fillId="0" borderId="6" xfId="0" applyNumberFormat="1" applyFont="1" applyBorder="1" applyAlignment="1">
      <alignment vertical="center"/>
    </xf>
    <xf numFmtId="185" fontId="35" fillId="0" borderId="16" xfId="0" applyNumberFormat="1" applyFont="1" applyBorder="1" applyAlignment="1">
      <alignment vertical="center"/>
    </xf>
    <xf numFmtId="3" fontId="35" fillId="0" borderId="6" xfId="0" applyNumberFormat="1" applyFont="1" applyBorder="1" applyAlignment="1">
      <alignment vertical="center"/>
    </xf>
    <xf numFmtId="3" fontId="35" fillId="0" borderId="16" xfId="0" applyNumberFormat="1" applyFont="1" applyBorder="1" applyAlignment="1">
      <alignment vertical="center"/>
    </xf>
    <xf numFmtId="185" fontId="14" fillId="0" borderId="6" xfId="0" applyNumberFormat="1" applyFont="1" applyBorder="1" applyAlignment="1">
      <alignment vertical="center"/>
    </xf>
    <xf numFmtId="185" fontId="14" fillId="0" borderId="16" xfId="0" applyNumberFormat="1" applyFont="1" applyBorder="1" applyAlignment="1">
      <alignment vertical="center"/>
    </xf>
    <xf numFmtId="3" fontId="14" fillId="0" borderId="6" xfId="0" applyNumberFormat="1" applyFont="1" applyBorder="1" applyAlignment="1">
      <alignment vertical="center"/>
    </xf>
    <xf numFmtId="3" fontId="14" fillId="0" borderId="16" xfId="0" applyNumberFormat="1" applyFont="1" applyBorder="1" applyAlignment="1">
      <alignment vertical="center"/>
    </xf>
    <xf numFmtId="184" fontId="17" fillId="0" borderId="11" xfId="0" applyNumberFormat="1" applyFont="1" applyBorder="1" applyAlignment="1">
      <alignment vertical="center"/>
    </xf>
    <xf numFmtId="184" fontId="17" fillId="0" borderId="12" xfId="0" applyNumberFormat="1" applyFont="1" applyBorder="1" applyAlignment="1">
      <alignment vertical="center"/>
    </xf>
    <xf numFmtId="184" fontId="17" fillId="0" borderId="10" xfId="0" applyNumberFormat="1" applyFont="1" applyBorder="1" applyAlignment="1">
      <alignment vertical="center"/>
    </xf>
    <xf numFmtId="184" fontId="17" fillId="4" borderId="8" xfId="0" applyNumberFormat="1" applyFont="1" applyFill="1" applyBorder="1" applyAlignment="1">
      <alignment vertical="center"/>
    </xf>
    <xf numFmtId="184" fontId="37" fillId="0" borderId="6" xfId="0" applyNumberFormat="1" applyFont="1" applyBorder="1" applyAlignment="1">
      <alignment vertical="center"/>
    </xf>
    <xf numFmtId="184" fontId="37" fillId="0" borderId="0" xfId="0" applyNumberFormat="1" applyFont="1" applyAlignment="1">
      <alignment vertical="center"/>
    </xf>
    <xf numFmtId="184" fontId="37" fillId="4" borderId="7" xfId="0" applyNumberFormat="1" applyFont="1" applyFill="1" applyBorder="1" applyAlignment="1">
      <alignment vertical="center"/>
    </xf>
    <xf numFmtId="184" fontId="17" fillId="0" borderId="6" xfId="0" applyNumberFormat="1" applyFont="1" applyBorder="1" applyAlignment="1">
      <alignment vertical="center"/>
    </xf>
    <xf numFmtId="184" fontId="17" fillId="0" borderId="0" xfId="0" applyNumberFormat="1" applyFont="1" applyAlignment="1">
      <alignment vertical="center"/>
    </xf>
    <xf numFmtId="184" fontId="17" fillId="4" borderId="7" xfId="0" applyNumberFormat="1" applyFont="1" applyFill="1" applyBorder="1" applyAlignment="1">
      <alignment vertical="center"/>
    </xf>
    <xf numFmtId="184" fontId="19" fillId="4" borderId="6" xfId="0" applyNumberFormat="1" applyFont="1" applyFill="1" applyBorder="1" applyAlignment="1">
      <alignment vertical="center"/>
    </xf>
    <xf numFmtId="184" fontId="19" fillId="4" borderId="0" xfId="0" applyNumberFormat="1" applyFont="1" applyFill="1" applyAlignment="1">
      <alignment vertical="center"/>
    </xf>
    <xf numFmtId="184" fontId="16" fillId="0" borderId="6" xfId="0" applyNumberFormat="1" applyFont="1" applyBorder="1" applyAlignment="1">
      <alignment vertical="center"/>
    </xf>
    <xf numFmtId="184" fontId="16" fillId="0" borderId="0" xfId="0" applyNumberFormat="1" applyFont="1" applyAlignment="1">
      <alignment vertical="center"/>
    </xf>
    <xf numFmtId="184" fontId="16" fillId="4" borderId="7" xfId="0" applyNumberFormat="1" applyFont="1" applyFill="1" applyBorder="1" applyAlignment="1">
      <alignment vertical="center"/>
    </xf>
    <xf numFmtId="184" fontId="17" fillId="0" borderId="3" xfId="0" applyNumberFormat="1" applyFont="1" applyBorder="1" applyAlignment="1">
      <alignment vertical="center"/>
    </xf>
    <xf numFmtId="184" fontId="17" fillId="0" borderId="4" xfId="0" applyNumberFormat="1" applyFont="1" applyBorder="1" applyAlignment="1">
      <alignment vertical="center"/>
    </xf>
    <xf numFmtId="184" fontId="17" fillId="4" borderId="9" xfId="0" applyNumberFormat="1" applyFont="1" applyFill="1" applyBorder="1" applyAlignment="1">
      <alignment vertical="center"/>
    </xf>
    <xf numFmtId="184" fontId="21" fillId="0" borderId="16" xfId="0" applyNumberFormat="1" applyFont="1" applyBorder="1"/>
    <xf numFmtId="184" fontId="21" fillId="4" borderId="8" xfId="0" applyNumberFormat="1" applyFont="1" applyFill="1" applyBorder="1"/>
    <xf numFmtId="184" fontId="43" fillId="0" borderId="16" xfId="0" applyNumberFormat="1" applyFont="1" applyBorder="1"/>
    <xf numFmtId="184" fontId="43" fillId="4" borderId="7" xfId="0" applyNumberFormat="1" applyFont="1" applyFill="1" applyBorder="1"/>
    <xf numFmtId="184" fontId="20" fillId="0" borderId="16" xfId="0" applyNumberFormat="1" applyFont="1" applyBorder="1"/>
    <xf numFmtId="184" fontId="20" fillId="4" borderId="7" xfId="0" applyNumberFormat="1" applyFont="1" applyFill="1" applyBorder="1"/>
    <xf numFmtId="184" fontId="21" fillId="4" borderId="7" xfId="0" applyNumberFormat="1" applyFont="1" applyFill="1" applyBorder="1"/>
    <xf numFmtId="184" fontId="21" fillId="0" borderId="4" xfId="0" applyNumberFormat="1" applyFont="1" applyBorder="1"/>
    <xf numFmtId="184" fontId="21" fillId="0" borderId="5" xfId="0" applyNumberFormat="1" applyFont="1" applyBorder="1"/>
    <xf numFmtId="184" fontId="21" fillId="4" borderId="9" xfId="0" applyNumberFormat="1" applyFont="1" applyFill="1" applyBorder="1"/>
    <xf numFmtId="184" fontId="21" fillId="0" borderId="0" xfId="0" applyNumberFormat="1" applyFont="1"/>
    <xf numFmtId="184" fontId="43" fillId="0" borderId="0" xfId="0" applyNumberFormat="1" applyFont="1"/>
    <xf numFmtId="184" fontId="20" fillId="0" borderId="0" xfId="0" applyNumberFormat="1" applyFont="1"/>
    <xf numFmtId="185" fontId="21" fillId="0" borderId="0" xfId="0" applyNumberFormat="1" applyFont="1"/>
    <xf numFmtId="179" fontId="43" fillId="0" borderId="8" xfId="0" applyFont="1" applyBorder="1"/>
    <xf numFmtId="184" fontId="43" fillId="0" borderId="12" xfId="0" applyNumberFormat="1" applyFont="1" applyBorder="1"/>
    <xf numFmtId="184" fontId="43" fillId="0" borderId="10" xfId="0" applyNumberFormat="1" applyFont="1" applyBorder="1"/>
    <xf numFmtId="184" fontId="43" fillId="4" borderId="8" xfId="0" applyNumberFormat="1" applyFont="1" applyFill="1" applyBorder="1"/>
    <xf numFmtId="185" fontId="35" fillId="0" borderId="11" xfId="0" applyNumberFormat="1" applyFont="1" applyBorder="1" applyAlignment="1">
      <alignment vertical="center"/>
    </xf>
    <xf numFmtId="185" fontId="35" fillId="0" borderId="10" xfId="0" applyNumberFormat="1" applyFont="1" applyBorder="1" applyAlignment="1">
      <alignment vertical="center"/>
    </xf>
    <xf numFmtId="3" fontId="35" fillId="0" borderId="11" xfId="0" applyNumberFormat="1" applyFont="1" applyBorder="1" applyAlignment="1">
      <alignment vertical="center"/>
    </xf>
    <xf numFmtId="3" fontId="35" fillId="0" borderId="10" xfId="0" applyNumberFormat="1" applyFont="1" applyBorder="1" applyAlignment="1">
      <alignment vertical="center"/>
    </xf>
    <xf numFmtId="185" fontId="0" fillId="0" borderId="3" xfId="0" applyNumberFormat="1" applyBorder="1" applyAlignment="1">
      <alignment vertical="center"/>
    </xf>
    <xf numFmtId="185" fontId="0" fillId="0" borderId="5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185" fontId="37" fillId="0" borderId="10" xfId="0" applyNumberFormat="1" applyFont="1" applyBorder="1" applyAlignment="1">
      <alignment vertical="center"/>
    </xf>
    <xf numFmtId="3" fontId="37" fillId="0" borderId="11" xfId="0" applyNumberFormat="1" applyFont="1" applyBorder="1" applyAlignment="1">
      <alignment vertical="center"/>
    </xf>
    <xf numFmtId="3" fontId="37" fillId="0" borderId="10" xfId="0" applyNumberFormat="1" applyFont="1" applyBorder="1" applyAlignment="1">
      <alignment vertical="center"/>
    </xf>
    <xf numFmtId="3" fontId="7" fillId="0" borderId="7" xfId="0" applyNumberFormat="1" applyFont="1" applyBorder="1"/>
    <xf numFmtId="183" fontId="0" fillId="0" borderId="0" xfId="0" applyNumberFormat="1" applyAlignment="1">
      <alignment horizontal="center" vertical="center"/>
    </xf>
    <xf numFmtId="1" fontId="14" fillId="4" borderId="7" xfId="0" applyNumberFormat="1" applyFont="1" applyFill="1" applyBorder="1" applyAlignment="1">
      <alignment horizontal="center" vertical="center"/>
    </xf>
    <xf numFmtId="183" fontId="14" fillId="0" borderId="6" xfId="0" applyNumberFormat="1" applyFont="1" applyBorder="1" applyAlignment="1">
      <alignment horizontal="center" vertical="center"/>
    </xf>
    <xf numFmtId="3" fontId="14" fillId="2" borderId="16" xfId="0" applyNumberFormat="1" applyFont="1" applyFill="1" applyBorder="1" applyAlignment="1">
      <alignment horizontal="center" vertical="center"/>
    </xf>
    <xf numFmtId="3" fontId="14" fillId="2" borderId="6" xfId="0" applyNumberFormat="1" applyFont="1" applyFill="1" applyBorder="1" applyAlignment="1">
      <alignment horizontal="center" vertical="center"/>
    </xf>
    <xf numFmtId="185" fontId="0" fillId="0" borderId="0" xfId="0" applyNumberFormat="1"/>
    <xf numFmtId="186" fontId="37" fillId="0" borderId="11" xfId="0" applyNumberFormat="1" applyFont="1" applyBorder="1" applyAlignment="1">
      <alignment vertical="center"/>
    </xf>
    <xf numFmtId="3" fontId="37" fillId="0" borderId="0" xfId="0" applyNumberFormat="1" applyFont="1" applyAlignment="1">
      <alignment vertical="center"/>
    </xf>
    <xf numFmtId="3" fontId="19" fillId="4" borderId="0" xfId="0" applyNumberFormat="1" applyFont="1" applyFill="1" applyAlignment="1">
      <alignment vertical="center"/>
    </xf>
    <xf numFmtId="179" fontId="29" fillId="0" borderId="10" xfId="0" applyFont="1" applyBorder="1" applyAlignment="1">
      <alignment horizontal="centerContinuous"/>
    </xf>
    <xf numFmtId="179" fontId="29" fillId="0" borderId="3" xfId="0" applyFont="1" applyBorder="1" applyAlignment="1">
      <alignment horizontal="centerContinuous"/>
    </xf>
    <xf numFmtId="179" fontId="29" fillId="0" borderId="5" xfId="0" applyFont="1" applyBorder="1" applyAlignment="1">
      <alignment horizontal="centerContinuous"/>
    </xf>
    <xf numFmtId="179" fontId="30" fillId="0" borderId="11" xfId="0" applyFont="1" applyBorder="1" applyAlignment="1">
      <alignment horizontal="centerContinuous"/>
    </xf>
    <xf numFmtId="179" fontId="0" fillId="0" borderId="11" xfId="0" applyBorder="1"/>
    <xf numFmtId="179" fontId="0" fillId="0" borderId="6" xfId="0" applyBorder="1"/>
    <xf numFmtId="179" fontId="0" fillId="0" borderId="3" xfId="0" applyBorder="1"/>
    <xf numFmtId="179" fontId="29" fillId="0" borderId="6" xfId="0" applyFont="1" applyBorder="1"/>
    <xf numFmtId="179" fontId="0" fillId="0" borderId="16" xfId="0" applyBorder="1" applyAlignment="1">
      <alignment horizontal="center"/>
    </xf>
    <xf numFmtId="179" fontId="29" fillId="0" borderId="16" xfId="0" applyFont="1" applyBorder="1" applyAlignment="1">
      <alignment horizontal="center"/>
    </xf>
    <xf numFmtId="179" fontId="0" fillId="0" borderId="5" xfId="0" applyBorder="1" applyAlignment="1">
      <alignment horizontal="center"/>
    </xf>
    <xf numFmtId="179" fontId="0" fillId="0" borderId="0" xfId="0" applyAlignment="1">
      <alignment horizontal="center"/>
    </xf>
    <xf numFmtId="179" fontId="0" fillId="0" borderId="10" xfId="0" applyBorder="1" applyAlignment="1">
      <alignment horizontal="center"/>
    </xf>
    <xf numFmtId="3" fontId="47" fillId="0" borderId="0" xfId="0" applyNumberFormat="1" applyFont="1" applyAlignment="1">
      <alignment vertical="center"/>
    </xf>
    <xf numFmtId="3" fontId="47" fillId="0" borderId="12" xfId="0" applyNumberFormat="1" applyFont="1" applyBorder="1" applyAlignment="1">
      <alignment vertical="center"/>
    </xf>
    <xf numFmtId="179" fontId="47" fillId="0" borderId="0" xfId="0" applyFont="1"/>
    <xf numFmtId="3" fontId="48" fillId="0" borderId="0" xfId="0" applyNumberFormat="1" applyFont="1" applyAlignment="1">
      <alignment vertical="center"/>
    </xf>
    <xf numFmtId="171" fontId="47" fillId="0" borderId="0" xfId="0" applyNumberFormat="1" applyFont="1" applyAlignment="1">
      <alignment vertical="center"/>
    </xf>
    <xf numFmtId="179" fontId="48" fillId="0" borderId="0" xfId="0" applyFont="1" applyAlignment="1">
      <alignment vertical="center"/>
    </xf>
    <xf numFmtId="176" fontId="47" fillId="0" borderId="0" xfId="0" applyNumberFormat="1" applyFont="1" applyAlignment="1">
      <alignment vertical="center"/>
    </xf>
    <xf numFmtId="179" fontId="47" fillId="0" borderId="0" xfId="0" applyFont="1" applyAlignment="1">
      <alignment vertical="center"/>
    </xf>
    <xf numFmtId="183" fontId="30" fillId="0" borderId="9" xfId="0" applyNumberFormat="1" applyFont="1" applyBorder="1" applyAlignment="1">
      <alignment horizontal="center" vertical="center"/>
    </xf>
    <xf numFmtId="3" fontId="17" fillId="0" borderId="8" xfId="0" applyNumberFormat="1" applyFont="1" applyBorder="1" applyAlignment="1">
      <alignment vertical="center"/>
    </xf>
    <xf numFmtId="3" fontId="16" fillId="0" borderId="7" xfId="0" applyNumberFormat="1" applyFont="1" applyBorder="1" applyAlignment="1">
      <alignment vertical="center"/>
    </xf>
    <xf numFmtId="3" fontId="17" fillId="0" borderId="9" xfId="0" applyNumberFormat="1" applyFont="1" applyBorder="1" applyAlignment="1">
      <alignment vertical="center"/>
    </xf>
    <xf numFmtId="170" fontId="17" fillId="0" borderId="8" xfId="0" applyNumberFormat="1" applyFont="1" applyBorder="1" applyAlignment="1">
      <alignment horizontal="center" vertical="center"/>
    </xf>
    <xf numFmtId="185" fontId="37" fillId="0" borderId="7" xfId="0" applyNumberFormat="1" applyFont="1" applyBorder="1" applyAlignment="1">
      <alignment horizontal="center" vertical="center"/>
    </xf>
    <xf numFmtId="185" fontId="17" fillId="0" borderId="7" xfId="0" applyNumberFormat="1" applyFont="1" applyBorder="1" applyAlignment="1">
      <alignment horizontal="center" vertical="center"/>
    </xf>
    <xf numFmtId="185" fontId="19" fillId="4" borderId="7" xfId="0" applyNumberFormat="1" applyFont="1" applyFill="1" applyBorder="1" applyAlignment="1">
      <alignment horizontal="center" vertical="center"/>
    </xf>
    <xf numFmtId="185" fontId="16" fillId="0" borderId="7" xfId="0" applyNumberFormat="1" applyFont="1" applyBorder="1" applyAlignment="1">
      <alignment horizontal="center" vertical="center"/>
    </xf>
    <xf numFmtId="185" fontId="17" fillId="0" borderId="9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1" fontId="29" fillId="0" borderId="12" xfId="0" applyNumberFormat="1" applyFont="1" applyBorder="1" applyAlignment="1">
      <alignment horizontal="centerContinuous" vertical="center"/>
    </xf>
    <xf numFmtId="1" fontId="12" fillId="0" borderId="12" xfId="0" applyNumberFormat="1" applyFont="1" applyBorder="1" applyAlignment="1">
      <alignment horizontal="centerContinuous" vertical="center"/>
    </xf>
    <xf numFmtId="179" fontId="21" fillId="7" borderId="0" xfId="0" applyFont="1" applyFill="1"/>
    <xf numFmtId="182" fontId="21" fillId="7" borderId="0" xfId="0" applyNumberFormat="1" applyFont="1" applyFill="1"/>
    <xf numFmtId="1" fontId="12" fillId="7" borderId="12" xfId="0" applyNumberFormat="1" applyFont="1" applyFill="1" applyBorder="1" applyAlignment="1">
      <alignment horizontal="centerContinuous" vertical="center"/>
    </xf>
    <xf numFmtId="183" fontId="12" fillId="7" borderId="4" xfId="0" applyNumberFormat="1" applyFont="1" applyFill="1" applyBorder="1" applyAlignment="1">
      <alignment horizontal="center" vertical="center"/>
    </xf>
    <xf numFmtId="3" fontId="21" fillId="7" borderId="0" xfId="0" applyNumberFormat="1" applyFont="1" applyFill="1"/>
    <xf numFmtId="3" fontId="22" fillId="7" borderId="0" xfId="0" applyNumberFormat="1" applyFont="1" applyFill="1"/>
    <xf numFmtId="3" fontId="20" fillId="7" borderId="0" xfId="0" applyNumberFormat="1" applyFont="1" applyFill="1"/>
    <xf numFmtId="3" fontId="21" fillId="7" borderId="4" xfId="0" applyNumberFormat="1" applyFont="1" applyFill="1" applyBorder="1"/>
    <xf numFmtId="171" fontId="21" fillId="7" borderId="0" xfId="0" applyNumberFormat="1" applyFont="1" applyFill="1"/>
    <xf numFmtId="171" fontId="20" fillId="7" borderId="0" xfId="0" applyNumberFormat="1" applyFont="1" applyFill="1"/>
    <xf numFmtId="168" fontId="21" fillId="7" borderId="0" xfId="0" applyNumberFormat="1" applyFont="1" applyFill="1"/>
    <xf numFmtId="3" fontId="21" fillId="7" borderId="0" xfId="0" applyNumberFormat="1" applyFont="1" applyFill="1" applyProtection="1">
      <protection locked="0"/>
    </xf>
    <xf numFmtId="3" fontId="20" fillId="7" borderId="4" xfId="0" applyNumberFormat="1" applyFont="1" applyFill="1" applyBorder="1"/>
    <xf numFmtId="2" fontId="21" fillId="7" borderId="0" xfId="0" applyNumberFormat="1" applyFont="1" applyFill="1"/>
    <xf numFmtId="3" fontId="21" fillId="7" borderId="12" xfId="0" applyNumberFormat="1" applyFont="1" applyFill="1" applyBorder="1"/>
    <xf numFmtId="179" fontId="0" fillId="7" borderId="0" xfId="0" applyFill="1"/>
    <xf numFmtId="171" fontId="20" fillId="7" borderId="12" xfId="0" applyNumberFormat="1" applyFont="1" applyFill="1" applyBorder="1"/>
    <xf numFmtId="174" fontId="21" fillId="7" borderId="0" xfId="0" applyNumberFormat="1" applyFont="1" applyFill="1"/>
    <xf numFmtId="179" fontId="21" fillId="7" borderId="4" xfId="0" applyFont="1" applyFill="1" applyBorder="1"/>
    <xf numFmtId="171" fontId="20" fillId="7" borderId="14" xfId="0" applyNumberFormat="1" applyFont="1" applyFill="1" applyBorder="1"/>
    <xf numFmtId="174" fontId="22" fillId="7" borderId="0" xfId="0" applyNumberFormat="1" applyFont="1" applyFill="1"/>
    <xf numFmtId="174" fontId="20" fillId="7" borderId="0" xfId="0" applyNumberFormat="1" applyFont="1" applyFill="1"/>
    <xf numFmtId="172" fontId="21" fillId="7" borderId="4" xfId="0" applyNumberFormat="1" applyFont="1" applyFill="1" applyBorder="1"/>
    <xf numFmtId="3" fontId="26" fillId="7" borderId="0" xfId="0" applyNumberFormat="1" applyFont="1" applyFill="1"/>
    <xf numFmtId="4" fontId="21" fillId="7" borderId="0" xfId="0" applyNumberFormat="1" applyFont="1" applyFill="1"/>
    <xf numFmtId="184" fontId="43" fillId="7" borderId="0" xfId="0" applyNumberFormat="1" applyFont="1" applyFill="1"/>
    <xf numFmtId="184" fontId="20" fillId="7" borderId="0" xfId="0" applyNumberFormat="1" applyFont="1" applyFill="1"/>
    <xf numFmtId="184" fontId="21" fillId="7" borderId="0" xfId="0" applyNumberFormat="1" applyFont="1" applyFill="1"/>
    <xf numFmtId="185" fontId="21" fillId="7" borderId="0" xfId="0" applyNumberFormat="1" applyFont="1" applyFill="1"/>
    <xf numFmtId="3" fontId="22" fillId="7" borderId="4" xfId="0" applyNumberFormat="1" applyFont="1" applyFill="1" applyBorder="1"/>
    <xf numFmtId="1" fontId="29" fillId="7" borderId="12" xfId="0" applyNumberFormat="1" applyFont="1" applyFill="1" applyBorder="1" applyAlignment="1">
      <alignment horizontal="centerContinuous" vertical="center"/>
    </xf>
    <xf numFmtId="183" fontId="29" fillId="7" borderId="4" xfId="0" applyNumberFormat="1" applyFont="1" applyFill="1" applyBorder="1" applyAlignment="1">
      <alignment horizontal="center" vertical="center"/>
    </xf>
    <xf numFmtId="184" fontId="21" fillId="7" borderId="4" xfId="0" applyNumberFormat="1" applyFont="1" applyFill="1" applyBorder="1"/>
    <xf numFmtId="184" fontId="43" fillId="7" borderId="12" xfId="0" applyNumberFormat="1" applyFont="1" applyFill="1" applyBorder="1"/>
    <xf numFmtId="185" fontId="0" fillId="7" borderId="0" xfId="0" applyNumberFormat="1" applyFill="1"/>
    <xf numFmtId="183" fontId="0" fillId="7" borderId="0" xfId="0" applyNumberFormat="1" applyFill="1" applyAlignment="1">
      <alignment horizontal="center" vertical="center"/>
    </xf>
    <xf numFmtId="3" fontId="12" fillId="2" borderId="15" xfId="0" applyNumberFormat="1" applyFont="1" applyFill="1" applyBorder="1" applyAlignment="1">
      <alignment horizontal="center" vertical="center"/>
    </xf>
    <xf numFmtId="3" fontId="12" fillId="2" borderId="13" xfId="0" applyNumberFormat="1" applyFont="1" applyFill="1" applyBorder="1" applyAlignment="1">
      <alignment horizontal="center" vertical="center"/>
    </xf>
    <xf numFmtId="3" fontId="30" fillId="2" borderId="15" xfId="0" applyNumberFormat="1" applyFont="1" applyFill="1" applyBorder="1" applyAlignment="1">
      <alignment horizontal="center" vertical="center"/>
    </xf>
    <xf numFmtId="3" fontId="30" fillId="2" borderId="13" xfId="0" applyNumberFormat="1" applyFont="1" applyFill="1" applyBorder="1" applyAlignment="1">
      <alignment horizontal="center" vertical="center"/>
    </xf>
    <xf numFmtId="170" fontId="30" fillId="2" borderId="8" xfId="0" applyNumberFormat="1" applyFont="1" applyFill="1" applyBorder="1" applyAlignment="1">
      <alignment horizontal="center" vertical="center"/>
    </xf>
    <xf numFmtId="170" fontId="30" fillId="2" borderId="9" xfId="0" applyNumberFormat="1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center" vertical="center"/>
    </xf>
    <xf numFmtId="3" fontId="45" fillId="0" borderId="8" xfId="0" applyNumberFormat="1" applyFont="1" applyBorder="1" applyAlignment="1">
      <alignment horizontal="left" vertical="center"/>
    </xf>
    <xf numFmtId="3" fontId="45" fillId="0" borderId="9" xfId="0" applyNumberFormat="1" applyFont="1" applyBorder="1" applyAlignment="1">
      <alignment horizontal="left" vertical="center"/>
    </xf>
    <xf numFmtId="179" fontId="4" fillId="2" borderId="8" xfId="0" applyFont="1" applyFill="1" applyBorder="1"/>
    <xf numFmtId="179" fontId="4" fillId="2" borderId="9" xfId="0" applyFont="1" applyFill="1" applyBorder="1"/>
    <xf numFmtId="179" fontId="4" fillId="2" borderId="12" xfId="0" applyFont="1" applyFill="1" applyBorder="1" applyAlignment="1">
      <alignment horizontal="center"/>
    </xf>
    <xf numFmtId="179" fontId="4" fillId="2" borderId="10" xfId="0" applyFont="1" applyFill="1" applyBorder="1" applyAlignment="1">
      <alignment horizontal="center"/>
    </xf>
    <xf numFmtId="179" fontId="4" fillId="2" borderId="11" xfId="0" applyFont="1" applyFill="1" applyBorder="1" applyAlignment="1">
      <alignment horizontal="center"/>
    </xf>
    <xf numFmtId="167" fontId="4" fillId="2" borderId="15" xfId="0" applyNumberFormat="1" applyFont="1" applyFill="1" applyBorder="1" applyAlignment="1">
      <alignment horizontal="center"/>
    </xf>
    <xf numFmtId="167" fontId="4" fillId="2" borderId="13" xfId="0" applyNumberFormat="1" applyFont="1" applyFill="1" applyBorder="1" applyAlignment="1">
      <alignment horizontal="center"/>
    </xf>
  </cellXfs>
  <cellStyles count="9">
    <cellStyle name="Encabezado 1" xfId="7" builtinId="16" customBuiltin="1"/>
    <cellStyle name="Millares" xfId="1" builtinId="3" hidden="1" customBuiltin="1"/>
    <cellStyle name="Millares" xfId="6" builtinId="3"/>
    <cellStyle name="Millares [0]" xfId="2" builtinId="6" hidden="1"/>
    <cellStyle name="Moneda" xfId="3" builtinId="4" hidden="1"/>
    <cellStyle name="Moneda [0]" xfId="4" builtinId="7" hidden="1"/>
    <cellStyle name="Normal" xfId="0" builtinId="0" customBuiltin="1"/>
    <cellStyle name="Porcentaje" xfId="5" builtinId="5" hidden="1"/>
    <cellStyle name="Texto explicativo" xfId="8" builtinId="53" customBuiltin="1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76826073579752"/>
          <c:y val="4.6896603156354834E-2"/>
          <c:w val="0.91745388673474149"/>
          <c:h val="0.8474189753327042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04D-44BE-BF40-2A2926E3F4F8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04D-44BE-BF40-2A2926E3F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84872"/>
        <c:axId val="401385656"/>
      </c:barChart>
      <c:lineChart>
        <c:grouping val="standard"/>
        <c:varyColors val="0"/>
        <c:ser>
          <c:idx val="2"/>
          <c:order val="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04D-44BE-BF40-2A2926E3F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384872"/>
        <c:axId val="401385656"/>
      </c:lineChart>
      <c:catAx>
        <c:axId val="401384872"/>
        <c:scaling>
          <c:orientation val="minMax"/>
        </c:scaling>
        <c:delete val="0"/>
        <c:axPos val="b"/>
        <c:numFmt formatCode="###,0\.00;\-###,0\.00" sourceLinked="1"/>
        <c:majorTickMark val="cross"/>
        <c:minorTickMark val="none"/>
        <c:tickLblPos val="nextTo"/>
        <c:txPr>
          <a:bodyPr rot="0" vert="horz"/>
          <a:lstStyle/>
          <a:p>
            <a:pPr>
              <a:defRPr lang="es-PE"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4013856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01385656"/>
        <c:scaling>
          <c:orientation val="minMax"/>
          <c:max val="40"/>
        </c:scaling>
        <c:delete val="0"/>
        <c:axPos val="l"/>
        <c:numFmt formatCode="General" sourceLinked="1"/>
        <c:majorTickMark val="cross"/>
        <c:minorTickMark val="none"/>
        <c:tickLblPos val="nextTo"/>
        <c:txPr>
          <a:bodyPr rot="0" vert="horz"/>
          <a:lstStyle/>
          <a:p>
            <a:pPr>
              <a:defRPr lang="es-PE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40138487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"/>
          <c:y val="0.91388819526027276"/>
          <c:w val="1"/>
          <c:h val="6.8308731603537134E-2"/>
        </c:manualLayout>
      </c:layout>
      <c:overlay val="0"/>
      <c:txPr>
        <a:bodyPr/>
        <a:lstStyle/>
        <a:p>
          <a:pPr>
            <a:defRPr lang="es-PE" sz="700" baseline="0"/>
          </a:pPr>
          <a:endParaRPr lang="es-PA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A"/>
    </a:p>
  </c:txPr>
  <c:printSettings>
    <c:headerFooter alignWithMargins="0"/>
    <c:pageMargins b="1" l="0.75000000000001465" r="0.7500000000000146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264580</xdr:colOff>
      <xdr:row>47</xdr:row>
      <xdr:rowOff>51308</xdr:rowOff>
    </xdr:from>
    <xdr:to>
      <xdr:col>133</xdr:col>
      <xdr:colOff>486831</xdr:colOff>
      <xdr:row>62</xdr:row>
      <xdr:rowOff>56862</xdr:rowOff>
    </xdr:to>
    <xdr:graphicFrame macro="">
      <xdr:nvGraphicFramePr>
        <xdr:cNvPr id="2" name="Chart 239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eecono\2679\PRACTICANTES\Marcos%20y%20Adrian\MARCOS\3.%20BASES%20PARA%20ESTAD%20Y%20S&#205;NTESIS\ESTADUCA%20-%20base.xlsx" TargetMode="External"/><Relationship Id="rId1" Type="http://schemas.openxmlformats.org/officeDocument/2006/relationships/externalLinkPath" Target="/eecono/2679/PRACTICANTES/Marcos%20y%20Adrian/MARCOS/3.%20BASES%20PARA%20ESTAD%20Y%20S&#205;NTESIS/ESTADUCA%20-%20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XLS"/>
      <sheetName val="02.XLS"/>
      <sheetName val="03.XLS"/>
      <sheetName val="04.XLS"/>
      <sheetName val="05.XLS"/>
      <sheetName val="06.XLS"/>
      <sheetName val="07.XLS"/>
      <sheetName val="08.XLS"/>
      <sheetName val="09.XLS"/>
      <sheetName val="10.XLS"/>
      <sheetName val="11.XLS-BASE 2007"/>
      <sheetName val="Mincetur"/>
      <sheetName val="13.XLS"/>
      <sheetName val="14.XLS"/>
      <sheetName val="15.XLS"/>
      <sheetName val="16.XLS"/>
      <sheetName val="GASTOS G.N."/>
      <sheetName val="INVERSIÓN G.N."/>
      <sheetName val="INGRESOS G.R."/>
      <sheetName val="GASTOS G.R."/>
      <sheetName val="INVERSIÓN G.R."/>
      <sheetName val="INGRESOS G.L."/>
      <sheetName val="GASTOS G.L."/>
      <sheetName val="INVERSIÓN G.L."/>
      <sheetName val="20.XLS"/>
      <sheetName val="21.XLS"/>
      <sheetName val="22.XLS"/>
      <sheetName val="23.XLS"/>
      <sheetName val="24.XLS"/>
      <sheetName val="Hoja1"/>
      <sheetName val="22.XL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9">
          <cell r="DO9">
            <v>24781</v>
          </cell>
          <cell r="DP9">
            <v>23433</v>
          </cell>
          <cell r="DQ9">
            <v>23332</v>
          </cell>
          <cell r="DR9">
            <v>23995</v>
          </cell>
          <cell r="DS9">
            <v>25468</v>
          </cell>
          <cell r="DT9">
            <v>23503</v>
          </cell>
          <cell r="DU9">
            <v>29700</v>
          </cell>
          <cell r="DV9">
            <v>24610</v>
          </cell>
          <cell r="DW9">
            <v>24075</v>
          </cell>
          <cell r="DX9">
            <v>24906</v>
          </cell>
          <cell r="DY9">
            <v>28450</v>
          </cell>
          <cell r="DZ9">
            <v>33105</v>
          </cell>
          <cell r="EB9">
            <v>27061</v>
          </cell>
          <cell r="EC9">
            <v>27714</v>
          </cell>
          <cell r="ED9">
            <v>26112</v>
          </cell>
          <cell r="EE9">
            <v>26119</v>
          </cell>
          <cell r="EF9">
            <v>28942</v>
          </cell>
          <cell r="EG9">
            <v>26511</v>
          </cell>
          <cell r="EH9">
            <v>33833</v>
          </cell>
          <cell r="EI9">
            <v>27123</v>
          </cell>
          <cell r="EJ9">
            <v>28346</v>
          </cell>
          <cell r="EK9">
            <v>27601</v>
          </cell>
          <cell r="EL9">
            <v>30844</v>
          </cell>
          <cell r="EM9">
            <v>39334</v>
          </cell>
          <cell r="EO9">
            <v>29133</v>
          </cell>
          <cell r="EP9">
            <v>29975</v>
          </cell>
          <cell r="EQ9">
            <v>29832</v>
          </cell>
          <cell r="ER9">
            <v>30488</v>
          </cell>
          <cell r="ES9">
            <v>32549</v>
          </cell>
          <cell r="ET9">
            <v>31090</v>
          </cell>
          <cell r="EU9">
            <v>37987</v>
          </cell>
          <cell r="EV9">
            <v>30805</v>
          </cell>
        </row>
        <row r="10">
          <cell r="DO10">
            <v>1686</v>
          </cell>
          <cell r="DP10">
            <v>1666</v>
          </cell>
          <cell r="DQ10">
            <v>1757</v>
          </cell>
          <cell r="DR10">
            <v>1721</v>
          </cell>
          <cell r="DS10">
            <v>1624</v>
          </cell>
          <cell r="DT10">
            <v>1746</v>
          </cell>
          <cell r="DU10">
            <v>3143</v>
          </cell>
          <cell r="DV10">
            <v>1810</v>
          </cell>
          <cell r="DW10">
            <v>1757</v>
          </cell>
          <cell r="DX10">
            <v>1771</v>
          </cell>
          <cell r="DY10">
            <v>1802</v>
          </cell>
          <cell r="DZ10">
            <v>3345</v>
          </cell>
          <cell r="EB10">
            <v>2003</v>
          </cell>
          <cell r="EC10">
            <v>1951</v>
          </cell>
          <cell r="ED10">
            <v>1892</v>
          </cell>
          <cell r="EE10">
            <v>2067</v>
          </cell>
          <cell r="EF10">
            <v>2177</v>
          </cell>
          <cell r="EG10">
            <v>2027</v>
          </cell>
          <cell r="EH10">
            <v>3538</v>
          </cell>
          <cell r="EI10">
            <v>2187</v>
          </cell>
          <cell r="EJ10">
            <v>1981</v>
          </cell>
          <cell r="EK10">
            <v>1957</v>
          </cell>
          <cell r="EL10">
            <v>2024</v>
          </cell>
          <cell r="EM10">
            <v>3718</v>
          </cell>
          <cell r="EO10">
            <v>1952</v>
          </cell>
          <cell r="EP10">
            <v>2181</v>
          </cell>
          <cell r="EQ10">
            <v>2144</v>
          </cell>
          <cell r="ER10">
            <v>2089</v>
          </cell>
          <cell r="ES10">
            <v>2149</v>
          </cell>
          <cell r="ET10">
            <v>2110</v>
          </cell>
          <cell r="EU10">
            <v>3906</v>
          </cell>
          <cell r="EV10">
            <v>2077</v>
          </cell>
        </row>
        <row r="11">
          <cell r="DO11">
            <v>10047</v>
          </cell>
          <cell r="DP11">
            <v>11143</v>
          </cell>
          <cell r="DQ11">
            <v>12212</v>
          </cell>
          <cell r="DR11">
            <v>13043</v>
          </cell>
          <cell r="DS11">
            <v>13944</v>
          </cell>
          <cell r="DT11">
            <v>10816</v>
          </cell>
          <cell r="DU11">
            <v>17574</v>
          </cell>
          <cell r="DV11">
            <v>14746</v>
          </cell>
          <cell r="DW11">
            <v>12271</v>
          </cell>
          <cell r="DX11">
            <v>11686</v>
          </cell>
          <cell r="DY11">
            <v>13748</v>
          </cell>
          <cell r="DZ11">
            <v>22569</v>
          </cell>
          <cell r="EB11">
            <v>4797</v>
          </cell>
          <cell r="EC11">
            <v>13628</v>
          </cell>
          <cell r="ED11">
            <v>13670</v>
          </cell>
          <cell r="EE11">
            <v>14082</v>
          </cell>
          <cell r="EF11">
            <v>15909</v>
          </cell>
          <cell r="EG11">
            <v>16727</v>
          </cell>
          <cell r="EH11">
            <v>14059</v>
          </cell>
          <cell r="EI11">
            <v>13024</v>
          </cell>
          <cell r="EJ11">
            <v>15920</v>
          </cell>
          <cell r="EK11">
            <v>14567</v>
          </cell>
          <cell r="EL11">
            <v>16168</v>
          </cell>
          <cell r="EM11">
            <v>27951</v>
          </cell>
          <cell r="EO11">
            <v>6726</v>
          </cell>
          <cell r="EP11">
            <v>8797</v>
          </cell>
          <cell r="EQ11">
            <v>18944</v>
          </cell>
          <cell r="ER11">
            <v>17165</v>
          </cell>
          <cell r="ES11">
            <v>16628</v>
          </cell>
          <cell r="ET11">
            <v>11428</v>
          </cell>
          <cell r="EU11">
            <v>13502</v>
          </cell>
          <cell r="EV11">
            <v>15029</v>
          </cell>
        </row>
        <row r="12">
          <cell r="DO12"/>
          <cell r="DP12">
            <v>25312</v>
          </cell>
          <cell r="DQ12">
            <v>2251</v>
          </cell>
          <cell r="DR12">
            <v>5554</v>
          </cell>
          <cell r="DS12">
            <v>783</v>
          </cell>
          <cell r="DT12">
            <v>600</v>
          </cell>
          <cell r="DU12">
            <v>402</v>
          </cell>
          <cell r="DV12">
            <v>159</v>
          </cell>
          <cell r="DW12">
            <v>3272</v>
          </cell>
          <cell r="DX12">
            <v>1043</v>
          </cell>
          <cell r="DY12">
            <v>23</v>
          </cell>
          <cell r="DZ12">
            <v>817</v>
          </cell>
          <cell r="EB12">
            <v>15547</v>
          </cell>
          <cell r="EC12">
            <v>390</v>
          </cell>
          <cell r="ED12">
            <v>3186</v>
          </cell>
          <cell r="EE12">
            <v>0</v>
          </cell>
          <cell r="EF12">
            <v>-4</v>
          </cell>
          <cell r="EG12">
            <v>6353</v>
          </cell>
          <cell r="EH12">
            <v>0</v>
          </cell>
          <cell r="EI12">
            <v>670</v>
          </cell>
          <cell r="EJ12">
            <v>1083</v>
          </cell>
          <cell r="EK12">
            <v>-36</v>
          </cell>
          <cell r="EL12">
            <v>473</v>
          </cell>
          <cell r="EM12">
            <v>1566</v>
          </cell>
          <cell r="EO12">
            <v>26427</v>
          </cell>
          <cell r="EP12">
            <v>0</v>
          </cell>
          <cell r="EQ12">
            <v>1849</v>
          </cell>
          <cell r="ER12">
            <v>773</v>
          </cell>
          <cell r="ES12">
            <v>0</v>
          </cell>
          <cell r="ET12">
            <v>1102</v>
          </cell>
          <cell r="EU12">
            <v>10</v>
          </cell>
          <cell r="EV12">
            <v>1963</v>
          </cell>
        </row>
        <row r="13">
          <cell r="DO13">
            <v>2947</v>
          </cell>
          <cell r="DP13">
            <v>11196</v>
          </cell>
          <cell r="DQ13">
            <v>4887</v>
          </cell>
          <cell r="DR13">
            <v>13478</v>
          </cell>
          <cell r="DS13">
            <v>13400</v>
          </cell>
          <cell r="DT13">
            <v>17169</v>
          </cell>
          <cell r="DU13">
            <v>12995</v>
          </cell>
          <cell r="DV13">
            <v>19346</v>
          </cell>
          <cell r="DW13">
            <v>13996</v>
          </cell>
          <cell r="DX13">
            <v>15628</v>
          </cell>
          <cell r="DY13">
            <v>8647</v>
          </cell>
          <cell r="DZ13">
            <v>19700</v>
          </cell>
          <cell r="EB13">
            <v>7639</v>
          </cell>
          <cell r="EC13">
            <v>8761</v>
          </cell>
          <cell r="ED13">
            <v>10072</v>
          </cell>
          <cell r="EE13">
            <v>12941</v>
          </cell>
          <cell r="EF13">
            <v>17771</v>
          </cell>
          <cell r="EG13">
            <v>16061</v>
          </cell>
          <cell r="EH13">
            <v>18651</v>
          </cell>
          <cell r="EI13">
            <v>14173</v>
          </cell>
          <cell r="EJ13">
            <v>15984</v>
          </cell>
          <cell r="EK13">
            <v>17426</v>
          </cell>
          <cell r="EL13">
            <v>12415</v>
          </cell>
          <cell r="EM13">
            <v>16676</v>
          </cell>
          <cell r="EO13">
            <v>10359</v>
          </cell>
          <cell r="EP13">
            <v>10485</v>
          </cell>
          <cell r="EQ13">
            <v>13112</v>
          </cell>
          <cell r="ER13">
            <v>8742</v>
          </cell>
          <cell r="ES13">
            <v>17188</v>
          </cell>
          <cell r="ET13">
            <v>21779</v>
          </cell>
          <cell r="EU13">
            <v>21010</v>
          </cell>
          <cell r="EV13">
            <v>12404</v>
          </cell>
        </row>
      </sheetData>
      <sheetData sheetId="17"/>
      <sheetData sheetId="18"/>
      <sheetData sheetId="19"/>
      <sheetData sheetId="20"/>
      <sheetData sheetId="21"/>
      <sheetData sheetId="22">
        <row r="9">
          <cell r="DO9">
            <v>6263</v>
          </cell>
          <cell r="DP9">
            <v>5876</v>
          </cell>
          <cell r="DQ9">
            <v>6087</v>
          </cell>
          <cell r="DR9">
            <v>7427</v>
          </cell>
          <cell r="DS9">
            <v>7782</v>
          </cell>
          <cell r="DT9">
            <v>6839</v>
          </cell>
          <cell r="DU9">
            <v>8346</v>
          </cell>
          <cell r="DV9">
            <v>6670</v>
          </cell>
          <cell r="DW9">
            <v>6883</v>
          </cell>
          <cell r="DX9">
            <v>8090</v>
          </cell>
          <cell r="DY9">
            <v>8041</v>
          </cell>
          <cell r="DZ9">
            <v>9712</v>
          </cell>
          <cell r="EB9">
            <v>7286</v>
          </cell>
          <cell r="EC9">
            <v>7210</v>
          </cell>
          <cell r="ED9">
            <v>8536</v>
          </cell>
          <cell r="EE9">
            <v>8338</v>
          </cell>
          <cell r="EF9">
            <v>8432</v>
          </cell>
          <cell r="EG9">
            <v>8051</v>
          </cell>
          <cell r="EH9">
            <v>9802</v>
          </cell>
          <cell r="EI9">
            <v>7917</v>
          </cell>
          <cell r="EJ9">
            <v>8336</v>
          </cell>
          <cell r="EK9">
            <v>9488</v>
          </cell>
          <cell r="EL9">
            <v>8528</v>
          </cell>
          <cell r="EM9">
            <v>11830</v>
          </cell>
          <cell r="EO9">
            <v>9081</v>
          </cell>
          <cell r="EP9">
            <v>10465</v>
          </cell>
          <cell r="EQ9">
            <v>8494</v>
          </cell>
          <cell r="ER9">
            <v>8947</v>
          </cell>
          <cell r="ES9">
            <v>8638</v>
          </cell>
          <cell r="ET9">
            <v>7784</v>
          </cell>
          <cell r="EU9">
            <v>9907</v>
          </cell>
          <cell r="EV9">
            <v>7978</v>
          </cell>
        </row>
        <row r="10">
          <cell r="DO10">
            <v>70</v>
          </cell>
          <cell r="DP10">
            <v>446</v>
          </cell>
          <cell r="DQ10">
            <v>499</v>
          </cell>
          <cell r="DR10">
            <v>1569</v>
          </cell>
          <cell r="DS10">
            <v>1617</v>
          </cell>
          <cell r="DT10">
            <v>2505</v>
          </cell>
          <cell r="DU10">
            <v>2412</v>
          </cell>
          <cell r="DV10">
            <v>2267</v>
          </cell>
          <cell r="DW10">
            <v>2626</v>
          </cell>
          <cell r="DX10">
            <v>1382</v>
          </cell>
          <cell r="DY10">
            <v>2230</v>
          </cell>
          <cell r="DZ10">
            <v>2150</v>
          </cell>
          <cell r="EB10">
            <v>80</v>
          </cell>
          <cell r="EC10">
            <v>1023</v>
          </cell>
          <cell r="ED10">
            <v>1037</v>
          </cell>
          <cell r="EE10">
            <v>2627</v>
          </cell>
          <cell r="EF10">
            <v>2404</v>
          </cell>
          <cell r="EG10">
            <v>2264</v>
          </cell>
          <cell r="EH10">
            <v>1797</v>
          </cell>
          <cell r="EI10">
            <v>2203</v>
          </cell>
          <cell r="EJ10">
            <v>2186</v>
          </cell>
          <cell r="EK10">
            <v>1921</v>
          </cell>
          <cell r="EL10">
            <v>1839</v>
          </cell>
          <cell r="EM10">
            <v>1927</v>
          </cell>
          <cell r="EO10">
            <v>78</v>
          </cell>
          <cell r="EP10">
            <v>755</v>
          </cell>
          <cell r="EQ10">
            <v>1298</v>
          </cell>
          <cell r="ER10">
            <v>1949</v>
          </cell>
          <cell r="ES10">
            <v>1450</v>
          </cell>
          <cell r="ET10">
            <v>1596</v>
          </cell>
          <cell r="EU10">
            <v>3242</v>
          </cell>
          <cell r="EV10">
            <v>3862</v>
          </cell>
        </row>
        <row r="11">
          <cell r="DO11">
            <v>3957</v>
          </cell>
          <cell r="DP11">
            <v>15335</v>
          </cell>
          <cell r="DQ11">
            <v>18597</v>
          </cell>
          <cell r="DR11">
            <v>18952</v>
          </cell>
          <cell r="DS11">
            <v>21180</v>
          </cell>
          <cell r="DT11">
            <v>18609</v>
          </cell>
          <cell r="DU11">
            <v>17314</v>
          </cell>
          <cell r="DV11">
            <v>20191</v>
          </cell>
          <cell r="DW11">
            <v>17811</v>
          </cell>
          <cell r="DX11">
            <v>18698</v>
          </cell>
          <cell r="DY11">
            <v>20005</v>
          </cell>
          <cell r="DZ11">
            <v>31015</v>
          </cell>
          <cell r="EB11">
            <v>5764</v>
          </cell>
          <cell r="EC11">
            <v>18057</v>
          </cell>
          <cell r="ED11">
            <v>17904</v>
          </cell>
          <cell r="EE11">
            <v>19524</v>
          </cell>
          <cell r="EF11">
            <v>21607</v>
          </cell>
          <cell r="EG11">
            <v>18748</v>
          </cell>
          <cell r="EH11">
            <v>20233</v>
          </cell>
          <cell r="EI11">
            <v>19101</v>
          </cell>
          <cell r="EJ11">
            <v>18129</v>
          </cell>
          <cell r="EK11">
            <v>18685</v>
          </cell>
          <cell r="EL11">
            <v>14443</v>
          </cell>
          <cell r="EM11">
            <v>22436</v>
          </cell>
          <cell r="EO11">
            <v>5858</v>
          </cell>
          <cell r="EP11">
            <v>18158</v>
          </cell>
          <cell r="EQ11">
            <v>21832</v>
          </cell>
          <cell r="ER11">
            <v>18570</v>
          </cell>
          <cell r="ES11">
            <v>24064</v>
          </cell>
          <cell r="ET11">
            <v>22943</v>
          </cell>
          <cell r="EU11">
            <v>22372</v>
          </cell>
          <cell r="EV11">
            <v>22020</v>
          </cell>
        </row>
        <row r="12">
          <cell r="DO12">
            <v>45</v>
          </cell>
          <cell r="DP12">
            <v>330</v>
          </cell>
          <cell r="DQ12">
            <v>543</v>
          </cell>
          <cell r="DR12">
            <v>240</v>
          </cell>
          <cell r="DS12">
            <v>377</v>
          </cell>
          <cell r="DT12">
            <v>230</v>
          </cell>
          <cell r="DU12">
            <v>270</v>
          </cell>
          <cell r="DV12">
            <v>266</v>
          </cell>
          <cell r="DW12">
            <v>364</v>
          </cell>
          <cell r="DX12">
            <v>279</v>
          </cell>
          <cell r="DY12">
            <v>470</v>
          </cell>
          <cell r="DZ12">
            <v>559</v>
          </cell>
          <cell r="EB12">
            <v>94</v>
          </cell>
          <cell r="EC12">
            <v>229</v>
          </cell>
          <cell r="ED12">
            <v>571</v>
          </cell>
          <cell r="EE12">
            <v>259</v>
          </cell>
          <cell r="EF12">
            <v>277</v>
          </cell>
          <cell r="EG12">
            <v>381</v>
          </cell>
          <cell r="EH12">
            <v>392</v>
          </cell>
          <cell r="EI12">
            <v>444</v>
          </cell>
          <cell r="EJ12">
            <v>333</v>
          </cell>
          <cell r="EK12">
            <v>403</v>
          </cell>
          <cell r="EL12">
            <v>696</v>
          </cell>
          <cell r="EM12">
            <v>513</v>
          </cell>
          <cell r="EO12">
            <v>285</v>
          </cell>
          <cell r="EP12">
            <v>216</v>
          </cell>
          <cell r="EQ12">
            <v>254</v>
          </cell>
          <cell r="ER12">
            <v>750</v>
          </cell>
          <cell r="ES12">
            <v>240</v>
          </cell>
          <cell r="ET12">
            <v>291</v>
          </cell>
          <cell r="EU12">
            <v>236</v>
          </cell>
          <cell r="EV12">
            <v>305</v>
          </cell>
        </row>
        <row r="13">
          <cell r="DO13">
            <v>35</v>
          </cell>
          <cell r="DP13">
            <v>70</v>
          </cell>
          <cell r="DQ13">
            <v>5</v>
          </cell>
          <cell r="DR13">
            <v>106</v>
          </cell>
          <cell r="DS13">
            <v>150</v>
          </cell>
          <cell r="DT13">
            <v>92</v>
          </cell>
          <cell r="DU13">
            <v>88</v>
          </cell>
          <cell r="DV13">
            <v>75</v>
          </cell>
          <cell r="DW13">
            <v>77</v>
          </cell>
          <cell r="DX13">
            <v>414</v>
          </cell>
          <cell r="DY13">
            <v>182</v>
          </cell>
          <cell r="DZ13">
            <v>72</v>
          </cell>
          <cell r="EB13">
            <v>9</v>
          </cell>
          <cell r="EC13">
            <v>2</v>
          </cell>
          <cell r="ED13">
            <v>60</v>
          </cell>
          <cell r="EE13">
            <v>270</v>
          </cell>
          <cell r="EF13">
            <v>379</v>
          </cell>
          <cell r="EG13">
            <v>225</v>
          </cell>
          <cell r="EH13">
            <v>210</v>
          </cell>
          <cell r="EI13">
            <v>207</v>
          </cell>
          <cell r="EJ13">
            <v>31</v>
          </cell>
          <cell r="EK13">
            <v>536</v>
          </cell>
          <cell r="EL13">
            <v>206</v>
          </cell>
          <cell r="EM13">
            <v>229</v>
          </cell>
          <cell r="EO13">
            <v>66</v>
          </cell>
          <cell r="EP13">
            <v>45</v>
          </cell>
          <cell r="EQ13">
            <v>86</v>
          </cell>
          <cell r="ER13">
            <v>387</v>
          </cell>
          <cell r="ES13">
            <v>202</v>
          </cell>
          <cell r="ET13">
            <v>139</v>
          </cell>
          <cell r="EU13">
            <v>655</v>
          </cell>
          <cell r="EV13">
            <v>166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ersonalizado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70C0"/>
      </a:accent1>
      <a:accent2>
        <a:srgbClr val="4F81BD"/>
      </a:accent2>
      <a:accent3>
        <a:srgbClr val="339966"/>
      </a:accent3>
      <a:accent4>
        <a:srgbClr val="FFC000"/>
      </a:accent4>
      <a:accent5>
        <a:srgbClr val="F79646"/>
      </a:accent5>
      <a:accent6>
        <a:srgbClr val="C0504D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FJ60"/>
  <sheetViews>
    <sheetView showGridLines="0" view="pageBreakPreview" zoomScaleSheetLayoutView="100" workbookViewId="0">
      <pane xSplit="1" topLeftCell="EN1" activePane="topRight" state="frozen"/>
      <selection activeCell="DO55" sqref="DO55:EP55"/>
      <selection pane="topRight" activeCell="ER34" sqref="ER34"/>
    </sheetView>
  </sheetViews>
  <sheetFormatPr baseColWidth="10" defaultColWidth="9.7109375" defaultRowHeight="15" customHeight="1" x14ac:dyDescent="0.25"/>
  <cols>
    <col min="1" max="1" width="26.7109375" customWidth="1"/>
    <col min="158" max="158" width="9.7109375" customWidth="1"/>
    <col min="164" max="164" width="10.7109375" customWidth="1"/>
  </cols>
  <sheetData>
    <row r="1" spans="1:166" s="447" customFormat="1" ht="15" customHeight="1" x14ac:dyDescent="0.25">
      <c r="A1" s="469" t="s">
        <v>230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  <c r="AK1" s="470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0"/>
      <c r="AW1" s="470"/>
      <c r="AX1" s="470"/>
      <c r="AY1" s="470"/>
      <c r="AZ1" s="470"/>
      <c r="BA1" s="470"/>
      <c r="BB1" s="470"/>
      <c r="BC1" s="470"/>
      <c r="BD1" s="470"/>
      <c r="BE1" s="470"/>
      <c r="BF1" s="470"/>
      <c r="BG1" s="470"/>
      <c r="BH1" s="470"/>
      <c r="BI1" s="470"/>
      <c r="BJ1" s="470"/>
      <c r="BK1" s="470"/>
      <c r="BL1" s="470"/>
      <c r="BM1" s="470"/>
      <c r="BN1" s="470"/>
      <c r="BO1" s="470"/>
      <c r="BP1" s="470"/>
      <c r="BQ1" s="470"/>
      <c r="BR1" s="470"/>
      <c r="BS1" s="470"/>
      <c r="BT1" s="470"/>
      <c r="BU1" s="470"/>
      <c r="BV1" s="470"/>
      <c r="BW1" s="470"/>
      <c r="BX1" s="470"/>
      <c r="BY1" s="470"/>
      <c r="BZ1" s="470"/>
      <c r="CA1" s="470"/>
      <c r="CB1" s="470"/>
      <c r="CC1" s="470"/>
      <c r="CD1" s="470"/>
      <c r="CE1" s="470"/>
      <c r="CF1" s="470"/>
      <c r="CG1" s="470"/>
      <c r="CH1" s="470"/>
      <c r="CI1" s="470"/>
      <c r="CJ1" s="470"/>
      <c r="CK1" s="470"/>
      <c r="CL1" s="470"/>
      <c r="CM1" s="470"/>
      <c r="CN1" s="470"/>
      <c r="CO1" s="470"/>
      <c r="CP1" s="470"/>
      <c r="CQ1" s="470"/>
      <c r="CR1" s="470"/>
      <c r="CS1" s="470"/>
      <c r="CT1" s="470"/>
      <c r="CU1" s="470"/>
      <c r="CV1" s="470"/>
      <c r="CW1" s="470"/>
      <c r="CX1" s="470"/>
      <c r="CY1" s="470"/>
      <c r="CZ1" s="470"/>
      <c r="DA1" s="470"/>
      <c r="DB1" s="470"/>
      <c r="DC1" s="470"/>
      <c r="DD1" s="470"/>
      <c r="DE1" s="470"/>
      <c r="DF1" s="470"/>
      <c r="DG1" s="470"/>
      <c r="DH1" s="470"/>
      <c r="DI1" s="470"/>
      <c r="DJ1" s="470"/>
      <c r="DK1" s="470"/>
      <c r="DL1" s="470"/>
      <c r="DM1" s="470"/>
      <c r="DN1" s="470"/>
      <c r="DO1" s="470"/>
      <c r="DP1" s="470"/>
      <c r="DQ1" s="470"/>
      <c r="DR1" s="470"/>
      <c r="DS1" s="470"/>
      <c r="DT1" s="470"/>
      <c r="DU1" s="470"/>
      <c r="DV1" s="470"/>
      <c r="DW1" s="470"/>
      <c r="DX1" s="470"/>
      <c r="DY1" s="470"/>
      <c r="DZ1" s="470"/>
      <c r="EA1" s="470"/>
      <c r="EB1" s="470"/>
      <c r="EC1" s="470"/>
      <c r="ED1" s="470"/>
      <c r="EE1" s="470"/>
      <c r="EF1" s="470"/>
      <c r="EG1" s="470"/>
      <c r="EH1" s="470"/>
      <c r="EI1" s="470"/>
      <c r="EJ1" s="470"/>
      <c r="EK1" s="470"/>
      <c r="EL1" s="470"/>
      <c r="EM1" s="470"/>
      <c r="EN1" s="470"/>
      <c r="EO1" s="470"/>
      <c r="EP1" s="470"/>
      <c r="EQ1" s="470"/>
      <c r="ER1" s="470"/>
      <c r="ES1" s="470"/>
      <c r="ET1" s="470"/>
      <c r="EU1" s="470"/>
      <c r="EV1" s="470"/>
      <c r="EW1" s="470"/>
      <c r="EX1" s="470"/>
      <c r="EY1" s="470"/>
      <c r="EZ1" s="470"/>
      <c r="FA1" s="470"/>
      <c r="FC1" s="470"/>
      <c r="FD1" s="470"/>
      <c r="FE1" s="470"/>
      <c r="FF1" s="470"/>
      <c r="FG1" s="470"/>
      <c r="FH1" s="470"/>
      <c r="FI1" s="470"/>
      <c r="FJ1" s="470"/>
    </row>
    <row r="2" spans="1:166" s="447" customFormat="1" ht="15" customHeight="1" x14ac:dyDescent="0.25">
      <c r="A2" s="469" t="s">
        <v>604</v>
      </c>
      <c r="B2" s="471"/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  <c r="AM2" s="470"/>
      <c r="AN2" s="470"/>
      <c r="AO2" s="470"/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  <c r="BA2" s="470"/>
      <c r="BB2" s="470"/>
      <c r="BC2" s="470"/>
      <c r="BD2" s="470"/>
      <c r="BE2" s="470"/>
      <c r="BF2" s="470"/>
      <c r="BG2" s="470"/>
      <c r="BH2" s="470"/>
      <c r="BI2" s="470"/>
      <c r="BJ2" s="470"/>
      <c r="BK2" s="470"/>
      <c r="BL2" s="470"/>
      <c r="BM2" s="470"/>
      <c r="BN2" s="470"/>
      <c r="BO2" s="470"/>
      <c r="BP2" s="470"/>
      <c r="BQ2" s="470"/>
      <c r="BR2" s="470"/>
      <c r="BS2" s="470"/>
      <c r="BT2" s="470"/>
      <c r="BU2" s="470"/>
      <c r="BV2" s="470"/>
      <c r="BW2" s="470"/>
      <c r="BX2" s="470"/>
      <c r="BY2" s="470"/>
      <c r="BZ2" s="470"/>
      <c r="CA2" s="470"/>
      <c r="CB2" s="470"/>
      <c r="CC2" s="470"/>
      <c r="CD2" s="470"/>
      <c r="CE2" s="470"/>
      <c r="CF2" s="470"/>
      <c r="CG2" s="470"/>
      <c r="CH2" s="470"/>
      <c r="CI2" s="470"/>
      <c r="CJ2" s="470"/>
      <c r="CK2" s="470"/>
      <c r="CL2" s="470"/>
      <c r="CM2" s="470"/>
      <c r="CN2" s="470"/>
      <c r="CO2" s="470"/>
      <c r="CP2" s="470"/>
      <c r="CQ2" s="470"/>
      <c r="CR2" s="470"/>
      <c r="CS2" s="470"/>
      <c r="CT2" s="470"/>
      <c r="CU2" s="470"/>
      <c r="CV2" s="470"/>
      <c r="CW2" s="470"/>
      <c r="CX2" s="470"/>
      <c r="CY2" s="470"/>
      <c r="CZ2" s="470"/>
      <c r="DA2" s="470"/>
      <c r="DB2" s="470"/>
      <c r="DC2" s="470"/>
      <c r="DD2" s="470"/>
      <c r="DE2" s="470"/>
      <c r="DF2" s="470"/>
      <c r="DG2" s="470"/>
      <c r="DH2" s="470"/>
      <c r="DI2" s="470"/>
      <c r="DJ2" s="470"/>
      <c r="DK2" s="470"/>
      <c r="DL2" s="470"/>
      <c r="DM2" s="470"/>
      <c r="DN2" s="470"/>
      <c r="DO2" s="470"/>
      <c r="DP2" s="470"/>
      <c r="DQ2" s="470"/>
      <c r="DR2" s="470"/>
      <c r="DS2" s="470"/>
      <c r="DT2" s="470"/>
      <c r="DU2" s="470"/>
      <c r="DV2" s="470"/>
      <c r="DW2" s="470"/>
      <c r="DX2" s="470"/>
      <c r="DY2" s="470"/>
      <c r="DZ2" s="470"/>
      <c r="EA2" s="470"/>
      <c r="EB2" s="470"/>
      <c r="EC2" s="470"/>
      <c r="ED2" s="470"/>
      <c r="EE2" s="470"/>
      <c r="EF2" s="470"/>
      <c r="EG2" s="470"/>
      <c r="EH2" s="470"/>
      <c r="EI2" s="470"/>
      <c r="EJ2" s="470"/>
      <c r="EK2" s="470"/>
      <c r="EL2" s="470"/>
      <c r="EM2" s="470"/>
      <c r="EN2" s="470"/>
      <c r="EO2" s="470"/>
      <c r="EP2" s="470"/>
      <c r="EQ2" s="470"/>
      <c r="ER2" s="470"/>
      <c r="ES2" s="470"/>
      <c r="ET2" s="470"/>
      <c r="EU2" s="470"/>
      <c r="EV2" s="470"/>
      <c r="EW2" s="470"/>
      <c r="EX2" s="470"/>
      <c r="EY2" s="470"/>
      <c r="EZ2" s="470"/>
      <c r="FA2" s="470"/>
      <c r="FC2" s="470"/>
      <c r="FD2" s="470"/>
      <c r="FE2" s="470"/>
      <c r="FF2" s="470"/>
      <c r="FG2" s="470"/>
      <c r="FH2" s="470"/>
      <c r="FI2" s="470"/>
      <c r="FJ2" s="470"/>
    </row>
    <row r="3" spans="1:166" s="447" customFormat="1" ht="15" customHeight="1" x14ac:dyDescent="0.25">
      <c r="A3" s="777" t="s">
        <v>632</v>
      </c>
      <c r="B3" s="470"/>
      <c r="C3" s="470"/>
      <c r="D3" s="470"/>
      <c r="E3" s="470"/>
      <c r="F3" s="470"/>
      <c r="G3" s="470"/>
      <c r="H3" s="470"/>
      <c r="I3" s="470"/>
      <c r="J3" s="470"/>
      <c r="K3" s="470"/>
      <c r="L3" s="470"/>
      <c r="M3" s="470"/>
      <c r="N3" s="470"/>
      <c r="O3" s="470"/>
      <c r="P3" s="470"/>
      <c r="Q3" s="470"/>
      <c r="R3" s="470"/>
      <c r="S3" s="470"/>
      <c r="T3" s="470"/>
      <c r="U3" s="470"/>
      <c r="V3" s="470"/>
      <c r="W3" s="470"/>
      <c r="X3" s="470"/>
      <c r="Y3" s="470"/>
      <c r="Z3" s="470"/>
      <c r="AA3" s="470"/>
      <c r="AB3" s="470"/>
      <c r="AC3" s="470"/>
      <c r="AD3" s="470"/>
      <c r="AE3" s="470"/>
      <c r="AF3" s="470"/>
      <c r="AG3" s="470"/>
      <c r="AH3" s="470"/>
      <c r="AI3" s="470"/>
      <c r="AJ3" s="470"/>
      <c r="AK3" s="470"/>
      <c r="AL3" s="470"/>
      <c r="AM3" s="470"/>
      <c r="AN3" s="470"/>
      <c r="AO3" s="470"/>
      <c r="AP3" s="470"/>
      <c r="AQ3" s="470"/>
      <c r="AR3" s="470"/>
      <c r="AS3" s="470"/>
      <c r="AT3" s="470"/>
      <c r="AU3" s="470"/>
      <c r="AV3" s="470"/>
      <c r="AW3" s="470"/>
      <c r="AX3" s="470"/>
      <c r="AY3" s="470"/>
      <c r="AZ3" s="470"/>
      <c r="BA3" s="470"/>
      <c r="BB3" s="470"/>
      <c r="BC3" s="470"/>
      <c r="BD3" s="470"/>
      <c r="BE3" s="470"/>
      <c r="BF3" s="470"/>
      <c r="BG3" s="470"/>
      <c r="BH3" s="470"/>
      <c r="BI3" s="470"/>
      <c r="BJ3" s="470"/>
      <c r="BK3" s="470"/>
      <c r="BL3" s="470"/>
      <c r="BM3" s="470"/>
      <c r="BN3" s="470"/>
      <c r="BO3" s="470"/>
      <c r="BP3" s="470"/>
      <c r="BQ3" s="470"/>
      <c r="BR3" s="470"/>
      <c r="BS3" s="470"/>
      <c r="BT3" s="470"/>
      <c r="BU3" s="470"/>
      <c r="BV3" s="470"/>
      <c r="BW3" s="470"/>
      <c r="BX3" s="470"/>
      <c r="BY3" s="470"/>
      <c r="BZ3" s="470"/>
      <c r="CA3" s="470"/>
      <c r="CB3" s="470"/>
      <c r="CC3" s="470"/>
      <c r="CD3" s="470"/>
      <c r="CE3" s="470"/>
      <c r="CF3" s="470"/>
      <c r="CG3" s="470"/>
      <c r="CH3" s="470"/>
      <c r="CI3" s="470"/>
      <c r="CJ3" s="470"/>
      <c r="CK3" s="470"/>
      <c r="CL3" s="470"/>
      <c r="CM3" s="470"/>
      <c r="CN3" s="470"/>
      <c r="CO3" s="470"/>
      <c r="CP3" s="470"/>
      <c r="CQ3" s="470"/>
      <c r="CR3" s="470"/>
      <c r="CS3" s="470"/>
      <c r="CT3" s="470"/>
      <c r="CU3" s="470"/>
      <c r="CV3" s="470"/>
      <c r="CW3" s="470"/>
      <c r="CX3" s="470"/>
      <c r="CY3" s="470"/>
      <c r="CZ3" s="470"/>
      <c r="DA3" s="470"/>
      <c r="DB3" s="470"/>
      <c r="DC3" s="470"/>
      <c r="DD3" s="470"/>
      <c r="DE3" s="470"/>
      <c r="DF3" s="470"/>
      <c r="DG3" s="470"/>
      <c r="DH3" s="470"/>
      <c r="DI3" s="470"/>
      <c r="DJ3" s="470"/>
      <c r="DK3" s="470"/>
      <c r="DL3" s="470"/>
      <c r="DM3" s="470"/>
      <c r="DN3" s="470"/>
      <c r="DO3" s="470"/>
      <c r="DP3" s="470"/>
      <c r="DQ3" s="470"/>
      <c r="DR3" s="470"/>
      <c r="DS3" s="470"/>
      <c r="DT3" s="470"/>
      <c r="DU3" s="470"/>
      <c r="DV3" s="470"/>
      <c r="DW3" s="470"/>
      <c r="DX3" s="470"/>
      <c r="DY3" s="470"/>
      <c r="DZ3" s="470"/>
      <c r="EA3" s="470"/>
      <c r="EB3" s="470"/>
      <c r="EC3" s="470"/>
      <c r="ED3" s="470"/>
      <c r="EE3" s="470"/>
      <c r="EF3" s="470"/>
      <c r="EG3" s="470"/>
      <c r="EH3" s="470"/>
      <c r="EI3" s="470"/>
      <c r="EJ3" s="470"/>
      <c r="EK3" s="470"/>
      <c r="EL3" s="470"/>
      <c r="EM3" s="470"/>
      <c r="EN3" s="470"/>
      <c r="EO3" s="470"/>
      <c r="EP3" s="470"/>
      <c r="EQ3" s="470"/>
      <c r="ER3" s="470"/>
      <c r="ES3" s="470"/>
      <c r="ET3" s="470"/>
      <c r="EU3" s="470"/>
      <c r="EV3" s="470"/>
      <c r="EW3" s="470"/>
      <c r="EX3" s="470"/>
      <c r="EY3" s="470"/>
      <c r="EZ3" s="470"/>
      <c r="FA3" s="470"/>
      <c r="FC3" s="472"/>
      <c r="FD3" s="470"/>
      <c r="FE3" s="470"/>
      <c r="FF3" s="470"/>
      <c r="FG3" s="470"/>
      <c r="FH3" s="470"/>
      <c r="FI3" s="470"/>
      <c r="FJ3" s="470"/>
    </row>
    <row r="4" spans="1:166" s="447" customFormat="1" ht="15" customHeight="1" x14ac:dyDescent="0.25">
      <c r="A4" s="473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C4" s="476" t="str">
        <f>CONCATENATE("Var.% ",FF4,"/",FF4-1)</f>
        <v>Var.% 2025/2024</v>
      </c>
      <c r="FD4" s="477"/>
      <c r="FE4" s="478">
        <f>FF4-1</f>
        <v>2024</v>
      </c>
      <c r="FF4" s="478">
        <f>YEAR(FC5)</f>
        <v>2025</v>
      </c>
      <c r="FG4" s="470"/>
      <c r="FH4" s="479" t="s">
        <v>620</v>
      </c>
      <c r="FI4" s="480"/>
      <c r="FJ4" s="481"/>
    </row>
    <row r="5" spans="1:166" s="447" customFormat="1" ht="15" customHeight="1" x14ac:dyDescent="0.25">
      <c r="A5" s="482"/>
      <c r="B5" s="483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>YEAR(M5)</f>
        <v>2015</v>
      </c>
      <c r="O5" s="483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>YEAR(Z5)</f>
        <v>2016</v>
      </c>
      <c r="AB5" s="483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>YEAR(AM5)</f>
        <v>2017</v>
      </c>
      <c r="AO5" s="483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>YEAR(AZ5)</f>
        <v>2018</v>
      </c>
      <c r="BB5" s="483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>YEAR(BM5)</f>
        <v>2019</v>
      </c>
      <c r="BO5" s="483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>YEAR(BZ5)</f>
        <v>2020</v>
      </c>
      <c r="CB5" s="483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>YEAR(CM5)</f>
        <v>2021</v>
      </c>
      <c r="CO5" s="483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>YEAR(CZ5)</f>
        <v>2022</v>
      </c>
      <c r="DB5" s="483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>YEAR(DM5)</f>
        <v>2023</v>
      </c>
      <c r="DO5" s="483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>YEAR(DZ5)</f>
        <v>2024</v>
      </c>
      <c r="EB5" s="483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483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C5" s="485">
        <f>EL5</f>
        <v>45962</v>
      </c>
      <c r="FD5" s="486" t="str">
        <f>CONCATENATE("Ene.-",TEXT(FC5,"MMM."))</f>
        <v>Ene.-Nov.</v>
      </c>
      <c r="FE5" s="487" t="str">
        <f>FD5</f>
        <v>Ene.-Nov.</v>
      </c>
      <c r="FF5" s="487" t="str">
        <f>FD5</f>
        <v>Ene.-Nov.</v>
      </c>
      <c r="FG5" s="470"/>
      <c r="FH5" s="488" t="s">
        <v>621</v>
      </c>
      <c r="FI5" s="489"/>
      <c r="FJ5" s="490"/>
    </row>
    <row r="6" spans="1:166" s="447" customFormat="1" ht="15" customHeight="1" x14ac:dyDescent="0.25">
      <c r="A6" s="491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492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492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492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C6" s="494"/>
      <c r="FD6" s="495"/>
      <c r="FE6" s="496"/>
      <c r="FF6" s="497"/>
      <c r="FG6" s="470"/>
      <c r="FH6" s="498"/>
      <c r="FI6" s="499"/>
      <c r="FJ6" s="500"/>
    </row>
    <row r="7" spans="1:166" s="513" customFormat="1" ht="15" customHeight="1" x14ac:dyDescent="0.25">
      <c r="A7" s="501" t="s">
        <v>231</v>
      </c>
      <c r="B7" s="502">
        <f t="shared" ref="B7" si="0">SUM(B8,B9)</f>
        <v>38760.828189778462</v>
      </c>
      <c r="C7" s="502">
        <f t="shared" ref="C7" si="1">SUM(C8,C9)</f>
        <v>38938.515697152514</v>
      </c>
      <c r="D7" s="502">
        <f t="shared" ref="D7" si="2">SUM(D8,D9)</f>
        <v>41960.989351966418</v>
      </c>
      <c r="E7" s="502">
        <f t="shared" ref="E7" si="3">SUM(E8,E9)</f>
        <v>42033.767310555981</v>
      </c>
      <c r="F7" s="502">
        <f t="shared" ref="F7" si="4">SUM(F8,F9)</f>
        <v>38668.799004155444</v>
      </c>
      <c r="G7" s="502">
        <f t="shared" ref="G7" si="5">SUM(G8,G9)</f>
        <v>38459.461556175476</v>
      </c>
      <c r="H7" s="502">
        <f t="shared" ref="H7" si="6">SUM(H8,H9)</f>
        <v>34407.461196067648</v>
      </c>
      <c r="I7" s="502">
        <f t="shared" ref="I7" si="7">SUM(I8,I9)</f>
        <v>34410.184841518072</v>
      </c>
      <c r="J7" s="502">
        <f t="shared" ref="J7" si="8">SUM(J8,J9)</f>
        <v>40770.458831600612</v>
      </c>
      <c r="K7" s="502">
        <f t="shared" ref="K7" si="9">SUM(K8,K9)</f>
        <v>39635.44922473967</v>
      </c>
      <c r="L7" s="502">
        <f t="shared" ref="L7" si="10">SUM(L8,L9)</f>
        <v>36609.709504633502</v>
      </c>
      <c r="M7" s="502">
        <f t="shared" ref="M7" si="11">SUM(M8,M9)</f>
        <v>36358.656187762004</v>
      </c>
      <c r="N7" s="503">
        <f t="shared" ref="N7" si="12">SUM(B7:M7)</f>
        <v>461014.28089610575</v>
      </c>
      <c r="O7" s="502">
        <f t="shared" ref="O7" si="13">SUM(O8,O9)</f>
        <v>33536.729651113405</v>
      </c>
      <c r="P7" s="502">
        <f t="shared" ref="P7" si="14">SUM(P8,P9)</f>
        <v>34432.230586270351</v>
      </c>
      <c r="Q7" s="502">
        <f t="shared" ref="Q7" si="15">SUM(Q8,Q9)</f>
        <v>36968.369152932864</v>
      </c>
      <c r="R7" s="502">
        <f t="shared" ref="R7" si="16">SUM(R8,R9)</f>
        <v>39065.915447592466</v>
      </c>
      <c r="S7" s="502">
        <f t="shared" ref="S7" si="17">SUM(S8,S9)</f>
        <v>38904.028951572145</v>
      </c>
      <c r="T7" s="502">
        <f t="shared" ref="T7" si="18">SUM(T8,T9)</f>
        <v>39241.798173602059</v>
      </c>
      <c r="U7" s="502">
        <f t="shared" ref="U7" si="19">SUM(U8,U9)</f>
        <v>33273.881734413466</v>
      </c>
      <c r="V7" s="502">
        <f t="shared" ref="V7" si="20">SUM(V8,V9)</f>
        <v>30653.480579423293</v>
      </c>
      <c r="W7" s="502">
        <f t="shared" ref="W7" si="21">SUM(W8,W9)</f>
        <v>34331.89810757275</v>
      </c>
      <c r="X7" s="502">
        <f t="shared" ref="X7" si="22">SUM(X8,X9)</f>
        <v>40882.982312180655</v>
      </c>
      <c r="Y7" s="502">
        <f t="shared" ref="Y7" si="23">SUM(Y8,Y9)</f>
        <v>33355.329272262337</v>
      </c>
      <c r="Z7" s="502">
        <f t="shared" ref="Z7" si="24">SUM(Z8,Z9)</f>
        <v>37771.783244929931</v>
      </c>
      <c r="AA7" s="503">
        <f t="shared" ref="AA7" si="25">SUM(O7:Z7)</f>
        <v>432418.42721386568</v>
      </c>
      <c r="AB7" s="502">
        <f t="shared" ref="AB7" si="26">SUM(AB8,AB9)</f>
        <v>32281.672281356965</v>
      </c>
      <c r="AC7" s="502">
        <f t="shared" ref="AC7" si="27">SUM(AC8,AC9)</f>
        <v>36554.884416195142</v>
      </c>
      <c r="AD7" s="502">
        <f t="shared" ref="AD7" si="28">SUM(AD8,AD9)</f>
        <v>43293.763893683194</v>
      </c>
      <c r="AE7" s="502">
        <f t="shared" ref="AE7" si="29">SUM(AE8,AE9)</f>
        <v>39582.055125672734</v>
      </c>
      <c r="AF7" s="502">
        <f t="shared" ref="AF7" si="30">SUM(AF8,AF9)</f>
        <v>43831.37702765649</v>
      </c>
      <c r="AG7" s="502">
        <f t="shared" ref="AG7" si="31">SUM(AG8,AG9)</f>
        <v>44243.127384934538</v>
      </c>
      <c r="AH7" s="502">
        <f t="shared" ref="AH7" si="32">SUM(AH8,AH9)</f>
        <v>42058.807063991371</v>
      </c>
      <c r="AI7" s="502">
        <f t="shared" ref="AI7" si="33">SUM(AI8,AI9)</f>
        <v>36723.213932553306</v>
      </c>
      <c r="AJ7" s="502">
        <f t="shared" ref="AJ7" si="34">SUM(AJ8,AJ9)</f>
        <v>52701.632844495827</v>
      </c>
      <c r="AK7" s="502">
        <f t="shared" ref="AK7" si="35">SUM(AK8,AK9)</f>
        <v>56092.828495719878</v>
      </c>
      <c r="AL7" s="502">
        <f t="shared" ref="AL7" si="36">SUM(AL8,AL9)</f>
        <v>40505.030212904065</v>
      </c>
      <c r="AM7" s="502">
        <f t="shared" ref="AM7" si="37">SUM(AM8,AM9)</f>
        <v>43880.200180996515</v>
      </c>
      <c r="AN7" s="503">
        <f t="shared" ref="AN7" si="38">SUM(AB7:AM7)</f>
        <v>511748.59286015999</v>
      </c>
      <c r="AO7" s="502">
        <f t="shared" ref="AO7" si="39">SUM(AO8,AO9)</f>
        <v>38091.032188246769</v>
      </c>
      <c r="AP7" s="502">
        <f t="shared" ref="AP7" si="40">SUM(AP8,AP9)</f>
        <v>37823.767782711351</v>
      </c>
      <c r="AQ7" s="502">
        <f t="shared" ref="AQ7" si="41">SUM(AQ8,AQ9)</f>
        <v>43249.203756048359</v>
      </c>
      <c r="AR7" s="502">
        <f t="shared" ref="AR7" si="42">SUM(AR8,AR9)</f>
        <v>45238.725458149507</v>
      </c>
      <c r="AS7" s="502">
        <f t="shared" ref="AS7" si="43">SUM(AS8,AS9)</f>
        <v>51642.304024068653</v>
      </c>
      <c r="AT7" s="502">
        <f t="shared" ref="AT7" si="44">SUM(AT8,AT9)</f>
        <v>54312.280639332937</v>
      </c>
      <c r="AU7" s="502">
        <f t="shared" ref="AU7" si="45">SUM(AU8,AU9)</f>
        <v>48791.588852437853</v>
      </c>
      <c r="AV7" s="502">
        <f t="shared" ref="AV7" si="46">SUM(AV8,AV9)</f>
        <v>46436.351060954737</v>
      </c>
      <c r="AW7" s="502">
        <f t="shared" ref="AW7" si="47">SUM(AW8,AW9)</f>
        <v>48791.886994306391</v>
      </c>
      <c r="AX7" s="502">
        <f t="shared" ref="AX7" si="48">SUM(AX8,AX9)</f>
        <v>54468.295158747671</v>
      </c>
      <c r="AY7" s="502">
        <f t="shared" ref="AY7" si="49">SUM(AY8,AY9)</f>
        <v>49776.089473375447</v>
      </c>
      <c r="AZ7" s="502">
        <f t="shared" ref="AZ7" si="50">SUM(AZ8,AZ9)</f>
        <v>47359.360235342312</v>
      </c>
      <c r="BA7" s="503">
        <f t="shared" ref="BA7" si="51">SUM(AO7:AZ7)</f>
        <v>565980.88562372199</v>
      </c>
      <c r="BB7" s="502">
        <f t="shared" ref="BB7" si="52">SUM(BB8,BB9)</f>
        <v>43439.108686130094</v>
      </c>
      <c r="BC7" s="502">
        <f t="shared" ref="BC7" si="53">SUM(BC8,BC9)</f>
        <v>43156.494870762341</v>
      </c>
      <c r="BD7" s="502">
        <f t="shared" ref="BD7" si="54">SUM(BD8,BD9)</f>
        <v>45637.677169215945</v>
      </c>
      <c r="BE7" s="502">
        <f t="shared" ref="BE7" si="55">SUM(BE8,BE9)</f>
        <v>55712.547628641099</v>
      </c>
      <c r="BF7" s="502">
        <f t="shared" ref="BF7" si="56">SUM(BF8,BF9)</f>
        <v>65538.257047281717</v>
      </c>
      <c r="BG7" s="502">
        <f t="shared" ref="BG7" si="57">SUM(BG8,BG9)</f>
        <v>62316.623231007623</v>
      </c>
      <c r="BH7" s="502">
        <f t="shared" ref="BH7" si="58">SUM(BH8,BH9)</f>
        <v>56605.857683490765</v>
      </c>
      <c r="BI7" s="502">
        <f t="shared" ref="BI7" si="59">SUM(BI8,BI9)</f>
        <v>55149.70505422783</v>
      </c>
      <c r="BJ7" s="502">
        <f t="shared" ref="BJ7" si="60">SUM(BJ8,BJ9)</f>
        <v>52232.703998538222</v>
      </c>
      <c r="BK7" s="502">
        <f t="shared" ref="BK7" si="61">SUM(BK8,BK9)</f>
        <v>58913.101484804429</v>
      </c>
      <c r="BL7" s="502">
        <f t="shared" ref="BL7" si="62">SUM(BL8,BL9)</f>
        <v>54372.54976684571</v>
      </c>
      <c r="BM7" s="502">
        <f t="shared" ref="BM7" si="63">SUM(BM8,BM9)</f>
        <v>51605.005968275451</v>
      </c>
      <c r="BN7" s="503">
        <f t="shared" ref="BN7" si="64">SUM(BB7:BM7)</f>
        <v>644679.63258922123</v>
      </c>
      <c r="BO7" s="502">
        <f t="shared" ref="BO7" si="65">SUM(BO8,BO9)</f>
        <v>48895.218187609738</v>
      </c>
      <c r="BP7" s="502">
        <f t="shared" ref="BP7" si="66">SUM(BP8,BP9)</f>
        <v>47475.876441920031</v>
      </c>
      <c r="BQ7" s="502">
        <f t="shared" ref="BQ7" si="67">SUM(BQ8,BQ9)</f>
        <v>50609.840241453989</v>
      </c>
      <c r="BR7" s="502">
        <f t="shared" ref="BR7" si="68">SUM(BR8,BR9)</f>
        <v>57032.063264859622</v>
      </c>
      <c r="BS7" s="502">
        <f t="shared" ref="BS7" si="69">SUM(BS8,BS9)</f>
        <v>61502.711180685161</v>
      </c>
      <c r="BT7" s="502">
        <f t="shared" ref="BT7" si="70">SUM(BT8,BT9)</f>
        <v>63105.677332439409</v>
      </c>
      <c r="BU7" s="502">
        <f t="shared" ref="BU7" si="71">SUM(BU8,BU9)</f>
        <v>57527.477384220561</v>
      </c>
      <c r="BV7" s="502">
        <f t="shared" ref="BV7" si="72">SUM(BV8,BV9)</f>
        <v>64387.701619816689</v>
      </c>
      <c r="BW7" s="502">
        <f t="shared" ref="BW7" si="73">SUM(BW8,BW9)</f>
        <v>57422.07300444998</v>
      </c>
      <c r="BX7" s="502">
        <f t="shared" ref="BX7" si="74">SUM(BX8,BX9)</f>
        <v>52071.958212796046</v>
      </c>
      <c r="BY7" s="502">
        <f t="shared" ref="BY7" si="75">SUM(BY8,BY9)</f>
        <v>42327.812935634764</v>
      </c>
      <c r="BZ7" s="502">
        <f t="shared" ref="BZ7" si="76">SUM(BZ8,BZ9)</f>
        <v>46990.257206082941</v>
      </c>
      <c r="CA7" s="503">
        <f t="shared" ref="CA7" si="77">SUM(BO7:BZ7)</f>
        <v>649348.66701196891</v>
      </c>
      <c r="CB7" s="502">
        <f t="shared" ref="CB7" si="78">SUM(CB8,CB9)</f>
        <v>47170.727074630689</v>
      </c>
      <c r="CC7" s="502">
        <f t="shared" ref="CC7" si="79">SUM(CC8,CC9)</f>
        <v>50765.463059513815</v>
      </c>
      <c r="CD7" s="502">
        <f t="shared" ref="CD7" si="80">SUM(CD8,CD9)</f>
        <v>57482.060160544766</v>
      </c>
      <c r="CE7" s="502">
        <f t="shared" ref="CE7" si="81">SUM(CE8,CE9)</f>
        <v>65995.589127330153</v>
      </c>
      <c r="CF7" s="502">
        <f t="shared" ref="CF7" si="82">SUM(CF8,CF9)</f>
        <v>75124.649005927524</v>
      </c>
      <c r="CG7" s="502">
        <f t="shared" ref="CG7" si="83">SUM(CG8,CG9)</f>
        <v>72449.192679495434</v>
      </c>
      <c r="CH7" s="502">
        <f t="shared" ref="CH7" si="84">SUM(CH8,CH9)</f>
        <v>70014.362302000402</v>
      </c>
      <c r="CI7" s="502">
        <f t="shared" ref="CI7" si="85">SUM(CI8,CI9)</f>
        <v>64187.2840386389</v>
      </c>
      <c r="CJ7" s="502">
        <f t="shared" ref="CJ7" si="86">SUM(CJ8,CJ9)</f>
        <v>67187.81624919505</v>
      </c>
      <c r="CK7" s="502">
        <f t="shared" ref="CK7" si="87">SUM(CK8,CK9)</f>
        <v>63159.689112727225</v>
      </c>
      <c r="CL7" s="502">
        <f t="shared" ref="CL7" si="88">SUM(CL8,CL9)</f>
        <v>55950.904441056678</v>
      </c>
      <c r="CM7" s="502">
        <f t="shared" ref="CM7" si="89">SUM(CM8,CM9)</f>
        <v>59446.820306962822</v>
      </c>
      <c r="CN7" s="503">
        <f t="shared" ref="CN7" si="90">SUM(CB7:CM7)</f>
        <v>748934.55755802337</v>
      </c>
      <c r="CO7" s="502">
        <f t="shared" ref="CO7" si="91">SUM(CO8,CO9)</f>
        <v>59216.067739224207</v>
      </c>
      <c r="CP7" s="502">
        <f t="shared" ref="CP7" si="92">SUM(CP8,CP9)</f>
        <v>53423.635842616684</v>
      </c>
      <c r="CQ7" s="502">
        <f t="shared" ref="CQ7" si="93">SUM(CQ8,CQ9)</f>
        <v>62239.815615094565</v>
      </c>
      <c r="CR7" s="502">
        <f t="shared" ref="CR7" si="94">SUM(CR8,CR9)</f>
        <v>59727.853354764513</v>
      </c>
      <c r="CS7" s="502">
        <f t="shared" ref="CS7" si="95">SUM(CS8,CS9)</f>
        <v>80912.126961940128</v>
      </c>
      <c r="CT7" s="502">
        <f t="shared" ref="CT7" si="96">SUM(CT8,CT9)</f>
        <v>80897.879614012767</v>
      </c>
      <c r="CU7" s="502">
        <f t="shared" ref="CU7" si="97">SUM(CU8,CU9)</f>
        <v>72996.447047889087</v>
      </c>
      <c r="CV7" s="502">
        <f t="shared" ref="CV7" si="98">SUM(CV8,CV9)</f>
        <v>76511.922264680543</v>
      </c>
      <c r="CW7" s="502">
        <f t="shared" ref="CW7" si="99">SUM(CW8,CW9)</f>
        <v>68965.682747913757</v>
      </c>
      <c r="CX7" s="502">
        <f t="shared" ref="CX7" si="100">SUM(CX8,CX9)</f>
        <v>68776.961233669455</v>
      </c>
      <c r="CY7" s="502">
        <f t="shared" ref="CY7" si="101">SUM(CY8,CY9)</f>
        <v>59967.698455369318</v>
      </c>
      <c r="CZ7" s="502">
        <f t="shared" ref="CZ7" si="102">SUM(CZ8,CZ9)</f>
        <v>63971.964588327071</v>
      </c>
      <c r="DA7" s="503">
        <f t="shared" ref="DA7" si="103">SUM(CO7:CZ7)</f>
        <v>807608.05546550208</v>
      </c>
      <c r="DB7" s="502">
        <f t="shared" ref="DB7" si="104">SUM(DB8,DB9)</f>
        <v>56178.830112545795</v>
      </c>
      <c r="DC7" s="502">
        <f t="shared" ref="DC7" si="105">SUM(DC8,DC9)</f>
        <v>54121.878567288048</v>
      </c>
      <c r="DD7" s="502">
        <f t="shared" ref="DD7" si="106">SUM(DD8,DD9)</f>
        <v>50776.445979679091</v>
      </c>
      <c r="DE7" s="502">
        <f t="shared" ref="DE7" si="107">SUM(DE8,DE9)</f>
        <v>56283.123786396303</v>
      </c>
      <c r="DF7" s="502">
        <f t="shared" ref="DF7" si="108">SUM(DF8,DF9)</f>
        <v>69655.138558887134</v>
      </c>
      <c r="DG7" s="502">
        <f t="shared" ref="DG7" si="109">SUM(DG8,DG9)</f>
        <v>70236.774434520907</v>
      </c>
      <c r="DH7" s="502">
        <f t="shared" ref="DH7" si="110">SUM(DH8,DH9)</f>
        <v>79554.611182737819</v>
      </c>
      <c r="DI7" s="502">
        <f t="shared" ref="DI7" si="111">SUM(DI8,DI9)</f>
        <v>80042.524619074393</v>
      </c>
      <c r="DJ7" s="502">
        <f t="shared" ref="DJ7" si="112">SUM(DJ8,DJ9)</f>
        <v>84250.922900420992</v>
      </c>
      <c r="DK7" s="502">
        <f t="shared" ref="DK7" si="113">SUM(DK8,DK9)</f>
        <v>84522.703699206017</v>
      </c>
      <c r="DL7" s="502">
        <f t="shared" ref="DL7" si="114">SUM(DL8,DL9)</f>
        <v>62631.40665280111</v>
      </c>
      <c r="DM7" s="502">
        <f t="shared" ref="DM7" si="115">SUM(DM8,DM9)</f>
        <v>48723.482290549509</v>
      </c>
      <c r="DN7" s="503">
        <f t="shared" ref="DN7" si="116">SUM(DB7:DM7)</f>
        <v>796977.84278410708</v>
      </c>
      <c r="DO7" s="502">
        <f t="shared" ref="DO7" si="117">SUM(DO8,DO9)</f>
        <v>44596.746761516035</v>
      </c>
      <c r="DP7" s="502">
        <f t="shared" ref="DP7" si="118">SUM(DP8,DP9)</f>
        <v>46193.899736998661</v>
      </c>
      <c r="DQ7" s="502">
        <f t="shared" ref="DQ7" si="119">SUM(DQ8,DQ9)</f>
        <v>53305.250314028723</v>
      </c>
      <c r="DR7" s="502">
        <f t="shared" ref="DR7" si="120">SUM(DR8,DR9)</f>
        <v>47609.91155924082</v>
      </c>
      <c r="DS7" s="502">
        <f t="shared" ref="DS7" si="121">SUM(DS8,DS9)</f>
        <v>43783.763312733798</v>
      </c>
      <c r="DT7" s="502">
        <f t="shared" ref="DT7" si="122">SUM(DT8,DT9)</f>
        <v>43510.156802092693</v>
      </c>
      <c r="DU7" s="502">
        <f t="shared" ref="DU7" si="123">SUM(DU8,DU9)</f>
        <v>52737.955325732895</v>
      </c>
      <c r="DV7" s="502">
        <f t="shared" ref="DV7" si="124">SUM(DV8,DV9)</f>
        <v>76607.234373167215</v>
      </c>
      <c r="DW7" s="502">
        <f t="shared" ref="DW7" si="125">SUM(DW8,DW9)</f>
        <v>86704.676750475104</v>
      </c>
      <c r="DX7" s="502">
        <f t="shared" ref="DX7" si="126">SUM(DX8,DX9)</f>
        <v>87037.054969775723</v>
      </c>
      <c r="DY7" s="502">
        <f t="shared" ref="DY7" si="127">SUM(DY8,DY9)</f>
        <v>62314.965081900191</v>
      </c>
      <c r="DZ7" s="502">
        <f t="shared" ref="DZ7" si="128">SUM(DZ8,DZ9)</f>
        <v>67738.083100050106</v>
      </c>
      <c r="EA7" s="503">
        <f t="shared" ref="EA7" si="129">SUM(DO7:DZ7)</f>
        <v>712139.69808771193</v>
      </c>
      <c r="EB7" s="502">
        <f t="shared" ref="EB7" si="130">SUM(EB8,EB9)</f>
        <v>59241.238099073824</v>
      </c>
      <c r="EC7" s="502">
        <f t="shared" ref="EC7" si="131">SUM(EC8,EC9)</f>
        <v>57605.097442234815</v>
      </c>
      <c r="ED7" s="502">
        <f t="shared" ref="ED7" si="132">SUM(ED8,ED9)</f>
        <v>53960.50072850116</v>
      </c>
      <c r="EE7" s="502">
        <f t="shared" ref="EE7" si="133">SUM(EE8,EE9)</f>
        <v>39898.599735551732</v>
      </c>
      <c r="EF7" s="502">
        <f t="shared" ref="EF7" si="134">SUM(EF8,EF9)</f>
        <v>59990.763027377754</v>
      </c>
      <c r="EG7" s="502">
        <f t="shared" ref="EG7" si="135">SUM(EG8,EG9)</f>
        <v>75931.11117878939</v>
      </c>
      <c r="EH7" s="502">
        <f t="shared" ref="EH7" si="136">SUM(EH8,EH9)</f>
        <v>64887.603904090705</v>
      </c>
      <c r="EI7" s="502">
        <f t="shared" ref="EI7" si="137">SUM(EI8,EI9)</f>
        <v>64464.929428112431</v>
      </c>
      <c r="EJ7" s="502">
        <f t="shared" ref="EJ7" si="138">SUM(EJ8,EJ9)</f>
        <v>83574.062121448849</v>
      </c>
      <c r="EK7" s="502">
        <f t="shared" ref="EK7" si="139">SUM(EK8,EK9)</f>
        <v>76384.971566075212</v>
      </c>
      <c r="EL7" s="502">
        <f t="shared" ref="EL7" si="140">SUM(EL8,EL9)</f>
        <v>67017.800939295339</v>
      </c>
      <c r="EM7" s="502">
        <f t="shared" ref="EM7" si="141">SUM(EM8,EM9)</f>
        <v>65431.101337012587</v>
      </c>
      <c r="EN7" s="503">
        <f t="shared" ref="EN7" si="142">SUM(EB7:EM7)</f>
        <v>768387.7795075638</v>
      </c>
      <c r="EO7" s="502">
        <f>SUM(EO8,EO9)</f>
        <v>64958.487469258063</v>
      </c>
      <c r="EP7" s="502">
        <f t="shared" ref="EP7:EZ7" si="143">SUM(EP8,EP9)</f>
        <v>60686.130451596589</v>
      </c>
      <c r="EQ7" s="502">
        <f t="shared" si="143"/>
        <v>0</v>
      </c>
      <c r="ER7" s="502">
        <f t="shared" si="143"/>
        <v>0</v>
      </c>
      <c r="ES7" s="502">
        <f t="shared" si="143"/>
        <v>0</v>
      </c>
      <c r="ET7" s="502">
        <f t="shared" si="143"/>
        <v>0</v>
      </c>
      <c r="EU7" s="502">
        <f t="shared" si="143"/>
        <v>0</v>
      </c>
      <c r="EV7" s="502">
        <f t="shared" si="143"/>
        <v>0</v>
      </c>
      <c r="EW7" s="502">
        <f t="shared" si="143"/>
        <v>0</v>
      </c>
      <c r="EX7" s="502">
        <f t="shared" si="143"/>
        <v>0</v>
      </c>
      <c r="EY7" s="502">
        <f t="shared" si="143"/>
        <v>0</v>
      </c>
      <c r="EZ7" s="502">
        <f t="shared" si="143"/>
        <v>0</v>
      </c>
      <c r="FA7" s="503">
        <f>SUM(EO7:EZ7)</f>
        <v>125644.61792085465</v>
      </c>
      <c r="FB7" s="504"/>
      <c r="FC7" s="505">
        <f>IFERROR(((
_xlfn.XLOOKUP((DATE(YEAR($FC$5),MONTH($FC$5),1)),UCA.AGRO.DATE,$B7:$FA7) /
_xlfn.XLOOKUP((DATE(YEAR($FC$5)-1,MONTH($FC$5),1)),UCA.AGRO.DATE,$B7:$FA7)
)-1)*100,"")</f>
        <v>7.546880354043739</v>
      </c>
      <c r="FD7" s="506">
        <f>IFERROR(((FF7/FE7)-1)*100,"")</f>
        <v>9.0867343937383716</v>
      </c>
      <c r="FE7" s="507">
        <f>SUMIFS($B7:$FA7,UCA.AGRO.DATE,"&gt;="&amp;DATE(YEAR($FC$5)-1,1,1),UCA.AGRO.DATE,"&lt;="&amp;DATE(YEAR($FC$5)-1,MONTH($FC$5),1))</f>
        <v>644401.61498766183</v>
      </c>
      <c r="FF7" s="508">
        <f>SUMIFS($B7:$FA7,UCA.AGRO.DATE,"&gt;="&amp;DATE(YEAR($FC$5),1,1),UCA.AGRO.DATE,"&lt;="&amp;$FC$5)</f>
        <v>702956.6781705512</v>
      </c>
      <c r="FG7" s="509"/>
      <c r="FH7" s="510"/>
      <c r="FI7" s="511"/>
      <c r="FJ7" s="512"/>
    </row>
    <row r="8" spans="1:166" s="447" customFormat="1" ht="15" customHeight="1" x14ac:dyDescent="0.25">
      <c r="A8" s="514" t="s">
        <v>348</v>
      </c>
      <c r="B8" s="515">
        <v>29883.171832994245</v>
      </c>
      <c r="C8" s="515">
        <v>28378.571467851791</v>
      </c>
      <c r="D8" s="515">
        <v>31623.203889724697</v>
      </c>
      <c r="E8" s="515">
        <v>31329.005555024589</v>
      </c>
      <c r="F8" s="515">
        <v>30331.08441657442</v>
      </c>
      <c r="G8" s="515">
        <v>30625.279061396577</v>
      </c>
      <c r="H8" s="515">
        <v>26376.674517186511</v>
      </c>
      <c r="I8" s="515">
        <v>27475.514411035441</v>
      </c>
      <c r="J8" s="515">
        <v>34586.141935731401</v>
      </c>
      <c r="K8" s="515">
        <v>33169.498210828497</v>
      </c>
      <c r="L8" s="515">
        <v>29859.273338415627</v>
      </c>
      <c r="M8" s="515">
        <v>29115.882628741994</v>
      </c>
      <c r="N8" s="516">
        <f>SUM(B8:M8)</f>
        <v>362753.30126550572</v>
      </c>
      <c r="O8" s="515">
        <v>27924.724438704252</v>
      </c>
      <c r="P8" s="515">
        <v>28974.418325014554</v>
      </c>
      <c r="Q8" s="515">
        <v>32196.367126785903</v>
      </c>
      <c r="R8" s="515">
        <v>33639.58791290025</v>
      </c>
      <c r="S8" s="515">
        <v>32050.662355191755</v>
      </c>
      <c r="T8" s="515">
        <v>32443.69621755457</v>
      </c>
      <c r="U8" s="515">
        <v>27415.798486269065</v>
      </c>
      <c r="V8" s="515">
        <v>24619.562755698276</v>
      </c>
      <c r="W8" s="515">
        <v>28490.211494513547</v>
      </c>
      <c r="X8" s="515">
        <v>35911.237391118892</v>
      </c>
      <c r="Y8" s="515">
        <v>27759.485248553079</v>
      </c>
      <c r="Z8" s="515">
        <v>31367.217873495865</v>
      </c>
      <c r="AA8" s="516">
        <f>SUM(O8:Z8)</f>
        <v>362792.96962580003</v>
      </c>
      <c r="AB8" s="515">
        <v>28290.733420497119</v>
      </c>
      <c r="AC8" s="515">
        <v>30780.946224451807</v>
      </c>
      <c r="AD8" s="515">
        <v>36289.579460747103</v>
      </c>
      <c r="AE8" s="515">
        <v>33061.037601281903</v>
      </c>
      <c r="AF8" s="515">
        <v>35830.230485834356</v>
      </c>
      <c r="AG8" s="515">
        <v>36596.366172787377</v>
      </c>
      <c r="AH8" s="515">
        <v>35268.262504166676</v>
      </c>
      <c r="AI8" s="515">
        <v>30574.373068650013</v>
      </c>
      <c r="AJ8" s="515">
        <v>46503.492613866445</v>
      </c>
      <c r="AK8" s="515">
        <v>50361.461949208489</v>
      </c>
      <c r="AL8" s="515">
        <v>34738.75865262335</v>
      </c>
      <c r="AM8" s="515">
        <v>37874.334637604406</v>
      </c>
      <c r="AN8" s="516">
        <f>SUM(AB8:AM8)</f>
        <v>436169.57679171913</v>
      </c>
      <c r="AO8" s="515">
        <v>32923.046607494274</v>
      </c>
      <c r="AP8" s="515">
        <v>33370.469326087354</v>
      </c>
      <c r="AQ8" s="515">
        <v>37145.360182969322</v>
      </c>
      <c r="AR8" s="515">
        <v>38405.827894060065</v>
      </c>
      <c r="AS8" s="515">
        <v>45242.167409337038</v>
      </c>
      <c r="AT8" s="515">
        <v>47323.275381466286</v>
      </c>
      <c r="AU8" s="515">
        <v>42083.489609989301</v>
      </c>
      <c r="AV8" s="515">
        <v>38094.055728125997</v>
      </c>
      <c r="AW8" s="515">
        <v>42095.93478021695</v>
      </c>
      <c r="AX8" s="515">
        <v>45544.920864254404</v>
      </c>
      <c r="AY8" s="515">
        <v>42738.977333867901</v>
      </c>
      <c r="AZ8" s="515">
        <v>38000.906780516132</v>
      </c>
      <c r="BA8" s="516">
        <f>SUM(AO8:AZ8)</f>
        <v>482968.43189838505</v>
      </c>
      <c r="BB8" s="515">
        <v>36608.144064130094</v>
      </c>
      <c r="BC8" s="515">
        <v>37535.890968762338</v>
      </c>
      <c r="BD8" s="515">
        <v>37835.753754215948</v>
      </c>
      <c r="BE8" s="515">
        <v>46557.348638641095</v>
      </c>
      <c r="BF8" s="515">
        <v>56807.000916281715</v>
      </c>
      <c r="BG8" s="515">
        <v>52978.062903007623</v>
      </c>
      <c r="BH8" s="515">
        <v>47373.886737490764</v>
      </c>
      <c r="BI8" s="515">
        <v>44112.87901222783</v>
      </c>
      <c r="BJ8" s="515">
        <v>43031.246984538222</v>
      </c>
      <c r="BK8" s="515">
        <v>46755.905486804426</v>
      </c>
      <c r="BL8" s="515">
        <v>45275.853809845707</v>
      </c>
      <c r="BM8" s="515">
        <v>39750.01505627545</v>
      </c>
      <c r="BN8" s="516">
        <f>SUM(BB8:BM8)</f>
        <v>534621.98833222117</v>
      </c>
      <c r="BO8" s="515">
        <v>41944.238163107759</v>
      </c>
      <c r="BP8" s="515">
        <v>41880.074903280169</v>
      </c>
      <c r="BQ8" s="515">
        <v>42989.730695949474</v>
      </c>
      <c r="BR8" s="515">
        <v>48147.788451250846</v>
      </c>
      <c r="BS8" s="515">
        <v>53117.592197985832</v>
      </c>
      <c r="BT8" s="515">
        <v>53793.558844019935</v>
      </c>
      <c r="BU8" s="515">
        <v>48341.548475070864</v>
      </c>
      <c r="BV8" s="515">
        <v>53906.186277117704</v>
      </c>
      <c r="BW8" s="515">
        <v>48590.393373874598</v>
      </c>
      <c r="BX8" s="515">
        <v>40383.350063932412</v>
      </c>
      <c r="BY8" s="515">
        <v>33612.491883317103</v>
      </c>
      <c r="BZ8" s="515">
        <v>35345.504812303523</v>
      </c>
      <c r="CA8" s="516">
        <v>542052.45814121026</v>
      </c>
      <c r="CB8" s="515">
        <v>40216.329632130793</v>
      </c>
      <c r="CC8" s="515">
        <v>45181.168500707216</v>
      </c>
      <c r="CD8" s="515">
        <v>50034.978625727745</v>
      </c>
      <c r="CE8" s="515">
        <v>57152.684537612018</v>
      </c>
      <c r="CF8" s="515">
        <v>66703.058800987375</v>
      </c>
      <c r="CG8" s="515">
        <v>63023.896459934142</v>
      </c>
      <c r="CH8" s="515">
        <v>60826.281709230003</v>
      </c>
      <c r="CI8" s="515">
        <v>53471.98975417715</v>
      </c>
      <c r="CJ8" s="515">
        <v>57925.837616407895</v>
      </c>
      <c r="CK8" s="515">
        <v>51268.725184105919</v>
      </c>
      <c r="CL8" s="515">
        <v>47203.876043171033</v>
      </c>
      <c r="CM8" s="515">
        <v>47734.962770428392</v>
      </c>
      <c r="CN8" s="516">
        <v>640743.78963461961</v>
      </c>
      <c r="CO8" s="515">
        <v>51955.324463167868</v>
      </c>
      <c r="CP8" s="515">
        <v>47721.453428522764</v>
      </c>
      <c r="CQ8" s="515">
        <v>54653.091780184717</v>
      </c>
      <c r="CR8" s="515">
        <v>50696.902231030333</v>
      </c>
      <c r="CS8" s="515">
        <v>72398.169755828028</v>
      </c>
      <c r="CT8" s="515">
        <v>71418.332348352371</v>
      </c>
      <c r="CU8" s="515">
        <v>63795.707884813106</v>
      </c>
      <c r="CV8" s="515">
        <v>66017.988284568753</v>
      </c>
      <c r="CW8" s="515">
        <v>60014.72477532507</v>
      </c>
      <c r="CX8" s="515">
        <v>57180.355789403773</v>
      </c>
      <c r="CY8" s="515">
        <v>51685.985865985131</v>
      </c>
      <c r="CZ8" s="515">
        <v>53133.422102605036</v>
      </c>
      <c r="DA8" s="516">
        <v>700671.45870978688</v>
      </c>
      <c r="DB8" s="515">
        <v>48748.373250799341</v>
      </c>
      <c r="DC8" s="515">
        <v>48302.882450378347</v>
      </c>
      <c r="DD8" s="515">
        <v>42877.326916777172</v>
      </c>
      <c r="DE8" s="515">
        <v>47364.358343951244</v>
      </c>
      <c r="DF8" s="515">
        <v>61117.640648364548</v>
      </c>
      <c r="DG8" s="515">
        <v>61246.208550139891</v>
      </c>
      <c r="DH8" s="515">
        <v>70473.412680013265</v>
      </c>
      <c r="DI8" s="515">
        <v>69272.558139586632</v>
      </c>
      <c r="DJ8" s="515">
        <v>74834.524084738921</v>
      </c>
      <c r="DK8" s="515">
        <v>72704.227366061939</v>
      </c>
      <c r="DL8" s="515">
        <v>53891.175362503396</v>
      </c>
      <c r="DM8" s="515">
        <v>37433.820332556294</v>
      </c>
      <c r="DN8" s="516">
        <v>688266.50812587095</v>
      </c>
      <c r="DO8" s="515">
        <v>37356.336564408281</v>
      </c>
      <c r="DP8" s="515">
        <v>40520.426457965012</v>
      </c>
      <c r="DQ8" s="515">
        <v>45389.013396458977</v>
      </c>
      <c r="DR8" s="515">
        <v>38740.558791121439</v>
      </c>
      <c r="DS8" s="515">
        <v>35285.942345046577</v>
      </c>
      <c r="DT8" s="515">
        <v>34541.4433352864</v>
      </c>
      <c r="DU8" s="515">
        <v>43625.286569960779</v>
      </c>
      <c r="DV8" s="515">
        <v>65978.967680400689</v>
      </c>
      <c r="DW8" s="515">
        <v>77187.895266122359</v>
      </c>
      <c r="DX8" s="515">
        <v>74765.488250517723</v>
      </c>
      <c r="DY8" s="515">
        <v>53500.296728244051</v>
      </c>
      <c r="DZ8" s="515">
        <v>56414.37191441426</v>
      </c>
      <c r="EA8" s="516">
        <v>603306.02729994664</v>
      </c>
      <c r="EB8" s="515">
        <v>51275.184504098484</v>
      </c>
      <c r="EC8" s="515">
        <v>51631.623566829745</v>
      </c>
      <c r="ED8" s="515">
        <v>46044.368646856732</v>
      </c>
      <c r="EE8" s="515">
        <v>30983.068949614109</v>
      </c>
      <c r="EF8" s="515">
        <v>51039.160418264721</v>
      </c>
      <c r="EG8" s="515">
        <v>66133.594709181882</v>
      </c>
      <c r="EH8" s="515">
        <v>55097.877298953557</v>
      </c>
      <c r="EI8" s="515">
        <v>53984.890791750004</v>
      </c>
      <c r="EJ8" s="515">
        <v>74090.531209814784</v>
      </c>
      <c r="EK8" s="515">
        <v>64085.971321043398</v>
      </c>
      <c r="EL8" s="515">
        <v>58045.967245147265</v>
      </c>
      <c r="EM8" s="515">
        <v>54068.816757463239</v>
      </c>
      <c r="EN8" s="516">
        <v>656481.05541901791</v>
      </c>
      <c r="EO8" s="515">
        <v>57076.084296062101</v>
      </c>
      <c r="EP8" s="515">
        <v>54772.646592261459</v>
      </c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6">
        <f t="shared" ref="FA8:FA55" si="144">SUM(EO8:EZ8)</f>
        <v>111848.73088832357</v>
      </c>
      <c r="FB8" s="517"/>
      <c r="FC8" s="518">
        <f>IFERROR(((
_xlfn.XLOOKUP((DATE(YEAR($FC$5),MONTH($FC$5),1)),UCA.AGRO.DATE,$B8:$FA8) /
_xlfn.XLOOKUP((DATE(YEAR($FC$5)-1,MONTH($FC$5),1)),UCA.AGRO.DATE,$B8:$FA8)
)-1)*100,"")</f>
        <v>8.4965332809143987</v>
      </c>
      <c r="FD8" s="519">
        <f t="shared" ref="FD8:FD55" si="145">IFERROR(((FF8/FE8)-1)*100,"")</f>
        <v>10.152026041955775</v>
      </c>
      <c r="FE8" s="520">
        <f>SUMIFS($B8:$FA8,UCA.AGRO.DATE,"&gt;="&amp;DATE(YEAR($FC$5)-1,1,1),UCA.AGRO.DATE,"&lt;="&amp;DATE(YEAR($FC$5)-1,MONTH($FC$5),1))</f>
        <v>546891.6553855323</v>
      </c>
      <c r="FF8" s="521">
        <f>SUMIFS($B8:$FA8,UCA.AGRO.DATE,"&gt;="&amp;DATE(YEAR($FC$5),1,1),UCA.AGRO.DATE,"&lt;="&amp;$FC$5)</f>
        <v>602412.23866155453</v>
      </c>
      <c r="FG8" s="471"/>
      <c r="FH8" s="520"/>
      <c r="FI8" s="522"/>
      <c r="FJ8" s="523"/>
    </row>
    <row r="9" spans="1:166" s="447" customFormat="1" ht="15" customHeight="1" x14ac:dyDescent="0.25">
      <c r="A9" s="514" t="s">
        <v>349</v>
      </c>
      <c r="B9" s="515">
        <v>8877.6563567842186</v>
      </c>
      <c r="C9" s="515">
        <v>10559.944229300721</v>
      </c>
      <c r="D9" s="515">
        <v>10337.785462241724</v>
      </c>
      <c r="E9" s="515">
        <v>10704.761755531392</v>
      </c>
      <c r="F9" s="515">
        <v>8337.7145875810274</v>
      </c>
      <c r="G9" s="515">
        <v>7834.1824947788991</v>
      </c>
      <c r="H9" s="515">
        <v>8030.7866788811343</v>
      </c>
      <c r="I9" s="515">
        <v>6934.6704304826271</v>
      </c>
      <c r="J9" s="515">
        <v>6184.3168958692122</v>
      </c>
      <c r="K9" s="515">
        <v>6465.9510139111708</v>
      </c>
      <c r="L9" s="515">
        <v>6750.4361662178781</v>
      </c>
      <c r="M9" s="515">
        <v>7242.7735590200082</v>
      </c>
      <c r="N9" s="516">
        <f>SUM(B9:M9)</f>
        <v>98260.979630600006</v>
      </c>
      <c r="O9" s="515">
        <v>5612.005212409149</v>
      </c>
      <c r="P9" s="515">
        <v>5457.8122612557945</v>
      </c>
      <c r="Q9" s="515">
        <v>4772.0020261469581</v>
      </c>
      <c r="R9" s="515">
        <v>5426.3275346922173</v>
      </c>
      <c r="S9" s="515">
        <v>6853.3665963803924</v>
      </c>
      <c r="T9" s="515">
        <v>6798.1019560474851</v>
      </c>
      <c r="U9" s="515">
        <v>5858.0832481444004</v>
      </c>
      <c r="V9" s="515">
        <v>6033.9178237250171</v>
      </c>
      <c r="W9" s="515">
        <v>5841.6866130592034</v>
      </c>
      <c r="X9" s="515">
        <v>4971.7449210617615</v>
      </c>
      <c r="Y9" s="515">
        <v>5595.8440237092564</v>
      </c>
      <c r="Z9" s="515">
        <v>6404.5653714340688</v>
      </c>
      <c r="AA9" s="516">
        <f>SUM(O9:Z9)</f>
        <v>69625.457588065707</v>
      </c>
      <c r="AB9" s="515">
        <v>3990.9388608598474</v>
      </c>
      <c r="AC9" s="515">
        <v>5773.9381917433348</v>
      </c>
      <c r="AD9" s="515">
        <v>7004.1844329360893</v>
      </c>
      <c r="AE9" s="515">
        <v>6521.0175243908307</v>
      </c>
      <c r="AF9" s="515">
        <v>8001.146541822136</v>
      </c>
      <c r="AG9" s="515">
        <v>7646.7612121471611</v>
      </c>
      <c r="AH9" s="515">
        <v>6790.5445598246952</v>
      </c>
      <c r="AI9" s="515">
        <v>6148.8408639032896</v>
      </c>
      <c r="AJ9" s="515">
        <v>6198.1402306293803</v>
      </c>
      <c r="AK9" s="515">
        <v>5731.3665465113863</v>
      </c>
      <c r="AL9" s="515">
        <v>5766.2715602807139</v>
      </c>
      <c r="AM9" s="515">
        <v>6005.8655433921094</v>
      </c>
      <c r="AN9" s="516">
        <f>SUM(AB9:AM9)</f>
        <v>75579.016068440964</v>
      </c>
      <c r="AO9" s="515">
        <v>5167.9855807524946</v>
      </c>
      <c r="AP9" s="515">
        <v>4453.2984566240002</v>
      </c>
      <c r="AQ9" s="515">
        <v>6103.8435730790334</v>
      </c>
      <c r="AR9" s="515">
        <v>6832.897564089445</v>
      </c>
      <c r="AS9" s="515">
        <v>6400.1366147316176</v>
      </c>
      <c r="AT9" s="515">
        <v>6989.0052578666528</v>
      </c>
      <c r="AU9" s="515">
        <v>6708.0992424485494</v>
      </c>
      <c r="AV9" s="515">
        <v>8342.2953328287367</v>
      </c>
      <c r="AW9" s="515">
        <v>6695.9522140894433</v>
      </c>
      <c r="AX9" s="515">
        <v>8923.374294493271</v>
      </c>
      <c r="AY9" s="515">
        <v>7037.1121395075479</v>
      </c>
      <c r="AZ9" s="515">
        <v>9358.4534548261781</v>
      </c>
      <c r="BA9" s="516">
        <f>SUM(AO9:AZ9)</f>
        <v>83012.453725336964</v>
      </c>
      <c r="BB9" s="515">
        <v>6830.9646220000004</v>
      </c>
      <c r="BC9" s="515">
        <v>5620.6039019999998</v>
      </c>
      <c r="BD9" s="515">
        <v>7801.9234150000002</v>
      </c>
      <c r="BE9" s="515">
        <v>9155.1989900000008</v>
      </c>
      <c r="BF9" s="515">
        <v>8731.2561310000001</v>
      </c>
      <c r="BG9" s="515">
        <v>9338.5603279999996</v>
      </c>
      <c r="BH9" s="515">
        <v>9231.9709459999995</v>
      </c>
      <c r="BI9" s="515">
        <v>11036.826042000001</v>
      </c>
      <c r="BJ9" s="515">
        <v>9201.4570140000014</v>
      </c>
      <c r="BK9" s="515">
        <v>12157.195997999999</v>
      </c>
      <c r="BL9" s="515">
        <v>9096.6959569999999</v>
      </c>
      <c r="BM9" s="515">
        <v>11854.990911999999</v>
      </c>
      <c r="BN9" s="516">
        <f>SUM(BB9:BM9)</f>
        <v>110057.64425699999</v>
      </c>
      <c r="BO9" s="515">
        <v>6950.9800245019778</v>
      </c>
      <c r="BP9" s="515">
        <v>5595.8015386398611</v>
      </c>
      <c r="BQ9" s="515">
        <v>7620.1095455045152</v>
      </c>
      <c r="BR9" s="515">
        <v>8884.2748136087794</v>
      </c>
      <c r="BS9" s="515">
        <v>8385.1189826993323</v>
      </c>
      <c r="BT9" s="515">
        <v>9312.1184884194718</v>
      </c>
      <c r="BU9" s="515">
        <v>9185.9289091497012</v>
      </c>
      <c r="BV9" s="515">
        <v>10481.515342698984</v>
      </c>
      <c r="BW9" s="515">
        <v>8831.6796305753796</v>
      </c>
      <c r="BX9" s="515">
        <v>11688.60814886363</v>
      </c>
      <c r="BY9" s="515">
        <v>8715.3210523176604</v>
      </c>
      <c r="BZ9" s="515">
        <v>11644.752393779418</v>
      </c>
      <c r="CA9" s="516">
        <v>107296.2088707587</v>
      </c>
      <c r="CB9" s="515">
        <v>6954.3974424998942</v>
      </c>
      <c r="CC9" s="515">
        <v>5584.2945588066032</v>
      </c>
      <c r="CD9" s="515">
        <v>7447.081534817019</v>
      </c>
      <c r="CE9" s="515">
        <v>8842.9045897181331</v>
      </c>
      <c r="CF9" s="515">
        <v>8421.5902049401448</v>
      </c>
      <c r="CG9" s="515">
        <v>9425.2962195612999</v>
      </c>
      <c r="CH9" s="515">
        <v>9188.0805927703987</v>
      </c>
      <c r="CI9" s="515">
        <v>10715.294284461748</v>
      </c>
      <c r="CJ9" s="515">
        <v>9261.9786327871516</v>
      </c>
      <c r="CK9" s="515">
        <v>11890.963928621306</v>
      </c>
      <c r="CL9" s="515">
        <v>8747.0283978856442</v>
      </c>
      <c r="CM9" s="515">
        <v>11711.85753653443</v>
      </c>
      <c r="CN9" s="516">
        <v>108190.76792340378</v>
      </c>
      <c r="CO9" s="515">
        <v>7260.7432760563397</v>
      </c>
      <c r="CP9" s="515">
        <v>5702.1824140939189</v>
      </c>
      <c r="CQ9" s="515">
        <v>7586.7238349098488</v>
      </c>
      <c r="CR9" s="515">
        <v>9030.9511237341812</v>
      </c>
      <c r="CS9" s="515">
        <v>8513.9572061121034</v>
      </c>
      <c r="CT9" s="515">
        <v>9479.5472656603979</v>
      </c>
      <c r="CU9" s="515">
        <v>9200.7391630759776</v>
      </c>
      <c r="CV9" s="515">
        <v>10493.933980111789</v>
      </c>
      <c r="CW9" s="515">
        <v>8950.9579725886942</v>
      </c>
      <c r="CX9" s="515">
        <v>11596.605444265686</v>
      </c>
      <c r="CY9" s="515">
        <v>8281.7125893841912</v>
      </c>
      <c r="CZ9" s="515">
        <v>10838.542485722039</v>
      </c>
      <c r="DA9" s="516">
        <v>106936.59675571516</v>
      </c>
      <c r="DB9" s="515">
        <v>7430.456861746452</v>
      </c>
      <c r="DC9" s="515">
        <v>5818.9961169097032</v>
      </c>
      <c r="DD9" s="515">
        <v>7899.1190629019165</v>
      </c>
      <c r="DE9" s="515">
        <v>8918.7654424450611</v>
      </c>
      <c r="DF9" s="515">
        <v>8537.4979105225812</v>
      </c>
      <c r="DG9" s="515">
        <v>8990.5658843810106</v>
      </c>
      <c r="DH9" s="515">
        <v>9081.1985027245519</v>
      </c>
      <c r="DI9" s="515">
        <v>10769.966479487755</v>
      </c>
      <c r="DJ9" s="515">
        <v>9416.3988156820651</v>
      </c>
      <c r="DK9" s="515">
        <v>11818.476333144072</v>
      </c>
      <c r="DL9" s="515">
        <v>8740.2312902977155</v>
      </c>
      <c r="DM9" s="515">
        <v>11289.661957993216</v>
      </c>
      <c r="DN9" s="516">
        <v>108711.33465823611</v>
      </c>
      <c r="DO9" s="515">
        <v>7240.4101971077516</v>
      </c>
      <c r="DP9" s="515">
        <v>5673.4732790336493</v>
      </c>
      <c r="DQ9" s="515">
        <v>7916.2369175697477</v>
      </c>
      <c r="DR9" s="515">
        <v>8869.3527681193791</v>
      </c>
      <c r="DS9" s="515">
        <v>8497.8209676872229</v>
      </c>
      <c r="DT9" s="515">
        <v>8968.7134668062936</v>
      </c>
      <c r="DU9" s="515">
        <v>9112.6687557721143</v>
      </c>
      <c r="DV9" s="515">
        <v>10628.266692766534</v>
      </c>
      <c r="DW9" s="515">
        <v>9516.7814843527467</v>
      </c>
      <c r="DX9" s="515">
        <v>12271.566719257995</v>
      </c>
      <c r="DY9" s="515">
        <v>8814.6683536561377</v>
      </c>
      <c r="DZ9" s="515">
        <v>11323.711185635844</v>
      </c>
      <c r="EA9" s="516">
        <v>108833.67078776541</v>
      </c>
      <c r="EB9" s="515">
        <v>7966.0535949753366</v>
      </c>
      <c r="EC9" s="515">
        <v>5973.4738754050722</v>
      </c>
      <c r="ED9" s="515">
        <v>7916.1320816444277</v>
      </c>
      <c r="EE9" s="515">
        <v>8915.5307859376189</v>
      </c>
      <c r="EF9" s="515">
        <v>8951.6026091130334</v>
      </c>
      <c r="EG9" s="515">
        <v>9797.516469607508</v>
      </c>
      <c r="EH9" s="515">
        <v>9789.7266051371444</v>
      </c>
      <c r="EI9" s="515">
        <v>10480.038636362431</v>
      </c>
      <c r="EJ9" s="515">
        <v>9483.5309116340686</v>
      </c>
      <c r="EK9" s="515">
        <v>12299.000245031812</v>
      </c>
      <c r="EL9" s="515">
        <v>8971.8336941480684</v>
      </c>
      <c r="EM9" s="515">
        <v>11362.284579549349</v>
      </c>
      <c r="EN9" s="516">
        <v>111906.72408854586</v>
      </c>
      <c r="EO9" s="515">
        <v>7882.4031731959622</v>
      </c>
      <c r="EP9" s="515">
        <v>5913.4838593351315</v>
      </c>
      <c r="EQ9" s="515"/>
      <c r="ER9" s="515"/>
      <c r="ES9" s="515"/>
      <c r="ET9" s="515"/>
      <c r="EU9" s="515"/>
      <c r="EV9" s="515"/>
      <c r="EW9" s="515"/>
      <c r="EX9" s="515"/>
      <c r="EY9" s="515"/>
      <c r="EZ9" s="515"/>
      <c r="FA9" s="516">
        <f t="shared" si="144"/>
        <v>13795.887032531093</v>
      </c>
      <c r="FB9" s="517"/>
      <c r="FC9" s="524">
        <f>IFERROR(((
_xlfn.XLOOKUP((DATE(YEAR($FC$5),MONTH($FC$5),1)),UCA.AGRO.DATE,$B9:$FA9) /
_xlfn.XLOOKUP((DATE(YEAR($FC$5)-1,MONTH($FC$5),1)),UCA.AGRO.DATE,$B9:$FA9)
)-1)*100,"")</f>
        <v>1.7829977735548175</v>
      </c>
      <c r="FD9" s="525">
        <f t="shared" si="145"/>
        <v>3.1119691970425745</v>
      </c>
      <c r="FE9" s="526">
        <f>SUMIFS($B9:$FA9,UCA.AGRO.DATE,"&gt;="&amp;DATE(YEAR($FC$5)-1,1,1),UCA.AGRO.DATE,"&lt;="&amp;DATE(YEAR($FC$5)-1,MONTH($FC$5),1))</f>
        <v>97509.959602129573</v>
      </c>
      <c r="FF9" s="527">
        <f>SUMIFS($B9:$FA9,UCA.AGRO.DATE,"&gt;="&amp;DATE(YEAR($FC$5),1,1),UCA.AGRO.DATE,"&lt;="&amp;$FC$5)</f>
        <v>100544.43950899651</v>
      </c>
      <c r="FG9" s="471"/>
      <c r="FH9" s="528"/>
      <c r="FI9" s="471"/>
      <c r="FJ9" s="529"/>
    </row>
    <row r="10" spans="1:166" s="447" customFormat="1" ht="15" customHeight="1" x14ac:dyDescent="0.25">
      <c r="A10" s="530"/>
      <c r="B10" s="531"/>
      <c r="C10" s="531"/>
      <c r="D10" s="531"/>
      <c r="E10" s="531"/>
      <c r="F10" s="531"/>
      <c r="G10" s="531"/>
      <c r="H10" s="531"/>
      <c r="I10" s="531"/>
      <c r="J10" s="531"/>
      <c r="K10" s="531"/>
      <c r="L10" s="531"/>
      <c r="M10" s="531"/>
      <c r="N10" s="532"/>
      <c r="O10" s="531"/>
      <c r="P10" s="531"/>
      <c r="Q10" s="531"/>
      <c r="R10" s="531"/>
      <c r="S10" s="531"/>
      <c r="T10" s="531"/>
      <c r="U10" s="531"/>
      <c r="V10" s="531"/>
      <c r="W10" s="531"/>
      <c r="X10" s="531"/>
      <c r="Y10" s="531"/>
      <c r="Z10" s="531"/>
      <c r="AA10" s="532"/>
      <c r="AB10" s="531"/>
      <c r="AC10" s="531"/>
      <c r="AD10" s="531"/>
      <c r="AE10" s="531"/>
      <c r="AF10" s="531"/>
      <c r="AG10" s="531"/>
      <c r="AH10" s="531"/>
      <c r="AI10" s="531"/>
      <c r="AJ10" s="531"/>
      <c r="AK10" s="531"/>
      <c r="AL10" s="531"/>
      <c r="AM10" s="531"/>
      <c r="AN10" s="532"/>
      <c r="AO10" s="531"/>
      <c r="AP10" s="531"/>
      <c r="AQ10" s="531"/>
      <c r="AR10" s="531"/>
      <c r="AS10" s="531"/>
      <c r="AT10" s="531"/>
      <c r="AU10" s="531"/>
      <c r="AV10" s="531"/>
      <c r="AW10" s="531"/>
      <c r="AX10" s="531"/>
      <c r="AY10" s="531"/>
      <c r="AZ10" s="531"/>
      <c r="BA10" s="532"/>
      <c r="BB10" s="531"/>
      <c r="BC10" s="531"/>
      <c r="BD10" s="531"/>
      <c r="BE10" s="531"/>
      <c r="BF10" s="531"/>
      <c r="BG10" s="531"/>
      <c r="BH10" s="531"/>
      <c r="BI10" s="531"/>
      <c r="BJ10" s="531"/>
      <c r="BK10" s="531"/>
      <c r="BL10" s="531"/>
      <c r="BM10" s="531"/>
      <c r="BN10" s="532"/>
      <c r="BO10" s="531"/>
      <c r="BP10" s="531"/>
      <c r="BQ10" s="531"/>
      <c r="BR10" s="531"/>
      <c r="BS10" s="531"/>
      <c r="BT10" s="531"/>
      <c r="BU10" s="531"/>
      <c r="BV10" s="531"/>
      <c r="BW10" s="531"/>
      <c r="BX10" s="531"/>
      <c r="BY10" s="531"/>
      <c r="BZ10" s="531"/>
      <c r="CA10" s="532"/>
      <c r="CB10" s="531"/>
      <c r="CC10" s="531"/>
      <c r="CD10" s="531"/>
      <c r="CE10" s="531"/>
      <c r="CF10" s="531"/>
      <c r="CG10" s="531"/>
      <c r="CH10" s="531"/>
      <c r="CI10" s="531"/>
      <c r="CJ10" s="531"/>
      <c r="CK10" s="531"/>
      <c r="CL10" s="531"/>
      <c r="CM10" s="531"/>
      <c r="CN10" s="532"/>
      <c r="CO10" s="531"/>
      <c r="CP10" s="531"/>
      <c r="CQ10" s="531"/>
      <c r="CR10" s="531"/>
      <c r="CS10" s="531"/>
      <c r="CT10" s="531"/>
      <c r="CU10" s="531"/>
      <c r="CV10" s="531"/>
      <c r="CW10" s="531"/>
      <c r="CX10" s="531"/>
      <c r="CY10" s="531"/>
      <c r="CZ10" s="531"/>
      <c r="DA10" s="532"/>
      <c r="DB10" s="531"/>
      <c r="DC10" s="531"/>
      <c r="DD10" s="531"/>
      <c r="DE10" s="531"/>
      <c r="DF10" s="531"/>
      <c r="DG10" s="531"/>
      <c r="DH10" s="531"/>
      <c r="DI10" s="531"/>
      <c r="DJ10" s="531"/>
      <c r="DK10" s="531"/>
      <c r="DL10" s="531"/>
      <c r="DM10" s="531"/>
      <c r="DN10" s="532"/>
      <c r="DO10" s="531"/>
      <c r="DP10" s="531"/>
      <c r="DQ10" s="531"/>
      <c r="DR10" s="531"/>
      <c r="DS10" s="531"/>
      <c r="DT10" s="531"/>
      <c r="DU10" s="531"/>
      <c r="DV10" s="531"/>
      <c r="DW10" s="531"/>
      <c r="DX10" s="531"/>
      <c r="DY10" s="531"/>
      <c r="DZ10" s="531"/>
      <c r="EA10" s="532"/>
      <c r="EB10" s="531"/>
      <c r="EC10" s="531"/>
      <c r="ED10" s="531"/>
      <c r="EE10" s="531"/>
      <c r="EF10" s="531"/>
      <c r="EG10" s="531"/>
      <c r="EH10" s="531"/>
      <c r="EI10" s="531"/>
      <c r="EJ10" s="531"/>
      <c r="EK10" s="531"/>
      <c r="EL10" s="531"/>
      <c r="EM10" s="531"/>
      <c r="EN10" s="532"/>
      <c r="EO10" s="531"/>
      <c r="EP10" s="531"/>
      <c r="EQ10" s="531"/>
      <c r="ER10" s="531"/>
      <c r="ES10" s="531"/>
      <c r="ET10" s="531"/>
      <c r="EU10" s="531"/>
      <c r="EV10" s="531"/>
      <c r="EW10" s="531"/>
      <c r="EX10" s="531"/>
      <c r="EY10" s="531"/>
      <c r="EZ10" s="531"/>
      <c r="FA10" s="532"/>
      <c r="FB10" s="533"/>
      <c r="FC10" s="534"/>
      <c r="FD10" s="535"/>
      <c r="FE10" s="536"/>
      <c r="FF10" s="537"/>
      <c r="FG10" s="470"/>
      <c r="FH10" s="538"/>
      <c r="FI10" s="470"/>
      <c r="FJ10" s="539"/>
    </row>
    <row r="11" spans="1:166" s="447" customFormat="1" ht="15" customHeight="1" x14ac:dyDescent="0.25">
      <c r="A11" s="540" t="s">
        <v>558</v>
      </c>
      <c r="B11" s="541">
        <f t="shared" ref="B11:BM11" si="146">SUM(B13:B37,B39)</f>
        <v>80334</v>
      </c>
      <c r="C11" s="541">
        <f t="shared" si="146"/>
        <v>76800</v>
      </c>
      <c r="D11" s="541">
        <f t="shared" si="146"/>
        <v>72549</v>
      </c>
      <c r="E11" s="541">
        <f t="shared" si="146"/>
        <v>69152</v>
      </c>
      <c r="F11" s="541">
        <f t="shared" si="146"/>
        <v>65836</v>
      </c>
      <c r="G11" s="541">
        <f t="shared" si="146"/>
        <v>64809</v>
      </c>
      <c r="H11" s="541">
        <f t="shared" si="146"/>
        <v>56715</v>
      </c>
      <c r="I11" s="541">
        <f t="shared" si="146"/>
        <v>65295</v>
      </c>
      <c r="J11" s="541">
        <f t="shared" si="146"/>
        <v>78139</v>
      </c>
      <c r="K11" s="541">
        <f t="shared" si="146"/>
        <v>78326</v>
      </c>
      <c r="L11" s="541">
        <f t="shared" si="146"/>
        <v>74475</v>
      </c>
      <c r="M11" s="541">
        <f t="shared" si="146"/>
        <v>77153</v>
      </c>
      <c r="N11" s="542">
        <f t="shared" ref="N11" si="147">SUM(B11:M11)</f>
        <v>859583</v>
      </c>
      <c r="O11" s="541">
        <f t="shared" ref="O11" si="148">SUM(O13:O37,O39)</f>
        <v>75698</v>
      </c>
      <c r="P11" s="541">
        <f t="shared" si="146"/>
        <v>81263</v>
      </c>
      <c r="Q11" s="541">
        <f t="shared" si="146"/>
        <v>78146</v>
      </c>
      <c r="R11" s="541">
        <f t="shared" si="146"/>
        <v>73764</v>
      </c>
      <c r="S11" s="541">
        <f t="shared" si="146"/>
        <v>67317</v>
      </c>
      <c r="T11" s="541">
        <f t="shared" si="146"/>
        <v>64535</v>
      </c>
      <c r="U11" s="541">
        <f t="shared" si="146"/>
        <v>52501</v>
      </c>
      <c r="V11" s="541">
        <f t="shared" si="146"/>
        <v>58615</v>
      </c>
      <c r="W11" s="541">
        <f t="shared" si="146"/>
        <v>65839</v>
      </c>
      <c r="X11" s="541">
        <f t="shared" si="146"/>
        <v>83012</v>
      </c>
      <c r="Y11" s="541">
        <f t="shared" si="146"/>
        <v>68954</v>
      </c>
      <c r="Z11" s="541">
        <f t="shared" si="146"/>
        <v>80276</v>
      </c>
      <c r="AA11" s="542">
        <f t="shared" ref="AA11" si="149">SUM(O11:Z11)</f>
        <v>849920</v>
      </c>
      <c r="AB11" s="541">
        <f t="shared" ref="AB11" si="150">SUM(AB13:AB37,AB39)</f>
        <v>76851</v>
      </c>
      <c r="AC11" s="541">
        <f t="shared" si="146"/>
        <v>83617</v>
      </c>
      <c r="AD11" s="541">
        <f t="shared" si="146"/>
        <v>88568</v>
      </c>
      <c r="AE11" s="541">
        <f t="shared" si="146"/>
        <v>73209</v>
      </c>
      <c r="AF11" s="541">
        <f t="shared" si="146"/>
        <v>73805</v>
      </c>
      <c r="AG11" s="541">
        <f t="shared" si="146"/>
        <v>68430</v>
      </c>
      <c r="AH11" s="541">
        <f t="shared" si="146"/>
        <v>63946</v>
      </c>
      <c r="AI11" s="541">
        <f t="shared" si="146"/>
        <v>69059</v>
      </c>
      <c r="AJ11" s="541">
        <f t="shared" si="146"/>
        <v>89986</v>
      </c>
      <c r="AK11" s="541">
        <f t="shared" si="146"/>
        <v>99653</v>
      </c>
      <c r="AL11" s="541">
        <f t="shared" si="146"/>
        <v>77829</v>
      </c>
      <c r="AM11" s="541">
        <f t="shared" si="146"/>
        <v>82897</v>
      </c>
      <c r="AN11" s="542">
        <f t="shared" ref="AN11" si="151">SUM(AB11:AM11)</f>
        <v>947850</v>
      </c>
      <c r="AO11" s="541">
        <f t="shared" ref="AO11" si="152">SUM(AO13:AO37,AO39)</f>
        <v>82918</v>
      </c>
      <c r="AP11" s="541">
        <f t="shared" si="146"/>
        <v>85528</v>
      </c>
      <c r="AQ11" s="541">
        <f t="shared" si="146"/>
        <v>89223</v>
      </c>
      <c r="AR11" s="541">
        <f t="shared" si="146"/>
        <v>85194</v>
      </c>
      <c r="AS11" s="541">
        <f t="shared" si="146"/>
        <v>76662</v>
      </c>
      <c r="AT11" s="541">
        <f t="shared" si="146"/>
        <v>71934</v>
      </c>
      <c r="AU11" s="541">
        <f t="shared" si="146"/>
        <v>72244</v>
      </c>
      <c r="AV11" s="541">
        <f t="shared" si="146"/>
        <v>82500</v>
      </c>
      <c r="AW11" s="541">
        <f t="shared" si="146"/>
        <v>86401</v>
      </c>
      <c r="AX11" s="541">
        <f t="shared" si="146"/>
        <v>95035</v>
      </c>
      <c r="AY11" s="541">
        <f t="shared" si="146"/>
        <v>91838</v>
      </c>
      <c r="AZ11" s="541">
        <f t="shared" si="146"/>
        <v>86391</v>
      </c>
      <c r="BA11" s="542">
        <f t="shared" ref="BA11" si="153">SUM(AO11:AZ11)</f>
        <v>1005868</v>
      </c>
      <c r="BB11" s="541">
        <f t="shared" ref="BB11" si="154">SUM(BB13:BB37,BB39)</f>
        <v>87135</v>
      </c>
      <c r="BC11" s="541">
        <f t="shared" si="146"/>
        <v>90291</v>
      </c>
      <c r="BD11" s="541">
        <f t="shared" si="146"/>
        <v>90617</v>
      </c>
      <c r="BE11" s="541">
        <f t="shared" si="146"/>
        <v>87889</v>
      </c>
      <c r="BF11" s="541">
        <f t="shared" si="146"/>
        <v>89557</v>
      </c>
      <c r="BG11" s="541">
        <f t="shared" si="146"/>
        <v>78136</v>
      </c>
      <c r="BH11" s="541">
        <f t="shared" si="146"/>
        <v>74137</v>
      </c>
      <c r="BI11" s="541">
        <f t="shared" si="146"/>
        <v>76128</v>
      </c>
      <c r="BJ11" s="541">
        <f t="shared" si="146"/>
        <v>81454</v>
      </c>
      <c r="BK11" s="541">
        <f t="shared" si="146"/>
        <v>103051</v>
      </c>
      <c r="BL11" s="541">
        <f t="shared" si="146"/>
        <v>98283</v>
      </c>
      <c r="BM11" s="541">
        <f t="shared" si="146"/>
        <v>88968</v>
      </c>
      <c r="BN11" s="542">
        <f t="shared" ref="BN11" si="155">SUM(BB11:BM11)</f>
        <v>1045646</v>
      </c>
      <c r="BO11" s="541">
        <f t="shared" ref="BO11:DZ11" si="156">SUM(BO13:BO37,BO39)</f>
        <v>97164.962</v>
      </c>
      <c r="BP11" s="541">
        <f t="shared" si="156"/>
        <v>100093.16900000001</v>
      </c>
      <c r="BQ11" s="541">
        <f t="shared" si="156"/>
        <v>100404.42199999999</v>
      </c>
      <c r="BR11" s="541">
        <f t="shared" si="156"/>
        <v>88074.42300000001</v>
      </c>
      <c r="BS11" s="541">
        <f t="shared" si="156"/>
        <v>81644.33</v>
      </c>
      <c r="BT11" s="541">
        <f t="shared" si="156"/>
        <v>76574.020999999993</v>
      </c>
      <c r="BU11" s="541">
        <f t="shared" si="156"/>
        <v>76409.869000000006</v>
      </c>
      <c r="BV11" s="541">
        <f t="shared" si="156"/>
        <v>89392.072</v>
      </c>
      <c r="BW11" s="541">
        <f t="shared" si="156"/>
        <v>93230.879000000001</v>
      </c>
      <c r="BX11" s="541">
        <f t="shared" si="156"/>
        <v>91887.053</v>
      </c>
      <c r="BY11" s="541">
        <f t="shared" si="156"/>
        <v>84659.405999999988</v>
      </c>
      <c r="BZ11" s="541">
        <f t="shared" si="156"/>
        <v>86754.404000000024</v>
      </c>
      <c r="CA11" s="542">
        <f t="shared" ref="CA11" si="157">SUM(BO11:BZ11)</f>
        <v>1066289.01</v>
      </c>
      <c r="CB11" s="541">
        <f t="shared" ref="CB11" si="158">SUM(CB13:CB37,CB39)</f>
        <v>102106.477</v>
      </c>
      <c r="CC11" s="541">
        <f t="shared" si="156"/>
        <v>115151.81700000001</v>
      </c>
      <c r="CD11" s="541">
        <f t="shared" si="156"/>
        <v>124556.01199999999</v>
      </c>
      <c r="CE11" s="541">
        <f t="shared" si="156"/>
        <v>120500.23699999999</v>
      </c>
      <c r="CF11" s="541">
        <f t="shared" si="156"/>
        <v>115840.36899999998</v>
      </c>
      <c r="CG11" s="541">
        <f t="shared" si="156"/>
        <v>102427.77799999999</v>
      </c>
      <c r="CH11" s="541">
        <f t="shared" si="156"/>
        <v>101129.92700000001</v>
      </c>
      <c r="CI11" s="541">
        <f t="shared" si="156"/>
        <v>104405.329</v>
      </c>
      <c r="CJ11" s="541">
        <f t="shared" si="156"/>
        <v>129771.52799999998</v>
      </c>
      <c r="CK11" s="541">
        <f t="shared" si="156"/>
        <v>126087.85700000002</v>
      </c>
      <c r="CL11" s="541">
        <f t="shared" si="156"/>
        <v>121931.50599999999</v>
      </c>
      <c r="CM11" s="541">
        <f t="shared" si="156"/>
        <v>116348.22399999999</v>
      </c>
      <c r="CN11" s="542">
        <f t="shared" ref="CN11" si="159">SUM(CB11:CM11)</f>
        <v>1380257.061</v>
      </c>
      <c r="CO11" s="541">
        <f t="shared" ref="CO11" si="160">SUM(CO13:CO37,CO39)</f>
        <v>122169.114</v>
      </c>
      <c r="CP11" s="541">
        <f t="shared" si="156"/>
        <v>119559.94000000002</v>
      </c>
      <c r="CQ11" s="541">
        <f t="shared" si="156"/>
        <v>133497.38099999999</v>
      </c>
      <c r="CR11" s="541">
        <f t="shared" si="156"/>
        <v>116109.33500000001</v>
      </c>
      <c r="CS11" s="541">
        <f t="shared" si="156"/>
        <v>125411.45399999997</v>
      </c>
      <c r="CT11" s="541">
        <f t="shared" si="156"/>
        <v>113309.266</v>
      </c>
      <c r="CU11" s="541">
        <f t="shared" si="156"/>
        <v>100469.121</v>
      </c>
      <c r="CV11" s="541">
        <f t="shared" si="156"/>
        <v>128022.16799999998</v>
      </c>
      <c r="CW11" s="541">
        <f t="shared" si="156"/>
        <v>124555.485</v>
      </c>
      <c r="CX11" s="541">
        <f t="shared" si="156"/>
        <v>136868.13</v>
      </c>
      <c r="CY11" s="541">
        <f t="shared" si="156"/>
        <v>130916.28100000002</v>
      </c>
      <c r="CZ11" s="541">
        <f t="shared" si="156"/>
        <v>138250.07299999997</v>
      </c>
      <c r="DA11" s="542">
        <f t="shared" ref="DA11" si="161">SUM(CO11:CZ11)</f>
        <v>1489137.7479999997</v>
      </c>
      <c r="DB11" s="541">
        <f t="shared" ref="DB11" si="162">SUM(DB13:DB37,DB39)</f>
        <v>125194.14300000001</v>
      </c>
      <c r="DC11" s="541">
        <f t="shared" si="156"/>
        <v>125669.533</v>
      </c>
      <c r="DD11" s="541">
        <f t="shared" si="156"/>
        <v>112251.97500000001</v>
      </c>
      <c r="DE11" s="541">
        <f t="shared" si="156"/>
        <v>108900.891</v>
      </c>
      <c r="DF11" s="541">
        <f t="shared" si="156"/>
        <v>117667.26</v>
      </c>
      <c r="DG11" s="541">
        <f t="shared" si="156"/>
        <v>109719.61999999998</v>
      </c>
      <c r="DH11" s="541">
        <f t="shared" si="156"/>
        <v>115109.50700000001</v>
      </c>
      <c r="DI11" s="541">
        <f t="shared" si="156"/>
        <v>120214.102</v>
      </c>
      <c r="DJ11" s="541">
        <f t="shared" si="156"/>
        <v>144153.68</v>
      </c>
      <c r="DK11" s="541">
        <f t="shared" si="156"/>
        <v>168950.07600000003</v>
      </c>
      <c r="DL11" s="541">
        <f t="shared" si="156"/>
        <v>138408.74300000002</v>
      </c>
      <c r="DM11" s="541">
        <f t="shared" si="156"/>
        <v>105488.583</v>
      </c>
      <c r="DN11" s="542">
        <f t="shared" ref="DN11" si="163">SUM(DB11:DM11)</f>
        <v>1491728.1130000001</v>
      </c>
      <c r="DO11" s="541">
        <f t="shared" ref="DO11" si="164">SUM(DO13:DO37,DO39)</f>
        <v>100343.56199999998</v>
      </c>
      <c r="DP11" s="541">
        <f t="shared" si="156"/>
        <v>103578.874</v>
      </c>
      <c r="DQ11" s="541">
        <f t="shared" si="156"/>
        <v>111402.71100000001</v>
      </c>
      <c r="DR11" s="541">
        <f t="shared" si="156"/>
        <v>100322.95400000001</v>
      </c>
      <c r="DS11" s="541">
        <f t="shared" si="156"/>
        <v>88667.192999999985</v>
      </c>
      <c r="DT11" s="541">
        <f t="shared" si="156"/>
        <v>80964.667999999976</v>
      </c>
      <c r="DU11" s="541">
        <f t="shared" si="156"/>
        <v>103704.459</v>
      </c>
      <c r="DV11" s="541">
        <f t="shared" si="156"/>
        <v>141854.62799999997</v>
      </c>
      <c r="DW11" s="541">
        <f t="shared" si="156"/>
        <v>159699.45800000001</v>
      </c>
      <c r="DX11" s="541">
        <f t="shared" si="156"/>
        <v>175119.58800000005</v>
      </c>
      <c r="DY11" s="541">
        <f t="shared" si="156"/>
        <v>135582.103</v>
      </c>
      <c r="DZ11" s="541">
        <f t="shared" si="156"/>
        <v>128679.59700000001</v>
      </c>
      <c r="EA11" s="542">
        <f t="shared" ref="EA11" si="165">SUM(DO11:DZ11)</f>
        <v>1429919.7949999999</v>
      </c>
      <c r="EB11" s="541">
        <f t="shared" ref="EB11:EM11" si="166">SUM(EB13:EB37,EB39)</f>
        <v>115155.69899999998</v>
      </c>
      <c r="EC11" s="541">
        <f t="shared" si="166"/>
        <v>119135.65300000001</v>
      </c>
      <c r="ED11" s="541">
        <f t="shared" si="166"/>
        <v>109168.42600000001</v>
      </c>
      <c r="EE11" s="541">
        <f t="shared" si="166"/>
        <v>81000.747999999992</v>
      </c>
      <c r="EF11" s="541">
        <f t="shared" si="166"/>
        <v>105208.93900000001</v>
      </c>
      <c r="EG11" s="541">
        <f t="shared" si="166"/>
        <v>114925.359</v>
      </c>
      <c r="EH11" s="541">
        <f t="shared" si="166"/>
        <v>96222.423000000024</v>
      </c>
      <c r="EI11" s="541">
        <f t="shared" si="166"/>
        <v>111212.838</v>
      </c>
      <c r="EJ11" s="541">
        <f t="shared" si="166"/>
        <v>150078.13799999998</v>
      </c>
      <c r="EK11" s="541">
        <f t="shared" si="166"/>
        <v>152630.09099999999</v>
      </c>
      <c r="EL11" s="541">
        <f t="shared" si="166"/>
        <v>147907.821</v>
      </c>
      <c r="EM11" s="541">
        <f t="shared" si="166"/>
        <v>142342.10500000001</v>
      </c>
      <c r="EN11" s="542">
        <f t="shared" ref="EN11" si="167">SUM(EB11:EM11)</f>
        <v>1444988.24</v>
      </c>
      <c r="EO11" s="541">
        <f>SUM(EO13:EO37,EO39)</f>
        <v>136460.79499999998</v>
      </c>
      <c r="EP11" s="541">
        <f t="shared" ref="EP11:EZ11" si="168">SUM(EP13:EP37,EP39)</f>
        <v>137830.44899999999</v>
      </c>
      <c r="EQ11" s="541">
        <f t="shared" si="168"/>
        <v>0</v>
      </c>
      <c r="ER11" s="541">
        <f t="shared" si="168"/>
        <v>0</v>
      </c>
      <c r="ES11" s="541">
        <f t="shared" si="168"/>
        <v>0</v>
      </c>
      <c r="ET11" s="541">
        <f t="shared" si="168"/>
        <v>0</v>
      </c>
      <c r="EU11" s="541">
        <f t="shared" si="168"/>
        <v>0</v>
      </c>
      <c r="EV11" s="541">
        <f t="shared" si="168"/>
        <v>0</v>
      </c>
      <c r="EW11" s="541">
        <f t="shared" si="168"/>
        <v>0</v>
      </c>
      <c r="EX11" s="541">
        <f t="shared" si="168"/>
        <v>0</v>
      </c>
      <c r="EY11" s="541">
        <f t="shared" si="168"/>
        <v>0</v>
      </c>
      <c r="EZ11" s="541">
        <f t="shared" si="168"/>
        <v>0</v>
      </c>
      <c r="FA11" s="542">
        <f t="shared" si="144"/>
        <v>274291.24399999995</v>
      </c>
      <c r="FB11" s="543"/>
      <c r="FC11" s="544">
        <f>IFERROR(((
_xlfn.XLOOKUP((DATE(YEAR($FC$5),MONTH($FC$5),1)),UCA.AGRO.DATE,$B11:$FA11) /
_xlfn.XLOOKUP((DATE(YEAR($FC$5)-1,MONTH($FC$5),1)),UCA.AGRO.DATE,$B11:$FA11)
)-1)*100,"")</f>
        <v>9.0909623964159803</v>
      </c>
      <c r="FD11" s="545">
        <f t="shared" si="145"/>
        <v>0.10804592435440519</v>
      </c>
      <c r="FE11" s="546">
        <f>SUMIFS($B11:$FA11,UCA.AGRO.DATE,"&gt;="&amp;DATE(YEAR($FC$5)-1,1,1),UCA.AGRO.DATE,"&lt;="&amp;DATE(YEAR($FC$5)-1,MONTH($FC$5),1))</f>
        <v>1301240.1979999999</v>
      </c>
      <c r="FF11" s="547">
        <f>SUMIFS($B11:$FA11,UCA.AGRO.DATE,"&gt;="&amp;DATE(YEAR($FC$5),1,1),UCA.AGRO.DATE,"&lt;="&amp;$FC$5)</f>
        <v>1302646.135</v>
      </c>
      <c r="FG11" s="548"/>
      <c r="FH11" s="498"/>
      <c r="FI11" s="499"/>
      <c r="FJ11" s="500"/>
    </row>
    <row r="12" spans="1:166" s="447" customFormat="1" ht="15" customHeight="1" x14ac:dyDescent="0.25">
      <c r="A12" s="530"/>
      <c r="B12" s="531"/>
      <c r="C12" s="531"/>
      <c r="D12" s="531"/>
      <c r="E12" s="531"/>
      <c r="F12" s="531"/>
      <c r="G12" s="531"/>
      <c r="H12" s="531"/>
      <c r="I12" s="531"/>
      <c r="J12" s="531"/>
      <c r="K12" s="531"/>
      <c r="L12" s="531"/>
      <c r="M12" s="531"/>
      <c r="N12" s="532"/>
      <c r="O12" s="531"/>
      <c r="P12" s="531"/>
      <c r="Q12" s="531"/>
      <c r="R12" s="531"/>
      <c r="S12" s="531"/>
      <c r="T12" s="531"/>
      <c r="U12" s="531"/>
      <c r="V12" s="531"/>
      <c r="W12" s="531"/>
      <c r="X12" s="531"/>
      <c r="Y12" s="531"/>
      <c r="Z12" s="531"/>
      <c r="AA12" s="532"/>
      <c r="AB12" s="531"/>
      <c r="AC12" s="531"/>
      <c r="AD12" s="531"/>
      <c r="AE12" s="531"/>
      <c r="AF12" s="531"/>
      <c r="AG12" s="531"/>
      <c r="AH12" s="531"/>
      <c r="AI12" s="531"/>
      <c r="AJ12" s="531"/>
      <c r="AK12" s="531"/>
      <c r="AL12" s="531"/>
      <c r="AM12" s="531"/>
      <c r="AN12" s="532"/>
      <c r="AO12" s="531"/>
      <c r="AP12" s="531"/>
      <c r="AQ12" s="531"/>
      <c r="AR12" s="531"/>
      <c r="AS12" s="531"/>
      <c r="AT12" s="531"/>
      <c r="AU12" s="531"/>
      <c r="AV12" s="531"/>
      <c r="AW12" s="531"/>
      <c r="AX12" s="531"/>
      <c r="AY12" s="531"/>
      <c r="AZ12" s="531"/>
      <c r="BA12" s="532"/>
      <c r="BB12" s="531"/>
      <c r="BC12" s="531"/>
      <c r="BD12" s="531"/>
      <c r="BE12" s="531"/>
      <c r="BF12" s="531"/>
      <c r="BG12" s="531"/>
      <c r="BH12" s="531"/>
      <c r="BI12" s="531"/>
      <c r="BJ12" s="531"/>
      <c r="BK12" s="531"/>
      <c r="BL12" s="531"/>
      <c r="BM12" s="531"/>
      <c r="BN12" s="532"/>
      <c r="BO12" s="531"/>
      <c r="BP12" s="531"/>
      <c r="BQ12" s="531"/>
      <c r="BR12" s="531"/>
      <c r="BS12" s="531"/>
      <c r="BT12" s="531"/>
      <c r="BU12" s="531"/>
      <c r="BV12" s="531"/>
      <c r="BW12" s="531"/>
      <c r="BX12" s="531"/>
      <c r="BY12" s="531"/>
      <c r="BZ12" s="531"/>
      <c r="CA12" s="532"/>
      <c r="CB12" s="531"/>
      <c r="CC12" s="531"/>
      <c r="CD12" s="531"/>
      <c r="CE12" s="531"/>
      <c r="CF12" s="531"/>
      <c r="CG12" s="531"/>
      <c r="CH12" s="531"/>
      <c r="CI12" s="531"/>
      <c r="CJ12" s="531"/>
      <c r="CK12" s="531"/>
      <c r="CL12" s="531"/>
      <c r="CM12" s="531"/>
      <c r="CN12" s="532"/>
      <c r="CO12" s="531"/>
      <c r="CP12" s="531"/>
      <c r="CQ12" s="531"/>
      <c r="CR12" s="531"/>
      <c r="CS12" s="531"/>
      <c r="CT12" s="531"/>
      <c r="CU12" s="531"/>
      <c r="CV12" s="531"/>
      <c r="CW12" s="531"/>
      <c r="CX12" s="531"/>
      <c r="CY12" s="531"/>
      <c r="CZ12" s="531"/>
      <c r="DA12" s="532"/>
      <c r="DB12" s="531"/>
      <c r="DC12" s="531"/>
      <c r="DD12" s="531"/>
      <c r="DE12" s="531"/>
      <c r="DF12" s="531"/>
      <c r="DG12" s="531"/>
      <c r="DH12" s="531"/>
      <c r="DI12" s="531"/>
      <c r="DJ12" s="531"/>
      <c r="DK12" s="531"/>
      <c r="DL12" s="531"/>
      <c r="DM12" s="531"/>
      <c r="DN12" s="532"/>
      <c r="DO12" s="531"/>
      <c r="DP12" s="531"/>
      <c r="DQ12" s="531"/>
      <c r="DR12" s="531"/>
      <c r="DS12" s="531"/>
      <c r="DT12" s="531"/>
      <c r="DU12" s="531"/>
      <c r="DV12" s="531"/>
      <c r="DW12" s="531"/>
      <c r="DX12" s="531"/>
      <c r="DY12" s="531"/>
      <c r="DZ12" s="531"/>
      <c r="EA12" s="532"/>
      <c r="EB12" s="531"/>
      <c r="EC12" s="531"/>
      <c r="ED12" s="531"/>
      <c r="EE12" s="531"/>
      <c r="EF12" s="531"/>
      <c r="EG12" s="531"/>
      <c r="EH12" s="531"/>
      <c r="EI12" s="531"/>
      <c r="EJ12" s="531"/>
      <c r="EK12" s="531"/>
      <c r="EL12" s="531"/>
      <c r="EM12" s="531"/>
      <c r="EN12" s="532"/>
      <c r="EO12" s="531"/>
      <c r="EP12" s="531"/>
      <c r="EQ12" s="531"/>
      <c r="ER12" s="531"/>
      <c r="ES12" s="531"/>
      <c r="ET12" s="531"/>
      <c r="EU12" s="531"/>
      <c r="EV12" s="531"/>
      <c r="EW12" s="531"/>
      <c r="EX12" s="531"/>
      <c r="EY12" s="531"/>
      <c r="EZ12" s="531"/>
      <c r="FA12" s="532"/>
      <c r="FB12" s="533"/>
      <c r="FC12" s="549"/>
      <c r="FD12" s="550"/>
      <c r="FE12" s="551"/>
      <c r="FF12" s="552"/>
      <c r="FG12" s="470"/>
      <c r="FH12" s="551"/>
      <c r="FI12" s="553"/>
      <c r="FJ12" s="554"/>
    </row>
    <row r="13" spans="1:166" s="447" customFormat="1" ht="15" customHeight="1" x14ac:dyDescent="0.25">
      <c r="A13" s="555" t="s">
        <v>622</v>
      </c>
      <c r="B13" s="492">
        <v>1841</v>
      </c>
      <c r="C13" s="492">
        <v>1820</v>
      </c>
      <c r="D13" s="492">
        <v>1274</v>
      </c>
      <c r="E13" s="492">
        <v>1885</v>
      </c>
      <c r="F13" s="492">
        <v>1253</v>
      </c>
      <c r="G13" s="492">
        <v>2126</v>
      </c>
      <c r="H13" s="492">
        <v>658</v>
      </c>
      <c r="I13" s="492">
        <v>2994</v>
      </c>
      <c r="J13" s="492">
        <v>4141</v>
      </c>
      <c r="K13" s="492">
        <v>4247</v>
      </c>
      <c r="L13" s="492">
        <v>1767</v>
      </c>
      <c r="M13" s="492">
        <v>2723</v>
      </c>
      <c r="N13" s="493">
        <f t="shared" ref="N13:N37" si="169">SUM(B13:M13)</f>
        <v>26729</v>
      </c>
      <c r="O13" s="492">
        <v>2352</v>
      </c>
      <c r="P13" s="492">
        <v>1985</v>
      </c>
      <c r="Q13" s="492">
        <v>1895</v>
      </c>
      <c r="R13" s="492">
        <v>1590</v>
      </c>
      <c r="S13" s="492">
        <v>660</v>
      </c>
      <c r="T13" s="492">
        <v>1466</v>
      </c>
      <c r="U13" s="492">
        <v>1026</v>
      </c>
      <c r="V13" s="492">
        <v>2688</v>
      </c>
      <c r="W13" s="492">
        <v>3657</v>
      </c>
      <c r="X13" s="492">
        <v>4873</v>
      </c>
      <c r="Y13" s="492">
        <v>2403</v>
      </c>
      <c r="Z13" s="492">
        <v>2339</v>
      </c>
      <c r="AA13" s="493">
        <f t="shared" ref="AA13:AA37" si="170">SUM(O13:Z13)</f>
        <v>26934</v>
      </c>
      <c r="AB13" s="492">
        <v>2184</v>
      </c>
      <c r="AC13" s="492">
        <v>3217</v>
      </c>
      <c r="AD13" s="492">
        <v>2898</v>
      </c>
      <c r="AE13" s="492">
        <v>2489</v>
      </c>
      <c r="AF13" s="492">
        <v>2776</v>
      </c>
      <c r="AG13" s="492">
        <v>3713</v>
      </c>
      <c r="AH13" s="492">
        <v>5586</v>
      </c>
      <c r="AI13" s="492">
        <v>3797</v>
      </c>
      <c r="AJ13" s="492">
        <v>16239</v>
      </c>
      <c r="AK13" s="492">
        <v>14475</v>
      </c>
      <c r="AL13" s="492">
        <v>5286</v>
      </c>
      <c r="AM13" s="492">
        <v>3538</v>
      </c>
      <c r="AN13" s="493">
        <f t="shared" ref="AN13:AN37" si="171">SUM(AB13:AM13)</f>
        <v>66198</v>
      </c>
      <c r="AO13" s="492">
        <v>2324</v>
      </c>
      <c r="AP13" s="492">
        <v>2720</v>
      </c>
      <c r="AQ13" s="492">
        <v>2972</v>
      </c>
      <c r="AR13" s="492">
        <v>3544</v>
      </c>
      <c r="AS13" s="492">
        <v>4972</v>
      </c>
      <c r="AT13" s="492">
        <v>3660</v>
      </c>
      <c r="AU13" s="492">
        <v>4083</v>
      </c>
      <c r="AV13" s="492">
        <v>4839</v>
      </c>
      <c r="AW13" s="492">
        <v>9903</v>
      </c>
      <c r="AX13" s="492">
        <v>8252</v>
      </c>
      <c r="AY13" s="492">
        <v>8440</v>
      </c>
      <c r="AZ13" s="492">
        <v>3887</v>
      </c>
      <c r="BA13" s="493">
        <f t="shared" ref="BA13:BA37" si="172">SUM(AO13:AZ13)</f>
        <v>59596</v>
      </c>
      <c r="BB13" s="492">
        <v>3645</v>
      </c>
      <c r="BC13" s="492">
        <v>4868</v>
      </c>
      <c r="BD13" s="492">
        <v>2081</v>
      </c>
      <c r="BE13" s="492">
        <v>4076</v>
      </c>
      <c r="BF13" s="492">
        <v>11337</v>
      </c>
      <c r="BG13" s="492">
        <v>7788</v>
      </c>
      <c r="BH13" s="492">
        <v>9707</v>
      </c>
      <c r="BI13" s="492">
        <v>10133</v>
      </c>
      <c r="BJ13" s="492">
        <v>10945</v>
      </c>
      <c r="BK13" s="492">
        <v>7831</v>
      </c>
      <c r="BL13" s="492">
        <v>12098</v>
      </c>
      <c r="BM13" s="492">
        <v>4945</v>
      </c>
      <c r="BN13" s="493">
        <f t="shared" ref="BN13:BN37" si="173">SUM(BB13:BM13)</f>
        <v>89454</v>
      </c>
      <c r="BO13" s="492">
        <v>6286.4379999999992</v>
      </c>
      <c r="BP13" s="492">
        <v>4747.0399999999991</v>
      </c>
      <c r="BQ13" s="492">
        <v>5497.8399999999992</v>
      </c>
      <c r="BR13" s="492">
        <v>9327.969000000001</v>
      </c>
      <c r="BS13" s="492">
        <v>4191.7790000000005</v>
      </c>
      <c r="BT13" s="492">
        <v>5715.9250000000002</v>
      </c>
      <c r="BU13" s="492">
        <v>2767.75</v>
      </c>
      <c r="BV13" s="492">
        <v>5303.86</v>
      </c>
      <c r="BW13" s="492">
        <v>7985.3580000000002</v>
      </c>
      <c r="BX13" s="492">
        <v>5190.0579999999991</v>
      </c>
      <c r="BY13" s="492">
        <v>4574.9400000000005</v>
      </c>
      <c r="BZ13" s="492">
        <v>4651.6889999999994</v>
      </c>
      <c r="CA13" s="493">
        <v>66240.646000000008</v>
      </c>
      <c r="CB13" s="492">
        <v>6179.6089999999995</v>
      </c>
      <c r="CC13" s="492">
        <v>6740.9800000000005</v>
      </c>
      <c r="CD13" s="492">
        <v>9133.5190000000002</v>
      </c>
      <c r="CE13" s="492">
        <v>9075.02</v>
      </c>
      <c r="CF13" s="492">
        <v>2596.1799999999998</v>
      </c>
      <c r="CG13" s="492">
        <v>2351.12</v>
      </c>
      <c r="CH13" s="492">
        <v>5026.34</v>
      </c>
      <c r="CI13" s="492">
        <v>4626.6890000000003</v>
      </c>
      <c r="CJ13" s="492">
        <v>6958.5999999999995</v>
      </c>
      <c r="CK13" s="492">
        <v>4962.62</v>
      </c>
      <c r="CL13" s="492">
        <v>2954.4700000000007</v>
      </c>
      <c r="CM13" s="492">
        <v>6522.9089999999987</v>
      </c>
      <c r="CN13" s="493">
        <v>67128.055999999997</v>
      </c>
      <c r="CO13" s="492">
        <v>15084.36</v>
      </c>
      <c r="CP13" s="492">
        <v>10863.09</v>
      </c>
      <c r="CQ13" s="492">
        <v>15999.81</v>
      </c>
      <c r="CR13" s="492">
        <v>2769.2879999999996</v>
      </c>
      <c r="CS13" s="492">
        <v>5591.67</v>
      </c>
      <c r="CT13" s="492">
        <v>3736.7400000000002</v>
      </c>
      <c r="CU13" s="492">
        <v>4141.9400000000005</v>
      </c>
      <c r="CV13" s="492">
        <v>7316.5999999999995</v>
      </c>
      <c r="CW13" s="492">
        <v>9645.1299999999992</v>
      </c>
      <c r="CX13" s="492">
        <v>11757.820000000002</v>
      </c>
      <c r="CY13" s="492">
        <v>10080.439999999999</v>
      </c>
      <c r="CZ13" s="492">
        <v>7555.42</v>
      </c>
      <c r="DA13" s="493">
        <v>104542.308</v>
      </c>
      <c r="DB13" s="492">
        <v>7154.5200000000013</v>
      </c>
      <c r="DC13" s="492">
        <v>10297.780000000002</v>
      </c>
      <c r="DD13" s="492">
        <v>8796.61</v>
      </c>
      <c r="DE13" s="492">
        <v>10941.619999999999</v>
      </c>
      <c r="DF13" s="492">
        <v>7708.5300000000007</v>
      </c>
      <c r="DG13" s="492">
        <v>2624.32</v>
      </c>
      <c r="DH13" s="492">
        <v>8922.98</v>
      </c>
      <c r="DI13" s="492">
        <v>7237.0390000000007</v>
      </c>
      <c r="DJ13" s="492">
        <v>13351.195</v>
      </c>
      <c r="DK13" s="492">
        <v>18811.937999999998</v>
      </c>
      <c r="DL13" s="492">
        <v>11534.86</v>
      </c>
      <c r="DM13" s="492">
        <v>4503.7589999999991</v>
      </c>
      <c r="DN13" s="493">
        <v>111885.15100000001</v>
      </c>
      <c r="DO13" s="492">
        <v>6373.1389999999983</v>
      </c>
      <c r="DP13" s="492">
        <v>9957.9900000000016</v>
      </c>
      <c r="DQ13" s="492">
        <v>16534.458999999999</v>
      </c>
      <c r="DR13" s="492">
        <v>8751.6489999999994</v>
      </c>
      <c r="DS13" s="492">
        <v>7995.54</v>
      </c>
      <c r="DT13" s="492">
        <v>5028.8789999999999</v>
      </c>
      <c r="DU13" s="492">
        <v>5939.619999999999</v>
      </c>
      <c r="DV13" s="492">
        <v>12793.679</v>
      </c>
      <c r="DW13" s="492">
        <v>21474.989000000001</v>
      </c>
      <c r="DX13" s="492">
        <v>16753.478999999999</v>
      </c>
      <c r="DY13" s="492">
        <v>9413.0499999999993</v>
      </c>
      <c r="DZ13" s="492">
        <v>18757.409</v>
      </c>
      <c r="EA13" s="493">
        <v>139773.88200000001</v>
      </c>
      <c r="EB13" s="492">
        <v>17796.937999999998</v>
      </c>
      <c r="EC13" s="492">
        <v>20937.581999999999</v>
      </c>
      <c r="ED13" s="492">
        <v>18390.61</v>
      </c>
      <c r="EE13" s="492">
        <v>3016.85</v>
      </c>
      <c r="EF13" s="492">
        <v>1704.2660000000001</v>
      </c>
      <c r="EG13" s="492">
        <v>4875.6390000000001</v>
      </c>
      <c r="EH13" s="492">
        <v>3603.53</v>
      </c>
      <c r="EI13" s="492">
        <v>2651.0540000000001</v>
      </c>
      <c r="EJ13" s="492">
        <v>14715.625</v>
      </c>
      <c r="EK13" s="492">
        <v>11233.379000000001</v>
      </c>
      <c r="EL13" s="492">
        <v>7978.4380000000001</v>
      </c>
      <c r="EM13" s="492">
        <v>6788.7699999999986</v>
      </c>
      <c r="EN13" s="493">
        <v>113692.681</v>
      </c>
      <c r="EO13" s="492">
        <v>10933.929</v>
      </c>
      <c r="EP13" s="492">
        <v>11590.195</v>
      </c>
      <c r="EQ13" s="492"/>
      <c r="ER13" s="492"/>
      <c r="ES13" s="492"/>
      <c r="ET13" s="492"/>
      <c r="EU13" s="492"/>
      <c r="EV13" s="492"/>
      <c r="EW13" s="492"/>
      <c r="EX13" s="492"/>
      <c r="EY13" s="492"/>
      <c r="EZ13" s="492"/>
      <c r="FA13" s="493">
        <f t="shared" ref="FA13:FA37" si="174">SUM(EO13:EZ13)</f>
        <v>22524.124</v>
      </c>
      <c r="FC13" s="534">
        <f t="shared" ref="FC13:FC37" si="175">IFERROR(((
_xlfn.XLOOKUP((DATE(YEAR($FC$5),MONTH($FC$5),1)),UCA.AGRO.DATE,$B13:$FA13) /
_xlfn.XLOOKUP((DATE(YEAR($FC$5)-1,MONTH($FC$5),1)),UCA.AGRO.DATE,$B13:$FA13)
)-1)*100,"")</f>
        <v>-15.240671195839806</v>
      </c>
      <c r="FD13" s="535">
        <f t="shared" ref="FD13:FD37" si="176">IFERROR(((FF13/FE13)-1)*100,"")</f>
        <v>-11.661686752348189</v>
      </c>
      <c r="FE13" s="536">
        <f t="shared" ref="FE13:FE37" si="177">SUMIFS($B13:$FA13,UCA.AGRO.DATE,"&gt;="&amp;DATE(YEAR($FC$5)-1,1,1),UCA.AGRO.DATE,"&lt;="&amp;DATE(YEAR($FC$5)-1,MONTH($FC$5),1))</f>
        <v>121016.47300000001</v>
      </c>
      <c r="FF13" s="537">
        <f t="shared" ref="FF13:FF37" si="178">SUMIFS($B13:$FA13,UCA.AGRO.DATE,"&gt;="&amp;DATE(YEAR($FC$5),1,1),UCA.AGRO.DATE,"&lt;="&amp;$FC$5)</f>
        <v>106903.91099999999</v>
      </c>
      <c r="FG13" s="470"/>
      <c r="FH13" s="498">
        <f t="shared" ref="FH13:FH37" si="179">SUM(B13:FA13)</f>
        <v>1789395.6960000012</v>
      </c>
      <c r="FI13" s="499" t="s">
        <v>622</v>
      </c>
      <c r="FJ13" s="500" t="str">
        <f t="shared" ref="FJ13:FJ37" si="180">IF(EXACT(A13,FI13)=TRUE,"OK","VER")</f>
        <v>OK</v>
      </c>
    </row>
    <row r="14" spans="1:166" s="447" customFormat="1" ht="15" customHeight="1" x14ac:dyDescent="0.25">
      <c r="A14" s="555" t="s">
        <v>183</v>
      </c>
      <c r="B14" s="492">
        <v>411</v>
      </c>
      <c r="C14" s="492">
        <v>491</v>
      </c>
      <c r="D14" s="492">
        <v>519</v>
      </c>
      <c r="E14" s="492">
        <v>539</v>
      </c>
      <c r="F14" s="492">
        <v>581</v>
      </c>
      <c r="G14" s="492">
        <v>633</v>
      </c>
      <c r="H14" s="492">
        <v>687</v>
      </c>
      <c r="I14" s="492">
        <v>736</v>
      </c>
      <c r="J14" s="492">
        <v>773</v>
      </c>
      <c r="K14" s="492">
        <v>588</v>
      </c>
      <c r="L14" s="492">
        <v>415</v>
      </c>
      <c r="M14" s="492">
        <v>332</v>
      </c>
      <c r="N14" s="493">
        <f t="shared" si="169"/>
        <v>6705</v>
      </c>
      <c r="O14" s="492">
        <v>214</v>
      </c>
      <c r="P14" s="492">
        <v>250</v>
      </c>
      <c r="Q14" s="492">
        <v>534</v>
      </c>
      <c r="R14" s="492">
        <v>1198</v>
      </c>
      <c r="S14" s="492">
        <v>1174</v>
      </c>
      <c r="T14" s="492">
        <v>1257</v>
      </c>
      <c r="U14" s="492">
        <v>966</v>
      </c>
      <c r="V14" s="492">
        <v>638</v>
      </c>
      <c r="W14" s="492">
        <v>587</v>
      </c>
      <c r="X14" s="492">
        <v>653</v>
      </c>
      <c r="Y14" s="492">
        <v>550</v>
      </c>
      <c r="Z14" s="492">
        <v>602</v>
      </c>
      <c r="AA14" s="493">
        <f t="shared" si="170"/>
        <v>8623</v>
      </c>
      <c r="AB14" s="492">
        <v>286</v>
      </c>
      <c r="AC14" s="492">
        <v>320</v>
      </c>
      <c r="AD14" s="492">
        <v>891</v>
      </c>
      <c r="AE14" s="492">
        <v>1218</v>
      </c>
      <c r="AF14" s="492">
        <v>1366</v>
      </c>
      <c r="AG14" s="492">
        <v>1751</v>
      </c>
      <c r="AH14" s="492">
        <v>1365</v>
      </c>
      <c r="AI14" s="492">
        <v>1026</v>
      </c>
      <c r="AJ14" s="492">
        <v>1149</v>
      </c>
      <c r="AK14" s="492">
        <v>1042</v>
      </c>
      <c r="AL14" s="492">
        <v>1140</v>
      </c>
      <c r="AM14" s="492">
        <v>1690</v>
      </c>
      <c r="AN14" s="493">
        <f t="shared" si="171"/>
        <v>13244</v>
      </c>
      <c r="AO14" s="492">
        <v>828</v>
      </c>
      <c r="AP14" s="492">
        <v>800</v>
      </c>
      <c r="AQ14" s="492">
        <v>897</v>
      </c>
      <c r="AR14" s="492">
        <v>1250</v>
      </c>
      <c r="AS14" s="492">
        <v>1661</v>
      </c>
      <c r="AT14" s="492">
        <v>1752</v>
      </c>
      <c r="AU14" s="492">
        <v>1650</v>
      </c>
      <c r="AV14" s="492">
        <v>1676</v>
      </c>
      <c r="AW14" s="492">
        <v>1591</v>
      </c>
      <c r="AX14" s="492">
        <v>1658</v>
      </c>
      <c r="AY14" s="492">
        <v>1446</v>
      </c>
      <c r="AZ14" s="492">
        <v>1377</v>
      </c>
      <c r="BA14" s="493">
        <f t="shared" si="172"/>
        <v>16586</v>
      </c>
      <c r="BB14" s="492">
        <v>1217</v>
      </c>
      <c r="BC14" s="492">
        <v>1193</v>
      </c>
      <c r="BD14" s="492">
        <v>1327</v>
      </c>
      <c r="BE14" s="492">
        <v>1383</v>
      </c>
      <c r="BF14" s="492">
        <v>1634</v>
      </c>
      <c r="BG14" s="492">
        <v>1785</v>
      </c>
      <c r="BH14" s="492">
        <v>1426</v>
      </c>
      <c r="BI14" s="492">
        <v>1306</v>
      </c>
      <c r="BJ14" s="492">
        <v>1518</v>
      </c>
      <c r="BK14" s="492">
        <v>1578</v>
      </c>
      <c r="BL14" s="492">
        <v>1211</v>
      </c>
      <c r="BM14" s="492">
        <v>1453</v>
      </c>
      <c r="BN14" s="493">
        <f t="shared" si="173"/>
        <v>17031</v>
      </c>
      <c r="BO14" s="492">
        <v>1283.5440000000001</v>
      </c>
      <c r="BP14" s="492">
        <v>1357.009</v>
      </c>
      <c r="BQ14" s="492">
        <v>1391.5300000000002</v>
      </c>
      <c r="BR14" s="492">
        <v>2395.8789999999999</v>
      </c>
      <c r="BS14" s="492">
        <v>3055.6379999999995</v>
      </c>
      <c r="BT14" s="492">
        <v>3058.8300000000004</v>
      </c>
      <c r="BU14" s="492">
        <v>2373.86</v>
      </c>
      <c r="BV14" s="492">
        <v>1997.1280000000004</v>
      </c>
      <c r="BW14" s="492">
        <v>1973.7889999999998</v>
      </c>
      <c r="BX14" s="492">
        <v>1374.0580000000002</v>
      </c>
      <c r="BY14" s="492">
        <v>648.04899999999998</v>
      </c>
      <c r="BZ14" s="492">
        <v>795.97500000000002</v>
      </c>
      <c r="CA14" s="493">
        <v>21705.288999999997</v>
      </c>
      <c r="CB14" s="492">
        <v>552.93700000000001</v>
      </c>
      <c r="CC14" s="492">
        <v>787.47899999999993</v>
      </c>
      <c r="CD14" s="492">
        <v>818.09900000000005</v>
      </c>
      <c r="CE14" s="492">
        <v>1944.8979999999997</v>
      </c>
      <c r="CF14" s="492">
        <v>3101.2099999999996</v>
      </c>
      <c r="CG14" s="492">
        <v>3132.8470000000011</v>
      </c>
      <c r="CH14" s="492">
        <v>2642.9999999999995</v>
      </c>
      <c r="CI14" s="492">
        <v>1742.2430000000002</v>
      </c>
      <c r="CJ14" s="492">
        <v>1704.8</v>
      </c>
      <c r="CK14" s="492">
        <v>1389.2389999999998</v>
      </c>
      <c r="CL14" s="492">
        <v>1219.79</v>
      </c>
      <c r="CM14" s="492">
        <v>1009.889</v>
      </c>
      <c r="CN14" s="493">
        <v>20046.431000000004</v>
      </c>
      <c r="CO14" s="492">
        <v>648.04</v>
      </c>
      <c r="CP14" s="492">
        <v>564.78899999999999</v>
      </c>
      <c r="CQ14" s="492">
        <v>433.91900000000004</v>
      </c>
      <c r="CR14" s="492">
        <v>1971.1799999999998</v>
      </c>
      <c r="CS14" s="492">
        <v>4015.6299999999992</v>
      </c>
      <c r="CT14" s="492">
        <v>4480.25</v>
      </c>
      <c r="CU14" s="492">
        <v>4125.8380000000006</v>
      </c>
      <c r="CV14" s="492">
        <v>2622.7080000000001</v>
      </c>
      <c r="CW14" s="492">
        <v>1784.8400000000001</v>
      </c>
      <c r="CX14" s="492">
        <v>1047.989</v>
      </c>
      <c r="CY14" s="492">
        <v>639.67899999999997</v>
      </c>
      <c r="CZ14" s="492">
        <v>389.15899999999999</v>
      </c>
      <c r="DA14" s="493">
        <v>22724.021000000001</v>
      </c>
      <c r="DB14" s="492">
        <v>325.85000000000002</v>
      </c>
      <c r="DC14" s="492">
        <v>228.14299999999997</v>
      </c>
      <c r="DD14" s="492">
        <v>180.68600000000001</v>
      </c>
      <c r="DE14" s="492">
        <v>899.54299999999989</v>
      </c>
      <c r="DF14" s="492">
        <v>2864.7890000000002</v>
      </c>
      <c r="DG14" s="492">
        <v>3273.029</v>
      </c>
      <c r="DH14" s="492">
        <v>3776.8200000000011</v>
      </c>
      <c r="DI14" s="492">
        <v>3103.518</v>
      </c>
      <c r="DJ14" s="492">
        <v>2333.8049999999998</v>
      </c>
      <c r="DK14" s="492">
        <v>1291.6659999999999</v>
      </c>
      <c r="DL14" s="492">
        <v>450.78000000000009</v>
      </c>
      <c r="DM14" s="492">
        <v>157.99</v>
      </c>
      <c r="DN14" s="493">
        <v>18886.619000000002</v>
      </c>
      <c r="DO14" s="492">
        <v>102.887</v>
      </c>
      <c r="DP14" s="492">
        <v>70.424000000000007</v>
      </c>
      <c r="DQ14" s="492">
        <v>39.182000000000002</v>
      </c>
      <c r="DR14" s="492">
        <v>26.613</v>
      </c>
      <c r="DS14" s="492">
        <v>128.48699999999999</v>
      </c>
      <c r="DT14" s="492">
        <v>545.62900000000002</v>
      </c>
      <c r="DU14" s="492">
        <v>944.22799999999995</v>
      </c>
      <c r="DV14" s="492">
        <v>2017.4670000000001</v>
      </c>
      <c r="DW14" s="492">
        <v>2079.9589999999998</v>
      </c>
      <c r="DX14" s="492">
        <v>1288.7539999999999</v>
      </c>
      <c r="DY14" s="492">
        <v>532.65899999999999</v>
      </c>
      <c r="DZ14" s="492">
        <v>275.19</v>
      </c>
      <c r="EA14" s="493">
        <v>8051.4789999999994</v>
      </c>
      <c r="EB14" s="492">
        <v>134.30000000000001</v>
      </c>
      <c r="EC14" s="492">
        <v>90.360000000000014</v>
      </c>
      <c r="ED14" s="492">
        <v>55.283000000000001</v>
      </c>
      <c r="EE14" s="492">
        <v>30.898</v>
      </c>
      <c r="EF14" s="492">
        <v>2420.2939999999999</v>
      </c>
      <c r="EG14" s="492">
        <v>3875.1669999999999</v>
      </c>
      <c r="EH14" s="492">
        <v>3298.529</v>
      </c>
      <c r="EI14" s="492">
        <v>2347.7379999999998</v>
      </c>
      <c r="EJ14" s="492">
        <v>1726.5150000000001</v>
      </c>
      <c r="EK14" s="492">
        <v>1379.355</v>
      </c>
      <c r="EL14" s="492">
        <v>974.47499999999991</v>
      </c>
      <c r="EM14" s="492">
        <v>714.8159999999998</v>
      </c>
      <c r="EN14" s="493">
        <v>17047.73</v>
      </c>
      <c r="EO14" s="492">
        <v>160.22</v>
      </c>
      <c r="EP14" s="492">
        <v>103.486</v>
      </c>
      <c r="EQ14" s="492"/>
      <c r="ER14" s="492"/>
      <c r="ES14" s="492"/>
      <c r="ET14" s="492"/>
      <c r="EU14" s="492"/>
      <c r="EV14" s="492"/>
      <c r="EW14" s="492"/>
      <c r="EX14" s="492"/>
      <c r="EY14" s="492"/>
      <c r="EZ14" s="492"/>
      <c r="FA14" s="493">
        <f t="shared" si="174"/>
        <v>263.70600000000002</v>
      </c>
      <c r="FC14" s="534">
        <f t="shared" si="175"/>
        <v>82.945374057323718</v>
      </c>
      <c r="FD14" s="535">
        <f t="shared" si="176"/>
        <v>110.03481223498768</v>
      </c>
      <c r="FE14" s="536">
        <f t="shared" si="177"/>
        <v>7776.2889999999998</v>
      </c>
      <c r="FF14" s="537">
        <f t="shared" si="178"/>
        <v>16332.913999999999</v>
      </c>
      <c r="FG14" s="470"/>
      <c r="FH14" s="498">
        <f t="shared" si="179"/>
        <v>341828.54999999981</v>
      </c>
      <c r="FI14" s="499" t="s">
        <v>183</v>
      </c>
      <c r="FJ14" s="500" t="str">
        <f t="shared" si="180"/>
        <v>OK</v>
      </c>
    </row>
    <row r="15" spans="1:166" s="447" customFormat="1" ht="15" customHeight="1" x14ac:dyDescent="0.25">
      <c r="A15" s="555" t="s">
        <v>184</v>
      </c>
      <c r="B15" s="492"/>
      <c r="C15" s="492"/>
      <c r="D15" s="492">
        <v>1054</v>
      </c>
      <c r="E15" s="492">
        <v>1150</v>
      </c>
      <c r="F15" s="492">
        <v>1205</v>
      </c>
      <c r="G15" s="492">
        <v>1155</v>
      </c>
      <c r="H15" s="492">
        <v>878</v>
      </c>
      <c r="I15" s="492"/>
      <c r="J15" s="492"/>
      <c r="K15" s="492"/>
      <c r="L15" s="492"/>
      <c r="M15" s="492"/>
      <c r="N15" s="493">
        <f t="shared" si="169"/>
        <v>5442</v>
      </c>
      <c r="O15" s="492"/>
      <c r="P15" s="492"/>
      <c r="Q15" s="492">
        <v>713</v>
      </c>
      <c r="R15" s="492">
        <v>709</v>
      </c>
      <c r="S15" s="492">
        <v>932</v>
      </c>
      <c r="T15" s="492">
        <v>1017</v>
      </c>
      <c r="U15" s="492">
        <v>1158</v>
      </c>
      <c r="V15" s="492"/>
      <c r="W15" s="492"/>
      <c r="X15" s="492"/>
      <c r="Y15" s="492"/>
      <c r="Z15" s="492"/>
      <c r="AA15" s="493">
        <f t="shared" si="170"/>
        <v>4529</v>
      </c>
      <c r="AB15" s="492"/>
      <c r="AC15" s="492"/>
      <c r="AD15" s="492">
        <v>430</v>
      </c>
      <c r="AE15" s="492">
        <v>551</v>
      </c>
      <c r="AF15" s="492">
        <v>929</v>
      </c>
      <c r="AG15" s="492">
        <v>925</v>
      </c>
      <c r="AH15" s="492">
        <v>1169</v>
      </c>
      <c r="AI15" s="492"/>
      <c r="AJ15" s="492"/>
      <c r="AK15" s="492"/>
      <c r="AL15" s="492"/>
      <c r="AM15" s="492"/>
      <c r="AN15" s="493">
        <f t="shared" si="171"/>
        <v>4004</v>
      </c>
      <c r="AO15" s="492"/>
      <c r="AP15" s="492"/>
      <c r="AQ15" s="492">
        <v>456</v>
      </c>
      <c r="AR15" s="492">
        <v>583</v>
      </c>
      <c r="AS15" s="492">
        <v>2256</v>
      </c>
      <c r="AT15" s="492">
        <v>3098</v>
      </c>
      <c r="AU15" s="492">
        <v>1933</v>
      </c>
      <c r="AV15" s="492"/>
      <c r="AW15" s="492"/>
      <c r="AX15" s="492"/>
      <c r="AY15" s="492"/>
      <c r="AZ15" s="492"/>
      <c r="BA15" s="493">
        <f t="shared" si="172"/>
        <v>8326</v>
      </c>
      <c r="BB15" s="492"/>
      <c r="BC15" s="492"/>
      <c r="BD15" s="492">
        <v>124</v>
      </c>
      <c r="BE15" s="492">
        <v>2010</v>
      </c>
      <c r="BF15" s="492">
        <v>3168</v>
      </c>
      <c r="BG15" s="492">
        <v>3423</v>
      </c>
      <c r="BH15" s="492">
        <v>2555</v>
      </c>
      <c r="BI15" s="492">
        <v>1724</v>
      </c>
      <c r="BJ15" s="492">
        <v>619</v>
      </c>
      <c r="BK15" s="492"/>
      <c r="BL15" s="492"/>
      <c r="BM15" s="492"/>
      <c r="BN15" s="493">
        <f t="shared" si="173"/>
        <v>13623</v>
      </c>
      <c r="BO15" s="492"/>
      <c r="BP15" s="492"/>
      <c r="BQ15" s="492">
        <v>35.770000000000003</v>
      </c>
      <c r="BR15" s="492">
        <v>577.90999999999985</v>
      </c>
      <c r="BS15" s="492">
        <v>2085.4989999999998</v>
      </c>
      <c r="BT15" s="492">
        <v>2523.4749999999999</v>
      </c>
      <c r="BU15" s="492">
        <v>2398.5460000000003</v>
      </c>
      <c r="BV15" s="492">
        <v>2540.08</v>
      </c>
      <c r="BW15" s="492">
        <v>806.4</v>
      </c>
      <c r="BX15" s="492"/>
      <c r="BY15" s="492"/>
      <c r="BZ15" s="492"/>
      <c r="CA15" s="493">
        <v>10967.679999999998</v>
      </c>
      <c r="CB15" s="492"/>
      <c r="CC15" s="492"/>
      <c r="CD15" s="492">
        <v>199.8</v>
      </c>
      <c r="CE15" s="492">
        <v>918.32800000000009</v>
      </c>
      <c r="CF15" s="492">
        <v>2941.3630000000003</v>
      </c>
      <c r="CG15" s="492">
        <v>3126.8669999999997</v>
      </c>
      <c r="CH15" s="492">
        <v>2899.7909999999997</v>
      </c>
      <c r="CI15" s="492">
        <v>1853.18</v>
      </c>
      <c r="CJ15" s="492">
        <v>719.5</v>
      </c>
      <c r="CK15" s="492"/>
      <c r="CL15" s="492"/>
      <c r="CM15" s="492"/>
      <c r="CN15" s="493">
        <v>12658.829</v>
      </c>
      <c r="CO15" s="492"/>
      <c r="CP15" s="492"/>
      <c r="CQ15" s="492">
        <v>86.5</v>
      </c>
      <c r="CR15" s="492">
        <v>507.38</v>
      </c>
      <c r="CS15" s="492">
        <v>2228.1340000000005</v>
      </c>
      <c r="CT15" s="492">
        <v>2576.2330000000002</v>
      </c>
      <c r="CU15" s="492">
        <v>2192.38</v>
      </c>
      <c r="CV15" s="492">
        <v>1886.3189999999997</v>
      </c>
      <c r="CW15" s="492">
        <v>1217.75</v>
      </c>
      <c r="CX15" s="492">
        <v>48.52</v>
      </c>
      <c r="CY15" s="492"/>
      <c r="CZ15" s="492"/>
      <c r="DA15" s="493">
        <v>10743.216000000002</v>
      </c>
      <c r="DB15" s="492"/>
      <c r="DC15" s="492"/>
      <c r="DD15" s="492"/>
      <c r="DE15" s="492">
        <v>288.86</v>
      </c>
      <c r="DF15" s="492">
        <v>1072.3800000000001</v>
      </c>
      <c r="DG15" s="492">
        <v>1867.68</v>
      </c>
      <c r="DH15" s="492">
        <v>2419.75</v>
      </c>
      <c r="DI15" s="492">
        <v>2627.75</v>
      </c>
      <c r="DJ15" s="492">
        <v>1718.63</v>
      </c>
      <c r="DK15" s="492"/>
      <c r="DL15" s="492"/>
      <c r="DM15" s="492"/>
      <c r="DN15" s="493">
        <v>9995.0499999999993</v>
      </c>
      <c r="DO15" s="492">
        <v>0</v>
      </c>
      <c r="DP15" s="492">
        <v>0</v>
      </c>
      <c r="DQ15" s="492">
        <v>0</v>
      </c>
      <c r="DR15" s="492">
        <v>340.24</v>
      </c>
      <c r="DS15" s="492">
        <v>385.45</v>
      </c>
      <c r="DT15" s="492">
        <v>550.34</v>
      </c>
      <c r="DU15" s="492">
        <v>575.1</v>
      </c>
      <c r="DV15" s="492">
        <v>943.09</v>
      </c>
      <c r="DW15" s="492">
        <v>542.88</v>
      </c>
      <c r="DX15" s="492">
        <v>0</v>
      </c>
      <c r="DY15" s="492">
        <v>0</v>
      </c>
      <c r="DZ15" s="492">
        <v>0</v>
      </c>
      <c r="EA15" s="493">
        <v>3337.1000000000004</v>
      </c>
      <c r="EB15" s="492">
        <v>0</v>
      </c>
      <c r="EC15" s="492">
        <v>0</v>
      </c>
      <c r="ED15" s="492">
        <v>0</v>
      </c>
      <c r="EE15" s="492">
        <v>621.16</v>
      </c>
      <c r="EF15" s="492">
        <v>949.05000000000007</v>
      </c>
      <c r="EG15" s="492">
        <v>1662.09</v>
      </c>
      <c r="EH15" s="492">
        <v>1429.56</v>
      </c>
      <c r="EI15" s="492">
        <v>1178.05</v>
      </c>
      <c r="EJ15" s="492">
        <v>891.11</v>
      </c>
      <c r="EK15" s="492">
        <v>0</v>
      </c>
      <c r="EL15" s="492">
        <v>0</v>
      </c>
      <c r="EM15" s="492">
        <v>0</v>
      </c>
      <c r="EN15" s="493">
        <v>6731.02</v>
      </c>
      <c r="EO15" s="492">
        <v>0</v>
      </c>
      <c r="EP15" s="492">
        <v>0</v>
      </c>
      <c r="EQ15" s="492"/>
      <c r="ER15" s="492"/>
      <c r="ES15" s="492"/>
      <c r="ET15" s="492"/>
      <c r="EU15" s="492"/>
      <c r="EV15" s="492"/>
      <c r="EW15" s="492"/>
      <c r="EX15" s="492"/>
      <c r="EY15" s="492"/>
      <c r="EZ15" s="492"/>
      <c r="FA15" s="493">
        <f t="shared" si="174"/>
        <v>0</v>
      </c>
      <c r="FC15" s="534" t="str">
        <f t="shared" si="175"/>
        <v/>
      </c>
      <c r="FD15" s="535">
        <f t="shared" si="176"/>
        <v>101.70267597614693</v>
      </c>
      <c r="FE15" s="536">
        <f t="shared" si="177"/>
        <v>3337.1000000000004</v>
      </c>
      <c r="FF15" s="537">
        <f t="shared" si="178"/>
        <v>6731.02</v>
      </c>
      <c r="FG15" s="470"/>
      <c r="FH15" s="498">
        <f t="shared" si="179"/>
        <v>180713.78999999995</v>
      </c>
      <c r="FI15" s="499" t="s">
        <v>184</v>
      </c>
      <c r="FJ15" s="500" t="str">
        <f t="shared" si="180"/>
        <v>OK</v>
      </c>
    </row>
    <row r="16" spans="1:166" s="447" customFormat="1" ht="15" customHeight="1" x14ac:dyDescent="0.25">
      <c r="A16" s="555" t="s">
        <v>161</v>
      </c>
      <c r="B16" s="492">
        <v>251</v>
      </c>
      <c r="C16" s="492">
        <v>253</v>
      </c>
      <c r="D16" s="492">
        <v>260</v>
      </c>
      <c r="E16" s="492">
        <v>137</v>
      </c>
      <c r="F16" s="492">
        <v>152</v>
      </c>
      <c r="G16" s="492">
        <v>89</v>
      </c>
      <c r="H16" s="492">
        <v>53</v>
      </c>
      <c r="I16" s="492">
        <v>24</v>
      </c>
      <c r="J16" s="492">
        <v>33</v>
      </c>
      <c r="K16" s="492">
        <v>36</v>
      </c>
      <c r="L16" s="492">
        <v>51</v>
      </c>
      <c r="M16" s="492">
        <v>61</v>
      </c>
      <c r="N16" s="493">
        <f t="shared" si="169"/>
        <v>1400</v>
      </c>
      <c r="O16" s="492">
        <v>162</v>
      </c>
      <c r="P16" s="492">
        <v>114</v>
      </c>
      <c r="Q16" s="492">
        <v>318</v>
      </c>
      <c r="R16" s="492">
        <v>216</v>
      </c>
      <c r="S16" s="492">
        <v>286</v>
      </c>
      <c r="T16" s="492">
        <v>171</v>
      </c>
      <c r="U16" s="492">
        <v>59</v>
      </c>
      <c r="V16" s="492">
        <v>11</v>
      </c>
      <c r="W16" s="492">
        <v>21</v>
      </c>
      <c r="X16" s="492">
        <v>29</v>
      </c>
      <c r="Y16" s="492">
        <v>47</v>
      </c>
      <c r="Z16" s="492">
        <v>59</v>
      </c>
      <c r="AA16" s="493">
        <f t="shared" si="170"/>
        <v>1493</v>
      </c>
      <c r="AB16" s="492">
        <v>172</v>
      </c>
      <c r="AC16" s="492">
        <v>194</v>
      </c>
      <c r="AD16" s="492">
        <v>280</v>
      </c>
      <c r="AE16" s="492">
        <v>242</v>
      </c>
      <c r="AF16" s="492">
        <v>325</v>
      </c>
      <c r="AG16" s="492">
        <v>41</v>
      </c>
      <c r="AH16" s="492">
        <v>6</v>
      </c>
      <c r="AI16" s="492">
        <v>6</v>
      </c>
      <c r="AJ16" s="492">
        <v>33</v>
      </c>
      <c r="AK16" s="492">
        <v>34</v>
      </c>
      <c r="AL16" s="492">
        <v>59</v>
      </c>
      <c r="AM16" s="492">
        <v>90</v>
      </c>
      <c r="AN16" s="493">
        <f t="shared" si="171"/>
        <v>1482</v>
      </c>
      <c r="AO16" s="492">
        <v>197</v>
      </c>
      <c r="AP16" s="492">
        <v>241</v>
      </c>
      <c r="AQ16" s="492">
        <v>290</v>
      </c>
      <c r="AR16" s="492">
        <v>381</v>
      </c>
      <c r="AS16" s="492">
        <v>265</v>
      </c>
      <c r="AT16" s="492">
        <v>46</v>
      </c>
      <c r="AU16" s="492">
        <v>10</v>
      </c>
      <c r="AV16" s="492">
        <v>13</v>
      </c>
      <c r="AW16" s="492">
        <v>38</v>
      </c>
      <c r="AX16" s="492">
        <v>36</v>
      </c>
      <c r="AY16" s="492">
        <v>71</v>
      </c>
      <c r="AZ16" s="492">
        <v>1638</v>
      </c>
      <c r="BA16" s="493">
        <f t="shared" si="172"/>
        <v>3226</v>
      </c>
      <c r="BB16" s="492">
        <v>81</v>
      </c>
      <c r="BC16" s="492">
        <v>106</v>
      </c>
      <c r="BD16" s="492">
        <v>483</v>
      </c>
      <c r="BE16" s="492">
        <v>338</v>
      </c>
      <c r="BF16" s="492">
        <v>98</v>
      </c>
      <c r="BG16" s="492">
        <v>19</v>
      </c>
      <c r="BH16" s="492">
        <v>5</v>
      </c>
      <c r="BI16" s="492">
        <v>11</v>
      </c>
      <c r="BJ16" s="492">
        <v>32</v>
      </c>
      <c r="BK16" s="492">
        <v>137</v>
      </c>
      <c r="BL16" s="492">
        <v>117</v>
      </c>
      <c r="BM16" s="492">
        <v>206</v>
      </c>
      <c r="BN16" s="493">
        <f t="shared" si="173"/>
        <v>1633</v>
      </c>
      <c r="BO16" s="492">
        <v>121</v>
      </c>
      <c r="BP16" s="492">
        <v>185</v>
      </c>
      <c r="BQ16" s="492">
        <v>515</v>
      </c>
      <c r="BR16" s="492">
        <v>410</v>
      </c>
      <c r="BS16" s="492">
        <v>228.809</v>
      </c>
      <c r="BT16" s="492">
        <v>96</v>
      </c>
      <c r="BU16" s="492">
        <v>20</v>
      </c>
      <c r="BV16" s="492">
        <v>60</v>
      </c>
      <c r="BW16" s="492">
        <v>44</v>
      </c>
      <c r="BX16" s="492">
        <v>87</v>
      </c>
      <c r="BY16" s="492">
        <v>7</v>
      </c>
      <c r="BZ16" s="492">
        <v>149</v>
      </c>
      <c r="CA16" s="493">
        <v>1922.809</v>
      </c>
      <c r="CB16" s="492">
        <v>74.509999999999991</v>
      </c>
      <c r="CC16" s="492">
        <v>86.439000000000007</v>
      </c>
      <c r="CD16" s="492">
        <v>157.999</v>
      </c>
      <c r="CE16" s="492">
        <v>435.59000000000009</v>
      </c>
      <c r="CF16" s="492">
        <v>363.16</v>
      </c>
      <c r="CG16" s="492">
        <v>176.67000000000002</v>
      </c>
      <c r="CH16" s="492">
        <v>71.718000000000004</v>
      </c>
      <c r="CI16" s="492">
        <v>92.5</v>
      </c>
      <c r="CJ16" s="492">
        <v>75.45</v>
      </c>
      <c r="CK16" s="492">
        <v>141.62799999999999</v>
      </c>
      <c r="CL16" s="492">
        <v>66.569999999999993</v>
      </c>
      <c r="CM16" s="492">
        <v>262.35000000000002</v>
      </c>
      <c r="CN16" s="493">
        <v>2004.5840000000003</v>
      </c>
      <c r="CO16" s="492">
        <v>205.22899999999998</v>
      </c>
      <c r="CP16" s="492">
        <v>126.339</v>
      </c>
      <c r="CQ16" s="492">
        <v>381.51799999999997</v>
      </c>
      <c r="CR16" s="492">
        <v>382.15999999999997</v>
      </c>
      <c r="CS16" s="492">
        <v>298.52899999999994</v>
      </c>
      <c r="CT16" s="492">
        <v>213.54</v>
      </c>
      <c r="CU16" s="492">
        <v>104.94</v>
      </c>
      <c r="CV16" s="492">
        <v>69.519000000000005</v>
      </c>
      <c r="CW16" s="492">
        <v>36.85</v>
      </c>
      <c r="CX16" s="492">
        <v>76.47999999999999</v>
      </c>
      <c r="CY16" s="492">
        <v>112.96000000000001</v>
      </c>
      <c r="CZ16" s="492">
        <v>414.15</v>
      </c>
      <c r="DA16" s="493">
        <v>2422.2139999999999</v>
      </c>
      <c r="DB16" s="492">
        <v>297.2</v>
      </c>
      <c r="DC16" s="492">
        <v>163.703</v>
      </c>
      <c r="DD16" s="492">
        <v>169.32</v>
      </c>
      <c r="DE16" s="492">
        <v>219.87</v>
      </c>
      <c r="DF16" s="492">
        <v>108.3</v>
      </c>
      <c r="DG16" s="492">
        <v>84.87</v>
      </c>
      <c r="DH16" s="492">
        <v>20.05</v>
      </c>
      <c r="DI16" s="492">
        <v>23.5</v>
      </c>
      <c r="DJ16" s="492">
        <v>15.74</v>
      </c>
      <c r="DK16" s="492">
        <v>51.59</v>
      </c>
      <c r="DL16" s="492">
        <v>76.26900000000002</v>
      </c>
      <c r="DM16" s="492">
        <v>60.317999999999998</v>
      </c>
      <c r="DN16" s="493">
        <v>1290.7299999999998</v>
      </c>
      <c r="DO16" s="492">
        <v>65.75</v>
      </c>
      <c r="DP16" s="492">
        <v>105.46</v>
      </c>
      <c r="DQ16" s="492">
        <v>138.26900000000001</v>
      </c>
      <c r="DR16" s="492">
        <v>183.17</v>
      </c>
      <c r="DS16" s="492">
        <v>192.17999999999989</v>
      </c>
      <c r="DT16" s="492">
        <v>80.17</v>
      </c>
      <c r="DU16" s="492">
        <v>27.63</v>
      </c>
      <c r="DV16" s="492">
        <v>29.34</v>
      </c>
      <c r="DW16" s="492">
        <v>19.47</v>
      </c>
      <c r="DX16" s="492">
        <v>37.279000000000003</v>
      </c>
      <c r="DY16" s="492">
        <v>106.51</v>
      </c>
      <c r="DZ16" s="492">
        <v>128.44</v>
      </c>
      <c r="EA16" s="493">
        <v>1113.6679999999999</v>
      </c>
      <c r="EB16" s="492">
        <v>117.319</v>
      </c>
      <c r="EC16" s="492">
        <v>68</v>
      </c>
      <c r="ED16" s="492">
        <v>19.158999999999999</v>
      </c>
      <c r="EE16" s="492">
        <v>17.802</v>
      </c>
      <c r="EF16" s="492">
        <v>119.279</v>
      </c>
      <c r="EG16" s="492">
        <v>104.19</v>
      </c>
      <c r="EH16" s="492">
        <v>57.34</v>
      </c>
      <c r="EI16" s="492">
        <v>44.22</v>
      </c>
      <c r="EJ16" s="492">
        <v>19.47</v>
      </c>
      <c r="EK16" s="492">
        <v>45.16</v>
      </c>
      <c r="EL16" s="492">
        <v>449.80999999999989</v>
      </c>
      <c r="EM16" s="492">
        <v>479.77</v>
      </c>
      <c r="EN16" s="493">
        <v>1541.5189999999998</v>
      </c>
      <c r="EO16" s="492">
        <v>267.56900000000002</v>
      </c>
      <c r="EP16" s="492">
        <v>158.18700000000001</v>
      </c>
      <c r="EQ16" s="492"/>
      <c r="ER16" s="492"/>
      <c r="ES16" s="492"/>
      <c r="ET16" s="492"/>
      <c r="EU16" s="492"/>
      <c r="EV16" s="492"/>
      <c r="EW16" s="492"/>
      <c r="EX16" s="492"/>
      <c r="EY16" s="492"/>
      <c r="EZ16" s="492"/>
      <c r="FA16" s="493">
        <f t="shared" si="174"/>
        <v>425.75600000000003</v>
      </c>
      <c r="FC16" s="534">
        <f t="shared" si="175"/>
        <v>322.31715331893707</v>
      </c>
      <c r="FD16" s="535">
        <f t="shared" si="176"/>
        <v>7.7668316369408741</v>
      </c>
      <c r="FE16" s="536">
        <f t="shared" si="177"/>
        <v>985.22799999999995</v>
      </c>
      <c r="FF16" s="537">
        <f t="shared" si="178"/>
        <v>1061.7489999999998</v>
      </c>
      <c r="FG16" s="470"/>
      <c r="FH16" s="498">
        <f t="shared" si="179"/>
        <v>39910.559999999998</v>
      </c>
      <c r="FI16" s="499" t="s">
        <v>161</v>
      </c>
      <c r="FJ16" s="500" t="str">
        <f t="shared" si="180"/>
        <v>OK</v>
      </c>
    </row>
    <row r="17" spans="1:166" s="447" customFormat="1" ht="15" customHeight="1" x14ac:dyDescent="0.25">
      <c r="A17" s="555" t="s">
        <v>623</v>
      </c>
      <c r="B17" s="492">
        <v>2264</v>
      </c>
      <c r="C17" s="492">
        <v>2353</v>
      </c>
      <c r="D17" s="492">
        <v>1959</v>
      </c>
      <c r="E17" s="492">
        <v>2284</v>
      </c>
      <c r="F17" s="492">
        <v>1808</v>
      </c>
      <c r="G17" s="492">
        <v>1805</v>
      </c>
      <c r="H17" s="492">
        <v>1785</v>
      </c>
      <c r="I17" s="492">
        <v>1951</v>
      </c>
      <c r="J17" s="492">
        <v>1913</v>
      </c>
      <c r="K17" s="492">
        <v>1919</v>
      </c>
      <c r="L17" s="492">
        <v>2058</v>
      </c>
      <c r="M17" s="492">
        <v>2114</v>
      </c>
      <c r="N17" s="493">
        <f t="shared" si="169"/>
        <v>24213</v>
      </c>
      <c r="O17" s="492">
        <v>1579</v>
      </c>
      <c r="P17" s="492">
        <v>1777</v>
      </c>
      <c r="Q17" s="492">
        <v>1728</v>
      </c>
      <c r="R17" s="492">
        <v>1575</v>
      </c>
      <c r="S17" s="492">
        <v>1544</v>
      </c>
      <c r="T17" s="492">
        <v>1535</v>
      </c>
      <c r="U17" s="492">
        <v>1372</v>
      </c>
      <c r="V17" s="492">
        <v>1229</v>
      </c>
      <c r="W17" s="492">
        <v>1215</v>
      </c>
      <c r="X17" s="492">
        <v>1323</v>
      </c>
      <c r="Y17" s="492">
        <v>1463</v>
      </c>
      <c r="Z17" s="492">
        <v>1622</v>
      </c>
      <c r="AA17" s="493">
        <f t="shared" si="170"/>
        <v>17962</v>
      </c>
      <c r="AB17" s="492">
        <v>1533</v>
      </c>
      <c r="AC17" s="492">
        <v>1456</v>
      </c>
      <c r="AD17" s="492">
        <v>1326</v>
      </c>
      <c r="AE17" s="492">
        <v>1102</v>
      </c>
      <c r="AF17" s="492">
        <v>1030</v>
      </c>
      <c r="AG17" s="492">
        <v>1192</v>
      </c>
      <c r="AH17" s="492">
        <v>968</v>
      </c>
      <c r="AI17" s="492">
        <v>711</v>
      </c>
      <c r="AJ17" s="492">
        <v>733</v>
      </c>
      <c r="AK17" s="492">
        <v>772</v>
      </c>
      <c r="AL17" s="492">
        <v>895</v>
      </c>
      <c r="AM17" s="492">
        <v>1025</v>
      </c>
      <c r="AN17" s="493">
        <f t="shared" si="171"/>
        <v>12743</v>
      </c>
      <c r="AO17" s="492">
        <v>930</v>
      </c>
      <c r="AP17" s="492">
        <v>926</v>
      </c>
      <c r="AQ17" s="492">
        <v>1082</v>
      </c>
      <c r="AR17" s="492">
        <v>844</v>
      </c>
      <c r="AS17" s="492">
        <v>901</v>
      </c>
      <c r="AT17" s="492">
        <v>837</v>
      </c>
      <c r="AU17" s="492">
        <v>727</v>
      </c>
      <c r="AV17" s="492">
        <v>687</v>
      </c>
      <c r="AW17" s="492">
        <v>674</v>
      </c>
      <c r="AX17" s="492">
        <v>688</v>
      </c>
      <c r="AY17" s="492">
        <v>638</v>
      </c>
      <c r="AZ17" s="492">
        <v>726</v>
      </c>
      <c r="BA17" s="493">
        <f t="shared" si="172"/>
        <v>9660</v>
      </c>
      <c r="BB17" s="492">
        <v>646</v>
      </c>
      <c r="BC17" s="492">
        <v>853</v>
      </c>
      <c r="BD17" s="492">
        <v>800</v>
      </c>
      <c r="BE17" s="492">
        <v>664</v>
      </c>
      <c r="BF17" s="492">
        <v>621</v>
      </c>
      <c r="BG17" s="492">
        <v>537</v>
      </c>
      <c r="BH17" s="492">
        <v>691</v>
      </c>
      <c r="BI17" s="492">
        <v>717</v>
      </c>
      <c r="BJ17" s="492">
        <v>627</v>
      </c>
      <c r="BK17" s="492">
        <v>652</v>
      </c>
      <c r="BL17" s="492">
        <v>545</v>
      </c>
      <c r="BM17" s="492">
        <v>782</v>
      </c>
      <c r="BN17" s="493">
        <f t="shared" si="173"/>
        <v>8135</v>
      </c>
      <c r="BO17" s="492">
        <v>772</v>
      </c>
      <c r="BP17" s="492">
        <v>1019</v>
      </c>
      <c r="BQ17" s="492">
        <v>970</v>
      </c>
      <c r="BR17" s="492">
        <v>1088</v>
      </c>
      <c r="BS17" s="492">
        <v>1295.67</v>
      </c>
      <c r="BT17" s="492">
        <v>1247</v>
      </c>
      <c r="BU17" s="492">
        <v>1193</v>
      </c>
      <c r="BV17" s="492">
        <v>1100</v>
      </c>
      <c r="BW17" s="492">
        <v>998</v>
      </c>
      <c r="BX17" s="492">
        <v>1095</v>
      </c>
      <c r="BY17" s="492">
        <v>1007</v>
      </c>
      <c r="BZ17" s="492">
        <v>1051</v>
      </c>
      <c r="CA17" s="493">
        <v>12835.67</v>
      </c>
      <c r="CB17" s="492">
        <v>902.25599999999986</v>
      </c>
      <c r="CC17" s="492">
        <v>972.94899999999996</v>
      </c>
      <c r="CD17" s="492">
        <v>1657.4499999999998</v>
      </c>
      <c r="CE17" s="492">
        <v>2057.8270000000002</v>
      </c>
      <c r="CF17" s="492">
        <v>2433.46</v>
      </c>
      <c r="CG17" s="492">
        <v>2364.7290000000003</v>
      </c>
      <c r="CH17" s="492">
        <v>1978.02</v>
      </c>
      <c r="CI17" s="492">
        <v>1716.739</v>
      </c>
      <c r="CJ17" s="492">
        <v>1954.3290000000002</v>
      </c>
      <c r="CK17" s="492">
        <v>1858.3890000000001</v>
      </c>
      <c r="CL17" s="492">
        <v>1909.2659999999998</v>
      </c>
      <c r="CM17" s="492">
        <v>1699.4790000000003</v>
      </c>
      <c r="CN17" s="493">
        <v>21504.893</v>
      </c>
      <c r="CO17" s="492">
        <v>1437.6180000000002</v>
      </c>
      <c r="CP17" s="492">
        <v>580.67700000000002</v>
      </c>
      <c r="CQ17" s="492">
        <v>645.00900000000001</v>
      </c>
      <c r="CR17" s="492">
        <v>1182.0669999999998</v>
      </c>
      <c r="CS17" s="492">
        <v>1688.549</v>
      </c>
      <c r="CT17" s="492">
        <v>2302.1989999999996</v>
      </c>
      <c r="CU17" s="492">
        <v>2409.73</v>
      </c>
      <c r="CV17" s="492">
        <v>1901.009</v>
      </c>
      <c r="CW17" s="492">
        <v>1714.2259999999999</v>
      </c>
      <c r="CX17" s="492">
        <v>1470.4690000000001</v>
      </c>
      <c r="CY17" s="492">
        <v>1255.2800000000002</v>
      </c>
      <c r="CZ17" s="492">
        <v>1367.3030000000003</v>
      </c>
      <c r="DA17" s="493">
        <v>17954.135999999999</v>
      </c>
      <c r="DB17" s="492">
        <v>1194.55</v>
      </c>
      <c r="DC17" s="492">
        <v>380.24900000000002</v>
      </c>
      <c r="DD17" s="492">
        <v>292.89999999999998</v>
      </c>
      <c r="DE17" s="492">
        <v>470.54899999999998</v>
      </c>
      <c r="DF17" s="492">
        <v>664.08899999999994</v>
      </c>
      <c r="DG17" s="492">
        <v>1230.1990000000001</v>
      </c>
      <c r="DH17" s="492">
        <v>1636.7090000000001</v>
      </c>
      <c r="DI17" s="492">
        <v>1817.788</v>
      </c>
      <c r="DJ17" s="492">
        <v>1823.999</v>
      </c>
      <c r="DK17" s="492">
        <v>1589.6880000000001</v>
      </c>
      <c r="DL17" s="492">
        <v>1113.9860000000001</v>
      </c>
      <c r="DM17" s="492">
        <v>539.58000000000004</v>
      </c>
      <c r="DN17" s="493">
        <v>12754.286</v>
      </c>
      <c r="DO17" s="492">
        <v>361.46899999999999</v>
      </c>
      <c r="DP17" s="492">
        <v>256.66699999999997</v>
      </c>
      <c r="DQ17" s="492">
        <v>161.51900000000001</v>
      </c>
      <c r="DR17" s="492">
        <v>102.193</v>
      </c>
      <c r="DS17" s="492">
        <v>182.54900000000001</v>
      </c>
      <c r="DT17" s="492">
        <v>302.09599999999989</v>
      </c>
      <c r="DU17" s="492">
        <v>483.82900000000012</v>
      </c>
      <c r="DV17" s="492">
        <v>1134.7170000000001</v>
      </c>
      <c r="DW17" s="492">
        <v>1168.164</v>
      </c>
      <c r="DX17" s="492">
        <v>1161.2190000000001</v>
      </c>
      <c r="DY17" s="492">
        <v>733.5999999999998</v>
      </c>
      <c r="DZ17" s="492">
        <v>490.01700000000011</v>
      </c>
      <c r="EA17" s="493">
        <v>6538.0389999999998</v>
      </c>
      <c r="EB17" s="492">
        <v>335.06900000000002</v>
      </c>
      <c r="EC17" s="492">
        <v>227.178</v>
      </c>
      <c r="ED17" s="492">
        <v>128.387</v>
      </c>
      <c r="EE17" s="492">
        <v>81.034000000000006</v>
      </c>
      <c r="EF17" s="492">
        <v>225.80699999999999</v>
      </c>
      <c r="EG17" s="492">
        <v>336.85700000000003</v>
      </c>
      <c r="EH17" s="492">
        <v>392.69999999999987</v>
      </c>
      <c r="EI17" s="492">
        <v>398.56799999999998</v>
      </c>
      <c r="EJ17" s="492">
        <v>425.06900000000002</v>
      </c>
      <c r="EK17" s="492">
        <v>474.18599999999998</v>
      </c>
      <c r="EL17" s="492">
        <v>539.3069999999999</v>
      </c>
      <c r="EM17" s="492">
        <v>529.05600000000004</v>
      </c>
      <c r="EN17" s="493">
        <v>4093.2179999999998</v>
      </c>
      <c r="EO17" s="492">
        <v>447.62400000000002</v>
      </c>
      <c r="EP17" s="492">
        <v>323.50700000000012</v>
      </c>
      <c r="EQ17" s="492"/>
      <c r="ER17" s="492"/>
      <c r="ES17" s="492"/>
      <c r="ET17" s="492"/>
      <c r="EU17" s="492"/>
      <c r="EV17" s="492"/>
      <c r="EW17" s="492"/>
      <c r="EX17" s="492"/>
      <c r="EY17" s="492"/>
      <c r="EZ17" s="492"/>
      <c r="FA17" s="493">
        <f t="shared" si="174"/>
        <v>771.13100000000009</v>
      </c>
      <c r="FC17" s="534">
        <f t="shared" si="175"/>
        <v>-26.484869138495082</v>
      </c>
      <c r="FD17" s="535">
        <f t="shared" si="176"/>
        <v>-41.068964365539671</v>
      </c>
      <c r="FE17" s="536">
        <f t="shared" si="177"/>
        <v>6048.0219999999999</v>
      </c>
      <c r="FF17" s="537">
        <f t="shared" si="178"/>
        <v>3564.1619999999998</v>
      </c>
      <c r="FG17" s="470"/>
      <c r="FH17" s="498">
        <f t="shared" si="179"/>
        <v>298328.74599999998</v>
      </c>
      <c r="FI17" s="499" t="s">
        <v>623</v>
      </c>
      <c r="FJ17" s="500" t="str">
        <f t="shared" si="180"/>
        <v>OK</v>
      </c>
    </row>
    <row r="18" spans="1:166" s="447" customFormat="1" ht="15" customHeight="1" x14ac:dyDescent="0.25">
      <c r="A18" s="555" t="s">
        <v>179</v>
      </c>
      <c r="B18" s="492">
        <v>385</v>
      </c>
      <c r="C18" s="492">
        <v>401</v>
      </c>
      <c r="D18" s="492">
        <v>401</v>
      </c>
      <c r="E18" s="492">
        <v>363</v>
      </c>
      <c r="F18" s="492">
        <v>410</v>
      </c>
      <c r="G18" s="492">
        <v>408</v>
      </c>
      <c r="H18" s="492">
        <v>428</v>
      </c>
      <c r="I18" s="492">
        <v>469</v>
      </c>
      <c r="J18" s="492">
        <v>484</v>
      </c>
      <c r="K18" s="492">
        <v>471</v>
      </c>
      <c r="L18" s="492">
        <v>478</v>
      </c>
      <c r="M18" s="492">
        <v>491</v>
      </c>
      <c r="N18" s="493">
        <f t="shared" si="169"/>
        <v>5189</v>
      </c>
      <c r="O18" s="492">
        <v>447</v>
      </c>
      <c r="P18" s="492">
        <v>435</v>
      </c>
      <c r="Q18" s="492">
        <v>460</v>
      </c>
      <c r="R18" s="492">
        <v>436</v>
      </c>
      <c r="S18" s="492">
        <v>453</v>
      </c>
      <c r="T18" s="492">
        <v>466</v>
      </c>
      <c r="U18" s="492">
        <v>450</v>
      </c>
      <c r="V18" s="492">
        <v>425</v>
      </c>
      <c r="W18" s="492">
        <v>418</v>
      </c>
      <c r="X18" s="492">
        <v>451</v>
      </c>
      <c r="Y18" s="492">
        <v>445</v>
      </c>
      <c r="Z18" s="492">
        <v>492</v>
      </c>
      <c r="AA18" s="493">
        <f t="shared" si="170"/>
        <v>5378</v>
      </c>
      <c r="AB18" s="492">
        <v>450</v>
      </c>
      <c r="AC18" s="492">
        <v>480</v>
      </c>
      <c r="AD18" s="492">
        <v>506</v>
      </c>
      <c r="AE18" s="492">
        <v>525</v>
      </c>
      <c r="AF18" s="492">
        <v>549</v>
      </c>
      <c r="AG18" s="492">
        <v>557</v>
      </c>
      <c r="AH18" s="492">
        <v>554</v>
      </c>
      <c r="AI18" s="492">
        <v>546</v>
      </c>
      <c r="AJ18" s="492">
        <v>597</v>
      </c>
      <c r="AK18" s="492">
        <v>635</v>
      </c>
      <c r="AL18" s="492">
        <v>642</v>
      </c>
      <c r="AM18" s="492">
        <v>729</v>
      </c>
      <c r="AN18" s="493">
        <f t="shared" si="171"/>
        <v>6770</v>
      </c>
      <c r="AO18" s="492">
        <v>559</v>
      </c>
      <c r="AP18" s="492">
        <v>583</v>
      </c>
      <c r="AQ18" s="492">
        <v>611</v>
      </c>
      <c r="AR18" s="492">
        <v>656</v>
      </c>
      <c r="AS18" s="492">
        <v>683</v>
      </c>
      <c r="AT18" s="492">
        <v>728</v>
      </c>
      <c r="AU18" s="492">
        <v>745</v>
      </c>
      <c r="AV18" s="492">
        <v>764</v>
      </c>
      <c r="AW18" s="492">
        <v>799</v>
      </c>
      <c r="AX18" s="492">
        <v>816</v>
      </c>
      <c r="AY18" s="492">
        <v>826</v>
      </c>
      <c r="AZ18" s="492">
        <v>784</v>
      </c>
      <c r="BA18" s="493">
        <f t="shared" si="172"/>
        <v>8554</v>
      </c>
      <c r="BB18" s="492">
        <v>840</v>
      </c>
      <c r="BC18" s="492">
        <v>862</v>
      </c>
      <c r="BD18" s="492">
        <v>875</v>
      </c>
      <c r="BE18" s="492">
        <v>867</v>
      </c>
      <c r="BF18" s="492">
        <v>864</v>
      </c>
      <c r="BG18" s="492">
        <v>887</v>
      </c>
      <c r="BH18" s="492">
        <v>893</v>
      </c>
      <c r="BI18" s="492">
        <v>896</v>
      </c>
      <c r="BJ18" s="492">
        <v>911</v>
      </c>
      <c r="BK18" s="492">
        <v>916</v>
      </c>
      <c r="BL18" s="492">
        <v>924</v>
      </c>
      <c r="BM18" s="492">
        <v>938</v>
      </c>
      <c r="BN18" s="493">
        <f t="shared" si="173"/>
        <v>10673</v>
      </c>
      <c r="BO18" s="492">
        <v>922</v>
      </c>
      <c r="BP18" s="492">
        <v>949</v>
      </c>
      <c r="BQ18" s="492">
        <v>931</v>
      </c>
      <c r="BR18" s="492">
        <v>950</v>
      </c>
      <c r="BS18" s="492">
        <v>952.029</v>
      </c>
      <c r="BT18" s="492">
        <v>955</v>
      </c>
      <c r="BU18" s="492">
        <v>946</v>
      </c>
      <c r="BV18" s="492">
        <v>974</v>
      </c>
      <c r="BW18" s="492">
        <v>994</v>
      </c>
      <c r="BX18" s="492">
        <v>1024</v>
      </c>
      <c r="BY18" s="492">
        <v>1020</v>
      </c>
      <c r="BZ18" s="492">
        <v>1066</v>
      </c>
      <c r="CA18" s="493">
        <v>11683.029</v>
      </c>
      <c r="CB18" s="492">
        <v>926.56999999999994</v>
      </c>
      <c r="CC18" s="492">
        <v>964.22899999999993</v>
      </c>
      <c r="CD18" s="492">
        <v>970.88</v>
      </c>
      <c r="CE18" s="492">
        <v>986.24799999999993</v>
      </c>
      <c r="CF18" s="492">
        <v>1029.9579999999999</v>
      </c>
      <c r="CG18" s="492">
        <v>1019.43</v>
      </c>
      <c r="CH18" s="492">
        <v>1012.6290000000001</v>
      </c>
      <c r="CI18" s="492">
        <v>989.25900000000013</v>
      </c>
      <c r="CJ18" s="492">
        <v>1028.0889999999999</v>
      </c>
      <c r="CK18" s="492">
        <v>1046.519</v>
      </c>
      <c r="CL18" s="492">
        <v>1020.0490000000001</v>
      </c>
      <c r="CM18" s="492">
        <v>1062.1500000000001</v>
      </c>
      <c r="CN18" s="493">
        <v>12056.010000000002</v>
      </c>
      <c r="CO18" s="492">
        <v>930.74999999999989</v>
      </c>
      <c r="CP18" s="492">
        <v>981.69999999999993</v>
      </c>
      <c r="CQ18" s="492">
        <v>926.97800000000007</v>
      </c>
      <c r="CR18" s="492">
        <v>936.80899999999997</v>
      </c>
      <c r="CS18" s="492">
        <v>991.77799999999979</v>
      </c>
      <c r="CT18" s="492">
        <v>1020.5790000000001</v>
      </c>
      <c r="CU18" s="492">
        <v>1041.5889999999999</v>
      </c>
      <c r="CV18" s="492">
        <v>1123.6299999999999</v>
      </c>
      <c r="CW18" s="492">
        <v>1102.8810000000001</v>
      </c>
      <c r="CX18" s="492">
        <v>1106.6500000000001</v>
      </c>
      <c r="CY18" s="492">
        <v>1080.28</v>
      </c>
      <c r="CZ18" s="492">
        <v>1092.4290000000001</v>
      </c>
      <c r="DA18" s="493">
        <v>12336.053</v>
      </c>
      <c r="DB18" s="492">
        <v>1042.6099999999999</v>
      </c>
      <c r="DC18" s="492">
        <v>1017.64</v>
      </c>
      <c r="DD18" s="492">
        <v>988.84</v>
      </c>
      <c r="DE18" s="492">
        <v>998.48900000000003</v>
      </c>
      <c r="DF18" s="492">
        <v>1013.96</v>
      </c>
      <c r="DG18" s="492">
        <v>1057.145</v>
      </c>
      <c r="DH18" s="492">
        <v>1070.06</v>
      </c>
      <c r="DI18" s="492">
        <v>1079.367</v>
      </c>
      <c r="DJ18" s="492">
        <v>1084.42</v>
      </c>
      <c r="DK18" s="492">
        <v>1092.6469999999999</v>
      </c>
      <c r="DL18" s="492">
        <v>1098.9780000000001</v>
      </c>
      <c r="DM18" s="492">
        <v>1102.239</v>
      </c>
      <c r="DN18" s="493">
        <v>12646.394999999999</v>
      </c>
      <c r="DO18" s="492">
        <v>1098.7049999999999</v>
      </c>
      <c r="DP18" s="492">
        <v>1081.979</v>
      </c>
      <c r="DQ18" s="492">
        <v>1080.6990000000001</v>
      </c>
      <c r="DR18" s="492">
        <v>1027.299</v>
      </c>
      <c r="DS18" s="492">
        <v>1043.6089999999999</v>
      </c>
      <c r="DT18" s="492">
        <v>1043.154</v>
      </c>
      <c r="DU18" s="492">
        <v>1048.25</v>
      </c>
      <c r="DV18" s="492">
        <v>1052.4970000000001</v>
      </c>
      <c r="DW18" s="492">
        <v>1051.4090000000001</v>
      </c>
      <c r="DX18" s="492">
        <v>1053.451</v>
      </c>
      <c r="DY18" s="492">
        <v>1055.829</v>
      </c>
      <c r="DZ18" s="492">
        <v>1041.796</v>
      </c>
      <c r="EA18" s="493">
        <v>12678.677</v>
      </c>
      <c r="EB18" s="492">
        <v>1025.4680000000001</v>
      </c>
      <c r="EC18" s="492">
        <v>976.24800000000016</v>
      </c>
      <c r="ED18" s="492">
        <v>852.56799999999998</v>
      </c>
      <c r="EE18" s="492">
        <v>685.02099999999996</v>
      </c>
      <c r="EF18" s="492">
        <v>688.178</v>
      </c>
      <c r="EG18" s="492">
        <v>692.14800000000002</v>
      </c>
      <c r="EH18" s="492">
        <v>696.10899999999992</v>
      </c>
      <c r="EI18" s="492">
        <v>695.88699999999994</v>
      </c>
      <c r="EJ18" s="492">
        <v>698.29500000000007</v>
      </c>
      <c r="EK18" s="492">
        <v>701.52599999999984</v>
      </c>
      <c r="EL18" s="492">
        <v>592.57800000000009</v>
      </c>
      <c r="EM18" s="492">
        <v>560.47</v>
      </c>
      <c r="EN18" s="493">
        <v>8864.4959999999992</v>
      </c>
      <c r="EO18" s="492">
        <v>519.4380000000001</v>
      </c>
      <c r="EP18" s="492">
        <v>522.68899999999996</v>
      </c>
      <c r="EQ18" s="492"/>
      <c r="ER18" s="492"/>
      <c r="ES18" s="492"/>
      <c r="ET18" s="492"/>
      <c r="EU18" s="492"/>
      <c r="EV18" s="492"/>
      <c r="EW18" s="492"/>
      <c r="EX18" s="492"/>
      <c r="EY18" s="492"/>
      <c r="EZ18" s="492"/>
      <c r="FA18" s="493">
        <f t="shared" si="174"/>
        <v>1042.127</v>
      </c>
      <c r="FC18" s="534">
        <f t="shared" si="175"/>
        <v>-43.875570760037839</v>
      </c>
      <c r="FD18" s="535">
        <f t="shared" si="176"/>
        <v>-28.640449275024803</v>
      </c>
      <c r="FE18" s="536">
        <f t="shared" si="177"/>
        <v>11636.880999999999</v>
      </c>
      <c r="FF18" s="537">
        <f t="shared" si="178"/>
        <v>8304.0259999999998</v>
      </c>
      <c r="FG18" s="470"/>
      <c r="FH18" s="498">
        <f t="shared" si="179"/>
        <v>215741.57400000002</v>
      </c>
      <c r="FI18" s="499" t="s">
        <v>179</v>
      </c>
      <c r="FJ18" s="500" t="str">
        <f t="shared" si="180"/>
        <v>OK</v>
      </c>
    </row>
    <row r="19" spans="1:166" s="447" customFormat="1" ht="15" customHeight="1" x14ac:dyDescent="0.25">
      <c r="A19" s="555" t="s">
        <v>624</v>
      </c>
      <c r="B19" s="492"/>
      <c r="C19" s="492"/>
      <c r="D19" s="492"/>
      <c r="E19" s="492"/>
      <c r="F19" s="492"/>
      <c r="G19" s="492"/>
      <c r="H19" s="492"/>
      <c r="I19" s="492">
        <v>183</v>
      </c>
      <c r="J19" s="492">
        <v>560</v>
      </c>
      <c r="K19" s="492">
        <v>275</v>
      </c>
      <c r="L19" s="492">
        <v>4</v>
      </c>
      <c r="M19" s="492">
        <v>23</v>
      </c>
      <c r="N19" s="493">
        <f t="shared" si="169"/>
        <v>1045</v>
      </c>
      <c r="O19" s="492">
        <v>15</v>
      </c>
      <c r="P19" s="492">
        <v>1</v>
      </c>
      <c r="Q19" s="492"/>
      <c r="R19" s="492"/>
      <c r="S19" s="492"/>
      <c r="T19" s="492"/>
      <c r="U19" s="492"/>
      <c r="V19" s="492">
        <v>97</v>
      </c>
      <c r="W19" s="492">
        <v>260</v>
      </c>
      <c r="X19" s="492">
        <v>89</v>
      </c>
      <c r="Y19" s="492"/>
      <c r="Z19" s="492"/>
      <c r="AA19" s="493">
        <f t="shared" si="170"/>
        <v>462</v>
      </c>
      <c r="AB19" s="492"/>
      <c r="AC19" s="492"/>
      <c r="AD19" s="492"/>
      <c r="AE19" s="492"/>
      <c r="AF19" s="492"/>
      <c r="AG19" s="492"/>
      <c r="AH19" s="492">
        <v>24</v>
      </c>
      <c r="AI19" s="492">
        <v>102</v>
      </c>
      <c r="AJ19" s="492">
        <v>175</v>
      </c>
      <c r="AK19" s="492">
        <v>319</v>
      </c>
      <c r="AL19" s="492">
        <v>32</v>
      </c>
      <c r="AM19" s="492"/>
      <c r="AN19" s="493">
        <f t="shared" si="171"/>
        <v>652</v>
      </c>
      <c r="AO19" s="492"/>
      <c r="AP19" s="492"/>
      <c r="AQ19" s="492"/>
      <c r="AR19" s="492"/>
      <c r="AS19" s="492"/>
      <c r="AT19" s="492"/>
      <c r="AU19" s="492">
        <v>28</v>
      </c>
      <c r="AV19" s="492">
        <v>188</v>
      </c>
      <c r="AW19" s="492">
        <v>103</v>
      </c>
      <c r="AX19" s="492">
        <v>106</v>
      </c>
      <c r="AY19" s="492"/>
      <c r="AZ19" s="492"/>
      <c r="BA19" s="493">
        <f t="shared" si="172"/>
        <v>425</v>
      </c>
      <c r="BB19" s="492"/>
      <c r="BC19" s="492"/>
      <c r="BD19" s="492"/>
      <c r="BE19" s="492"/>
      <c r="BF19" s="492"/>
      <c r="BG19" s="492"/>
      <c r="BH19" s="492">
        <v>12</v>
      </c>
      <c r="BI19" s="492">
        <v>76</v>
      </c>
      <c r="BJ19" s="492">
        <v>176</v>
      </c>
      <c r="BK19" s="492">
        <v>286</v>
      </c>
      <c r="BL19" s="492">
        <v>80</v>
      </c>
      <c r="BM19" s="492">
        <v>3</v>
      </c>
      <c r="BN19" s="493">
        <f t="shared" si="173"/>
        <v>633</v>
      </c>
      <c r="BO19" s="492">
        <v>2.95</v>
      </c>
      <c r="BP19" s="492"/>
      <c r="BQ19" s="492"/>
      <c r="BR19" s="492"/>
      <c r="BS19" s="492"/>
      <c r="BT19" s="492"/>
      <c r="BU19" s="492">
        <v>61.069000000000003</v>
      </c>
      <c r="BV19" s="492">
        <v>174.15</v>
      </c>
      <c r="BW19" s="492">
        <v>310.14000000000004</v>
      </c>
      <c r="BX19" s="492">
        <v>104.00999999999999</v>
      </c>
      <c r="BY19" s="492"/>
      <c r="BZ19" s="492">
        <v>65.100000000000009</v>
      </c>
      <c r="CA19" s="493">
        <v>717.4190000000001</v>
      </c>
      <c r="CB19" s="492">
        <v>50.874000000000002</v>
      </c>
      <c r="CC19" s="492">
        <v>73.7</v>
      </c>
      <c r="CD19" s="492"/>
      <c r="CE19" s="492"/>
      <c r="CF19" s="492"/>
      <c r="CG19" s="492">
        <v>60.83</v>
      </c>
      <c r="CH19" s="492">
        <v>88.16</v>
      </c>
      <c r="CI19" s="492">
        <v>261.14300000000003</v>
      </c>
      <c r="CJ19" s="492">
        <v>205.14600000000002</v>
      </c>
      <c r="CK19" s="492">
        <v>27.689999999999998</v>
      </c>
      <c r="CL19" s="492">
        <v>4.74</v>
      </c>
      <c r="CM19" s="492">
        <v>35.069000000000003</v>
      </c>
      <c r="CN19" s="493">
        <v>807.35200000000009</v>
      </c>
      <c r="CO19" s="492">
        <v>8.4499999999999993</v>
      </c>
      <c r="CP19" s="492"/>
      <c r="CQ19" s="492"/>
      <c r="CR19" s="492"/>
      <c r="CS19" s="492"/>
      <c r="CT19" s="492">
        <v>30.65</v>
      </c>
      <c r="CU19" s="492">
        <v>49.760000000000005</v>
      </c>
      <c r="CV19" s="492">
        <v>236.51699999999997</v>
      </c>
      <c r="CW19" s="492">
        <v>281.92999999999995</v>
      </c>
      <c r="CX19" s="492">
        <v>153.62000000000003</v>
      </c>
      <c r="CY19" s="492">
        <v>4.71</v>
      </c>
      <c r="CZ19" s="492"/>
      <c r="DA19" s="493">
        <v>765.63699999999994</v>
      </c>
      <c r="DB19" s="492">
        <v>32.079000000000001</v>
      </c>
      <c r="DC19" s="492">
        <v>3.06</v>
      </c>
      <c r="DD19" s="492">
        <v>3.18</v>
      </c>
      <c r="DE19" s="492"/>
      <c r="DF19" s="492">
        <v>4.74</v>
      </c>
      <c r="DG19" s="492"/>
      <c r="DH19" s="492">
        <v>43.62</v>
      </c>
      <c r="DI19" s="492">
        <v>291.47899999999998</v>
      </c>
      <c r="DJ19" s="492">
        <v>684.88700000000006</v>
      </c>
      <c r="DK19" s="492">
        <v>349.98899999999998</v>
      </c>
      <c r="DL19" s="492">
        <v>40.18</v>
      </c>
      <c r="DM19" s="492">
        <v>23.01</v>
      </c>
      <c r="DN19" s="493">
        <v>1476.2240000000002</v>
      </c>
      <c r="DO19" s="492">
        <v>48.628999999999998</v>
      </c>
      <c r="DP19" s="492">
        <v>0</v>
      </c>
      <c r="DQ19" s="492">
        <v>0</v>
      </c>
      <c r="DR19" s="492">
        <v>0</v>
      </c>
      <c r="DS19" s="492">
        <v>0</v>
      </c>
      <c r="DT19" s="492">
        <v>0</v>
      </c>
      <c r="DU19" s="492">
        <v>12.21</v>
      </c>
      <c r="DV19" s="492">
        <v>217.76499999999999</v>
      </c>
      <c r="DW19" s="492">
        <v>332.649</v>
      </c>
      <c r="DX19" s="492">
        <v>172.74</v>
      </c>
      <c r="DY19" s="492">
        <v>32.49</v>
      </c>
      <c r="DZ19" s="492">
        <v>32.659999999999997</v>
      </c>
      <c r="EA19" s="493">
        <v>849.14299999999992</v>
      </c>
      <c r="EB19" s="492">
        <v>23.37</v>
      </c>
      <c r="EC19" s="492">
        <v>0</v>
      </c>
      <c r="ED19" s="492">
        <v>0</v>
      </c>
      <c r="EE19" s="492">
        <v>0</v>
      </c>
      <c r="EF19" s="492">
        <v>0</v>
      </c>
      <c r="EG19" s="492">
        <v>0</v>
      </c>
      <c r="EH19" s="492">
        <v>61.33</v>
      </c>
      <c r="EI19" s="492">
        <v>286.858</v>
      </c>
      <c r="EJ19" s="492">
        <v>253.68</v>
      </c>
      <c r="EK19" s="492">
        <v>171.078</v>
      </c>
      <c r="EL19" s="492">
        <v>25.748999999999999</v>
      </c>
      <c r="EM19" s="492">
        <v>186.548</v>
      </c>
      <c r="EN19" s="493">
        <v>1008.6130000000001</v>
      </c>
      <c r="EO19" s="492">
        <v>18.61</v>
      </c>
      <c r="EP19" s="492">
        <v>52.59</v>
      </c>
      <c r="EQ19" s="492"/>
      <c r="ER19" s="492"/>
      <c r="ES19" s="492"/>
      <c r="ET19" s="492"/>
      <c r="EU19" s="492"/>
      <c r="EV19" s="492"/>
      <c r="EW19" s="492"/>
      <c r="EX19" s="492"/>
      <c r="EY19" s="492"/>
      <c r="EZ19" s="492"/>
      <c r="FA19" s="493">
        <f t="shared" si="174"/>
        <v>71.2</v>
      </c>
      <c r="FC19" s="534">
        <f t="shared" si="175"/>
        <v>-20.747922437673139</v>
      </c>
      <c r="FD19" s="535">
        <f t="shared" si="176"/>
        <v>0.68366395871073404</v>
      </c>
      <c r="FE19" s="536">
        <f t="shared" si="177"/>
        <v>816.48299999999995</v>
      </c>
      <c r="FF19" s="537">
        <f t="shared" si="178"/>
        <v>822.06500000000005</v>
      </c>
      <c r="FG19" s="470"/>
      <c r="FH19" s="498">
        <f t="shared" si="179"/>
        <v>17825.176000000003</v>
      </c>
      <c r="FI19" s="499" t="s">
        <v>624</v>
      </c>
      <c r="FJ19" s="500" t="str">
        <f t="shared" si="180"/>
        <v>OK</v>
      </c>
    </row>
    <row r="20" spans="1:166" s="447" customFormat="1" ht="15" customHeight="1" x14ac:dyDescent="0.25">
      <c r="A20" s="555" t="s">
        <v>625</v>
      </c>
      <c r="B20" s="492">
        <v>40</v>
      </c>
      <c r="C20" s="492">
        <v>26</v>
      </c>
      <c r="D20" s="492"/>
      <c r="E20" s="492"/>
      <c r="F20" s="492"/>
      <c r="G20" s="492"/>
      <c r="H20" s="492">
        <v>170</v>
      </c>
      <c r="I20" s="492">
        <v>438</v>
      </c>
      <c r="J20" s="492">
        <v>992</v>
      </c>
      <c r="K20" s="492">
        <v>546</v>
      </c>
      <c r="L20" s="492">
        <v>590</v>
      </c>
      <c r="M20" s="492">
        <v>57</v>
      </c>
      <c r="N20" s="493">
        <f t="shared" si="169"/>
        <v>2859</v>
      </c>
      <c r="O20" s="492">
        <v>31</v>
      </c>
      <c r="P20" s="492">
        <v>9</v>
      </c>
      <c r="Q20" s="492"/>
      <c r="R20" s="492"/>
      <c r="S20" s="492"/>
      <c r="T20" s="492"/>
      <c r="U20" s="492"/>
      <c r="V20" s="492">
        <v>349</v>
      </c>
      <c r="W20" s="492">
        <v>716</v>
      </c>
      <c r="X20" s="492">
        <v>705</v>
      </c>
      <c r="Y20" s="492">
        <v>228</v>
      </c>
      <c r="Z20" s="492">
        <v>196</v>
      </c>
      <c r="AA20" s="493">
        <f t="shared" si="170"/>
        <v>2234</v>
      </c>
      <c r="AB20" s="492"/>
      <c r="AC20" s="492"/>
      <c r="AD20" s="492"/>
      <c r="AE20" s="492"/>
      <c r="AF20" s="492"/>
      <c r="AG20" s="492"/>
      <c r="AH20" s="492"/>
      <c r="AI20" s="492">
        <v>356</v>
      </c>
      <c r="AJ20" s="492">
        <v>848</v>
      </c>
      <c r="AK20" s="492">
        <v>737</v>
      </c>
      <c r="AL20" s="492">
        <v>55</v>
      </c>
      <c r="AM20" s="492"/>
      <c r="AN20" s="493">
        <f t="shared" si="171"/>
        <v>1996</v>
      </c>
      <c r="AO20" s="492">
        <v>4</v>
      </c>
      <c r="AP20" s="492"/>
      <c r="AQ20" s="492">
        <v>9</v>
      </c>
      <c r="AR20" s="492"/>
      <c r="AS20" s="492"/>
      <c r="AT20" s="492"/>
      <c r="AU20" s="492">
        <v>36</v>
      </c>
      <c r="AV20" s="492">
        <v>175</v>
      </c>
      <c r="AW20" s="492">
        <v>260</v>
      </c>
      <c r="AX20" s="492">
        <v>382</v>
      </c>
      <c r="AY20" s="492">
        <v>181</v>
      </c>
      <c r="AZ20" s="492">
        <v>97</v>
      </c>
      <c r="BA20" s="493">
        <f t="shared" si="172"/>
        <v>1144</v>
      </c>
      <c r="BB20" s="492"/>
      <c r="BC20" s="492"/>
      <c r="BD20" s="492"/>
      <c r="BE20" s="492"/>
      <c r="BF20" s="492"/>
      <c r="BG20" s="492"/>
      <c r="BH20" s="492">
        <v>42</v>
      </c>
      <c r="BI20" s="492">
        <v>69</v>
      </c>
      <c r="BJ20" s="492">
        <v>172</v>
      </c>
      <c r="BK20" s="492">
        <v>338</v>
      </c>
      <c r="BL20" s="492">
        <v>265</v>
      </c>
      <c r="BM20" s="492">
        <v>124</v>
      </c>
      <c r="BN20" s="493">
        <f t="shared" si="173"/>
        <v>1010</v>
      </c>
      <c r="BO20" s="492">
        <v>33.57</v>
      </c>
      <c r="BP20" s="492">
        <v>10.28</v>
      </c>
      <c r="BQ20" s="492"/>
      <c r="BR20" s="492">
        <v>10.289</v>
      </c>
      <c r="BS20" s="492"/>
      <c r="BT20" s="492"/>
      <c r="BU20" s="492"/>
      <c r="BV20" s="492">
        <v>271.68999999999994</v>
      </c>
      <c r="BW20" s="492">
        <v>268.04899999999998</v>
      </c>
      <c r="BX20" s="492">
        <v>171.88800000000001</v>
      </c>
      <c r="BY20" s="492">
        <v>50.150000000000006</v>
      </c>
      <c r="BZ20" s="492">
        <v>77.17</v>
      </c>
      <c r="CA20" s="493">
        <v>893.0859999999999</v>
      </c>
      <c r="CB20" s="492">
        <v>103.96899999999999</v>
      </c>
      <c r="CC20" s="492">
        <v>67.19</v>
      </c>
      <c r="CD20" s="492">
        <v>35.340000000000003</v>
      </c>
      <c r="CE20" s="492"/>
      <c r="CF20" s="492"/>
      <c r="CG20" s="492"/>
      <c r="CH20" s="492">
        <v>142.31</v>
      </c>
      <c r="CI20" s="492">
        <v>171.679</v>
      </c>
      <c r="CJ20" s="492">
        <v>290.76999999999992</v>
      </c>
      <c r="CK20" s="492">
        <v>222.07900000000001</v>
      </c>
      <c r="CL20" s="492">
        <v>76.25</v>
      </c>
      <c r="CM20" s="492">
        <v>45.379999999999995</v>
      </c>
      <c r="CN20" s="493">
        <v>1154.9669999999996</v>
      </c>
      <c r="CO20" s="492">
        <v>36.150000000000006</v>
      </c>
      <c r="CP20" s="492">
        <v>54.400000000000006</v>
      </c>
      <c r="CQ20" s="492">
        <v>4.7690000000000001</v>
      </c>
      <c r="CR20" s="492"/>
      <c r="CS20" s="492"/>
      <c r="CT20" s="492">
        <v>3.34</v>
      </c>
      <c r="CU20" s="492">
        <v>130.82</v>
      </c>
      <c r="CV20" s="492">
        <v>156.95000000000002</v>
      </c>
      <c r="CW20" s="492">
        <v>182.64899999999997</v>
      </c>
      <c r="CX20" s="492">
        <v>227.64</v>
      </c>
      <c r="CY20" s="492">
        <v>144.619</v>
      </c>
      <c r="CZ20" s="492">
        <v>71.83</v>
      </c>
      <c r="DA20" s="493">
        <v>1013.167</v>
      </c>
      <c r="DB20" s="492">
        <v>80.509999999999991</v>
      </c>
      <c r="DC20" s="492">
        <v>95.47999999999999</v>
      </c>
      <c r="DD20" s="492">
        <v>48.400000000000006</v>
      </c>
      <c r="DE20" s="492">
        <v>13.06</v>
      </c>
      <c r="DF20" s="492"/>
      <c r="DG20" s="492">
        <v>5.04</v>
      </c>
      <c r="DH20" s="492"/>
      <c r="DI20" s="492">
        <v>219.56899999999999</v>
      </c>
      <c r="DJ20" s="492">
        <v>221.76499999999999</v>
      </c>
      <c r="DK20" s="492">
        <v>345.38799999999998</v>
      </c>
      <c r="DL20" s="492">
        <v>152.81899999999999</v>
      </c>
      <c r="DM20" s="492"/>
      <c r="DN20" s="493">
        <v>1182.0309999999999</v>
      </c>
      <c r="DO20" s="492">
        <v>51.23899999999999</v>
      </c>
      <c r="DP20" s="492">
        <v>113.66</v>
      </c>
      <c r="DQ20" s="492">
        <v>0</v>
      </c>
      <c r="DR20" s="492">
        <v>0</v>
      </c>
      <c r="DS20" s="492">
        <v>0</v>
      </c>
      <c r="DT20" s="492">
        <v>0</v>
      </c>
      <c r="DU20" s="492">
        <v>0</v>
      </c>
      <c r="DV20" s="492">
        <v>14.22</v>
      </c>
      <c r="DW20" s="492">
        <v>350.22800000000012</v>
      </c>
      <c r="DX20" s="492">
        <v>444.82900000000012</v>
      </c>
      <c r="DY20" s="492">
        <v>153.547</v>
      </c>
      <c r="DZ20" s="492">
        <v>249.83799999999999</v>
      </c>
      <c r="EA20" s="493">
        <v>1377.5610000000001</v>
      </c>
      <c r="EB20" s="492">
        <v>213.53899999999999</v>
      </c>
      <c r="EC20" s="492">
        <v>48.738999999999997</v>
      </c>
      <c r="ED20" s="492">
        <v>23.47</v>
      </c>
      <c r="EE20" s="492">
        <v>0</v>
      </c>
      <c r="EF20" s="492">
        <v>0</v>
      </c>
      <c r="EG20" s="492">
        <v>0</v>
      </c>
      <c r="EH20" s="492">
        <v>0</v>
      </c>
      <c r="EI20" s="492">
        <v>12.48</v>
      </c>
      <c r="EJ20" s="492">
        <v>2293.2399999999998</v>
      </c>
      <c r="EK20" s="492">
        <v>381.49799999999999</v>
      </c>
      <c r="EL20" s="492">
        <v>254.428</v>
      </c>
      <c r="EM20" s="492">
        <v>91.8</v>
      </c>
      <c r="EN20" s="493">
        <v>3319.194</v>
      </c>
      <c r="EO20" s="492">
        <v>1046.2280000000001</v>
      </c>
      <c r="EP20" s="492">
        <v>220.57499999999999</v>
      </c>
      <c r="EQ20" s="492"/>
      <c r="ER20" s="492"/>
      <c r="ES20" s="492"/>
      <c r="ET20" s="492"/>
      <c r="EU20" s="492"/>
      <c r="EV20" s="492"/>
      <c r="EW20" s="492"/>
      <c r="EX20" s="492"/>
      <c r="EY20" s="492"/>
      <c r="EZ20" s="492"/>
      <c r="FA20" s="493">
        <f t="shared" si="174"/>
        <v>1266.8030000000001</v>
      </c>
      <c r="FC20" s="534">
        <f t="shared" si="175"/>
        <v>65.700404436426638</v>
      </c>
      <c r="FD20" s="535">
        <f t="shared" si="176"/>
        <v>186.1867674952093</v>
      </c>
      <c r="FE20" s="536">
        <f t="shared" si="177"/>
        <v>1127.7230000000002</v>
      </c>
      <c r="FF20" s="537">
        <f t="shared" si="178"/>
        <v>3227.3939999999998</v>
      </c>
      <c r="FG20" s="470"/>
      <c r="FH20" s="498">
        <f t="shared" si="179"/>
        <v>38899.618000000017</v>
      </c>
      <c r="FI20" s="499" t="s">
        <v>625</v>
      </c>
      <c r="FJ20" s="500" t="str">
        <f t="shared" si="180"/>
        <v>OK</v>
      </c>
    </row>
    <row r="21" spans="1:166" s="447" customFormat="1" ht="15" customHeight="1" x14ac:dyDescent="0.25">
      <c r="A21" s="555" t="s">
        <v>626</v>
      </c>
      <c r="B21" s="492">
        <v>1059</v>
      </c>
      <c r="C21" s="492">
        <v>1191</v>
      </c>
      <c r="D21" s="492">
        <v>1051</v>
      </c>
      <c r="E21" s="492">
        <v>772</v>
      </c>
      <c r="F21" s="492">
        <v>980</v>
      </c>
      <c r="G21" s="492">
        <v>1122</v>
      </c>
      <c r="H21" s="492">
        <v>800</v>
      </c>
      <c r="I21" s="492">
        <v>660</v>
      </c>
      <c r="J21" s="492">
        <v>536</v>
      </c>
      <c r="K21" s="492">
        <v>492</v>
      </c>
      <c r="L21" s="492">
        <v>385</v>
      </c>
      <c r="M21" s="492">
        <v>539</v>
      </c>
      <c r="N21" s="493">
        <f t="shared" si="169"/>
        <v>9587</v>
      </c>
      <c r="O21" s="492">
        <v>755</v>
      </c>
      <c r="P21" s="492">
        <v>1036</v>
      </c>
      <c r="Q21" s="492">
        <v>1087</v>
      </c>
      <c r="R21" s="492">
        <v>811</v>
      </c>
      <c r="S21" s="492">
        <v>948</v>
      </c>
      <c r="T21" s="492">
        <v>1022</v>
      </c>
      <c r="U21" s="492">
        <v>815</v>
      </c>
      <c r="V21" s="492">
        <v>525</v>
      </c>
      <c r="W21" s="492">
        <v>401</v>
      </c>
      <c r="X21" s="492">
        <v>455</v>
      </c>
      <c r="Y21" s="492">
        <v>467</v>
      </c>
      <c r="Z21" s="492">
        <v>627</v>
      </c>
      <c r="AA21" s="493">
        <f t="shared" si="170"/>
        <v>8949</v>
      </c>
      <c r="AB21" s="492">
        <v>806</v>
      </c>
      <c r="AC21" s="492">
        <v>976</v>
      </c>
      <c r="AD21" s="492">
        <v>1105</v>
      </c>
      <c r="AE21" s="492">
        <v>934</v>
      </c>
      <c r="AF21" s="492">
        <v>924</v>
      </c>
      <c r="AG21" s="492">
        <v>1017</v>
      </c>
      <c r="AH21" s="492">
        <v>864</v>
      </c>
      <c r="AI21" s="492">
        <v>573</v>
      </c>
      <c r="AJ21" s="492">
        <v>526</v>
      </c>
      <c r="AK21" s="492">
        <v>618</v>
      </c>
      <c r="AL21" s="492">
        <v>602</v>
      </c>
      <c r="AM21" s="492">
        <v>731</v>
      </c>
      <c r="AN21" s="493">
        <f t="shared" si="171"/>
        <v>9676</v>
      </c>
      <c r="AO21" s="492">
        <v>751</v>
      </c>
      <c r="AP21" s="492">
        <v>1177</v>
      </c>
      <c r="AQ21" s="492">
        <v>1298</v>
      </c>
      <c r="AR21" s="492">
        <v>941</v>
      </c>
      <c r="AS21" s="492">
        <v>928</v>
      </c>
      <c r="AT21" s="492">
        <v>970</v>
      </c>
      <c r="AU21" s="492">
        <v>927</v>
      </c>
      <c r="AV21" s="492">
        <v>706</v>
      </c>
      <c r="AW21" s="492">
        <v>536</v>
      </c>
      <c r="AX21" s="492">
        <v>760</v>
      </c>
      <c r="AY21" s="492">
        <v>665</v>
      </c>
      <c r="AZ21" s="492">
        <v>921</v>
      </c>
      <c r="BA21" s="493">
        <f t="shared" si="172"/>
        <v>10580</v>
      </c>
      <c r="BB21" s="492">
        <v>920</v>
      </c>
      <c r="BC21" s="492">
        <v>1227</v>
      </c>
      <c r="BD21" s="492">
        <v>1485</v>
      </c>
      <c r="BE21" s="492">
        <v>1045</v>
      </c>
      <c r="BF21" s="492">
        <v>1121</v>
      </c>
      <c r="BG21" s="492">
        <v>898</v>
      </c>
      <c r="BH21" s="492">
        <v>890</v>
      </c>
      <c r="BI21" s="492">
        <v>730</v>
      </c>
      <c r="BJ21" s="492">
        <v>490</v>
      </c>
      <c r="BK21" s="492">
        <v>876</v>
      </c>
      <c r="BL21" s="492">
        <v>770</v>
      </c>
      <c r="BM21" s="492">
        <v>866</v>
      </c>
      <c r="BN21" s="493">
        <f t="shared" si="173"/>
        <v>11318</v>
      </c>
      <c r="BO21" s="492">
        <v>1085.1469999999999</v>
      </c>
      <c r="BP21" s="492">
        <v>1467.1890000000003</v>
      </c>
      <c r="BQ21" s="492">
        <v>1727.7380000000001</v>
      </c>
      <c r="BR21" s="492">
        <v>1321.8700000000001</v>
      </c>
      <c r="BS21" s="492">
        <v>1349.8400000000001</v>
      </c>
      <c r="BT21" s="492">
        <v>1206.1800000000003</v>
      </c>
      <c r="BU21" s="492">
        <v>1213.95</v>
      </c>
      <c r="BV21" s="492">
        <v>963.38000000000011</v>
      </c>
      <c r="BW21" s="492">
        <v>843.33999999999992</v>
      </c>
      <c r="BX21" s="492">
        <v>932.21900000000005</v>
      </c>
      <c r="BY21" s="492">
        <v>1024.519</v>
      </c>
      <c r="BZ21" s="492">
        <v>1068.0300000000002</v>
      </c>
      <c r="CA21" s="493">
        <v>14203.402000000004</v>
      </c>
      <c r="CB21" s="492">
        <v>1077.2700000000002</v>
      </c>
      <c r="CC21" s="492">
        <v>1490.5000000000002</v>
      </c>
      <c r="CD21" s="492">
        <v>1757.789</v>
      </c>
      <c r="CE21" s="492">
        <v>1462.8589999999999</v>
      </c>
      <c r="CF21" s="492">
        <v>1752.86</v>
      </c>
      <c r="CG21" s="492">
        <v>1407.5790000000002</v>
      </c>
      <c r="CH21" s="492">
        <v>1275.26</v>
      </c>
      <c r="CI21" s="492">
        <v>1093.3800000000001</v>
      </c>
      <c r="CJ21" s="492">
        <v>1020.388</v>
      </c>
      <c r="CK21" s="492">
        <v>1076.23</v>
      </c>
      <c r="CL21" s="492">
        <v>1194.56</v>
      </c>
      <c r="CM21" s="492">
        <v>1319.309</v>
      </c>
      <c r="CN21" s="493">
        <v>15927.983999999999</v>
      </c>
      <c r="CO21" s="492">
        <v>1220.9559999999997</v>
      </c>
      <c r="CP21" s="492">
        <v>1550.4299999999998</v>
      </c>
      <c r="CQ21" s="492">
        <v>1684.2309999999995</v>
      </c>
      <c r="CR21" s="492">
        <v>1546.2770000000003</v>
      </c>
      <c r="CS21" s="492">
        <v>1710.7000000000003</v>
      </c>
      <c r="CT21" s="492">
        <v>1779.5989999999999</v>
      </c>
      <c r="CU21" s="492">
        <v>1506.61</v>
      </c>
      <c r="CV21" s="492">
        <v>1108.9879999999998</v>
      </c>
      <c r="CW21" s="492">
        <v>1040.31</v>
      </c>
      <c r="CX21" s="492">
        <v>809.35900000000004</v>
      </c>
      <c r="CY21" s="492">
        <v>579.32999999999993</v>
      </c>
      <c r="CZ21" s="492">
        <v>833.43000000000006</v>
      </c>
      <c r="DA21" s="493">
        <v>15370.22</v>
      </c>
      <c r="DB21" s="492">
        <v>1185.999</v>
      </c>
      <c r="DC21" s="492">
        <v>1421.41</v>
      </c>
      <c r="DD21" s="492">
        <v>1535.9599999999998</v>
      </c>
      <c r="DE21" s="492">
        <v>1381.999</v>
      </c>
      <c r="DF21" s="492">
        <v>1058.7080000000001</v>
      </c>
      <c r="DG21" s="492">
        <v>1140.68</v>
      </c>
      <c r="DH21" s="492">
        <v>1171.1790000000001</v>
      </c>
      <c r="DI21" s="492">
        <v>884.43799999999999</v>
      </c>
      <c r="DJ21" s="492">
        <v>817.99900000000014</v>
      </c>
      <c r="DK21" s="492">
        <v>767.95900000000006</v>
      </c>
      <c r="DL21" s="492">
        <v>654.39400000000001</v>
      </c>
      <c r="DM21" s="492">
        <v>716.08899999999994</v>
      </c>
      <c r="DN21" s="493">
        <v>12736.814</v>
      </c>
      <c r="DO21" s="492">
        <v>871.93800000000022</v>
      </c>
      <c r="DP21" s="492">
        <v>927.87900000000013</v>
      </c>
      <c r="DQ21" s="492">
        <v>998.94</v>
      </c>
      <c r="DR21" s="492">
        <v>1070.903</v>
      </c>
      <c r="DS21" s="492">
        <v>877.548</v>
      </c>
      <c r="DT21" s="492">
        <v>869.91599999999994</v>
      </c>
      <c r="DU21" s="492">
        <v>955.57</v>
      </c>
      <c r="DV21" s="492">
        <v>790.23800000000006</v>
      </c>
      <c r="DW21" s="492">
        <v>617.12</v>
      </c>
      <c r="DX21" s="492">
        <v>518.80400000000009</v>
      </c>
      <c r="DY21" s="492">
        <v>537.69899999999996</v>
      </c>
      <c r="DZ21" s="492">
        <v>593.27900000000011</v>
      </c>
      <c r="EA21" s="493">
        <v>9629.8340000000007</v>
      </c>
      <c r="EB21" s="492">
        <v>665.68899999999996</v>
      </c>
      <c r="EC21" s="492">
        <v>760.32600000000002</v>
      </c>
      <c r="ED21" s="492">
        <v>707.99599999999987</v>
      </c>
      <c r="EE21" s="492">
        <v>462.81099999999998</v>
      </c>
      <c r="EF21" s="492">
        <v>357.09</v>
      </c>
      <c r="EG21" s="492">
        <v>432.58899999999988</v>
      </c>
      <c r="EH21" s="492">
        <v>471.30700000000002</v>
      </c>
      <c r="EI21" s="492">
        <v>318.82799999999997</v>
      </c>
      <c r="EJ21" s="492">
        <v>249.39799999999991</v>
      </c>
      <c r="EK21" s="492">
        <v>276.51600000000002</v>
      </c>
      <c r="EL21" s="492">
        <v>339.59199999999998</v>
      </c>
      <c r="EM21" s="492">
        <v>389.04599999999999</v>
      </c>
      <c r="EN21" s="493">
        <v>5431.1880000000001</v>
      </c>
      <c r="EO21" s="492">
        <v>528.327</v>
      </c>
      <c r="EP21" s="492">
        <v>707.29000000000008</v>
      </c>
      <c r="EQ21" s="492"/>
      <c r="ER21" s="492"/>
      <c r="ES21" s="492"/>
      <c r="ET21" s="492"/>
      <c r="EU21" s="492"/>
      <c r="EV21" s="492"/>
      <c r="EW21" s="492"/>
      <c r="EX21" s="492"/>
      <c r="EY21" s="492"/>
      <c r="EZ21" s="492"/>
      <c r="FA21" s="493">
        <f t="shared" si="174"/>
        <v>1235.6170000000002</v>
      </c>
      <c r="FC21" s="534">
        <f t="shared" si="175"/>
        <v>-36.843475624838426</v>
      </c>
      <c r="FD21" s="535">
        <f t="shared" si="176"/>
        <v>-44.202829507483777</v>
      </c>
      <c r="FE21" s="536">
        <f t="shared" si="177"/>
        <v>9036.5550000000003</v>
      </c>
      <c r="FF21" s="537">
        <f t="shared" si="178"/>
        <v>5042.1419999999998</v>
      </c>
      <c r="FG21" s="470"/>
      <c r="FH21" s="498">
        <f t="shared" si="179"/>
        <v>249290.11800000005</v>
      </c>
      <c r="FI21" s="499" t="s">
        <v>626</v>
      </c>
      <c r="FJ21" s="500" t="str">
        <f t="shared" si="180"/>
        <v>OK</v>
      </c>
    </row>
    <row r="22" spans="1:166" s="447" customFormat="1" ht="15" customHeight="1" x14ac:dyDescent="0.25">
      <c r="A22" s="555" t="s">
        <v>181</v>
      </c>
      <c r="B22" s="492">
        <v>3537</v>
      </c>
      <c r="C22" s="492">
        <v>2596</v>
      </c>
      <c r="D22" s="492">
        <v>2248</v>
      </c>
      <c r="E22" s="492">
        <v>2239</v>
      </c>
      <c r="F22" s="492">
        <v>1317</v>
      </c>
      <c r="G22" s="492">
        <v>1036</v>
      </c>
      <c r="H22" s="492">
        <v>748</v>
      </c>
      <c r="I22" s="492">
        <v>1098</v>
      </c>
      <c r="J22" s="492">
        <v>2150</v>
      </c>
      <c r="K22" s="492">
        <v>3222</v>
      </c>
      <c r="L22" s="492">
        <v>4344</v>
      </c>
      <c r="M22" s="492">
        <v>3572</v>
      </c>
      <c r="N22" s="493">
        <f t="shared" si="169"/>
        <v>28107</v>
      </c>
      <c r="O22" s="492">
        <v>4278</v>
      </c>
      <c r="P22" s="492">
        <v>3047</v>
      </c>
      <c r="Q22" s="492">
        <v>2062</v>
      </c>
      <c r="R22" s="492">
        <v>1531</v>
      </c>
      <c r="S22" s="492">
        <v>1061</v>
      </c>
      <c r="T22" s="492">
        <v>837</v>
      </c>
      <c r="U22" s="492">
        <v>358</v>
      </c>
      <c r="V22" s="492">
        <v>1342</v>
      </c>
      <c r="W22" s="492">
        <v>1775</v>
      </c>
      <c r="X22" s="492">
        <v>4825</v>
      </c>
      <c r="Y22" s="492">
        <v>2146</v>
      </c>
      <c r="Z22" s="492">
        <v>2528</v>
      </c>
      <c r="AA22" s="493">
        <f t="shared" si="170"/>
        <v>25790</v>
      </c>
      <c r="AB22" s="492">
        <v>3967</v>
      </c>
      <c r="AC22" s="492">
        <v>3347</v>
      </c>
      <c r="AD22" s="492">
        <v>1591</v>
      </c>
      <c r="AE22" s="492">
        <v>787</v>
      </c>
      <c r="AF22" s="492">
        <v>656</v>
      </c>
      <c r="AG22" s="492">
        <v>778</v>
      </c>
      <c r="AH22" s="492">
        <v>507</v>
      </c>
      <c r="AI22" s="492">
        <v>1960</v>
      </c>
      <c r="AJ22" s="492">
        <v>4487</v>
      </c>
      <c r="AK22" s="492">
        <v>9479</v>
      </c>
      <c r="AL22" s="492">
        <v>2664</v>
      </c>
      <c r="AM22" s="492">
        <v>3007</v>
      </c>
      <c r="AN22" s="493">
        <f t="shared" si="171"/>
        <v>33230</v>
      </c>
      <c r="AO22" s="492">
        <v>3634</v>
      </c>
      <c r="AP22" s="492">
        <v>2763</v>
      </c>
      <c r="AQ22" s="492">
        <v>1696</v>
      </c>
      <c r="AR22" s="492">
        <v>1246</v>
      </c>
      <c r="AS22" s="492">
        <v>742</v>
      </c>
      <c r="AT22" s="492">
        <v>586</v>
      </c>
      <c r="AU22" s="492">
        <v>561</v>
      </c>
      <c r="AV22" s="492">
        <v>1624</v>
      </c>
      <c r="AW22" s="492">
        <v>2542</v>
      </c>
      <c r="AX22" s="492">
        <v>4824</v>
      </c>
      <c r="AY22" s="492">
        <v>3604</v>
      </c>
      <c r="AZ22" s="492">
        <v>2730</v>
      </c>
      <c r="BA22" s="493">
        <f t="shared" si="172"/>
        <v>26552</v>
      </c>
      <c r="BB22" s="492">
        <v>3848</v>
      </c>
      <c r="BC22" s="492">
        <v>2885</v>
      </c>
      <c r="BD22" s="492">
        <v>1974</v>
      </c>
      <c r="BE22" s="492">
        <v>1273</v>
      </c>
      <c r="BF22" s="492">
        <v>725</v>
      </c>
      <c r="BG22" s="492">
        <v>436</v>
      </c>
      <c r="BH22" s="492">
        <v>1116</v>
      </c>
      <c r="BI22" s="492">
        <v>1569</v>
      </c>
      <c r="BJ22" s="492">
        <v>2531</v>
      </c>
      <c r="BK22" s="492">
        <v>3000</v>
      </c>
      <c r="BL22" s="492">
        <v>2556</v>
      </c>
      <c r="BM22" s="492">
        <v>3599</v>
      </c>
      <c r="BN22" s="493">
        <f t="shared" si="173"/>
        <v>25512</v>
      </c>
      <c r="BO22" s="492">
        <v>3590.3800000000006</v>
      </c>
      <c r="BP22" s="492">
        <v>2227.4500000000003</v>
      </c>
      <c r="BQ22" s="492">
        <v>1527.0989999999999</v>
      </c>
      <c r="BR22" s="492">
        <v>1565.4090000000001</v>
      </c>
      <c r="BS22" s="492">
        <v>1495.4390000000001</v>
      </c>
      <c r="BT22" s="492">
        <v>905.24</v>
      </c>
      <c r="BU22" s="492">
        <v>501.76899999999995</v>
      </c>
      <c r="BV22" s="492">
        <v>2527.0679999999998</v>
      </c>
      <c r="BW22" s="492">
        <v>2072.0770000000002</v>
      </c>
      <c r="BX22" s="492">
        <v>2745.84</v>
      </c>
      <c r="BY22" s="492">
        <v>1741.9880000000001</v>
      </c>
      <c r="BZ22" s="492">
        <v>1936.23</v>
      </c>
      <c r="CA22" s="493">
        <v>22835.989000000001</v>
      </c>
      <c r="CB22" s="492">
        <v>3463.8580000000011</v>
      </c>
      <c r="CC22" s="492">
        <v>2939.46</v>
      </c>
      <c r="CD22" s="492">
        <v>1592.2</v>
      </c>
      <c r="CE22" s="492">
        <v>919.42000000000007</v>
      </c>
      <c r="CF22" s="492">
        <v>478.06799999999998</v>
      </c>
      <c r="CG22" s="492">
        <v>262.96000000000004</v>
      </c>
      <c r="CH22" s="492">
        <v>300.93900000000002</v>
      </c>
      <c r="CI22" s="492">
        <v>1091.1890000000001</v>
      </c>
      <c r="CJ22" s="492">
        <v>2223.0899999999997</v>
      </c>
      <c r="CK22" s="492">
        <v>2978.8299999999995</v>
      </c>
      <c r="CL22" s="492">
        <v>950.28899999999999</v>
      </c>
      <c r="CM22" s="492">
        <v>4701.2800000000007</v>
      </c>
      <c r="CN22" s="493">
        <v>21901.582999999999</v>
      </c>
      <c r="CO22" s="492">
        <v>5396.0990000000002</v>
      </c>
      <c r="CP22" s="492">
        <v>3255.06</v>
      </c>
      <c r="CQ22" s="492">
        <v>2828.5290000000009</v>
      </c>
      <c r="CR22" s="492">
        <v>522.35</v>
      </c>
      <c r="CS22" s="492">
        <v>475.01</v>
      </c>
      <c r="CT22" s="492">
        <v>295.11899999999997</v>
      </c>
      <c r="CU22" s="492">
        <v>313.66800000000001</v>
      </c>
      <c r="CV22" s="492">
        <v>1032.1100000000001</v>
      </c>
      <c r="CW22" s="492">
        <v>1900.3200000000002</v>
      </c>
      <c r="CX22" s="492">
        <v>3235.4490000000001</v>
      </c>
      <c r="CY22" s="492">
        <v>3218.4090000000001</v>
      </c>
      <c r="CZ22" s="492">
        <v>7827.15</v>
      </c>
      <c r="DA22" s="493">
        <v>30299.273000000001</v>
      </c>
      <c r="DB22" s="492">
        <v>9210.66</v>
      </c>
      <c r="DC22" s="492">
        <v>5126.8650000000007</v>
      </c>
      <c r="DD22" s="492">
        <v>1702.86</v>
      </c>
      <c r="DE22" s="492">
        <v>3052.7890000000002</v>
      </c>
      <c r="DF22" s="492">
        <v>1368.3789999999999</v>
      </c>
      <c r="DG22" s="492">
        <v>1322.944</v>
      </c>
      <c r="DH22" s="492">
        <v>834.65899999999999</v>
      </c>
      <c r="DI22" s="492">
        <v>1274.9490000000001</v>
      </c>
      <c r="DJ22" s="492">
        <v>6354.6560000000009</v>
      </c>
      <c r="DK22" s="492">
        <v>5390.4399999999987</v>
      </c>
      <c r="DL22" s="492">
        <v>3453.728000000001</v>
      </c>
      <c r="DM22" s="492">
        <v>1459.4</v>
      </c>
      <c r="DN22" s="493">
        <v>40552.329000000005</v>
      </c>
      <c r="DO22" s="492">
        <v>3017.139999999999</v>
      </c>
      <c r="DP22" s="492">
        <v>4346.6389999999992</v>
      </c>
      <c r="DQ22" s="492">
        <v>3519.2399999999989</v>
      </c>
      <c r="DR22" s="492">
        <v>1011.86</v>
      </c>
      <c r="DS22" s="492">
        <v>304</v>
      </c>
      <c r="DT22" s="492">
        <v>1051.6099999999999</v>
      </c>
      <c r="DU22" s="492">
        <v>853.77</v>
      </c>
      <c r="DV22" s="492">
        <v>1002.519</v>
      </c>
      <c r="DW22" s="492">
        <v>5705.9089999999987</v>
      </c>
      <c r="DX22" s="492">
        <v>9273.0899999999983</v>
      </c>
      <c r="DY22" s="492">
        <v>6577.9100000000008</v>
      </c>
      <c r="DZ22" s="492">
        <v>10705.808999999999</v>
      </c>
      <c r="EA22" s="493">
        <v>47369.495999999999</v>
      </c>
      <c r="EB22" s="492">
        <v>11962.28</v>
      </c>
      <c r="EC22" s="492">
        <v>6463.9000000000005</v>
      </c>
      <c r="ED22" s="492">
        <v>3541.45</v>
      </c>
      <c r="EE22" s="492">
        <v>649.54499999999985</v>
      </c>
      <c r="EF22" s="492">
        <v>320.51799999999997</v>
      </c>
      <c r="EG22" s="492">
        <v>548.35</v>
      </c>
      <c r="EH22" s="492">
        <v>506.04</v>
      </c>
      <c r="EI22" s="492">
        <v>1056.72</v>
      </c>
      <c r="EJ22" s="492">
        <v>6359.8490000000002</v>
      </c>
      <c r="EK22" s="492">
        <v>4741.4880000000012</v>
      </c>
      <c r="EL22" s="492">
        <v>3679.37</v>
      </c>
      <c r="EM22" s="492">
        <v>2359.0990000000011</v>
      </c>
      <c r="EN22" s="493">
        <v>42188.609000000004</v>
      </c>
      <c r="EO22" s="492">
        <v>13762.456</v>
      </c>
      <c r="EP22" s="492">
        <v>9917.7880000000005</v>
      </c>
      <c r="EQ22" s="492"/>
      <c r="ER22" s="492"/>
      <c r="ES22" s="492"/>
      <c r="ET22" s="492"/>
      <c r="EU22" s="492"/>
      <c r="EV22" s="492"/>
      <c r="EW22" s="492"/>
      <c r="EX22" s="492"/>
      <c r="EY22" s="492"/>
      <c r="EZ22" s="492"/>
      <c r="FA22" s="493">
        <f t="shared" si="174"/>
        <v>23680.243999999999</v>
      </c>
      <c r="FC22" s="534">
        <f t="shared" si="175"/>
        <v>-44.064756130746709</v>
      </c>
      <c r="FD22" s="535">
        <f t="shared" si="176"/>
        <v>8.6347644196286275</v>
      </c>
      <c r="FE22" s="536">
        <f t="shared" si="177"/>
        <v>36663.686999999998</v>
      </c>
      <c r="FF22" s="537">
        <f t="shared" si="178"/>
        <v>39829.51</v>
      </c>
      <c r="FG22" s="470"/>
      <c r="FH22" s="498">
        <f t="shared" si="179"/>
        <v>736037.04600000032</v>
      </c>
      <c r="FI22" s="499" t="s">
        <v>181</v>
      </c>
      <c r="FJ22" s="500" t="str">
        <f t="shared" si="180"/>
        <v>OK</v>
      </c>
    </row>
    <row r="23" spans="1:166" s="447" customFormat="1" ht="15" customHeight="1" x14ac:dyDescent="0.25">
      <c r="A23" s="555" t="s">
        <v>174</v>
      </c>
      <c r="B23" s="492">
        <v>438</v>
      </c>
      <c r="C23" s="492">
        <v>548</v>
      </c>
      <c r="D23" s="492">
        <v>652</v>
      </c>
      <c r="E23" s="492">
        <v>462</v>
      </c>
      <c r="F23" s="492">
        <v>662</v>
      </c>
      <c r="G23" s="492">
        <v>813</v>
      </c>
      <c r="H23" s="492">
        <v>352</v>
      </c>
      <c r="I23" s="492">
        <v>164</v>
      </c>
      <c r="J23" s="492">
        <v>88</v>
      </c>
      <c r="K23" s="492">
        <v>99</v>
      </c>
      <c r="L23" s="492">
        <v>158</v>
      </c>
      <c r="M23" s="492">
        <v>265</v>
      </c>
      <c r="N23" s="493">
        <f t="shared" si="169"/>
        <v>4701</v>
      </c>
      <c r="O23" s="492">
        <v>357</v>
      </c>
      <c r="P23" s="492">
        <v>481</v>
      </c>
      <c r="Q23" s="492">
        <v>647</v>
      </c>
      <c r="R23" s="492">
        <v>487</v>
      </c>
      <c r="S23" s="492">
        <v>635</v>
      </c>
      <c r="T23" s="492">
        <v>710</v>
      </c>
      <c r="U23" s="492">
        <v>380</v>
      </c>
      <c r="V23" s="492">
        <v>174</v>
      </c>
      <c r="W23" s="492">
        <v>87</v>
      </c>
      <c r="X23" s="492">
        <v>99</v>
      </c>
      <c r="Y23" s="492">
        <v>179</v>
      </c>
      <c r="Z23" s="492">
        <v>326</v>
      </c>
      <c r="AA23" s="493">
        <f t="shared" si="170"/>
        <v>4562</v>
      </c>
      <c r="AB23" s="492">
        <v>432</v>
      </c>
      <c r="AC23" s="492">
        <v>537</v>
      </c>
      <c r="AD23" s="492">
        <v>692</v>
      </c>
      <c r="AE23" s="492">
        <v>627</v>
      </c>
      <c r="AF23" s="492">
        <v>683</v>
      </c>
      <c r="AG23" s="492">
        <v>718</v>
      </c>
      <c r="AH23" s="492">
        <v>415</v>
      </c>
      <c r="AI23" s="492">
        <v>204</v>
      </c>
      <c r="AJ23" s="492">
        <v>103</v>
      </c>
      <c r="AK23" s="492">
        <v>100</v>
      </c>
      <c r="AL23" s="492">
        <v>216</v>
      </c>
      <c r="AM23" s="492">
        <v>443</v>
      </c>
      <c r="AN23" s="493">
        <f t="shared" si="171"/>
        <v>5170</v>
      </c>
      <c r="AO23" s="492">
        <v>416</v>
      </c>
      <c r="AP23" s="492">
        <v>622</v>
      </c>
      <c r="AQ23" s="492">
        <v>888</v>
      </c>
      <c r="AR23" s="492">
        <v>685</v>
      </c>
      <c r="AS23" s="492">
        <v>656</v>
      </c>
      <c r="AT23" s="492">
        <v>558</v>
      </c>
      <c r="AU23" s="492">
        <v>360</v>
      </c>
      <c r="AV23" s="492">
        <v>178</v>
      </c>
      <c r="AW23" s="492">
        <v>72</v>
      </c>
      <c r="AX23" s="492">
        <v>76</v>
      </c>
      <c r="AY23" s="492">
        <v>168</v>
      </c>
      <c r="AZ23" s="492">
        <v>259</v>
      </c>
      <c r="BA23" s="493">
        <f t="shared" si="172"/>
        <v>4938</v>
      </c>
      <c r="BB23" s="492">
        <v>265</v>
      </c>
      <c r="BC23" s="492">
        <v>310</v>
      </c>
      <c r="BD23" s="492">
        <v>839</v>
      </c>
      <c r="BE23" s="492">
        <v>744</v>
      </c>
      <c r="BF23" s="492">
        <v>977</v>
      </c>
      <c r="BG23" s="492">
        <v>646</v>
      </c>
      <c r="BH23" s="492">
        <v>486</v>
      </c>
      <c r="BI23" s="492">
        <v>395</v>
      </c>
      <c r="BJ23" s="492">
        <v>16</v>
      </c>
      <c r="BK23" s="492"/>
      <c r="BL23" s="492"/>
      <c r="BM23" s="492">
        <v>155</v>
      </c>
      <c r="BN23" s="493">
        <f t="shared" si="173"/>
        <v>4833</v>
      </c>
      <c r="BO23" s="492">
        <v>407.03900000000004</v>
      </c>
      <c r="BP23" s="492">
        <v>563.46900000000005</v>
      </c>
      <c r="BQ23" s="492">
        <v>948.35899999999981</v>
      </c>
      <c r="BR23" s="492">
        <v>919.00800000000015</v>
      </c>
      <c r="BS23" s="492">
        <v>1071.1879999999999</v>
      </c>
      <c r="BT23" s="492">
        <v>671.94900000000007</v>
      </c>
      <c r="BU23" s="492">
        <v>599.423</v>
      </c>
      <c r="BV23" s="492">
        <v>291.5</v>
      </c>
      <c r="BW23" s="492"/>
      <c r="BX23" s="492"/>
      <c r="BY23" s="492"/>
      <c r="BZ23" s="492">
        <v>279.72899999999998</v>
      </c>
      <c r="CA23" s="493">
        <v>5751.6640000000007</v>
      </c>
      <c r="CB23" s="492">
        <v>486.50000000000006</v>
      </c>
      <c r="CC23" s="492">
        <v>577.89</v>
      </c>
      <c r="CD23" s="492">
        <v>893.07999999999993</v>
      </c>
      <c r="CE23" s="492">
        <v>1261.309</v>
      </c>
      <c r="CF23" s="492">
        <v>1259.1999999999998</v>
      </c>
      <c r="CG23" s="492">
        <v>927.62899999999991</v>
      </c>
      <c r="CH23" s="492">
        <v>700.61800000000005</v>
      </c>
      <c r="CI23" s="492">
        <v>377.88</v>
      </c>
      <c r="CJ23" s="492"/>
      <c r="CK23" s="492"/>
      <c r="CL23" s="492"/>
      <c r="CM23" s="492">
        <v>342.69900000000001</v>
      </c>
      <c r="CN23" s="493">
        <v>6826.8049999999994</v>
      </c>
      <c r="CO23" s="492">
        <v>530.56000000000006</v>
      </c>
      <c r="CP23" s="492">
        <v>700.43799999999987</v>
      </c>
      <c r="CQ23" s="492">
        <v>975.19999999999993</v>
      </c>
      <c r="CR23" s="492">
        <v>1089.739</v>
      </c>
      <c r="CS23" s="492">
        <v>1239.2100000000003</v>
      </c>
      <c r="CT23" s="492">
        <v>1195.2370000000001</v>
      </c>
      <c r="CU23" s="492">
        <v>745.33999999999992</v>
      </c>
      <c r="CV23" s="492">
        <v>444.03899999999999</v>
      </c>
      <c r="CW23" s="492">
        <v>45.82</v>
      </c>
      <c r="CX23" s="492"/>
      <c r="CY23" s="492"/>
      <c r="CZ23" s="492">
        <v>419.49900000000002</v>
      </c>
      <c r="DA23" s="493">
        <v>7385.0819999999994</v>
      </c>
      <c r="DB23" s="492">
        <v>548.79300000000001</v>
      </c>
      <c r="DC23" s="492">
        <v>572.81900000000007</v>
      </c>
      <c r="DD23" s="492">
        <v>789.25800000000015</v>
      </c>
      <c r="DE23" s="492">
        <v>824.74999999999989</v>
      </c>
      <c r="DF23" s="492">
        <v>1153.259</v>
      </c>
      <c r="DG23" s="492">
        <v>1163.8240000000001</v>
      </c>
      <c r="DH23" s="492">
        <v>800.70900000000006</v>
      </c>
      <c r="DI23" s="492">
        <v>327.43900000000002</v>
      </c>
      <c r="DJ23" s="492"/>
      <c r="DK23" s="492"/>
      <c r="DL23" s="492"/>
      <c r="DM23" s="492">
        <v>267.50799999999998</v>
      </c>
      <c r="DN23" s="493">
        <v>6448.3590000000004</v>
      </c>
      <c r="DO23" s="492">
        <v>353.67899999999997</v>
      </c>
      <c r="DP23" s="492">
        <v>358.81900000000007</v>
      </c>
      <c r="DQ23" s="492">
        <v>415.90899999999999</v>
      </c>
      <c r="DR23" s="492">
        <v>542.84699999999998</v>
      </c>
      <c r="DS23" s="492">
        <v>1059.1690000000001</v>
      </c>
      <c r="DT23" s="492">
        <v>1129.4480000000001</v>
      </c>
      <c r="DU23" s="492">
        <v>870.54700000000014</v>
      </c>
      <c r="DV23" s="492">
        <v>457.55</v>
      </c>
      <c r="DW23" s="492">
        <v>0</v>
      </c>
      <c r="DX23" s="492">
        <v>0</v>
      </c>
      <c r="DY23" s="492">
        <v>0</v>
      </c>
      <c r="DZ23" s="492">
        <v>238.268</v>
      </c>
      <c r="EA23" s="493">
        <v>5426.2360000000008</v>
      </c>
      <c r="EB23" s="492">
        <v>334.17</v>
      </c>
      <c r="EC23" s="492">
        <v>329.47800000000001</v>
      </c>
      <c r="ED23" s="492">
        <v>378.89899999999989</v>
      </c>
      <c r="EE23" s="492">
        <v>451.44900000000001</v>
      </c>
      <c r="EF23" s="492">
        <v>573.36799999999982</v>
      </c>
      <c r="EG23" s="492">
        <v>719.76800000000003</v>
      </c>
      <c r="EH23" s="492">
        <v>628.15000000000009</v>
      </c>
      <c r="EI23" s="492">
        <v>377.17899999999997</v>
      </c>
      <c r="EJ23" s="492">
        <v>0</v>
      </c>
      <c r="EK23" s="492">
        <v>0</v>
      </c>
      <c r="EL23" s="492">
        <v>0</v>
      </c>
      <c r="EM23" s="492">
        <v>199.66</v>
      </c>
      <c r="EN23" s="493">
        <v>3992.1210000000001</v>
      </c>
      <c r="EO23" s="492">
        <v>234.339</v>
      </c>
      <c r="EP23" s="492">
        <v>271.96800000000002</v>
      </c>
      <c r="EQ23" s="492"/>
      <c r="ER23" s="492"/>
      <c r="ES23" s="492"/>
      <c r="ET23" s="492"/>
      <c r="EU23" s="492"/>
      <c r="EV23" s="492"/>
      <c r="EW23" s="492"/>
      <c r="EX23" s="492"/>
      <c r="EY23" s="492"/>
      <c r="EZ23" s="492"/>
      <c r="FA23" s="493">
        <f t="shared" si="174"/>
        <v>506.30700000000002</v>
      </c>
      <c r="FC23" s="534" t="str">
        <f t="shared" si="175"/>
        <v/>
      </c>
      <c r="FD23" s="535">
        <f t="shared" si="176"/>
        <v>-26.898913023364834</v>
      </c>
      <c r="FE23" s="536">
        <f t="shared" si="177"/>
        <v>5187.9680000000008</v>
      </c>
      <c r="FF23" s="537">
        <f t="shared" si="178"/>
        <v>3792.4610000000002</v>
      </c>
      <c r="FG23" s="470"/>
      <c r="FH23" s="498">
        <f t="shared" si="179"/>
        <v>121081.14799999999</v>
      </c>
      <c r="FI23" s="499" t="s">
        <v>174</v>
      </c>
      <c r="FJ23" s="500" t="str">
        <f t="shared" si="180"/>
        <v>OK</v>
      </c>
    </row>
    <row r="24" spans="1:166" s="447" customFormat="1" ht="15" customHeight="1" x14ac:dyDescent="0.25">
      <c r="A24" s="555" t="s">
        <v>176</v>
      </c>
      <c r="B24" s="492">
        <v>972</v>
      </c>
      <c r="C24" s="492"/>
      <c r="D24" s="492"/>
      <c r="E24" s="492"/>
      <c r="F24" s="492"/>
      <c r="G24" s="492"/>
      <c r="H24" s="492"/>
      <c r="I24" s="492"/>
      <c r="J24" s="492">
        <v>987</v>
      </c>
      <c r="K24" s="492">
        <v>1371</v>
      </c>
      <c r="L24" s="492">
        <v>1537</v>
      </c>
      <c r="M24" s="492">
        <v>1453</v>
      </c>
      <c r="N24" s="493">
        <f t="shared" si="169"/>
        <v>6320</v>
      </c>
      <c r="O24" s="492">
        <v>798</v>
      </c>
      <c r="P24" s="492"/>
      <c r="Q24" s="492"/>
      <c r="R24" s="492"/>
      <c r="S24" s="492"/>
      <c r="T24" s="492"/>
      <c r="U24" s="492"/>
      <c r="V24" s="492">
        <v>10</v>
      </c>
      <c r="W24" s="492">
        <v>1156</v>
      </c>
      <c r="X24" s="492">
        <v>1454</v>
      </c>
      <c r="Y24" s="492">
        <v>1510</v>
      </c>
      <c r="Z24" s="492">
        <v>1482</v>
      </c>
      <c r="AA24" s="493">
        <f t="shared" si="170"/>
        <v>6410</v>
      </c>
      <c r="AB24" s="492">
        <v>813</v>
      </c>
      <c r="AC24" s="492"/>
      <c r="AD24" s="492"/>
      <c r="AE24" s="492"/>
      <c r="AF24" s="492"/>
      <c r="AG24" s="492"/>
      <c r="AH24" s="492"/>
      <c r="AI24" s="492">
        <v>15</v>
      </c>
      <c r="AJ24" s="492">
        <v>934</v>
      </c>
      <c r="AK24" s="492">
        <v>1476</v>
      </c>
      <c r="AL24" s="492">
        <v>1753</v>
      </c>
      <c r="AM24" s="492">
        <v>1663</v>
      </c>
      <c r="AN24" s="493">
        <f t="shared" si="171"/>
        <v>6654</v>
      </c>
      <c r="AO24" s="492">
        <v>733</v>
      </c>
      <c r="AP24" s="492"/>
      <c r="AQ24" s="492"/>
      <c r="AR24" s="492"/>
      <c r="AS24" s="492"/>
      <c r="AT24" s="492"/>
      <c r="AU24" s="492">
        <v>11</v>
      </c>
      <c r="AV24" s="492">
        <v>32</v>
      </c>
      <c r="AW24" s="492">
        <v>678</v>
      </c>
      <c r="AX24" s="492">
        <v>1177</v>
      </c>
      <c r="AY24" s="492">
        <v>1416</v>
      </c>
      <c r="AZ24" s="492">
        <v>440</v>
      </c>
      <c r="BA24" s="493">
        <f t="shared" si="172"/>
        <v>4487</v>
      </c>
      <c r="BB24" s="492">
        <v>151</v>
      </c>
      <c r="BC24" s="492"/>
      <c r="BD24" s="492"/>
      <c r="BE24" s="492"/>
      <c r="BF24" s="492"/>
      <c r="BG24" s="492"/>
      <c r="BH24" s="492"/>
      <c r="BI24" s="492"/>
      <c r="BJ24" s="492">
        <v>168</v>
      </c>
      <c r="BK24" s="492">
        <v>1014</v>
      </c>
      <c r="BL24" s="492">
        <v>1364</v>
      </c>
      <c r="BM24" s="492">
        <v>970</v>
      </c>
      <c r="BN24" s="493">
        <f t="shared" si="173"/>
        <v>3667</v>
      </c>
      <c r="BO24" s="492">
        <v>403.67999999999995</v>
      </c>
      <c r="BP24" s="492"/>
      <c r="BQ24" s="492"/>
      <c r="BR24" s="492"/>
      <c r="BS24" s="492"/>
      <c r="BT24" s="492"/>
      <c r="BU24" s="492"/>
      <c r="BV24" s="492"/>
      <c r="BW24" s="492">
        <v>709.59899999999993</v>
      </c>
      <c r="BX24" s="492">
        <v>1821.6179999999999</v>
      </c>
      <c r="BY24" s="492">
        <v>1932.22</v>
      </c>
      <c r="BZ24" s="492">
        <v>1257.27</v>
      </c>
      <c r="CA24" s="493">
        <v>6124.3870000000006</v>
      </c>
      <c r="CB24" s="492">
        <v>580.54</v>
      </c>
      <c r="CC24" s="492"/>
      <c r="CD24" s="492"/>
      <c r="CE24" s="492"/>
      <c r="CF24" s="492"/>
      <c r="CG24" s="492"/>
      <c r="CH24" s="492"/>
      <c r="CI24" s="492"/>
      <c r="CJ24" s="492">
        <v>720.66599999999994</v>
      </c>
      <c r="CK24" s="492">
        <v>1978.42</v>
      </c>
      <c r="CL24" s="492">
        <v>1952.4980000000003</v>
      </c>
      <c r="CM24" s="492">
        <v>1256.72</v>
      </c>
      <c r="CN24" s="493">
        <v>6488.844000000001</v>
      </c>
      <c r="CO24" s="492">
        <v>560.34999999999991</v>
      </c>
      <c r="CP24" s="492"/>
      <c r="CQ24" s="492"/>
      <c r="CR24" s="492"/>
      <c r="CS24" s="492"/>
      <c r="CT24" s="492"/>
      <c r="CU24" s="492"/>
      <c r="CV24" s="492">
        <v>39.85</v>
      </c>
      <c r="CW24" s="492">
        <v>550.96999999999991</v>
      </c>
      <c r="CX24" s="492">
        <v>2181.71</v>
      </c>
      <c r="CY24" s="492">
        <v>1571.34</v>
      </c>
      <c r="CZ24" s="492">
        <v>1181.0890000000004</v>
      </c>
      <c r="DA24" s="493">
        <v>6085.3090000000011</v>
      </c>
      <c r="DB24" s="492">
        <v>633.92000000000007</v>
      </c>
      <c r="DC24" s="492"/>
      <c r="DD24" s="492"/>
      <c r="DE24" s="492"/>
      <c r="DF24" s="492"/>
      <c r="DG24" s="492"/>
      <c r="DH24" s="492"/>
      <c r="DI24" s="492"/>
      <c r="DJ24" s="492">
        <v>490.58699999999999</v>
      </c>
      <c r="DK24" s="492">
        <v>1763.3589999999999</v>
      </c>
      <c r="DL24" s="492">
        <v>1116.579</v>
      </c>
      <c r="DM24" s="492">
        <v>447.09899999999988</v>
      </c>
      <c r="DN24" s="493">
        <v>4451.5439999999999</v>
      </c>
      <c r="DO24" s="492">
        <v>230.84899999999999</v>
      </c>
      <c r="DP24" s="492">
        <v>0</v>
      </c>
      <c r="DQ24" s="492">
        <v>0</v>
      </c>
      <c r="DR24" s="492">
        <v>0</v>
      </c>
      <c r="DS24" s="492">
        <v>0</v>
      </c>
      <c r="DT24" s="492">
        <v>0</v>
      </c>
      <c r="DU24" s="492">
        <v>0</v>
      </c>
      <c r="DV24" s="492">
        <v>0</v>
      </c>
      <c r="DW24" s="492">
        <v>641.90800000000013</v>
      </c>
      <c r="DX24" s="492">
        <v>1445.355</v>
      </c>
      <c r="DY24" s="492">
        <v>998.19800000000021</v>
      </c>
      <c r="DZ24" s="492">
        <v>426.63</v>
      </c>
      <c r="EA24" s="493">
        <v>3742.9400000000005</v>
      </c>
      <c r="EB24" s="492">
        <v>233.25399999999999</v>
      </c>
      <c r="EC24" s="492">
        <v>0</v>
      </c>
      <c r="ED24" s="492">
        <v>0</v>
      </c>
      <c r="EE24" s="492">
        <v>0</v>
      </c>
      <c r="EF24" s="492">
        <v>0</v>
      </c>
      <c r="EG24" s="492">
        <v>0</v>
      </c>
      <c r="EH24" s="492">
        <v>0</v>
      </c>
      <c r="EI24" s="492">
        <v>0</v>
      </c>
      <c r="EJ24" s="492">
        <v>329.37900000000002</v>
      </c>
      <c r="EK24" s="492">
        <v>1395.105</v>
      </c>
      <c r="EL24" s="492">
        <v>1085.6690000000001</v>
      </c>
      <c r="EM24" s="492">
        <v>677.51599999999996</v>
      </c>
      <c r="EN24" s="493">
        <v>3720.9230000000002</v>
      </c>
      <c r="EO24" s="492">
        <v>315.79500000000007</v>
      </c>
      <c r="EP24" s="492">
        <v>0</v>
      </c>
      <c r="EQ24" s="492"/>
      <c r="ER24" s="492"/>
      <c r="ES24" s="492"/>
      <c r="ET24" s="492"/>
      <c r="EU24" s="492"/>
      <c r="EV24" s="492"/>
      <c r="EW24" s="492"/>
      <c r="EX24" s="492"/>
      <c r="EY24" s="492"/>
      <c r="EZ24" s="492"/>
      <c r="FA24" s="493">
        <f t="shared" si="174"/>
        <v>315.79500000000007</v>
      </c>
      <c r="FC24" s="534">
        <f t="shared" si="175"/>
        <v>8.7628907290938187</v>
      </c>
      <c r="FD24" s="535">
        <f t="shared" si="176"/>
        <v>-8.2291160959017784</v>
      </c>
      <c r="FE24" s="536">
        <f t="shared" si="177"/>
        <v>3316.3100000000004</v>
      </c>
      <c r="FF24" s="537">
        <f t="shared" si="178"/>
        <v>3043.4070000000002</v>
      </c>
      <c r="FG24" s="470"/>
      <c r="FH24" s="498">
        <f t="shared" si="179"/>
        <v>116935.484</v>
      </c>
      <c r="FI24" s="499" t="s">
        <v>176</v>
      </c>
      <c r="FJ24" s="500" t="str">
        <f t="shared" si="180"/>
        <v>OK</v>
      </c>
    </row>
    <row r="25" spans="1:166" s="447" customFormat="1" ht="15" customHeight="1" x14ac:dyDescent="0.25">
      <c r="A25" s="555" t="s">
        <v>180</v>
      </c>
      <c r="B25" s="492">
        <v>34</v>
      </c>
      <c r="C25" s="492"/>
      <c r="D25" s="492"/>
      <c r="E25" s="492"/>
      <c r="F25" s="492"/>
      <c r="G25" s="492"/>
      <c r="H25" s="492"/>
      <c r="I25" s="492">
        <v>8</v>
      </c>
      <c r="J25" s="492">
        <v>61</v>
      </c>
      <c r="K25" s="492">
        <v>95</v>
      </c>
      <c r="L25" s="492">
        <v>93</v>
      </c>
      <c r="M25" s="492">
        <v>13</v>
      </c>
      <c r="N25" s="493">
        <f t="shared" si="169"/>
        <v>304</v>
      </c>
      <c r="O25" s="492">
        <v>29</v>
      </c>
      <c r="P25" s="492">
        <v>15</v>
      </c>
      <c r="Q25" s="492"/>
      <c r="R25" s="492"/>
      <c r="S25" s="492"/>
      <c r="T25" s="492"/>
      <c r="U25" s="492"/>
      <c r="V25" s="492"/>
      <c r="W25" s="492">
        <v>67</v>
      </c>
      <c r="X25" s="492">
        <v>124</v>
      </c>
      <c r="Y25" s="492">
        <v>100</v>
      </c>
      <c r="Z25" s="492">
        <v>127</v>
      </c>
      <c r="AA25" s="493">
        <f t="shared" si="170"/>
        <v>462</v>
      </c>
      <c r="AB25" s="492"/>
      <c r="AC25" s="492"/>
      <c r="AD25" s="492"/>
      <c r="AE25" s="492"/>
      <c r="AF25" s="492"/>
      <c r="AG25" s="492"/>
      <c r="AH25" s="492"/>
      <c r="AI25" s="492">
        <v>41</v>
      </c>
      <c r="AJ25" s="492">
        <v>110</v>
      </c>
      <c r="AK25" s="492">
        <v>152</v>
      </c>
      <c r="AL25" s="492">
        <v>28</v>
      </c>
      <c r="AM25" s="492">
        <v>69</v>
      </c>
      <c r="AN25" s="493">
        <f t="shared" si="171"/>
        <v>400</v>
      </c>
      <c r="AO25" s="492"/>
      <c r="AP25" s="492"/>
      <c r="AQ25" s="492"/>
      <c r="AR25" s="492"/>
      <c r="AS25" s="492"/>
      <c r="AT25" s="492"/>
      <c r="AU25" s="492">
        <v>24</v>
      </c>
      <c r="AV25" s="492">
        <v>55</v>
      </c>
      <c r="AW25" s="492">
        <v>57</v>
      </c>
      <c r="AX25" s="492">
        <v>129</v>
      </c>
      <c r="AY25" s="492">
        <v>99</v>
      </c>
      <c r="AZ25" s="492">
        <v>20</v>
      </c>
      <c r="BA25" s="493">
        <f t="shared" si="172"/>
        <v>384</v>
      </c>
      <c r="BB25" s="492">
        <v>18</v>
      </c>
      <c r="BC25" s="492">
        <v>18</v>
      </c>
      <c r="BD25" s="492">
        <v>3</v>
      </c>
      <c r="BE25" s="492"/>
      <c r="BF25" s="492"/>
      <c r="BG25" s="492"/>
      <c r="BH25" s="492"/>
      <c r="BI25" s="492">
        <v>3</v>
      </c>
      <c r="BJ25" s="492">
        <v>22</v>
      </c>
      <c r="BK25" s="492">
        <v>80</v>
      </c>
      <c r="BL25" s="492">
        <v>105</v>
      </c>
      <c r="BM25" s="492">
        <v>38</v>
      </c>
      <c r="BN25" s="493">
        <f t="shared" si="173"/>
        <v>287</v>
      </c>
      <c r="BO25" s="492">
        <v>38</v>
      </c>
      <c r="BP25" s="492">
        <v>29</v>
      </c>
      <c r="BQ25" s="492">
        <v>25</v>
      </c>
      <c r="BR25" s="492"/>
      <c r="BS25" s="492"/>
      <c r="BT25" s="492"/>
      <c r="BU25" s="492"/>
      <c r="BV25" s="492">
        <v>24</v>
      </c>
      <c r="BW25" s="492">
        <v>75</v>
      </c>
      <c r="BX25" s="492">
        <v>81</v>
      </c>
      <c r="BY25" s="492">
        <v>32</v>
      </c>
      <c r="BZ25" s="492"/>
      <c r="CA25" s="493">
        <v>304</v>
      </c>
      <c r="CB25" s="492">
        <v>32.639000000000003</v>
      </c>
      <c r="CC25" s="492">
        <v>16.518999999999998</v>
      </c>
      <c r="CD25" s="492">
        <v>35.21</v>
      </c>
      <c r="CE25" s="492">
        <v>1.48</v>
      </c>
      <c r="CF25" s="492"/>
      <c r="CG25" s="492"/>
      <c r="CH25" s="492">
        <v>16.169</v>
      </c>
      <c r="CI25" s="492">
        <v>61.28</v>
      </c>
      <c r="CJ25" s="492">
        <v>143.18</v>
      </c>
      <c r="CK25" s="492">
        <v>38.908999999999999</v>
      </c>
      <c r="CL25" s="492">
        <v>12.96</v>
      </c>
      <c r="CM25" s="492">
        <v>37.930000000000007</v>
      </c>
      <c r="CN25" s="493">
        <v>396.27599999999995</v>
      </c>
      <c r="CO25" s="492">
        <v>35.9</v>
      </c>
      <c r="CP25" s="492">
        <v>14.67</v>
      </c>
      <c r="CQ25" s="492">
        <v>25.308</v>
      </c>
      <c r="CR25" s="492"/>
      <c r="CS25" s="492"/>
      <c r="CT25" s="492"/>
      <c r="CU25" s="492"/>
      <c r="CV25" s="492">
        <v>40.32</v>
      </c>
      <c r="CW25" s="492">
        <v>136.82</v>
      </c>
      <c r="CX25" s="492">
        <v>159.559</v>
      </c>
      <c r="CY25" s="492">
        <v>93.997999999999976</v>
      </c>
      <c r="CZ25" s="492">
        <v>5.04</v>
      </c>
      <c r="DA25" s="493">
        <v>511.61500000000001</v>
      </c>
      <c r="DB25" s="492">
        <v>50.33</v>
      </c>
      <c r="DC25" s="492">
        <v>32.76</v>
      </c>
      <c r="DD25" s="492">
        <v>37.96</v>
      </c>
      <c r="DE25" s="492">
        <v>12.936999999999999</v>
      </c>
      <c r="DF25" s="492">
        <v>39.31</v>
      </c>
      <c r="DG25" s="492">
        <v>3.2589999999999999</v>
      </c>
      <c r="DH25" s="492"/>
      <c r="DI25" s="492">
        <v>41.673999999999999</v>
      </c>
      <c r="DJ25" s="492">
        <v>127.499</v>
      </c>
      <c r="DK25" s="492">
        <v>203.84899999999999</v>
      </c>
      <c r="DL25" s="492">
        <v>134.429</v>
      </c>
      <c r="DM25" s="492">
        <v>14.9</v>
      </c>
      <c r="DN25" s="493">
        <v>698.90699999999993</v>
      </c>
      <c r="DO25" s="492">
        <v>27.22</v>
      </c>
      <c r="DP25" s="492">
        <v>89.56</v>
      </c>
      <c r="DQ25" s="492">
        <v>0</v>
      </c>
      <c r="DR25" s="492">
        <v>0</v>
      </c>
      <c r="DS25" s="492">
        <v>15.3</v>
      </c>
      <c r="DT25" s="492">
        <v>0</v>
      </c>
      <c r="DU25" s="492">
        <v>0</v>
      </c>
      <c r="DV25" s="492">
        <v>0</v>
      </c>
      <c r="DW25" s="492">
        <v>72.245999999999995</v>
      </c>
      <c r="DX25" s="492">
        <v>107.90600000000001</v>
      </c>
      <c r="DY25" s="492">
        <v>72.878000000000014</v>
      </c>
      <c r="DZ25" s="492">
        <v>4.7690000000000001</v>
      </c>
      <c r="EA25" s="493">
        <v>389.87900000000002</v>
      </c>
      <c r="EB25" s="492">
        <v>0</v>
      </c>
      <c r="EC25" s="492">
        <v>6.3789999999999996</v>
      </c>
      <c r="ED25" s="492">
        <v>21.56</v>
      </c>
      <c r="EE25" s="492">
        <v>0</v>
      </c>
      <c r="EF25" s="492">
        <v>0</v>
      </c>
      <c r="EG25" s="492">
        <v>0</v>
      </c>
      <c r="EH25" s="492">
        <v>0</v>
      </c>
      <c r="EI25" s="492">
        <v>15.9</v>
      </c>
      <c r="EJ25" s="492">
        <v>58.18</v>
      </c>
      <c r="EK25" s="492">
        <v>144.88800000000001</v>
      </c>
      <c r="EL25" s="492">
        <v>101.13</v>
      </c>
      <c r="EM25" s="492">
        <v>20.309999999999999</v>
      </c>
      <c r="EN25" s="493">
        <v>368.34700000000004</v>
      </c>
      <c r="EO25" s="492">
        <v>88.13000000000001</v>
      </c>
      <c r="EP25" s="492">
        <v>50.34</v>
      </c>
      <c r="EQ25" s="492"/>
      <c r="ER25" s="492"/>
      <c r="ES25" s="492"/>
      <c r="ET25" s="492"/>
      <c r="EU25" s="492"/>
      <c r="EV25" s="492"/>
      <c r="EW25" s="492"/>
      <c r="EX25" s="492"/>
      <c r="EY25" s="492"/>
      <c r="EZ25" s="492"/>
      <c r="FA25" s="493">
        <f t="shared" si="174"/>
        <v>138.47000000000003</v>
      </c>
      <c r="FC25" s="534">
        <f t="shared" si="175"/>
        <v>38.766157139328719</v>
      </c>
      <c r="FD25" s="535">
        <f t="shared" si="176"/>
        <v>-9.626600192152889</v>
      </c>
      <c r="FE25" s="536">
        <f t="shared" si="177"/>
        <v>385.11</v>
      </c>
      <c r="FF25" s="537">
        <f t="shared" si="178"/>
        <v>348.03700000000003</v>
      </c>
      <c r="FG25" s="470"/>
      <c r="FH25" s="498">
        <f t="shared" si="179"/>
        <v>9288.9879999999976</v>
      </c>
      <c r="FI25" s="499" t="s">
        <v>180</v>
      </c>
      <c r="FJ25" s="500" t="str">
        <f t="shared" si="180"/>
        <v>OK</v>
      </c>
    </row>
    <row r="26" spans="1:166" s="447" customFormat="1" ht="15" customHeight="1" x14ac:dyDescent="0.25">
      <c r="A26" s="555" t="s">
        <v>172</v>
      </c>
      <c r="B26" s="492">
        <v>874</v>
      </c>
      <c r="C26" s="492">
        <v>1137</v>
      </c>
      <c r="D26" s="492">
        <v>1151</v>
      </c>
      <c r="E26" s="492">
        <v>795</v>
      </c>
      <c r="F26" s="492">
        <v>1037</v>
      </c>
      <c r="G26" s="492">
        <v>1060</v>
      </c>
      <c r="H26" s="492">
        <v>634</v>
      </c>
      <c r="I26" s="492">
        <v>306</v>
      </c>
      <c r="J26" s="492">
        <v>256</v>
      </c>
      <c r="K26" s="492">
        <v>234</v>
      </c>
      <c r="L26" s="492">
        <v>284</v>
      </c>
      <c r="M26" s="492">
        <v>476</v>
      </c>
      <c r="N26" s="493">
        <f t="shared" si="169"/>
        <v>8244</v>
      </c>
      <c r="O26" s="492">
        <v>717</v>
      </c>
      <c r="P26" s="492">
        <v>962</v>
      </c>
      <c r="Q26" s="492">
        <v>1145</v>
      </c>
      <c r="R26" s="492">
        <v>848</v>
      </c>
      <c r="S26" s="492">
        <v>1028</v>
      </c>
      <c r="T26" s="492">
        <v>1079</v>
      </c>
      <c r="U26" s="492">
        <v>701</v>
      </c>
      <c r="V26" s="492">
        <v>290</v>
      </c>
      <c r="W26" s="492">
        <v>167</v>
      </c>
      <c r="X26" s="492">
        <v>246</v>
      </c>
      <c r="Y26" s="492">
        <v>321</v>
      </c>
      <c r="Z26" s="492">
        <v>637</v>
      </c>
      <c r="AA26" s="493">
        <f t="shared" si="170"/>
        <v>8141</v>
      </c>
      <c r="AB26" s="492">
        <v>863</v>
      </c>
      <c r="AC26" s="492">
        <v>1021</v>
      </c>
      <c r="AD26" s="492">
        <v>1273</v>
      </c>
      <c r="AE26" s="492">
        <v>1028</v>
      </c>
      <c r="AF26" s="492">
        <v>1172</v>
      </c>
      <c r="AG26" s="492">
        <v>1246</v>
      </c>
      <c r="AH26" s="492">
        <v>234</v>
      </c>
      <c r="AI26" s="492">
        <v>99</v>
      </c>
      <c r="AJ26" s="492">
        <v>94</v>
      </c>
      <c r="AK26" s="492">
        <v>136</v>
      </c>
      <c r="AL26" s="492">
        <v>315</v>
      </c>
      <c r="AM26" s="492">
        <v>830</v>
      </c>
      <c r="AN26" s="493">
        <f t="shared" si="171"/>
        <v>8311</v>
      </c>
      <c r="AO26" s="492">
        <v>879</v>
      </c>
      <c r="AP26" s="492">
        <v>1162</v>
      </c>
      <c r="AQ26" s="492">
        <v>1333</v>
      </c>
      <c r="AR26" s="492">
        <v>1219</v>
      </c>
      <c r="AS26" s="492">
        <v>1134</v>
      </c>
      <c r="AT26" s="492">
        <v>1083</v>
      </c>
      <c r="AU26" s="492">
        <v>474</v>
      </c>
      <c r="AV26" s="492">
        <v>94</v>
      </c>
      <c r="AW26" s="492">
        <v>102</v>
      </c>
      <c r="AX26" s="492">
        <v>131</v>
      </c>
      <c r="AY26" s="492">
        <v>192</v>
      </c>
      <c r="AZ26" s="492">
        <v>244</v>
      </c>
      <c r="BA26" s="493">
        <f t="shared" si="172"/>
        <v>8047</v>
      </c>
      <c r="BB26" s="492">
        <v>620</v>
      </c>
      <c r="BC26" s="492">
        <v>1239</v>
      </c>
      <c r="BD26" s="492">
        <v>1699</v>
      </c>
      <c r="BE26" s="492">
        <v>1419</v>
      </c>
      <c r="BF26" s="492">
        <v>1212</v>
      </c>
      <c r="BG26" s="492">
        <v>1134</v>
      </c>
      <c r="BH26" s="492">
        <v>899</v>
      </c>
      <c r="BI26" s="492">
        <v>564</v>
      </c>
      <c r="BJ26" s="492">
        <v>46</v>
      </c>
      <c r="BK26" s="492"/>
      <c r="BL26" s="492"/>
      <c r="BM26" s="492">
        <v>480</v>
      </c>
      <c r="BN26" s="493">
        <f t="shared" si="173"/>
        <v>9312</v>
      </c>
      <c r="BO26" s="492">
        <v>1064.6089999999999</v>
      </c>
      <c r="BP26" s="492">
        <v>1625.9190000000001</v>
      </c>
      <c r="BQ26" s="492">
        <v>1929.4799999999996</v>
      </c>
      <c r="BR26" s="492">
        <v>1812.309</v>
      </c>
      <c r="BS26" s="492">
        <v>1814.1989999999998</v>
      </c>
      <c r="BT26" s="492">
        <v>1402.259</v>
      </c>
      <c r="BU26" s="492">
        <v>1170.0219999999999</v>
      </c>
      <c r="BV26" s="492">
        <v>635.07900000000006</v>
      </c>
      <c r="BW26" s="492"/>
      <c r="BX26" s="492"/>
      <c r="BY26" s="492"/>
      <c r="BZ26" s="492">
        <v>603.17900000000009</v>
      </c>
      <c r="CA26" s="493">
        <v>12057.054999999998</v>
      </c>
      <c r="CB26" s="492">
        <v>1117.8399999999999</v>
      </c>
      <c r="CC26" s="492">
        <v>1299.8589999999999</v>
      </c>
      <c r="CD26" s="492">
        <v>1837.2370000000003</v>
      </c>
      <c r="CE26" s="492">
        <v>2206.1999999999998</v>
      </c>
      <c r="CF26" s="492">
        <v>2344.85</v>
      </c>
      <c r="CG26" s="492">
        <v>1708.0400000000002</v>
      </c>
      <c r="CH26" s="492">
        <v>1213.5100000000002</v>
      </c>
      <c r="CI26" s="492">
        <v>650.50900000000001</v>
      </c>
      <c r="CJ26" s="492"/>
      <c r="CK26" s="492"/>
      <c r="CL26" s="492"/>
      <c r="CM26" s="492">
        <v>821.12900000000002</v>
      </c>
      <c r="CN26" s="493">
        <v>13199.174000000001</v>
      </c>
      <c r="CO26" s="492">
        <v>1281.6179999999999</v>
      </c>
      <c r="CP26" s="492">
        <v>1619.6580000000001</v>
      </c>
      <c r="CQ26" s="492">
        <v>2010.816</v>
      </c>
      <c r="CR26" s="492">
        <v>2156.3789999999999</v>
      </c>
      <c r="CS26" s="492">
        <v>2425.268</v>
      </c>
      <c r="CT26" s="492">
        <v>2090.6579999999999</v>
      </c>
      <c r="CU26" s="492">
        <v>1543.9280000000001</v>
      </c>
      <c r="CV26" s="492">
        <v>768.81999999999994</v>
      </c>
      <c r="CW26" s="492">
        <v>74.519000000000005</v>
      </c>
      <c r="CX26" s="492"/>
      <c r="CY26" s="492">
        <v>26.48</v>
      </c>
      <c r="CZ26" s="492">
        <v>806.99899999999991</v>
      </c>
      <c r="DA26" s="493">
        <v>14805.142999999998</v>
      </c>
      <c r="DB26" s="492">
        <v>1132.1300000000001</v>
      </c>
      <c r="DC26" s="492">
        <v>1486.3180000000002</v>
      </c>
      <c r="DD26" s="492">
        <v>1724.4299999999998</v>
      </c>
      <c r="DE26" s="492">
        <v>1776.4300000000003</v>
      </c>
      <c r="DF26" s="492">
        <v>2166.84</v>
      </c>
      <c r="DG26" s="492">
        <v>2043.47</v>
      </c>
      <c r="DH26" s="492">
        <v>1683.607</v>
      </c>
      <c r="DI26" s="492">
        <v>720.06400000000008</v>
      </c>
      <c r="DJ26" s="492"/>
      <c r="DK26" s="492"/>
      <c r="DL26" s="492"/>
      <c r="DM26" s="492">
        <v>372.48799999999989</v>
      </c>
      <c r="DN26" s="493">
        <v>13105.777</v>
      </c>
      <c r="DO26" s="492">
        <v>598.65</v>
      </c>
      <c r="DP26" s="492">
        <v>815.20900000000006</v>
      </c>
      <c r="DQ26" s="492">
        <v>985.36899999999991</v>
      </c>
      <c r="DR26" s="492">
        <v>1207.4000000000001</v>
      </c>
      <c r="DS26" s="492">
        <v>1737.23</v>
      </c>
      <c r="DT26" s="492">
        <v>2034.7190000000001</v>
      </c>
      <c r="DU26" s="492">
        <v>1693.3489999999999</v>
      </c>
      <c r="DV26" s="492">
        <v>897.61000000000013</v>
      </c>
      <c r="DW26" s="492">
        <v>0</v>
      </c>
      <c r="DX26" s="492">
        <v>0</v>
      </c>
      <c r="DY26" s="492">
        <v>0</v>
      </c>
      <c r="DZ26" s="492">
        <v>336.358</v>
      </c>
      <c r="EA26" s="493">
        <v>10305.894</v>
      </c>
      <c r="EB26" s="492">
        <v>477.59800000000013</v>
      </c>
      <c r="EC26" s="492">
        <v>581.05799999999999</v>
      </c>
      <c r="ED26" s="492">
        <v>641.2879999999999</v>
      </c>
      <c r="EE26" s="492">
        <v>632.62999999999988</v>
      </c>
      <c r="EF26" s="492">
        <v>914.04200000000003</v>
      </c>
      <c r="EG26" s="492">
        <v>1231.866</v>
      </c>
      <c r="EH26" s="492">
        <v>1105.087</v>
      </c>
      <c r="EI26" s="492">
        <v>660.1579999999999</v>
      </c>
      <c r="EJ26" s="492">
        <v>0</v>
      </c>
      <c r="EK26" s="492">
        <v>0</v>
      </c>
      <c r="EL26" s="492">
        <v>0</v>
      </c>
      <c r="EM26" s="492">
        <v>258.12900000000002</v>
      </c>
      <c r="EN26" s="493">
        <v>6501.8559999999989</v>
      </c>
      <c r="EO26" s="492">
        <v>307.42599999999999</v>
      </c>
      <c r="EP26" s="492">
        <v>433.79000000000008</v>
      </c>
      <c r="EQ26" s="492"/>
      <c r="ER26" s="492"/>
      <c r="ES26" s="492"/>
      <c r="ET26" s="492"/>
      <c r="EU26" s="492"/>
      <c r="EV26" s="492"/>
      <c r="EW26" s="492"/>
      <c r="EX26" s="492"/>
      <c r="EY26" s="492"/>
      <c r="EZ26" s="492"/>
      <c r="FA26" s="493">
        <f t="shared" si="174"/>
        <v>741.21600000000012</v>
      </c>
      <c r="FC26" s="534" t="str">
        <f t="shared" si="175"/>
        <v/>
      </c>
      <c r="FD26" s="535">
        <f t="shared" si="176"/>
        <v>-37.371939877643271</v>
      </c>
      <c r="FE26" s="536">
        <f t="shared" si="177"/>
        <v>9969.5360000000001</v>
      </c>
      <c r="FF26" s="537">
        <f t="shared" si="178"/>
        <v>6243.726999999999</v>
      </c>
      <c r="FG26" s="470"/>
      <c r="FH26" s="498">
        <f t="shared" si="179"/>
        <v>225542.22999999995</v>
      </c>
      <c r="FI26" s="499" t="s">
        <v>172</v>
      </c>
      <c r="FJ26" s="500" t="str">
        <f t="shared" si="180"/>
        <v>OK</v>
      </c>
    </row>
    <row r="27" spans="1:166" s="447" customFormat="1" ht="15" customHeight="1" x14ac:dyDescent="0.25">
      <c r="A27" s="555" t="s">
        <v>182</v>
      </c>
      <c r="B27" s="492">
        <v>11839</v>
      </c>
      <c r="C27" s="492">
        <v>12007</v>
      </c>
      <c r="D27" s="492">
        <v>14204</v>
      </c>
      <c r="E27" s="492">
        <v>15811</v>
      </c>
      <c r="F27" s="492">
        <v>15211</v>
      </c>
      <c r="G27" s="492">
        <v>15018</v>
      </c>
      <c r="H27" s="492">
        <v>11604</v>
      </c>
      <c r="I27" s="492">
        <v>15227</v>
      </c>
      <c r="J27" s="492">
        <v>19909</v>
      </c>
      <c r="K27" s="492">
        <v>21436</v>
      </c>
      <c r="L27" s="492">
        <v>17600</v>
      </c>
      <c r="M27" s="492">
        <v>18268</v>
      </c>
      <c r="N27" s="493">
        <f t="shared" si="169"/>
        <v>188134</v>
      </c>
      <c r="O27" s="492">
        <v>15626</v>
      </c>
      <c r="P27" s="492">
        <v>16693</v>
      </c>
      <c r="Q27" s="492">
        <v>17245</v>
      </c>
      <c r="R27" s="492">
        <v>17281</v>
      </c>
      <c r="S27" s="492">
        <v>15831</v>
      </c>
      <c r="T27" s="492">
        <v>16854</v>
      </c>
      <c r="U27" s="492">
        <v>11589</v>
      </c>
      <c r="V27" s="492">
        <v>16496</v>
      </c>
      <c r="W27" s="492">
        <v>23055</v>
      </c>
      <c r="X27" s="492">
        <v>28644</v>
      </c>
      <c r="Y27" s="492">
        <v>19927</v>
      </c>
      <c r="Z27" s="492">
        <v>24005</v>
      </c>
      <c r="AA27" s="493">
        <f t="shared" si="170"/>
        <v>223246</v>
      </c>
      <c r="AB27" s="492">
        <v>20010</v>
      </c>
      <c r="AC27" s="492">
        <v>21745</v>
      </c>
      <c r="AD27" s="492">
        <v>28991</v>
      </c>
      <c r="AE27" s="492">
        <v>23880</v>
      </c>
      <c r="AF27" s="492">
        <v>26242</v>
      </c>
      <c r="AG27" s="492">
        <v>23796</v>
      </c>
      <c r="AH27" s="492">
        <v>20770</v>
      </c>
      <c r="AI27" s="492">
        <v>25995</v>
      </c>
      <c r="AJ27" s="492">
        <v>28183</v>
      </c>
      <c r="AK27" s="492">
        <v>30605</v>
      </c>
      <c r="AL27" s="492">
        <v>24312</v>
      </c>
      <c r="AM27" s="492">
        <v>24123</v>
      </c>
      <c r="AN27" s="493">
        <f t="shared" si="171"/>
        <v>298652</v>
      </c>
      <c r="AO27" s="492">
        <v>24987</v>
      </c>
      <c r="AP27" s="492">
        <v>24714</v>
      </c>
      <c r="AQ27" s="492">
        <v>28010</v>
      </c>
      <c r="AR27" s="492">
        <v>28526</v>
      </c>
      <c r="AS27" s="492">
        <v>24204</v>
      </c>
      <c r="AT27" s="492">
        <v>20735</v>
      </c>
      <c r="AU27" s="492">
        <v>26005</v>
      </c>
      <c r="AV27" s="492">
        <v>34548</v>
      </c>
      <c r="AW27" s="492">
        <v>34740</v>
      </c>
      <c r="AX27" s="492">
        <v>37355</v>
      </c>
      <c r="AY27" s="492">
        <v>34999</v>
      </c>
      <c r="AZ27" s="492">
        <v>31423</v>
      </c>
      <c r="BA27" s="493">
        <f t="shared" si="172"/>
        <v>350246</v>
      </c>
      <c r="BB27" s="492">
        <v>30558</v>
      </c>
      <c r="BC27" s="492">
        <v>26858</v>
      </c>
      <c r="BD27" s="492">
        <v>30364</v>
      </c>
      <c r="BE27" s="492">
        <v>28454</v>
      </c>
      <c r="BF27" s="492">
        <v>26938</v>
      </c>
      <c r="BG27" s="492">
        <v>23702</v>
      </c>
      <c r="BH27" s="492">
        <v>20394</v>
      </c>
      <c r="BI27" s="492">
        <v>25820</v>
      </c>
      <c r="BJ27" s="492">
        <v>29139</v>
      </c>
      <c r="BK27" s="492">
        <v>44587</v>
      </c>
      <c r="BL27" s="492">
        <v>37401</v>
      </c>
      <c r="BM27" s="492">
        <v>30350</v>
      </c>
      <c r="BN27" s="493">
        <f t="shared" si="173"/>
        <v>354565</v>
      </c>
      <c r="BO27" s="492">
        <v>31622.03</v>
      </c>
      <c r="BP27" s="492">
        <v>28427.200000000004</v>
      </c>
      <c r="BQ27" s="492">
        <v>30252.65</v>
      </c>
      <c r="BR27" s="492">
        <v>17589.004999999997</v>
      </c>
      <c r="BS27" s="492">
        <v>18405.61</v>
      </c>
      <c r="BT27" s="492">
        <v>17319.82</v>
      </c>
      <c r="BU27" s="492">
        <v>22283.79</v>
      </c>
      <c r="BV27" s="492">
        <v>30907.079999999998</v>
      </c>
      <c r="BW27" s="492">
        <v>35604.858999999997</v>
      </c>
      <c r="BX27" s="492">
        <v>34512.850000000006</v>
      </c>
      <c r="BY27" s="492">
        <v>28125.77</v>
      </c>
      <c r="BZ27" s="492">
        <v>23914.22</v>
      </c>
      <c r="CA27" s="493">
        <v>318964.88399999996</v>
      </c>
      <c r="CB27" s="492">
        <v>32916.050000000003</v>
      </c>
      <c r="CC27" s="492">
        <v>37419.039000000004</v>
      </c>
      <c r="CD27" s="492">
        <v>46225.539999999994</v>
      </c>
      <c r="CE27" s="492">
        <v>44857.728999999999</v>
      </c>
      <c r="CF27" s="492">
        <v>43882.819000000003</v>
      </c>
      <c r="CG27" s="492">
        <v>37544.688000000002</v>
      </c>
      <c r="CH27" s="492">
        <v>35909.57</v>
      </c>
      <c r="CI27" s="492">
        <v>43786.51</v>
      </c>
      <c r="CJ27" s="492">
        <v>69355.12</v>
      </c>
      <c r="CK27" s="492">
        <v>67555.048999999999</v>
      </c>
      <c r="CL27" s="492">
        <v>63822.95</v>
      </c>
      <c r="CM27" s="492">
        <v>42163.719999999994</v>
      </c>
      <c r="CN27" s="493">
        <v>565438.78399999999</v>
      </c>
      <c r="CO27" s="492">
        <v>42302.17</v>
      </c>
      <c r="CP27" s="492">
        <v>42628.868999999999</v>
      </c>
      <c r="CQ27" s="492">
        <v>52684.499999999993</v>
      </c>
      <c r="CR27" s="492">
        <v>52076.03</v>
      </c>
      <c r="CS27" s="492">
        <v>49485.299999999996</v>
      </c>
      <c r="CT27" s="492">
        <v>35201.239000000001</v>
      </c>
      <c r="CU27" s="492">
        <v>35155.760000000002</v>
      </c>
      <c r="CV27" s="492">
        <v>63038.909999999996</v>
      </c>
      <c r="CW27" s="492">
        <v>62399.270000000004</v>
      </c>
      <c r="CX27" s="492">
        <v>77887.03</v>
      </c>
      <c r="CY27" s="492">
        <v>75922.850000000006</v>
      </c>
      <c r="CZ27" s="492">
        <v>75649.36</v>
      </c>
      <c r="DA27" s="493">
        <v>664431.28799999994</v>
      </c>
      <c r="DB27" s="492">
        <v>59285.49</v>
      </c>
      <c r="DC27" s="492">
        <v>58925.299999999996</v>
      </c>
      <c r="DD27" s="492">
        <v>47495.920999999995</v>
      </c>
      <c r="DE27" s="492">
        <v>40575.055</v>
      </c>
      <c r="DF27" s="492">
        <v>37990.087</v>
      </c>
      <c r="DG27" s="492">
        <v>35956.798999999999</v>
      </c>
      <c r="DH27" s="492">
        <v>32128.449000000001</v>
      </c>
      <c r="DI27" s="492">
        <v>58279.919999999991</v>
      </c>
      <c r="DJ27" s="492">
        <v>72459.849999999991</v>
      </c>
      <c r="DK27" s="492">
        <v>93999.218000000008</v>
      </c>
      <c r="DL27" s="492">
        <v>78274.539000000019</v>
      </c>
      <c r="DM27" s="492">
        <v>51431.489000000001</v>
      </c>
      <c r="DN27" s="493">
        <v>666802.11700000009</v>
      </c>
      <c r="DO27" s="492">
        <v>41044.58</v>
      </c>
      <c r="DP27" s="492">
        <v>37102.980000000003</v>
      </c>
      <c r="DQ27" s="492">
        <v>39880.11</v>
      </c>
      <c r="DR27" s="492">
        <v>39869.68</v>
      </c>
      <c r="DS27" s="492">
        <v>37321.65</v>
      </c>
      <c r="DT27" s="492">
        <v>28872.97</v>
      </c>
      <c r="DU27" s="492">
        <v>51905.22</v>
      </c>
      <c r="DV27" s="492">
        <v>79590.399999999994</v>
      </c>
      <c r="DW27" s="492">
        <v>83373.008999999991</v>
      </c>
      <c r="DX27" s="492">
        <v>105716.909</v>
      </c>
      <c r="DY27" s="492">
        <v>77739.76999999999</v>
      </c>
      <c r="DZ27" s="492">
        <v>51809.999000000003</v>
      </c>
      <c r="EA27" s="493">
        <v>674227.27699999989</v>
      </c>
      <c r="EB27" s="492">
        <v>43094.739000000001</v>
      </c>
      <c r="EC27" s="492">
        <v>45460.49</v>
      </c>
      <c r="ED27" s="492">
        <v>41760.44</v>
      </c>
      <c r="EE27" s="492">
        <v>38554.139000000003</v>
      </c>
      <c r="EF27" s="492">
        <v>38566.25</v>
      </c>
      <c r="EG27" s="492">
        <v>31868.518</v>
      </c>
      <c r="EH27" s="492">
        <v>43945.358000000007</v>
      </c>
      <c r="EI27" s="492">
        <v>65102.929000000011</v>
      </c>
      <c r="EJ27" s="492">
        <v>95634.758999999991</v>
      </c>
      <c r="EK27" s="492">
        <v>105328.069</v>
      </c>
      <c r="EL27" s="492">
        <v>102901.27899999999</v>
      </c>
      <c r="EM27" s="492">
        <v>102582.76</v>
      </c>
      <c r="EN27" s="493">
        <v>754799.73</v>
      </c>
      <c r="EO27" s="492">
        <v>79930.950000000012</v>
      </c>
      <c r="EP27" s="492">
        <v>79757.808999999994</v>
      </c>
      <c r="EQ27" s="492"/>
      <c r="ER27" s="492"/>
      <c r="ES27" s="492"/>
      <c r="ET27" s="492"/>
      <c r="EU27" s="492"/>
      <c r="EV27" s="492"/>
      <c r="EW27" s="492"/>
      <c r="EX27" s="492"/>
      <c r="EY27" s="492"/>
      <c r="EZ27" s="492"/>
      <c r="FA27" s="493">
        <f t="shared" si="174"/>
        <v>159688.75900000002</v>
      </c>
      <c r="FC27" s="534">
        <f t="shared" si="175"/>
        <v>32.366328071204741</v>
      </c>
      <c r="FD27" s="535">
        <f t="shared" si="176"/>
        <v>4.7877353430410441</v>
      </c>
      <c r="FE27" s="536">
        <f t="shared" si="177"/>
        <v>622417.27799999993</v>
      </c>
      <c r="FF27" s="537">
        <f t="shared" si="178"/>
        <v>652216.97</v>
      </c>
      <c r="FG27" s="470"/>
      <c r="FH27" s="498">
        <f t="shared" si="179"/>
        <v>10438391.677999998</v>
      </c>
      <c r="FI27" s="499" t="s">
        <v>182</v>
      </c>
      <c r="FJ27" s="500" t="str">
        <f t="shared" si="180"/>
        <v>OK</v>
      </c>
    </row>
    <row r="28" spans="1:166" s="447" customFormat="1" ht="15" customHeight="1" x14ac:dyDescent="0.25">
      <c r="A28" s="555" t="s">
        <v>173</v>
      </c>
      <c r="B28" s="492">
        <v>4478</v>
      </c>
      <c r="C28" s="492">
        <v>4450</v>
      </c>
      <c r="D28" s="492">
        <v>4008</v>
      </c>
      <c r="E28" s="492">
        <v>4133</v>
      </c>
      <c r="F28" s="492">
        <v>3735</v>
      </c>
      <c r="G28" s="492">
        <v>3872</v>
      </c>
      <c r="H28" s="492">
        <v>3464</v>
      </c>
      <c r="I28" s="492">
        <v>3831</v>
      </c>
      <c r="J28" s="492">
        <v>3705</v>
      </c>
      <c r="K28" s="492">
        <v>3612</v>
      </c>
      <c r="L28" s="492">
        <v>3758</v>
      </c>
      <c r="M28" s="492">
        <v>3849</v>
      </c>
      <c r="N28" s="493">
        <f t="shared" si="169"/>
        <v>46895</v>
      </c>
      <c r="O28" s="492">
        <v>4349</v>
      </c>
      <c r="P28" s="492">
        <v>4388</v>
      </c>
      <c r="Q28" s="492">
        <v>4231</v>
      </c>
      <c r="R28" s="492">
        <v>4333</v>
      </c>
      <c r="S28" s="492">
        <v>3487</v>
      </c>
      <c r="T28" s="492">
        <v>3617</v>
      </c>
      <c r="U28" s="492">
        <v>3220</v>
      </c>
      <c r="V28" s="492">
        <v>2918</v>
      </c>
      <c r="W28" s="492">
        <v>3021</v>
      </c>
      <c r="X28" s="492">
        <v>3484</v>
      </c>
      <c r="Y28" s="492">
        <v>3794</v>
      </c>
      <c r="Z28" s="492">
        <v>4191</v>
      </c>
      <c r="AA28" s="493">
        <f t="shared" si="170"/>
        <v>45033</v>
      </c>
      <c r="AB28" s="492">
        <v>4296</v>
      </c>
      <c r="AC28" s="492">
        <v>4340</v>
      </c>
      <c r="AD28" s="492">
        <v>3932</v>
      </c>
      <c r="AE28" s="492">
        <v>3695</v>
      </c>
      <c r="AF28" s="492">
        <v>4074</v>
      </c>
      <c r="AG28" s="492">
        <v>3972</v>
      </c>
      <c r="AH28" s="492">
        <v>3697</v>
      </c>
      <c r="AI28" s="492">
        <v>3572</v>
      </c>
      <c r="AJ28" s="492">
        <v>3477</v>
      </c>
      <c r="AK28" s="492">
        <v>3779</v>
      </c>
      <c r="AL28" s="492">
        <v>3932</v>
      </c>
      <c r="AM28" s="492">
        <v>3955</v>
      </c>
      <c r="AN28" s="493">
        <f t="shared" si="171"/>
        <v>46721</v>
      </c>
      <c r="AO28" s="492">
        <v>3900</v>
      </c>
      <c r="AP28" s="492">
        <v>4620</v>
      </c>
      <c r="AQ28" s="492">
        <v>4624</v>
      </c>
      <c r="AR28" s="492">
        <v>3907</v>
      </c>
      <c r="AS28" s="492">
        <v>4097</v>
      </c>
      <c r="AT28" s="492">
        <v>3783</v>
      </c>
      <c r="AU28" s="492">
        <v>3605</v>
      </c>
      <c r="AV28" s="492">
        <v>3712</v>
      </c>
      <c r="AW28" s="492">
        <v>3782</v>
      </c>
      <c r="AX28" s="492">
        <v>4045</v>
      </c>
      <c r="AY28" s="492">
        <v>3578</v>
      </c>
      <c r="AZ28" s="492">
        <v>3584</v>
      </c>
      <c r="BA28" s="493">
        <f t="shared" si="172"/>
        <v>47237</v>
      </c>
      <c r="BB28" s="492">
        <v>3269</v>
      </c>
      <c r="BC28" s="492">
        <v>3375</v>
      </c>
      <c r="BD28" s="492">
        <v>3475</v>
      </c>
      <c r="BE28" s="492">
        <v>3061</v>
      </c>
      <c r="BF28" s="492">
        <v>2939</v>
      </c>
      <c r="BG28" s="492">
        <v>2840</v>
      </c>
      <c r="BH28" s="492">
        <v>3203</v>
      </c>
      <c r="BI28" s="492">
        <v>2919</v>
      </c>
      <c r="BJ28" s="492">
        <v>2719</v>
      </c>
      <c r="BK28" s="492">
        <v>3600</v>
      </c>
      <c r="BL28" s="492">
        <v>3872</v>
      </c>
      <c r="BM28" s="492">
        <v>3864</v>
      </c>
      <c r="BN28" s="493">
        <f t="shared" si="173"/>
        <v>39136</v>
      </c>
      <c r="BO28" s="492">
        <v>4722</v>
      </c>
      <c r="BP28" s="492">
        <v>5254.3</v>
      </c>
      <c r="BQ28" s="492">
        <v>4889.6189999999997</v>
      </c>
      <c r="BR28" s="492">
        <v>4455.68</v>
      </c>
      <c r="BS28" s="492">
        <v>4188.55</v>
      </c>
      <c r="BT28" s="492">
        <v>3750.0689999999995</v>
      </c>
      <c r="BU28" s="492">
        <v>3505.0700000000006</v>
      </c>
      <c r="BV28" s="492">
        <v>3537.2380000000003</v>
      </c>
      <c r="BW28" s="492">
        <v>3844.2000000000007</v>
      </c>
      <c r="BX28" s="492">
        <v>4458.9889999999996</v>
      </c>
      <c r="BY28" s="492">
        <v>4591.5300000000007</v>
      </c>
      <c r="BZ28" s="492">
        <v>4889.3900000000003</v>
      </c>
      <c r="CA28" s="493">
        <v>52086.634999999995</v>
      </c>
      <c r="CB28" s="492">
        <v>5258.28</v>
      </c>
      <c r="CC28" s="492">
        <v>5273.6090000000004</v>
      </c>
      <c r="CD28" s="492">
        <v>5256.36</v>
      </c>
      <c r="CE28" s="492">
        <v>5598.1190000000006</v>
      </c>
      <c r="CF28" s="492">
        <v>5456.42</v>
      </c>
      <c r="CG28" s="492">
        <v>5234.1000000000004</v>
      </c>
      <c r="CH28" s="492">
        <v>4963.445999999999</v>
      </c>
      <c r="CI28" s="492">
        <v>4613.4290000000001</v>
      </c>
      <c r="CJ28" s="492">
        <v>4571.88</v>
      </c>
      <c r="CK28" s="492">
        <v>4828.6679999999997</v>
      </c>
      <c r="CL28" s="492">
        <v>5021.25</v>
      </c>
      <c r="CM28" s="492">
        <v>5800.8779999999988</v>
      </c>
      <c r="CN28" s="493">
        <v>61876.438999999984</v>
      </c>
      <c r="CO28" s="492">
        <v>5931.38</v>
      </c>
      <c r="CP28" s="492">
        <v>5659.5790000000015</v>
      </c>
      <c r="CQ28" s="492">
        <v>5714.44</v>
      </c>
      <c r="CR28" s="492">
        <v>5879.33</v>
      </c>
      <c r="CS28" s="492">
        <v>5643.7499999999982</v>
      </c>
      <c r="CT28" s="492">
        <v>5423.5699999999988</v>
      </c>
      <c r="CU28" s="492">
        <v>5226.6500000000005</v>
      </c>
      <c r="CV28" s="492">
        <v>5033.8590000000013</v>
      </c>
      <c r="CW28" s="492">
        <v>4672.7089999999998</v>
      </c>
      <c r="CX28" s="492">
        <v>4259.01</v>
      </c>
      <c r="CY28" s="492">
        <v>3814.4479999999994</v>
      </c>
      <c r="CZ28" s="492">
        <v>4369.799</v>
      </c>
      <c r="DA28" s="493">
        <v>61628.524000000005</v>
      </c>
      <c r="DB28" s="492">
        <v>5331.3400000000011</v>
      </c>
      <c r="DC28" s="492">
        <v>5166.9279999999981</v>
      </c>
      <c r="DD28" s="492">
        <v>5316.3000000000011</v>
      </c>
      <c r="DE28" s="492">
        <v>4937.7600000000011</v>
      </c>
      <c r="DF28" s="492">
        <v>4693.17</v>
      </c>
      <c r="DG28" s="492">
        <v>5076.41</v>
      </c>
      <c r="DH28" s="492">
        <v>5139.4900000000007</v>
      </c>
      <c r="DI28" s="492">
        <v>4890.9750000000004</v>
      </c>
      <c r="DJ28" s="492">
        <v>4823.7089999999989</v>
      </c>
      <c r="DK28" s="492">
        <v>4675.4889999999996</v>
      </c>
      <c r="DL28" s="492">
        <v>4615.67</v>
      </c>
      <c r="DM28" s="492">
        <v>4290.74</v>
      </c>
      <c r="DN28" s="493">
        <v>58957.980999999992</v>
      </c>
      <c r="DO28" s="492">
        <v>4306.0559999999996</v>
      </c>
      <c r="DP28" s="492">
        <v>4177.9089999999997</v>
      </c>
      <c r="DQ28" s="492">
        <v>4073.748</v>
      </c>
      <c r="DR28" s="492">
        <v>3686.989</v>
      </c>
      <c r="DS28" s="492">
        <v>3420.308</v>
      </c>
      <c r="DT28" s="492">
        <v>3471.7190000000001</v>
      </c>
      <c r="DU28" s="492">
        <v>3815.7570000000001</v>
      </c>
      <c r="DV28" s="492">
        <v>3997.6779999999999</v>
      </c>
      <c r="DW28" s="492">
        <v>4015.2379999999989</v>
      </c>
      <c r="DX28" s="492">
        <v>3973.78</v>
      </c>
      <c r="DY28" s="492">
        <v>3923.79</v>
      </c>
      <c r="DZ28" s="492">
        <v>3652.9789999999998</v>
      </c>
      <c r="EA28" s="493">
        <v>46515.951000000001</v>
      </c>
      <c r="EB28" s="492">
        <v>3260.838999999999</v>
      </c>
      <c r="EC28" s="492">
        <v>2648.1280000000002</v>
      </c>
      <c r="ED28" s="492">
        <v>1959.539</v>
      </c>
      <c r="EE28" s="492">
        <v>1322.4469999999999</v>
      </c>
      <c r="EF28" s="492">
        <v>858.92899999999997</v>
      </c>
      <c r="EG28" s="492">
        <v>1033.8320000000001</v>
      </c>
      <c r="EH28" s="492">
        <v>903.70100000000002</v>
      </c>
      <c r="EI28" s="492">
        <v>836.06899999999996</v>
      </c>
      <c r="EJ28" s="492">
        <v>798.529</v>
      </c>
      <c r="EK28" s="492">
        <v>785.14699999999993</v>
      </c>
      <c r="EL28" s="492">
        <v>896.34999999999991</v>
      </c>
      <c r="EM28" s="492">
        <v>915.53400000000011</v>
      </c>
      <c r="EN28" s="493">
        <v>16219.043999999996</v>
      </c>
      <c r="EO28" s="492">
        <v>1062.548</v>
      </c>
      <c r="EP28" s="492">
        <v>1175.646</v>
      </c>
      <c r="EQ28" s="492"/>
      <c r="ER28" s="492"/>
      <c r="ES28" s="492"/>
      <c r="ET28" s="492"/>
      <c r="EU28" s="492"/>
      <c r="EV28" s="492"/>
      <c r="EW28" s="492"/>
      <c r="EX28" s="492"/>
      <c r="EY28" s="492"/>
      <c r="EZ28" s="492"/>
      <c r="FA28" s="493">
        <f t="shared" si="174"/>
        <v>2238.194</v>
      </c>
      <c r="FC28" s="534">
        <f t="shared" si="175"/>
        <v>-77.156014975317234</v>
      </c>
      <c r="FD28" s="535">
        <f t="shared" si="176"/>
        <v>-64.29666612945087</v>
      </c>
      <c r="FE28" s="536">
        <f t="shared" si="177"/>
        <v>42862.972000000002</v>
      </c>
      <c r="FF28" s="537">
        <f t="shared" si="178"/>
        <v>15303.509999999997</v>
      </c>
      <c r="FG28" s="470"/>
      <c r="FH28" s="498">
        <f t="shared" si="179"/>
        <v>1049089.5360000001</v>
      </c>
      <c r="FI28" s="499" t="s">
        <v>173</v>
      </c>
      <c r="FJ28" s="500" t="str">
        <f t="shared" si="180"/>
        <v>OK</v>
      </c>
    </row>
    <row r="29" spans="1:166" s="447" customFormat="1" ht="15" customHeight="1" x14ac:dyDescent="0.25">
      <c r="A29" s="555" t="s">
        <v>186</v>
      </c>
      <c r="B29" s="492">
        <v>1783</v>
      </c>
      <c r="C29" s="492">
        <v>2194</v>
      </c>
      <c r="D29" s="492">
        <v>1742</v>
      </c>
      <c r="E29" s="492">
        <v>600</v>
      </c>
      <c r="F29" s="492">
        <v>180</v>
      </c>
      <c r="G29" s="492"/>
      <c r="H29" s="492"/>
      <c r="I29" s="492"/>
      <c r="J29" s="492">
        <v>15</v>
      </c>
      <c r="K29" s="492">
        <v>300</v>
      </c>
      <c r="L29" s="492">
        <v>453</v>
      </c>
      <c r="M29" s="492">
        <v>456</v>
      </c>
      <c r="N29" s="493">
        <f t="shared" si="169"/>
        <v>7723</v>
      </c>
      <c r="O29" s="492">
        <v>1303</v>
      </c>
      <c r="P29" s="492">
        <v>1871</v>
      </c>
      <c r="Q29" s="492">
        <v>1924</v>
      </c>
      <c r="R29" s="492">
        <v>1105</v>
      </c>
      <c r="S29" s="492">
        <v>350</v>
      </c>
      <c r="T29" s="492"/>
      <c r="U29" s="492"/>
      <c r="V29" s="492"/>
      <c r="W29" s="492">
        <v>9</v>
      </c>
      <c r="X29" s="492">
        <v>232</v>
      </c>
      <c r="Y29" s="492">
        <v>257</v>
      </c>
      <c r="Z29" s="492">
        <v>358</v>
      </c>
      <c r="AA29" s="493">
        <f t="shared" si="170"/>
        <v>7409</v>
      </c>
      <c r="AB29" s="492">
        <v>1117</v>
      </c>
      <c r="AC29" s="492">
        <v>1683</v>
      </c>
      <c r="AD29" s="492">
        <v>1837</v>
      </c>
      <c r="AE29" s="492">
        <v>1234</v>
      </c>
      <c r="AF29" s="492">
        <v>450</v>
      </c>
      <c r="AG29" s="492"/>
      <c r="AH29" s="492"/>
      <c r="AI29" s="492"/>
      <c r="AJ29" s="492">
        <v>42</v>
      </c>
      <c r="AK29" s="492">
        <v>317</v>
      </c>
      <c r="AL29" s="492">
        <v>420</v>
      </c>
      <c r="AM29" s="492">
        <v>494</v>
      </c>
      <c r="AN29" s="493">
        <f t="shared" si="171"/>
        <v>7594</v>
      </c>
      <c r="AO29" s="492">
        <v>1044</v>
      </c>
      <c r="AP29" s="492">
        <v>1756</v>
      </c>
      <c r="AQ29" s="492">
        <v>1597</v>
      </c>
      <c r="AR29" s="492">
        <v>878</v>
      </c>
      <c r="AS29" s="492">
        <v>374</v>
      </c>
      <c r="AT29" s="492"/>
      <c r="AU29" s="492"/>
      <c r="AV29" s="492"/>
      <c r="AW29" s="492">
        <v>16</v>
      </c>
      <c r="AX29" s="492">
        <v>157</v>
      </c>
      <c r="AY29" s="492">
        <v>195</v>
      </c>
      <c r="AZ29" s="492">
        <v>463</v>
      </c>
      <c r="BA29" s="493">
        <f t="shared" si="172"/>
        <v>6480</v>
      </c>
      <c r="BB29" s="492">
        <v>1058</v>
      </c>
      <c r="BC29" s="492">
        <v>1917</v>
      </c>
      <c r="BD29" s="492">
        <v>1382</v>
      </c>
      <c r="BE29" s="492">
        <v>819</v>
      </c>
      <c r="BF29" s="492">
        <v>279</v>
      </c>
      <c r="BG29" s="492"/>
      <c r="BH29" s="492"/>
      <c r="BI29" s="492"/>
      <c r="BJ29" s="492">
        <v>76</v>
      </c>
      <c r="BK29" s="492">
        <v>393</v>
      </c>
      <c r="BL29" s="492">
        <v>427</v>
      </c>
      <c r="BM29" s="492">
        <v>159</v>
      </c>
      <c r="BN29" s="493">
        <f t="shared" si="173"/>
        <v>6510</v>
      </c>
      <c r="BO29" s="492">
        <v>1228</v>
      </c>
      <c r="BP29" s="492">
        <v>2219</v>
      </c>
      <c r="BQ29" s="492">
        <v>1879</v>
      </c>
      <c r="BR29" s="492">
        <v>1276</v>
      </c>
      <c r="BS29" s="492">
        <v>449.97</v>
      </c>
      <c r="BT29" s="492"/>
      <c r="BU29" s="492"/>
      <c r="BV29" s="492"/>
      <c r="BW29" s="492"/>
      <c r="BX29" s="492"/>
      <c r="BY29" s="492">
        <v>634</v>
      </c>
      <c r="BZ29" s="492">
        <v>910</v>
      </c>
      <c r="CA29" s="493">
        <v>8595.9700000000012</v>
      </c>
      <c r="CB29" s="492">
        <v>1358.6139999999998</v>
      </c>
      <c r="CC29" s="492">
        <v>2208.9789999999998</v>
      </c>
      <c r="CD29" s="492">
        <v>2109.79</v>
      </c>
      <c r="CE29" s="492">
        <v>1525.4169999999997</v>
      </c>
      <c r="CF29" s="492">
        <v>634.9</v>
      </c>
      <c r="CG29" s="492"/>
      <c r="CH29" s="492"/>
      <c r="CI29" s="492"/>
      <c r="CJ29" s="492"/>
      <c r="CK29" s="492"/>
      <c r="CL29" s="492">
        <v>829.69</v>
      </c>
      <c r="CM29" s="492">
        <v>1170.2599999999998</v>
      </c>
      <c r="CN29" s="493">
        <v>9837.65</v>
      </c>
      <c r="CO29" s="492">
        <v>1538.61</v>
      </c>
      <c r="CP29" s="492">
        <v>2204.8399999999997</v>
      </c>
      <c r="CQ29" s="492">
        <v>2166.5</v>
      </c>
      <c r="CR29" s="492">
        <v>1667.5599999999997</v>
      </c>
      <c r="CS29" s="492">
        <v>840.49999999999989</v>
      </c>
      <c r="CT29" s="492"/>
      <c r="CU29" s="492"/>
      <c r="CV29" s="492"/>
      <c r="CW29" s="492"/>
      <c r="CX29" s="492"/>
      <c r="CY29" s="492">
        <v>142.38</v>
      </c>
      <c r="CZ29" s="492">
        <v>725.4</v>
      </c>
      <c r="DA29" s="493">
        <v>9285.7899999999972</v>
      </c>
      <c r="DB29" s="492">
        <v>1239.06</v>
      </c>
      <c r="DC29" s="492">
        <v>1810.92</v>
      </c>
      <c r="DD29" s="492">
        <v>1776.02</v>
      </c>
      <c r="DE29" s="492">
        <v>1070.4179999999999</v>
      </c>
      <c r="DF29" s="492">
        <v>523.15899999999999</v>
      </c>
      <c r="DG29" s="492"/>
      <c r="DH29" s="492"/>
      <c r="DI29" s="492"/>
      <c r="DJ29" s="492"/>
      <c r="DK29" s="492">
        <v>23.78</v>
      </c>
      <c r="DL29" s="492">
        <v>204.93899999999999</v>
      </c>
      <c r="DM29" s="492">
        <v>371.17500000000001</v>
      </c>
      <c r="DN29" s="493">
        <v>7019.4709999999995</v>
      </c>
      <c r="DO29" s="492">
        <v>641.53899999999987</v>
      </c>
      <c r="DP29" s="492">
        <v>986.48300000000017</v>
      </c>
      <c r="DQ29" s="492">
        <v>1159.6489999999999</v>
      </c>
      <c r="DR29" s="492">
        <v>814.66899999999998</v>
      </c>
      <c r="DS29" s="492">
        <v>356.66800000000001</v>
      </c>
      <c r="DT29" s="492">
        <v>0</v>
      </c>
      <c r="DU29" s="492">
        <v>0</v>
      </c>
      <c r="DV29" s="492">
        <v>0</v>
      </c>
      <c r="DW29" s="492">
        <v>0</v>
      </c>
      <c r="DX29" s="492">
        <v>37.32</v>
      </c>
      <c r="DY29" s="492">
        <v>237.06</v>
      </c>
      <c r="DZ29" s="492">
        <v>385.41800000000001</v>
      </c>
      <c r="EA29" s="493">
        <v>4618.8059999999996</v>
      </c>
      <c r="EB29" s="492">
        <v>509.33899999999983</v>
      </c>
      <c r="EC29" s="492">
        <v>582.81900000000019</v>
      </c>
      <c r="ED29" s="492">
        <v>525.50800000000004</v>
      </c>
      <c r="EE29" s="492">
        <v>356.428</v>
      </c>
      <c r="EF29" s="492">
        <v>208.64</v>
      </c>
      <c r="EG29" s="492">
        <v>0</v>
      </c>
      <c r="EH29" s="492">
        <v>0</v>
      </c>
      <c r="EI29" s="492">
        <v>0</v>
      </c>
      <c r="EJ29" s="492">
        <v>0</v>
      </c>
      <c r="EK29" s="492">
        <v>14.63</v>
      </c>
      <c r="EL29" s="492">
        <v>331.27600000000001</v>
      </c>
      <c r="EM29" s="492">
        <v>456.86599999999999</v>
      </c>
      <c r="EN29" s="493">
        <v>2985.5059999999999</v>
      </c>
      <c r="EO29" s="492">
        <v>522.279</v>
      </c>
      <c r="EP29" s="492">
        <v>572.47699999999998</v>
      </c>
      <c r="EQ29" s="492"/>
      <c r="ER29" s="492"/>
      <c r="ES29" s="492"/>
      <c r="ET29" s="492"/>
      <c r="EU29" s="492"/>
      <c r="EV29" s="492"/>
      <c r="EW29" s="492"/>
      <c r="EX29" s="492"/>
      <c r="EY29" s="492"/>
      <c r="EZ29" s="492"/>
      <c r="FA29" s="493">
        <f t="shared" si="174"/>
        <v>1094.7559999999999</v>
      </c>
      <c r="FC29" s="534">
        <f t="shared" si="175"/>
        <v>39.743524846030539</v>
      </c>
      <c r="FD29" s="535">
        <f t="shared" si="176"/>
        <v>-40.269117784620732</v>
      </c>
      <c r="FE29" s="536">
        <f t="shared" si="177"/>
        <v>4233.3879999999999</v>
      </c>
      <c r="FF29" s="537">
        <f t="shared" si="178"/>
        <v>2528.64</v>
      </c>
      <c r="FG29" s="470"/>
      <c r="FH29" s="498">
        <f t="shared" si="179"/>
        <v>158307.89800000007</v>
      </c>
      <c r="FI29" s="499" t="s">
        <v>186</v>
      </c>
      <c r="FJ29" s="500" t="str">
        <f t="shared" si="180"/>
        <v>OK</v>
      </c>
    </row>
    <row r="30" spans="1:166" s="447" customFormat="1" ht="15" customHeight="1" x14ac:dyDescent="0.25">
      <c r="A30" s="555" t="s">
        <v>187</v>
      </c>
      <c r="B30" s="492">
        <v>56</v>
      </c>
      <c r="C30" s="492">
        <v>58</v>
      </c>
      <c r="D30" s="492">
        <v>56</v>
      </c>
      <c r="E30" s="492">
        <v>52</v>
      </c>
      <c r="F30" s="492">
        <v>58</v>
      </c>
      <c r="G30" s="492">
        <v>60</v>
      </c>
      <c r="H30" s="492">
        <v>59</v>
      </c>
      <c r="I30" s="492">
        <v>60</v>
      </c>
      <c r="J30" s="492">
        <v>65</v>
      </c>
      <c r="K30" s="492">
        <v>70</v>
      </c>
      <c r="L30" s="492">
        <v>66</v>
      </c>
      <c r="M30" s="492">
        <v>64</v>
      </c>
      <c r="N30" s="493">
        <f t="shared" si="169"/>
        <v>724</v>
      </c>
      <c r="O30" s="492">
        <v>62</v>
      </c>
      <c r="P30" s="492">
        <v>62</v>
      </c>
      <c r="Q30" s="492">
        <v>61</v>
      </c>
      <c r="R30" s="492">
        <v>59</v>
      </c>
      <c r="S30" s="492">
        <v>58</v>
      </c>
      <c r="T30" s="492">
        <v>65</v>
      </c>
      <c r="U30" s="492">
        <v>59</v>
      </c>
      <c r="V30" s="492">
        <v>52</v>
      </c>
      <c r="W30" s="492">
        <v>51</v>
      </c>
      <c r="X30" s="492">
        <v>58</v>
      </c>
      <c r="Y30" s="492">
        <v>63</v>
      </c>
      <c r="Z30" s="492">
        <v>75</v>
      </c>
      <c r="AA30" s="493">
        <f t="shared" si="170"/>
        <v>725</v>
      </c>
      <c r="AB30" s="492">
        <v>70</v>
      </c>
      <c r="AC30" s="492">
        <v>71</v>
      </c>
      <c r="AD30" s="492">
        <v>84</v>
      </c>
      <c r="AE30" s="492">
        <v>76</v>
      </c>
      <c r="AF30" s="492">
        <v>77</v>
      </c>
      <c r="AG30" s="492">
        <v>75</v>
      </c>
      <c r="AH30" s="492">
        <v>76</v>
      </c>
      <c r="AI30" s="492">
        <v>70</v>
      </c>
      <c r="AJ30" s="492">
        <v>74</v>
      </c>
      <c r="AK30" s="492">
        <v>78</v>
      </c>
      <c r="AL30" s="492">
        <v>85</v>
      </c>
      <c r="AM30" s="492">
        <v>100</v>
      </c>
      <c r="AN30" s="493">
        <f t="shared" si="171"/>
        <v>936</v>
      </c>
      <c r="AO30" s="492">
        <v>82</v>
      </c>
      <c r="AP30" s="492">
        <v>93</v>
      </c>
      <c r="AQ30" s="492">
        <v>97</v>
      </c>
      <c r="AR30" s="492">
        <v>95</v>
      </c>
      <c r="AS30" s="492">
        <v>90</v>
      </c>
      <c r="AT30" s="492">
        <v>100</v>
      </c>
      <c r="AU30" s="492">
        <v>93</v>
      </c>
      <c r="AV30" s="492">
        <v>95</v>
      </c>
      <c r="AW30" s="492">
        <v>86</v>
      </c>
      <c r="AX30" s="492">
        <v>100</v>
      </c>
      <c r="AY30" s="492">
        <v>91</v>
      </c>
      <c r="AZ30" s="492">
        <v>94</v>
      </c>
      <c r="BA30" s="493">
        <f t="shared" si="172"/>
        <v>1116</v>
      </c>
      <c r="BB30" s="492">
        <v>88</v>
      </c>
      <c r="BC30" s="492">
        <v>91</v>
      </c>
      <c r="BD30" s="492">
        <v>96</v>
      </c>
      <c r="BE30" s="492">
        <v>94</v>
      </c>
      <c r="BF30" s="492">
        <v>94</v>
      </c>
      <c r="BG30" s="492">
        <v>89</v>
      </c>
      <c r="BH30" s="492">
        <v>88</v>
      </c>
      <c r="BI30" s="492">
        <v>85</v>
      </c>
      <c r="BJ30" s="492">
        <v>88</v>
      </c>
      <c r="BK30" s="492">
        <v>85</v>
      </c>
      <c r="BL30" s="492">
        <v>86</v>
      </c>
      <c r="BM30" s="492">
        <v>92</v>
      </c>
      <c r="BN30" s="493">
        <f t="shared" si="173"/>
        <v>1076</v>
      </c>
      <c r="BO30" s="492">
        <v>92</v>
      </c>
      <c r="BP30" s="492">
        <v>91</v>
      </c>
      <c r="BQ30" s="492">
        <v>91</v>
      </c>
      <c r="BR30" s="492">
        <v>90</v>
      </c>
      <c r="BS30" s="492">
        <v>92.93</v>
      </c>
      <c r="BT30" s="492">
        <v>92</v>
      </c>
      <c r="BU30" s="492">
        <v>91</v>
      </c>
      <c r="BV30" s="492">
        <v>79</v>
      </c>
      <c r="BW30" s="492">
        <v>84</v>
      </c>
      <c r="BX30" s="492">
        <v>79</v>
      </c>
      <c r="BY30" s="492">
        <v>84</v>
      </c>
      <c r="BZ30" s="492">
        <v>95</v>
      </c>
      <c r="CA30" s="493">
        <v>1060.93</v>
      </c>
      <c r="CB30" s="492">
        <v>93.52</v>
      </c>
      <c r="CC30" s="492">
        <v>99.02</v>
      </c>
      <c r="CD30" s="492">
        <v>97.609000000000009</v>
      </c>
      <c r="CE30" s="492">
        <v>106.59399999999999</v>
      </c>
      <c r="CF30" s="492">
        <v>96.649999999999991</v>
      </c>
      <c r="CG30" s="492">
        <v>96.028000000000006</v>
      </c>
      <c r="CH30" s="492">
        <v>84.659000000000006</v>
      </c>
      <c r="CI30" s="492">
        <v>72.888999999999996</v>
      </c>
      <c r="CJ30" s="492">
        <v>83.25</v>
      </c>
      <c r="CK30" s="492">
        <v>81.669999999999987</v>
      </c>
      <c r="CL30" s="492">
        <v>86.23</v>
      </c>
      <c r="CM30" s="492">
        <v>104.6</v>
      </c>
      <c r="CN30" s="493">
        <v>1102.7189999999998</v>
      </c>
      <c r="CO30" s="492">
        <v>82.11999999999999</v>
      </c>
      <c r="CP30" s="492">
        <v>92.21</v>
      </c>
      <c r="CQ30" s="492">
        <v>77.759000000000015</v>
      </c>
      <c r="CR30" s="492">
        <v>95.03</v>
      </c>
      <c r="CS30" s="492">
        <v>94.43</v>
      </c>
      <c r="CT30" s="492">
        <v>87.067999999999998</v>
      </c>
      <c r="CU30" s="492">
        <v>82.320000000000007</v>
      </c>
      <c r="CV30" s="492">
        <v>55.689</v>
      </c>
      <c r="CW30" s="492">
        <v>70.3</v>
      </c>
      <c r="CX30" s="492">
        <v>62.910000000000004</v>
      </c>
      <c r="CY30" s="492">
        <v>51.277000000000001</v>
      </c>
      <c r="CZ30" s="492">
        <v>42.9</v>
      </c>
      <c r="DA30" s="493">
        <v>894.01300000000003</v>
      </c>
      <c r="DB30" s="492">
        <v>30.24</v>
      </c>
      <c r="DC30" s="492">
        <v>22.13</v>
      </c>
      <c r="DD30" s="492">
        <v>18.75</v>
      </c>
      <c r="DE30" s="492"/>
      <c r="DF30" s="492"/>
      <c r="DG30" s="492"/>
      <c r="DH30" s="492"/>
      <c r="DI30" s="492"/>
      <c r="DJ30" s="492"/>
      <c r="DK30" s="492"/>
      <c r="DL30" s="492"/>
      <c r="DM30" s="492"/>
      <c r="DN30" s="493">
        <v>71.12</v>
      </c>
      <c r="DO30" s="492">
        <v>0</v>
      </c>
      <c r="DP30" s="492">
        <v>0</v>
      </c>
      <c r="DQ30" s="492">
        <v>0</v>
      </c>
      <c r="DR30" s="492">
        <v>0</v>
      </c>
      <c r="DS30" s="492">
        <v>0</v>
      </c>
      <c r="DT30" s="492">
        <v>0</v>
      </c>
      <c r="DU30" s="492">
        <v>0</v>
      </c>
      <c r="DV30" s="492">
        <v>0</v>
      </c>
      <c r="DW30" s="492">
        <v>0</v>
      </c>
      <c r="DX30" s="492">
        <v>0</v>
      </c>
      <c r="DY30" s="492">
        <v>0</v>
      </c>
      <c r="DZ30" s="492">
        <v>0</v>
      </c>
      <c r="EA30" s="493">
        <v>0</v>
      </c>
      <c r="EB30" s="492">
        <v>0</v>
      </c>
      <c r="EC30" s="492">
        <v>0</v>
      </c>
      <c r="ED30" s="492">
        <v>0</v>
      </c>
      <c r="EE30" s="492">
        <v>0</v>
      </c>
      <c r="EF30" s="492">
        <v>0</v>
      </c>
      <c r="EG30" s="492">
        <v>0</v>
      </c>
      <c r="EH30" s="492">
        <v>0</v>
      </c>
      <c r="EI30" s="492">
        <v>0</v>
      </c>
      <c r="EJ30" s="492">
        <v>0</v>
      </c>
      <c r="EK30" s="492">
        <v>0</v>
      </c>
      <c r="EL30" s="492">
        <v>0</v>
      </c>
      <c r="EM30" s="492">
        <v>0</v>
      </c>
      <c r="EN30" s="493">
        <v>0</v>
      </c>
      <c r="EO30" s="492">
        <v>0</v>
      </c>
      <c r="EP30" s="492">
        <v>0</v>
      </c>
      <c r="EQ30" s="492"/>
      <c r="ER30" s="492"/>
      <c r="ES30" s="492"/>
      <c r="ET30" s="492"/>
      <c r="EU30" s="492"/>
      <c r="EV30" s="492"/>
      <c r="EW30" s="492"/>
      <c r="EX30" s="492"/>
      <c r="EY30" s="492"/>
      <c r="EZ30" s="492"/>
      <c r="FA30" s="493">
        <f t="shared" si="174"/>
        <v>0</v>
      </c>
      <c r="FC30" s="534" t="str">
        <f t="shared" si="175"/>
        <v/>
      </c>
      <c r="FD30" s="535" t="str">
        <f t="shared" si="176"/>
        <v/>
      </c>
      <c r="FE30" s="536">
        <f t="shared" si="177"/>
        <v>0</v>
      </c>
      <c r="FF30" s="537">
        <f t="shared" si="178"/>
        <v>0</v>
      </c>
      <c r="FG30" s="470"/>
      <c r="FH30" s="498">
        <f t="shared" si="179"/>
        <v>15411.563999999998</v>
      </c>
      <c r="FI30" s="499" t="s">
        <v>187</v>
      </c>
      <c r="FJ30" s="500" t="str">
        <f t="shared" si="180"/>
        <v>OK</v>
      </c>
    </row>
    <row r="31" spans="1:166" s="447" customFormat="1" ht="15" customHeight="1" x14ac:dyDescent="0.25">
      <c r="A31" s="555" t="s">
        <v>175</v>
      </c>
      <c r="B31" s="492">
        <v>815</v>
      </c>
      <c r="C31" s="492">
        <v>819</v>
      </c>
      <c r="D31" s="492">
        <v>648</v>
      </c>
      <c r="E31" s="492">
        <v>470</v>
      </c>
      <c r="F31" s="492">
        <v>525</v>
      </c>
      <c r="G31" s="492">
        <v>610</v>
      </c>
      <c r="H31" s="492">
        <v>637</v>
      </c>
      <c r="I31" s="492">
        <v>572</v>
      </c>
      <c r="J31" s="492">
        <v>988</v>
      </c>
      <c r="K31" s="492">
        <v>1093</v>
      </c>
      <c r="L31" s="492">
        <v>1279</v>
      </c>
      <c r="M31" s="492">
        <v>1459</v>
      </c>
      <c r="N31" s="493">
        <f t="shared" si="169"/>
        <v>9915</v>
      </c>
      <c r="O31" s="492">
        <v>734</v>
      </c>
      <c r="P31" s="492">
        <v>824</v>
      </c>
      <c r="Q31" s="492">
        <v>713</v>
      </c>
      <c r="R31" s="492">
        <v>506</v>
      </c>
      <c r="S31" s="492">
        <v>537</v>
      </c>
      <c r="T31" s="492">
        <v>612</v>
      </c>
      <c r="U31" s="492">
        <v>545</v>
      </c>
      <c r="V31" s="492">
        <v>473</v>
      </c>
      <c r="W31" s="492">
        <v>778</v>
      </c>
      <c r="X31" s="492">
        <v>1049</v>
      </c>
      <c r="Y31" s="492">
        <v>1244</v>
      </c>
      <c r="Z31" s="492">
        <v>1484</v>
      </c>
      <c r="AA31" s="493">
        <f t="shared" si="170"/>
        <v>9499</v>
      </c>
      <c r="AB31" s="492">
        <v>956</v>
      </c>
      <c r="AC31" s="492">
        <v>892</v>
      </c>
      <c r="AD31" s="492">
        <v>783</v>
      </c>
      <c r="AE31" s="492">
        <v>564</v>
      </c>
      <c r="AF31" s="492">
        <v>608</v>
      </c>
      <c r="AG31" s="492">
        <v>666</v>
      </c>
      <c r="AH31" s="492">
        <v>552</v>
      </c>
      <c r="AI31" s="492">
        <v>501</v>
      </c>
      <c r="AJ31" s="492">
        <v>829</v>
      </c>
      <c r="AK31" s="492">
        <v>1284</v>
      </c>
      <c r="AL31" s="492">
        <v>1466</v>
      </c>
      <c r="AM31" s="492">
        <v>1885</v>
      </c>
      <c r="AN31" s="493">
        <f t="shared" si="171"/>
        <v>10986</v>
      </c>
      <c r="AO31" s="492">
        <v>739</v>
      </c>
      <c r="AP31" s="492">
        <v>792</v>
      </c>
      <c r="AQ31" s="492">
        <v>695</v>
      </c>
      <c r="AR31" s="492">
        <v>485</v>
      </c>
      <c r="AS31" s="492">
        <v>555</v>
      </c>
      <c r="AT31" s="492">
        <v>532</v>
      </c>
      <c r="AU31" s="492">
        <v>466</v>
      </c>
      <c r="AV31" s="492">
        <v>428</v>
      </c>
      <c r="AW31" s="492">
        <v>775</v>
      </c>
      <c r="AX31" s="492">
        <v>1206</v>
      </c>
      <c r="AY31" s="492">
        <v>1209</v>
      </c>
      <c r="AZ31" s="492">
        <v>1493</v>
      </c>
      <c r="BA31" s="493">
        <f t="shared" si="172"/>
        <v>9375</v>
      </c>
      <c r="BB31" s="492">
        <v>896</v>
      </c>
      <c r="BC31" s="492">
        <v>779</v>
      </c>
      <c r="BD31" s="492">
        <v>695</v>
      </c>
      <c r="BE31" s="492">
        <v>539</v>
      </c>
      <c r="BF31" s="492">
        <v>506</v>
      </c>
      <c r="BG31" s="492">
        <v>496</v>
      </c>
      <c r="BH31" s="492">
        <v>497</v>
      </c>
      <c r="BI31" s="492">
        <v>530</v>
      </c>
      <c r="BJ31" s="492">
        <v>831</v>
      </c>
      <c r="BK31" s="492">
        <v>1204</v>
      </c>
      <c r="BL31" s="492">
        <v>1288</v>
      </c>
      <c r="BM31" s="492">
        <v>1543</v>
      </c>
      <c r="BN31" s="493">
        <f t="shared" si="173"/>
        <v>9804</v>
      </c>
      <c r="BO31" s="492">
        <v>993.86899999999991</v>
      </c>
      <c r="BP31" s="492">
        <v>858.58000000000015</v>
      </c>
      <c r="BQ31" s="492">
        <v>693.80000000000007</v>
      </c>
      <c r="BR31" s="492">
        <v>549.57000000000005</v>
      </c>
      <c r="BS31" s="492">
        <v>514.44999999999993</v>
      </c>
      <c r="BT31" s="492">
        <v>519.81000000000006</v>
      </c>
      <c r="BU31" s="492">
        <v>598.61000000000013</v>
      </c>
      <c r="BV31" s="492">
        <v>671.64</v>
      </c>
      <c r="BW31" s="492">
        <v>1351.53</v>
      </c>
      <c r="BX31" s="492">
        <v>1601.8999999999996</v>
      </c>
      <c r="BY31" s="492">
        <v>1568.1100000000001</v>
      </c>
      <c r="BZ31" s="492">
        <v>1686.519</v>
      </c>
      <c r="CA31" s="493">
        <v>11608.388000000001</v>
      </c>
      <c r="CB31" s="492">
        <v>1181.19</v>
      </c>
      <c r="CC31" s="492">
        <v>919.69</v>
      </c>
      <c r="CD31" s="492">
        <v>1026.5830000000001</v>
      </c>
      <c r="CE31" s="492">
        <v>1138.9190000000001</v>
      </c>
      <c r="CF31" s="492">
        <v>877.88</v>
      </c>
      <c r="CG31" s="492">
        <v>783.57</v>
      </c>
      <c r="CH31" s="492">
        <v>693.72</v>
      </c>
      <c r="CI31" s="492">
        <v>620.04</v>
      </c>
      <c r="CJ31" s="492">
        <v>1068.6799999999998</v>
      </c>
      <c r="CK31" s="492">
        <v>1566.99</v>
      </c>
      <c r="CL31" s="492">
        <v>1841.57</v>
      </c>
      <c r="CM31" s="492">
        <v>1811.4600000000003</v>
      </c>
      <c r="CN31" s="493">
        <v>13530.292000000001</v>
      </c>
      <c r="CO31" s="492">
        <v>1119.4990000000003</v>
      </c>
      <c r="CP31" s="492">
        <v>878.28899999999999</v>
      </c>
      <c r="CQ31" s="492">
        <v>879.72</v>
      </c>
      <c r="CR31" s="492">
        <v>881.86900000000014</v>
      </c>
      <c r="CS31" s="492">
        <v>914.09</v>
      </c>
      <c r="CT31" s="492">
        <v>932.99</v>
      </c>
      <c r="CU31" s="492">
        <v>870.34900000000005</v>
      </c>
      <c r="CV31" s="492">
        <v>735.428</v>
      </c>
      <c r="CW31" s="492">
        <v>1064.4899999999998</v>
      </c>
      <c r="CX31" s="492">
        <v>1391.3300000000002</v>
      </c>
      <c r="CY31" s="492">
        <v>1164.2000000000003</v>
      </c>
      <c r="CZ31" s="492">
        <v>1399.39</v>
      </c>
      <c r="DA31" s="493">
        <v>12231.644</v>
      </c>
      <c r="DB31" s="492">
        <v>1048.46</v>
      </c>
      <c r="DC31" s="492">
        <v>829.029</v>
      </c>
      <c r="DD31" s="492">
        <v>734.62</v>
      </c>
      <c r="DE31" s="492">
        <v>766.57900000000006</v>
      </c>
      <c r="DF31" s="492">
        <v>886.51</v>
      </c>
      <c r="DG31" s="492">
        <v>921.40899999999999</v>
      </c>
      <c r="DH31" s="492">
        <v>885.94</v>
      </c>
      <c r="DI31" s="492">
        <v>824.17400000000021</v>
      </c>
      <c r="DJ31" s="492">
        <v>999.178</v>
      </c>
      <c r="DK31" s="492">
        <v>1016.139</v>
      </c>
      <c r="DL31" s="492">
        <v>890.14999999999986</v>
      </c>
      <c r="DM31" s="492">
        <v>565.82499999999993</v>
      </c>
      <c r="DN31" s="493">
        <v>10368.013000000001</v>
      </c>
      <c r="DO31" s="492">
        <v>513.02900000000011</v>
      </c>
      <c r="DP31" s="492">
        <v>456.20899999999989</v>
      </c>
      <c r="DQ31" s="492">
        <v>403.00900000000001</v>
      </c>
      <c r="DR31" s="492">
        <v>331.06900000000002</v>
      </c>
      <c r="DS31" s="492">
        <v>253.1</v>
      </c>
      <c r="DT31" s="492">
        <v>315.78899999999999</v>
      </c>
      <c r="DU31" s="492">
        <v>474.28800000000001</v>
      </c>
      <c r="DV31" s="492">
        <v>465.29</v>
      </c>
      <c r="DW31" s="492">
        <v>825.8069999999999</v>
      </c>
      <c r="DX31" s="492">
        <v>784.18799999999999</v>
      </c>
      <c r="DY31" s="492">
        <v>693.81</v>
      </c>
      <c r="DZ31" s="492">
        <v>479.69599999999991</v>
      </c>
      <c r="EA31" s="493">
        <v>5995.2839999999997</v>
      </c>
      <c r="EB31" s="492">
        <v>297.26900000000001</v>
      </c>
      <c r="EC31" s="492">
        <v>305.23599999999999</v>
      </c>
      <c r="ED31" s="492">
        <v>227.31399999999999</v>
      </c>
      <c r="EE31" s="492">
        <v>174.17</v>
      </c>
      <c r="EF31" s="492">
        <v>140.36000000000001</v>
      </c>
      <c r="EG31" s="492">
        <v>185.369</v>
      </c>
      <c r="EH31" s="492">
        <v>299.34899999999999</v>
      </c>
      <c r="EI31" s="492">
        <v>277.38900000000001</v>
      </c>
      <c r="EJ31" s="492">
        <v>473.51600000000002</v>
      </c>
      <c r="EK31" s="492">
        <v>601.47799999999995</v>
      </c>
      <c r="EL31" s="492">
        <v>678.03000000000009</v>
      </c>
      <c r="EM31" s="492">
        <v>693.93200000000002</v>
      </c>
      <c r="EN31" s="493">
        <v>4353.4120000000003</v>
      </c>
      <c r="EO31" s="492">
        <v>278.12900000000002</v>
      </c>
      <c r="EP31" s="492">
        <v>289.58900000000011</v>
      </c>
      <c r="EQ31" s="492"/>
      <c r="ER31" s="492"/>
      <c r="ES31" s="492"/>
      <c r="ET31" s="492"/>
      <c r="EU31" s="492"/>
      <c r="EV31" s="492"/>
      <c r="EW31" s="492"/>
      <c r="EX31" s="492"/>
      <c r="EY31" s="492"/>
      <c r="EZ31" s="492"/>
      <c r="FA31" s="493">
        <f t="shared" si="174"/>
        <v>567.71800000000007</v>
      </c>
      <c r="FC31" s="534">
        <f t="shared" si="175"/>
        <v>-2.2743978899122053</v>
      </c>
      <c r="FD31" s="535">
        <f t="shared" si="176"/>
        <v>-33.65204217573902</v>
      </c>
      <c r="FE31" s="536">
        <f t="shared" si="177"/>
        <v>5515.5879999999997</v>
      </c>
      <c r="FF31" s="537">
        <f t="shared" si="178"/>
        <v>3659.48</v>
      </c>
      <c r="FG31" s="470"/>
      <c r="FH31" s="498">
        <f t="shared" si="179"/>
        <v>216467.50200000004</v>
      </c>
      <c r="FI31" s="499" t="s">
        <v>175</v>
      </c>
      <c r="FJ31" s="500" t="str">
        <f t="shared" si="180"/>
        <v>OK</v>
      </c>
    </row>
    <row r="32" spans="1:166" s="447" customFormat="1" ht="15" customHeight="1" x14ac:dyDescent="0.25">
      <c r="A32" s="555" t="s">
        <v>169</v>
      </c>
      <c r="B32" s="492">
        <v>24878</v>
      </c>
      <c r="C32" s="492">
        <v>24624</v>
      </c>
      <c r="D32" s="492">
        <v>23274</v>
      </c>
      <c r="E32" s="492">
        <v>21375</v>
      </c>
      <c r="F32" s="492">
        <v>19764</v>
      </c>
      <c r="G32" s="492">
        <v>19135</v>
      </c>
      <c r="H32" s="492">
        <v>19695</v>
      </c>
      <c r="I32" s="492">
        <v>20664</v>
      </c>
      <c r="J32" s="492">
        <v>23104</v>
      </c>
      <c r="K32" s="492">
        <v>24882</v>
      </c>
      <c r="L32" s="492">
        <v>25948</v>
      </c>
      <c r="M32" s="492">
        <v>27038</v>
      </c>
      <c r="N32" s="493">
        <f t="shared" si="169"/>
        <v>274381</v>
      </c>
      <c r="O32" s="492">
        <v>25853</v>
      </c>
      <c r="P32" s="492">
        <v>25011</v>
      </c>
      <c r="Q32" s="492">
        <v>23065</v>
      </c>
      <c r="R32" s="492">
        <v>21509</v>
      </c>
      <c r="S32" s="492">
        <v>19239</v>
      </c>
      <c r="T32" s="492">
        <v>18942</v>
      </c>
      <c r="U32" s="492">
        <v>18485</v>
      </c>
      <c r="V32" s="492">
        <v>18347</v>
      </c>
      <c r="W32" s="492">
        <v>19581</v>
      </c>
      <c r="X32" s="492">
        <v>22223</v>
      </c>
      <c r="Y32" s="492">
        <v>24106</v>
      </c>
      <c r="Z32" s="492">
        <v>26007</v>
      </c>
      <c r="AA32" s="493">
        <f t="shared" si="170"/>
        <v>262368</v>
      </c>
      <c r="AB32" s="492">
        <v>24855</v>
      </c>
      <c r="AC32" s="492">
        <v>24078</v>
      </c>
      <c r="AD32" s="492">
        <v>22997</v>
      </c>
      <c r="AE32" s="492">
        <v>21175</v>
      </c>
      <c r="AF32" s="492">
        <v>20289</v>
      </c>
      <c r="AG32" s="492">
        <v>19646</v>
      </c>
      <c r="AH32" s="492">
        <v>19316</v>
      </c>
      <c r="AI32" s="492">
        <v>19018</v>
      </c>
      <c r="AJ32" s="492">
        <v>20200</v>
      </c>
      <c r="AK32" s="492">
        <v>21409</v>
      </c>
      <c r="AL32" s="492">
        <v>23130</v>
      </c>
      <c r="AM32" s="492">
        <v>24841</v>
      </c>
      <c r="AN32" s="493">
        <f t="shared" si="171"/>
        <v>260954</v>
      </c>
      <c r="AO32" s="492">
        <v>25370</v>
      </c>
      <c r="AP32" s="492">
        <v>26319</v>
      </c>
      <c r="AQ32" s="492">
        <v>25039</v>
      </c>
      <c r="AR32" s="492">
        <v>22985</v>
      </c>
      <c r="AS32" s="492">
        <v>21954</v>
      </c>
      <c r="AT32" s="492">
        <v>20722</v>
      </c>
      <c r="AU32" s="492">
        <v>20429</v>
      </c>
      <c r="AV32" s="492">
        <v>21028</v>
      </c>
      <c r="AW32" s="492">
        <v>20977</v>
      </c>
      <c r="AX32" s="492">
        <v>22349</v>
      </c>
      <c r="AY32" s="492">
        <v>24061</v>
      </c>
      <c r="AZ32" s="492">
        <v>25541</v>
      </c>
      <c r="BA32" s="493">
        <f t="shared" si="172"/>
        <v>276774</v>
      </c>
      <c r="BB32" s="492">
        <v>26320</v>
      </c>
      <c r="BC32" s="492">
        <v>26702</v>
      </c>
      <c r="BD32" s="492">
        <v>25658</v>
      </c>
      <c r="BE32" s="492">
        <v>23443</v>
      </c>
      <c r="BF32" s="492">
        <v>22912</v>
      </c>
      <c r="BG32" s="492">
        <v>21363</v>
      </c>
      <c r="BH32" s="492">
        <v>21804</v>
      </c>
      <c r="BI32" s="492">
        <v>20591</v>
      </c>
      <c r="BJ32" s="492">
        <v>21551</v>
      </c>
      <c r="BK32" s="492">
        <v>23439</v>
      </c>
      <c r="BL32" s="492">
        <v>24454</v>
      </c>
      <c r="BM32" s="492">
        <v>25929</v>
      </c>
      <c r="BN32" s="493">
        <f t="shared" si="173"/>
        <v>284166</v>
      </c>
      <c r="BO32" s="492">
        <v>27814.670000000002</v>
      </c>
      <c r="BP32" s="492">
        <v>28139.999999999996</v>
      </c>
      <c r="BQ32" s="492">
        <v>26608.12</v>
      </c>
      <c r="BR32" s="492">
        <v>25080.27</v>
      </c>
      <c r="BS32" s="492">
        <v>22820.500000000004</v>
      </c>
      <c r="BT32" s="492">
        <v>21725.88</v>
      </c>
      <c r="BU32" s="492">
        <v>21713.48</v>
      </c>
      <c r="BV32" s="492">
        <v>21858.34</v>
      </c>
      <c r="BW32" s="492">
        <v>23199.989999999994</v>
      </c>
      <c r="BX32" s="492">
        <v>24177.78</v>
      </c>
      <c r="BY32" s="492">
        <v>26200.03</v>
      </c>
      <c r="BZ32" s="492">
        <v>27297.4</v>
      </c>
      <c r="CA32" s="493">
        <v>296636.46000000002</v>
      </c>
      <c r="CB32" s="492">
        <v>29573.099999999995</v>
      </c>
      <c r="CC32" s="492">
        <v>28881.500000000004</v>
      </c>
      <c r="CD32" s="492">
        <v>28688.948</v>
      </c>
      <c r="CE32" s="492">
        <v>28648.825000000001</v>
      </c>
      <c r="CF32" s="492">
        <v>27251.858</v>
      </c>
      <c r="CG32" s="492">
        <v>26453.279999999999</v>
      </c>
      <c r="CH32" s="492">
        <v>25892.760000000006</v>
      </c>
      <c r="CI32" s="492">
        <v>24662.298999999999</v>
      </c>
      <c r="CJ32" s="492">
        <v>24712.300000000003</v>
      </c>
      <c r="CK32" s="492">
        <v>25035.29</v>
      </c>
      <c r="CL32" s="492">
        <v>27079.5</v>
      </c>
      <c r="CM32" s="492">
        <v>29317.879999999997</v>
      </c>
      <c r="CN32" s="493">
        <v>326197.53999999998</v>
      </c>
      <c r="CO32" s="492">
        <v>27438.500000000004</v>
      </c>
      <c r="CP32" s="492">
        <v>27395.200000000004</v>
      </c>
      <c r="CQ32" s="492">
        <v>26173.199999999997</v>
      </c>
      <c r="CR32" s="492">
        <v>24636.639000000003</v>
      </c>
      <c r="CS32" s="492">
        <v>23495.838999999996</v>
      </c>
      <c r="CT32" s="492">
        <v>23097.509000000002</v>
      </c>
      <c r="CU32" s="492">
        <v>23073.269</v>
      </c>
      <c r="CV32" s="492">
        <v>25398.059999999998</v>
      </c>
      <c r="CW32" s="492">
        <v>25023.96</v>
      </c>
      <c r="CX32" s="492">
        <v>23638.758999999998</v>
      </c>
      <c r="CY32" s="492">
        <v>22147.259000000002</v>
      </c>
      <c r="CZ32" s="492">
        <v>21748.308999999997</v>
      </c>
      <c r="DA32" s="493">
        <v>293266.50300000003</v>
      </c>
      <c r="DB32" s="492">
        <v>21747.3</v>
      </c>
      <c r="DC32" s="492">
        <v>21221.45</v>
      </c>
      <c r="DD32" s="492">
        <v>22662.269999999997</v>
      </c>
      <c r="DE32" s="492">
        <v>22860.469999999998</v>
      </c>
      <c r="DF32" s="492">
        <v>23918.01</v>
      </c>
      <c r="DG32" s="492">
        <v>24787.069</v>
      </c>
      <c r="DH32" s="492">
        <v>25149.56</v>
      </c>
      <c r="DI32" s="492">
        <v>25300.01</v>
      </c>
      <c r="DJ32" s="492">
        <v>25726.32</v>
      </c>
      <c r="DK32" s="492">
        <v>26332.949000000001</v>
      </c>
      <c r="DL32" s="492">
        <v>26512.49</v>
      </c>
      <c r="DM32" s="492">
        <v>26595.5</v>
      </c>
      <c r="DN32" s="493">
        <v>292813.39799999999</v>
      </c>
      <c r="DO32" s="492">
        <v>27256.348000000002</v>
      </c>
      <c r="DP32" s="492">
        <v>26673.96</v>
      </c>
      <c r="DQ32" s="492">
        <v>26382.68</v>
      </c>
      <c r="DR32" s="492">
        <v>25154.51</v>
      </c>
      <c r="DS32" s="492">
        <v>24722.708999999999</v>
      </c>
      <c r="DT32" s="492">
        <v>24585.239000000001</v>
      </c>
      <c r="DU32" s="492">
        <v>24690.49</v>
      </c>
      <c r="DV32" s="492">
        <v>24544.419000000002</v>
      </c>
      <c r="DW32" s="492">
        <v>24427.77</v>
      </c>
      <c r="DX32" s="492">
        <v>24292.699000000011</v>
      </c>
      <c r="DY32" s="492">
        <v>24163.739000000001</v>
      </c>
      <c r="DZ32" s="492">
        <v>24324.49</v>
      </c>
      <c r="EA32" s="493">
        <v>301219.05299999996</v>
      </c>
      <c r="EB32" s="492">
        <v>23963.65</v>
      </c>
      <c r="EC32" s="492">
        <v>23994.688999999998</v>
      </c>
      <c r="ED32" s="492">
        <v>23033.46</v>
      </c>
      <c r="EE32" s="492">
        <v>22143.989000000001</v>
      </c>
      <c r="EF32" s="492">
        <v>19133.88</v>
      </c>
      <c r="EG32" s="492">
        <v>18338.628000000001</v>
      </c>
      <c r="EH32" s="492">
        <v>17360.148000000001</v>
      </c>
      <c r="EI32" s="492">
        <v>16913.749</v>
      </c>
      <c r="EJ32" s="492">
        <v>16821.088</v>
      </c>
      <c r="EK32" s="492">
        <v>16774.716</v>
      </c>
      <c r="EL32" s="492">
        <v>16438.996999999999</v>
      </c>
      <c r="EM32" s="492">
        <v>16301.939</v>
      </c>
      <c r="EN32" s="493">
        <v>231218.93300000005</v>
      </c>
      <c r="EO32" s="492">
        <v>15927.689</v>
      </c>
      <c r="EP32" s="492">
        <v>15700.079</v>
      </c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3">
        <f t="shared" si="174"/>
        <v>31627.768</v>
      </c>
      <c r="FC32" s="534">
        <f t="shared" si="175"/>
        <v>-31.968322452084095</v>
      </c>
      <c r="FD32" s="535">
        <f t="shared" si="176"/>
        <v>-22.383093524302943</v>
      </c>
      <c r="FE32" s="536">
        <f t="shared" si="177"/>
        <v>276894.56299999997</v>
      </c>
      <c r="FF32" s="537">
        <f t="shared" si="178"/>
        <v>214916.99400000004</v>
      </c>
      <c r="FG32" s="470"/>
      <c r="FH32" s="498">
        <f t="shared" si="179"/>
        <v>6263245.3099999996</v>
      </c>
      <c r="FI32" s="499" t="s">
        <v>169</v>
      </c>
      <c r="FJ32" s="500" t="str">
        <f t="shared" si="180"/>
        <v>OK</v>
      </c>
    </row>
    <row r="33" spans="1:166" s="447" customFormat="1" ht="15" customHeight="1" x14ac:dyDescent="0.25">
      <c r="A33" s="555" t="s">
        <v>627</v>
      </c>
      <c r="B33" s="492"/>
      <c r="C33" s="492"/>
      <c r="D33" s="492"/>
      <c r="E33" s="492"/>
      <c r="F33" s="492"/>
      <c r="G33" s="492"/>
      <c r="H33" s="492"/>
      <c r="I33" s="492"/>
      <c r="J33" s="492"/>
      <c r="K33" s="492"/>
      <c r="L33" s="492"/>
      <c r="M33" s="492"/>
      <c r="N33" s="493">
        <f t="shared" si="169"/>
        <v>0</v>
      </c>
      <c r="O33" s="492"/>
      <c r="P33" s="492"/>
      <c r="Q33" s="492"/>
      <c r="R33" s="492"/>
      <c r="S33" s="492"/>
      <c r="T33" s="492"/>
      <c r="U33" s="492"/>
      <c r="V33" s="492"/>
      <c r="W33" s="492"/>
      <c r="X33" s="492"/>
      <c r="Y33" s="492"/>
      <c r="Z33" s="492"/>
      <c r="AA33" s="493">
        <f t="shared" si="170"/>
        <v>0</v>
      </c>
      <c r="AB33" s="492"/>
      <c r="AC33" s="492"/>
      <c r="AD33" s="492"/>
      <c r="AE33" s="492"/>
      <c r="AF33" s="492"/>
      <c r="AG33" s="492"/>
      <c r="AH33" s="492"/>
      <c r="AI33" s="492"/>
      <c r="AJ33" s="492"/>
      <c r="AK33" s="492"/>
      <c r="AL33" s="492"/>
      <c r="AM33" s="492"/>
      <c r="AN33" s="493">
        <f t="shared" si="171"/>
        <v>0</v>
      </c>
      <c r="AO33" s="492"/>
      <c r="AP33" s="492"/>
      <c r="AQ33" s="492"/>
      <c r="AR33" s="492"/>
      <c r="AS33" s="492"/>
      <c r="AT33" s="492"/>
      <c r="AU33" s="492"/>
      <c r="AV33" s="492"/>
      <c r="AW33" s="492"/>
      <c r="AX33" s="492"/>
      <c r="AY33" s="492"/>
      <c r="AZ33" s="492"/>
      <c r="BA33" s="493">
        <f t="shared" si="172"/>
        <v>0</v>
      </c>
      <c r="BB33" s="492"/>
      <c r="BC33" s="492"/>
      <c r="BD33" s="492"/>
      <c r="BE33" s="492"/>
      <c r="BF33" s="492"/>
      <c r="BG33" s="492"/>
      <c r="BH33" s="492"/>
      <c r="BI33" s="492"/>
      <c r="BJ33" s="492"/>
      <c r="BK33" s="492"/>
      <c r="BL33" s="492"/>
      <c r="BM33" s="492"/>
      <c r="BN33" s="493">
        <f t="shared" si="173"/>
        <v>0</v>
      </c>
      <c r="BO33" s="492"/>
      <c r="BP33" s="492"/>
      <c r="BQ33" s="492"/>
      <c r="BR33" s="492"/>
      <c r="BS33" s="492"/>
      <c r="BT33" s="492"/>
      <c r="BU33" s="492"/>
      <c r="BV33" s="492"/>
      <c r="BW33" s="492"/>
      <c r="BX33" s="492"/>
      <c r="BY33" s="492"/>
      <c r="BZ33" s="492"/>
      <c r="CA33" s="493"/>
      <c r="CB33" s="492"/>
      <c r="CC33" s="492"/>
      <c r="CD33" s="492"/>
      <c r="CE33" s="492"/>
      <c r="CF33" s="492"/>
      <c r="CG33" s="492"/>
      <c r="CH33" s="492"/>
      <c r="CI33" s="492"/>
      <c r="CJ33" s="492"/>
      <c r="CK33" s="492"/>
      <c r="CL33" s="492"/>
      <c r="CM33" s="492"/>
      <c r="CN33" s="493"/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/>
      <c r="DA33" s="493"/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3"/>
      <c r="DO33" s="492">
        <v>0</v>
      </c>
      <c r="DP33" s="492">
        <v>0</v>
      </c>
      <c r="DQ33" s="492">
        <v>0</v>
      </c>
      <c r="DR33" s="492">
        <v>0</v>
      </c>
      <c r="DS33" s="492">
        <v>0</v>
      </c>
      <c r="DT33" s="492">
        <v>0</v>
      </c>
      <c r="DU33" s="492">
        <v>0</v>
      </c>
      <c r="DV33" s="492">
        <v>0</v>
      </c>
      <c r="DW33" s="492">
        <v>0</v>
      </c>
      <c r="DX33" s="492">
        <v>0</v>
      </c>
      <c r="DY33" s="492">
        <v>0</v>
      </c>
      <c r="DZ33" s="492">
        <v>0</v>
      </c>
      <c r="EA33" s="493">
        <v>0</v>
      </c>
      <c r="EB33" s="492">
        <v>0</v>
      </c>
      <c r="EC33" s="492">
        <v>0</v>
      </c>
      <c r="ED33" s="492">
        <v>0</v>
      </c>
      <c r="EE33" s="492">
        <v>0</v>
      </c>
      <c r="EF33" s="492">
        <v>0</v>
      </c>
      <c r="EG33" s="492">
        <v>0</v>
      </c>
      <c r="EH33" s="492">
        <v>0</v>
      </c>
      <c r="EI33" s="492">
        <v>0</v>
      </c>
      <c r="EJ33" s="492">
        <v>0</v>
      </c>
      <c r="EK33" s="492">
        <v>0</v>
      </c>
      <c r="EL33" s="492">
        <v>0</v>
      </c>
      <c r="EM33" s="492">
        <v>0</v>
      </c>
      <c r="EN33" s="493">
        <v>0</v>
      </c>
      <c r="EO33" s="492">
        <v>0</v>
      </c>
      <c r="EP33" s="492">
        <v>0</v>
      </c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3">
        <f t="shared" si="174"/>
        <v>0</v>
      </c>
      <c r="FC33" s="534" t="str">
        <f t="shared" si="175"/>
        <v/>
      </c>
      <c r="FD33" s="535" t="str">
        <f t="shared" si="176"/>
        <v/>
      </c>
      <c r="FE33" s="536">
        <f t="shared" si="177"/>
        <v>0</v>
      </c>
      <c r="FF33" s="537">
        <f t="shared" si="178"/>
        <v>0</v>
      </c>
      <c r="FG33" s="470"/>
      <c r="FH33" s="498">
        <f t="shared" si="179"/>
        <v>0</v>
      </c>
      <c r="FI33" s="499" t="s">
        <v>627</v>
      </c>
      <c r="FJ33" s="500" t="str">
        <f t="shared" si="180"/>
        <v>OK</v>
      </c>
    </row>
    <row r="34" spans="1:166" s="447" customFormat="1" ht="15" customHeight="1" x14ac:dyDescent="0.25">
      <c r="A34" s="555" t="s">
        <v>178</v>
      </c>
      <c r="B34" s="492"/>
      <c r="C34" s="492"/>
      <c r="D34" s="492"/>
      <c r="E34" s="492"/>
      <c r="F34" s="492"/>
      <c r="G34" s="492"/>
      <c r="H34" s="492">
        <v>217</v>
      </c>
      <c r="I34" s="492">
        <v>1021</v>
      </c>
      <c r="J34" s="492">
        <v>1399</v>
      </c>
      <c r="K34" s="492">
        <v>1122</v>
      </c>
      <c r="L34" s="492">
        <v>263</v>
      </c>
      <c r="M34" s="492">
        <v>135</v>
      </c>
      <c r="N34" s="493">
        <f t="shared" si="169"/>
        <v>4157</v>
      </c>
      <c r="O34" s="492">
        <v>34</v>
      </c>
      <c r="P34" s="492">
        <v>46</v>
      </c>
      <c r="Q34" s="492"/>
      <c r="R34" s="492"/>
      <c r="S34" s="492"/>
      <c r="T34" s="492"/>
      <c r="U34" s="492">
        <v>108</v>
      </c>
      <c r="V34" s="492">
        <v>860</v>
      </c>
      <c r="W34" s="492">
        <v>693</v>
      </c>
      <c r="X34" s="492">
        <v>436</v>
      </c>
      <c r="Y34" s="492">
        <v>180</v>
      </c>
      <c r="Z34" s="492">
        <v>41</v>
      </c>
      <c r="AA34" s="493">
        <f t="shared" si="170"/>
        <v>2398</v>
      </c>
      <c r="AB34" s="492"/>
      <c r="AC34" s="492"/>
      <c r="AD34" s="492"/>
      <c r="AE34" s="492"/>
      <c r="AF34" s="492"/>
      <c r="AG34" s="492"/>
      <c r="AH34" s="492">
        <v>482</v>
      </c>
      <c r="AI34" s="492">
        <v>1451</v>
      </c>
      <c r="AJ34" s="492">
        <v>843</v>
      </c>
      <c r="AK34" s="492">
        <v>476</v>
      </c>
      <c r="AL34" s="492">
        <v>39</v>
      </c>
      <c r="AM34" s="492"/>
      <c r="AN34" s="493">
        <f t="shared" si="171"/>
        <v>3291</v>
      </c>
      <c r="AO34" s="492">
        <v>34</v>
      </c>
      <c r="AP34" s="492">
        <v>18</v>
      </c>
      <c r="AQ34" s="492">
        <v>35</v>
      </c>
      <c r="AR34" s="492"/>
      <c r="AS34" s="492"/>
      <c r="AT34" s="492"/>
      <c r="AU34" s="492">
        <v>526</v>
      </c>
      <c r="AV34" s="492">
        <v>2241</v>
      </c>
      <c r="AW34" s="492">
        <v>1073</v>
      </c>
      <c r="AX34" s="492">
        <v>762</v>
      </c>
      <c r="AY34" s="492">
        <v>148</v>
      </c>
      <c r="AZ34" s="492">
        <v>138</v>
      </c>
      <c r="BA34" s="493">
        <f t="shared" si="172"/>
        <v>4975</v>
      </c>
      <c r="BB34" s="492"/>
      <c r="BC34" s="492"/>
      <c r="BD34" s="492"/>
      <c r="BE34" s="492"/>
      <c r="BF34" s="492"/>
      <c r="BG34" s="492"/>
      <c r="BH34" s="492">
        <v>169</v>
      </c>
      <c r="BI34" s="492">
        <v>672</v>
      </c>
      <c r="BJ34" s="492">
        <v>2058</v>
      </c>
      <c r="BK34" s="492">
        <v>2715</v>
      </c>
      <c r="BL34" s="492">
        <v>397</v>
      </c>
      <c r="BM34" s="492">
        <v>162</v>
      </c>
      <c r="BN34" s="493">
        <f t="shared" si="173"/>
        <v>6173</v>
      </c>
      <c r="BO34" s="492">
        <v>25.4</v>
      </c>
      <c r="BP34" s="492">
        <v>30.6</v>
      </c>
      <c r="BQ34" s="492"/>
      <c r="BR34" s="492"/>
      <c r="BS34" s="492"/>
      <c r="BT34" s="492"/>
      <c r="BU34" s="492">
        <v>754.2</v>
      </c>
      <c r="BV34" s="492">
        <v>3862.1489999999999</v>
      </c>
      <c r="BW34" s="492">
        <v>2223.52</v>
      </c>
      <c r="BX34" s="492">
        <v>648.67000000000007</v>
      </c>
      <c r="BY34" s="492">
        <v>18.7</v>
      </c>
      <c r="BZ34" s="492">
        <v>269.5</v>
      </c>
      <c r="CA34" s="493">
        <v>7832.7390000000005</v>
      </c>
      <c r="CB34" s="492">
        <v>177.95</v>
      </c>
      <c r="CC34" s="492">
        <v>99</v>
      </c>
      <c r="CD34" s="492"/>
      <c r="CE34" s="492"/>
      <c r="CF34" s="492"/>
      <c r="CG34" s="492"/>
      <c r="CH34" s="492">
        <v>460.79999999999995</v>
      </c>
      <c r="CI34" s="492">
        <v>4147.45</v>
      </c>
      <c r="CJ34" s="492">
        <v>2298.4499999999998</v>
      </c>
      <c r="CK34" s="492">
        <v>1271.94</v>
      </c>
      <c r="CL34" s="492">
        <v>980.85</v>
      </c>
      <c r="CM34" s="492">
        <v>283.09999999999997</v>
      </c>
      <c r="CN34" s="493">
        <v>9719.5400000000009</v>
      </c>
      <c r="CO34" s="492"/>
      <c r="CP34" s="492">
        <v>118.25</v>
      </c>
      <c r="CQ34" s="492"/>
      <c r="CR34" s="492"/>
      <c r="CS34" s="492"/>
      <c r="CT34" s="492"/>
      <c r="CU34" s="492">
        <v>83.4</v>
      </c>
      <c r="CV34" s="492">
        <v>2272.5</v>
      </c>
      <c r="CW34" s="492">
        <v>1606.31</v>
      </c>
      <c r="CX34" s="492">
        <v>853.15</v>
      </c>
      <c r="CY34" s="492">
        <v>231.92000000000002</v>
      </c>
      <c r="CZ34" s="492">
        <v>530.87</v>
      </c>
      <c r="DA34" s="493">
        <v>5696.4</v>
      </c>
      <c r="DB34" s="492">
        <v>346.88</v>
      </c>
      <c r="DC34" s="492">
        <v>157.99</v>
      </c>
      <c r="DD34" s="492"/>
      <c r="DE34" s="492"/>
      <c r="DF34" s="492"/>
      <c r="DG34" s="492"/>
      <c r="DH34" s="492"/>
      <c r="DI34" s="492">
        <v>1085.3499999999999</v>
      </c>
      <c r="DJ34" s="492">
        <v>1798.59</v>
      </c>
      <c r="DK34" s="492">
        <v>1210.4290000000001</v>
      </c>
      <c r="DL34" s="492">
        <v>12.58</v>
      </c>
      <c r="DM34" s="492">
        <v>124.25</v>
      </c>
      <c r="DN34" s="493">
        <v>4736.0689999999995</v>
      </c>
      <c r="DO34" s="492">
        <v>528.37</v>
      </c>
      <c r="DP34" s="492">
        <v>0</v>
      </c>
      <c r="DQ34" s="492">
        <v>0</v>
      </c>
      <c r="DR34" s="492">
        <v>0</v>
      </c>
      <c r="DS34" s="492">
        <v>0</v>
      </c>
      <c r="DT34" s="492">
        <v>0</v>
      </c>
      <c r="DU34" s="492">
        <v>70.099999999999994</v>
      </c>
      <c r="DV34" s="492">
        <v>3733.53</v>
      </c>
      <c r="DW34" s="492">
        <v>3631.53</v>
      </c>
      <c r="DX34" s="492">
        <v>1030.509</v>
      </c>
      <c r="DY34" s="492">
        <v>1039.174</v>
      </c>
      <c r="DZ34" s="492">
        <v>702.76100000000008</v>
      </c>
      <c r="EA34" s="493">
        <v>10735.974</v>
      </c>
      <c r="EB34" s="492">
        <v>156.309</v>
      </c>
      <c r="EC34" s="492">
        <v>0</v>
      </c>
      <c r="ED34" s="492">
        <v>0</v>
      </c>
      <c r="EE34" s="492">
        <v>0</v>
      </c>
      <c r="EF34" s="492">
        <v>0</v>
      </c>
      <c r="EG34" s="492">
        <v>0</v>
      </c>
      <c r="EH34" s="492">
        <v>25.47</v>
      </c>
      <c r="EI34" s="492">
        <v>2057.8780000000002</v>
      </c>
      <c r="EJ34" s="492">
        <v>1953.8389999999999</v>
      </c>
      <c r="EK34" s="492">
        <v>1391.628999999999</v>
      </c>
      <c r="EL34" s="492">
        <v>302.88900000000001</v>
      </c>
      <c r="EM34" s="492">
        <v>1364.422</v>
      </c>
      <c r="EN34" s="493">
        <v>7252.4359999999997</v>
      </c>
      <c r="EO34" s="492">
        <v>0</v>
      </c>
      <c r="EP34" s="492">
        <v>0</v>
      </c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3">
        <f t="shared" si="174"/>
        <v>0</v>
      </c>
      <c r="FC34" s="534">
        <f t="shared" si="175"/>
        <v>-70.852908175146794</v>
      </c>
      <c r="FD34" s="535">
        <f t="shared" si="176"/>
        <v>-41.314771250246565</v>
      </c>
      <c r="FE34" s="536">
        <f t="shared" si="177"/>
        <v>10033.213</v>
      </c>
      <c r="FF34" s="537">
        <f t="shared" si="178"/>
        <v>5888.0139999999992</v>
      </c>
      <c r="FG34" s="470"/>
      <c r="FH34" s="498">
        <f t="shared" si="179"/>
        <v>133934.31599999996</v>
      </c>
      <c r="FI34" s="499" t="s">
        <v>178</v>
      </c>
      <c r="FJ34" s="500" t="str">
        <f t="shared" si="180"/>
        <v>OK</v>
      </c>
    </row>
    <row r="35" spans="1:166" s="447" customFormat="1" ht="15" customHeight="1" x14ac:dyDescent="0.25">
      <c r="A35" s="555" t="s">
        <v>177</v>
      </c>
      <c r="B35" s="492">
        <v>32</v>
      </c>
      <c r="C35" s="492">
        <v>10</v>
      </c>
      <c r="D35" s="492">
        <v>25</v>
      </c>
      <c r="E35" s="492"/>
      <c r="F35" s="492"/>
      <c r="G35" s="492"/>
      <c r="H35" s="492"/>
      <c r="I35" s="492">
        <v>6</v>
      </c>
      <c r="J35" s="492">
        <v>33</v>
      </c>
      <c r="K35" s="492">
        <v>37</v>
      </c>
      <c r="L35" s="492">
        <v>43</v>
      </c>
      <c r="M35" s="492">
        <v>48</v>
      </c>
      <c r="N35" s="493">
        <f t="shared" si="169"/>
        <v>234</v>
      </c>
      <c r="O35" s="492">
        <v>45</v>
      </c>
      <c r="P35" s="492">
        <v>45</v>
      </c>
      <c r="Q35" s="492">
        <v>26</v>
      </c>
      <c r="R35" s="492">
        <v>26</v>
      </c>
      <c r="S35" s="492">
        <v>13</v>
      </c>
      <c r="T35" s="492"/>
      <c r="U35" s="492"/>
      <c r="V35" s="492"/>
      <c r="W35" s="492">
        <v>9</v>
      </c>
      <c r="X35" s="492">
        <v>57</v>
      </c>
      <c r="Y35" s="492">
        <v>104</v>
      </c>
      <c r="Z35" s="492">
        <v>23</v>
      </c>
      <c r="AA35" s="493">
        <f t="shared" si="170"/>
        <v>348</v>
      </c>
      <c r="AB35" s="492"/>
      <c r="AC35" s="492"/>
      <c r="AD35" s="492"/>
      <c r="AE35" s="492"/>
      <c r="AF35" s="492"/>
      <c r="AG35" s="492"/>
      <c r="AH35" s="492"/>
      <c r="AI35" s="492"/>
      <c r="AJ35" s="492"/>
      <c r="AK35" s="492">
        <v>34</v>
      </c>
      <c r="AL35" s="492">
        <v>106</v>
      </c>
      <c r="AM35" s="492">
        <v>22</v>
      </c>
      <c r="AN35" s="493">
        <f t="shared" si="171"/>
        <v>162</v>
      </c>
      <c r="AO35" s="492"/>
      <c r="AP35" s="492"/>
      <c r="AQ35" s="492"/>
      <c r="AR35" s="492"/>
      <c r="AS35" s="492"/>
      <c r="AT35" s="492"/>
      <c r="AU35" s="492"/>
      <c r="AV35" s="492"/>
      <c r="AW35" s="492">
        <v>7</v>
      </c>
      <c r="AX35" s="492">
        <v>67</v>
      </c>
      <c r="AY35" s="492">
        <v>61</v>
      </c>
      <c r="AZ35" s="492">
        <v>35</v>
      </c>
      <c r="BA35" s="493">
        <f t="shared" si="172"/>
        <v>170</v>
      </c>
      <c r="BB35" s="492">
        <v>6</v>
      </c>
      <c r="BC35" s="492"/>
      <c r="BD35" s="492"/>
      <c r="BE35" s="492"/>
      <c r="BF35" s="492"/>
      <c r="BG35" s="492"/>
      <c r="BH35" s="492">
        <v>5</v>
      </c>
      <c r="BI35" s="492"/>
      <c r="BJ35" s="492">
        <v>8</v>
      </c>
      <c r="BK35" s="492">
        <v>6</v>
      </c>
      <c r="BL35" s="492">
        <v>49</v>
      </c>
      <c r="BM35" s="492">
        <v>65</v>
      </c>
      <c r="BN35" s="493">
        <f t="shared" si="173"/>
        <v>139</v>
      </c>
      <c r="BO35" s="492">
        <v>24.980000000000004</v>
      </c>
      <c r="BP35" s="492">
        <v>14.3</v>
      </c>
      <c r="BQ35" s="492">
        <v>8.56</v>
      </c>
      <c r="BR35" s="492">
        <v>8.7200000000000006</v>
      </c>
      <c r="BS35" s="492">
        <v>4.75</v>
      </c>
      <c r="BT35" s="492"/>
      <c r="BU35" s="492"/>
      <c r="BV35" s="492"/>
      <c r="BW35" s="492">
        <v>27.65</v>
      </c>
      <c r="BX35" s="492">
        <v>187.47</v>
      </c>
      <c r="BY35" s="492">
        <v>62.47</v>
      </c>
      <c r="BZ35" s="492">
        <v>98.270000000000024</v>
      </c>
      <c r="CA35" s="493">
        <v>437.17</v>
      </c>
      <c r="CB35" s="492">
        <v>12.18</v>
      </c>
      <c r="CC35" s="492">
        <v>60.769999999999996</v>
      </c>
      <c r="CD35" s="492">
        <v>11.61</v>
      </c>
      <c r="CE35" s="492">
        <v>24.11</v>
      </c>
      <c r="CF35" s="492"/>
      <c r="CG35" s="492"/>
      <c r="CH35" s="492"/>
      <c r="CI35" s="492">
        <v>11.54</v>
      </c>
      <c r="CJ35" s="492">
        <v>33.67</v>
      </c>
      <c r="CK35" s="492">
        <v>103.55</v>
      </c>
      <c r="CL35" s="492">
        <v>88.06</v>
      </c>
      <c r="CM35" s="492">
        <v>108.27800000000001</v>
      </c>
      <c r="CN35" s="493">
        <v>453.76800000000003</v>
      </c>
      <c r="CO35" s="492">
        <v>52.409000000000006</v>
      </c>
      <c r="CP35" s="492">
        <v>28.18</v>
      </c>
      <c r="CQ35" s="492">
        <v>7.15</v>
      </c>
      <c r="CR35" s="492">
        <v>48.24</v>
      </c>
      <c r="CS35" s="492"/>
      <c r="CT35" s="492"/>
      <c r="CU35" s="492"/>
      <c r="CV35" s="492"/>
      <c r="CW35" s="492">
        <v>8.5190000000000001</v>
      </c>
      <c r="CX35" s="492">
        <v>53.52</v>
      </c>
      <c r="CY35" s="492">
        <v>118.38900000000001</v>
      </c>
      <c r="CZ35" s="492">
        <v>55.889000000000003</v>
      </c>
      <c r="DA35" s="493">
        <v>372.29600000000005</v>
      </c>
      <c r="DB35" s="492">
        <v>73.610000000000014</v>
      </c>
      <c r="DC35" s="492">
        <v>50.370000000000005</v>
      </c>
      <c r="DD35" s="492">
        <v>36.020000000000003</v>
      </c>
      <c r="DE35" s="492">
        <v>51.467999999999996</v>
      </c>
      <c r="DF35" s="492"/>
      <c r="DG35" s="492"/>
      <c r="DH35" s="492">
        <v>12.57</v>
      </c>
      <c r="DI35" s="492"/>
      <c r="DJ35" s="492">
        <v>24.75</v>
      </c>
      <c r="DK35" s="492">
        <v>64.599999999999994</v>
      </c>
      <c r="DL35" s="492">
        <v>167.16</v>
      </c>
      <c r="DM35" s="492">
        <v>43.039000000000001</v>
      </c>
      <c r="DN35" s="493">
        <v>523.58699999999999</v>
      </c>
      <c r="DO35" s="492">
        <v>26.45</v>
      </c>
      <c r="DP35" s="492">
        <v>5.84</v>
      </c>
      <c r="DQ35" s="492">
        <v>51.509999999999991</v>
      </c>
      <c r="DR35" s="492">
        <v>0</v>
      </c>
      <c r="DS35" s="492">
        <v>0</v>
      </c>
      <c r="DT35" s="492">
        <v>0</v>
      </c>
      <c r="DU35" s="492">
        <v>0</v>
      </c>
      <c r="DV35" s="492">
        <v>0</v>
      </c>
      <c r="DW35" s="492">
        <v>4.95</v>
      </c>
      <c r="DX35" s="492">
        <v>322.15899999999999</v>
      </c>
      <c r="DY35" s="492">
        <v>267.37900000000002</v>
      </c>
      <c r="DZ35" s="492">
        <v>251.399</v>
      </c>
      <c r="EA35" s="493">
        <v>929.68700000000001</v>
      </c>
      <c r="EB35" s="492">
        <v>220.28</v>
      </c>
      <c r="EC35" s="492">
        <v>162.441</v>
      </c>
      <c r="ED35" s="492">
        <v>87.089999999999989</v>
      </c>
      <c r="EE35" s="492">
        <v>0</v>
      </c>
      <c r="EF35" s="492">
        <v>6.57</v>
      </c>
      <c r="EG35" s="492">
        <v>0</v>
      </c>
      <c r="EH35" s="492">
        <v>20.129000000000001</v>
      </c>
      <c r="EI35" s="492">
        <v>0</v>
      </c>
      <c r="EJ35" s="492">
        <v>421.68</v>
      </c>
      <c r="EK35" s="492">
        <v>316.43</v>
      </c>
      <c r="EL35" s="492">
        <v>305.92899999999997</v>
      </c>
      <c r="EM35" s="492">
        <v>149.44999999999999</v>
      </c>
      <c r="EN35" s="493">
        <v>1689.999</v>
      </c>
      <c r="EO35" s="492">
        <v>316.62700000000001</v>
      </c>
      <c r="EP35" s="492">
        <v>161.38</v>
      </c>
      <c r="EQ35" s="492"/>
      <c r="ER35" s="492"/>
      <c r="ES35" s="492"/>
      <c r="ET35" s="492"/>
      <c r="EU35" s="492"/>
      <c r="EV35" s="492"/>
      <c r="EW35" s="492"/>
      <c r="EX35" s="492"/>
      <c r="EY35" s="492"/>
      <c r="EZ35" s="492"/>
      <c r="FA35" s="493">
        <f t="shared" si="174"/>
        <v>478.00700000000001</v>
      </c>
      <c r="FC35" s="534">
        <f t="shared" si="175"/>
        <v>14.417736621050992</v>
      </c>
      <c r="FD35" s="535">
        <f t="shared" si="176"/>
        <v>127.12313943339701</v>
      </c>
      <c r="FE35" s="536">
        <f t="shared" si="177"/>
        <v>678.28800000000001</v>
      </c>
      <c r="FF35" s="537">
        <f t="shared" si="178"/>
        <v>1540.549</v>
      </c>
      <c r="FG35" s="470"/>
      <c r="FH35" s="498">
        <f t="shared" si="179"/>
        <v>11875.027999999998</v>
      </c>
      <c r="FI35" s="499" t="s">
        <v>177</v>
      </c>
      <c r="FJ35" s="500" t="str">
        <f t="shared" si="180"/>
        <v>OK</v>
      </c>
    </row>
    <row r="36" spans="1:166" s="447" customFormat="1" ht="15" customHeight="1" x14ac:dyDescent="0.25">
      <c r="A36" s="555" t="s">
        <v>170</v>
      </c>
      <c r="B36" s="492">
        <v>15946</v>
      </c>
      <c r="C36" s="492">
        <v>12745</v>
      </c>
      <c r="D36" s="492">
        <v>10618</v>
      </c>
      <c r="E36" s="492">
        <v>12103</v>
      </c>
      <c r="F36" s="492">
        <v>12944</v>
      </c>
      <c r="G36" s="492">
        <v>12610</v>
      </c>
      <c r="H36" s="492">
        <v>11894</v>
      </c>
      <c r="I36" s="492">
        <v>12482</v>
      </c>
      <c r="J36" s="492">
        <v>12507</v>
      </c>
      <c r="K36" s="492">
        <v>8149</v>
      </c>
      <c r="L36" s="492">
        <v>7900</v>
      </c>
      <c r="M36" s="492">
        <v>7539</v>
      </c>
      <c r="N36" s="493">
        <f t="shared" si="169"/>
        <v>137437</v>
      </c>
      <c r="O36" s="492">
        <v>9367</v>
      </c>
      <c r="P36" s="492">
        <v>13605</v>
      </c>
      <c r="Q36" s="492">
        <v>11967</v>
      </c>
      <c r="R36" s="492">
        <v>14196</v>
      </c>
      <c r="S36" s="492">
        <v>14697</v>
      </c>
      <c r="T36" s="492">
        <v>11875</v>
      </c>
      <c r="U36" s="492">
        <v>9438</v>
      </c>
      <c r="V36" s="492">
        <v>9757</v>
      </c>
      <c r="W36" s="492">
        <v>5708</v>
      </c>
      <c r="X36" s="492">
        <v>8342</v>
      </c>
      <c r="Y36" s="492">
        <v>4993</v>
      </c>
      <c r="Z36" s="492">
        <v>6814</v>
      </c>
      <c r="AA36" s="493">
        <f t="shared" si="170"/>
        <v>120759</v>
      </c>
      <c r="AB36" s="492">
        <v>7239</v>
      </c>
      <c r="AC36" s="492">
        <v>10967</v>
      </c>
      <c r="AD36" s="492">
        <v>10125</v>
      </c>
      <c r="AE36" s="492">
        <v>6432</v>
      </c>
      <c r="AF36" s="492">
        <v>6493</v>
      </c>
      <c r="AG36" s="492">
        <v>4785</v>
      </c>
      <c r="AH36" s="492">
        <v>5318</v>
      </c>
      <c r="AI36" s="492">
        <v>6977</v>
      </c>
      <c r="AJ36" s="492">
        <v>6966</v>
      </c>
      <c r="AK36" s="492">
        <v>8078</v>
      </c>
      <c r="AL36" s="492">
        <v>5358</v>
      </c>
      <c r="AM36" s="492">
        <v>6355</v>
      </c>
      <c r="AN36" s="493">
        <f t="shared" si="171"/>
        <v>85093</v>
      </c>
      <c r="AO36" s="492">
        <v>8429</v>
      </c>
      <c r="AP36" s="492">
        <v>6992</v>
      </c>
      <c r="AQ36" s="492">
        <v>9206</v>
      </c>
      <c r="AR36" s="492">
        <v>11076</v>
      </c>
      <c r="AS36" s="492">
        <v>5990</v>
      </c>
      <c r="AT36" s="492">
        <v>8809</v>
      </c>
      <c r="AU36" s="492">
        <v>6787</v>
      </c>
      <c r="AV36" s="492">
        <v>6961</v>
      </c>
      <c r="AW36" s="492">
        <v>5188</v>
      </c>
      <c r="AX36" s="492">
        <v>6994</v>
      </c>
      <c r="AY36" s="492">
        <v>5090</v>
      </c>
      <c r="AZ36" s="492">
        <v>5229</v>
      </c>
      <c r="BA36" s="493">
        <f t="shared" si="172"/>
        <v>86751</v>
      </c>
      <c r="BB36" s="492">
        <v>6759</v>
      </c>
      <c r="BC36" s="492">
        <v>8237</v>
      </c>
      <c r="BD36" s="492">
        <v>9381</v>
      </c>
      <c r="BE36" s="492">
        <v>11516</v>
      </c>
      <c r="BF36" s="492">
        <v>8991</v>
      </c>
      <c r="BG36" s="492">
        <v>8816</v>
      </c>
      <c r="BH36" s="492">
        <v>7105</v>
      </c>
      <c r="BI36" s="492">
        <v>5775</v>
      </c>
      <c r="BJ36" s="492">
        <v>5121</v>
      </c>
      <c r="BK36" s="492">
        <v>7274</v>
      </c>
      <c r="BL36" s="492">
        <v>6290</v>
      </c>
      <c r="BM36" s="492">
        <v>7637</v>
      </c>
      <c r="BN36" s="493">
        <f t="shared" si="173"/>
        <v>92902</v>
      </c>
      <c r="BO36" s="492">
        <v>6897.0190000000002</v>
      </c>
      <c r="BP36" s="492">
        <v>9366.7199999999993</v>
      </c>
      <c r="BQ36" s="492">
        <v>8939.59</v>
      </c>
      <c r="BR36" s="492">
        <v>9649.8290000000015</v>
      </c>
      <c r="BS36" s="492">
        <v>10395.36</v>
      </c>
      <c r="BT36" s="492">
        <v>11136.828</v>
      </c>
      <c r="BU36" s="492">
        <v>10626.390000000001</v>
      </c>
      <c r="BV36" s="492">
        <v>8570.0300000000025</v>
      </c>
      <c r="BW36" s="492">
        <v>6427.99</v>
      </c>
      <c r="BX36" s="492">
        <v>8038.3700000000008</v>
      </c>
      <c r="BY36" s="492">
        <v>5772.4079999999994</v>
      </c>
      <c r="BZ36" s="492">
        <v>7126.2889999999998</v>
      </c>
      <c r="CA36" s="493">
        <v>102946.823</v>
      </c>
      <c r="CB36" s="492">
        <v>6790.8190000000004</v>
      </c>
      <c r="CC36" s="492">
        <v>12011.958999999999</v>
      </c>
      <c r="CD36" s="492">
        <v>10036.799000000001</v>
      </c>
      <c r="CE36" s="492">
        <v>6251.1190000000006</v>
      </c>
      <c r="CF36" s="492">
        <v>11015.87</v>
      </c>
      <c r="CG36" s="492">
        <v>10320.239</v>
      </c>
      <c r="CH36" s="492">
        <v>12645.283999999998</v>
      </c>
      <c r="CI36" s="492">
        <v>8760.9279999999981</v>
      </c>
      <c r="CJ36" s="492">
        <v>6986.4190000000008</v>
      </c>
      <c r="CK36" s="492">
        <v>5179.7400000000007</v>
      </c>
      <c r="CL36" s="492">
        <v>3443.0790000000002</v>
      </c>
      <c r="CM36" s="492">
        <v>7099.51</v>
      </c>
      <c r="CN36" s="493">
        <v>100541.76499999998</v>
      </c>
      <c r="CO36" s="492">
        <v>6956.1200000000008</v>
      </c>
      <c r="CP36" s="492">
        <v>8403.57</v>
      </c>
      <c r="CQ36" s="492">
        <v>7960.3289999999988</v>
      </c>
      <c r="CR36" s="492">
        <v>7081.2889999999998</v>
      </c>
      <c r="CS36" s="492">
        <v>15628.127999999999</v>
      </c>
      <c r="CT36" s="492">
        <v>22866.45</v>
      </c>
      <c r="CU36" s="492">
        <v>14201.810000000003</v>
      </c>
      <c r="CV36" s="492">
        <v>9460.6990000000005</v>
      </c>
      <c r="CW36" s="492">
        <v>6351.7190000000001</v>
      </c>
      <c r="CX36" s="492">
        <v>2692.7599999999998</v>
      </c>
      <c r="CY36" s="492">
        <v>3849.3200000000006</v>
      </c>
      <c r="CZ36" s="492">
        <v>3409.1400000000003</v>
      </c>
      <c r="DA36" s="493">
        <v>108861.33399999999</v>
      </c>
      <c r="DB36" s="492">
        <v>4219.8789999999999</v>
      </c>
      <c r="DC36" s="492">
        <v>6826.94</v>
      </c>
      <c r="DD36" s="492">
        <v>7790.33</v>
      </c>
      <c r="DE36" s="492">
        <v>9418.5250000000033</v>
      </c>
      <c r="DF36" s="492">
        <v>23244.438999999998</v>
      </c>
      <c r="DG36" s="492">
        <v>21273.14799999999</v>
      </c>
      <c r="DH36" s="492">
        <v>25876.217000000001</v>
      </c>
      <c r="DI36" s="492">
        <v>7296.3190000000004</v>
      </c>
      <c r="DJ36" s="492">
        <v>5377.3219999999992</v>
      </c>
      <c r="DK36" s="492">
        <v>6338.8600000000006</v>
      </c>
      <c r="DL36" s="492">
        <v>3554.029</v>
      </c>
      <c r="DM36" s="492">
        <v>7404.4480000000003</v>
      </c>
      <c r="DN36" s="493">
        <v>128620.45599999999</v>
      </c>
      <c r="DO36" s="492">
        <v>6764.15</v>
      </c>
      <c r="DP36" s="492">
        <v>9298.1689999999999</v>
      </c>
      <c r="DQ36" s="492">
        <v>9139.630000000001</v>
      </c>
      <c r="DR36" s="492">
        <v>10259.619000000001</v>
      </c>
      <c r="DS36" s="492">
        <v>2893.3090000000002</v>
      </c>
      <c r="DT36" s="492">
        <v>6370.93</v>
      </c>
      <c r="DU36" s="492">
        <v>6058.1589999999997</v>
      </c>
      <c r="DV36" s="492">
        <v>4898.72</v>
      </c>
      <c r="DW36" s="492">
        <v>5283.2190000000001</v>
      </c>
      <c r="DX36" s="492">
        <v>3826.66</v>
      </c>
      <c r="DY36" s="492">
        <v>2892.0479999999998</v>
      </c>
      <c r="DZ36" s="492">
        <v>8644.2079999999987</v>
      </c>
      <c r="EA36" s="493">
        <v>76328.820999999996</v>
      </c>
      <c r="EB36" s="492">
        <v>4669.5189999999993</v>
      </c>
      <c r="EC36" s="492">
        <v>10113.118</v>
      </c>
      <c r="ED36" s="492">
        <v>11887.916999999999</v>
      </c>
      <c r="EE36" s="492">
        <v>7978.95</v>
      </c>
      <c r="EF36" s="492">
        <v>34064.497000000003</v>
      </c>
      <c r="EG36" s="492">
        <v>45801.145999999993</v>
      </c>
      <c r="EH36" s="492">
        <v>19210.5</v>
      </c>
      <c r="EI36" s="492">
        <v>13832.23</v>
      </c>
      <c r="EJ36" s="492">
        <v>2801.4589999999998</v>
      </c>
      <c r="EK36" s="492">
        <v>3325.3589999999999</v>
      </c>
      <c r="EL36" s="492">
        <v>5758.8889999999992</v>
      </c>
      <c r="EM36" s="492">
        <v>2592.9380000000001</v>
      </c>
      <c r="EN36" s="493">
        <v>162036.522</v>
      </c>
      <c r="EO36" s="492">
        <v>5863.1800000000012</v>
      </c>
      <c r="EP36" s="492">
        <v>12230.945</v>
      </c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3">
        <f t="shared" si="174"/>
        <v>18094.125</v>
      </c>
      <c r="FC36" s="534">
        <f t="shared" si="175"/>
        <v>99.128403124706082</v>
      </c>
      <c r="FD36" s="535">
        <f t="shared" si="176"/>
        <v>135.56843562066314</v>
      </c>
      <c r="FE36" s="536">
        <f t="shared" si="177"/>
        <v>67684.612999999998</v>
      </c>
      <c r="FF36" s="537">
        <f t="shared" si="178"/>
        <v>159443.584</v>
      </c>
      <c r="FG36" s="470"/>
      <c r="FH36" s="498">
        <f t="shared" si="179"/>
        <v>2440743.6920000007</v>
      </c>
      <c r="FI36" s="499" t="s">
        <v>170</v>
      </c>
      <c r="FJ36" s="500" t="str">
        <f t="shared" si="180"/>
        <v>OK</v>
      </c>
    </row>
    <row r="37" spans="1:166" s="447" customFormat="1" ht="15" customHeight="1" x14ac:dyDescent="0.25">
      <c r="A37" s="720" t="s">
        <v>185</v>
      </c>
      <c r="B37" s="492">
        <v>1674</v>
      </c>
      <c r="C37" s="492">
        <v>1783</v>
      </c>
      <c r="D37" s="492">
        <v>1334</v>
      </c>
      <c r="E37" s="492">
        <v>667</v>
      </c>
      <c r="F37" s="492">
        <v>757</v>
      </c>
      <c r="G37" s="492">
        <v>656</v>
      </c>
      <c r="H37" s="492">
        <v>441</v>
      </c>
      <c r="I37" s="492">
        <v>521</v>
      </c>
      <c r="J37" s="492">
        <v>757</v>
      </c>
      <c r="K37" s="492">
        <v>1066</v>
      </c>
      <c r="L37" s="492">
        <v>1181</v>
      </c>
      <c r="M37" s="492">
        <v>1372</v>
      </c>
      <c r="N37" s="493">
        <f t="shared" si="169"/>
        <v>12209</v>
      </c>
      <c r="O37" s="492">
        <v>1578</v>
      </c>
      <c r="P37" s="492">
        <v>1776</v>
      </c>
      <c r="Q37" s="492">
        <v>1481</v>
      </c>
      <c r="R37" s="492">
        <v>993</v>
      </c>
      <c r="S37" s="492">
        <v>845</v>
      </c>
      <c r="T37" s="492">
        <v>750</v>
      </c>
      <c r="U37" s="492">
        <v>548</v>
      </c>
      <c r="V37" s="492">
        <v>447</v>
      </c>
      <c r="W37" s="492">
        <v>548</v>
      </c>
      <c r="X37" s="492">
        <v>875</v>
      </c>
      <c r="Y37" s="492">
        <v>1052</v>
      </c>
      <c r="Z37" s="492">
        <v>1241</v>
      </c>
      <c r="AA37" s="493">
        <f t="shared" si="170"/>
        <v>12134</v>
      </c>
      <c r="AB37" s="492">
        <v>1576</v>
      </c>
      <c r="AC37" s="492">
        <v>1775</v>
      </c>
      <c r="AD37" s="492">
        <v>1576</v>
      </c>
      <c r="AE37" s="492">
        <v>1208</v>
      </c>
      <c r="AF37" s="492">
        <v>990</v>
      </c>
      <c r="AG37" s="492">
        <v>868</v>
      </c>
      <c r="AH37" s="492">
        <v>692</v>
      </c>
      <c r="AI37" s="492">
        <v>585</v>
      </c>
      <c r="AJ37" s="492">
        <v>610</v>
      </c>
      <c r="AK37" s="492">
        <v>906</v>
      </c>
      <c r="AL37" s="492">
        <v>1175</v>
      </c>
      <c r="AM37" s="492">
        <v>1350</v>
      </c>
      <c r="AN37" s="493">
        <f t="shared" si="171"/>
        <v>13311</v>
      </c>
      <c r="AO37" s="492">
        <v>1495</v>
      </c>
      <c r="AP37" s="492">
        <v>1831</v>
      </c>
      <c r="AQ37" s="492">
        <v>803</v>
      </c>
      <c r="AR37" s="492">
        <v>205</v>
      </c>
      <c r="AS37" s="492">
        <v>791</v>
      </c>
      <c r="AT37" s="492">
        <v>967</v>
      </c>
      <c r="AU37" s="492">
        <v>833</v>
      </c>
      <c r="AV37" s="492">
        <v>772</v>
      </c>
      <c r="AW37" s="492">
        <v>748</v>
      </c>
      <c r="AX37" s="492">
        <v>1054</v>
      </c>
      <c r="AY37" s="492">
        <v>1259</v>
      </c>
      <c r="AZ37" s="492">
        <v>1261</v>
      </c>
      <c r="BA37" s="493">
        <f t="shared" si="172"/>
        <v>12019</v>
      </c>
      <c r="BB37" s="492">
        <v>1529</v>
      </c>
      <c r="BC37" s="492">
        <v>2004</v>
      </c>
      <c r="BD37" s="492">
        <v>1249</v>
      </c>
      <c r="BE37" s="492">
        <v>760</v>
      </c>
      <c r="BF37" s="492">
        <v>915</v>
      </c>
      <c r="BG37" s="492">
        <v>779</v>
      </c>
      <c r="BH37" s="492">
        <v>739</v>
      </c>
      <c r="BI37" s="492">
        <v>629</v>
      </c>
      <c r="BJ37" s="492">
        <v>552</v>
      </c>
      <c r="BK37" s="492">
        <v>985</v>
      </c>
      <c r="BL37" s="492">
        <v>1048</v>
      </c>
      <c r="BM37" s="492">
        <v>956</v>
      </c>
      <c r="BN37" s="493">
        <f t="shared" si="173"/>
        <v>12145</v>
      </c>
      <c r="BO37" s="492">
        <v>1400</v>
      </c>
      <c r="BP37" s="492">
        <v>1784</v>
      </c>
      <c r="BQ37" s="492">
        <v>1365</v>
      </c>
      <c r="BR37" s="492">
        <v>934</v>
      </c>
      <c r="BS37" s="492">
        <v>922</v>
      </c>
      <c r="BT37" s="492">
        <v>754</v>
      </c>
      <c r="BU37" s="492">
        <v>710</v>
      </c>
      <c r="BV37" s="492">
        <v>682</v>
      </c>
      <c r="BW37" s="492">
        <v>843</v>
      </c>
      <c r="BX37" s="492">
        <v>1013</v>
      </c>
      <c r="BY37" s="492">
        <v>1150</v>
      </c>
      <c r="BZ37" s="492">
        <v>1197</v>
      </c>
      <c r="CA37" s="493">
        <v>12754</v>
      </c>
      <c r="CB37" s="492">
        <v>1417.66</v>
      </c>
      <c r="CC37" s="492">
        <v>1936.71</v>
      </c>
      <c r="CD37" s="492">
        <v>1672.89</v>
      </c>
      <c r="CE37" s="492">
        <v>1233.75</v>
      </c>
      <c r="CF37" s="492">
        <v>1091.2280000000001</v>
      </c>
      <c r="CG37" s="492">
        <v>982.53700000000003</v>
      </c>
      <c r="CH37" s="492">
        <v>794.76900000000001</v>
      </c>
      <c r="CI37" s="492">
        <v>682.23</v>
      </c>
      <c r="CJ37" s="492">
        <v>792.37</v>
      </c>
      <c r="CK37" s="492">
        <v>1024.49</v>
      </c>
      <c r="CL37" s="492">
        <v>1214.0899999999999</v>
      </c>
      <c r="CM37" s="492">
        <v>1259.94</v>
      </c>
      <c r="CN37" s="493">
        <v>14102.664000000001</v>
      </c>
      <c r="CO37" s="492">
        <v>1248.5170000000001</v>
      </c>
      <c r="CP37" s="492">
        <v>1667.057</v>
      </c>
      <c r="CQ37" s="492">
        <v>1517.9690000000001</v>
      </c>
      <c r="CR37" s="492">
        <v>1285.038</v>
      </c>
      <c r="CS37" s="492">
        <v>1132.8589999999999</v>
      </c>
      <c r="CT37" s="492">
        <v>1134.33</v>
      </c>
      <c r="CU37" s="492">
        <v>973.35</v>
      </c>
      <c r="CV37" s="492">
        <v>1138.809</v>
      </c>
      <c r="CW37" s="492">
        <v>1131.51</v>
      </c>
      <c r="CX37" s="492">
        <v>1180.19</v>
      </c>
      <c r="CY37" s="492">
        <v>1240.7</v>
      </c>
      <c r="CZ37" s="492">
        <v>1225.93</v>
      </c>
      <c r="DA37" s="493">
        <v>14876.259000000002</v>
      </c>
      <c r="DB37" s="492">
        <v>1210.309</v>
      </c>
      <c r="DC37" s="492">
        <v>1519.03</v>
      </c>
      <c r="DD37" s="492">
        <v>1531.22</v>
      </c>
      <c r="DE37" s="492">
        <v>1419.33</v>
      </c>
      <c r="DF37" s="492">
        <v>1205.165</v>
      </c>
      <c r="DG37" s="492">
        <v>1244.69</v>
      </c>
      <c r="DH37" s="492">
        <v>1083.8969999999999</v>
      </c>
      <c r="DI37" s="492">
        <v>924.75</v>
      </c>
      <c r="DJ37" s="492">
        <v>911.24900000000002</v>
      </c>
      <c r="DK37" s="492">
        <v>1068.9960000000001</v>
      </c>
      <c r="DL37" s="492">
        <v>1110.077</v>
      </c>
      <c r="DM37" s="492">
        <v>929.18799999999999</v>
      </c>
      <c r="DN37" s="493">
        <v>14157.900999999998</v>
      </c>
      <c r="DO37" s="492">
        <v>1084.0840000000001</v>
      </c>
      <c r="DP37" s="492">
        <v>1258.9490000000001</v>
      </c>
      <c r="DQ37" s="492">
        <v>1292.8900000000001</v>
      </c>
      <c r="DR37" s="492">
        <v>1208.9480000000001</v>
      </c>
      <c r="DS37" s="492">
        <v>1014.96</v>
      </c>
      <c r="DT37" s="492">
        <v>977.04</v>
      </c>
      <c r="DU37" s="492">
        <v>884.89599999999996</v>
      </c>
      <c r="DV37" s="492">
        <v>760.28899999999999</v>
      </c>
      <c r="DW37" s="492">
        <v>688.33799999999997</v>
      </c>
      <c r="DX37" s="492">
        <v>634.31700000000001</v>
      </c>
      <c r="DY37" s="492">
        <v>741.30100000000004</v>
      </c>
      <c r="DZ37" s="492">
        <v>633.30999999999995</v>
      </c>
      <c r="EA37" s="493">
        <v>11179.321999999998</v>
      </c>
      <c r="EB37" s="492">
        <v>699.56700000000001</v>
      </c>
      <c r="EC37" s="492">
        <v>777.31</v>
      </c>
      <c r="ED37" s="492">
        <v>654.56799999999998</v>
      </c>
      <c r="EE37" s="492">
        <v>426.04700000000003</v>
      </c>
      <c r="EF37" s="492">
        <v>473.29700000000003</v>
      </c>
      <c r="EG37" s="492">
        <v>468.49700000000001</v>
      </c>
      <c r="EH37" s="492">
        <v>422.767</v>
      </c>
      <c r="EI37" s="492">
        <v>398.267</v>
      </c>
      <c r="EJ37" s="492">
        <v>405.62799999999999</v>
      </c>
      <c r="EK37" s="492">
        <v>431.21600000000001</v>
      </c>
      <c r="EL37" s="492">
        <v>506.43400000000003</v>
      </c>
      <c r="EM37" s="492"/>
      <c r="EN37" s="493">
        <v>5663.598</v>
      </c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3">
        <f t="shared" si="174"/>
        <v>0</v>
      </c>
      <c r="FC37" s="534">
        <f t="shared" si="175"/>
        <v>-31.683081501306486</v>
      </c>
      <c r="FD37" s="535">
        <f t="shared" si="176"/>
        <v>-46.296306129748373</v>
      </c>
      <c r="FE37" s="536">
        <f t="shared" si="177"/>
        <v>10546.011999999999</v>
      </c>
      <c r="FF37" s="537">
        <f t="shared" si="178"/>
        <v>5663.598</v>
      </c>
      <c r="FG37" s="470"/>
      <c r="FH37" s="498">
        <f t="shared" si="179"/>
        <v>269103.48800000007</v>
      </c>
      <c r="FI37" s="499" t="s">
        <v>643</v>
      </c>
      <c r="FJ37" s="500" t="str">
        <f t="shared" si="180"/>
        <v>VER</v>
      </c>
    </row>
    <row r="38" spans="1:166" s="447" customFormat="1" ht="15" customHeight="1" x14ac:dyDescent="0.25">
      <c r="A38" s="555"/>
      <c r="B38" s="492"/>
      <c r="C38" s="492"/>
      <c r="D38" s="492"/>
      <c r="E38" s="492"/>
      <c r="F38" s="492"/>
      <c r="G38" s="492"/>
      <c r="H38" s="492"/>
      <c r="I38" s="492"/>
      <c r="J38" s="492"/>
      <c r="K38" s="492"/>
      <c r="L38" s="492"/>
      <c r="M38" s="492"/>
      <c r="N38" s="493"/>
      <c r="O38" s="492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3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3"/>
      <c r="AO38" s="492"/>
      <c r="AP38" s="492"/>
      <c r="AQ38" s="492"/>
      <c r="AR38" s="492"/>
      <c r="AS38" s="492"/>
      <c r="AT38" s="492"/>
      <c r="AU38" s="492"/>
      <c r="AV38" s="492"/>
      <c r="AW38" s="492"/>
      <c r="AX38" s="492"/>
      <c r="AY38" s="492"/>
      <c r="AZ38" s="492"/>
      <c r="BA38" s="493"/>
      <c r="BB38" s="492"/>
      <c r="BC38" s="492"/>
      <c r="BD38" s="492"/>
      <c r="BE38" s="492"/>
      <c r="BF38" s="492"/>
      <c r="BG38" s="492"/>
      <c r="BH38" s="492"/>
      <c r="BI38" s="492"/>
      <c r="BJ38" s="492"/>
      <c r="BK38" s="492"/>
      <c r="BL38" s="492"/>
      <c r="BM38" s="492"/>
      <c r="BN38" s="493"/>
      <c r="BO38" s="492"/>
      <c r="BP38" s="492"/>
      <c r="BQ38" s="492"/>
      <c r="BR38" s="492"/>
      <c r="BS38" s="492"/>
      <c r="BT38" s="492"/>
      <c r="BU38" s="492"/>
      <c r="BV38" s="492"/>
      <c r="BW38" s="492"/>
      <c r="BX38" s="492"/>
      <c r="BY38" s="492"/>
      <c r="BZ38" s="492"/>
      <c r="CA38" s="493"/>
      <c r="CB38" s="492"/>
      <c r="CC38" s="492"/>
      <c r="CD38" s="492"/>
      <c r="CE38" s="492"/>
      <c r="CF38" s="492"/>
      <c r="CG38" s="492"/>
      <c r="CH38" s="492"/>
      <c r="CI38" s="492"/>
      <c r="CJ38" s="492"/>
      <c r="CK38" s="492"/>
      <c r="CL38" s="492"/>
      <c r="CM38" s="492"/>
      <c r="CN38" s="493"/>
      <c r="CO38" s="492"/>
      <c r="CP38" s="492"/>
      <c r="CQ38" s="492"/>
      <c r="CR38" s="492"/>
      <c r="CS38" s="492"/>
      <c r="CT38" s="492"/>
      <c r="CU38" s="492"/>
      <c r="CV38" s="492"/>
      <c r="CW38" s="492"/>
      <c r="CX38" s="492"/>
      <c r="CY38" s="492"/>
      <c r="CZ38" s="492"/>
      <c r="DA38" s="493"/>
      <c r="DB38" s="492"/>
      <c r="DC38" s="492"/>
      <c r="DD38" s="492"/>
      <c r="DE38" s="492"/>
      <c r="DF38" s="492"/>
      <c r="DG38" s="492"/>
      <c r="DH38" s="492"/>
      <c r="DI38" s="492"/>
      <c r="DJ38" s="492"/>
      <c r="DK38" s="492"/>
      <c r="DL38" s="492"/>
      <c r="DM38" s="492"/>
      <c r="DN38" s="493"/>
      <c r="DO38" s="492"/>
      <c r="DP38" s="492"/>
      <c r="DQ38" s="492"/>
      <c r="DR38" s="492"/>
      <c r="DS38" s="492"/>
      <c r="DT38" s="492"/>
      <c r="DU38" s="492"/>
      <c r="DV38" s="492"/>
      <c r="DW38" s="492"/>
      <c r="DX38" s="492"/>
      <c r="DY38" s="492"/>
      <c r="DZ38" s="492"/>
      <c r="EA38" s="493"/>
      <c r="EB38" s="492"/>
      <c r="EC38" s="492"/>
      <c r="ED38" s="492"/>
      <c r="EE38" s="492"/>
      <c r="EF38" s="492"/>
      <c r="EG38" s="492"/>
      <c r="EH38" s="492"/>
      <c r="EI38" s="492"/>
      <c r="EJ38" s="492"/>
      <c r="EK38" s="492"/>
      <c r="EL38" s="492"/>
      <c r="EM38" s="492"/>
      <c r="EN38" s="493"/>
      <c r="EO38" s="492"/>
      <c r="EP38" s="492"/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3"/>
      <c r="FC38" s="534"/>
      <c r="FD38" s="535"/>
      <c r="FE38" s="536"/>
      <c r="FF38" s="537"/>
      <c r="FG38" s="470"/>
      <c r="FH38" s="498"/>
      <c r="FI38" s="499"/>
      <c r="FJ38" s="500"/>
    </row>
    <row r="39" spans="1:166" s="447" customFormat="1" ht="15" customHeight="1" x14ac:dyDescent="0.25">
      <c r="A39" s="556" t="s">
        <v>559</v>
      </c>
      <c r="B39" s="557" cm="1">
        <f t="array" ref="B39">SUMPRODUCT((UCA.AGROOTROS.NAME=$A39)*(UCA.AGROOTROS.DATE=B$5)*(UCA.AGROOTROS.VAL))</f>
        <v>6727</v>
      </c>
      <c r="C39" s="557" cm="1">
        <f t="array" ref="C39">SUMPRODUCT((UCA.AGROOTROS.NAME=$A39)*(UCA.AGROOTROS.DATE=C$5)*(UCA.AGROOTROS.VAL))</f>
        <v>7294</v>
      </c>
      <c r="D39" s="557" cm="1">
        <f t="array" ref="D39">SUMPRODUCT((UCA.AGROOTROS.NAME=$A39)*(UCA.AGROOTROS.DATE=D$5)*(UCA.AGROOTROS.VAL))</f>
        <v>6071</v>
      </c>
      <c r="E39" s="557" cm="1">
        <f t="array" ref="E39">SUMPRODUCT((UCA.AGROOTROS.NAME=$A39)*(UCA.AGROOTROS.DATE=E$5)*(UCA.AGROOTROS.VAL))</f>
        <v>3315</v>
      </c>
      <c r="F39" s="557" cm="1">
        <f t="array" ref="F39">SUMPRODUCT((UCA.AGROOTROS.NAME=$A39)*(UCA.AGROOTROS.DATE=F$5)*(UCA.AGROOTROS.VAL))</f>
        <v>3257</v>
      </c>
      <c r="G39" s="557" cm="1">
        <f t="array" ref="G39">SUMPRODUCT((UCA.AGROOTROS.NAME=$A39)*(UCA.AGROOTROS.DATE=G$5)*(UCA.AGROOTROS.VAL))</f>
        <v>2601</v>
      </c>
      <c r="H39" s="557" cm="1">
        <f t="array" ref="H39">SUMPRODUCT((UCA.AGROOTROS.NAME=$A39)*(UCA.AGROOTROS.DATE=H$5)*(UCA.AGROOTROS.VAL))</f>
        <v>1511</v>
      </c>
      <c r="I39" s="557" cm="1">
        <f t="array" ref="I39">SUMPRODUCT((UCA.AGROOTROS.NAME=$A39)*(UCA.AGROOTROS.DATE=I$5)*(UCA.AGROOTROS.VAL))</f>
        <v>1880</v>
      </c>
      <c r="J39" s="557" cm="1">
        <f t="array" ref="J39">SUMPRODUCT((UCA.AGROOTROS.NAME=$A39)*(UCA.AGROOTROS.DATE=J$5)*(UCA.AGROOTROS.VAL))</f>
        <v>2683</v>
      </c>
      <c r="K39" s="557" cm="1">
        <f t="array" ref="K39">SUMPRODUCT((UCA.AGROOTROS.NAME=$A39)*(UCA.AGROOTROS.DATE=K$5)*(UCA.AGROOTROS.VAL))</f>
        <v>2964</v>
      </c>
      <c r="L39" s="557" cm="1">
        <f t="array" ref="L39">SUMPRODUCT((UCA.AGROOTROS.NAME=$A39)*(UCA.AGROOTROS.DATE=L$5)*(UCA.AGROOTROS.VAL))</f>
        <v>3820</v>
      </c>
      <c r="M39" s="557" cm="1">
        <f t="array" ref="M39">SUMPRODUCT((UCA.AGROOTROS.NAME=$A39)*(UCA.AGROOTROS.DATE=M$5)*(UCA.AGROOTROS.VAL))</f>
        <v>4806</v>
      </c>
      <c r="N39" s="516">
        <f t="shared" ref="N39" si="181">SUM(B39:M39)</f>
        <v>46929</v>
      </c>
      <c r="O39" s="557" cm="1">
        <f t="array" ref="O39">SUMPRODUCT((UCA.AGROOTROS.NAME=$A39)*(UCA.AGROOTROS.DATE=O$5)*(UCA.AGROOTROS.VAL))</f>
        <v>5013</v>
      </c>
      <c r="P39" s="557" cm="1">
        <f t="array" ref="P39">SUMPRODUCT((UCA.AGROOTROS.NAME=$A39)*(UCA.AGROOTROS.DATE=P$5)*(UCA.AGROOTROS.VAL))</f>
        <v>6830</v>
      </c>
      <c r="Q39" s="557" cm="1">
        <f t="array" ref="Q39">SUMPRODUCT((UCA.AGROOTROS.NAME=$A39)*(UCA.AGROOTROS.DATE=Q$5)*(UCA.AGROOTROS.VAL))</f>
        <v>6844</v>
      </c>
      <c r="R39" s="557" cm="1">
        <f t="array" ref="R39">SUMPRODUCT((UCA.AGROOTROS.NAME=$A39)*(UCA.AGROOTROS.DATE=R$5)*(UCA.AGROOTROS.VAL))</f>
        <v>4355</v>
      </c>
      <c r="S39" s="557" cm="1">
        <f t="array" ref="S39">SUMPRODUCT((UCA.AGROOTROS.NAME=$A39)*(UCA.AGROOTROS.DATE=S$5)*(UCA.AGROOTROS.VAL))</f>
        <v>3539</v>
      </c>
      <c r="T39" s="557" cm="1">
        <f t="array" ref="T39">SUMPRODUCT((UCA.AGROOTROS.NAME=$A39)*(UCA.AGROOTROS.DATE=T$5)*(UCA.AGROOTROS.VAL))</f>
        <v>2260</v>
      </c>
      <c r="U39" s="557" cm="1">
        <f t="array" ref="U39">SUMPRODUCT((UCA.AGROOTROS.NAME=$A39)*(UCA.AGROOTROS.DATE=U$5)*(UCA.AGROOTROS.VAL))</f>
        <v>1224</v>
      </c>
      <c r="V39" s="557" cm="1">
        <f t="array" ref="V39">SUMPRODUCT((UCA.AGROOTROS.NAME=$A39)*(UCA.AGROOTROS.DATE=V$5)*(UCA.AGROOTROS.VAL))</f>
        <v>1487</v>
      </c>
      <c r="W39" s="557" cm="1">
        <f t="array" ref="W39">SUMPRODUCT((UCA.AGROOTROS.NAME=$A39)*(UCA.AGROOTROS.DATE=W$5)*(UCA.AGROOTROS.VAL))</f>
        <v>1859</v>
      </c>
      <c r="X39" s="557" cm="1">
        <f t="array" ref="X39">SUMPRODUCT((UCA.AGROOTROS.NAME=$A39)*(UCA.AGROOTROS.DATE=X$5)*(UCA.AGROOTROS.VAL))</f>
        <v>2286</v>
      </c>
      <c r="Y39" s="557" cm="1">
        <f t="array" ref="Y39">SUMPRODUCT((UCA.AGROOTROS.NAME=$A39)*(UCA.AGROOTROS.DATE=Y$5)*(UCA.AGROOTROS.VAL))</f>
        <v>3375</v>
      </c>
      <c r="Z39" s="557" cm="1">
        <f t="array" ref="Z39">SUMPRODUCT((UCA.AGROOTROS.NAME=$A39)*(UCA.AGROOTROS.DATE=Z$5)*(UCA.AGROOTROS.VAL))</f>
        <v>5000</v>
      </c>
      <c r="AA39" s="516">
        <f t="shared" ref="AA39" si="182">SUM(O39:Z39)</f>
        <v>44072</v>
      </c>
      <c r="AB39" s="557" cm="1">
        <f t="array" ref="AB39">SUMPRODUCT((UCA.AGROOTROS.NAME=$A39)*(UCA.AGROOTROS.DATE=AB$5)*(UCA.AGROOTROS.VAL))</f>
        <v>5226</v>
      </c>
      <c r="AC39" s="557" cm="1">
        <f t="array" ref="AC39">SUMPRODUCT((UCA.AGROOTROS.NAME=$A39)*(UCA.AGROOTROS.DATE=AC$5)*(UCA.AGROOTROS.VAL))</f>
        <v>6518</v>
      </c>
      <c r="AD39" s="557" cm="1">
        <f t="array" ref="AD39">SUMPRODUCT((UCA.AGROOTROS.NAME=$A39)*(UCA.AGROOTROS.DATE=AD$5)*(UCA.AGROOTROS.VAL))</f>
        <v>7251</v>
      </c>
      <c r="AE39" s="557" cm="1">
        <f t="array" ref="AE39">SUMPRODUCT((UCA.AGROOTROS.NAME=$A39)*(UCA.AGROOTROS.DATE=AE$5)*(UCA.AGROOTROS.VAL))</f>
        <v>5442</v>
      </c>
      <c r="AF39" s="557" cm="1">
        <f t="array" ref="AF39">SUMPRODUCT((UCA.AGROOTROS.NAME=$A39)*(UCA.AGROOTROS.DATE=AF$5)*(UCA.AGROOTROS.VAL))</f>
        <v>4172</v>
      </c>
      <c r="AG39" s="557" cm="1">
        <f t="array" ref="AG39">SUMPRODUCT((UCA.AGROOTROS.NAME=$A39)*(UCA.AGROOTROS.DATE=AG$5)*(UCA.AGROOTROS.VAL))</f>
        <v>2684</v>
      </c>
      <c r="AH39" s="557" cm="1">
        <f t="array" ref="AH39">SUMPRODUCT((UCA.AGROOTROS.NAME=$A39)*(UCA.AGROOTROS.DATE=AH$5)*(UCA.AGROOTROS.VAL))</f>
        <v>1351</v>
      </c>
      <c r="AI39" s="557" cm="1">
        <f t="array" ref="AI39">SUMPRODUCT((UCA.AGROOTROS.NAME=$A39)*(UCA.AGROOTROS.DATE=AI$5)*(UCA.AGROOTROS.VAL))</f>
        <v>1454</v>
      </c>
      <c r="AJ39" s="557" cm="1">
        <f t="array" ref="AJ39">SUMPRODUCT((UCA.AGROOTROS.NAME=$A39)*(UCA.AGROOTROS.DATE=AJ$5)*(UCA.AGROOTROS.VAL))</f>
        <v>2734</v>
      </c>
      <c r="AK39" s="557" cm="1">
        <f t="array" ref="AK39">SUMPRODUCT((UCA.AGROOTROS.NAME=$A39)*(UCA.AGROOTROS.DATE=AK$5)*(UCA.AGROOTROS.VAL))</f>
        <v>2712</v>
      </c>
      <c r="AL39" s="557" cm="1">
        <f t="array" ref="AL39">SUMPRODUCT((UCA.AGROOTROS.NAME=$A39)*(UCA.AGROOTROS.DATE=AL$5)*(UCA.AGROOTROS.VAL))</f>
        <v>4119</v>
      </c>
      <c r="AM39" s="557" cm="1">
        <f t="array" ref="AM39">SUMPRODUCT((UCA.AGROOTROS.NAME=$A39)*(UCA.AGROOTROS.DATE=AM$5)*(UCA.AGROOTROS.VAL))</f>
        <v>5957</v>
      </c>
      <c r="AN39" s="516">
        <f t="shared" ref="AN39" si="183">SUM(AB39:AM39)</f>
        <v>49620</v>
      </c>
      <c r="AO39" s="557" cm="1">
        <f t="array" ref="AO39">SUMPRODUCT((UCA.AGROOTROS.NAME=$A39)*(UCA.AGROOTROS.DATE=AO$5)*(UCA.AGROOTROS.VAL))</f>
        <v>5583</v>
      </c>
      <c r="AP39" s="557" cm="1">
        <f t="array" ref="AP39">SUMPRODUCT((UCA.AGROOTROS.NAME=$A39)*(UCA.AGROOTROS.DATE=AP$5)*(UCA.AGROOTROS.VAL))</f>
        <v>7399</v>
      </c>
      <c r="AQ39" s="557" cm="1">
        <f t="array" ref="AQ39">SUMPRODUCT((UCA.AGROOTROS.NAME=$A39)*(UCA.AGROOTROS.DATE=AQ$5)*(UCA.AGROOTROS.VAL))</f>
        <v>7585</v>
      </c>
      <c r="AR39" s="557" cm="1">
        <f t="array" ref="AR39">SUMPRODUCT((UCA.AGROOTROS.NAME=$A39)*(UCA.AGROOTROS.DATE=AR$5)*(UCA.AGROOTROS.VAL))</f>
        <v>5688</v>
      </c>
      <c r="AS39" s="557" cm="1">
        <f t="array" ref="AS39">SUMPRODUCT((UCA.AGROOTROS.NAME=$A39)*(UCA.AGROOTROS.DATE=AS$5)*(UCA.AGROOTROS.VAL))</f>
        <v>4409</v>
      </c>
      <c r="AT39" s="557" cm="1">
        <f t="array" ref="AT39">SUMPRODUCT((UCA.AGROOTROS.NAME=$A39)*(UCA.AGROOTROS.DATE=AT$5)*(UCA.AGROOTROS.VAL))</f>
        <v>2968</v>
      </c>
      <c r="AU39" s="557" cm="1">
        <f t="array" ref="AU39">SUMPRODUCT((UCA.AGROOTROS.NAME=$A39)*(UCA.AGROOTROS.DATE=AU$5)*(UCA.AGROOTROS.VAL))</f>
        <v>1931</v>
      </c>
      <c r="AV39" s="557" cm="1">
        <f t="array" ref="AV39">SUMPRODUCT((UCA.AGROOTROS.NAME=$A39)*(UCA.AGROOTROS.DATE=AV$5)*(UCA.AGROOTROS.VAL))</f>
        <v>1684</v>
      </c>
      <c r="AW39" s="557" cm="1">
        <f t="array" ref="AW39">SUMPRODUCT((UCA.AGROOTROS.NAME=$A39)*(UCA.AGROOTROS.DATE=AW$5)*(UCA.AGROOTROS.VAL))</f>
        <v>1654</v>
      </c>
      <c r="AX39" s="557" cm="1">
        <f t="array" ref="AX39">SUMPRODUCT((UCA.AGROOTROS.NAME=$A39)*(UCA.AGROOTROS.DATE=AX$5)*(UCA.AGROOTROS.VAL))</f>
        <v>1911</v>
      </c>
      <c r="AY39" s="557" cm="1">
        <f t="array" ref="AY39">SUMPRODUCT((UCA.AGROOTROS.NAME=$A39)*(UCA.AGROOTROS.DATE=AY$5)*(UCA.AGROOTROS.VAL))</f>
        <v>3401</v>
      </c>
      <c r="AZ39" s="557" cm="1">
        <f t="array" ref="AZ39">SUMPRODUCT((UCA.AGROOTROS.NAME=$A39)*(UCA.AGROOTROS.DATE=AZ$5)*(UCA.AGROOTROS.VAL))</f>
        <v>4007</v>
      </c>
      <c r="BA39" s="516">
        <f t="shared" ref="BA39" si="184">SUM(AO39:AZ39)</f>
        <v>48220</v>
      </c>
      <c r="BB39" s="557" cm="1">
        <f t="array" ref="BB39">SUMPRODUCT((UCA.AGROOTROS.NAME=$A39)*(UCA.AGROOTROS.DATE=BB$5)*(UCA.AGROOTROS.VAL))</f>
        <v>4401</v>
      </c>
      <c r="BC39" s="557" cm="1">
        <f t="array" ref="BC39">SUMPRODUCT((UCA.AGROOTROS.NAME=$A39)*(UCA.AGROOTROS.DATE=BC$5)*(UCA.AGROOTROS.VAL))</f>
        <v>6767</v>
      </c>
      <c r="BD39" s="557" cm="1">
        <f t="array" ref="BD39">SUMPRODUCT((UCA.AGROOTROS.NAME=$A39)*(UCA.AGROOTROS.DATE=BD$5)*(UCA.AGROOTROS.VAL))</f>
        <v>6627</v>
      </c>
      <c r="BE39" s="557" cm="1">
        <f t="array" ref="BE39">SUMPRODUCT((UCA.AGROOTROS.NAME=$A39)*(UCA.AGROOTROS.DATE=BE$5)*(UCA.AGROOTROS.VAL))</f>
        <v>5384</v>
      </c>
      <c r="BF39" s="557" cm="1">
        <f t="array" ref="BF39">SUMPRODUCT((UCA.AGROOTROS.NAME=$A39)*(UCA.AGROOTROS.DATE=BF$5)*(UCA.AGROOTROS.VAL))</f>
        <v>4226</v>
      </c>
      <c r="BG39" s="557" cm="1">
        <f t="array" ref="BG39">SUMPRODUCT((UCA.AGROOTROS.NAME=$A39)*(UCA.AGROOTROS.DATE=BG$5)*(UCA.AGROOTROS.VAL))</f>
        <v>2498</v>
      </c>
      <c r="BH39" s="557" cm="1">
        <f t="array" ref="BH39">SUMPRODUCT((UCA.AGROOTROS.NAME=$A39)*(UCA.AGROOTROS.DATE=BH$5)*(UCA.AGROOTROS.VAL))</f>
        <v>1411</v>
      </c>
      <c r="BI39" s="557" cm="1">
        <f t="array" ref="BI39">SUMPRODUCT((UCA.AGROOTROS.NAME=$A39)*(UCA.AGROOTROS.DATE=BI$5)*(UCA.AGROOTROS.VAL))</f>
        <v>914</v>
      </c>
      <c r="BJ39" s="557" cm="1">
        <f t="array" ref="BJ39">SUMPRODUCT((UCA.AGROOTROS.NAME=$A39)*(UCA.AGROOTROS.DATE=BJ$5)*(UCA.AGROOTROS.VAL))</f>
        <v>1038</v>
      </c>
      <c r="BK39" s="557" cm="1">
        <f t="array" ref="BK39">SUMPRODUCT((UCA.AGROOTROS.NAME=$A39)*(UCA.AGROOTROS.DATE=BK$5)*(UCA.AGROOTROS.VAL))</f>
        <v>2055</v>
      </c>
      <c r="BL39" s="557" cm="1">
        <f t="array" ref="BL39">SUMPRODUCT((UCA.AGROOTROS.NAME=$A39)*(UCA.AGROOTROS.DATE=BL$5)*(UCA.AGROOTROS.VAL))</f>
        <v>2936</v>
      </c>
      <c r="BM39" s="557" cm="1">
        <f t="array" ref="BM39">SUMPRODUCT((UCA.AGROOTROS.NAME=$A39)*(UCA.AGROOTROS.DATE=BM$5)*(UCA.AGROOTROS.VAL))</f>
        <v>3652</v>
      </c>
      <c r="BN39" s="516">
        <f t="shared" ref="BN39" si="185">SUM(BB39:BM39)</f>
        <v>41909</v>
      </c>
      <c r="BO39" s="557" cm="1">
        <f t="array" ref="BO39">SUMPRODUCT((UCA.AGROOTROS.NAME=$A39)*(UCA.AGROOTROS.DATE=BO$5)*(UCA.AGROOTROS.VAL))</f>
        <v>6334.6369999999997</v>
      </c>
      <c r="BP39" s="557" cm="1">
        <f t="array" ref="BP39">SUMPRODUCT((UCA.AGROOTROS.NAME=$A39)*(UCA.AGROOTROS.DATE=BP$5)*(UCA.AGROOTROS.VAL))</f>
        <v>9727.1130000000012</v>
      </c>
      <c r="BQ39" s="557" cm="1">
        <f t="array" ref="BQ39">SUMPRODUCT((UCA.AGROOTROS.NAME=$A39)*(UCA.AGROOTROS.DATE=BQ$5)*(UCA.AGROOTROS.VAL))</f>
        <v>10178.267</v>
      </c>
      <c r="BR39" s="557" cm="1">
        <f t="array" ref="BR39">SUMPRODUCT((UCA.AGROOTROS.NAME=$A39)*(UCA.AGROOTROS.DATE=BR$5)*(UCA.AGROOTROS.VAL))</f>
        <v>8062.7060000000001</v>
      </c>
      <c r="BS39" s="557" cm="1">
        <f t="array" ref="BS39">SUMPRODUCT((UCA.AGROOTROS.NAME=$A39)*(UCA.AGROOTROS.DATE=BS$5)*(UCA.AGROOTROS.VAL))</f>
        <v>6310.12</v>
      </c>
      <c r="BT39" s="557" cm="1">
        <f t="array" ref="BT39">SUMPRODUCT((UCA.AGROOTROS.NAME=$A39)*(UCA.AGROOTROS.DATE=BT$5)*(UCA.AGROOTROS.VAL))</f>
        <v>3493.7560000000003</v>
      </c>
      <c r="BU39" s="557" cm="1">
        <f t="array" ref="BU39">SUMPRODUCT((UCA.AGROOTROS.NAME=$A39)*(UCA.AGROOTROS.DATE=BU$5)*(UCA.AGROOTROS.VAL))</f>
        <v>2881.9399999999996</v>
      </c>
      <c r="BV39" s="557" cm="1">
        <f t="array" ref="BV39">SUMPRODUCT((UCA.AGROOTROS.NAME=$A39)*(UCA.AGROOTROS.DATE=BV$5)*(UCA.AGROOTROS.VAL))</f>
        <v>2362.6600000000003</v>
      </c>
      <c r="BW39" s="557" cm="1">
        <f t="array" ref="BW39">SUMPRODUCT((UCA.AGROOTROS.NAME=$A39)*(UCA.AGROOTROS.DATE=BW$5)*(UCA.AGROOTROS.VAL))</f>
        <v>2544.3879999999999</v>
      </c>
      <c r="BX39" s="557" cm="1">
        <f t="array" ref="BX39">SUMPRODUCT((UCA.AGROOTROS.NAME=$A39)*(UCA.AGROOTROS.DATE=BX$5)*(UCA.AGROOTROS.VAL))</f>
        <v>2542.3330000000001</v>
      </c>
      <c r="BY39" s="557" cm="1">
        <f t="array" ref="BY39">SUMPRODUCT((UCA.AGROOTROS.NAME=$A39)*(UCA.AGROOTROS.DATE=BY$5)*(UCA.AGROOTROS.VAL))</f>
        <v>4414.521999999999</v>
      </c>
      <c r="BZ39" s="557" cm="1">
        <f t="array" ref="BZ39">SUMPRODUCT((UCA.AGROOTROS.NAME=$A39)*(UCA.AGROOTROS.DATE=BZ$5)*(UCA.AGROOTROS.VAL))</f>
        <v>6270.4439999999995</v>
      </c>
      <c r="CA39" s="516">
        <f t="shared" ref="CA39" si="186">SUM(BO39:BZ39)</f>
        <v>65122.885999999999</v>
      </c>
      <c r="CB39" s="557" cm="1">
        <f t="array" ref="CB39">SUMPRODUCT((UCA.AGROOTROS.NAME=$A39)*(UCA.AGROOTROS.DATE=CB$5)*(UCA.AGROOTROS.VAL))</f>
        <v>7777.7420000000011</v>
      </c>
      <c r="CC39" s="557" cm="1">
        <f t="array" ref="CC39">SUMPRODUCT((UCA.AGROOTROS.NAME=$A39)*(UCA.AGROOTROS.DATE=CC$5)*(UCA.AGROOTROS.VAL))</f>
        <v>10224.347</v>
      </c>
      <c r="CD39" s="557" cm="1">
        <f t="array" ref="CD39">SUMPRODUCT((UCA.AGROOTROS.NAME=$A39)*(UCA.AGROOTROS.DATE=CD$5)*(UCA.AGROOTROS.VAL))</f>
        <v>10341.280000000002</v>
      </c>
      <c r="CE39" s="557" cm="1">
        <f t="array" ref="CE39">SUMPRODUCT((UCA.AGROOTROS.NAME=$A39)*(UCA.AGROOTROS.DATE=CE$5)*(UCA.AGROOTROS.VAL))</f>
        <v>9846.4759999999987</v>
      </c>
      <c r="CF39" s="557" cm="1">
        <f t="array" ref="CF39">SUMPRODUCT((UCA.AGROOTROS.NAME=$A39)*(UCA.AGROOTROS.DATE=CF$5)*(UCA.AGROOTROS.VAL))</f>
        <v>7232.4350000000022</v>
      </c>
      <c r="CG39" s="557" cm="1">
        <f t="array" ref="CG39">SUMPRODUCT((UCA.AGROOTROS.NAME=$A39)*(UCA.AGROOTROS.DATE=CG$5)*(UCA.AGROOTROS.VAL))</f>
        <v>4474.6350000000002</v>
      </c>
      <c r="CH39" s="557" cm="1">
        <f t="array" ref="CH39">SUMPRODUCT((UCA.AGROOTROS.NAME=$A39)*(UCA.AGROOTROS.DATE=CH$5)*(UCA.AGROOTROS.VAL))</f>
        <v>2316.4550000000004</v>
      </c>
      <c r="CI39" s="557" cm="1">
        <f t="array" ref="CI39">SUMPRODUCT((UCA.AGROOTROS.NAME=$A39)*(UCA.AGROOTROS.DATE=CI$5)*(UCA.AGROOTROS.VAL))</f>
        <v>2320.3440000000001</v>
      </c>
      <c r="CJ39" s="557" cm="1">
        <f t="array" ref="CJ39">SUMPRODUCT((UCA.AGROOTROS.NAME=$A39)*(UCA.AGROOTROS.DATE=CJ$5)*(UCA.AGROOTROS.VAL))</f>
        <v>2825.3810000000003</v>
      </c>
      <c r="CK39" s="557" cm="1">
        <f t="array" ref="CK39">SUMPRODUCT((UCA.AGROOTROS.NAME=$A39)*(UCA.AGROOTROS.DATE=CK$5)*(UCA.AGROOTROS.VAL))</f>
        <v>3719.9170000000004</v>
      </c>
      <c r="CL39" s="557" cm="1">
        <f t="array" ref="CL39">SUMPRODUCT((UCA.AGROOTROS.NAME=$A39)*(UCA.AGROOTROS.DATE=CL$5)*(UCA.AGROOTROS.VAL))</f>
        <v>6162.7950000000019</v>
      </c>
      <c r="CM39" s="557" cm="1">
        <f t="array" ref="CM39">SUMPRODUCT((UCA.AGROOTROS.NAME=$A39)*(UCA.AGROOTROS.DATE=CM$5)*(UCA.AGROOTROS.VAL))</f>
        <v>8112.3049999999994</v>
      </c>
      <c r="CN39" s="516">
        <f t="shared" ref="CN39" si="187">SUM(CB39:CM39)</f>
        <v>75354.112000000008</v>
      </c>
      <c r="CO39" s="557" cm="1">
        <f t="array" ref="CO39">SUMPRODUCT((UCA.AGROOTROS.NAME=$A39)*(UCA.AGROOTROS.DATE=CO$5)*(UCA.AGROOTROS.VAL))</f>
        <v>8123.7090000000007</v>
      </c>
      <c r="CP39" s="557" cm="1">
        <f t="array" ref="CP39">SUMPRODUCT((UCA.AGROOTROS.NAME=$A39)*(UCA.AGROOTROS.DATE=CP$5)*(UCA.AGROOTROS.VAL))</f>
        <v>10172.645</v>
      </c>
      <c r="CQ39" s="557" cm="1">
        <f t="array" ref="CQ39">SUMPRODUCT((UCA.AGROOTROS.NAME=$A39)*(UCA.AGROOTROS.DATE=CQ$5)*(UCA.AGROOTROS.VAL))</f>
        <v>10313.226999999999</v>
      </c>
      <c r="CR39" s="557" cm="1">
        <f t="array" ref="CR39">SUMPRODUCT((UCA.AGROOTROS.NAME=$A39)*(UCA.AGROOTROS.DATE=CR$5)*(UCA.AGROOTROS.VAL))</f>
        <v>9394.6809999999987</v>
      </c>
      <c r="CS39" s="557" cm="1">
        <f t="array" ref="CS39">SUMPRODUCT((UCA.AGROOTROS.NAME=$A39)*(UCA.AGROOTROS.DATE=CS$5)*(UCA.AGROOTROS.VAL))</f>
        <v>7512.0800000000008</v>
      </c>
      <c r="CT39" s="557" cm="1">
        <f t="array" ref="CT39">SUMPRODUCT((UCA.AGROOTROS.NAME=$A39)*(UCA.AGROOTROS.DATE=CT$5)*(UCA.AGROOTROS.VAL))</f>
        <v>4841.9659999999994</v>
      </c>
      <c r="CU39" s="557" cm="1">
        <f t="array" ref="CU39">SUMPRODUCT((UCA.AGROOTROS.NAME=$A39)*(UCA.AGROOTROS.DATE=CU$5)*(UCA.AGROOTROS.VAL))</f>
        <v>2495.67</v>
      </c>
      <c r="CV39" s="557" cm="1">
        <f t="array" ref="CV39">SUMPRODUCT((UCA.AGROOTROS.NAME=$A39)*(UCA.AGROOTROS.DATE=CV$5)*(UCA.AGROOTROS.VAL))</f>
        <v>2140.835</v>
      </c>
      <c r="CW39" s="557" cm="1">
        <f t="array" ref="CW39">SUMPRODUCT((UCA.AGROOTROS.NAME=$A39)*(UCA.AGROOTROS.DATE=CW$5)*(UCA.AGROOTROS.VAL))</f>
        <v>2511.6829999999995</v>
      </c>
      <c r="CX39" s="557" cm="1">
        <f t="array" ref="CX39">SUMPRODUCT((UCA.AGROOTROS.NAME=$A39)*(UCA.AGROOTROS.DATE=CX$5)*(UCA.AGROOTROS.VAL))</f>
        <v>2574.2059999999997</v>
      </c>
      <c r="CY39" s="557" cm="1">
        <f t="array" ref="CY39">SUMPRODUCT((UCA.AGROOTROS.NAME=$A39)*(UCA.AGROOTROS.DATE=CY$5)*(UCA.AGROOTROS.VAL))</f>
        <v>3426.0129999999999</v>
      </c>
      <c r="CZ39" s="557" cm="1">
        <f t="array" ref="CZ39">SUMPRODUCT((UCA.AGROOTROS.NAME=$A39)*(UCA.AGROOTROS.DATE=CZ$5)*(UCA.AGROOTROS.VAL))</f>
        <v>7129.5880000000006</v>
      </c>
      <c r="DA39" s="516">
        <f t="shared" ref="DA39" si="188">SUM(CO39:CZ39)</f>
        <v>70636.302999999985</v>
      </c>
      <c r="DB39" s="557" cm="1">
        <f t="array" ref="DB39">SUMPRODUCT((UCA.AGROOTROS.NAME=$A39)*(UCA.AGROOTROS.DATE=DB$5)*(UCA.AGROOTROS.VAL))</f>
        <v>7772.4239999999991</v>
      </c>
      <c r="DC39" s="557" cm="1">
        <f t="array" ref="DC39">SUMPRODUCT((UCA.AGROOTROS.NAME=$A39)*(UCA.AGROOTROS.DATE=DC$5)*(UCA.AGROOTROS.VAL))</f>
        <v>8313.219000000001</v>
      </c>
      <c r="DD39" s="557" cm="1">
        <f t="array" ref="DD39">SUMPRODUCT((UCA.AGROOTROS.NAME=$A39)*(UCA.AGROOTROS.DATE=DD$5)*(UCA.AGROOTROS.VAL))</f>
        <v>8620.1200000000008</v>
      </c>
      <c r="DE39" s="557" cm="1">
        <f t="array" ref="DE39">SUMPRODUCT((UCA.AGROOTROS.NAME=$A39)*(UCA.AGROOTROS.DATE=DE$5)*(UCA.AGROOTROS.VAL))</f>
        <v>6920.39</v>
      </c>
      <c r="DF39" s="557" cm="1">
        <f t="array" ref="DF39">SUMPRODUCT((UCA.AGROOTROS.NAME=$A39)*(UCA.AGROOTROS.DATE=DF$5)*(UCA.AGROOTROS.VAL))</f>
        <v>5983.4359999999997</v>
      </c>
      <c r="DG39" s="557" cm="1">
        <f t="array" ref="DG39">SUMPRODUCT((UCA.AGROOTROS.NAME=$A39)*(UCA.AGROOTROS.DATE=DG$5)*(UCA.AGROOTROS.VAL))</f>
        <v>4643.6349999999993</v>
      </c>
      <c r="DH39" s="557" cm="1">
        <f t="array" ref="DH39">SUMPRODUCT((UCA.AGROOTROS.NAME=$A39)*(UCA.AGROOTROS.DATE=DH$5)*(UCA.AGROOTROS.VAL))</f>
        <v>2453.241</v>
      </c>
      <c r="DI39" s="557" cm="1">
        <f t="array" ref="DI39">SUMPRODUCT((UCA.AGROOTROS.NAME=$A39)*(UCA.AGROOTROS.DATE=DI$5)*(UCA.AGROOTROS.VAL))</f>
        <v>1964.03</v>
      </c>
      <c r="DJ39" s="557" cm="1">
        <f t="array" ref="DJ39">SUMPRODUCT((UCA.AGROOTROS.NAME=$A39)*(UCA.AGROOTROS.DATE=DJ$5)*(UCA.AGROOTROS.VAL))</f>
        <v>3007.53</v>
      </c>
      <c r="DK39" s="557" cm="1">
        <f t="array" ref="DK39">SUMPRODUCT((UCA.AGROOTROS.NAME=$A39)*(UCA.AGROOTROS.DATE=DK$5)*(UCA.AGROOTROS.VAL))</f>
        <v>2561.1030000000001</v>
      </c>
      <c r="DL39" s="557" cm="1">
        <f t="array" ref="DL39">SUMPRODUCT((UCA.AGROOTROS.NAME=$A39)*(UCA.AGROOTROS.DATE=DL$5)*(UCA.AGROOTROS.VAL))</f>
        <v>3240.107</v>
      </c>
      <c r="DM39" s="557" cm="1">
        <f t="array" ref="DM39">SUMPRODUCT((UCA.AGROOTROS.NAME=$A39)*(UCA.AGROOTROS.DATE=DM$5)*(UCA.AGROOTROS.VAL))</f>
        <v>4068.549</v>
      </c>
      <c r="DN39" s="516">
        <f t="shared" ref="DN39" si="189">SUM(DB39:DM39)</f>
        <v>59547.784</v>
      </c>
      <c r="DO39" s="557" cm="1">
        <f t="array" ref="DO39">SUMPRODUCT((UCA.AGROOTROS.NAME=$A39)*(UCA.AGROOTROS.DATE=DO$5)*(UCA.AGROOTROS.VAL))</f>
        <v>4977.6619999999994</v>
      </c>
      <c r="DP39" s="557" cm="1">
        <f t="array" ref="DP39">SUMPRODUCT((UCA.AGROOTROS.NAME=$A39)*(UCA.AGROOTROS.DATE=DP$5)*(UCA.AGROOTROS.VAL))</f>
        <v>5494.0890000000009</v>
      </c>
      <c r="DQ39" s="557" cm="1">
        <f t="array" ref="DQ39">SUMPRODUCT((UCA.AGROOTROS.NAME=$A39)*(UCA.AGROOTROS.DATE=DQ$5)*(UCA.AGROOTROS.VAL))</f>
        <v>5145.8990000000003</v>
      </c>
      <c r="DR39" s="557" cm="1">
        <f t="array" ref="DR39">SUMPRODUCT((UCA.AGROOTROS.NAME=$A39)*(UCA.AGROOTROS.DATE=DR$5)*(UCA.AGROOTROS.VAL))</f>
        <v>4733.2959999999994</v>
      </c>
      <c r="DS39" s="557" cm="1">
        <f t="array" ref="DS39">SUMPRODUCT((UCA.AGROOTROS.NAME=$A39)*(UCA.AGROOTROS.DATE=DS$5)*(UCA.AGROOTROS.VAL))</f>
        <v>4763.4270000000006</v>
      </c>
      <c r="DT39" s="557" cm="1">
        <f t="array" ref="DT39">SUMPRODUCT((UCA.AGROOTROS.NAME=$A39)*(UCA.AGROOTROS.DATE=DT$5)*(UCA.AGROOTROS.VAL))</f>
        <v>3735.02</v>
      </c>
      <c r="DU39" s="557" cm="1">
        <f t="array" ref="DU39">SUMPRODUCT((UCA.AGROOTROS.NAME=$A39)*(UCA.AGROOTROS.DATE=DU$5)*(UCA.AGROOTROS.VAL))</f>
        <v>2401.4459999999999</v>
      </c>
      <c r="DV39" s="557" cm="1">
        <f t="array" ref="DV39">SUMPRODUCT((UCA.AGROOTROS.NAME=$A39)*(UCA.AGROOTROS.DATE=DV$5)*(UCA.AGROOTROS.VAL))</f>
        <v>2513.61</v>
      </c>
      <c r="DW39" s="557" cm="1">
        <f t="array" ref="DW39">SUMPRODUCT((UCA.AGROOTROS.NAME=$A39)*(UCA.AGROOTROS.DATE=DW$5)*(UCA.AGROOTROS.VAL))</f>
        <v>3392.6659999999997</v>
      </c>
      <c r="DX39" s="557" cm="1">
        <f t="array" ref="DX39">SUMPRODUCT((UCA.AGROOTROS.NAME=$A39)*(UCA.AGROOTROS.DATE=DX$5)*(UCA.AGROOTROS.VAL))</f>
        <v>2244.1410000000001</v>
      </c>
      <c r="DY39" s="557" cm="1">
        <f t="array" ref="DY39">SUMPRODUCT((UCA.AGROOTROS.NAME=$A39)*(UCA.AGROOTROS.DATE=DY$5)*(UCA.AGROOTROS.VAL))</f>
        <v>3669.6620000000003</v>
      </c>
      <c r="DZ39" s="557" cm="1">
        <f t="array" ref="DZ39">SUMPRODUCT((UCA.AGROOTROS.NAME=$A39)*(UCA.AGROOTROS.DATE=DZ$5)*(UCA.AGROOTROS.VAL))</f>
        <v>4514.8739999999989</v>
      </c>
      <c r="EA39" s="516">
        <f t="shared" ref="EA39" si="190">SUM(DO39:DZ39)</f>
        <v>47585.792000000001</v>
      </c>
      <c r="EB39" s="557" cm="1">
        <f t="array" ref="EB39">SUMPRODUCT((UCA.AGROOTROS.NAME=$A39)*(UCA.AGROOTROS.DATE=EB$5)*(UCA.AGROOTROS.VAL))</f>
        <v>4965.1939999999995</v>
      </c>
      <c r="EC39" s="557" cm="1">
        <f t="array" ref="EC39">SUMPRODUCT((UCA.AGROOTROS.NAME=$A39)*(UCA.AGROOTROS.DATE=EC$5)*(UCA.AGROOTROS.VAL))</f>
        <v>4602.174</v>
      </c>
      <c r="ED39" s="557" cm="1">
        <f t="array" ref="ED39">SUMPRODUCT((UCA.AGROOTROS.NAME=$A39)*(UCA.AGROOTROS.DATE=ED$5)*(UCA.AGROOTROS.VAL))</f>
        <v>4271.92</v>
      </c>
      <c r="EE39" s="557" cm="1">
        <f t="array" ref="EE39">SUMPRODUCT((UCA.AGROOTROS.NAME=$A39)*(UCA.AGROOTROS.DATE=EE$5)*(UCA.AGROOTROS.VAL))</f>
        <v>3395.3779999999997</v>
      </c>
      <c r="EF39" s="557" cm="1">
        <f t="array" ref="EF39">SUMPRODUCT((UCA.AGROOTROS.NAME=$A39)*(UCA.AGROOTROS.DATE=EF$5)*(UCA.AGROOTROS.VAL))</f>
        <v>3484.6240000000003</v>
      </c>
      <c r="EG39" s="557" cm="1">
        <f t="array" ref="EG39">SUMPRODUCT((UCA.AGROOTROS.NAME=$A39)*(UCA.AGROOTROS.DATE=EG$5)*(UCA.AGROOTROS.VAL))</f>
        <v>2750.7050000000004</v>
      </c>
      <c r="EH39" s="557" cm="1">
        <f t="array" ref="EH39">SUMPRODUCT((UCA.AGROOTROS.NAME=$A39)*(UCA.AGROOTROS.DATE=EH$5)*(UCA.AGROOTROS.VAL))</f>
        <v>1785.3190000000002</v>
      </c>
      <c r="EI39" s="557" cm="1">
        <f t="array" ref="EI39">SUMPRODUCT((UCA.AGROOTROS.NAME=$A39)*(UCA.AGROOTROS.DATE=EI$5)*(UCA.AGROOTROS.VAL))</f>
        <v>1750.6870000000001</v>
      </c>
      <c r="EJ39" s="557" cm="1">
        <f t="array" ref="EJ39">SUMPRODUCT((UCA.AGROOTROS.NAME=$A39)*(UCA.AGROOTROS.DATE=EJ$5)*(UCA.AGROOTROS.VAL))</f>
        <v>2747.83</v>
      </c>
      <c r="EK39" s="557" cm="1">
        <f t="array" ref="EK39">SUMPRODUCT((UCA.AGROOTROS.NAME=$A39)*(UCA.AGROOTROS.DATE=EK$5)*(UCA.AGROOTROS.VAL))</f>
        <v>2717.2379999999998</v>
      </c>
      <c r="EL39" s="557" cm="1">
        <f t="array" ref="EL39">SUMPRODUCT((UCA.AGROOTROS.NAME=$A39)*(UCA.AGROOTROS.DATE=EL$5)*(UCA.AGROOTROS.VAL))</f>
        <v>3767.2019999999998</v>
      </c>
      <c r="EM39" s="557" cm="1">
        <f t="array" ref="EM39">SUMPRODUCT((UCA.AGROOTROS.NAME=$A39)*(UCA.AGROOTROS.DATE=EM$5)*(UCA.AGROOTROS.VAL))</f>
        <v>4029.2740000000008</v>
      </c>
      <c r="EN39" s="516">
        <f t="shared" ref="EN39" si="191">SUM(EB39:EM39)</f>
        <v>40267.544999999998</v>
      </c>
      <c r="EO39" s="557" cm="1">
        <f t="array" ref="EO39">SUMPRODUCT((UCA.AGROOTROS.NAME=$A39)*(UCA.AGROOTROS.DATE=EO$5)*(UCA.AGROOTROS.VAL))</f>
        <v>3929.3019999999997</v>
      </c>
      <c r="EP39" s="557" cm="1">
        <f t="array" ref="EP39">SUMPRODUCT((UCA.AGROOTROS.NAME=$A39)*(UCA.AGROOTROS.DATE=EP$5)*(UCA.AGROOTROS.VAL))</f>
        <v>3590.1189999999992</v>
      </c>
      <c r="EQ39" s="557" cm="1">
        <f t="array" ref="EQ39">SUMPRODUCT((UCA.AGROOTROS.NAME=$A39)*(UCA.AGROOTROS.DATE=EQ$5)*(UCA.AGROOTROS.VAL))</f>
        <v>0</v>
      </c>
      <c r="ER39" s="557" cm="1">
        <f t="array" ref="ER39">SUMPRODUCT((UCA.AGROOTROS.NAME=$A39)*(UCA.AGROOTROS.DATE=ER$5)*(UCA.AGROOTROS.VAL))</f>
        <v>0</v>
      </c>
      <c r="ES39" s="557" cm="1">
        <f t="array" ref="ES39">SUMPRODUCT((UCA.AGROOTROS.NAME=$A39)*(UCA.AGROOTROS.DATE=ES$5)*(UCA.AGROOTROS.VAL))</f>
        <v>0</v>
      </c>
      <c r="ET39" s="557" cm="1">
        <f t="array" ref="ET39">SUMPRODUCT((UCA.AGROOTROS.NAME=$A39)*(UCA.AGROOTROS.DATE=ET$5)*(UCA.AGROOTROS.VAL))</f>
        <v>0</v>
      </c>
      <c r="EU39" s="557" cm="1">
        <f t="array" ref="EU39">SUMPRODUCT((UCA.AGROOTROS.NAME=$A39)*(UCA.AGROOTROS.DATE=EU$5)*(UCA.AGROOTROS.VAL))</f>
        <v>0</v>
      </c>
      <c r="EV39" s="557" cm="1">
        <f t="array" ref="EV39">SUMPRODUCT((UCA.AGROOTROS.NAME=$A39)*(UCA.AGROOTROS.DATE=EV$5)*(UCA.AGROOTROS.VAL))</f>
        <v>0</v>
      </c>
      <c r="EW39" s="557" cm="1">
        <f t="array" ref="EW39">SUMPRODUCT((UCA.AGROOTROS.NAME=$A39)*(UCA.AGROOTROS.DATE=EW$5)*(UCA.AGROOTROS.VAL))</f>
        <v>0</v>
      </c>
      <c r="EX39" s="557" cm="1">
        <f t="array" ref="EX39">SUMPRODUCT((UCA.AGROOTROS.NAME=$A39)*(UCA.AGROOTROS.DATE=EX$5)*(UCA.AGROOTROS.VAL))</f>
        <v>0</v>
      </c>
      <c r="EY39" s="557" cm="1">
        <f t="array" ref="EY39">SUMPRODUCT((UCA.AGROOTROS.NAME=$A39)*(UCA.AGROOTROS.DATE=EY$5)*(UCA.AGROOTROS.VAL))</f>
        <v>0</v>
      </c>
      <c r="EZ39" s="557" cm="1">
        <f t="array" ref="EZ39">SUMPRODUCT((UCA.AGROOTROS.NAME=$A39)*(UCA.AGROOTROS.DATE=EZ$5)*(UCA.AGROOTROS.VAL))</f>
        <v>0</v>
      </c>
      <c r="FA39" s="516">
        <f t="shared" ref="FA39" si="192">SUM(EO39:EZ39)</f>
        <v>7519.4209999999985</v>
      </c>
      <c r="FB39" s="449"/>
      <c r="FC39" s="524">
        <f t="shared" ref="FC39:FC45" si="193">IFERROR(((
_xlfn.XLOOKUP((DATE(YEAR($FC$5),MONTH($FC$5),1)),UCA.AGRO.DATE,$B39:$FA39) /
_xlfn.XLOOKUP((DATE(YEAR($FC$5)-1,MONTH($FC$5),1)),UCA.AGRO.DATE,$B39:$FA39)
)-1)*100,"")</f>
        <v>2.6580104652689895</v>
      </c>
      <c r="FD39" s="525">
        <f t="shared" si="145"/>
        <v>-15.863713422592951</v>
      </c>
      <c r="FE39" s="526">
        <f t="shared" ref="FE39:FE45" si="194">SUMIFS($B39:$FA39,UCA.AGRO.DATE,"&gt;="&amp;DATE(YEAR($FC$5)-1,1,1),UCA.AGRO.DATE,"&lt;="&amp;DATE(YEAR($FC$5)-1,MONTH($FC$5),1))</f>
        <v>43070.918000000005</v>
      </c>
      <c r="FF39" s="527">
        <f t="shared" ref="FF39:FF45" si="195">SUMIFS($B39:$FA39,UCA.AGRO.DATE,"&gt;="&amp;DATE(YEAR($FC$5),1,1),UCA.AGRO.DATE,"&lt;="&amp;$FC$5)</f>
        <v>36238.271000000001</v>
      </c>
      <c r="FG39" s="471"/>
      <c r="FH39" s="498">
        <f t="shared" ref="FH39:FH45" si="196">SUM(B39:FA39)</f>
        <v>1193567.6859999998</v>
      </c>
      <c r="FI39" s="499"/>
      <c r="FJ39" s="500" t="str">
        <f t="shared" ref="FJ39:FJ45" si="197">IF(EXACT(A39,FI39)=TRUE,"OK","VER")</f>
        <v>VER</v>
      </c>
    </row>
    <row r="40" spans="1:166" s="447" customFormat="1" ht="15" customHeight="1" x14ac:dyDescent="0.25">
      <c r="A40" s="721" t="s">
        <v>109</v>
      </c>
      <c r="B40" s="559" cm="1">
        <f t="array" ref="B40">SUMPRODUCT((UCA.AGROOTROS.NAME=$A40)*(UCA.AGROOTROS.DATE=B$5)*(UCA.AGROOTROS.VAL))</f>
        <v>0</v>
      </c>
      <c r="C40" s="559" cm="1">
        <f t="array" ref="C40">SUMPRODUCT((UCA.AGROOTROS.NAME=$A40)*(UCA.AGROOTROS.DATE=C$5)*(UCA.AGROOTROS.VAL))</f>
        <v>0</v>
      </c>
      <c r="D40" s="559" cm="1">
        <f t="array" ref="D40">SUMPRODUCT((UCA.AGROOTROS.NAME=$A40)*(UCA.AGROOTROS.DATE=D$5)*(UCA.AGROOTROS.VAL))</f>
        <v>0</v>
      </c>
      <c r="E40" s="559" cm="1">
        <f t="array" ref="E40">SUMPRODUCT((UCA.AGROOTROS.NAME=$A40)*(UCA.AGROOTROS.DATE=E$5)*(UCA.AGROOTROS.VAL))</f>
        <v>0</v>
      </c>
      <c r="F40" s="559" cm="1">
        <f t="array" ref="F40">SUMPRODUCT((UCA.AGROOTROS.NAME=$A40)*(UCA.AGROOTROS.DATE=F$5)*(UCA.AGROOTROS.VAL))</f>
        <v>0</v>
      </c>
      <c r="G40" s="559" cm="1">
        <f t="array" ref="G40">SUMPRODUCT((UCA.AGROOTROS.NAME=$A40)*(UCA.AGROOTROS.DATE=G$5)*(UCA.AGROOTROS.VAL))</f>
        <v>0</v>
      </c>
      <c r="H40" s="559" cm="1">
        <f t="array" ref="H40">SUMPRODUCT((UCA.AGROOTROS.NAME=$A40)*(UCA.AGROOTROS.DATE=H$5)*(UCA.AGROOTROS.VAL))</f>
        <v>0</v>
      </c>
      <c r="I40" s="559" cm="1">
        <f t="array" ref="I40">SUMPRODUCT((UCA.AGROOTROS.NAME=$A40)*(UCA.AGROOTROS.DATE=I$5)*(UCA.AGROOTROS.VAL))</f>
        <v>6</v>
      </c>
      <c r="J40" s="559" cm="1">
        <f t="array" ref="J40">SUMPRODUCT((UCA.AGROOTROS.NAME=$A40)*(UCA.AGROOTROS.DATE=J$5)*(UCA.AGROOTROS.VAL))</f>
        <v>34</v>
      </c>
      <c r="K40" s="559" cm="1">
        <f t="array" ref="K40">SUMPRODUCT((UCA.AGROOTROS.NAME=$A40)*(UCA.AGROOTROS.DATE=K$5)*(UCA.AGROOTROS.VAL))</f>
        <v>30</v>
      </c>
      <c r="L40" s="559" cm="1">
        <f t="array" ref="L40">SUMPRODUCT((UCA.AGROOTROS.NAME=$A40)*(UCA.AGROOTROS.DATE=L$5)*(UCA.AGROOTROS.VAL))</f>
        <v>31</v>
      </c>
      <c r="M40" s="559" cm="1">
        <f t="array" ref="M40">SUMPRODUCT((UCA.AGROOTROS.NAME=$A40)*(UCA.AGROOTROS.DATE=M$5)*(UCA.AGROOTROS.VAL))</f>
        <v>0</v>
      </c>
      <c r="N40" s="532">
        <f t="shared" ref="N40:N45" si="198">SUM(B40:M40)</f>
        <v>101</v>
      </c>
      <c r="O40" s="559" cm="1">
        <f t="array" ref="O40">SUMPRODUCT((UCA.AGROOTROS.NAME=$A40)*(UCA.AGROOTROS.DATE=O$5)*(UCA.AGROOTROS.VAL))</f>
        <v>0</v>
      </c>
      <c r="P40" s="559" cm="1">
        <f t="array" ref="P40">SUMPRODUCT((UCA.AGROOTROS.NAME=$A40)*(UCA.AGROOTROS.DATE=P$5)*(UCA.AGROOTROS.VAL))</f>
        <v>0</v>
      </c>
      <c r="Q40" s="559" cm="1">
        <f t="array" ref="Q40">SUMPRODUCT((UCA.AGROOTROS.NAME=$A40)*(UCA.AGROOTROS.DATE=Q$5)*(UCA.AGROOTROS.VAL))</f>
        <v>0</v>
      </c>
      <c r="R40" s="559" cm="1">
        <f t="array" ref="R40">SUMPRODUCT((UCA.AGROOTROS.NAME=$A40)*(UCA.AGROOTROS.DATE=R$5)*(UCA.AGROOTROS.VAL))</f>
        <v>0</v>
      </c>
      <c r="S40" s="559" cm="1">
        <f t="array" ref="S40">SUMPRODUCT((UCA.AGROOTROS.NAME=$A40)*(UCA.AGROOTROS.DATE=S$5)*(UCA.AGROOTROS.VAL))</f>
        <v>0</v>
      </c>
      <c r="T40" s="559" cm="1">
        <f t="array" ref="T40">SUMPRODUCT((UCA.AGROOTROS.NAME=$A40)*(UCA.AGROOTROS.DATE=T$5)*(UCA.AGROOTROS.VAL))</f>
        <v>0</v>
      </c>
      <c r="U40" s="559" cm="1">
        <f t="array" ref="U40">SUMPRODUCT((UCA.AGROOTROS.NAME=$A40)*(UCA.AGROOTROS.DATE=U$5)*(UCA.AGROOTROS.VAL))</f>
        <v>0</v>
      </c>
      <c r="V40" s="559" cm="1">
        <f t="array" ref="V40">SUMPRODUCT((UCA.AGROOTROS.NAME=$A40)*(UCA.AGROOTROS.DATE=V$5)*(UCA.AGROOTROS.VAL))</f>
        <v>0</v>
      </c>
      <c r="W40" s="559" cm="1">
        <f t="array" ref="W40">SUMPRODUCT((UCA.AGROOTROS.NAME=$A40)*(UCA.AGROOTROS.DATE=W$5)*(UCA.AGROOTROS.VAL))</f>
        <v>42</v>
      </c>
      <c r="X40" s="559" cm="1">
        <f t="array" ref="X40">SUMPRODUCT((UCA.AGROOTROS.NAME=$A40)*(UCA.AGROOTROS.DATE=X$5)*(UCA.AGROOTROS.VAL))</f>
        <v>42</v>
      </c>
      <c r="Y40" s="559" cm="1">
        <f t="array" ref="Y40">SUMPRODUCT((UCA.AGROOTROS.NAME=$A40)*(UCA.AGROOTROS.DATE=Y$5)*(UCA.AGROOTROS.VAL))</f>
        <v>44</v>
      </c>
      <c r="Z40" s="559" cm="1">
        <f t="array" ref="Z40">SUMPRODUCT((UCA.AGROOTROS.NAME=$A40)*(UCA.AGROOTROS.DATE=Z$5)*(UCA.AGROOTROS.VAL))</f>
        <v>0</v>
      </c>
      <c r="AA40" s="532">
        <f t="shared" ref="AA40:AA45" si="199">SUM(O40:Z40)</f>
        <v>128</v>
      </c>
      <c r="AB40" s="559" cm="1">
        <f t="array" ref="AB40">SUMPRODUCT((UCA.AGROOTROS.NAME=$A40)*(UCA.AGROOTROS.DATE=AB$5)*(UCA.AGROOTROS.VAL))</f>
        <v>0</v>
      </c>
      <c r="AC40" s="559" cm="1">
        <f t="array" ref="AC40">SUMPRODUCT((UCA.AGROOTROS.NAME=$A40)*(UCA.AGROOTROS.DATE=AC$5)*(UCA.AGROOTROS.VAL))</f>
        <v>0</v>
      </c>
      <c r="AD40" s="559" cm="1">
        <f t="array" ref="AD40">SUMPRODUCT((UCA.AGROOTROS.NAME=$A40)*(UCA.AGROOTROS.DATE=AD$5)*(UCA.AGROOTROS.VAL))</f>
        <v>0</v>
      </c>
      <c r="AE40" s="559" cm="1">
        <f t="array" ref="AE40">SUMPRODUCT((UCA.AGROOTROS.NAME=$A40)*(UCA.AGROOTROS.DATE=AE$5)*(UCA.AGROOTROS.VAL))</f>
        <v>0</v>
      </c>
      <c r="AF40" s="559" cm="1">
        <f t="array" ref="AF40">SUMPRODUCT((UCA.AGROOTROS.NAME=$A40)*(UCA.AGROOTROS.DATE=AF$5)*(UCA.AGROOTROS.VAL))</f>
        <v>0</v>
      </c>
      <c r="AG40" s="559" cm="1">
        <f t="array" ref="AG40">SUMPRODUCT((UCA.AGROOTROS.NAME=$A40)*(UCA.AGROOTROS.DATE=AG$5)*(UCA.AGROOTROS.VAL))</f>
        <v>0</v>
      </c>
      <c r="AH40" s="559" cm="1">
        <f t="array" ref="AH40">SUMPRODUCT((UCA.AGROOTROS.NAME=$A40)*(UCA.AGROOTROS.DATE=AH$5)*(UCA.AGROOTROS.VAL))</f>
        <v>0</v>
      </c>
      <c r="AI40" s="559" cm="1">
        <f t="array" ref="AI40">SUMPRODUCT((UCA.AGROOTROS.NAME=$A40)*(UCA.AGROOTROS.DATE=AI$5)*(UCA.AGROOTROS.VAL))</f>
        <v>0</v>
      </c>
      <c r="AJ40" s="559" cm="1">
        <f t="array" ref="AJ40">SUMPRODUCT((UCA.AGROOTROS.NAME=$A40)*(UCA.AGROOTROS.DATE=AJ$5)*(UCA.AGROOTROS.VAL))</f>
        <v>46</v>
      </c>
      <c r="AK40" s="559" cm="1">
        <f t="array" ref="AK40">SUMPRODUCT((UCA.AGROOTROS.NAME=$A40)*(UCA.AGROOTROS.DATE=AK$5)*(UCA.AGROOTROS.VAL))</f>
        <v>45</v>
      </c>
      <c r="AL40" s="559" cm="1">
        <f t="array" ref="AL40">SUMPRODUCT((UCA.AGROOTROS.NAME=$A40)*(UCA.AGROOTROS.DATE=AL$5)*(UCA.AGROOTROS.VAL))</f>
        <v>54</v>
      </c>
      <c r="AM40" s="559" cm="1">
        <f t="array" ref="AM40">SUMPRODUCT((UCA.AGROOTROS.NAME=$A40)*(UCA.AGROOTROS.DATE=AM$5)*(UCA.AGROOTROS.VAL))</f>
        <v>0</v>
      </c>
      <c r="AN40" s="532">
        <f t="shared" ref="AN40:AN45" si="200">SUM(AB40:AM40)</f>
        <v>145</v>
      </c>
      <c r="AO40" s="559" cm="1">
        <f t="array" ref="AO40">SUMPRODUCT((UCA.AGROOTROS.NAME=$A40)*(UCA.AGROOTROS.DATE=AO$5)*(UCA.AGROOTROS.VAL))</f>
        <v>0</v>
      </c>
      <c r="AP40" s="559" cm="1">
        <f t="array" ref="AP40">SUMPRODUCT((UCA.AGROOTROS.NAME=$A40)*(UCA.AGROOTROS.DATE=AP$5)*(UCA.AGROOTROS.VAL))</f>
        <v>0</v>
      </c>
      <c r="AQ40" s="559" cm="1">
        <f t="array" ref="AQ40">SUMPRODUCT((UCA.AGROOTROS.NAME=$A40)*(UCA.AGROOTROS.DATE=AQ$5)*(UCA.AGROOTROS.VAL))</f>
        <v>0</v>
      </c>
      <c r="AR40" s="559" cm="1">
        <f t="array" ref="AR40">SUMPRODUCT((UCA.AGROOTROS.NAME=$A40)*(UCA.AGROOTROS.DATE=AR$5)*(UCA.AGROOTROS.VAL))</f>
        <v>0</v>
      </c>
      <c r="AS40" s="559" cm="1">
        <f t="array" ref="AS40">SUMPRODUCT((UCA.AGROOTROS.NAME=$A40)*(UCA.AGROOTROS.DATE=AS$5)*(UCA.AGROOTROS.VAL))</f>
        <v>0</v>
      </c>
      <c r="AT40" s="559" cm="1">
        <f t="array" ref="AT40">SUMPRODUCT((UCA.AGROOTROS.NAME=$A40)*(UCA.AGROOTROS.DATE=AT$5)*(UCA.AGROOTROS.VAL))</f>
        <v>0</v>
      </c>
      <c r="AU40" s="559" cm="1">
        <f t="array" ref="AU40">SUMPRODUCT((UCA.AGROOTROS.NAME=$A40)*(UCA.AGROOTROS.DATE=AU$5)*(UCA.AGROOTROS.VAL))</f>
        <v>0</v>
      </c>
      <c r="AV40" s="559" cm="1">
        <f t="array" ref="AV40">SUMPRODUCT((UCA.AGROOTROS.NAME=$A40)*(UCA.AGROOTROS.DATE=AV$5)*(UCA.AGROOTROS.VAL))</f>
        <v>0</v>
      </c>
      <c r="AW40" s="559" cm="1">
        <f t="array" ref="AW40">SUMPRODUCT((UCA.AGROOTROS.NAME=$A40)*(UCA.AGROOTROS.DATE=AW$5)*(UCA.AGROOTROS.VAL))</f>
        <v>57</v>
      </c>
      <c r="AX40" s="559" cm="1">
        <f t="array" ref="AX40">SUMPRODUCT((UCA.AGROOTROS.NAME=$A40)*(UCA.AGROOTROS.DATE=AX$5)*(UCA.AGROOTROS.VAL))</f>
        <v>70</v>
      </c>
      <c r="AY40" s="559" cm="1">
        <f t="array" ref="AY40">SUMPRODUCT((UCA.AGROOTROS.NAME=$A40)*(UCA.AGROOTROS.DATE=AY$5)*(UCA.AGROOTROS.VAL))</f>
        <v>107</v>
      </c>
      <c r="AZ40" s="559" cm="1">
        <f t="array" ref="AZ40">SUMPRODUCT((UCA.AGROOTROS.NAME=$A40)*(UCA.AGROOTROS.DATE=AZ$5)*(UCA.AGROOTROS.VAL))</f>
        <v>0</v>
      </c>
      <c r="BA40" s="532">
        <f t="shared" ref="BA40:BA45" si="201">SUM(AO40:AZ40)</f>
        <v>234</v>
      </c>
      <c r="BB40" s="559" cm="1">
        <f t="array" ref="BB40">SUMPRODUCT((UCA.AGROOTROS.NAME=$A40)*(UCA.AGROOTROS.DATE=BB$5)*(UCA.AGROOTROS.VAL))</f>
        <v>0</v>
      </c>
      <c r="BC40" s="559" cm="1">
        <f t="array" ref="BC40">SUMPRODUCT((UCA.AGROOTROS.NAME=$A40)*(UCA.AGROOTROS.DATE=BC$5)*(UCA.AGROOTROS.VAL))</f>
        <v>0</v>
      </c>
      <c r="BD40" s="559" cm="1">
        <f t="array" ref="BD40">SUMPRODUCT((UCA.AGROOTROS.NAME=$A40)*(UCA.AGROOTROS.DATE=BD$5)*(UCA.AGROOTROS.VAL))</f>
        <v>0</v>
      </c>
      <c r="BE40" s="559" cm="1">
        <f t="array" ref="BE40">SUMPRODUCT((UCA.AGROOTROS.NAME=$A40)*(UCA.AGROOTROS.DATE=BE$5)*(UCA.AGROOTROS.VAL))</f>
        <v>0</v>
      </c>
      <c r="BF40" s="559" cm="1">
        <f t="array" ref="BF40">SUMPRODUCT((UCA.AGROOTROS.NAME=$A40)*(UCA.AGROOTROS.DATE=BF$5)*(UCA.AGROOTROS.VAL))</f>
        <v>0</v>
      </c>
      <c r="BG40" s="559" cm="1">
        <f t="array" ref="BG40">SUMPRODUCT((UCA.AGROOTROS.NAME=$A40)*(UCA.AGROOTROS.DATE=BG$5)*(UCA.AGROOTROS.VAL))</f>
        <v>0</v>
      </c>
      <c r="BH40" s="559" cm="1">
        <f t="array" ref="BH40">SUMPRODUCT((UCA.AGROOTROS.NAME=$A40)*(UCA.AGROOTROS.DATE=BH$5)*(UCA.AGROOTROS.VAL))</f>
        <v>0</v>
      </c>
      <c r="BI40" s="559" cm="1">
        <f t="array" ref="BI40">SUMPRODUCT((UCA.AGROOTROS.NAME=$A40)*(UCA.AGROOTROS.DATE=BI$5)*(UCA.AGROOTROS.VAL))</f>
        <v>0</v>
      </c>
      <c r="BJ40" s="559" cm="1">
        <f t="array" ref="BJ40">SUMPRODUCT((UCA.AGROOTROS.NAME=$A40)*(UCA.AGROOTROS.DATE=BJ$5)*(UCA.AGROOTROS.VAL))</f>
        <v>57</v>
      </c>
      <c r="BK40" s="559" cm="1">
        <f t="array" ref="BK40">SUMPRODUCT((UCA.AGROOTROS.NAME=$A40)*(UCA.AGROOTROS.DATE=BK$5)*(UCA.AGROOTROS.VAL))</f>
        <v>60</v>
      </c>
      <c r="BL40" s="559" cm="1">
        <f t="array" ref="BL40">SUMPRODUCT((UCA.AGROOTROS.NAME=$A40)*(UCA.AGROOTROS.DATE=BL$5)*(UCA.AGROOTROS.VAL))</f>
        <v>96</v>
      </c>
      <c r="BM40" s="559" cm="1">
        <f t="array" ref="BM40">SUMPRODUCT((UCA.AGROOTROS.NAME=$A40)*(UCA.AGROOTROS.DATE=BM$5)*(UCA.AGROOTROS.VAL))</f>
        <v>0</v>
      </c>
      <c r="BN40" s="532">
        <f t="shared" ref="BN40:BN45" si="202">SUM(BB40:BM40)</f>
        <v>213</v>
      </c>
      <c r="BO40" s="559" cm="1">
        <f t="array" ref="BO40">SUMPRODUCT((UCA.AGROOTROS.NAME=$A40)*(UCA.AGROOTROS.DATE=BO$5)*(UCA.AGROOTROS.VAL))</f>
        <v>0</v>
      </c>
      <c r="BP40" s="559" cm="1">
        <f t="array" ref="BP40">SUMPRODUCT((UCA.AGROOTROS.NAME=$A40)*(UCA.AGROOTROS.DATE=BP$5)*(UCA.AGROOTROS.VAL))</f>
        <v>0</v>
      </c>
      <c r="BQ40" s="559" cm="1">
        <f t="array" ref="BQ40">SUMPRODUCT((UCA.AGROOTROS.NAME=$A40)*(UCA.AGROOTROS.DATE=BQ$5)*(UCA.AGROOTROS.VAL))</f>
        <v>0</v>
      </c>
      <c r="BR40" s="559" cm="1">
        <f t="array" ref="BR40">SUMPRODUCT((UCA.AGROOTROS.NAME=$A40)*(UCA.AGROOTROS.DATE=BR$5)*(UCA.AGROOTROS.VAL))</f>
        <v>0</v>
      </c>
      <c r="BS40" s="559" cm="1">
        <f t="array" ref="BS40">SUMPRODUCT((UCA.AGROOTROS.NAME=$A40)*(UCA.AGROOTROS.DATE=BS$5)*(UCA.AGROOTROS.VAL))</f>
        <v>0</v>
      </c>
      <c r="BT40" s="559" cm="1">
        <f t="array" ref="BT40">SUMPRODUCT((UCA.AGROOTROS.NAME=$A40)*(UCA.AGROOTROS.DATE=BT$5)*(UCA.AGROOTROS.VAL))</f>
        <v>0</v>
      </c>
      <c r="BU40" s="559" cm="1">
        <f t="array" ref="BU40">SUMPRODUCT((UCA.AGROOTROS.NAME=$A40)*(UCA.AGROOTROS.DATE=BU$5)*(UCA.AGROOTROS.VAL))</f>
        <v>0</v>
      </c>
      <c r="BV40" s="559" cm="1">
        <f t="array" ref="BV40">SUMPRODUCT((UCA.AGROOTROS.NAME=$A40)*(UCA.AGROOTROS.DATE=BV$5)*(UCA.AGROOTROS.VAL))</f>
        <v>0</v>
      </c>
      <c r="BW40" s="559" cm="1">
        <f t="array" ref="BW40">SUMPRODUCT((UCA.AGROOTROS.NAME=$A40)*(UCA.AGROOTROS.DATE=BW$5)*(UCA.AGROOTROS.VAL))</f>
        <v>46.408000000000001</v>
      </c>
      <c r="BX40" s="559" cm="1">
        <f t="array" ref="BX40">SUMPRODUCT((UCA.AGROOTROS.NAME=$A40)*(UCA.AGROOTROS.DATE=BX$5)*(UCA.AGROOTROS.VAL))</f>
        <v>60.51</v>
      </c>
      <c r="BY40" s="559" cm="1">
        <f t="array" ref="BY40">SUMPRODUCT((UCA.AGROOTROS.NAME=$A40)*(UCA.AGROOTROS.DATE=BY$5)*(UCA.AGROOTROS.VAL))</f>
        <v>76.736999999999995</v>
      </c>
      <c r="BZ40" s="559" cm="1">
        <f t="array" ref="BZ40">SUMPRODUCT((UCA.AGROOTROS.NAME=$A40)*(UCA.AGROOTROS.DATE=BZ$5)*(UCA.AGROOTROS.VAL))</f>
        <v>0</v>
      </c>
      <c r="CA40" s="532">
        <f t="shared" ref="CA40:CA45" si="203">SUM(BO40:BZ40)</f>
        <v>183.655</v>
      </c>
      <c r="CB40" s="559" cm="1">
        <f t="array" ref="CB40">SUMPRODUCT((UCA.AGROOTROS.NAME=$A40)*(UCA.AGROOTROS.DATE=CB$5)*(UCA.AGROOTROS.VAL))</f>
        <v>0</v>
      </c>
      <c r="CC40" s="559" cm="1">
        <f t="array" ref="CC40">SUMPRODUCT((UCA.AGROOTROS.NAME=$A40)*(UCA.AGROOTROS.DATE=CC$5)*(UCA.AGROOTROS.VAL))</f>
        <v>0</v>
      </c>
      <c r="CD40" s="559" cm="1">
        <f t="array" ref="CD40">SUMPRODUCT((UCA.AGROOTROS.NAME=$A40)*(UCA.AGROOTROS.DATE=CD$5)*(UCA.AGROOTROS.VAL))</f>
        <v>0</v>
      </c>
      <c r="CE40" s="559" cm="1">
        <f t="array" ref="CE40">SUMPRODUCT((UCA.AGROOTROS.NAME=$A40)*(UCA.AGROOTROS.DATE=CE$5)*(UCA.AGROOTROS.VAL))</f>
        <v>0</v>
      </c>
      <c r="CF40" s="559" cm="1">
        <f t="array" ref="CF40">SUMPRODUCT((UCA.AGROOTROS.NAME=$A40)*(UCA.AGROOTROS.DATE=CF$5)*(UCA.AGROOTROS.VAL))</f>
        <v>0</v>
      </c>
      <c r="CG40" s="559" cm="1">
        <f t="array" ref="CG40">SUMPRODUCT((UCA.AGROOTROS.NAME=$A40)*(UCA.AGROOTROS.DATE=CG$5)*(UCA.AGROOTROS.VAL))</f>
        <v>0</v>
      </c>
      <c r="CH40" s="559" cm="1">
        <f t="array" ref="CH40">SUMPRODUCT((UCA.AGROOTROS.NAME=$A40)*(UCA.AGROOTROS.DATE=CH$5)*(UCA.AGROOTROS.VAL))</f>
        <v>0</v>
      </c>
      <c r="CI40" s="559" cm="1">
        <f t="array" ref="CI40">SUMPRODUCT((UCA.AGROOTROS.NAME=$A40)*(UCA.AGROOTROS.DATE=CI$5)*(UCA.AGROOTROS.VAL))</f>
        <v>0</v>
      </c>
      <c r="CJ40" s="559" cm="1">
        <f t="array" ref="CJ40">SUMPRODUCT((UCA.AGROOTROS.NAME=$A40)*(UCA.AGROOTROS.DATE=CJ$5)*(UCA.AGROOTROS.VAL))</f>
        <v>79.680000000000007</v>
      </c>
      <c r="CK40" s="559" cm="1">
        <f t="array" ref="CK40">SUMPRODUCT((UCA.AGROOTROS.NAME=$A40)*(UCA.AGROOTROS.DATE=CK$5)*(UCA.AGROOTROS.VAL))</f>
        <v>127.28900000000002</v>
      </c>
      <c r="CL40" s="559" cm="1">
        <f t="array" ref="CL40">SUMPRODUCT((UCA.AGROOTROS.NAME=$A40)*(UCA.AGROOTROS.DATE=CL$5)*(UCA.AGROOTROS.VAL))</f>
        <v>201.94</v>
      </c>
      <c r="CM40" s="559" cm="1">
        <f t="array" ref="CM40">SUMPRODUCT((UCA.AGROOTROS.NAME=$A40)*(UCA.AGROOTROS.DATE=CM$5)*(UCA.AGROOTROS.VAL))</f>
        <v>0</v>
      </c>
      <c r="CN40" s="532">
        <f t="shared" ref="CN40:CN45" si="204">SUM(CB40:CM40)</f>
        <v>408.90899999999999</v>
      </c>
      <c r="CO40" s="559" cm="1">
        <f t="array" ref="CO40">SUMPRODUCT((UCA.AGROOTROS.NAME=$A40)*(UCA.AGROOTROS.DATE=CO$5)*(UCA.AGROOTROS.VAL))</f>
        <v>0</v>
      </c>
      <c r="CP40" s="559" cm="1">
        <f t="array" ref="CP40">SUMPRODUCT((UCA.AGROOTROS.NAME=$A40)*(UCA.AGROOTROS.DATE=CP$5)*(UCA.AGROOTROS.VAL))</f>
        <v>0</v>
      </c>
      <c r="CQ40" s="559" cm="1">
        <f t="array" ref="CQ40">SUMPRODUCT((UCA.AGROOTROS.NAME=$A40)*(UCA.AGROOTROS.DATE=CQ$5)*(UCA.AGROOTROS.VAL))</f>
        <v>0</v>
      </c>
      <c r="CR40" s="559" cm="1">
        <f t="array" ref="CR40">SUMPRODUCT((UCA.AGROOTROS.NAME=$A40)*(UCA.AGROOTROS.DATE=CR$5)*(UCA.AGROOTROS.VAL))</f>
        <v>0</v>
      </c>
      <c r="CS40" s="559" cm="1">
        <f t="array" ref="CS40">SUMPRODUCT((UCA.AGROOTROS.NAME=$A40)*(UCA.AGROOTROS.DATE=CS$5)*(UCA.AGROOTROS.VAL))</f>
        <v>0</v>
      </c>
      <c r="CT40" s="559" cm="1">
        <f t="array" ref="CT40">SUMPRODUCT((UCA.AGROOTROS.NAME=$A40)*(UCA.AGROOTROS.DATE=CT$5)*(UCA.AGROOTROS.VAL))</f>
        <v>0</v>
      </c>
      <c r="CU40" s="559" cm="1">
        <f t="array" ref="CU40">SUMPRODUCT((UCA.AGROOTROS.NAME=$A40)*(UCA.AGROOTROS.DATE=CU$5)*(UCA.AGROOTROS.VAL))</f>
        <v>0</v>
      </c>
      <c r="CV40" s="559" cm="1">
        <f t="array" ref="CV40">SUMPRODUCT((UCA.AGROOTROS.NAME=$A40)*(UCA.AGROOTROS.DATE=CV$5)*(UCA.AGROOTROS.VAL))</f>
        <v>0</v>
      </c>
      <c r="CW40" s="559" cm="1">
        <f t="array" ref="CW40">SUMPRODUCT((UCA.AGROOTROS.NAME=$A40)*(UCA.AGROOTROS.DATE=CW$5)*(UCA.AGROOTROS.VAL))</f>
        <v>145.87</v>
      </c>
      <c r="CX40" s="559" cm="1">
        <f t="array" ref="CX40">SUMPRODUCT((UCA.AGROOTROS.NAME=$A40)*(UCA.AGROOTROS.DATE=CX$5)*(UCA.AGROOTROS.VAL))</f>
        <v>122.07899999999999</v>
      </c>
      <c r="CY40" s="559" cm="1">
        <f t="array" ref="CY40">SUMPRODUCT((UCA.AGROOTROS.NAME=$A40)*(UCA.AGROOTROS.DATE=CY$5)*(UCA.AGROOTROS.VAL))</f>
        <v>85.21</v>
      </c>
      <c r="CZ40" s="559" cm="1">
        <f t="array" ref="CZ40">SUMPRODUCT((UCA.AGROOTROS.NAME=$A40)*(UCA.AGROOTROS.DATE=CZ$5)*(UCA.AGROOTROS.VAL))</f>
        <v>2.1040000000000001</v>
      </c>
      <c r="DA40" s="532">
        <f t="shared" ref="DA40:DA45" si="205">SUM(CO40:CZ40)</f>
        <v>355.26299999999998</v>
      </c>
      <c r="DB40" s="559" cm="1">
        <f t="array" ref="DB40">SUMPRODUCT((UCA.AGROOTROS.NAME=$A40)*(UCA.AGROOTROS.DATE=DB$5)*(UCA.AGROOTROS.VAL))</f>
        <v>0</v>
      </c>
      <c r="DC40" s="559" cm="1">
        <f t="array" ref="DC40">SUMPRODUCT((UCA.AGROOTROS.NAME=$A40)*(UCA.AGROOTROS.DATE=DC$5)*(UCA.AGROOTROS.VAL))</f>
        <v>0</v>
      </c>
      <c r="DD40" s="559" cm="1">
        <f t="array" ref="DD40">SUMPRODUCT((UCA.AGROOTROS.NAME=$A40)*(UCA.AGROOTROS.DATE=DD$5)*(UCA.AGROOTROS.VAL))</f>
        <v>0</v>
      </c>
      <c r="DE40" s="559" cm="1">
        <f t="array" ref="DE40">SUMPRODUCT((UCA.AGROOTROS.NAME=$A40)*(UCA.AGROOTROS.DATE=DE$5)*(UCA.AGROOTROS.VAL))</f>
        <v>0</v>
      </c>
      <c r="DF40" s="559" cm="1">
        <f t="array" ref="DF40">SUMPRODUCT((UCA.AGROOTROS.NAME=$A40)*(UCA.AGROOTROS.DATE=DF$5)*(UCA.AGROOTROS.VAL))</f>
        <v>0</v>
      </c>
      <c r="DG40" s="559" cm="1">
        <f t="array" ref="DG40">SUMPRODUCT((UCA.AGROOTROS.NAME=$A40)*(UCA.AGROOTROS.DATE=DG$5)*(UCA.AGROOTROS.VAL))</f>
        <v>0</v>
      </c>
      <c r="DH40" s="559" cm="1">
        <f t="array" ref="DH40">SUMPRODUCT((UCA.AGROOTROS.NAME=$A40)*(UCA.AGROOTROS.DATE=DH$5)*(UCA.AGROOTROS.VAL))</f>
        <v>0</v>
      </c>
      <c r="DI40" s="559" cm="1">
        <f t="array" ref="DI40">SUMPRODUCT((UCA.AGROOTROS.NAME=$A40)*(UCA.AGROOTROS.DATE=DI$5)*(UCA.AGROOTROS.VAL))</f>
        <v>0</v>
      </c>
      <c r="DJ40" s="559" cm="1">
        <f t="array" ref="DJ40">SUMPRODUCT((UCA.AGROOTROS.NAME=$A40)*(UCA.AGROOTROS.DATE=DJ$5)*(UCA.AGROOTROS.VAL))</f>
        <v>109.44800000000001</v>
      </c>
      <c r="DK40" s="559" cm="1">
        <f t="array" ref="DK40">SUMPRODUCT((UCA.AGROOTROS.NAME=$A40)*(UCA.AGROOTROS.DATE=DK$5)*(UCA.AGROOTROS.VAL))</f>
        <v>130.12899999999999</v>
      </c>
      <c r="DL40" s="559" cm="1">
        <f t="array" ref="DL40">SUMPRODUCT((UCA.AGROOTROS.NAME=$A40)*(UCA.AGROOTROS.DATE=DL$5)*(UCA.AGROOTROS.VAL))</f>
        <v>126.67600000000002</v>
      </c>
      <c r="DM40" s="559" cm="1">
        <f t="array" ref="DM40">SUMPRODUCT((UCA.AGROOTROS.NAME=$A40)*(UCA.AGROOTROS.DATE=DM$5)*(UCA.AGROOTROS.VAL))</f>
        <v>0</v>
      </c>
      <c r="DN40" s="532">
        <f t="shared" ref="DN40:DN45" si="206">SUM(DB40:DM40)</f>
        <v>366.25300000000004</v>
      </c>
      <c r="DO40" s="559" cm="1">
        <f t="array" ref="DO40">SUMPRODUCT((UCA.AGROOTROS.NAME=$A40)*(UCA.AGROOTROS.DATE=DO$5)*(UCA.AGROOTROS.VAL))</f>
        <v>0</v>
      </c>
      <c r="DP40" s="559" cm="1">
        <f t="array" ref="DP40">SUMPRODUCT((UCA.AGROOTROS.NAME=$A40)*(UCA.AGROOTROS.DATE=DP$5)*(UCA.AGROOTROS.VAL))</f>
        <v>0</v>
      </c>
      <c r="DQ40" s="559" cm="1">
        <f t="array" ref="DQ40">SUMPRODUCT((UCA.AGROOTROS.NAME=$A40)*(UCA.AGROOTROS.DATE=DQ$5)*(UCA.AGROOTROS.VAL))</f>
        <v>0</v>
      </c>
      <c r="DR40" s="559" cm="1">
        <f t="array" ref="DR40">SUMPRODUCT((UCA.AGROOTROS.NAME=$A40)*(UCA.AGROOTROS.DATE=DR$5)*(UCA.AGROOTROS.VAL))</f>
        <v>0</v>
      </c>
      <c r="DS40" s="559" cm="1">
        <f t="array" ref="DS40">SUMPRODUCT((UCA.AGROOTROS.NAME=$A40)*(UCA.AGROOTROS.DATE=DS$5)*(UCA.AGROOTROS.VAL))</f>
        <v>0</v>
      </c>
      <c r="DT40" s="559" cm="1">
        <f t="array" ref="DT40">SUMPRODUCT((UCA.AGROOTROS.NAME=$A40)*(UCA.AGROOTROS.DATE=DT$5)*(UCA.AGROOTROS.VAL))</f>
        <v>0</v>
      </c>
      <c r="DU40" s="559" cm="1">
        <f t="array" ref="DU40">SUMPRODUCT((UCA.AGROOTROS.NAME=$A40)*(UCA.AGROOTROS.DATE=DU$5)*(UCA.AGROOTROS.VAL))</f>
        <v>0</v>
      </c>
      <c r="DV40" s="559" cm="1">
        <f t="array" ref="DV40">SUMPRODUCT((UCA.AGROOTROS.NAME=$A40)*(UCA.AGROOTROS.DATE=DV$5)*(UCA.AGROOTROS.VAL))</f>
        <v>0</v>
      </c>
      <c r="DW40" s="559" cm="1">
        <f t="array" ref="DW40">SUMPRODUCT((UCA.AGROOTROS.NAME=$A40)*(UCA.AGROOTROS.DATE=DW$5)*(UCA.AGROOTROS.VAL))</f>
        <v>97.679000000000002</v>
      </c>
      <c r="DX40" s="559" cm="1">
        <f t="array" ref="DX40">SUMPRODUCT((UCA.AGROOTROS.NAME=$A40)*(UCA.AGROOTROS.DATE=DX$5)*(UCA.AGROOTROS.VAL))</f>
        <v>142.089</v>
      </c>
      <c r="DY40" s="559" cm="1">
        <f t="array" ref="DY40">SUMPRODUCT((UCA.AGROOTROS.NAME=$A40)*(UCA.AGROOTROS.DATE=DY$5)*(UCA.AGROOTROS.VAL))</f>
        <v>122.749</v>
      </c>
      <c r="DZ40" s="559" cm="1">
        <f t="array" ref="DZ40">SUMPRODUCT((UCA.AGROOTROS.NAME=$A40)*(UCA.AGROOTROS.DATE=DZ$5)*(UCA.AGROOTROS.VAL))</f>
        <v>0</v>
      </c>
      <c r="EA40" s="532">
        <f t="shared" ref="EA40:EA45" si="207">SUM(DO40:DZ40)</f>
        <v>362.517</v>
      </c>
      <c r="EB40" s="559" cm="1">
        <f t="array" ref="EB40">SUMPRODUCT((UCA.AGROOTROS.NAME=$A40)*(UCA.AGROOTROS.DATE=EB$5)*(UCA.AGROOTROS.VAL))</f>
        <v>0</v>
      </c>
      <c r="EC40" s="559" cm="1">
        <f t="array" ref="EC40">SUMPRODUCT((UCA.AGROOTROS.NAME=$A40)*(UCA.AGROOTROS.DATE=EC$5)*(UCA.AGROOTROS.VAL))</f>
        <v>0</v>
      </c>
      <c r="ED40" s="559" cm="1">
        <f t="array" ref="ED40">SUMPRODUCT((UCA.AGROOTROS.NAME=$A40)*(UCA.AGROOTROS.DATE=ED$5)*(UCA.AGROOTROS.VAL))</f>
        <v>0</v>
      </c>
      <c r="EE40" s="559" cm="1">
        <f t="array" ref="EE40">SUMPRODUCT((UCA.AGROOTROS.NAME=$A40)*(UCA.AGROOTROS.DATE=EE$5)*(UCA.AGROOTROS.VAL))</f>
        <v>0</v>
      </c>
      <c r="EF40" s="559" cm="1">
        <f t="array" ref="EF40">SUMPRODUCT((UCA.AGROOTROS.NAME=$A40)*(UCA.AGROOTROS.DATE=EF$5)*(UCA.AGROOTROS.VAL))</f>
        <v>0</v>
      </c>
      <c r="EG40" s="559" cm="1">
        <f t="array" ref="EG40">SUMPRODUCT((UCA.AGROOTROS.NAME=$A40)*(UCA.AGROOTROS.DATE=EG$5)*(UCA.AGROOTROS.VAL))</f>
        <v>0</v>
      </c>
      <c r="EH40" s="559" cm="1">
        <f t="array" ref="EH40">SUMPRODUCT((UCA.AGROOTROS.NAME=$A40)*(UCA.AGROOTROS.DATE=EH$5)*(UCA.AGROOTROS.VAL))</f>
        <v>0</v>
      </c>
      <c r="EI40" s="559" cm="1">
        <f t="array" ref="EI40">SUMPRODUCT((UCA.AGROOTROS.NAME=$A40)*(UCA.AGROOTROS.DATE=EI$5)*(UCA.AGROOTROS.VAL))</f>
        <v>0</v>
      </c>
      <c r="EJ40" s="559" cm="1">
        <f t="array" ref="EJ40">SUMPRODUCT((UCA.AGROOTROS.NAME=$A40)*(UCA.AGROOTROS.DATE=EJ$5)*(UCA.AGROOTROS.VAL))</f>
        <v>178.22900000000001</v>
      </c>
      <c r="EK40" s="559" cm="1">
        <f t="array" ref="EK40">SUMPRODUCT((UCA.AGROOTROS.NAME=$A40)*(UCA.AGROOTROS.DATE=EK$5)*(UCA.AGROOTROS.VAL))</f>
        <v>197.75800000000001</v>
      </c>
      <c r="EL40" s="559" cm="1">
        <f t="array" ref="EL40">SUMPRODUCT((UCA.AGROOTROS.NAME=$A40)*(UCA.AGROOTROS.DATE=EL$5)*(UCA.AGROOTROS.VAL))</f>
        <v>124.914</v>
      </c>
      <c r="EM40" s="559" cm="1">
        <f t="array" ref="EM40">SUMPRODUCT((UCA.AGROOTROS.NAME=$A40)*(UCA.AGROOTROS.DATE=EM$5)*(UCA.AGROOTROS.VAL))</f>
        <v>0</v>
      </c>
      <c r="EN40" s="532">
        <f t="shared" ref="EN40:EN45" si="208">SUM(EB40:EM40)</f>
        <v>500.90100000000001</v>
      </c>
      <c r="EO40" s="559" cm="1">
        <f t="array" ref="EO40">SUMPRODUCT((UCA.AGROOTROS.NAME=$A40)*(UCA.AGROOTROS.DATE=EO$5)*(UCA.AGROOTROS.VAL))</f>
        <v>0</v>
      </c>
      <c r="EP40" s="559" cm="1">
        <f t="array" ref="EP40">SUMPRODUCT((UCA.AGROOTROS.NAME=$A40)*(UCA.AGROOTROS.DATE=EP$5)*(UCA.AGROOTROS.VAL))</f>
        <v>0</v>
      </c>
      <c r="EQ40" s="559" cm="1">
        <f t="array" ref="EQ40">SUMPRODUCT((UCA.AGROOTROS.NAME=$A40)*(UCA.AGROOTROS.DATE=EQ$5)*(UCA.AGROOTROS.VAL))</f>
        <v>0</v>
      </c>
      <c r="ER40" s="559" cm="1">
        <f t="array" ref="ER40">SUMPRODUCT((UCA.AGROOTROS.NAME=$A40)*(UCA.AGROOTROS.DATE=ER$5)*(UCA.AGROOTROS.VAL))</f>
        <v>0</v>
      </c>
      <c r="ES40" s="559" cm="1">
        <f t="array" ref="ES40">SUMPRODUCT((UCA.AGROOTROS.NAME=$A40)*(UCA.AGROOTROS.DATE=ES$5)*(UCA.AGROOTROS.VAL))</f>
        <v>0</v>
      </c>
      <c r="ET40" s="559" cm="1">
        <f t="array" ref="ET40">SUMPRODUCT((UCA.AGROOTROS.NAME=$A40)*(UCA.AGROOTROS.DATE=ET$5)*(UCA.AGROOTROS.VAL))</f>
        <v>0</v>
      </c>
      <c r="EU40" s="559" cm="1">
        <f t="array" ref="EU40">SUMPRODUCT((UCA.AGROOTROS.NAME=$A40)*(UCA.AGROOTROS.DATE=EU$5)*(UCA.AGROOTROS.VAL))</f>
        <v>0</v>
      </c>
      <c r="EV40" s="559" cm="1">
        <f t="array" ref="EV40">SUMPRODUCT((UCA.AGROOTROS.NAME=$A40)*(UCA.AGROOTROS.DATE=EV$5)*(UCA.AGROOTROS.VAL))</f>
        <v>0</v>
      </c>
      <c r="EW40" s="559" cm="1">
        <f t="array" ref="EW40">SUMPRODUCT((UCA.AGROOTROS.NAME=$A40)*(UCA.AGROOTROS.DATE=EW$5)*(UCA.AGROOTROS.VAL))</f>
        <v>0</v>
      </c>
      <c r="EX40" s="559" cm="1">
        <f t="array" ref="EX40">SUMPRODUCT((UCA.AGROOTROS.NAME=$A40)*(UCA.AGROOTROS.DATE=EX$5)*(UCA.AGROOTROS.VAL))</f>
        <v>0</v>
      </c>
      <c r="EY40" s="559" cm="1">
        <f t="array" ref="EY40">SUMPRODUCT((UCA.AGROOTROS.NAME=$A40)*(UCA.AGROOTROS.DATE=EY$5)*(UCA.AGROOTROS.VAL))</f>
        <v>0</v>
      </c>
      <c r="EZ40" s="559" cm="1">
        <f t="array" ref="EZ40">SUMPRODUCT((UCA.AGROOTROS.NAME=$A40)*(UCA.AGROOTROS.DATE=EZ$5)*(UCA.AGROOTROS.VAL))</f>
        <v>0</v>
      </c>
      <c r="FA40" s="532">
        <f t="shared" ref="FA40:FA45" si="209">SUM(EO40:EZ40)</f>
        <v>0</v>
      </c>
      <c r="FC40" s="560">
        <f t="shared" si="193"/>
        <v>1.7637618229069174</v>
      </c>
      <c r="FD40" s="561">
        <f t="shared" ref="FD40:FD45" si="210">IFERROR(((FF40/FE40)-1)*100,"")</f>
        <v>38.173106364667042</v>
      </c>
      <c r="FE40" s="562">
        <f t="shared" si="194"/>
        <v>362.517</v>
      </c>
      <c r="FF40" s="563">
        <f t="shared" si="195"/>
        <v>500.90100000000001</v>
      </c>
      <c r="FG40" s="564"/>
      <c r="FH40" s="498">
        <f t="shared" si="196"/>
        <v>5996.9959999999992</v>
      </c>
      <c r="FI40" s="499"/>
      <c r="FJ40" s="500" t="str">
        <f t="shared" si="197"/>
        <v>VER</v>
      </c>
    </row>
    <row r="41" spans="1:166" s="447" customFormat="1" ht="15" customHeight="1" x14ac:dyDescent="0.25">
      <c r="A41" s="721" t="s">
        <v>115</v>
      </c>
      <c r="B41" s="559" cm="1">
        <f t="array" ref="B41">SUMPRODUCT((UCA.AGROOTROS.NAME=$A41)*(UCA.AGROOTROS.DATE=B$5)*(UCA.AGROOTROS.VAL))</f>
        <v>229</v>
      </c>
      <c r="C41" s="559" cm="1">
        <f t="array" ref="C41">SUMPRODUCT((UCA.AGROOTROS.NAME=$A41)*(UCA.AGROOTROS.DATE=C$5)*(UCA.AGROOTROS.VAL))</f>
        <v>242</v>
      </c>
      <c r="D41" s="559" cm="1">
        <f t="array" ref="D41">SUMPRODUCT((UCA.AGROOTROS.NAME=$A41)*(UCA.AGROOTROS.DATE=D$5)*(UCA.AGROOTROS.VAL))</f>
        <v>185</v>
      </c>
      <c r="E41" s="559" cm="1">
        <f t="array" ref="E41">SUMPRODUCT((UCA.AGROOTROS.NAME=$A41)*(UCA.AGROOTROS.DATE=E$5)*(UCA.AGROOTROS.VAL))</f>
        <v>131</v>
      </c>
      <c r="F41" s="559" cm="1">
        <f t="array" ref="F41">SUMPRODUCT((UCA.AGROOTROS.NAME=$A41)*(UCA.AGROOTROS.DATE=F$5)*(UCA.AGROOTROS.VAL))</f>
        <v>131</v>
      </c>
      <c r="G41" s="559" cm="1">
        <f t="array" ref="G41">SUMPRODUCT((UCA.AGROOTROS.NAME=$A41)*(UCA.AGROOTROS.DATE=G$5)*(UCA.AGROOTROS.VAL))</f>
        <v>120</v>
      </c>
      <c r="H41" s="559" cm="1">
        <f t="array" ref="H41">SUMPRODUCT((UCA.AGROOTROS.NAME=$A41)*(UCA.AGROOTROS.DATE=H$5)*(UCA.AGROOTROS.VAL))</f>
        <v>97</v>
      </c>
      <c r="I41" s="559" cm="1">
        <f t="array" ref="I41">SUMPRODUCT((UCA.AGROOTROS.NAME=$A41)*(UCA.AGROOTROS.DATE=I$5)*(UCA.AGROOTROS.VAL))</f>
        <v>121</v>
      </c>
      <c r="J41" s="559" cm="1">
        <f t="array" ref="J41">SUMPRODUCT((UCA.AGROOTROS.NAME=$A41)*(UCA.AGROOTROS.DATE=J$5)*(UCA.AGROOTROS.VAL))</f>
        <v>142</v>
      </c>
      <c r="K41" s="559" cm="1">
        <f t="array" ref="K41">SUMPRODUCT((UCA.AGROOTROS.NAME=$A41)*(UCA.AGROOTROS.DATE=K$5)*(UCA.AGROOTROS.VAL))</f>
        <v>148</v>
      </c>
      <c r="L41" s="559" cm="1">
        <f t="array" ref="L41">SUMPRODUCT((UCA.AGROOTROS.NAME=$A41)*(UCA.AGROOTROS.DATE=L$5)*(UCA.AGROOTROS.VAL))</f>
        <v>125</v>
      </c>
      <c r="M41" s="559" cm="1">
        <f t="array" ref="M41">SUMPRODUCT((UCA.AGROOTROS.NAME=$A41)*(UCA.AGROOTROS.DATE=M$5)*(UCA.AGROOTROS.VAL))</f>
        <v>153</v>
      </c>
      <c r="N41" s="532">
        <f t="shared" si="198"/>
        <v>1824</v>
      </c>
      <c r="O41" s="559" cm="1">
        <f t="array" ref="O41">SUMPRODUCT((UCA.AGROOTROS.NAME=$A41)*(UCA.AGROOTROS.DATE=O$5)*(UCA.AGROOTROS.VAL))</f>
        <v>143</v>
      </c>
      <c r="P41" s="559" cm="1">
        <f t="array" ref="P41">SUMPRODUCT((UCA.AGROOTROS.NAME=$A41)*(UCA.AGROOTROS.DATE=P$5)*(UCA.AGROOTROS.VAL))</f>
        <v>178</v>
      </c>
      <c r="Q41" s="559" cm="1">
        <f t="array" ref="Q41">SUMPRODUCT((UCA.AGROOTROS.NAME=$A41)*(UCA.AGROOTROS.DATE=Q$5)*(UCA.AGROOTROS.VAL))</f>
        <v>153</v>
      </c>
      <c r="R41" s="559" cm="1">
        <f t="array" ref="R41">SUMPRODUCT((UCA.AGROOTROS.NAME=$A41)*(UCA.AGROOTROS.DATE=R$5)*(UCA.AGROOTROS.VAL))</f>
        <v>97</v>
      </c>
      <c r="S41" s="559" cm="1">
        <f t="array" ref="S41">SUMPRODUCT((UCA.AGROOTROS.NAME=$A41)*(UCA.AGROOTROS.DATE=S$5)*(UCA.AGROOTROS.VAL))</f>
        <v>83</v>
      </c>
      <c r="T41" s="559" cm="1">
        <f t="array" ref="T41">SUMPRODUCT((UCA.AGROOTROS.NAME=$A41)*(UCA.AGROOTROS.DATE=T$5)*(UCA.AGROOTROS.VAL))</f>
        <v>92</v>
      </c>
      <c r="U41" s="559" cm="1">
        <f t="array" ref="U41">SUMPRODUCT((UCA.AGROOTROS.NAME=$A41)*(UCA.AGROOTROS.DATE=U$5)*(UCA.AGROOTROS.VAL))</f>
        <v>65</v>
      </c>
      <c r="V41" s="559" cm="1">
        <f t="array" ref="V41">SUMPRODUCT((UCA.AGROOTROS.NAME=$A41)*(UCA.AGROOTROS.DATE=V$5)*(UCA.AGROOTROS.VAL))</f>
        <v>55</v>
      </c>
      <c r="W41" s="559" cm="1">
        <f t="array" ref="W41">SUMPRODUCT((UCA.AGROOTROS.NAME=$A41)*(UCA.AGROOTROS.DATE=W$5)*(UCA.AGROOTROS.VAL))</f>
        <v>78</v>
      </c>
      <c r="X41" s="559" cm="1">
        <f t="array" ref="X41">SUMPRODUCT((UCA.AGROOTROS.NAME=$A41)*(UCA.AGROOTROS.DATE=X$5)*(UCA.AGROOTROS.VAL))</f>
        <v>92</v>
      </c>
      <c r="Y41" s="559" cm="1">
        <f t="array" ref="Y41">SUMPRODUCT((UCA.AGROOTROS.NAME=$A41)*(UCA.AGROOTROS.DATE=Y$5)*(UCA.AGROOTROS.VAL))</f>
        <v>97</v>
      </c>
      <c r="Z41" s="559" cm="1">
        <f t="array" ref="Z41">SUMPRODUCT((UCA.AGROOTROS.NAME=$A41)*(UCA.AGROOTROS.DATE=Z$5)*(UCA.AGROOTROS.VAL))</f>
        <v>127</v>
      </c>
      <c r="AA41" s="532">
        <f t="shared" si="199"/>
        <v>1260</v>
      </c>
      <c r="AB41" s="559" cm="1">
        <f t="array" ref="AB41">SUMPRODUCT((UCA.AGROOTROS.NAME=$A41)*(UCA.AGROOTROS.DATE=AB$5)*(UCA.AGROOTROS.VAL))</f>
        <v>123</v>
      </c>
      <c r="AC41" s="559" cm="1">
        <f t="array" ref="AC41">SUMPRODUCT((UCA.AGROOTROS.NAME=$A41)*(UCA.AGROOTROS.DATE=AC$5)*(UCA.AGROOTROS.VAL))</f>
        <v>144</v>
      </c>
      <c r="AD41" s="559" cm="1">
        <f t="array" ref="AD41">SUMPRODUCT((UCA.AGROOTROS.NAME=$A41)*(UCA.AGROOTROS.DATE=AD$5)*(UCA.AGROOTROS.VAL))</f>
        <v>134</v>
      </c>
      <c r="AE41" s="559" cm="1">
        <f t="array" ref="AE41">SUMPRODUCT((UCA.AGROOTROS.NAME=$A41)*(UCA.AGROOTROS.DATE=AE$5)*(UCA.AGROOTROS.VAL))</f>
        <v>91</v>
      </c>
      <c r="AF41" s="559" cm="1">
        <f t="array" ref="AF41">SUMPRODUCT((UCA.AGROOTROS.NAME=$A41)*(UCA.AGROOTROS.DATE=AF$5)*(UCA.AGROOTROS.VAL))</f>
        <v>87</v>
      </c>
      <c r="AG41" s="559" cm="1">
        <f t="array" ref="AG41">SUMPRODUCT((UCA.AGROOTROS.NAME=$A41)*(UCA.AGROOTROS.DATE=AG$5)*(UCA.AGROOTROS.VAL))</f>
        <v>88</v>
      </c>
      <c r="AH41" s="559" cm="1">
        <f t="array" ref="AH41">SUMPRODUCT((UCA.AGROOTROS.NAME=$A41)*(UCA.AGROOTROS.DATE=AH$5)*(UCA.AGROOTROS.VAL))</f>
        <v>66</v>
      </c>
      <c r="AI41" s="559" cm="1">
        <f t="array" ref="AI41">SUMPRODUCT((UCA.AGROOTROS.NAME=$A41)*(UCA.AGROOTROS.DATE=AI$5)*(UCA.AGROOTROS.VAL))</f>
        <v>51</v>
      </c>
      <c r="AJ41" s="559" cm="1">
        <f t="array" ref="AJ41">SUMPRODUCT((UCA.AGROOTROS.NAME=$A41)*(UCA.AGROOTROS.DATE=AJ$5)*(UCA.AGROOTROS.VAL))</f>
        <v>55</v>
      </c>
      <c r="AK41" s="559" cm="1">
        <f t="array" ref="AK41">SUMPRODUCT((UCA.AGROOTROS.NAME=$A41)*(UCA.AGROOTROS.DATE=AK$5)*(UCA.AGROOTROS.VAL))</f>
        <v>76</v>
      </c>
      <c r="AL41" s="559" cm="1">
        <f t="array" ref="AL41">SUMPRODUCT((UCA.AGROOTROS.NAME=$A41)*(UCA.AGROOTROS.DATE=AL$5)*(UCA.AGROOTROS.VAL))</f>
        <v>73</v>
      </c>
      <c r="AM41" s="559" cm="1">
        <f t="array" ref="AM41">SUMPRODUCT((UCA.AGROOTROS.NAME=$A41)*(UCA.AGROOTROS.DATE=AM$5)*(UCA.AGROOTROS.VAL))</f>
        <v>123</v>
      </c>
      <c r="AN41" s="532">
        <f t="shared" si="200"/>
        <v>1111</v>
      </c>
      <c r="AO41" s="559" cm="1">
        <f t="array" ref="AO41">SUMPRODUCT((UCA.AGROOTROS.NAME=$A41)*(UCA.AGROOTROS.DATE=AO$5)*(UCA.AGROOTROS.VAL))</f>
        <v>104</v>
      </c>
      <c r="AP41" s="559" cm="1">
        <f t="array" ref="AP41">SUMPRODUCT((UCA.AGROOTROS.NAME=$A41)*(UCA.AGROOTROS.DATE=AP$5)*(UCA.AGROOTROS.VAL))</f>
        <v>97</v>
      </c>
      <c r="AQ41" s="559" cm="1">
        <f t="array" ref="AQ41">SUMPRODUCT((UCA.AGROOTROS.NAME=$A41)*(UCA.AGROOTROS.DATE=AQ$5)*(UCA.AGROOTROS.VAL))</f>
        <v>119</v>
      </c>
      <c r="AR41" s="559" cm="1">
        <f t="array" ref="AR41">SUMPRODUCT((UCA.AGROOTROS.NAME=$A41)*(UCA.AGROOTROS.DATE=AR$5)*(UCA.AGROOTROS.VAL))</f>
        <v>101</v>
      </c>
      <c r="AS41" s="559" cm="1">
        <f t="array" ref="AS41">SUMPRODUCT((UCA.AGROOTROS.NAME=$A41)*(UCA.AGROOTROS.DATE=AS$5)*(UCA.AGROOTROS.VAL))</f>
        <v>77</v>
      </c>
      <c r="AT41" s="559" cm="1">
        <f t="array" ref="AT41">SUMPRODUCT((UCA.AGROOTROS.NAME=$A41)*(UCA.AGROOTROS.DATE=AT$5)*(UCA.AGROOTROS.VAL))</f>
        <v>75</v>
      </c>
      <c r="AU41" s="559" cm="1">
        <f t="array" ref="AU41">SUMPRODUCT((UCA.AGROOTROS.NAME=$A41)*(UCA.AGROOTROS.DATE=AU$5)*(UCA.AGROOTROS.VAL))</f>
        <v>72</v>
      </c>
      <c r="AV41" s="559" cm="1">
        <f t="array" ref="AV41">SUMPRODUCT((UCA.AGROOTROS.NAME=$A41)*(UCA.AGROOTROS.DATE=AV$5)*(UCA.AGROOTROS.VAL))</f>
        <v>56</v>
      </c>
      <c r="AW41" s="559" cm="1">
        <f t="array" ref="AW41">SUMPRODUCT((UCA.AGROOTROS.NAME=$A41)*(UCA.AGROOTROS.DATE=AW$5)*(UCA.AGROOTROS.VAL))</f>
        <v>50</v>
      </c>
      <c r="AX41" s="559" cm="1">
        <f t="array" ref="AX41">SUMPRODUCT((UCA.AGROOTROS.NAME=$A41)*(UCA.AGROOTROS.DATE=AX$5)*(UCA.AGROOTROS.VAL))</f>
        <v>63</v>
      </c>
      <c r="AY41" s="559" cm="1">
        <f t="array" ref="AY41">SUMPRODUCT((UCA.AGROOTROS.NAME=$A41)*(UCA.AGROOTROS.DATE=AY$5)*(UCA.AGROOTROS.VAL))</f>
        <v>54</v>
      </c>
      <c r="AZ41" s="559" cm="1">
        <f t="array" ref="AZ41">SUMPRODUCT((UCA.AGROOTROS.NAME=$A41)*(UCA.AGROOTROS.DATE=AZ$5)*(UCA.AGROOTROS.VAL))</f>
        <v>61</v>
      </c>
      <c r="BA41" s="532">
        <f t="shared" si="201"/>
        <v>929</v>
      </c>
      <c r="BB41" s="559" cm="1">
        <f t="array" ref="BB41">SUMPRODUCT((UCA.AGROOTROS.NAME=$A41)*(UCA.AGROOTROS.DATE=BB$5)*(UCA.AGROOTROS.VAL))</f>
        <v>54</v>
      </c>
      <c r="BC41" s="559" cm="1">
        <f t="array" ref="BC41">SUMPRODUCT((UCA.AGROOTROS.NAME=$A41)*(UCA.AGROOTROS.DATE=BC$5)*(UCA.AGROOTROS.VAL))</f>
        <v>43</v>
      </c>
      <c r="BD41" s="559" cm="1">
        <f t="array" ref="BD41">SUMPRODUCT((UCA.AGROOTROS.NAME=$A41)*(UCA.AGROOTROS.DATE=BD$5)*(UCA.AGROOTROS.VAL))</f>
        <v>45</v>
      </c>
      <c r="BE41" s="559" cm="1">
        <f t="array" ref="BE41">SUMPRODUCT((UCA.AGROOTROS.NAME=$A41)*(UCA.AGROOTROS.DATE=BE$5)*(UCA.AGROOTROS.VAL))</f>
        <v>36</v>
      </c>
      <c r="BF41" s="559" cm="1">
        <f t="array" ref="BF41">SUMPRODUCT((UCA.AGROOTROS.NAME=$A41)*(UCA.AGROOTROS.DATE=BF$5)*(UCA.AGROOTROS.VAL))</f>
        <v>33</v>
      </c>
      <c r="BG41" s="559" cm="1">
        <f t="array" ref="BG41">SUMPRODUCT((UCA.AGROOTROS.NAME=$A41)*(UCA.AGROOTROS.DATE=BG$5)*(UCA.AGROOTROS.VAL))</f>
        <v>46</v>
      </c>
      <c r="BH41" s="559" cm="1">
        <f t="array" ref="BH41">SUMPRODUCT((UCA.AGROOTROS.NAME=$A41)*(UCA.AGROOTROS.DATE=BH$5)*(UCA.AGROOTROS.VAL))</f>
        <v>57</v>
      </c>
      <c r="BI41" s="559" cm="1">
        <f t="array" ref="BI41">SUMPRODUCT((UCA.AGROOTROS.NAME=$A41)*(UCA.AGROOTROS.DATE=BI$5)*(UCA.AGROOTROS.VAL))</f>
        <v>56</v>
      </c>
      <c r="BJ41" s="559" cm="1">
        <f t="array" ref="BJ41">SUMPRODUCT((UCA.AGROOTROS.NAME=$A41)*(UCA.AGROOTROS.DATE=BJ$5)*(UCA.AGROOTROS.VAL))</f>
        <v>40</v>
      </c>
      <c r="BK41" s="559" cm="1">
        <f t="array" ref="BK41">SUMPRODUCT((UCA.AGROOTROS.NAME=$A41)*(UCA.AGROOTROS.DATE=BK$5)*(UCA.AGROOTROS.VAL))</f>
        <v>54</v>
      </c>
      <c r="BL41" s="559" cm="1">
        <f t="array" ref="BL41">SUMPRODUCT((UCA.AGROOTROS.NAME=$A41)*(UCA.AGROOTROS.DATE=BL$5)*(UCA.AGROOTROS.VAL))</f>
        <v>46</v>
      </c>
      <c r="BM41" s="559" cm="1">
        <f t="array" ref="BM41">SUMPRODUCT((UCA.AGROOTROS.NAME=$A41)*(UCA.AGROOTROS.DATE=BM$5)*(UCA.AGROOTROS.VAL))</f>
        <v>68</v>
      </c>
      <c r="BN41" s="532">
        <f t="shared" si="202"/>
        <v>578</v>
      </c>
      <c r="BO41" s="559" cm="1">
        <f t="array" ref="BO41">SUMPRODUCT((UCA.AGROOTROS.NAME=$A41)*(UCA.AGROOTROS.DATE=BO$5)*(UCA.AGROOTROS.VAL))</f>
        <v>186</v>
      </c>
      <c r="BP41" s="559" cm="1">
        <f t="array" ref="BP41">SUMPRODUCT((UCA.AGROOTROS.NAME=$A41)*(UCA.AGROOTROS.DATE=BP$5)*(UCA.AGROOTROS.VAL))</f>
        <v>223</v>
      </c>
      <c r="BQ41" s="559" cm="1">
        <f t="array" ref="BQ41">SUMPRODUCT((UCA.AGROOTROS.NAME=$A41)*(UCA.AGROOTROS.DATE=BQ$5)*(UCA.AGROOTROS.VAL))</f>
        <v>211</v>
      </c>
      <c r="BR41" s="559" cm="1">
        <f t="array" ref="BR41">SUMPRODUCT((UCA.AGROOTROS.NAME=$A41)*(UCA.AGROOTROS.DATE=BR$5)*(UCA.AGROOTROS.VAL))</f>
        <v>285</v>
      </c>
      <c r="BS41" s="559" cm="1">
        <f t="array" ref="BS41">SUMPRODUCT((UCA.AGROOTROS.NAME=$A41)*(UCA.AGROOTROS.DATE=BS$5)*(UCA.AGROOTROS.VAL))</f>
        <v>345.22800000000001</v>
      </c>
      <c r="BT41" s="559" cm="1">
        <f t="array" ref="BT41">SUMPRODUCT((UCA.AGROOTROS.NAME=$A41)*(UCA.AGROOTROS.DATE=BT$5)*(UCA.AGROOTROS.VAL))</f>
        <v>339</v>
      </c>
      <c r="BU41" s="559" cm="1">
        <f t="array" ref="BU41">SUMPRODUCT((UCA.AGROOTROS.NAME=$A41)*(UCA.AGROOTROS.DATE=BU$5)*(UCA.AGROOTROS.VAL))</f>
        <v>382</v>
      </c>
      <c r="BV41" s="559" cm="1">
        <f t="array" ref="BV41">SUMPRODUCT((UCA.AGROOTROS.NAME=$A41)*(UCA.AGROOTROS.DATE=BV$5)*(UCA.AGROOTROS.VAL))</f>
        <v>472</v>
      </c>
      <c r="BW41" s="559" cm="1">
        <f t="array" ref="BW41">SUMPRODUCT((UCA.AGROOTROS.NAME=$A41)*(UCA.AGROOTROS.DATE=BW$5)*(UCA.AGROOTROS.VAL))</f>
        <v>418</v>
      </c>
      <c r="BX41" s="559" cm="1">
        <f t="array" ref="BX41">SUMPRODUCT((UCA.AGROOTROS.NAME=$A41)*(UCA.AGROOTROS.DATE=BX$5)*(UCA.AGROOTROS.VAL))</f>
        <v>363</v>
      </c>
      <c r="BY41" s="559" cm="1">
        <f t="array" ref="BY41">SUMPRODUCT((UCA.AGROOTROS.NAME=$A41)*(UCA.AGROOTROS.DATE=BY$5)*(UCA.AGROOTROS.VAL))</f>
        <v>384</v>
      </c>
      <c r="BZ41" s="559" cm="1">
        <f t="array" ref="BZ41">SUMPRODUCT((UCA.AGROOTROS.NAME=$A41)*(UCA.AGROOTROS.DATE=BZ$5)*(UCA.AGROOTROS.VAL))</f>
        <v>389</v>
      </c>
      <c r="CA41" s="532">
        <f t="shared" si="203"/>
        <v>3997.2280000000001</v>
      </c>
      <c r="CB41" s="559" cm="1">
        <f t="array" ref="CB41">SUMPRODUCT((UCA.AGROOTROS.NAME=$A41)*(UCA.AGROOTROS.DATE=CB$5)*(UCA.AGROOTROS.VAL))</f>
        <v>356.00799999999998</v>
      </c>
      <c r="CC41" s="559" cm="1">
        <f t="array" ref="CC41">SUMPRODUCT((UCA.AGROOTROS.NAME=$A41)*(UCA.AGROOTROS.DATE=CC$5)*(UCA.AGROOTROS.VAL))</f>
        <v>251.44800000000001</v>
      </c>
      <c r="CD41" s="559" cm="1">
        <f t="array" ref="CD41">SUMPRODUCT((UCA.AGROOTROS.NAME=$A41)*(UCA.AGROOTROS.DATE=CD$5)*(UCA.AGROOTROS.VAL))</f>
        <v>202.64899999999992</v>
      </c>
      <c r="CE41" s="559" cm="1">
        <f t="array" ref="CE41">SUMPRODUCT((UCA.AGROOTROS.NAME=$A41)*(UCA.AGROOTROS.DATE=CE$5)*(UCA.AGROOTROS.VAL))</f>
        <v>286.64999999999998</v>
      </c>
      <c r="CF41" s="559" cm="1">
        <f t="array" ref="CF41">SUMPRODUCT((UCA.AGROOTROS.NAME=$A41)*(UCA.AGROOTROS.DATE=CF$5)*(UCA.AGROOTROS.VAL))</f>
        <v>376.13900000000007</v>
      </c>
      <c r="CG41" s="559" cm="1">
        <f t="array" ref="CG41">SUMPRODUCT((UCA.AGROOTROS.NAME=$A41)*(UCA.AGROOTROS.DATE=CG$5)*(UCA.AGROOTROS.VAL))</f>
        <v>345.38000000000005</v>
      </c>
      <c r="CH41" s="559" cm="1">
        <f t="array" ref="CH41">SUMPRODUCT((UCA.AGROOTROS.NAME=$A41)*(UCA.AGROOTROS.DATE=CH$5)*(UCA.AGROOTROS.VAL))</f>
        <v>328.77599999999995</v>
      </c>
      <c r="CI41" s="559" cm="1">
        <f t="array" ref="CI41">SUMPRODUCT((UCA.AGROOTROS.NAME=$A41)*(UCA.AGROOTROS.DATE=CI$5)*(UCA.AGROOTROS.VAL))</f>
        <v>292.21800000000002</v>
      </c>
      <c r="CJ41" s="559" cm="1">
        <f t="array" ref="CJ41">SUMPRODUCT((UCA.AGROOTROS.NAME=$A41)*(UCA.AGROOTROS.DATE=CJ$5)*(UCA.AGROOTROS.VAL))</f>
        <v>337.52799999999996</v>
      </c>
      <c r="CK41" s="559" cm="1">
        <f t="array" ref="CK41">SUMPRODUCT((UCA.AGROOTROS.NAME=$A41)*(UCA.AGROOTROS.DATE=CK$5)*(UCA.AGROOTROS.VAL))</f>
        <v>353.67899999999997</v>
      </c>
      <c r="CL41" s="559" cm="1">
        <f t="array" ref="CL41">SUMPRODUCT((UCA.AGROOTROS.NAME=$A41)*(UCA.AGROOTROS.DATE=CL$5)*(UCA.AGROOTROS.VAL))</f>
        <v>337.73999999999995</v>
      </c>
      <c r="CM41" s="559" cm="1">
        <f t="array" ref="CM41">SUMPRODUCT((UCA.AGROOTROS.NAME=$A41)*(UCA.AGROOTROS.DATE=CM$5)*(UCA.AGROOTROS.VAL))</f>
        <v>404.01</v>
      </c>
      <c r="CN41" s="532">
        <f t="shared" si="204"/>
        <v>3872.2249999999995</v>
      </c>
      <c r="CO41" s="559" cm="1">
        <f t="array" ref="CO41">SUMPRODUCT((UCA.AGROOTROS.NAME=$A41)*(UCA.AGROOTROS.DATE=CO$5)*(UCA.AGROOTROS.VAL))</f>
        <v>311.55800000000005</v>
      </c>
      <c r="CP41" s="559" cm="1">
        <f t="array" ref="CP41">SUMPRODUCT((UCA.AGROOTROS.NAME=$A41)*(UCA.AGROOTROS.DATE=CP$5)*(UCA.AGROOTROS.VAL))</f>
        <v>241.30299999999994</v>
      </c>
      <c r="CQ41" s="559" cm="1">
        <f t="array" ref="CQ41">SUMPRODUCT((UCA.AGROOTROS.NAME=$A41)*(UCA.AGROOTROS.DATE=CQ$5)*(UCA.AGROOTROS.VAL))</f>
        <v>166.11699999999999</v>
      </c>
      <c r="CR41" s="559" cm="1">
        <f t="array" ref="CR41">SUMPRODUCT((UCA.AGROOTROS.NAME=$A41)*(UCA.AGROOTROS.DATE=CR$5)*(UCA.AGROOTROS.VAL))</f>
        <v>246.72800000000004</v>
      </c>
      <c r="CS41" s="559" cm="1">
        <f t="array" ref="CS41">SUMPRODUCT((UCA.AGROOTROS.NAME=$A41)*(UCA.AGROOTROS.DATE=CS$5)*(UCA.AGROOTROS.VAL))</f>
        <v>261.61399999999998</v>
      </c>
      <c r="CT41" s="559" cm="1">
        <f t="array" ref="CT41">SUMPRODUCT((UCA.AGROOTROS.NAME=$A41)*(UCA.AGROOTROS.DATE=CT$5)*(UCA.AGROOTROS.VAL))</f>
        <v>277.06</v>
      </c>
      <c r="CU41" s="559" cm="1">
        <f t="array" ref="CU41">SUMPRODUCT((UCA.AGROOTROS.NAME=$A41)*(UCA.AGROOTROS.DATE=CU$5)*(UCA.AGROOTROS.VAL))</f>
        <v>276.22699999999998</v>
      </c>
      <c r="CV41" s="559" cm="1">
        <f t="array" ref="CV41">SUMPRODUCT((UCA.AGROOTROS.NAME=$A41)*(UCA.AGROOTROS.DATE=CV$5)*(UCA.AGROOTROS.VAL))</f>
        <v>372.91700000000003</v>
      </c>
      <c r="CW41" s="559" cm="1">
        <f t="array" ref="CW41">SUMPRODUCT((UCA.AGROOTROS.NAME=$A41)*(UCA.AGROOTROS.DATE=CW$5)*(UCA.AGROOTROS.VAL))</f>
        <v>327.62</v>
      </c>
      <c r="CX41" s="559" cm="1">
        <f t="array" ref="CX41">SUMPRODUCT((UCA.AGROOTROS.NAME=$A41)*(UCA.AGROOTROS.DATE=CX$5)*(UCA.AGROOTROS.VAL))</f>
        <v>287.32299999999998</v>
      </c>
      <c r="CY41" s="559" cm="1">
        <f t="array" ref="CY41">SUMPRODUCT((UCA.AGROOTROS.NAME=$A41)*(UCA.AGROOTROS.DATE=CY$5)*(UCA.AGROOTROS.VAL))</f>
        <v>266.76</v>
      </c>
      <c r="CZ41" s="559" cm="1">
        <f t="array" ref="CZ41">SUMPRODUCT((UCA.AGROOTROS.NAME=$A41)*(UCA.AGROOTROS.DATE=CZ$5)*(UCA.AGROOTROS.VAL))</f>
        <v>220.58800000000002</v>
      </c>
      <c r="DA41" s="532">
        <f t="shared" si="205"/>
        <v>3255.8150000000001</v>
      </c>
      <c r="DB41" s="559" cm="1">
        <f t="array" ref="DB41">SUMPRODUCT((UCA.AGROOTROS.NAME=$A41)*(UCA.AGROOTROS.DATE=DB$5)*(UCA.AGROOTROS.VAL))</f>
        <v>260.46499999999997</v>
      </c>
      <c r="DC41" s="559" cm="1">
        <f t="array" ref="DC41">SUMPRODUCT((UCA.AGROOTROS.NAME=$A41)*(UCA.AGROOTROS.DATE=DC$5)*(UCA.AGROOTROS.VAL))</f>
        <v>215.905</v>
      </c>
      <c r="DD41" s="559" cm="1">
        <f t="array" ref="DD41">SUMPRODUCT((UCA.AGROOTROS.NAME=$A41)*(UCA.AGROOTROS.DATE=DD$5)*(UCA.AGROOTROS.VAL))</f>
        <v>169.57</v>
      </c>
      <c r="DE41" s="559" cm="1">
        <f t="array" ref="DE41">SUMPRODUCT((UCA.AGROOTROS.NAME=$A41)*(UCA.AGROOTROS.DATE=DE$5)*(UCA.AGROOTROS.VAL))</f>
        <v>214.34100000000001</v>
      </c>
      <c r="DF41" s="559" cm="1">
        <f t="array" ref="DF41">SUMPRODUCT((UCA.AGROOTROS.NAME=$A41)*(UCA.AGROOTROS.DATE=DF$5)*(UCA.AGROOTROS.VAL))</f>
        <v>317.56799999999993</v>
      </c>
      <c r="DG41" s="559" cm="1">
        <f t="array" ref="DG41">SUMPRODUCT((UCA.AGROOTROS.NAME=$A41)*(UCA.AGROOTROS.DATE=DG$5)*(UCA.AGROOTROS.VAL))</f>
        <v>393.63699999999989</v>
      </c>
      <c r="DH41" s="559" cm="1">
        <f t="array" ref="DH41">SUMPRODUCT((UCA.AGROOTROS.NAME=$A41)*(UCA.AGROOTROS.DATE=DH$5)*(UCA.AGROOTROS.VAL))</f>
        <v>384.30500000000012</v>
      </c>
      <c r="DI41" s="559" cm="1">
        <f t="array" ref="DI41">SUMPRODUCT((UCA.AGROOTROS.NAME=$A41)*(UCA.AGROOTROS.DATE=DI$5)*(UCA.AGROOTROS.VAL))</f>
        <v>360.34</v>
      </c>
      <c r="DJ41" s="559" cm="1">
        <f t="array" ref="DJ41">SUMPRODUCT((UCA.AGROOTROS.NAME=$A41)*(UCA.AGROOTROS.DATE=DJ$5)*(UCA.AGROOTROS.VAL))</f>
        <v>360.23899999999998</v>
      </c>
      <c r="DK41" s="559" cm="1">
        <f t="array" ref="DK41">SUMPRODUCT((UCA.AGROOTROS.NAME=$A41)*(UCA.AGROOTROS.DATE=DK$5)*(UCA.AGROOTROS.VAL))</f>
        <v>336.91899999999998</v>
      </c>
      <c r="DL41" s="559" cm="1">
        <f t="array" ref="DL41">SUMPRODUCT((UCA.AGROOTROS.NAME=$A41)*(UCA.AGROOTROS.DATE=DL$5)*(UCA.AGROOTROS.VAL))</f>
        <v>301.37599999999998</v>
      </c>
      <c r="DM41" s="559" cm="1">
        <f t="array" ref="DM41">SUMPRODUCT((UCA.AGROOTROS.NAME=$A41)*(UCA.AGROOTROS.DATE=DM$5)*(UCA.AGROOTROS.VAL))</f>
        <v>217.01499999999999</v>
      </c>
      <c r="DN41" s="532">
        <f t="shared" si="206"/>
        <v>3531.68</v>
      </c>
      <c r="DO41" s="559" cm="1">
        <f t="array" ref="DO41">SUMPRODUCT((UCA.AGROOTROS.NAME=$A41)*(UCA.AGROOTROS.DATE=DO$5)*(UCA.AGROOTROS.VAL))</f>
        <v>176.279</v>
      </c>
      <c r="DP41" s="559" cm="1">
        <f t="array" ref="DP41">SUMPRODUCT((UCA.AGROOTROS.NAME=$A41)*(UCA.AGROOTROS.DATE=DP$5)*(UCA.AGROOTROS.VAL))</f>
        <v>141.90899999999999</v>
      </c>
      <c r="DQ41" s="559" cm="1">
        <f t="array" ref="DQ41">SUMPRODUCT((UCA.AGROOTROS.NAME=$A41)*(UCA.AGROOTROS.DATE=DQ$5)*(UCA.AGROOTROS.VAL))</f>
        <v>106.678</v>
      </c>
      <c r="DR41" s="559" cm="1">
        <f t="array" ref="DR41">SUMPRODUCT((UCA.AGROOTROS.NAME=$A41)*(UCA.AGROOTROS.DATE=DR$5)*(UCA.AGROOTROS.VAL))</f>
        <v>72.25800000000001</v>
      </c>
      <c r="DS41" s="559" cm="1">
        <f t="array" ref="DS41">SUMPRODUCT((UCA.AGROOTROS.NAME=$A41)*(UCA.AGROOTROS.DATE=DS$5)*(UCA.AGROOTROS.VAL))</f>
        <v>104.79</v>
      </c>
      <c r="DT41" s="559" cm="1">
        <f t="array" ref="DT41">SUMPRODUCT((UCA.AGROOTROS.NAME=$A41)*(UCA.AGROOTROS.DATE=DT$5)*(UCA.AGROOTROS.VAL))</f>
        <v>172.749</v>
      </c>
      <c r="DU41" s="559" cm="1">
        <f t="array" ref="DU41">SUMPRODUCT((UCA.AGROOTROS.NAME=$A41)*(UCA.AGROOTROS.DATE=DU$5)*(UCA.AGROOTROS.VAL))</f>
        <v>257.49900000000002</v>
      </c>
      <c r="DV41" s="559" cm="1">
        <f t="array" ref="DV41">SUMPRODUCT((UCA.AGROOTROS.NAME=$A41)*(UCA.AGROOTROS.DATE=DV$5)*(UCA.AGROOTROS.VAL))</f>
        <v>348.53800000000001</v>
      </c>
      <c r="DW41" s="559" cm="1">
        <f t="array" ref="DW41">SUMPRODUCT((UCA.AGROOTROS.NAME=$A41)*(UCA.AGROOTROS.DATE=DW$5)*(UCA.AGROOTROS.VAL))</f>
        <v>357.16899999999998</v>
      </c>
      <c r="DX41" s="559" cm="1">
        <f t="array" ref="DX41">SUMPRODUCT((UCA.AGROOTROS.NAME=$A41)*(UCA.AGROOTROS.DATE=DX$5)*(UCA.AGROOTROS.VAL))</f>
        <v>319.92</v>
      </c>
      <c r="DY41" s="559" cm="1">
        <f t="array" ref="DY41">SUMPRODUCT((UCA.AGROOTROS.NAME=$A41)*(UCA.AGROOTROS.DATE=DY$5)*(UCA.AGROOTROS.VAL))</f>
        <v>234.50899999999999</v>
      </c>
      <c r="DZ41" s="559" cm="1">
        <f t="array" ref="DZ41">SUMPRODUCT((UCA.AGROOTROS.NAME=$A41)*(UCA.AGROOTROS.DATE=DZ$5)*(UCA.AGROOTROS.VAL))</f>
        <v>173.64</v>
      </c>
      <c r="EA41" s="532">
        <f t="shared" si="207"/>
        <v>2465.9380000000001</v>
      </c>
      <c r="EB41" s="559" cm="1">
        <f t="array" ref="EB41">SUMPRODUCT((UCA.AGROOTROS.NAME=$A41)*(UCA.AGROOTROS.DATE=EB$5)*(UCA.AGROOTROS.VAL))</f>
        <v>134.31</v>
      </c>
      <c r="EC41" s="559" cm="1">
        <f t="array" ref="EC41">SUMPRODUCT((UCA.AGROOTROS.NAME=$A41)*(UCA.AGROOTROS.DATE=EC$5)*(UCA.AGROOTROS.VAL))</f>
        <v>104.574</v>
      </c>
      <c r="ED41" s="559" cm="1">
        <f t="array" ref="ED41">SUMPRODUCT((UCA.AGROOTROS.NAME=$A41)*(UCA.AGROOTROS.DATE=ED$5)*(UCA.AGROOTROS.VAL))</f>
        <v>73.099999999999994</v>
      </c>
      <c r="EE41" s="559" cm="1">
        <f t="array" ref="EE41">SUMPRODUCT((UCA.AGROOTROS.NAME=$A41)*(UCA.AGROOTROS.DATE=EE$5)*(UCA.AGROOTROS.VAL))</f>
        <v>42.829999999999991</v>
      </c>
      <c r="EF41" s="559" cm="1">
        <f t="array" ref="EF41">SUMPRODUCT((UCA.AGROOTROS.NAME=$A41)*(UCA.AGROOTROS.DATE=EF$5)*(UCA.AGROOTROS.VAL))</f>
        <v>98.619</v>
      </c>
      <c r="EG41" s="559" cm="1">
        <f t="array" ref="EG41">SUMPRODUCT((UCA.AGROOTROS.NAME=$A41)*(UCA.AGROOTROS.DATE=EG$5)*(UCA.AGROOTROS.VAL))</f>
        <v>156.273</v>
      </c>
      <c r="EH41" s="559" cm="1">
        <f t="array" ref="EH41">SUMPRODUCT((UCA.AGROOTROS.NAME=$A41)*(UCA.AGROOTROS.DATE=EH$5)*(UCA.AGROOTROS.VAL))</f>
        <v>294.86900000000003</v>
      </c>
      <c r="EI41" s="559" cm="1">
        <f t="array" ref="EI41">SUMPRODUCT((UCA.AGROOTROS.NAME=$A41)*(UCA.AGROOTROS.DATE=EI$5)*(UCA.AGROOTROS.VAL))</f>
        <v>302.04199999999997</v>
      </c>
      <c r="EJ41" s="559" cm="1">
        <f t="array" ref="EJ41">SUMPRODUCT((UCA.AGROOTROS.NAME=$A41)*(UCA.AGROOTROS.DATE=EJ$5)*(UCA.AGROOTROS.VAL))</f>
        <v>313.30900000000003</v>
      </c>
      <c r="EK41" s="559" cm="1">
        <f t="array" ref="EK41">SUMPRODUCT((UCA.AGROOTROS.NAME=$A41)*(UCA.AGROOTROS.DATE=EK$5)*(UCA.AGROOTROS.VAL))</f>
        <v>328.91899999999998</v>
      </c>
      <c r="EL41" s="559" cm="1">
        <f t="array" ref="EL41">SUMPRODUCT((UCA.AGROOTROS.NAME=$A41)*(UCA.AGROOTROS.DATE=EL$5)*(UCA.AGROOTROS.VAL))</f>
        <v>345.34500000000003</v>
      </c>
      <c r="EM41" s="559" cm="1">
        <f t="array" ref="EM41">SUMPRODUCT((UCA.AGROOTROS.NAME=$A41)*(UCA.AGROOTROS.DATE=EM$5)*(UCA.AGROOTROS.VAL))</f>
        <v>383.16</v>
      </c>
      <c r="EN41" s="532">
        <f t="shared" si="208"/>
        <v>2577.3499999999995</v>
      </c>
      <c r="EO41" s="559" cm="1">
        <f t="array" ref="EO41">SUMPRODUCT((UCA.AGROOTROS.NAME=$A41)*(UCA.AGROOTROS.DATE=EO$5)*(UCA.AGROOTROS.VAL))</f>
        <v>320.13799999999998</v>
      </c>
      <c r="EP41" s="559" cm="1">
        <f t="array" ref="EP41">SUMPRODUCT((UCA.AGROOTROS.NAME=$A41)*(UCA.AGROOTROS.DATE=EP$5)*(UCA.AGROOTROS.VAL))</f>
        <v>264.22699999999998</v>
      </c>
      <c r="EQ41" s="559" cm="1">
        <f t="array" ref="EQ41">SUMPRODUCT((UCA.AGROOTROS.NAME=$A41)*(UCA.AGROOTROS.DATE=EQ$5)*(UCA.AGROOTROS.VAL))</f>
        <v>0</v>
      </c>
      <c r="ER41" s="559" cm="1">
        <f t="array" ref="ER41">SUMPRODUCT((UCA.AGROOTROS.NAME=$A41)*(UCA.AGROOTROS.DATE=ER$5)*(UCA.AGROOTROS.VAL))</f>
        <v>0</v>
      </c>
      <c r="ES41" s="559" cm="1">
        <f t="array" ref="ES41">SUMPRODUCT((UCA.AGROOTROS.NAME=$A41)*(UCA.AGROOTROS.DATE=ES$5)*(UCA.AGROOTROS.VAL))</f>
        <v>0</v>
      </c>
      <c r="ET41" s="559" cm="1">
        <f t="array" ref="ET41">SUMPRODUCT((UCA.AGROOTROS.NAME=$A41)*(UCA.AGROOTROS.DATE=ET$5)*(UCA.AGROOTROS.VAL))</f>
        <v>0</v>
      </c>
      <c r="EU41" s="559" cm="1">
        <f t="array" ref="EU41">SUMPRODUCT((UCA.AGROOTROS.NAME=$A41)*(UCA.AGROOTROS.DATE=EU$5)*(UCA.AGROOTROS.VAL))</f>
        <v>0</v>
      </c>
      <c r="EV41" s="559" cm="1">
        <f t="array" ref="EV41">SUMPRODUCT((UCA.AGROOTROS.NAME=$A41)*(UCA.AGROOTROS.DATE=EV$5)*(UCA.AGROOTROS.VAL))</f>
        <v>0</v>
      </c>
      <c r="EW41" s="559" cm="1">
        <f t="array" ref="EW41">SUMPRODUCT((UCA.AGROOTROS.NAME=$A41)*(UCA.AGROOTROS.DATE=EW$5)*(UCA.AGROOTROS.VAL))</f>
        <v>0</v>
      </c>
      <c r="EX41" s="559" cm="1">
        <f t="array" ref="EX41">SUMPRODUCT((UCA.AGROOTROS.NAME=$A41)*(UCA.AGROOTROS.DATE=EX$5)*(UCA.AGROOTROS.VAL))</f>
        <v>0</v>
      </c>
      <c r="EY41" s="559" cm="1">
        <f t="array" ref="EY41">SUMPRODUCT((UCA.AGROOTROS.NAME=$A41)*(UCA.AGROOTROS.DATE=EY$5)*(UCA.AGROOTROS.VAL))</f>
        <v>0</v>
      </c>
      <c r="EZ41" s="559" cm="1">
        <f t="array" ref="EZ41">SUMPRODUCT((UCA.AGROOTROS.NAME=$A41)*(UCA.AGROOTROS.DATE=EZ$5)*(UCA.AGROOTROS.VAL))</f>
        <v>0</v>
      </c>
      <c r="FA41" s="532">
        <f t="shared" si="209"/>
        <v>584.36500000000001</v>
      </c>
      <c r="FC41" s="560">
        <f t="shared" si="193"/>
        <v>47.263004831371092</v>
      </c>
      <c r="FD41" s="561">
        <f t="shared" si="210"/>
        <v>-4.2798972908409176</v>
      </c>
      <c r="FE41" s="562">
        <f t="shared" si="194"/>
        <v>2292.2980000000002</v>
      </c>
      <c r="FF41" s="563">
        <f t="shared" si="195"/>
        <v>2194.1899999999996</v>
      </c>
      <c r="FG41" s="564"/>
      <c r="FH41" s="498">
        <f t="shared" si="196"/>
        <v>51973.202000000005</v>
      </c>
      <c r="FI41" s="499"/>
      <c r="FJ41" s="500" t="str">
        <f t="shared" si="197"/>
        <v>VER</v>
      </c>
    </row>
    <row r="42" spans="1:166" s="447" customFormat="1" ht="15" customHeight="1" x14ac:dyDescent="0.25">
      <c r="A42" s="721" t="s">
        <v>127</v>
      </c>
      <c r="B42" s="559" cm="1">
        <f t="array" ref="B42">SUMPRODUCT((UCA.AGROOTROS.NAME=$A42)*(UCA.AGROOTROS.DATE=B$5)*(UCA.AGROOTROS.VAL))</f>
        <v>0</v>
      </c>
      <c r="C42" s="559" cm="1">
        <f t="array" ref="C42">SUMPRODUCT((UCA.AGROOTROS.NAME=$A42)*(UCA.AGROOTROS.DATE=C$5)*(UCA.AGROOTROS.VAL))</f>
        <v>0</v>
      </c>
      <c r="D42" s="559" cm="1">
        <f t="array" ref="D42">SUMPRODUCT((UCA.AGROOTROS.NAME=$A42)*(UCA.AGROOTROS.DATE=D$5)*(UCA.AGROOTROS.VAL))</f>
        <v>0</v>
      </c>
      <c r="E42" s="559" cm="1">
        <f t="array" ref="E42">SUMPRODUCT((UCA.AGROOTROS.NAME=$A42)*(UCA.AGROOTROS.DATE=E$5)*(UCA.AGROOTROS.VAL))</f>
        <v>0</v>
      </c>
      <c r="F42" s="559" cm="1">
        <f t="array" ref="F42">SUMPRODUCT((UCA.AGROOTROS.NAME=$A42)*(UCA.AGROOTROS.DATE=F$5)*(UCA.AGROOTROS.VAL))</f>
        <v>0</v>
      </c>
      <c r="G42" s="559" cm="1">
        <f t="array" ref="G42">SUMPRODUCT((UCA.AGROOTROS.NAME=$A42)*(UCA.AGROOTROS.DATE=G$5)*(UCA.AGROOTROS.VAL))</f>
        <v>0</v>
      </c>
      <c r="H42" s="559" cm="1">
        <f t="array" ref="H42">SUMPRODUCT((UCA.AGROOTROS.NAME=$A42)*(UCA.AGROOTROS.DATE=H$5)*(UCA.AGROOTROS.VAL))</f>
        <v>0</v>
      </c>
      <c r="I42" s="559" cm="1">
        <f t="array" ref="I42">SUMPRODUCT((UCA.AGROOTROS.NAME=$A42)*(UCA.AGROOTROS.DATE=I$5)*(UCA.AGROOTROS.VAL))</f>
        <v>508</v>
      </c>
      <c r="J42" s="559" cm="1">
        <f t="array" ref="J42">SUMPRODUCT((UCA.AGROOTROS.NAME=$A42)*(UCA.AGROOTROS.DATE=J$5)*(UCA.AGROOTROS.VAL))</f>
        <v>775</v>
      </c>
      <c r="K42" s="559" cm="1">
        <f t="array" ref="K42">SUMPRODUCT((UCA.AGROOTROS.NAME=$A42)*(UCA.AGROOTROS.DATE=K$5)*(UCA.AGROOTROS.VAL))</f>
        <v>469</v>
      </c>
      <c r="L42" s="559" cm="1">
        <f t="array" ref="L42">SUMPRODUCT((UCA.AGROOTROS.NAME=$A42)*(UCA.AGROOTROS.DATE=L$5)*(UCA.AGROOTROS.VAL))</f>
        <v>145</v>
      </c>
      <c r="M42" s="559" cm="1">
        <f t="array" ref="M42">SUMPRODUCT((UCA.AGROOTROS.NAME=$A42)*(UCA.AGROOTROS.DATE=M$5)*(UCA.AGROOTROS.VAL))</f>
        <v>35</v>
      </c>
      <c r="N42" s="532">
        <f t="shared" si="198"/>
        <v>1932</v>
      </c>
      <c r="O42" s="559" cm="1">
        <f t="array" ref="O42">SUMPRODUCT((UCA.AGROOTROS.NAME=$A42)*(UCA.AGROOTROS.DATE=O$5)*(UCA.AGROOTROS.VAL))</f>
        <v>39</v>
      </c>
      <c r="P42" s="559" cm="1">
        <f t="array" ref="P42">SUMPRODUCT((UCA.AGROOTROS.NAME=$A42)*(UCA.AGROOTROS.DATE=P$5)*(UCA.AGROOTROS.VAL))</f>
        <v>35</v>
      </c>
      <c r="Q42" s="559" cm="1">
        <f t="array" ref="Q42">SUMPRODUCT((UCA.AGROOTROS.NAME=$A42)*(UCA.AGROOTROS.DATE=Q$5)*(UCA.AGROOTROS.VAL))</f>
        <v>0</v>
      </c>
      <c r="R42" s="559" cm="1">
        <f t="array" ref="R42">SUMPRODUCT((UCA.AGROOTROS.NAME=$A42)*(UCA.AGROOTROS.DATE=R$5)*(UCA.AGROOTROS.VAL))</f>
        <v>0</v>
      </c>
      <c r="S42" s="559" cm="1">
        <f t="array" ref="S42">SUMPRODUCT((UCA.AGROOTROS.NAME=$A42)*(UCA.AGROOTROS.DATE=S$5)*(UCA.AGROOTROS.VAL))</f>
        <v>0</v>
      </c>
      <c r="T42" s="559" cm="1">
        <f t="array" ref="T42">SUMPRODUCT((UCA.AGROOTROS.NAME=$A42)*(UCA.AGROOTROS.DATE=T$5)*(UCA.AGROOTROS.VAL))</f>
        <v>0</v>
      </c>
      <c r="U42" s="559" cm="1">
        <f t="array" ref="U42">SUMPRODUCT((UCA.AGROOTROS.NAME=$A42)*(UCA.AGROOTROS.DATE=U$5)*(UCA.AGROOTROS.VAL))</f>
        <v>0</v>
      </c>
      <c r="V42" s="559" cm="1">
        <f t="array" ref="V42">SUMPRODUCT((UCA.AGROOTROS.NAME=$A42)*(UCA.AGROOTROS.DATE=V$5)*(UCA.AGROOTROS.VAL))</f>
        <v>532</v>
      </c>
      <c r="W42" s="559" cm="1">
        <f t="array" ref="W42">SUMPRODUCT((UCA.AGROOTROS.NAME=$A42)*(UCA.AGROOTROS.DATE=W$5)*(UCA.AGROOTROS.VAL))</f>
        <v>517</v>
      </c>
      <c r="X42" s="559" cm="1">
        <f t="array" ref="X42">SUMPRODUCT((UCA.AGROOTROS.NAME=$A42)*(UCA.AGROOTROS.DATE=X$5)*(UCA.AGROOTROS.VAL))</f>
        <v>436</v>
      </c>
      <c r="Y42" s="559" cm="1">
        <f t="array" ref="Y42">SUMPRODUCT((UCA.AGROOTROS.NAME=$A42)*(UCA.AGROOTROS.DATE=Y$5)*(UCA.AGROOTROS.VAL))</f>
        <v>46</v>
      </c>
      <c r="Z42" s="559" cm="1">
        <f t="array" ref="Z42">SUMPRODUCT((UCA.AGROOTROS.NAME=$A42)*(UCA.AGROOTROS.DATE=Z$5)*(UCA.AGROOTROS.VAL))</f>
        <v>65</v>
      </c>
      <c r="AA42" s="532">
        <f t="shared" si="199"/>
        <v>1670</v>
      </c>
      <c r="AB42" s="559" cm="1">
        <f t="array" ref="AB42">SUMPRODUCT((UCA.AGROOTROS.NAME=$A42)*(UCA.AGROOTROS.DATE=AB$5)*(UCA.AGROOTROS.VAL))</f>
        <v>0</v>
      </c>
      <c r="AC42" s="559" cm="1">
        <f t="array" ref="AC42">SUMPRODUCT((UCA.AGROOTROS.NAME=$A42)*(UCA.AGROOTROS.DATE=AC$5)*(UCA.AGROOTROS.VAL))</f>
        <v>0</v>
      </c>
      <c r="AD42" s="559" cm="1">
        <f t="array" ref="AD42">SUMPRODUCT((UCA.AGROOTROS.NAME=$A42)*(UCA.AGROOTROS.DATE=AD$5)*(UCA.AGROOTROS.VAL))</f>
        <v>0</v>
      </c>
      <c r="AE42" s="559" cm="1">
        <f t="array" ref="AE42">SUMPRODUCT((UCA.AGROOTROS.NAME=$A42)*(UCA.AGROOTROS.DATE=AE$5)*(UCA.AGROOTROS.VAL))</f>
        <v>0</v>
      </c>
      <c r="AF42" s="559" cm="1">
        <f t="array" ref="AF42">SUMPRODUCT((UCA.AGROOTROS.NAME=$A42)*(UCA.AGROOTROS.DATE=AF$5)*(UCA.AGROOTROS.VAL))</f>
        <v>0</v>
      </c>
      <c r="AG42" s="559" cm="1">
        <f t="array" ref="AG42">SUMPRODUCT((UCA.AGROOTROS.NAME=$A42)*(UCA.AGROOTROS.DATE=AG$5)*(UCA.AGROOTROS.VAL))</f>
        <v>0</v>
      </c>
      <c r="AH42" s="559" cm="1">
        <f t="array" ref="AH42">SUMPRODUCT((UCA.AGROOTROS.NAME=$A42)*(UCA.AGROOTROS.DATE=AH$5)*(UCA.AGROOTROS.VAL))</f>
        <v>22</v>
      </c>
      <c r="AI42" s="559" cm="1">
        <f t="array" ref="AI42">SUMPRODUCT((UCA.AGROOTROS.NAME=$A42)*(UCA.AGROOTROS.DATE=AI$5)*(UCA.AGROOTROS.VAL))</f>
        <v>338</v>
      </c>
      <c r="AJ42" s="559" cm="1">
        <f t="array" ref="AJ42">SUMPRODUCT((UCA.AGROOTROS.NAME=$A42)*(UCA.AGROOTROS.DATE=AJ$5)*(UCA.AGROOTROS.VAL))</f>
        <v>707</v>
      </c>
      <c r="AK42" s="559" cm="1">
        <f t="array" ref="AK42">SUMPRODUCT((UCA.AGROOTROS.NAME=$A42)*(UCA.AGROOTROS.DATE=AK$5)*(UCA.AGROOTROS.VAL))</f>
        <v>151</v>
      </c>
      <c r="AL42" s="559" cm="1">
        <f t="array" ref="AL42">SUMPRODUCT((UCA.AGROOTROS.NAME=$A42)*(UCA.AGROOTROS.DATE=AL$5)*(UCA.AGROOTROS.VAL))</f>
        <v>0</v>
      </c>
      <c r="AM42" s="559" cm="1">
        <f t="array" ref="AM42">SUMPRODUCT((UCA.AGROOTROS.NAME=$A42)*(UCA.AGROOTROS.DATE=AM$5)*(UCA.AGROOTROS.VAL))</f>
        <v>0</v>
      </c>
      <c r="AN42" s="532">
        <f t="shared" si="200"/>
        <v>1218</v>
      </c>
      <c r="AO42" s="559" cm="1">
        <f t="array" ref="AO42">SUMPRODUCT((UCA.AGROOTROS.NAME=$A42)*(UCA.AGROOTROS.DATE=AO$5)*(UCA.AGROOTROS.VAL))</f>
        <v>0</v>
      </c>
      <c r="AP42" s="559" cm="1">
        <f t="array" ref="AP42">SUMPRODUCT((UCA.AGROOTROS.NAME=$A42)*(UCA.AGROOTROS.DATE=AP$5)*(UCA.AGROOTROS.VAL))</f>
        <v>0</v>
      </c>
      <c r="AQ42" s="559" cm="1">
        <f t="array" ref="AQ42">SUMPRODUCT((UCA.AGROOTROS.NAME=$A42)*(UCA.AGROOTROS.DATE=AQ$5)*(UCA.AGROOTROS.VAL))</f>
        <v>0</v>
      </c>
      <c r="AR42" s="559" cm="1">
        <f t="array" ref="AR42">SUMPRODUCT((UCA.AGROOTROS.NAME=$A42)*(UCA.AGROOTROS.DATE=AR$5)*(UCA.AGROOTROS.VAL))</f>
        <v>0</v>
      </c>
      <c r="AS42" s="559" cm="1">
        <f t="array" ref="AS42">SUMPRODUCT((UCA.AGROOTROS.NAME=$A42)*(UCA.AGROOTROS.DATE=AS$5)*(UCA.AGROOTROS.VAL))</f>
        <v>0</v>
      </c>
      <c r="AT42" s="559" cm="1">
        <f t="array" ref="AT42">SUMPRODUCT((UCA.AGROOTROS.NAME=$A42)*(UCA.AGROOTROS.DATE=AT$5)*(UCA.AGROOTROS.VAL))</f>
        <v>77</v>
      </c>
      <c r="AU42" s="559" cm="1">
        <f t="array" ref="AU42">SUMPRODUCT((UCA.AGROOTROS.NAME=$A42)*(UCA.AGROOTROS.DATE=AU$5)*(UCA.AGROOTROS.VAL))</f>
        <v>257</v>
      </c>
      <c r="AV42" s="559" cm="1">
        <f t="array" ref="AV42">SUMPRODUCT((UCA.AGROOTROS.NAME=$A42)*(UCA.AGROOTROS.DATE=AV$5)*(UCA.AGROOTROS.VAL))</f>
        <v>598</v>
      </c>
      <c r="AW42" s="559" cm="1">
        <f t="array" ref="AW42">SUMPRODUCT((UCA.AGROOTROS.NAME=$A42)*(UCA.AGROOTROS.DATE=AW$5)*(UCA.AGROOTROS.VAL))</f>
        <v>543</v>
      </c>
      <c r="AX42" s="559" cm="1">
        <f t="array" ref="AX42">SUMPRODUCT((UCA.AGROOTROS.NAME=$A42)*(UCA.AGROOTROS.DATE=AX$5)*(UCA.AGROOTROS.VAL))</f>
        <v>91</v>
      </c>
      <c r="AY42" s="559" cm="1">
        <f t="array" ref="AY42">SUMPRODUCT((UCA.AGROOTROS.NAME=$A42)*(UCA.AGROOTROS.DATE=AY$5)*(UCA.AGROOTROS.VAL))</f>
        <v>0</v>
      </c>
      <c r="AZ42" s="559" cm="1">
        <f t="array" ref="AZ42">SUMPRODUCT((UCA.AGROOTROS.NAME=$A42)*(UCA.AGROOTROS.DATE=AZ$5)*(UCA.AGROOTROS.VAL))</f>
        <v>0</v>
      </c>
      <c r="BA42" s="532">
        <f t="shared" si="201"/>
        <v>1566</v>
      </c>
      <c r="BB42" s="559" cm="1">
        <f t="array" ref="BB42">SUMPRODUCT((UCA.AGROOTROS.NAME=$A42)*(UCA.AGROOTROS.DATE=BB$5)*(UCA.AGROOTROS.VAL))</f>
        <v>0</v>
      </c>
      <c r="BC42" s="559" cm="1">
        <f t="array" ref="BC42">SUMPRODUCT((UCA.AGROOTROS.NAME=$A42)*(UCA.AGROOTROS.DATE=BC$5)*(UCA.AGROOTROS.VAL))</f>
        <v>0</v>
      </c>
      <c r="BD42" s="559" cm="1">
        <f t="array" ref="BD42">SUMPRODUCT((UCA.AGROOTROS.NAME=$A42)*(UCA.AGROOTROS.DATE=BD$5)*(UCA.AGROOTROS.VAL))</f>
        <v>0</v>
      </c>
      <c r="BE42" s="559" cm="1">
        <f t="array" ref="BE42">SUMPRODUCT((UCA.AGROOTROS.NAME=$A42)*(UCA.AGROOTROS.DATE=BE$5)*(UCA.AGROOTROS.VAL))</f>
        <v>0</v>
      </c>
      <c r="BF42" s="559" cm="1">
        <f t="array" ref="BF42">SUMPRODUCT((UCA.AGROOTROS.NAME=$A42)*(UCA.AGROOTROS.DATE=BF$5)*(UCA.AGROOTROS.VAL))</f>
        <v>0</v>
      </c>
      <c r="BG42" s="559" cm="1">
        <f t="array" ref="BG42">SUMPRODUCT((UCA.AGROOTROS.NAME=$A42)*(UCA.AGROOTROS.DATE=BG$5)*(UCA.AGROOTROS.VAL))</f>
        <v>0</v>
      </c>
      <c r="BH42" s="559" cm="1">
        <f t="array" ref="BH42">SUMPRODUCT((UCA.AGROOTROS.NAME=$A42)*(UCA.AGROOTROS.DATE=BH$5)*(UCA.AGROOTROS.VAL))</f>
        <v>30</v>
      </c>
      <c r="BI42" s="559" cm="1">
        <f t="array" ref="BI42">SUMPRODUCT((UCA.AGROOTROS.NAME=$A42)*(UCA.AGROOTROS.DATE=BI$5)*(UCA.AGROOTROS.VAL))</f>
        <v>37</v>
      </c>
      <c r="BJ42" s="559" cm="1">
        <f t="array" ref="BJ42">SUMPRODUCT((UCA.AGROOTROS.NAME=$A42)*(UCA.AGROOTROS.DATE=BJ$5)*(UCA.AGROOTROS.VAL))</f>
        <v>86</v>
      </c>
      <c r="BK42" s="559" cm="1">
        <f t="array" ref="BK42">SUMPRODUCT((UCA.AGROOTROS.NAME=$A42)*(UCA.AGROOTROS.DATE=BK$5)*(UCA.AGROOTROS.VAL))</f>
        <v>383</v>
      </c>
      <c r="BL42" s="559" cm="1">
        <f t="array" ref="BL42">SUMPRODUCT((UCA.AGROOTROS.NAME=$A42)*(UCA.AGROOTROS.DATE=BL$5)*(UCA.AGROOTROS.VAL))</f>
        <v>21</v>
      </c>
      <c r="BM42" s="559" cm="1">
        <f t="array" ref="BM42">SUMPRODUCT((UCA.AGROOTROS.NAME=$A42)*(UCA.AGROOTROS.DATE=BM$5)*(UCA.AGROOTROS.VAL))</f>
        <v>17</v>
      </c>
      <c r="BN42" s="532">
        <f t="shared" si="202"/>
        <v>574</v>
      </c>
      <c r="BO42" s="559" cm="1">
        <f t="array" ref="BO42">SUMPRODUCT((UCA.AGROOTROS.NAME=$A42)*(UCA.AGROOTROS.DATE=BO$5)*(UCA.AGROOTROS.VAL))</f>
        <v>0</v>
      </c>
      <c r="BP42" s="559" cm="1">
        <f t="array" ref="BP42">SUMPRODUCT((UCA.AGROOTROS.NAME=$A42)*(UCA.AGROOTROS.DATE=BP$5)*(UCA.AGROOTROS.VAL))</f>
        <v>0</v>
      </c>
      <c r="BQ42" s="559" cm="1">
        <f t="array" ref="BQ42">SUMPRODUCT((UCA.AGROOTROS.NAME=$A42)*(UCA.AGROOTROS.DATE=BQ$5)*(UCA.AGROOTROS.VAL))</f>
        <v>0</v>
      </c>
      <c r="BR42" s="559" cm="1">
        <f t="array" ref="BR42">SUMPRODUCT((UCA.AGROOTROS.NAME=$A42)*(UCA.AGROOTROS.DATE=BR$5)*(UCA.AGROOTROS.VAL))</f>
        <v>0</v>
      </c>
      <c r="BS42" s="559" cm="1">
        <f t="array" ref="BS42">SUMPRODUCT((UCA.AGROOTROS.NAME=$A42)*(UCA.AGROOTROS.DATE=BS$5)*(UCA.AGROOTROS.VAL))</f>
        <v>0</v>
      </c>
      <c r="BT42" s="559" cm="1">
        <f t="array" ref="BT42">SUMPRODUCT((UCA.AGROOTROS.NAME=$A42)*(UCA.AGROOTROS.DATE=BT$5)*(UCA.AGROOTROS.VAL))</f>
        <v>0</v>
      </c>
      <c r="BU42" s="559" cm="1">
        <f t="array" ref="BU42">SUMPRODUCT((UCA.AGROOTROS.NAME=$A42)*(UCA.AGROOTROS.DATE=BU$5)*(UCA.AGROOTROS.VAL))</f>
        <v>590.14</v>
      </c>
      <c r="BV42" s="559" cm="1">
        <f t="array" ref="BV42">SUMPRODUCT((UCA.AGROOTROS.NAME=$A42)*(UCA.AGROOTROS.DATE=BV$5)*(UCA.AGROOTROS.VAL))</f>
        <v>996.31000000000017</v>
      </c>
      <c r="BW42" s="559" cm="1">
        <f t="array" ref="BW42">SUMPRODUCT((UCA.AGROOTROS.NAME=$A42)*(UCA.AGROOTROS.DATE=BW$5)*(UCA.AGROOTROS.VAL))</f>
        <v>401.25000000000006</v>
      </c>
      <c r="BX42" s="559" cm="1">
        <f t="array" ref="BX42">SUMPRODUCT((UCA.AGROOTROS.NAME=$A42)*(UCA.AGROOTROS.DATE=BX$5)*(UCA.AGROOTROS.VAL))</f>
        <v>0</v>
      </c>
      <c r="BY42" s="559" cm="1">
        <f t="array" ref="BY42">SUMPRODUCT((UCA.AGROOTROS.NAME=$A42)*(UCA.AGROOTROS.DATE=BY$5)*(UCA.AGROOTROS.VAL))</f>
        <v>0</v>
      </c>
      <c r="BZ42" s="559" cm="1">
        <f t="array" ref="BZ42">SUMPRODUCT((UCA.AGROOTROS.NAME=$A42)*(UCA.AGROOTROS.DATE=BZ$5)*(UCA.AGROOTROS.VAL))</f>
        <v>0</v>
      </c>
      <c r="CA42" s="532">
        <f t="shared" si="203"/>
        <v>1987.7000000000003</v>
      </c>
      <c r="CB42" s="559" cm="1">
        <f t="array" ref="CB42">SUMPRODUCT((UCA.AGROOTROS.NAME=$A42)*(UCA.AGROOTROS.DATE=CB$5)*(UCA.AGROOTROS.VAL))</f>
        <v>0</v>
      </c>
      <c r="CC42" s="559" cm="1">
        <f t="array" ref="CC42">SUMPRODUCT((UCA.AGROOTROS.NAME=$A42)*(UCA.AGROOTROS.DATE=CC$5)*(UCA.AGROOTROS.VAL))</f>
        <v>0</v>
      </c>
      <c r="CD42" s="559" cm="1">
        <f t="array" ref="CD42">SUMPRODUCT((UCA.AGROOTROS.NAME=$A42)*(UCA.AGROOTROS.DATE=CD$5)*(UCA.AGROOTROS.VAL))</f>
        <v>0</v>
      </c>
      <c r="CE42" s="559" cm="1">
        <f t="array" ref="CE42">SUMPRODUCT((UCA.AGROOTROS.NAME=$A42)*(UCA.AGROOTROS.DATE=CE$5)*(UCA.AGROOTROS.VAL))</f>
        <v>0</v>
      </c>
      <c r="CF42" s="559" cm="1">
        <f t="array" ref="CF42">SUMPRODUCT((UCA.AGROOTROS.NAME=$A42)*(UCA.AGROOTROS.DATE=CF$5)*(UCA.AGROOTROS.VAL))</f>
        <v>0</v>
      </c>
      <c r="CG42" s="559" cm="1">
        <f t="array" ref="CG42">SUMPRODUCT((UCA.AGROOTROS.NAME=$A42)*(UCA.AGROOTROS.DATE=CG$5)*(UCA.AGROOTROS.VAL))</f>
        <v>0</v>
      </c>
      <c r="CH42" s="559" cm="1">
        <f t="array" ref="CH42">SUMPRODUCT((UCA.AGROOTROS.NAME=$A42)*(UCA.AGROOTROS.DATE=CH$5)*(UCA.AGROOTROS.VAL))</f>
        <v>77.400000000000006</v>
      </c>
      <c r="CI42" s="559" cm="1">
        <f t="array" ref="CI42">SUMPRODUCT((UCA.AGROOTROS.NAME=$A42)*(UCA.AGROOTROS.DATE=CI$5)*(UCA.AGROOTROS.VAL))</f>
        <v>755.88</v>
      </c>
      <c r="CJ42" s="559" cm="1">
        <f t="array" ref="CJ42">SUMPRODUCT((UCA.AGROOTROS.NAME=$A42)*(UCA.AGROOTROS.DATE=CJ$5)*(UCA.AGROOTROS.VAL))</f>
        <v>462.29999999999995</v>
      </c>
      <c r="CK42" s="559" cm="1">
        <f t="array" ref="CK42">SUMPRODUCT((UCA.AGROOTROS.NAME=$A42)*(UCA.AGROOTROS.DATE=CK$5)*(UCA.AGROOTROS.VAL))</f>
        <v>53.4</v>
      </c>
      <c r="CL42" s="559" cm="1">
        <f t="array" ref="CL42">SUMPRODUCT((UCA.AGROOTROS.NAME=$A42)*(UCA.AGROOTROS.DATE=CL$5)*(UCA.AGROOTROS.VAL))</f>
        <v>25.8</v>
      </c>
      <c r="CM42" s="559" cm="1">
        <f t="array" ref="CM42">SUMPRODUCT((UCA.AGROOTROS.NAME=$A42)*(UCA.AGROOTROS.DATE=CM$5)*(UCA.AGROOTROS.VAL))</f>
        <v>52.63</v>
      </c>
      <c r="CN42" s="532">
        <f t="shared" si="204"/>
        <v>1427.41</v>
      </c>
      <c r="CO42" s="559" cm="1">
        <f t="array" ref="CO42">SUMPRODUCT((UCA.AGROOTROS.NAME=$A42)*(UCA.AGROOTROS.DATE=CO$5)*(UCA.AGROOTROS.VAL))</f>
        <v>0</v>
      </c>
      <c r="CP42" s="559" cm="1">
        <f t="array" ref="CP42">SUMPRODUCT((UCA.AGROOTROS.NAME=$A42)*(UCA.AGROOTROS.DATE=CP$5)*(UCA.AGROOTROS.VAL))</f>
        <v>0</v>
      </c>
      <c r="CQ42" s="559" cm="1">
        <f t="array" ref="CQ42">SUMPRODUCT((UCA.AGROOTROS.NAME=$A42)*(UCA.AGROOTROS.DATE=CQ$5)*(UCA.AGROOTROS.VAL))</f>
        <v>0</v>
      </c>
      <c r="CR42" s="559" cm="1">
        <f t="array" ref="CR42">SUMPRODUCT((UCA.AGROOTROS.NAME=$A42)*(UCA.AGROOTROS.DATE=CR$5)*(UCA.AGROOTROS.VAL))</f>
        <v>0</v>
      </c>
      <c r="CS42" s="559" cm="1">
        <f t="array" ref="CS42">SUMPRODUCT((UCA.AGROOTROS.NAME=$A42)*(UCA.AGROOTROS.DATE=CS$5)*(UCA.AGROOTROS.VAL))</f>
        <v>0</v>
      </c>
      <c r="CT42" s="559" cm="1">
        <f t="array" ref="CT42">SUMPRODUCT((UCA.AGROOTROS.NAME=$A42)*(UCA.AGROOTROS.DATE=CT$5)*(UCA.AGROOTROS.VAL))</f>
        <v>0</v>
      </c>
      <c r="CU42" s="559" cm="1">
        <f t="array" ref="CU42">SUMPRODUCT((UCA.AGROOTROS.NAME=$A42)*(UCA.AGROOTROS.DATE=CU$5)*(UCA.AGROOTROS.VAL))</f>
        <v>0</v>
      </c>
      <c r="CV42" s="559" cm="1">
        <f t="array" ref="CV42">SUMPRODUCT((UCA.AGROOTROS.NAME=$A42)*(UCA.AGROOTROS.DATE=CV$5)*(UCA.AGROOTROS.VAL))</f>
        <v>544.16000000000008</v>
      </c>
      <c r="CW42" s="559" cm="1">
        <f t="array" ref="CW42">SUMPRODUCT((UCA.AGROOTROS.NAME=$A42)*(UCA.AGROOTROS.DATE=CW$5)*(UCA.AGROOTROS.VAL))</f>
        <v>447.27</v>
      </c>
      <c r="CX42" s="559" cm="1">
        <f t="array" ref="CX42">SUMPRODUCT((UCA.AGROOTROS.NAME=$A42)*(UCA.AGROOTROS.DATE=CX$5)*(UCA.AGROOTROS.VAL))</f>
        <v>107</v>
      </c>
      <c r="CY42" s="559" cm="1">
        <f t="array" ref="CY42">SUMPRODUCT((UCA.AGROOTROS.NAME=$A42)*(UCA.AGROOTROS.DATE=CY$5)*(UCA.AGROOTROS.VAL))</f>
        <v>0</v>
      </c>
      <c r="CZ42" s="559" cm="1">
        <f t="array" ref="CZ42">SUMPRODUCT((UCA.AGROOTROS.NAME=$A42)*(UCA.AGROOTROS.DATE=CZ$5)*(UCA.AGROOTROS.VAL))</f>
        <v>0</v>
      </c>
      <c r="DA42" s="532">
        <f t="shared" si="205"/>
        <v>1098.43</v>
      </c>
      <c r="DB42" s="559" cm="1">
        <f t="array" ref="DB42">SUMPRODUCT((UCA.AGROOTROS.NAME=$A42)*(UCA.AGROOTROS.DATE=DB$5)*(UCA.AGROOTROS.VAL))</f>
        <v>0</v>
      </c>
      <c r="DC42" s="559" cm="1">
        <f t="array" ref="DC42">SUMPRODUCT((UCA.AGROOTROS.NAME=$A42)*(UCA.AGROOTROS.DATE=DC$5)*(UCA.AGROOTROS.VAL))</f>
        <v>0</v>
      </c>
      <c r="DD42" s="559" cm="1">
        <f t="array" ref="DD42">SUMPRODUCT((UCA.AGROOTROS.NAME=$A42)*(UCA.AGROOTROS.DATE=DD$5)*(UCA.AGROOTROS.VAL))</f>
        <v>0</v>
      </c>
      <c r="DE42" s="559" cm="1">
        <f t="array" ref="DE42">SUMPRODUCT((UCA.AGROOTROS.NAME=$A42)*(UCA.AGROOTROS.DATE=DE$5)*(UCA.AGROOTROS.VAL))</f>
        <v>0</v>
      </c>
      <c r="DF42" s="559" cm="1">
        <f t="array" ref="DF42">SUMPRODUCT((UCA.AGROOTROS.NAME=$A42)*(UCA.AGROOTROS.DATE=DF$5)*(UCA.AGROOTROS.VAL))</f>
        <v>0</v>
      </c>
      <c r="DG42" s="559" cm="1">
        <f t="array" ref="DG42">SUMPRODUCT((UCA.AGROOTROS.NAME=$A42)*(UCA.AGROOTROS.DATE=DG$5)*(UCA.AGROOTROS.VAL))</f>
        <v>0</v>
      </c>
      <c r="DH42" s="559" cm="1">
        <f t="array" ref="DH42">SUMPRODUCT((UCA.AGROOTROS.NAME=$A42)*(UCA.AGROOTROS.DATE=DH$5)*(UCA.AGROOTROS.VAL))</f>
        <v>0</v>
      </c>
      <c r="DI42" s="559" cm="1">
        <f t="array" ref="DI42">SUMPRODUCT((UCA.AGROOTROS.NAME=$A42)*(UCA.AGROOTROS.DATE=DI$5)*(UCA.AGROOTROS.VAL))</f>
        <v>643.54999999999995</v>
      </c>
      <c r="DJ42" s="559" cm="1">
        <f t="array" ref="DJ42">SUMPRODUCT((UCA.AGROOTROS.NAME=$A42)*(UCA.AGROOTROS.DATE=DJ$5)*(UCA.AGROOTROS.VAL))</f>
        <v>901.3</v>
      </c>
      <c r="DK42" s="559" cm="1">
        <f t="array" ref="DK42">SUMPRODUCT((UCA.AGROOTROS.NAME=$A42)*(UCA.AGROOTROS.DATE=DK$5)*(UCA.AGROOTROS.VAL))</f>
        <v>451.55999999999989</v>
      </c>
      <c r="DL42" s="559" cm="1">
        <f t="array" ref="DL42">SUMPRODUCT((UCA.AGROOTROS.NAME=$A42)*(UCA.AGROOTROS.DATE=DL$5)*(UCA.AGROOTROS.VAL))</f>
        <v>100.28</v>
      </c>
      <c r="DM42" s="559" cm="1">
        <f t="array" ref="DM42">SUMPRODUCT((UCA.AGROOTROS.NAME=$A42)*(UCA.AGROOTROS.DATE=DM$5)*(UCA.AGROOTROS.VAL))</f>
        <v>0</v>
      </c>
      <c r="DN42" s="532">
        <f t="shared" si="206"/>
        <v>2096.69</v>
      </c>
      <c r="DO42" s="559" cm="1">
        <f t="array" ref="DO42">SUMPRODUCT((UCA.AGROOTROS.NAME=$A42)*(UCA.AGROOTROS.DATE=DO$5)*(UCA.AGROOTROS.VAL))</f>
        <v>0</v>
      </c>
      <c r="DP42" s="559" cm="1">
        <f t="array" ref="DP42">SUMPRODUCT((UCA.AGROOTROS.NAME=$A42)*(UCA.AGROOTROS.DATE=DP$5)*(UCA.AGROOTROS.VAL))</f>
        <v>0</v>
      </c>
      <c r="DQ42" s="559" cm="1">
        <f t="array" ref="DQ42">SUMPRODUCT((UCA.AGROOTROS.NAME=$A42)*(UCA.AGROOTROS.DATE=DQ$5)*(UCA.AGROOTROS.VAL))</f>
        <v>0</v>
      </c>
      <c r="DR42" s="559" cm="1">
        <f t="array" ref="DR42">SUMPRODUCT((UCA.AGROOTROS.NAME=$A42)*(UCA.AGROOTROS.DATE=DR$5)*(UCA.AGROOTROS.VAL))</f>
        <v>0</v>
      </c>
      <c r="DS42" s="559" cm="1">
        <f t="array" ref="DS42">SUMPRODUCT((UCA.AGROOTROS.NAME=$A42)*(UCA.AGROOTROS.DATE=DS$5)*(UCA.AGROOTROS.VAL))</f>
        <v>0</v>
      </c>
      <c r="DT42" s="559" cm="1">
        <f t="array" ref="DT42">SUMPRODUCT((UCA.AGROOTROS.NAME=$A42)*(UCA.AGROOTROS.DATE=DT$5)*(UCA.AGROOTROS.VAL))</f>
        <v>0</v>
      </c>
      <c r="DU42" s="559" cm="1">
        <f t="array" ref="DU42">SUMPRODUCT((UCA.AGROOTROS.NAME=$A42)*(UCA.AGROOTROS.DATE=DU$5)*(UCA.AGROOTROS.VAL))</f>
        <v>0</v>
      </c>
      <c r="DV42" s="559" cm="1">
        <f t="array" ref="DV42">SUMPRODUCT((UCA.AGROOTROS.NAME=$A42)*(UCA.AGROOTROS.DATE=DV$5)*(UCA.AGROOTROS.VAL))</f>
        <v>950.66000000000008</v>
      </c>
      <c r="DW42" s="559" cm="1">
        <f t="array" ref="DW42">SUMPRODUCT((UCA.AGROOTROS.NAME=$A42)*(UCA.AGROOTROS.DATE=DW$5)*(UCA.AGROOTROS.VAL))</f>
        <v>1453.47</v>
      </c>
      <c r="DX42" s="559" cm="1">
        <f t="array" ref="DX42">SUMPRODUCT((UCA.AGROOTROS.NAME=$A42)*(UCA.AGROOTROS.DATE=DX$5)*(UCA.AGROOTROS.VAL))</f>
        <v>242.81</v>
      </c>
      <c r="DY42" s="559" cm="1">
        <f t="array" ref="DY42">SUMPRODUCT((UCA.AGROOTROS.NAME=$A42)*(UCA.AGROOTROS.DATE=DY$5)*(UCA.AGROOTROS.VAL))</f>
        <v>309.96899999999999</v>
      </c>
      <c r="DZ42" s="559" cm="1">
        <f t="array" ref="DZ42">SUMPRODUCT((UCA.AGROOTROS.NAME=$A42)*(UCA.AGROOTROS.DATE=DZ$5)*(UCA.AGROOTROS.VAL))</f>
        <v>0</v>
      </c>
      <c r="EA42" s="532">
        <f t="shared" si="207"/>
        <v>2956.9090000000001</v>
      </c>
      <c r="EB42" s="559" cm="1">
        <f t="array" ref="EB42">SUMPRODUCT((UCA.AGROOTROS.NAME=$A42)*(UCA.AGROOTROS.DATE=EB$5)*(UCA.AGROOTROS.VAL))</f>
        <v>46.94</v>
      </c>
      <c r="EC42" s="559" cm="1">
        <f t="array" ref="EC42">SUMPRODUCT((UCA.AGROOTROS.NAME=$A42)*(UCA.AGROOTROS.DATE=EC$5)*(UCA.AGROOTROS.VAL))</f>
        <v>0</v>
      </c>
      <c r="ED42" s="559" cm="1">
        <f t="array" ref="ED42">SUMPRODUCT((UCA.AGROOTROS.NAME=$A42)*(UCA.AGROOTROS.DATE=ED$5)*(UCA.AGROOTROS.VAL))</f>
        <v>0</v>
      </c>
      <c r="EE42" s="559" cm="1">
        <f t="array" ref="EE42">SUMPRODUCT((UCA.AGROOTROS.NAME=$A42)*(UCA.AGROOTROS.DATE=EE$5)*(UCA.AGROOTROS.VAL))</f>
        <v>0</v>
      </c>
      <c r="EF42" s="559" cm="1">
        <f t="array" ref="EF42">SUMPRODUCT((UCA.AGROOTROS.NAME=$A42)*(UCA.AGROOTROS.DATE=EF$5)*(UCA.AGROOTROS.VAL))</f>
        <v>0</v>
      </c>
      <c r="EG42" s="559" cm="1">
        <f t="array" ref="EG42">SUMPRODUCT((UCA.AGROOTROS.NAME=$A42)*(UCA.AGROOTROS.DATE=EG$5)*(UCA.AGROOTROS.VAL))</f>
        <v>0</v>
      </c>
      <c r="EH42" s="559" cm="1">
        <f t="array" ref="EH42">SUMPRODUCT((UCA.AGROOTROS.NAME=$A42)*(UCA.AGROOTROS.DATE=EH$5)*(UCA.AGROOTROS.VAL))</f>
        <v>0</v>
      </c>
      <c r="EI42" s="559" cm="1">
        <f t="array" ref="EI42">SUMPRODUCT((UCA.AGROOTROS.NAME=$A42)*(UCA.AGROOTROS.DATE=EI$5)*(UCA.AGROOTROS.VAL))</f>
        <v>246.77</v>
      </c>
      <c r="EJ42" s="559" cm="1">
        <f t="array" ref="EJ42">SUMPRODUCT((UCA.AGROOTROS.NAME=$A42)*(UCA.AGROOTROS.DATE=EJ$5)*(UCA.AGROOTROS.VAL))</f>
        <v>689.73900000000003</v>
      </c>
      <c r="EK42" s="559" cm="1">
        <f t="array" ref="EK42">SUMPRODUCT((UCA.AGROOTROS.NAME=$A42)*(UCA.AGROOTROS.DATE=EK$5)*(UCA.AGROOTROS.VAL))</f>
        <v>499.35</v>
      </c>
      <c r="EL42" s="559" cm="1">
        <f t="array" ref="EL42">SUMPRODUCT((UCA.AGROOTROS.NAME=$A42)*(UCA.AGROOTROS.DATE=EL$5)*(UCA.AGROOTROS.VAL))</f>
        <v>114.979</v>
      </c>
      <c r="EM42" s="559" cm="1">
        <f t="array" ref="EM42">SUMPRODUCT((UCA.AGROOTROS.NAME=$A42)*(UCA.AGROOTROS.DATE=EM$5)*(UCA.AGROOTROS.VAL))</f>
        <v>224.84</v>
      </c>
      <c r="EN42" s="532">
        <f t="shared" si="208"/>
        <v>1822.6179999999999</v>
      </c>
      <c r="EO42" s="559" cm="1">
        <f t="array" ref="EO42">SUMPRODUCT((UCA.AGROOTROS.NAME=$A42)*(UCA.AGROOTROS.DATE=EO$5)*(UCA.AGROOTROS.VAL))</f>
        <v>18.75</v>
      </c>
      <c r="EP42" s="559" cm="1">
        <f t="array" ref="EP42">SUMPRODUCT((UCA.AGROOTROS.NAME=$A42)*(UCA.AGROOTROS.DATE=EP$5)*(UCA.AGROOTROS.VAL))</f>
        <v>0</v>
      </c>
      <c r="EQ42" s="559" cm="1">
        <f t="array" ref="EQ42">SUMPRODUCT((UCA.AGROOTROS.NAME=$A42)*(UCA.AGROOTROS.DATE=EQ$5)*(UCA.AGROOTROS.VAL))</f>
        <v>0</v>
      </c>
      <c r="ER42" s="559" cm="1">
        <f t="array" ref="ER42">SUMPRODUCT((UCA.AGROOTROS.NAME=$A42)*(UCA.AGROOTROS.DATE=ER$5)*(UCA.AGROOTROS.VAL))</f>
        <v>0</v>
      </c>
      <c r="ES42" s="559" cm="1">
        <f t="array" ref="ES42">SUMPRODUCT((UCA.AGROOTROS.NAME=$A42)*(UCA.AGROOTROS.DATE=ES$5)*(UCA.AGROOTROS.VAL))</f>
        <v>0</v>
      </c>
      <c r="ET42" s="559" cm="1">
        <f t="array" ref="ET42">SUMPRODUCT((UCA.AGROOTROS.NAME=$A42)*(UCA.AGROOTROS.DATE=ET$5)*(UCA.AGROOTROS.VAL))</f>
        <v>0</v>
      </c>
      <c r="EU42" s="559" cm="1">
        <f t="array" ref="EU42">SUMPRODUCT((UCA.AGROOTROS.NAME=$A42)*(UCA.AGROOTROS.DATE=EU$5)*(UCA.AGROOTROS.VAL))</f>
        <v>0</v>
      </c>
      <c r="EV42" s="559" cm="1">
        <f t="array" ref="EV42">SUMPRODUCT((UCA.AGROOTROS.NAME=$A42)*(UCA.AGROOTROS.DATE=EV$5)*(UCA.AGROOTROS.VAL))</f>
        <v>0</v>
      </c>
      <c r="EW42" s="559" cm="1">
        <f t="array" ref="EW42">SUMPRODUCT((UCA.AGROOTROS.NAME=$A42)*(UCA.AGROOTROS.DATE=EW$5)*(UCA.AGROOTROS.VAL))</f>
        <v>0</v>
      </c>
      <c r="EX42" s="559" cm="1">
        <f t="array" ref="EX42">SUMPRODUCT((UCA.AGROOTROS.NAME=$A42)*(UCA.AGROOTROS.DATE=EX$5)*(UCA.AGROOTROS.VAL))</f>
        <v>0</v>
      </c>
      <c r="EY42" s="559" cm="1">
        <f t="array" ref="EY42">SUMPRODUCT((UCA.AGROOTROS.NAME=$A42)*(UCA.AGROOTROS.DATE=EY$5)*(UCA.AGROOTROS.VAL))</f>
        <v>0</v>
      </c>
      <c r="EZ42" s="559" cm="1">
        <f t="array" ref="EZ42">SUMPRODUCT((UCA.AGROOTROS.NAME=$A42)*(UCA.AGROOTROS.DATE=EZ$5)*(UCA.AGROOTROS.VAL))</f>
        <v>0</v>
      </c>
      <c r="FA42" s="532">
        <f t="shared" si="209"/>
        <v>18.75</v>
      </c>
      <c r="FC42" s="560">
        <f t="shared" si="193"/>
        <v>-62.906290629062902</v>
      </c>
      <c r="FD42" s="561">
        <f t="shared" si="210"/>
        <v>-45.96458666803747</v>
      </c>
      <c r="FE42" s="562">
        <f t="shared" si="194"/>
        <v>2956.9090000000001</v>
      </c>
      <c r="FF42" s="563">
        <f t="shared" si="195"/>
        <v>1597.778</v>
      </c>
      <c r="FG42" s="564"/>
      <c r="FH42" s="498">
        <f t="shared" si="196"/>
        <v>36737.014000000003</v>
      </c>
      <c r="FI42" s="499"/>
      <c r="FJ42" s="500" t="str">
        <f t="shared" si="197"/>
        <v>VER</v>
      </c>
    </row>
    <row r="43" spans="1:166" s="447" customFormat="1" ht="15" customHeight="1" x14ac:dyDescent="0.25">
      <c r="A43" s="721" t="s">
        <v>129</v>
      </c>
      <c r="B43" s="559" cm="1">
        <f t="array" ref="B43">SUMPRODUCT((UCA.AGROOTROS.NAME=$A43)*(UCA.AGROOTROS.DATE=B$5)*(UCA.AGROOTROS.VAL))</f>
        <v>23</v>
      </c>
      <c r="C43" s="559" cm="1">
        <f t="array" ref="C43">SUMPRODUCT((UCA.AGROOTROS.NAME=$A43)*(UCA.AGROOTROS.DATE=C$5)*(UCA.AGROOTROS.VAL))</f>
        <v>11</v>
      </c>
      <c r="D43" s="559" cm="1">
        <f t="array" ref="D43">SUMPRODUCT((UCA.AGROOTROS.NAME=$A43)*(UCA.AGROOTROS.DATE=D$5)*(UCA.AGROOTROS.VAL))</f>
        <v>11</v>
      </c>
      <c r="E43" s="559" cm="1">
        <f t="array" ref="E43">SUMPRODUCT((UCA.AGROOTROS.NAME=$A43)*(UCA.AGROOTROS.DATE=E$5)*(UCA.AGROOTROS.VAL))</f>
        <v>31</v>
      </c>
      <c r="F43" s="559" cm="1">
        <f t="array" ref="F43">SUMPRODUCT((UCA.AGROOTROS.NAME=$A43)*(UCA.AGROOTROS.DATE=F$5)*(UCA.AGROOTROS.VAL))</f>
        <v>16</v>
      </c>
      <c r="G43" s="559" cm="1">
        <f t="array" ref="G43">SUMPRODUCT((UCA.AGROOTROS.NAME=$A43)*(UCA.AGROOTROS.DATE=G$5)*(UCA.AGROOTROS.VAL))</f>
        <v>0</v>
      </c>
      <c r="H43" s="559" cm="1">
        <f t="array" ref="H43">SUMPRODUCT((UCA.AGROOTROS.NAME=$A43)*(UCA.AGROOTROS.DATE=H$5)*(UCA.AGROOTROS.VAL))</f>
        <v>29</v>
      </c>
      <c r="I43" s="559" cm="1">
        <f t="array" ref="I43">SUMPRODUCT((UCA.AGROOTROS.NAME=$A43)*(UCA.AGROOTROS.DATE=I$5)*(UCA.AGROOTROS.VAL))</f>
        <v>76</v>
      </c>
      <c r="J43" s="559" cm="1">
        <f t="array" ref="J43">SUMPRODUCT((UCA.AGROOTROS.NAME=$A43)*(UCA.AGROOTROS.DATE=J$5)*(UCA.AGROOTROS.VAL))</f>
        <v>126</v>
      </c>
      <c r="K43" s="559" cm="1">
        <f t="array" ref="K43">SUMPRODUCT((UCA.AGROOTROS.NAME=$A43)*(UCA.AGROOTROS.DATE=K$5)*(UCA.AGROOTROS.VAL))</f>
        <v>161</v>
      </c>
      <c r="L43" s="559" cm="1">
        <f t="array" ref="L43">SUMPRODUCT((UCA.AGROOTROS.NAME=$A43)*(UCA.AGROOTROS.DATE=L$5)*(UCA.AGROOTROS.VAL))</f>
        <v>52</v>
      </c>
      <c r="M43" s="559" cm="1">
        <f t="array" ref="M43">SUMPRODUCT((UCA.AGROOTROS.NAME=$A43)*(UCA.AGROOTROS.DATE=M$5)*(UCA.AGROOTROS.VAL))</f>
        <v>33</v>
      </c>
      <c r="N43" s="532">
        <f t="shared" si="198"/>
        <v>569</v>
      </c>
      <c r="O43" s="559" cm="1">
        <f t="array" ref="O43">SUMPRODUCT((UCA.AGROOTROS.NAME=$A43)*(UCA.AGROOTROS.DATE=O$5)*(UCA.AGROOTROS.VAL))</f>
        <v>36</v>
      </c>
      <c r="P43" s="559" cm="1">
        <f t="array" ref="P43">SUMPRODUCT((UCA.AGROOTROS.NAME=$A43)*(UCA.AGROOTROS.DATE=P$5)*(UCA.AGROOTROS.VAL))</f>
        <v>22</v>
      </c>
      <c r="Q43" s="559" cm="1">
        <f t="array" ref="Q43">SUMPRODUCT((UCA.AGROOTROS.NAME=$A43)*(UCA.AGROOTROS.DATE=Q$5)*(UCA.AGROOTROS.VAL))</f>
        <v>0</v>
      </c>
      <c r="R43" s="559" cm="1">
        <f t="array" ref="R43">SUMPRODUCT((UCA.AGROOTROS.NAME=$A43)*(UCA.AGROOTROS.DATE=R$5)*(UCA.AGROOTROS.VAL))</f>
        <v>0</v>
      </c>
      <c r="S43" s="559" cm="1">
        <f t="array" ref="S43">SUMPRODUCT((UCA.AGROOTROS.NAME=$A43)*(UCA.AGROOTROS.DATE=S$5)*(UCA.AGROOTROS.VAL))</f>
        <v>0</v>
      </c>
      <c r="T43" s="559" cm="1">
        <f t="array" ref="T43">SUMPRODUCT((UCA.AGROOTROS.NAME=$A43)*(UCA.AGROOTROS.DATE=T$5)*(UCA.AGROOTROS.VAL))</f>
        <v>11</v>
      </c>
      <c r="U43" s="559" cm="1">
        <f t="array" ref="U43">SUMPRODUCT((UCA.AGROOTROS.NAME=$A43)*(UCA.AGROOTROS.DATE=U$5)*(UCA.AGROOTROS.VAL))</f>
        <v>12</v>
      </c>
      <c r="V43" s="559" cm="1">
        <f t="array" ref="V43">SUMPRODUCT((UCA.AGROOTROS.NAME=$A43)*(UCA.AGROOTROS.DATE=V$5)*(UCA.AGROOTROS.VAL))</f>
        <v>70</v>
      </c>
      <c r="W43" s="559" cm="1">
        <f t="array" ref="W43">SUMPRODUCT((UCA.AGROOTROS.NAME=$A43)*(UCA.AGROOTROS.DATE=W$5)*(UCA.AGROOTROS.VAL))</f>
        <v>101</v>
      </c>
      <c r="X43" s="559" cm="1">
        <f t="array" ref="X43">SUMPRODUCT((UCA.AGROOTROS.NAME=$A43)*(UCA.AGROOTROS.DATE=X$5)*(UCA.AGROOTROS.VAL))</f>
        <v>56</v>
      </c>
      <c r="Y43" s="559" cm="1">
        <f t="array" ref="Y43">SUMPRODUCT((UCA.AGROOTROS.NAME=$A43)*(UCA.AGROOTROS.DATE=Y$5)*(UCA.AGROOTROS.VAL))</f>
        <v>8</v>
      </c>
      <c r="Z43" s="559" cm="1">
        <f t="array" ref="Z43">SUMPRODUCT((UCA.AGROOTROS.NAME=$A43)*(UCA.AGROOTROS.DATE=Z$5)*(UCA.AGROOTROS.VAL))</f>
        <v>0</v>
      </c>
      <c r="AA43" s="532">
        <f t="shared" si="199"/>
        <v>316</v>
      </c>
      <c r="AB43" s="559" cm="1">
        <f t="array" ref="AB43">SUMPRODUCT((UCA.AGROOTROS.NAME=$A43)*(UCA.AGROOTROS.DATE=AB$5)*(UCA.AGROOTROS.VAL))</f>
        <v>0</v>
      </c>
      <c r="AC43" s="559" cm="1">
        <f t="array" ref="AC43">SUMPRODUCT((UCA.AGROOTROS.NAME=$A43)*(UCA.AGROOTROS.DATE=AC$5)*(UCA.AGROOTROS.VAL))</f>
        <v>0</v>
      </c>
      <c r="AD43" s="559" cm="1">
        <f t="array" ref="AD43">SUMPRODUCT((UCA.AGROOTROS.NAME=$A43)*(UCA.AGROOTROS.DATE=AD$5)*(UCA.AGROOTROS.VAL))</f>
        <v>0</v>
      </c>
      <c r="AE43" s="559" cm="1">
        <f t="array" ref="AE43">SUMPRODUCT((UCA.AGROOTROS.NAME=$A43)*(UCA.AGROOTROS.DATE=AE$5)*(UCA.AGROOTROS.VAL))</f>
        <v>0</v>
      </c>
      <c r="AF43" s="559" cm="1">
        <f t="array" ref="AF43">SUMPRODUCT((UCA.AGROOTROS.NAME=$A43)*(UCA.AGROOTROS.DATE=AF$5)*(UCA.AGROOTROS.VAL))</f>
        <v>0</v>
      </c>
      <c r="AG43" s="559" cm="1">
        <f t="array" ref="AG43">SUMPRODUCT((UCA.AGROOTROS.NAME=$A43)*(UCA.AGROOTROS.DATE=AG$5)*(UCA.AGROOTROS.VAL))</f>
        <v>0</v>
      </c>
      <c r="AH43" s="559" cm="1">
        <f t="array" ref="AH43">SUMPRODUCT((UCA.AGROOTROS.NAME=$A43)*(UCA.AGROOTROS.DATE=AH$5)*(UCA.AGROOTROS.VAL))</f>
        <v>6</v>
      </c>
      <c r="AI43" s="559" cm="1">
        <f t="array" ref="AI43">SUMPRODUCT((UCA.AGROOTROS.NAME=$A43)*(UCA.AGROOTROS.DATE=AI$5)*(UCA.AGROOTROS.VAL))</f>
        <v>96</v>
      </c>
      <c r="AJ43" s="559" cm="1">
        <f t="array" ref="AJ43">SUMPRODUCT((UCA.AGROOTROS.NAME=$A43)*(UCA.AGROOTROS.DATE=AJ$5)*(UCA.AGROOTROS.VAL))</f>
        <v>141</v>
      </c>
      <c r="AK43" s="559" cm="1">
        <f t="array" ref="AK43">SUMPRODUCT((UCA.AGROOTROS.NAME=$A43)*(UCA.AGROOTROS.DATE=AK$5)*(UCA.AGROOTROS.VAL))</f>
        <v>76</v>
      </c>
      <c r="AL43" s="559" cm="1">
        <f t="array" ref="AL43">SUMPRODUCT((UCA.AGROOTROS.NAME=$A43)*(UCA.AGROOTROS.DATE=AL$5)*(UCA.AGROOTROS.VAL))</f>
        <v>22</v>
      </c>
      <c r="AM43" s="559" cm="1">
        <f t="array" ref="AM43">SUMPRODUCT((UCA.AGROOTROS.NAME=$A43)*(UCA.AGROOTROS.DATE=AM$5)*(UCA.AGROOTROS.VAL))</f>
        <v>0</v>
      </c>
      <c r="AN43" s="532">
        <f t="shared" si="200"/>
        <v>341</v>
      </c>
      <c r="AO43" s="559" cm="1">
        <f t="array" ref="AO43">SUMPRODUCT((UCA.AGROOTROS.NAME=$A43)*(UCA.AGROOTROS.DATE=AO$5)*(UCA.AGROOTROS.VAL))</f>
        <v>0</v>
      </c>
      <c r="AP43" s="559" cm="1">
        <f t="array" ref="AP43">SUMPRODUCT((UCA.AGROOTROS.NAME=$A43)*(UCA.AGROOTROS.DATE=AP$5)*(UCA.AGROOTROS.VAL))</f>
        <v>0</v>
      </c>
      <c r="AQ43" s="559" cm="1">
        <f t="array" ref="AQ43">SUMPRODUCT((UCA.AGROOTROS.NAME=$A43)*(UCA.AGROOTROS.DATE=AQ$5)*(UCA.AGROOTROS.VAL))</f>
        <v>0</v>
      </c>
      <c r="AR43" s="559" cm="1">
        <f t="array" ref="AR43">SUMPRODUCT((UCA.AGROOTROS.NAME=$A43)*(UCA.AGROOTROS.DATE=AR$5)*(UCA.AGROOTROS.VAL))</f>
        <v>0</v>
      </c>
      <c r="AS43" s="559" cm="1">
        <f t="array" ref="AS43">SUMPRODUCT((UCA.AGROOTROS.NAME=$A43)*(UCA.AGROOTROS.DATE=AS$5)*(UCA.AGROOTROS.VAL))</f>
        <v>0</v>
      </c>
      <c r="AT43" s="559" cm="1">
        <f t="array" ref="AT43">SUMPRODUCT((UCA.AGROOTROS.NAME=$A43)*(UCA.AGROOTROS.DATE=AT$5)*(UCA.AGROOTROS.VAL))</f>
        <v>80</v>
      </c>
      <c r="AU43" s="559" cm="1">
        <f t="array" ref="AU43">SUMPRODUCT((UCA.AGROOTROS.NAME=$A43)*(UCA.AGROOTROS.DATE=AU$5)*(UCA.AGROOTROS.VAL))</f>
        <v>133</v>
      </c>
      <c r="AV43" s="559" cm="1">
        <f t="array" ref="AV43">SUMPRODUCT((UCA.AGROOTROS.NAME=$A43)*(UCA.AGROOTROS.DATE=AV$5)*(UCA.AGROOTROS.VAL))</f>
        <v>153</v>
      </c>
      <c r="AW43" s="559" cm="1">
        <f t="array" ref="AW43">SUMPRODUCT((UCA.AGROOTROS.NAME=$A43)*(UCA.AGROOTROS.DATE=AW$5)*(UCA.AGROOTROS.VAL))</f>
        <v>116</v>
      </c>
      <c r="AX43" s="559" cm="1">
        <f t="array" ref="AX43">SUMPRODUCT((UCA.AGROOTROS.NAME=$A43)*(UCA.AGROOTROS.DATE=AX$5)*(UCA.AGROOTROS.VAL))</f>
        <v>72</v>
      </c>
      <c r="AY43" s="559" cm="1">
        <f t="array" ref="AY43">SUMPRODUCT((UCA.AGROOTROS.NAME=$A43)*(UCA.AGROOTROS.DATE=AY$5)*(UCA.AGROOTROS.VAL))</f>
        <v>19</v>
      </c>
      <c r="AZ43" s="559" cm="1">
        <f t="array" ref="AZ43">SUMPRODUCT((UCA.AGROOTROS.NAME=$A43)*(UCA.AGROOTROS.DATE=AZ$5)*(UCA.AGROOTROS.VAL))</f>
        <v>21</v>
      </c>
      <c r="BA43" s="532">
        <f t="shared" si="201"/>
        <v>594</v>
      </c>
      <c r="BB43" s="559" cm="1">
        <f t="array" ref="BB43">SUMPRODUCT((UCA.AGROOTROS.NAME=$A43)*(UCA.AGROOTROS.DATE=BB$5)*(UCA.AGROOTROS.VAL))</f>
        <v>21</v>
      </c>
      <c r="BC43" s="559" cm="1">
        <f t="array" ref="BC43">SUMPRODUCT((UCA.AGROOTROS.NAME=$A43)*(UCA.AGROOTROS.DATE=BC$5)*(UCA.AGROOTROS.VAL))</f>
        <v>21</v>
      </c>
      <c r="BD43" s="559" cm="1">
        <f t="array" ref="BD43">SUMPRODUCT((UCA.AGROOTROS.NAME=$A43)*(UCA.AGROOTROS.DATE=BD$5)*(UCA.AGROOTROS.VAL))</f>
        <v>0</v>
      </c>
      <c r="BE43" s="559" cm="1">
        <f t="array" ref="BE43">SUMPRODUCT((UCA.AGROOTROS.NAME=$A43)*(UCA.AGROOTROS.DATE=BE$5)*(UCA.AGROOTROS.VAL))</f>
        <v>0</v>
      </c>
      <c r="BF43" s="559" cm="1">
        <f t="array" ref="BF43">SUMPRODUCT((UCA.AGROOTROS.NAME=$A43)*(UCA.AGROOTROS.DATE=BF$5)*(UCA.AGROOTROS.VAL))</f>
        <v>13</v>
      </c>
      <c r="BG43" s="559" cm="1">
        <f t="array" ref="BG43">SUMPRODUCT((UCA.AGROOTROS.NAME=$A43)*(UCA.AGROOTROS.DATE=BG$5)*(UCA.AGROOTROS.VAL))</f>
        <v>9</v>
      </c>
      <c r="BH43" s="559" cm="1">
        <f t="array" ref="BH43">SUMPRODUCT((UCA.AGROOTROS.NAME=$A43)*(UCA.AGROOTROS.DATE=BH$5)*(UCA.AGROOTROS.VAL))</f>
        <v>21</v>
      </c>
      <c r="BI43" s="559" cm="1">
        <f t="array" ref="BI43">SUMPRODUCT((UCA.AGROOTROS.NAME=$A43)*(UCA.AGROOTROS.DATE=BI$5)*(UCA.AGROOTROS.VAL))</f>
        <v>42</v>
      </c>
      <c r="BJ43" s="559" cm="1">
        <f t="array" ref="BJ43">SUMPRODUCT((UCA.AGROOTROS.NAME=$A43)*(UCA.AGROOTROS.DATE=BJ$5)*(UCA.AGROOTROS.VAL))</f>
        <v>96</v>
      </c>
      <c r="BK43" s="559" cm="1">
        <f t="array" ref="BK43">SUMPRODUCT((UCA.AGROOTROS.NAME=$A43)*(UCA.AGROOTROS.DATE=BK$5)*(UCA.AGROOTROS.VAL))</f>
        <v>58</v>
      </c>
      <c r="BL43" s="559" cm="1">
        <f t="array" ref="BL43">SUMPRODUCT((UCA.AGROOTROS.NAME=$A43)*(UCA.AGROOTROS.DATE=BL$5)*(UCA.AGROOTROS.VAL))</f>
        <v>10</v>
      </c>
      <c r="BM43" s="559" cm="1">
        <f t="array" ref="BM43">SUMPRODUCT((UCA.AGROOTROS.NAME=$A43)*(UCA.AGROOTROS.DATE=BM$5)*(UCA.AGROOTROS.VAL))</f>
        <v>10</v>
      </c>
      <c r="BN43" s="532">
        <f t="shared" si="202"/>
        <v>301</v>
      </c>
      <c r="BO43" s="559" cm="1">
        <f t="array" ref="BO43">SUMPRODUCT((UCA.AGROOTROS.NAME=$A43)*(UCA.AGROOTROS.DATE=BO$5)*(UCA.AGROOTROS.VAL))</f>
        <v>5</v>
      </c>
      <c r="BP43" s="559" cm="1">
        <f t="array" ref="BP43">SUMPRODUCT((UCA.AGROOTROS.NAME=$A43)*(UCA.AGROOTROS.DATE=BP$5)*(UCA.AGROOTROS.VAL))</f>
        <v>0</v>
      </c>
      <c r="BQ43" s="559" cm="1">
        <f t="array" ref="BQ43">SUMPRODUCT((UCA.AGROOTROS.NAME=$A43)*(UCA.AGROOTROS.DATE=BQ$5)*(UCA.AGROOTROS.VAL))</f>
        <v>0</v>
      </c>
      <c r="BR43" s="559" cm="1">
        <f t="array" ref="BR43">SUMPRODUCT((UCA.AGROOTROS.NAME=$A43)*(UCA.AGROOTROS.DATE=BR$5)*(UCA.AGROOTROS.VAL))</f>
        <v>6</v>
      </c>
      <c r="BS43" s="559" cm="1">
        <f t="array" ref="BS43">SUMPRODUCT((UCA.AGROOTROS.NAME=$A43)*(UCA.AGROOTROS.DATE=BS$5)*(UCA.AGROOTROS.VAL))</f>
        <v>0</v>
      </c>
      <c r="BT43" s="559" cm="1">
        <f t="array" ref="BT43">SUMPRODUCT((UCA.AGROOTROS.NAME=$A43)*(UCA.AGROOTROS.DATE=BT$5)*(UCA.AGROOTROS.VAL))</f>
        <v>0</v>
      </c>
      <c r="BU43" s="559" cm="1">
        <f t="array" ref="BU43">SUMPRODUCT((UCA.AGROOTROS.NAME=$A43)*(UCA.AGROOTROS.DATE=BU$5)*(UCA.AGROOTROS.VAL))</f>
        <v>79</v>
      </c>
      <c r="BV43" s="559" cm="1">
        <f t="array" ref="BV43">SUMPRODUCT((UCA.AGROOTROS.NAME=$A43)*(UCA.AGROOTROS.DATE=BV$5)*(UCA.AGROOTROS.VAL))</f>
        <v>168</v>
      </c>
      <c r="BW43" s="559" cm="1">
        <f t="array" ref="BW43">SUMPRODUCT((UCA.AGROOTROS.NAME=$A43)*(UCA.AGROOTROS.DATE=BW$5)*(UCA.AGROOTROS.VAL))</f>
        <v>169</v>
      </c>
      <c r="BX43" s="559" cm="1">
        <f t="array" ref="BX43">SUMPRODUCT((UCA.AGROOTROS.NAME=$A43)*(UCA.AGROOTROS.DATE=BX$5)*(UCA.AGROOTROS.VAL))</f>
        <v>27</v>
      </c>
      <c r="BY43" s="559" cm="1">
        <f t="array" ref="BY43">SUMPRODUCT((UCA.AGROOTROS.NAME=$A43)*(UCA.AGROOTROS.DATE=BY$5)*(UCA.AGROOTROS.VAL))</f>
        <v>0</v>
      </c>
      <c r="BZ43" s="559" cm="1">
        <f t="array" ref="BZ43">SUMPRODUCT((UCA.AGROOTROS.NAME=$A43)*(UCA.AGROOTROS.DATE=BZ$5)*(UCA.AGROOTROS.VAL))</f>
        <v>31</v>
      </c>
      <c r="CA43" s="532">
        <f t="shared" si="203"/>
        <v>485</v>
      </c>
      <c r="CB43" s="559" cm="1">
        <f t="array" ref="CB43">SUMPRODUCT((UCA.AGROOTROS.NAME=$A43)*(UCA.AGROOTROS.DATE=CB$5)*(UCA.AGROOTROS.VAL))</f>
        <v>24.49</v>
      </c>
      <c r="CC43" s="559" cm="1">
        <f t="array" ref="CC43">SUMPRODUCT((UCA.AGROOTROS.NAME=$A43)*(UCA.AGROOTROS.DATE=CC$5)*(UCA.AGROOTROS.VAL))</f>
        <v>23.83</v>
      </c>
      <c r="CD43" s="559" cm="1">
        <f t="array" ref="CD43">SUMPRODUCT((UCA.AGROOTROS.NAME=$A43)*(UCA.AGROOTROS.DATE=CD$5)*(UCA.AGROOTROS.VAL))</f>
        <v>6.25</v>
      </c>
      <c r="CE43" s="559" cm="1">
        <f t="array" ref="CE43">SUMPRODUCT((UCA.AGROOTROS.NAME=$A43)*(UCA.AGROOTROS.DATE=CE$5)*(UCA.AGROOTROS.VAL))</f>
        <v>0</v>
      </c>
      <c r="CF43" s="559" cm="1">
        <f t="array" ref="CF43">SUMPRODUCT((UCA.AGROOTROS.NAME=$A43)*(UCA.AGROOTROS.DATE=CF$5)*(UCA.AGROOTROS.VAL))</f>
        <v>0</v>
      </c>
      <c r="CG43" s="559" cm="1">
        <f t="array" ref="CG43">SUMPRODUCT((UCA.AGROOTROS.NAME=$A43)*(UCA.AGROOTROS.DATE=CG$5)*(UCA.AGROOTROS.VAL))</f>
        <v>50.488</v>
      </c>
      <c r="CH43" s="559" cm="1">
        <f t="array" ref="CH43">SUMPRODUCT((UCA.AGROOTROS.NAME=$A43)*(UCA.AGROOTROS.DATE=CH$5)*(UCA.AGROOTROS.VAL))</f>
        <v>50.45</v>
      </c>
      <c r="CI43" s="559" cm="1">
        <f t="array" ref="CI43">SUMPRODUCT((UCA.AGROOTROS.NAME=$A43)*(UCA.AGROOTROS.DATE=CI$5)*(UCA.AGROOTROS.VAL))</f>
        <v>240.75900000000007</v>
      </c>
      <c r="CJ43" s="559" cm="1">
        <f t="array" ref="CJ43">SUMPRODUCT((UCA.AGROOTROS.NAME=$A43)*(UCA.AGROOTROS.DATE=CJ$5)*(UCA.AGROOTROS.VAL))</f>
        <v>199.81</v>
      </c>
      <c r="CK43" s="559" cm="1">
        <f t="array" ref="CK43">SUMPRODUCT((UCA.AGROOTROS.NAME=$A43)*(UCA.AGROOTROS.DATE=CK$5)*(UCA.AGROOTROS.VAL))</f>
        <v>176.70000000000002</v>
      </c>
      <c r="CL43" s="559" cm="1">
        <f t="array" ref="CL43">SUMPRODUCT((UCA.AGROOTROS.NAME=$A43)*(UCA.AGROOTROS.DATE=CL$5)*(UCA.AGROOTROS.VAL))</f>
        <v>13.88</v>
      </c>
      <c r="CM43" s="559" cm="1">
        <f t="array" ref="CM43">SUMPRODUCT((UCA.AGROOTROS.NAME=$A43)*(UCA.AGROOTROS.DATE=CM$5)*(UCA.AGROOTROS.VAL))</f>
        <v>0</v>
      </c>
      <c r="CN43" s="532">
        <f t="shared" si="204"/>
        <v>786.65700000000004</v>
      </c>
      <c r="CO43" s="559" cm="1">
        <f t="array" ref="CO43">SUMPRODUCT((UCA.AGROOTROS.NAME=$A43)*(UCA.AGROOTROS.DATE=CO$5)*(UCA.AGROOTROS.VAL))</f>
        <v>19.920000000000002</v>
      </c>
      <c r="CP43" s="559" cm="1">
        <f t="array" ref="CP43">SUMPRODUCT((UCA.AGROOTROS.NAME=$A43)*(UCA.AGROOTROS.DATE=CP$5)*(UCA.AGROOTROS.VAL))</f>
        <v>73.760000000000005</v>
      </c>
      <c r="CQ43" s="559" cm="1">
        <f t="array" ref="CQ43">SUMPRODUCT((UCA.AGROOTROS.NAME=$A43)*(UCA.AGROOTROS.DATE=CQ$5)*(UCA.AGROOTROS.VAL))</f>
        <v>0</v>
      </c>
      <c r="CR43" s="559" cm="1">
        <f t="array" ref="CR43">SUMPRODUCT((UCA.AGROOTROS.NAME=$A43)*(UCA.AGROOTROS.DATE=CR$5)*(UCA.AGROOTROS.VAL))</f>
        <v>0</v>
      </c>
      <c r="CS43" s="559" cm="1">
        <f t="array" ref="CS43">SUMPRODUCT((UCA.AGROOTROS.NAME=$A43)*(UCA.AGROOTROS.DATE=CS$5)*(UCA.AGROOTROS.VAL))</f>
        <v>6.75</v>
      </c>
      <c r="CT43" s="559" cm="1">
        <f t="array" ref="CT43">SUMPRODUCT((UCA.AGROOTROS.NAME=$A43)*(UCA.AGROOTROS.DATE=CT$5)*(UCA.AGROOTROS.VAL))</f>
        <v>38.22</v>
      </c>
      <c r="CU43" s="559" cm="1">
        <f t="array" ref="CU43">SUMPRODUCT((UCA.AGROOTROS.NAME=$A43)*(UCA.AGROOTROS.DATE=CU$5)*(UCA.AGROOTROS.VAL))</f>
        <v>95.859999999999985</v>
      </c>
      <c r="CV43" s="559" cm="1">
        <f t="array" ref="CV43">SUMPRODUCT((UCA.AGROOTROS.NAME=$A43)*(UCA.AGROOTROS.DATE=CV$5)*(UCA.AGROOTROS.VAL))</f>
        <v>184.36</v>
      </c>
      <c r="CW43" s="559" cm="1">
        <f t="array" ref="CW43">SUMPRODUCT((UCA.AGROOTROS.NAME=$A43)*(UCA.AGROOTROS.DATE=CW$5)*(UCA.AGROOTROS.VAL))</f>
        <v>250.95000000000002</v>
      </c>
      <c r="CX43" s="559" cm="1">
        <f t="array" ref="CX43">SUMPRODUCT((UCA.AGROOTROS.NAME=$A43)*(UCA.AGROOTROS.DATE=CX$5)*(UCA.AGROOTROS.VAL))</f>
        <v>230.17000000000002</v>
      </c>
      <c r="CY43" s="559" cm="1">
        <f t="array" ref="CY43">SUMPRODUCT((UCA.AGROOTROS.NAME=$A43)*(UCA.AGROOTROS.DATE=CY$5)*(UCA.AGROOTROS.VAL))</f>
        <v>60.95</v>
      </c>
      <c r="CZ43" s="559" cm="1">
        <f t="array" ref="CZ43">SUMPRODUCT((UCA.AGROOTROS.NAME=$A43)*(UCA.AGROOTROS.DATE=CZ$5)*(UCA.AGROOTROS.VAL))</f>
        <v>151.81</v>
      </c>
      <c r="DA43" s="532">
        <f t="shared" si="205"/>
        <v>1112.75</v>
      </c>
      <c r="DB43" s="559" cm="1">
        <f t="array" ref="DB43">SUMPRODUCT((UCA.AGROOTROS.NAME=$A43)*(UCA.AGROOTROS.DATE=DB$5)*(UCA.AGROOTROS.VAL))</f>
        <v>107.54</v>
      </c>
      <c r="DC43" s="559" cm="1">
        <f t="array" ref="DC43">SUMPRODUCT((UCA.AGROOTROS.NAME=$A43)*(UCA.AGROOTROS.DATE=DC$5)*(UCA.AGROOTROS.VAL))</f>
        <v>74.739000000000004</v>
      </c>
      <c r="DD43" s="559" cm="1">
        <f t="array" ref="DD43">SUMPRODUCT((UCA.AGROOTROS.NAME=$A43)*(UCA.AGROOTROS.DATE=DD$5)*(UCA.AGROOTROS.VAL))</f>
        <v>40.44</v>
      </c>
      <c r="DE43" s="559" cm="1">
        <f t="array" ref="DE43">SUMPRODUCT((UCA.AGROOTROS.NAME=$A43)*(UCA.AGROOTROS.DATE=DE$5)*(UCA.AGROOTROS.VAL))</f>
        <v>6.59</v>
      </c>
      <c r="DF43" s="559" cm="1">
        <f t="array" ref="DF43">SUMPRODUCT((UCA.AGROOTROS.NAME=$A43)*(UCA.AGROOTROS.DATE=DF$5)*(UCA.AGROOTROS.VAL))</f>
        <v>20.55</v>
      </c>
      <c r="DG43" s="559" cm="1">
        <f t="array" ref="DG43">SUMPRODUCT((UCA.AGROOTROS.NAME=$A43)*(UCA.AGROOTROS.DATE=DG$5)*(UCA.AGROOTROS.VAL))</f>
        <v>12.78</v>
      </c>
      <c r="DH43" s="559" cm="1">
        <f t="array" ref="DH43">SUMPRODUCT((UCA.AGROOTROS.NAME=$A43)*(UCA.AGROOTROS.DATE=DH$5)*(UCA.AGROOTROS.VAL))</f>
        <v>44.84</v>
      </c>
      <c r="DI43" s="559" cm="1">
        <f t="array" ref="DI43">SUMPRODUCT((UCA.AGROOTROS.NAME=$A43)*(UCA.AGROOTROS.DATE=DI$5)*(UCA.AGROOTROS.VAL))</f>
        <v>212.12</v>
      </c>
      <c r="DJ43" s="559" cm="1">
        <f t="array" ref="DJ43">SUMPRODUCT((UCA.AGROOTROS.NAME=$A43)*(UCA.AGROOTROS.DATE=DJ$5)*(UCA.AGROOTROS.VAL))</f>
        <v>358.80999999999989</v>
      </c>
      <c r="DK43" s="559" cm="1">
        <f t="array" ref="DK43">SUMPRODUCT((UCA.AGROOTROS.NAME=$A43)*(UCA.AGROOTROS.DATE=DK$5)*(UCA.AGROOTROS.VAL))</f>
        <v>188.15199999999999</v>
      </c>
      <c r="DL43" s="559" cm="1">
        <f t="array" ref="DL43">SUMPRODUCT((UCA.AGROOTROS.NAME=$A43)*(UCA.AGROOTROS.DATE=DL$5)*(UCA.AGROOTROS.VAL))</f>
        <v>86.844999999999999</v>
      </c>
      <c r="DM43" s="559" cm="1">
        <f t="array" ref="DM43">SUMPRODUCT((UCA.AGROOTROS.NAME=$A43)*(UCA.AGROOTROS.DATE=DM$5)*(UCA.AGROOTROS.VAL))</f>
        <v>154.05799999999999</v>
      </c>
      <c r="DN43" s="532">
        <f t="shared" si="206"/>
        <v>1307.4639999999999</v>
      </c>
      <c r="DO43" s="559" cm="1">
        <f t="array" ref="DO43">SUMPRODUCT((UCA.AGROOTROS.NAME=$A43)*(UCA.AGROOTROS.DATE=DO$5)*(UCA.AGROOTROS.VAL))</f>
        <v>177.59</v>
      </c>
      <c r="DP43" s="559" cm="1">
        <f t="array" ref="DP43">SUMPRODUCT((UCA.AGROOTROS.NAME=$A43)*(UCA.AGROOTROS.DATE=DP$5)*(UCA.AGROOTROS.VAL))</f>
        <v>0</v>
      </c>
      <c r="DQ43" s="559" cm="1">
        <f t="array" ref="DQ43">SUMPRODUCT((UCA.AGROOTROS.NAME=$A43)*(UCA.AGROOTROS.DATE=DQ$5)*(UCA.AGROOTROS.VAL))</f>
        <v>11.52</v>
      </c>
      <c r="DR43" s="559" cm="1">
        <f t="array" ref="DR43">SUMPRODUCT((UCA.AGROOTROS.NAME=$A43)*(UCA.AGROOTROS.DATE=DR$5)*(UCA.AGROOTROS.VAL))</f>
        <v>19.440000000000001</v>
      </c>
      <c r="DS43" s="559" cm="1">
        <f t="array" ref="DS43">SUMPRODUCT((UCA.AGROOTROS.NAME=$A43)*(UCA.AGROOTROS.DATE=DS$5)*(UCA.AGROOTROS.VAL))</f>
        <v>27.32</v>
      </c>
      <c r="DT43" s="559" cm="1">
        <f t="array" ref="DT43">SUMPRODUCT((UCA.AGROOTROS.NAME=$A43)*(UCA.AGROOTROS.DATE=DT$5)*(UCA.AGROOTROS.VAL))</f>
        <v>30.151</v>
      </c>
      <c r="DU43" s="559" cm="1">
        <f t="array" ref="DU43">SUMPRODUCT((UCA.AGROOTROS.NAME=$A43)*(UCA.AGROOTROS.DATE=DU$5)*(UCA.AGROOTROS.VAL))</f>
        <v>144.97</v>
      </c>
      <c r="DV43" s="559" cm="1">
        <f t="array" ref="DV43">SUMPRODUCT((UCA.AGROOTROS.NAME=$A43)*(UCA.AGROOTROS.DATE=DV$5)*(UCA.AGROOTROS.VAL))</f>
        <v>408.01899999999989</v>
      </c>
      <c r="DW43" s="559" cm="1">
        <f t="array" ref="DW43">SUMPRODUCT((UCA.AGROOTROS.NAME=$A43)*(UCA.AGROOTROS.DATE=DW$5)*(UCA.AGROOTROS.VAL))</f>
        <v>667.08699999999999</v>
      </c>
      <c r="DX43" s="559" cm="1">
        <f t="array" ref="DX43">SUMPRODUCT((UCA.AGROOTROS.NAME=$A43)*(UCA.AGROOTROS.DATE=DX$5)*(UCA.AGROOTROS.VAL))</f>
        <v>330.25</v>
      </c>
      <c r="DY43" s="559" cm="1">
        <f t="array" ref="DY43">SUMPRODUCT((UCA.AGROOTROS.NAME=$A43)*(UCA.AGROOTROS.DATE=DY$5)*(UCA.AGROOTROS.VAL))</f>
        <v>299.16800000000001</v>
      </c>
      <c r="DZ43" s="559" cm="1">
        <f t="array" ref="DZ43">SUMPRODUCT((UCA.AGROOTROS.NAME=$A43)*(UCA.AGROOTROS.DATE=DZ$5)*(UCA.AGROOTROS.VAL))</f>
        <v>195.41900000000001</v>
      </c>
      <c r="EA43" s="532">
        <f t="shared" si="207"/>
        <v>2310.9339999999997</v>
      </c>
      <c r="EB43" s="559" cm="1">
        <f t="array" ref="EB43">SUMPRODUCT((UCA.AGROOTROS.NAME=$A43)*(UCA.AGROOTROS.DATE=EB$5)*(UCA.AGROOTROS.VAL))</f>
        <v>170.91900000000001</v>
      </c>
      <c r="EC43" s="559" cm="1">
        <f t="array" ref="EC43">SUMPRODUCT((UCA.AGROOTROS.NAME=$A43)*(UCA.AGROOTROS.DATE=EC$5)*(UCA.AGROOTROS.VAL))</f>
        <v>5.38</v>
      </c>
      <c r="ED43" s="559" cm="1">
        <f t="array" ref="ED43">SUMPRODUCT((UCA.AGROOTROS.NAME=$A43)*(UCA.AGROOTROS.DATE=ED$5)*(UCA.AGROOTROS.VAL))</f>
        <v>0</v>
      </c>
      <c r="EE43" s="559" cm="1">
        <f t="array" ref="EE43">SUMPRODUCT((UCA.AGROOTROS.NAME=$A43)*(UCA.AGROOTROS.DATE=EE$5)*(UCA.AGROOTROS.VAL))</f>
        <v>0</v>
      </c>
      <c r="EF43" s="559" cm="1">
        <f t="array" ref="EF43">SUMPRODUCT((UCA.AGROOTROS.NAME=$A43)*(UCA.AGROOTROS.DATE=EF$5)*(UCA.AGROOTROS.VAL))</f>
        <v>32.81</v>
      </c>
      <c r="EG43" s="559" cm="1">
        <f t="array" ref="EG43">SUMPRODUCT((UCA.AGROOTROS.NAME=$A43)*(UCA.AGROOTROS.DATE=EG$5)*(UCA.AGROOTROS.VAL))</f>
        <v>34.47</v>
      </c>
      <c r="EH43" s="559" cm="1">
        <f t="array" ref="EH43">SUMPRODUCT((UCA.AGROOTROS.NAME=$A43)*(UCA.AGROOTROS.DATE=EH$5)*(UCA.AGROOTROS.VAL))</f>
        <v>46.005000000000003</v>
      </c>
      <c r="EI43" s="559" cm="1">
        <f t="array" ref="EI43">SUMPRODUCT((UCA.AGROOTROS.NAME=$A43)*(UCA.AGROOTROS.DATE=EI$5)*(UCA.AGROOTROS.VAL))</f>
        <v>340.91</v>
      </c>
      <c r="EJ43" s="559" cm="1">
        <f t="array" ref="EJ43">SUMPRODUCT((UCA.AGROOTROS.NAME=$A43)*(UCA.AGROOTROS.DATE=EJ$5)*(UCA.AGROOTROS.VAL))</f>
        <v>288.22899999999998</v>
      </c>
      <c r="EK43" s="559" cm="1">
        <f t="array" ref="EK43">SUMPRODUCT((UCA.AGROOTROS.NAME=$A43)*(UCA.AGROOTROS.DATE=EK$5)*(UCA.AGROOTROS.VAL))</f>
        <v>265.19</v>
      </c>
      <c r="EL43" s="559" cm="1">
        <f t="array" ref="EL43">SUMPRODUCT((UCA.AGROOTROS.NAME=$A43)*(UCA.AGROOTROS.DATE=EL$5)*(UCA.AGROOTROS.VAL))</f>
        <v>285.76900000000001</v>
      </c>
      <c r="EM43" s="559" cm="1">
        <f t="array" ref="EM43">SUMPRODUCT((UCA.AGROOTROS.NAME=$A43)*(UCA.AGROOTROS.DATE=EM$5)*(UCA.AGROOTROS.VAL))</f>
        <v>269.17</v>
      </c>
      <c r="EN43" s="532">
        <f t="shared" si="208"/>
        <v>1738.8520000000001</v>
      </c>
      <c r="EO43" s="559" cm="1">
        <f t="array" ref="EO43">SUMPRODUCT((UCA.AGROOTROS.NAME=$A43)*(UCA.AGROOTROS.DATE=EO$5)*(UCA.AGROOTROS.VAL))</f>
        <v>186.23</v>
      </c>
      <c r="EP43" s="559" cm="1">
        <f t="array" ref="EP43">SUMPRODUCT((UCA.AGROOTROS.NAME=$A43)*(UCA.AGROOTROS.DATE=EP$5)*(UCA.AGROOTROS.VAL))</f>
        <v>6.73</v>
      </c>
      <c r="EQ43" s="559" cm="1">
        <f t="array" ref="EQ43">SUMPRODUCT((UCA.AGROOTROS.NAME=$A43)*(UCA.AGROOTROS.DATE=EQ$5)*(UCA.AGROOTROS.VAL))</f>
        <v>0</v>
      </c>
      <c r="ER43" s="559" cm="1">
        <f t="array" ref="ER43">SUMPRODUCT((UCA.AGROOTROS.NAME=$A43)*(UCA.AGROOTROS.DATE=ER$5)*(UCA.AGROOTROS.VAL))</f>
        <v>0</v>
      </c>
      <c r="ES43" s="559" cm="1">
        <f t="array" ref="ES43">SUMPRODUCT((UCA.AGROOTROS.NAME=$A43)*(UCA.AGROOTROS.DATE=ES$5)*(UCA.AGROOTROS.VAL))</f>
        <v>0</v>
      </c>
      <c r="ET43" s="559" cm="1">
        <f t="array" ref="ET43">SUMPRODUCT((UCA.AGROOTROS.NAME=$A43)*(UCA.AGROOTROS.DATE=ET$5)*(UCA.AGROOTROS.VAL))</f>
        <v>0</v>
      </c>
      <c r="EU43" s="559" cm="1">
        <f t="array" ref="EU43">SUMPRODUCT((UCA.AGROOTROS.NAME=$A43)*(UCA.AGROOTROS.DATE=EU$5)*(UCA.AGROOTROS.VAL))</f>
        <v>0</v>
      </c>
      <c r="EV43" s="559" cm="1">
        <f t="array" ref="EV43">SUMPRODUCT((UCA.AGROOTROS.NAME=$A43)*(UCA.AGROOTROS.DATE=EV$5)*(UCA.AGROOTROS.VAL))</f>
        <v>0</v>
      </c>
      <c r="EW43" s="559" cm="1">
        <f t="array" ref="EW43">SUMPRODUCT((UCA.AGROOTROS.NAME=$A43)*(UCA.AGROOTROS.DATE=EW$5)*(UCA.AGROOTROS.VAL))</f>
        <v>0</v>
      </c>
      <c r="EX43" s="559" cm="1">
        <f t="array" ref="EX43">SUMPRODUCT((UCA.AGROOTROS.NAME=$A43)*(UCA.AGROOTROS.DATE=EX$5)*(UCA.AGROOTROS.VAL))</f>
        <v>0</v>
      </c>
      <c r="EY43" s="559" cm="1">
        <f t="array" ref="EY43">SUMPRODUCT((UCA.AGROOTROS.NAME=$A43)*(UCA.AGROOTROS.DATE=EY$5)*(UCA.AGROOTROS.VAL))</f>
        <v>0</v>
      </c>
      <c r="EZ43" s="559" cm="1">
        <f t="array" ref="EZ43">SUMPRODUCT((UCA.AGROOTROS.NAME=$A43)*(UCA.AGROOTROS.DATE=EZ$5)*(UCA.AGROOTROS.VAL))</f>
        <v>0</v>
      </c>
      <c r="FA43" s="532">
        <f t="shared" si="209"/>
        <v>192.95999999999998</v>
      </c>
      <c r="FC43" s="560">
        <f t="shared" si="193"/>
        <v>-4.4787544122366079</v>
      </c>
      <c r="FD43" s="561">
        <f t="shared" si="210"/>
        <v>-30.528405612817679</v>
      </c>
      <c r="FE43" s="562">
        <f t="shared" si="194"/>
        <v>2115.5149999999999</v>
      </c>
      <c r="FF43" s="563">
        <f t="shared" si="195"/>
        <v>1469.682</v>
      </c>
      <c r="FG43" s="564"/>
      <c r="FH43" s="498">
        <f t="shared" si="196"/>
        <v>20111.234</v>
      </c>
      <c r="FI43" s="499"/>
      <c r="FJ43" s="500" t="str">
        <f t="shared" si="197"/>
        <v>VER</v>
      </c>
    </row>
    <row r="44" spans="1:166" s="447" customFormat="1" ht="15" customHeight="1" x14ac:dyDescent="0.25">
      <c r="A44" s="721" t="s">
        <v>132</v>
      </c>
      <c r="B44" s="559" cm="1">
        <f t="array" ref="B44">SUMPRODUCT((UCA.AGROOTROS.NAME=$A44)*(UCA.AGROOTROS.DATE=B$5)*(UCA.AGROOTROS.VAL))</f>
        <v>0</v>
      </c>
      <c r="C44" s="559" cm="1">
        <f t="array" ref="C44">SUMPRODUCT((UCA.AGROOTROS.NAME=$A44)*(UCA.AGROOTROS.DATE=C$5)*(UCA.AGROOTROS.VAL))</f>
        <v>0</v>
      </c>
      <c r="D44" s="559" cm="1">
        <f t="array" ref="D44">SUMPRODUCT((UCA.AGROOTROS.NAME=$A44)*(UCA.AGROOTROS.DATE=D$5)*(UCA.AGROOTROS.VAL))</f>
        <v>0</v>
      </c>
      <c r="E44" s="559" cm="1">
        <f t="array" ref="E44">SUMPRODUCT((UCA.AGROOTROS.NAME=$A44)*(UCA.AGROOTROS.DATE=E$5)*(UCA.AGROOTROS.VAL))</f>
        <v>0</v>
      </c>
      <c r="F44" s="559" cm="1">
        <f t="array" ref="F44">SUMPRODUCT((UCA.AGROOTROS.NAME=$A44)*(UCA.AGROOTROS.DATE=F$5)*(UCA.AGROOTROS.VAL))</f>
        <v>0</v>
      </c>
      <c r="G44" s="559" cm="1">
        <f t="array" ref="G44">SUMPRODUCT((UCA.AGROOTROS.NAME=$A44)*(UCA.AGROOTROS.DATE=G$5)*(UCA.AGROOTROS.VAL))</f>
        <v>0</v>
      </c>
      <c r="H44" s="559" cm="1">
        <f t="array" ref="H44">SUMPRODUCT((UCA.AGROOTROS.NAME=$A44)*(UCA.AGROOTROS.DATE=H$5)*(UCA.AGROOTROS.VAL))</f>
        <v>0</v>
      </c>
      <c r="I44" s="559" cm="1">
        <f t="array" ref="I44">SUMPRODUCT((UCA.AGROOTROS.NAME=$A44)*(UCA.AGROOTROS.DATE=I$5)*(UCA.AGROOTROS.VAL))</f>
        <v>0</v>
      </c>
      <c r="J44" s="559" cm="1">
        <f t="array" ref="J44">SUMPRODUCT((UCA.AGROOTROS.NAME=$A44)*(UCA.AGROOTROS.DATE=J$5)*(UCA.AGROOTROS.VAL))</f>
        <v>0</v>
      </c>
      <c r="K44" s="559" cm="1">
        <f t="array" ref="K44">SUMPRODUCT((UCA.AGROOTROS.NAME=$A44)*(UCA.AGROOTROS.DATE=K$5)*(UCA.AGROOTROS.VAL))</f>
        <v>22</v>
      </c>
      <c r="L44" s="559" cm="1">
        <f t="array" ref="L44">SUMPRODUCT((UCA.AGROOTROS.NAME=$A44)*(UCA.AGROOTROS.DATE=L$5)*(UCA.AGROOTROS.VAL))</f>
        <v>14</v>
      </c>
      <c r="M44" s="559" cm="1">
        <f t="array" ref="M44">SUMPRODUCT((UCA.AGROOTROS.NAME=$A44)*(UCA.AGROOTROS.DATE=M$5)*(UCA.AGROOTROS.VAL))</f>
        <v>3</v>
      </c>
      <c r="N44" s="532">
        <f t="shared" si="198"/>
        <v>39</v>
      </c>
      <c r="O44" s="559" cm="1">
        <f t="array" ref="O44">SUMPRODUCT((UCA.AGROOTROS.NAME=$A44)*(UCA.AGROOTROS.DATE=O$5)*(UCA.AGROOTROS.VAL))</f>
        <v>0</v>
      </c>
      <c r="P44" s="559" cm="1">
        <f t="array" ref="P44">SUMPRODUCT((UCA.AGROOTROS.NAME=$A44)*(UCA.AGROOTROS.DATE=P$5)*(UCA.AGROOTROS.VAL))</f>
        <v>7</v>
      </c>
      <c r="Q44" s="559" cm="1">
        <f t="array" ref="Q44">SUMPRODUCT((UCA.AGROOTROS.NAME=$A44)*(UCA.AGROOTROS.DATE=Q$5)*(UCA.AGROOTROS.VAL))</f>
        <v>7</v>
      </c>
      <c r="R44" s="559" cm="1">
        <f t="array" ref="R44">SUMPRODUCT((UCA.AGROOTROS.NAME=$A44)*(UCA.AGROOTROS.DATE=R$5)*(UCA.AGROOTROS.VAL))</f>
        <v>0</v>
      </c>
      <c r="S44" s="559" cm="1">
        <f t="array" ref="S44">SUMPRODUCT((UCA.AGROOTROS.NAME=$A44)*(UCA.AGROOTROS.DATE=S$5)*(UCA.AGROOTROS.VAL))</f>
        <v>0</v>
      </c>
      <c r="T44" s="559" cm="1">
        <f t="array" ref="T44">SUMPRODUCT((UCA.AGROOTROS.NAME=$A44)*(UCA.AGROOTROS.DATE=T$5)*(UCA.AGROOTROS.VAL))</f>
        <v>0</v>
      </c>
      <c r="U44" s="559" cm="1">
        <f t="array" ref="U44">SUMPRODUCT((UCA.AGROOTROS.NAME=$A44)*(UCA.AGROOTROS.DATE=U$5)*(UCA.AGROOTROS.VAL))</f>
        <v>0</v>
      </c>
      <c r="V44" s="559" cm="1">
        <f t="array" ref="V44">SUMPRODUCT((UCA.AGROOTROS.NAME=$A44)*(UCA.AGROOTROS.DATE=V$5)*(UCA.AGROOTROS.VAL))</f>
        <v>0</v>
      </c>
      <c r="W44" s="559" cm="1">
        <f t="array" ref="W44">SUMPRODUCT((UCA.AGROOTROS.NAME=$A44)*(UCA.AGROOTROS.DATE=W$5)*(UCA.AGROOTROS.VAL))</f>
        <v>0</v>
      </c>
      <c r="X44" s="559" cm="1">
        <f t="array" ref="X44">SUMPRODUCT((UCA.AGROOTROS.NAME=$A44)*(UCA.AGROOTROS.DATE=X$5)*(UCA.AGROOTROS.VAL))</f>
        <v>3</v>
      </c>
      <c r="Y44" s="559" cm="1">
        <f t="array" ref="Y44">SUMPRODUCT((UCA.AGROOTROS.NAME=$A44)*(UCA.AGROOTROS.DATE=Y$5)*(UCA.AGROOTROS.VAL))</f>
        <v>3</v>
      </c>
      <c r="Z44" s="559" cm="1">
        <f t="array" ref="Z44">SUMPRODUCT((UCA.AGROOTROS.NAME=$A44)*(UCA.AGROOTROS.DATE=Z$5)*(UCA.AGROOTROS.VAL))</f>
        <v>0</v>
      </c>
      <c r="AA44" s="532">
        <f t="shared" si="199"/>
        <v>20</v>
      </c>
      <c r="AB44" s="559" cm="1">
        <f t="array" ref="AB44">SUMPRODUCT((UCA.AGROOTROS.NAME=$A44)*(UCA.AGROOTROS.DATE=AB$5)*(UCA.AGROOTROS.VAL))</f>
        <v>0</v>
      </c>
      <c r="AC44" s="559" cm="1">
        <f t="array" ref="AC44">SUMPRODUCT((UCA.AGROOTROS.NAME=$A44)*(UCA.AGROOTROS.DATE=AC$5)*(UCA.AGROOTROS.VAL))</f>
        <v>0</v>
      </c>
      <c r="AD44" s="559" cm="1">
        <f t="array" ref="AD44">SUMPRODUCT((UCA.AGROOTROS.NAME=$A44)*(UCA.AGROOTROS.DATE=AD$5)*(UCA.AGROOTROS.VAL))</f>
        <v>0</v>
      </c>
      <c r="AE44" s="559" cm="1">
        <f t="array" ref="AE44">SUMPRODUCT((UCA.AGROOTROS.NAME=$A44)*(UCA.AGROOTROS.DATE=AE$5)*(UCA.AGROOTROS.VAL))</f>
        <v>0</v>
      </c>
      <c r="AF44" s="559" cm="1">
        <f t="array" ref="AF44">SUMPRODUCT((UCA.AGROOTROS.NAME=$A44)*(UCA.AGROOTROS.DATE=AF$5)*(UCA.AGROOTROS.VAL))</f>
        <v>0</v>
      </c>
      <c r="AG44" s="559" cm="1">
        <f t="array" ref="AG44">SUMPRODUCT((UCA.AGROOTROS.NAME=$A44)*(UCA.AGROOTROS.DATE=AG$5)*(UCA.AGROOTROS.VAL))</f>
        <v>0</v>
      </c>
      <c r="AH44" s="559" cm="1">
        <f t="array" ref="AH44">SUMPRODUCT((UCA.AGROOTROS.NAME=$A44)*(UCA.AGROOTROS.DATE=AH$5)*(UCA.AGROOTROS.VAL))</f>
        <v>0</v>
      </c>
      <c r="AI44" s="559" cm="1">
        <f t="array" ref="AI44">SUMPRODUCT((UCA.AGROOTROS.NAME=$A44)*(UCA.AGROOTROS.DATE=AI$5)*(UCA.AGROOTROS.VAL))</f>
        <v>0</v>
      </c>
      <c r="AJ44" s="559" cm="1">
        <f t="array" ref="AJ44">SUMPRODUCT((UCA.AGROOTROS.NAME=$A44)*(UCA.AGROOTROS.DATE=AJ$5)*(UCA.AGROOTROS.VAL))</f>
        <v>36</v>
      </c>
      <c r="AK44" s="559" cm="1">
        <f t="array" ref="AK44">SUMPRODUCT((UCA.AGROOTROS.NAME=$A44)*(UCA.AGROOTROS.DATE=AK$5)*(UCA.AGROOTROS.VAL))</f>
        <v>377</v>
      </c>
      <c r="AL44" s="559" cm="1">
        <f t="array" ref="AL44">SUMPRODUCT((UCA.AGROOTROS.NAME=$A44)*(UCA.AGROOTROS.DATE=AL$5)*(UCA.AGROOTROS.VAL))</f>
        <v>0</v>
      </c>
      <c r="AM44" s="559" cm="1">
        <f t="array" ref="AM44">SUMPRODUCT((UCA.AGROOTROS.NAME=$A44)*(UCA.AGROOTROS.DATE=AM$5)*(UCA.AGROOTROS.VAL))</f>
        <v>0</v>
      </c>
      <c r="AN44" s="532">
        <f t="shared" si="200"/>
        <v>413</v>
      </c>
      <c r="AO44" s="559" cm="1">
        <f t="array" ref="AO44">SUMPRODUCT((UCA.AGROOTROS.NAME=$A44)*(UCA.AGROOTROS.DATE=AO$5)*(UCA.AGROOTROS.VAL))</f>
        <v>0</v>
      </c>
      <c r="AP44" s="559" cm="1">
        <f t="array" ref="AP44">SUMPRODUCT((UCA.AGROOTROS.NAME=$A44)*(UCA.AGROOTROS.DATE=AP$5)*(UCA.AGROOTROS.VAL))</f>
        <v>0</v>
      </c>
      <c r="AQ44" s="559" cm="1">
        <f t="array" ref="AQ44">SUMPRODUCT((UCA.AGROOTROS.NAME=$A44)*(UCA.AGROOTROS.DATE=AQ$5)*(UCA.AGROOTROS.VAL))</f>
        <v>0</v>
      </c>
      <c r="AR44" s="559" cm="1">
        <f t="array" ref="AR44">SUMPRODUCT((UCA.AGROOTROS.NAME=$A44)*(UCA.AGROOTROS.DATE=AR$5)*(UCA.AGROOTROS.VAL))</f>
        <v>0</v>
      </c>
      <c r="AS44" s="559" cm="1">
        <f t="array" ref="AS44">SUMPRODUCT((UCA.AGROOTROS.NAME=$A44)*(UCA.AGROOTROS.DATE=AS$5)*(UCA.AGROOTROS.VAL))</f>
        <v>0</v>
      </c>
      <c r="AT44" s="559" cm="1">
        <f t="array" ref="AT44">SUMPRODUCT((UCA.AGROOTROS.NAME=$A44)*(UCA.AGROOTROS.DATE=AT$5)*(UCA.AGROOTROS.VAL))</f>
        <v>0</v>
      </c>
      <c r="AU44" s="559" cm="1">
        <f t="array" ref="AU44">SUMPRODUCT((UCA.AGROOTROS.NAME=$A44)*(UCA.AGROOTROS.DATE=AU$5)*(UCA.AGROOTROS.VAL))</f>
        <v>0</v>
      </c>
      <c r="AV44" s="559" cm="1">
        <f t="array" ref="AV44">SUMPRODUCT((UCA.AGROOTROS.NAME=$A44)*(UCA.AGROOTROS.DATE=AV$5)*(UCA.AGROOTROS.VAL))</f>
        <v>10</v>
      </c>
      <c r="AW44" s="559" cm="1">
        <f t="array" ref="AW44">SUMPRODUCT((UCA.AGROOTROS.NAME=$A44)*(UCA.AGROOTROS.DATE=AW$5)*(UCA.AGROOTROS.VAL))</f>
        <v>15</v>
      </c>
      <c r="AX44" s="559" cm="1">
        <f t="array" ref="AX44">SUMPRODUCT((UCA.AGROOTROS.NAME=$A44)*(UCA.AGROOTROS.DATE=AX$5)*(UCA.AGROOTROS.VAL))</f>
        <v>19</v>
      </c>
      <c r="AY44" s="559" cm="1">
        <f t="array" ref="AY44">SUMPRODUCT((UCA.AGROOTROS.NAME=$A44)*(UCA.AGROOTROS.DATE=AY$5)*(UCA.AGROOTROS.VAL))</f>
        <v>0</v>
      </c>
      <c r="AZ44" s="559" cm="1">
        <f t="array" ref="AZ44">SUMPRODUCT((UCA.AGROOTROS.NAME=$A44)*(UCA.AGROOTROS.DATE=AZ$5)*(UCA.AGROOTROS.VAL))</f>
        <v>0</v>
      </c>
      <c r="BA44" s="532">
        <f t="shared" si="201"/>
        <v>44</v>
      </c>
      <c r="BB44" s="559" cm="1">
        <f t="array" ref="BB44">SUMPRODUCT((UCA.AGROOTROS.NAME=$A44)*(UCA.AGROOTROS.DATE=BB$5)*(UCA.AGROOTROS.VAL))</f>
        <v>0</v>
      </c>
      <c r="BC44" s="559" cm="1">
        <f t="array" ref="BC44">SUMPRODUCT((UCA.AGROOTROS.NAME=$A44)*(UCA.AGROOTROS.DATE=BC$5)*(UCA.AGROOTROS.VAL))</f>
        <v>0</v>
      </c>
      <c r="BD44" s="559" cm="1">
        <f t="array" ref="BD44">SUMPRODUCT((UCA.AGROOTROS.NAME=$A44)*(UCA.AGROOTROS.DATE=BD$5)*(UCA.AGROOTROS.VAL))</f>
        <v>0</v>
      </c>
      <c r="BE44" s="559" cm="1">
        <f t="array" ref="BE44">SUMPRODUCT((UCA.AGROOTROS.NAME=$A44)*(UCA.AGROOTROS.DATE=BE$5)*(UCA.AGROOTROS.VAL))</f>
        <v>0</v>
      </c>
      <c r="BF44" s="559" cm="1">
        <f t="array" ref="BF44">SUMPRODUCT((UCA.AGROOTROS.NAME=$A44)*(UCA.AGROOTROS.DATE=BF$5)*(UCA.AGROOTROS.VAL))</f>
        <v>0</v>
      </c>
      <c r="BG44" s="559" cm="1">
        <f t="array" ref="BG44">SUMPRODUCT((UCA.AGROOTROS.NAME=$A44)*(UCA.AGROOTROS.DATE=BG$5)*(UCA.AGROOTROS.VAL))</f>
        <v>0</v>
      </c>
      <c r="BH44" s="559" cm="1">
        <f t="array" ref="BH44">SUMPRODUCT((UCA.AGROOTROS.NAME=$A44)*(UCA.AGROOTROS.DATE=BH$5)*(UCA.AGROOTROS.VAL))</f>
        <v>0</v>
      </c>
      <c r="BI44" s="559" cm="1">
        <f t="array" ref="BI44">SUMPRODUCT((UCA.AGROOTROS.NAME=$A44)*(UCA.AGROOTROS.DATE=BI$5)*(UCA.AGROOTROS.VAL))</f>
        <v>3</v>
      </c>
      <c r="BJ44" s="559" cm="1">
        <f t="array" ref="BJ44">SUMPRODUCT((UCA.AGROOTROS.NAME=$A44)*(UCA.AGROOTROS.DATE=BJ$5)*(UCA.AGROOTROS.VAL))</f>
        <v>12</v>
      </c>
      <c r="BK44" s="559" cm="1">
        <f t="array" ref="BK44">SUMPRODUCT((UCA.AGROOTROS.NAME=$A44)*(UCA.AGROOTROS.DATE=BK$5)*(UCA.AGROOTROS.VAL))</f>
        <v>19</v>
      </c>
      <c r="BL44" s="559" cm="1">
        <f t="array" ref="BL44">SUMPRODUCT((UCA.AGROOTROS.NAME=$A44)*(UCA.AGROOTROS.DATE=BL$5)*(UCA.AGROOTROS.VAL))</f>
        <v>32</v>
      </c>
      <c r="BM44" s="559" cm="1">
        <f t="array" ref="BM44">SUMPRODUCT((UCA.AGROOTROS.NAME=$A44)*(UCA.AGROOTROS.DATE=BM$5)*(UCA.AGROOTROS.VAL))</f>
        <v>19</v>
      </c>
      <c r="BN44" s="532">
        <f t="shared" si="202"/>
        <v>85</v>
      </c>
      <c r="BO44" s="559" cm="1">
        <f t="array" ref="BO44">SUMPRODUCT((UCA.AGROOTROS.NAME=$A44)*(UCA.AGROOTROS.DATE=BO$5)*(UCA.AGROOTROS.VAL))</f>
        <v>12</v>
      </c>
      <c r="BP44" s="559" cm="1">
        <f t="array" ref="BP44">SUMPRODUCT((UCA.AGROOTROS.NAME=$A44)*(UCA.AGROOTROS.DATE=BP$5)*(UCA.AGROOTROS.VAL))</f>
        <v>0</v>
      </c>
      <c r="BQ44" s="559" cm="1">
        <f t="array" ref="BQ44">SUMPRODUCT((UCA.AGROOTROS.NAME=$A44)*(UCA.AGROOTROS.DATE=BQ$5)*(UCA.AGROOTROS.VAL))</f>
        <v>3</v>
      </c>
      <c r="BR44" s="559" cm="1">
        <f t="array" ref="BR44">SUMPRODUCT((UCA.AGROOTROS.NAME=$A44)*(UCA.AGROOTROS.DATE=BR$5)*(UCA.AGROOTROS.VAL))</f>
        <v>0</v>
      </c>
      <c r="BS44" s="559" cm="1">
        <f t="array" ref="BS44">SUMPRODUCT((UCA.AGROOTROS.NAME=$A44)*(UCA.AGROOTROS.DATE=BS$5)*(UCA.AGROOTROS.VAL))</f>
        <v>2.98</v>
      </c>
      <c r="BT44" s="559" cm="1">
        <f t="array" ref="BT44">SUMPRODUCT((UCA.AGROOTROS.NAME=$A44)*(UCA.AGROOTROS.DATE=BT$5)*(UCA.AGROOTROS.VAL))</f>
        <v>0</v>
      </c>
      <c r="BU44" s="559" cm="1">
        <f t="array" ref="BU44">SUMPRODUCT((UCA.AGROOTROS.NAME=$A44)*(UCA.AGROOTROS.DATE=BU$5)*(UCA.AGROOTROS.VAL))</f>
        <v>0</v>
      </c>
      <c r="BV44" s="559" cm="1">
        <f t="array" ref="BV44">SUMPRODUCT((UCA.AGROOTROS.NAME=$A44)*(UCA.AGROOTROS.DATE=BV$5)*(UCA.AGROOTROS.VAL))</f>
        <v>5</v>
      </c>
      <c r="BW44" s="559" cm="1">
        <f t="array" ref="BW44">SUMPRODUCT((UCA.AGROOTROS.NAME=$A44)*(UCA.AGROOTROS.DATE=BW$5)*(UCA.AGROOTROS.VAL))</f>
        <v>25</v>
      </c>
      <c r="BX44" s="559" cm="1">
        <f t="array" ref="BX44">SUMPRODUCT((UCA.AGROOTROS.NAME=$A44)*(UCA.AGROOTROS.DATE=BX$5)*(UCA.AGROOTROS.VAL))</f>
        <v>14</v>
      </c>
      <c r="BY44" s="559" cm="1">
        <f t="array" ref="BY44">SUMPRODUCT((UCA.AGROOTROS.NAME=$A44)*(UCA.AGROOTROS.DATE=BY$5)*(UCA.AGROOTROS.VAL))</f>
        <v>0</v>
      </c>
      <c r="BZ44" s="559" cm="1">
        <f t="array" ref="BZ44">SUMPRODUCT((UCA.AGROOTROS.NAME=$A44)*(UCA.AGROOTROS.DATE=BZ$5)*(UCA.AGROOTROS.VAL))</f>
        <v>0</v>
      </c>
      <c r="CA44" s="532">
        <f t="shared" si="203"/>
        <v>61.980000000000004</v>
      </c>
      <c r="CB44" s="559" cm="1">
        <f t="array" ref="CB44">SUMPRODUCT((UCA.AGROOTROS.NAME=$A44)*(UCA.AGROOTROS.DATE=CB$5)*(UCA.AGROOTROS.VAL))</f>
        <v>9.81</v>
      </c>
      <c r="CC44" s="559" cm="1">
        <f t="array" ref="CC44">SUMPRODUCT((UCA.AGROOTROS.NAME=$A44)*(UCA.AGROOTROS.DATE=CC$5)*(UCA.AGROOTROS.VAL))</f>
        <v>1.57</v>
      </c>
      <c r="CD44" s="559" cm="1">
        <f t="array" ref="CD44">SUMPRODUCT((UCA.AGROOTROS.NAME=$A44)*(UCA.AGROOTROS.DATE=CD$5)*(UCA.AGROOTROS.VAL))</f>
        <v>9.27</v>
      </c>
      <c r="CE44" s="559" cm="1">
        <f t="array" ref="CE44">SUMPRODUCT((UCA.AGROOTROS.NAME=$A44)*(UCA.AGROOTROS.DATE=CE$5)*(UCA.AGROOTROS.VAL))</f>
        <v>9.0990000000000002</v>
      </c>
      <c r="CF44" s="559" cm="1">
        <f t="array" ref="CF44">SUMPRODUCT((UCA.AGROOTROS.NAME=$A44)*(UCA.AGROOTROS.DATE=CF$5)*(UCA.AGROOTROS.VAL))</f>
        <v>9.3889999999999993</v>
      </c>
      <c r="CG44" s="559" cm="1">
        <f t="array" ref="CG44">SUMPRODUCT((UCA.AGROOTROS.NAME=$A44)*(UCA.AGROOTROS.DATE=CG$5)*(UCA.AGROOTROS.VAL))</f>
        <v>1.52</v>
      </c>
      <c r="CH44" s="559" cm="1">
        <f t="array" ref="CH44">SUMPRODUCT((UCA.AGROOTROS.NAME=$A44)*(UCA.AGROOTROS.DATE=CH$5)*(UCA.AGROOTROS.VAL))</f>
        <v>13.529000000000002</v>
      </c>
      <c r="CI44" s="559" cm="1">
        <f t="array" ref="CI44">SUMPRODUCT((UCA.AGROOTROS.NAME=$A44)*(UCA.AGROOTROS.DATE=CI$5)*(UCA.AGROOTROS.VAL))</f>
        <v>54.78</v>
      </c>
      <c r="CJ44" s="559" cm="1">
        <f t="array" ref="CJ44">SUMPRODUCT((UCA.AGROOTROS.NAME=$A44)*(UCA.AGROOTROS.DATE=CJ$5)*(UCA.AGROOTROS.VAL))</f>
        <v>70.460000000000008</v>
      </c>
      <c r="CK44" s="559" cm="1">
        <f t="array" ref="CK44">SUMPRODUCT((UCA.AGROOTROS.NAME=$A44)*(UCA.AGROOTROS.DATE=CK$5)*(UCA.AGROOTROS.VAL))</f>
        <v>19.259999999999998</v>
      </c>
      <c r="CL44" s="559" cm="1">
        <f t="array" ref="CL44">SUMPRODUCT((UCA.AGROOTROS.NAME=$A44)*(UCA.AGROOTROS.DATE=CL$5)*(UCA.AGROOTROS.VAL))</f>
        <v>4.96</v>
      </c>
      <c r="CM44" s="559" cm="1">
        <f t="array" ref="CM44">SUMPRODUCT((UCA.AGROOTROS.NAME=$A44)*(UCA.AGROOTROS.DATE=CM$5)*(UCA.AGROOTROS.VAL))</f>
        <v>13.1</v>
      </c>
      <c r="CN44" s="532">
        <f t="shared" si="204"/>
        <v>216.74700000000001</v>
      </c>
      <c r="CO44" s="559" cm="1">
        <f t="array" ref="CO44">SUMPRODUCT((UCA.AGROOTROS.NAME=$A44)*(UCA.AGROOTROS.DATE=CO$5)*(UCA.AGROOTROS.VAL))</f>
        <v>15.69</v>
      </c>
      <c r="CP44" s="559" cm="1">
        <f t="array" ref="CP44">SUMPRODUCT((UCA.AGROOTROS.NAME=$A44)*(UCA.AGROOTROS.DATE=CP$5)*(UCA.AGROOTROS.VAL))</f>
        <v>0</v>
      </c>
      <c r="CQ44" s="559" cm="1">
        <f t="array" ref="CQ44">SUMPRODUCT((UCA.AGROOTROS.NAME=$A44)*(UCA.AGROOTROS.DATE=CQ$5)*(UCA.AGROOTROS.VAL))</f>
        <v>12.019</v>
      </c>
      <c r="CR44" s="559" cm="1">
        <f t="array" ref="CR44">SUMPRODUCT((UCA.AGROOTROS.NAME=$A44)*(UCA.AGROOTROS.DATE=CR$5)*(UCA.AGROOTROS.VAL))</f>
        <v>0</v>
      </c>
      <c r="CS44" s="559" cm="1">
        <f t="array" ref="CS44">SUMPRODUCT((UCA.AGROOTROS.NAME=$A44)*(UCA.AGROOTROS.DATE=CS$5)*(UCA.AGROOTROS.VAL))</f>
        <v>0</v>
      </c>
      <c r="CT44" s="559" cm="1">
        <f t="array" ref="CT44">SUMPRODUCT((UCA.AGROOTROS.NAME=$A44)*(UCA.AGROOTROS.DATE=CT$5)*(UCA.AGROOTROS.VAL))</f>
        <v>0</v>
      </c>
      <c r="CU44" s="559" cm="1">
        <f t="array" ref="CU44">SUMPRODUCT((UCA.AGROOTROS.NAME=$A44)*(UCA.AGROOTROS.DATE=CU$5)*(UCA.AGROOTROS.VAL))</f>
        <v>0</v>
      </c>
      <c r="CV44" s="559" cm="1">
        <f t="array" ref="CV44">SUMPRODUCT((UCA.AGROOTROS.NAME=$A44)*(UCA.AGROOTROS.DATE=CV$5)*(UCA.AGROOTROS.VAL))</f>
        <v>4.8600000000000003</v>
      </c>
      <c r="CW44" s="559" cm="1">
        <f t="array" ref="CW44">SUMPRODUCT((UCA.AGROOTROS.NAME=$A44)*(UCA.AGROOTROS.DATE=CW$5)*(UCA.AGROOTROS.VAL))</f>
        <v>17.700000000000003</v>
      </c>
      <c r="CX44" s="559" cm="1">
        <f t="array" ref="CX44">SUMPRODUCT((UCA.AGROOTROS.NAME=$A44)*(UCA.AGROOTROS.DATE=CX$5)*(UCA.AGROOTROS.VAL))</f>
        <v>33.54</v>
      </c>
      <c r="CY44" s="559" cm="1">
        <f t="array" ref="CY44">SUMPRODUCT((UCA.AGROOTROS.NAME=$A44)*(UCA.AGROOTROS.DATE=CY$5)*(UCA.AGROOTROS.VAL))</f>
        <v>13.709</v>
      </c>
      <c r="CZ44" s="559" cm="1">
        <f t="array" ref="CZ44">SUMPRODUCT((UCA.AGROOTROS.NAME=$A44)*(UCA.AGROOTROS.DATE=CZ$5)*(UCA.AGROOTROS.VAL))</f>
        <v>32.47</v>
      </c>
      <c r="DA44" s="532">
        <f t="shared" si="205"/>
        <v>129.988</v>
      </c>
      <c r="DB44" s="559" cm="1">
        <f t="array" ref="DB44">SUMPRODUCT((UCA.AGROOTROS.NAME=$A44)*(UCA.AGROOTROS.DATE=DB$5)*(UCA.AGROOTROS.VAL))</f>
        <v>42.1</v>
      </c>
      <c r="DC44" s="559" cm="1">
        <f t="array" ref="DC44">SUMPRODUCT((UCA.AGROOTROS.NAME=$A44)*(UCA.AGROOTROS.DATE=DC$5)*(UCA.AGROOTROS.VAL))</f>
        <v>19.329999999999998</v>
      </c>
      <c r="DD44" s="559" cm="1">
        <f t="array" ref="DD44">SUMPRODUCT((UCA.AGROOTROS.NAME=$A44)*(UCA.AGROOTROS.DATE=DD$5)*(UCA.AGROOTROS.VAL))</f>
        <v>792.54</v>
      </c>
      <c r="DE44" s="559" cm="1">
        <f t="array" ref="DE44">SUMPRODUCT((UCA.AGROOTROS.NAME=$A44)*(UCA.AGROOTROS.DATE=DE$5)*(UCA.AGROOTROS.VAL))</f>
        <v>0</v>
      </c>
      <c r="DF44" s="559" cm="1">
        <f t="array" ref="DF44">SUMPRODUCT((UCA.AGROOTROS.NAME=$A44)*(UCA.AGROOTROS.DATE=DF$5)*(UCA.AGROOTROS.VAL))</f>
        <v>0</v>
      </c>
      <c r="DG44" s="559" cm="1">
        <f t="array" ref="DG44">SUMPRODUCT((UCA.AGROOTROS.NAME=$A44)*(UCA.AGROOTROS.DATE=DG$5)*(UCA.AGROOTROS.VAL))</f>
        <v>0</v>
      </c>
      <c r="DH44" s="559" cm="1">
        <f t="array" ref="DH44">SUMPRODUCT((UCA.AGROOTROS.NAME=$A44)*(UCA.AGROOTROS.DATE=DH$5)*(UCA.AGROOTROS.VAL))</f>
        <v>0</v>
      </c>
      <c r="DI44" s="559" cm="1">
        <f t="array" ref="DI44">SUMPRODUCT((UCA.AGROOTROS.NAME=$A44)*(UCA.AGROOTROS.DATE=DI$5)*(UCA.AGROOTROS.VAL))</f>
        <v>34.36</v>
      </c>
      <c r="DJ44" s="559" cm="1">
        <f t="array" ref="DJ44">SUMPRODUCT((UCA.AGROOTROS.NAME=$A44)*(UCA.AGROOTROS.DATE=DJ$5)*(UCA.AGROOTROS.VAL))</f>
        <v>119.55</v>
      </c>
      <c r="DK44" s="559" cm="1">
        <f t="array" ref="DK44">SUMPRODUCT((UCA.AGROOTROS.NAME=$A44)*(UCA.AGROOTROS.DATE=DK$5)*(UCA.AGROOTROS.VAL))</f>
        <v>123.53</v>
      </c>
      <c r="DL44" s="559" cm="1">
        <f t="array" ref="DL44">SUMPRODUCT((UCA.AGROOTROS.NAME=$A44)*(UCA.AGROOTROS.DATE=DL$5)*(UCA.AGROOTROS.VAL))</f>
        <v>107.74</v>
      </c>
      <c r="DM44" s="559" cm="1">
        <f t="array" ref="DM44">SUMPRODUCT((UCA.AGROOTROS.NAME=$A44)*(UCA.AGROOTROS.DATE=DM$5)*(UCA.AGROOTROS.VAL))</f>
        <v>0</v>
      </c>
      <c r="DN44" s="532">
        <f t="shared" si="206"/>
        <v>1239.1499999999999</v>
      </c>
      <c r="DO44" s="559" cm="1">
        <f t="array" ref="DO44">SUMPRODUCT((UCA.AGROOTROS.NAME=$A44)*(UCA.AGROOTROS.DATE=DO$5)*(UCA.AGROOTROS.VAL))</f>
        <v>0</v>
      </c>
      <c r="DP44" s="559" cm="1">
        <f t="array" ref="DP44">SUMPRODUCT((UCA.AGROOTROS.NAME=$A44)*(UCA.AGROOTROS.DATE=DP$5)*(UCA.AGROOTROS.VAL))</f>
        <v>0</v>
      </c>
      <c r="DQ44" s="559" cm="1">
        <f t="array" ref="DQ44">SUMPRODUCT((UCA.AGROOTROS.NAME=$A44)*(UCA.AGROOTROS.DATE=DQ$5)*(UCA.AGROOTROS.VAL))</f>
        <v>0</v>
      </c>
      <c r="DR44" s="559" cm="1">
        <f t="array" ref="DR44">SUMPRODUCT((UCA.AGROOTROS.NAME=$A44)*(UCA.AGROOTROS.DATE=DR$5)*(UCA.AGROOTROS.VAL))</f>
        <v>0</v>
      </c>
      <c r="DS44" s="559" cm="1">
        <f t="array" ref="DS44">SUMPRODUCT((UCA.AGROOTROS.NAME=$A44)*(UCA.AGROOTROS.DATE=DS$5)*(UCA.AGROOTROS.VAL))</f>
        <v>0</v>
      </c>
      <c r="DT44" s="559" cm="1">
        <f t="array" ref="DT44">SUMPRODUCT((UCA.AGROOTROS.NAME=$A44)*(UCA.AGROOTROS.DATE=DT$5)*(UCA.AGROOTROS.VAL))</f>
        <v>0</v>
      </c>
      <c r="DU44" s="559" cm="1">
        <f t="array" ref="DU44">SUMPRODUCT((UCA.AGROOTROS.NAME=$A44)*(UCA.AGROOTROS.DATE=DU$5)*(UCA.AGROOTROS.VAL))</f>
        <v>0</v>
      </c>
      <c r="DV44" s="559" cm="1">
        <f t="array" ref="DV44">SUMPRODUCT((UCA.AGROOTROS.NAME=$A44)*(UCA.AGROOTROS.DATE=DV$5)*(UCA.AGROOTROS.VAL))</f>
        <v>114.42</v>
      </c>
      <c r="DW44" s="559" cm="1">
        <f t="array" ref="DW44">SUMPRODUCT((UCA.AGROOTROS.NAME=$A44)*(UCA.AGROOTROS.DATE=DW$5)*(UCA.AGROOTROS.VAL))</f>
        <v>132.51</v>
      </c>
      <c r="DX44" s="559" cm="1">
        <f t="array" ref="DX44">SUMPRODUCT((UCA.AGROOTROS.NAME=$A44)*(UCA.AGROOTROS.DATE=DX$5)*(UCA.AGROOTROS.VAL))</f>
        <v>99.44</v>
      </c>
      <c r="DY44" s="559" cm="1">
        <f t="array" ref="DY44">SUMPRODUCT((UCA.AGROOTROS.NAME=$A44)*(UCA.AGROOTROS.DATE=DY$5)*(UCA.AGROOTROS.VAL))</f>
        <v>61.268000000000008</v>
      </c>
      <c r="DZ44" s="559" cm="1">
        <f t="array" ref="DZ44">SUMPRODUCT((UCA.AGROOTROS.NAME=$A44)*(UCA.AGROOTROS.DATE=DZ$5)*(UCA.AGROOTROS.VAL))</f>
        <v>28.858000000000001</v>
      </c>
      <c r="EA44" s="532">
        <f t="shared" si="207"/>
        <v>436.49600000000004</v>
      </c>
      <c r="EB44" s="559" cm="1">
        <f t="array" ref="EB44">SUMPRODUCT((UCA.AGROOTROS.NAME=$A44)*(UCA.AGROOTROS.DATE=EB$5)*(UCA.AGROOTROS.VAL))</f>
        <v>28.169</v>
      </c>
      <c r="EC44" s="559" cm="1">
        <f t="array" ref="EC44">SUMPRODUCT((UCA.AGROOTROS.NAME=$A44)*(UCA.AGROOTROS.DATE=EC$5)*(UCA.AGROOTROS.VAL))</f>
        <v>3.14</v>
      </c>
      <c r="ED44" s="559" cm="1">
        <f t="array" ref="ED44">SUMPRODUCT((UCA.AGROOTROS.NAME=$A44)*(UCA.AGROOTROS.DATE=ED$5)*(UCA.AGROOTROS.VAL))</f>
        <v>0</v>
      </c>
      <c r="EE44" s="559" cm="1">
        <f t="array" ref="EE44">SUMPRODUCT((UCA.AGROOTROS.NAME=$A44)*(UCA.AGROOTROS.DATE=EE$5)*(UCA.AGROOTROS.VAL))</f>
        <v>0</v>
      </c>
      <c r="EF44" s="559" cm="1">
        <f t="array" ref="EF44">SUMPRODUCT((UCA.AGROOTROS.NAME=$A44)*(UCA.AGROOTROS.DATE=EF$5)*(UCA.AGROOTROS.VAL))</f>
        <v>0</v>
      </c>
      <c r="EG44" s="559" cm="1">
        <f t="array" ref="EG44">SUMPRODUCT((UCA.AGROOTROS.NAME=$A44)*(UCA.AGROOTROS.DATE=EG$5)*(UCA.AGROOTROS.VAL))</f>
        <v>0</v>
      </c>
      <c r="EH44" s="559" cm="1">
        <f t="array" ref="EH44">SUMPRODUCT((UCA.AGROOTROS.NAME=$A44)*(UCA.AGROOTROS.DATE=EH$5)*(UCA.AGROOTROS.VAL))</f>
        <v>0</v>
      </c>
      <c r="EI44" s="559" cm="1">
        <f t="array" ref="EI44">SUMPRODUCT((UCA.AGROOTROS.NAME=$A44)*(UCA.AGROOTROS.DATE=EI$5)*(UCA.AGROOTROS.VAL))</f>
        <v>0</v>
      </c>
      <c r="EJ44" s="559" cm="1">
        <f t="array" ref="EJ44">SUMPRODUCT((UCA.AGROOTROS.NAME=$A44)*(UCA.AGROOTROS.DATE=EJ$5)*(UCA.AGROOTROS.VAL))</f>
        <v>97.59</v>
      </c>
      <c r="EK44" s="559" cm="1">
        <f t="array" ref="EK44">SUMPRODUCT((UCA.AGROOTROS.NAME=$A44)*(UCA.AGROOTROS.DATE=EK$5)*(UCA.AGROOTROS.VAL))</f>
        <v>80.75</v>
      </c>
      <c r="EL44" s="559" cm="1">
        <f t="array" ref="EL44">SUMPRODUCT((UCA.AGROOTROS.NAME=$A44)*(UCA.AGROOTROS.DATE=EL$5)*(UCA.AGROOTROS.VAL))</f>
        <v>30.888999999999999</v>
      </c>
      <c r="EM44" s="559" cm="1">
        <f t="array" ref="EM44">SUMPRODUCT((UCA.AGROOTROS.NAME=$A44)*(UCA.AGROOTROS.DATE=EM$5)*(UCA.AGROOTROS.VAL))</f>
        <v>14.42</v>
      </c>
      <c r="EN44" s="532">
        <f t="shared" si="208"/>
        <v>254.958</v>
      </c>
      <c r="EO44" s="559" cm="1">
        <f t="array" ref="EO44">SUMPRODUCT((UCA.AGROOTROS.NAME=$A44)*(UCA.AGROOTROS.DATE=EO$5)*(UCA.AGROOTROS.VAL))</f>
        <v>23.18</v>
      </c>
      <c r="EP44" s="559" cm="1">
        <f t="array" ref="EP44">SUMPRODUCT((UCA.AGROOTROS.NAME=$A44)*(UCA.AGROOTROS.DATE=EP$5)*(UCA.AGROOTROS.VAL))</f>
        <v>23.18</v>
      </c>
      <c r="EQ44" s="559" cm="1">
        <f t="array" ref="EQ44">SUMPRODUCT((UCA.AGROOTROS.NAME=$A44)*(UCA.AGROOTROS.DATE=EQ$5)*(UCA.AGROOTROS.VAL))</f>
        <v>0</v>
      </c>
      <c r="ER44" s="559" cm="1">
        <f t="array" ref="ER44">SUMPRODUCT((UCA.AGROOTROS.NAME=$A44)*(UCA.AGROOTROS.DATE=ER$5)*(UCA.AGROOTROS.VAL))</f>
        <v>0</v>
      </c>
      <c r="ES44" s="559" cm="1">
        <f t="array" ref="ES44">SUMPRODUCT((UCA.AGROOTROS.NAME=$A44)*(UCA.AGROOTROS.DATE=ES$5)*(UCA.AGROOTROS.VAL))</f>
        <v>0</v>
      </c>
      <c r="ET44" s="559" cm="1">
        <f t="array" ref="ET44">SUMPRODUCT((UCA.AGROOTROS.NAME=$A44)*(UCA.AGROOTROS.DATE=ET$5)*(UCA.AGROOTROS.VAL))</f>
        <v>0</v>
      </c>
      <c r="EU44" s="559" cm="1">
        <f t="array" ref="EU44">SUMPRODUCT((UCA.AGROOTROS.NAME=$A44)*(UCA.AGROOTROS.DATE=EU$5)*(UCA.AGROOTROS.VAL))</f>
        <v>0</v>
      </c>
      <c r="EV44" s="559" cm="1">
        <f t="array" ref="EV44">SUMPRODUCT((UCA.AGROOTROS.NAME=$A44)*(UCA.AGROOTROS.DATE=EV$5)*(UCA.AGROOTROS.VAL))</f>
        <v>0</v>
      </c>
      <c r="EW44" s="559" cm="1">
        <f t="array" ref="EW44">SUMPRODUCT((UCA.AGROOTROS.NAME=$A44)*(UCA.AGROOTROS.DATE=EW$5)*(UCA.AGROOTROS.VAL))</f>
        <v>0</v>
      </c>
      <c r="EX44" s="559" cm="1">
        <f t="array" ref="EX44">SUMPRODUCT((UCA.AGROOTROS.NAME=$A44)*(UCA.AGROOTROS.DATE=EX$5)*(UCA.AGROOTROS.VAL))</f>
        <v>0</v>
      </c>
      <c r="EY44" s="559" cm="1">
        <f t="array" ref="EY44">SUMPRODUCT((UCA.AGROOTROS.NAME=$A44)*(UCA.AGROOTROS.DATE=EY$5)*(UCA.AGROOTROS.VAL))</f>
        <v>0</v>
      </c>
      <c r="EZ44" s="559" cm="1">
        <f t="array" ref="EZ44">SUMPRODUCT((UCA.AGROOTROS.NAME=$A44)*(UCA.AGROOTROS.DATE=EZ$5)*(UCA.AGROOTROS.VAL))</f>
        <v>0</v>
      </c>
      <c r="FA44" s="532">
        <f t="shared" si="209"/>
        <v>46.36</v>
      </c>
      <c r="FC44" s="560">
        <f t="shared" si="193"/>
        <v>-49.583795782463937</v>
      </c>
      <c r="FD44" s="561">
        <f t="shared" si="210"/>
        <v>-40.992252930296004</v>
      </c>
      <c r="FE44" s="562">
        <f t="shared" si="194"/>
        <v>407.63800000000003</v>
      </c>
      <c r="FF44" s="563">
        <f t="shared" si="195"/>
        <v>240.53800000000001</v>
      </c>
      <c r="FG44" s="564"/>
      <c r="FH44" s="498">
        <f t="shared" si="196"/>
        <v>5973.3580000000002</v>
      </c>
      <c r="FI44" s="499"/>
      <c r="FJ44" s="500" t="str">
        <f t="shared" si="197"/>
        <v>VER</v>
      </c>
    </row>
    <row r="45" spans="1:166" s="447" customFormat="1" ht="15" customHeight="1" x14ac:dyDescent="0.25">
      <c r="A45" s="721" t="s">
        <v>135</v>
      </c>
      <c r="B45" s="559" cm="1">
        <f t="array" ref="B45">SUMPRODUCT((UCA.AGROOTROS.NAME=$A45)*(UCA.AGROOTROS.DATE=B$5)*(UCA.AGROOTROS.VAL))</f>
        <v>577</v>
      </c>
      <c r="C45" s="559" cm="1">
        <f t="array" ref="C45">SUMPRODUCT((UCA.AGROOTROS.NAME=$A45)*(UCA.AGROOTROS.DATE=C$5)*(UCA.AGROOTROS.VAL))</f>
        <v>645</v>
      </c>
      <c r="D45" s="559" cm="1">
        <f t="array" ref="D45">SUMPRODUCT((UCA.AGROOTROS.NAME=$A45)*(UCA.AGROOTROS.DATE=D$5)*(UCA.AGROOTROS.VAL))</f>
        <v>544</v>
      </c>
      <c r="E45" s="559" cm="1">
        <f t="array" ref="E45">SUMPRODUCT((UCA.AGROOTROS.NAME=$A45)*(UCA.AGROOTROS.DATE=E$5)*(UCA.AGROOTROS.VAL))</f>
        <v>324</v>
      </c>
      <c r="F45" s="559" cm="1">
        <f t="array" ref="F45">SUMPRODUCT((UCA.AGROOTROS.NAME=$A45)*(UCA.AGROOTROS.DATE=F$5)*(UCA.AGROOTROS.VAL))</f>
        <v>306</v>
      </c>
      <c r="G45" s="559" cm="1">
        <f t="array" ref="G45">SUMPRODUCT((UCA.AGROOTROS.NAME=$A45)*(UCA.AGROOTROS.DATE=G$5)*(UCA.AGROOTROS.VAL))</f>
        <v>203</v>
      </c>
      <c r="H45" s="559" cm="1">
        <f t="array" ref="H45">SUMPRODUCT((UCA.AGROOTROS.NAME=$A45)*(UCA.AGROOTROS.DATE=H$5)*(UCA.AGROOTROS.VAL))</f>
        <v>198</v>
      </c>
      <c r="I45" s="559" cm="1">
        <f t="array" ref="I45">SUMPRODUCT((UCA.AGROOTROS.NAME=$A45)*(UCA.AGROOTROS.DATE=I$5)*(UCA.AGROOTROS.VAL))</f>
        <v>150</v>
      </c>
      <c r="J45" s="559" cm="1">
        <f t="array" ref="J45">SUMPRODUCT((UCA.AGROOTROS.NAME=$A45)*(UCA.AGROOTROS.DATE=J$5)*(UCA.AGROOTROS.VAL))</f>
        <v>39</v>
      </c>
      <c r="K45" s="559" cm="1">
        <f t="array" ref="K45">SUMPRODUCT((UCA.AGROOTROS.NAME=$A45)*(UCA.AGROOTROS.DATE=K$5)*(UCA.AGROOTROS.VAL))</f>
        <v>56</v>
      </c>
      <c r="L45" s="559" cm="1">
        <f t="array" ref="L45">SUMPRODUCT((UCA.AGROOTROS.NAME=$A45)*(UCA.AGROOTROS.DATE=L$5)*(UCA.AGROOTROS.VAL))</f>
        <v>154</v>
      </c>
      <c r="M45" s="559" cm="1">
        <f t="array" ref="M45">SUMPRODUCT((UCA.AGROOTROS.NAME=$A45)*(UCA.AGROOTROS.DATE=M$5)*(UCA.AGROOTROS.VAL))</f>
        <v>302</v>
      </c>
      <c r="N45" s="532">
        <f t="shared" si="198"/>
        <v>3498</v>
      </c>
      <c r="O45" s="559" cm="1">
        <f t="array" ref="O45">SUMPRODUCT((UCA.AGROOTROS.NAME=$A45)*(UCA.AGROOTROS.DATE=O$5)*(UCA.AGROOTROS.VAL))</f>
        <v>509</v>
      </c>
      <c r="P45" s="559" cm="1">
        <f t="array" ref="P45">SUMPRODUCT((UCA.AGROOTROS.NAME=$A45)*(UCA.AGROOTROS.DATE=P$5)*(UCA.AGROOTROS.VAL))</f>
        <v>641</v>
      </c>
      <c r="Q45" s="559" cm="1">
        <f t="array" ref="Q45">SUMPRODUCT((UCA.AGROOTROS.NAME=$A45)*(UCA.AGROOTROS.DATE=Q$5)*(UCA.AGROOTROS.VAL))</f>
        <v>633</v>
      </c>
      <c r="R45" s="559" cm="1">
        <f t="array" ref="R45">SUMPRODUCT((UCA.AGROOTROS.NAME=$A45)*(UCA.AGROOTROS.DATE=R$5)*(UCA.AGROOTROS.VAL))</f>
        <v>428</v>
      </c>
      <c r="S45" s="559" cm="1">
        <f t="array" ref="S45">SUMPRODUCT((UCA.AGROOTROS.NAME=$A45)*(UCA.AGROOTROS.DATE=S$5)*(UCA.AGROOTROS.VAL))</f>
        <v>341</v>
      </c>
      <c r="T45" s="559" cm="1">
        <f t="array" ref="T45">SUMPRODUCT((UCA.AGROOTROS.NAME=$A45)*(UCA.AGROOTROS.DATE=T$5)*(UCA.AGROOTROS.VAL))</f>
        <v>211</v>
      </c>
      <c r="U45" s="559" cm="1">
        <f t="array" ref="U45">SUMPRODUCT((UCA.AGROOTROS.NAME=$A45)*(UCA.AGROOTROS.DATE=U$5)*(UCA.AGROOTROS.VAL))</f>
        <v>176</v>
      </c>
      <c r="V45" s="559" cm="1">
        <f t="array" ref="V45">SUMPRODUCT((UCA.AGROOTROS.NAME=$A45)*(UCA.AGROOTROS.DATE=V$5)*(UCA.AGROOTROS.VAL))</f>
        <v>122</v>
      </c>
      <c r="W45" s="559" cm="1">
        <f t="array" ref="W45">SUMPRODUCT((UCA.AGROOTROS.NAME=$A45)*(UCA.AGROOTROS.DATE=W$5)*(UCA.AGROOTROS.VAL))</f>
        <v>35</v>
      </c>
      <c r="X45" s="559" cm="1">
        <f t="array" ref="X45">SUMPRODUCT((UCA.AGROOTROS.NAME=$A45)*(UCA.AGROOTROS.DATE=X$5)*(UCA.AGROOTROS.VAL))</f>
        <v>61</v>
      </c>
      <c r="Y45" s="559" cm="1">
        <f t="array" ref="Y45">SUMPRODUCT((UCA.AGROOTROS.NAME=$A45)*(UCA.AGROOTROS.DATE=Y$5)*(UCA.AGROOTROS.VAL))</f>
        <v>192</v>
      </c>
      <c r="Z45" s="559" cm="1">
        <f t="array" ref="Z45">SUMPRODUCT((UCA.AGROOTROS.NAME=$A45)*(UCA.AGROOTROS.DATE=Z$5)*(UCA.AGROOTROS.VAL))</f>
        <v>358</v>
      </c>
      <c r="AA45" s="532">
        <f t="shared" si="199"/>
        <v>3707</v>
      </c>
      <c r="AB45" s="559" cm="1">
        <f t="array" ref="AB45">SUMPRODUCT((UCA.AGROOTROS.NAME=$A45)*(UCA.AGROOTROS.DATE=AB$5)*(UCA.AGROOTROS.VAL))</f>
        <v>516</v>
      </c>
      <c r="AC45" s="559" cm="1">
        <f t="array" ref="AC45">SUMPRODUCT((UCA.AGROOTROS.NAME=$A45)*(UCA.AGROOTROS.DATE=AC$5)*(UCA.AGROOTROS.VAL))</f>
        <v>572</v>
      </c>
      <c r="AD45" s="559" cm="1">
        <f t="array" ref="AD45">SUMPRODUCT((UCA.AGROOTROS.NAME=$A45)*(UCA.AGROOTROS.DATE=AD$5)*(UCA.AGROOTROS.VAL))</f>
        <v>606</v>
      </c>
      <c r="AE45" s="559" cm="1">
        <f t="array" ref="AE45">SUMPRODUCT((UCA.AGROOTROS.NAME=$A45)*(UCA.AGROOTROS.DATE=AE$5)*(UCA.AGROOTROS.VAL))</f>
        <v>499</v>
      </c>
      <c r="AF45" s="559" cm="1">
        <f t="array" ref="AF45">SUMPRODUCT((UCA.AGROOTROS.NAME=$A45)*(UCA.AGROOTROS.DATE=AF$5)*(UCA.AGROOTROS.VAL))</f>
        <v>419</v>
      </c>
      <c r="AG45" s="559" cm="1">
        <f t="array" ref="AG45">SUMPRODUCT((UCA.AGROOTROS.NAME=$A45)*(UCA.AGROOTROS.DATE=AG$5)*(UCA.AGROOTROS.VAL))</f>
        <v>238</v>
      </c>
      <c r="AH45" s="559" cm="1">
        <f t="array" ref="AH45">SUMPRODUCT((UCA.AGROOTROS.NAME=$A45)*(UCA.AGROOTROS.DATE=AH$5)*(UCA.AGROOTROS.VAL))</f>
        <v>203</v>
      </c>
      <c r="AI45" s="559" cm="1">
        <f t="array" ref="AI45">SUMPRODUCT((UCA.AGROOTROS.NAME=$A45)*(UCA.AGROOTROS.DATE=AI$5)*(UCA.AGROOTROS.VAL))</f>
        <v>138</v>
      </c>
      <c r="AJ45" s="559" cm="1">
        <f t="array" ref="AJ45">SUMPRODUCT((UCA.AGROOTROS.NAME=$A45)*(UCA.AGROOTROS.DATE=AJ$5)*(UCA.AGROOTROS.VAL))</f>
        <v>45</v>
      </c>
      <c r="AK45" s="559" cm="1">
        <f t="array" ref="AK45">SUMPRODUCT((UCA.AGROOTROS.NAME=$A45)*(UCA.AGROOTROS.DATE=AK$5)*(UCA.AGROOTROS.VAL))</f>
        <v>59</v>
      </c>
      <c r="AL45" s="559" cm="1">
        <f t="array" ref="AL45">SUMPRODUCT((UCA.AGROOTROS.NAME=$A45)*(UCA.AGROOTROS.DATE=AL$5)*(UCA.AGROOTROS.VAL))</f>
        <v>257</v>
      </c>
      <c r="AM45" s="559" cm="1">
        <f t="array" ref="AM45">SUMPRODUCT((UCA.AGROOTROS.NAME=$A45)*(UCA.AGROOTROS.DATE=AM$5)*(UCA.AGROOTROS.VAL))</f>
        <v>419</v>
      </c>
      <c r="AN45" s="532">
        <f t="shared" si="200"/>
        <v>3971</v>
      </c>
      <c r="AO45" s="559" cm="1">
        <f t="array" ref="AO45">SUMPRODUCT((UCA.AGROOTROS.NAME=$A45)*(UCA.AGROOTROS.DATE=AO$5)*(UCA.AGROOTROS.VAL))</f>
        <v>473</v>
      </c>
      <c r="AP45" s="559" cm="1">
        <f t="array" ref="AP45">SUMPRODUCT((UCA.AGROOTROS.NAME=$A45)*(UCA.AGROOTROS.DATE=AP$5)*(UCA.AGROOTROS.VAL))</f>
        <v>619</v>
      </c>
      <c r="AQ45" s="559" cm="1">
        <f t="array" ref="AQ45">SUMPRODUCT((UCA.AGROOTROS.NAME=$A45)*(UCA.AGROOTROS.DATE=AQ$5)*(UCA.AGROOTROS.VAL))</f>
        <v>676</v>
      </c>
      <c r="AR45" s="559" cm="1">
        <f t="array" ref="AR45">SUMPRODUCT((UCA.AGROOTROS.NAME=$A45)*(UCA.AGROOTROS.DATE=AR$5)*(UCA.AGROOTROS.VAL))</f>
        <v>548</v>
      </c>
      <c r="AS45" s="559" cm="1">
        <f t="array" ref="AS45">SUMPRODUCT((UCA.AGROOTROS.NAME=$A45)*(UCA.AGROOTROS.DATE=AS$5)*(UCA.AGROOTROS.VAL))</f>
        <v>456</v>
      </c>
      <c r="AT45" s="559" cm="1">
        <f t="array" ref="AT45">SUMPRODUCT((UCA.AGROOTROS.NAME=$A45)*(UCA.AGROOTROS.DATE=AT$5)*(UCA.AGROOTROS.VAL))</f>
        <v>276</v>
      </c>
      <c r="AU45" s="559" cm="1">
        <f t="array" ref="AU45">SUMPRODUCT((UCA.AGROOTROS.NAME=$A45)*(UCA.AGROOTROS.DATE=AU$5)*(UCA.AGROOTROS.VAL))</f>
        <v>219</v>
      </c>
      <c r="AV45" s="559" cm="1">
        <f t="array" ref="AV45">SUMPRODUCT((UCA.AGROOTROS.NAME=$A45)*(UCA.AGROOTROS.DATE=AV$5)*(UCA.AGROOTROS.VAL))</f>
        <v>114</v>
      </c>
      <c r="AW45" s="559" cm="1">
        <f t="array" ref="AW45">SUMPRODUCT((UCA.AGROOTROS.NAME=$A45)*(UCA.AGROOTROS.DATE=AW$5)*(UCA.AGROOTROS.VAL))</f>
        <v>36</v>
      </c>
      <c r="AX45" s="559" cm="1">
        <f t="array" ref="AX45">SUMPRODUCT((UCA.AGROOTROS.NAME=$A45)*(UCA.AGROOTROS.DATE=AX$5)*(UCA.AGROOTROS.VAL))</f>
        <v>43</v>
      </c>
      <c r="AY45" s="559" cm="1">
        <f t="array" ref="AY45">SUMPRODUCT((UCA.AGROOTROS.NAME=$A45)*(UCA.AGROOTROS.DATE=AY$5)*(UCA.AGROOTROS.VAL))</f>
        <v>171</v>
      </c>
      <c r="AZ45" s="559" cm="1">
        <f t="array" ref="AZ45">SUMPRODUCT((UCA.AGROOTROS.NAME=$A45)*(UCA.AGROOTROS.DATE=AZ$5)*(UCA.AGROOTROS.VAL))</f>
        <v>324</v>
      </c>
      <c r="BA45" s="532">
        <f t="shared" si="201"/>
        <v>3955</v>
      </c>
      <c r="BB45" s="559" cm="1">
        <f t="array" ref="BB45">SUMPRODUCT((UCA.AGROOTROS.NAME=$A45)*(UCA.AGROOTROS.DATE=BB$5)*(UCA.AGROOTROS.VAL))</f>
        <v>439</v>
      </c>
      <c r="BC45" s="559" cm="1">
        <f t="array" ref="BC45">SUMPRODUCT((UCA.AGROOTROS.NAME=$A45)*(UCA.AGROOTROS.DATE=BC$5)*(UCA.AGROOTROS.VAL))</f>
        <v>625</v>
      </c>
      <c r="BD45" s="559" cm="1">
        <f t="array" ref="BD45">SUMPRODUCT((UCA.AGROOTROS.NAME=$A45)*(UCA.AGROOTROS.DATE=BD$5)*(UCA.AGROOTROS.VAL))</f>
        <v>660</v>
      </c>
      <c r="BE45" s="559" cm="1">
        <f t="array" ref="BE45">SUMPRODUCT((UCA.AGROOTROS.NAME=$A45)*(UCA.AGROOTROS.DATE=BE$5)*(UCA.AGROOTROS.VAL))</f>
        <v>552</v>
      </c>
      <c r="BF45" s="559" cm="1">
        <f t="array" ref="BF45">SUMPRODUCT((UCA.AGROOTROS.NAME=$A45)*(UCA.AGROOTROS.DATE=BF$5)*(UCA.AGROOTROS.VAL))</f>
        <v>465</v>
      </c>
      <c r="BG45" s="559" cm="1">
        <f t="array" ref="BG45">SUMPRODUCT((UCA.AGROOTROS.NAME=$A45)*(UCA.AGROOTROS.DATE=BG$5)*(UCA.AGROOTROS.VAL))</f>
        <v>300</v>
      </c>
      <c r="BH45" s="559" cm="1">
        <f t="array" ref="BH45">SUMPRODUCT((UCA.AGROOTROS.NAME=$A45)*(UCA.AGROOTROS.DATE=BH$5)*(UCA.AGROOTROS.VAL))</f>
        <v>254</v>
      </c>
      <c r="BI45" s="559" cm="1">
        <f t="array" ref="BI45">SUMPRODUCT((UCA.AGROOTROS.NAME=$A45)*(UCA.AGROOTROS.DATE=BI$5)*(UCA.AGROOTROS.VAL))</f>
        <v>128</v>
      </c>
      <c r="BJ45" s="559" cm="1">
        <f t="array" ref="BJ45">SUMPRODUCT((UCA.AGROOTROS.NAME=$A45)*(UCA.AGROOTROS.DATE=BJ$5)*(UCA.AGROOTROS.VAL))</f>
        <v>0</v>
      </c>
      <c r="BK45" s="559" cm="1">
        <f t="array" ref="BK45">SUMPRODUCT((UCA.AGROOTROS.NAME=$A45)*(UCA.AGROOTROS.DATE=BK$5)*(UCA.AGROOTROS.VAL))</f>
        <v>46</v>
      </c>
      <c r="BL45" s="559" cm="1">
        <f t="array" ref="BL45">SUMPRODUCT((UCA.AGROOTROS.NAME=$A45)*(UCA.AGROOTROS.DATE=BL$5)*(UCA.AGROOTROS.VAL))</f>
        <v>132</v>
      </c>
      <c r="BM45" s="559" cm="1">
        <f t="array" ref="BM45">SUMPRODUCT((UCA.AGROOTROS.NAME=$A45)*(UCA.AGROOTROS.DATE=BM$5)*(UCA.AGROOTROS.VAL))</f>
        <v>312</v>
      </c>
      <c r="BN45" s="532">
        <f t="shared" si="202"/>
        <v>3913</v>
      </c>
      <c r="BO45" s="559" cm="1">
        <f t="array" ref="BO45">SUMPRODUCT((UCA.AGROOTROS.NAME=$A45)*(UCA.AGROOTROS.DATE=BO$5)*(UCA.AGROOTROS.VAL))</f>
        <v>450</v>
      </c>
      <c r="BP45" s="559" cm="1">
        <f t="array" ref="BP45">SUMPRODUCT((UCA.AGROOTROS.NAME=$A45)*(UCA.AGROOTROS.DATE=BP$5)*(UCA.AGROOTROS.VAL))</f>
        <v>669</v>
      </c>
      <c r="BQ45" s="559" cm="1">
        <f t="array" ref="BQ45">SUMPRODUCT((UCA.AGROOTROS.NAME=$A45)*(UCA.AGROOTROS.DATE=BQ$5)*(UCA.AGROOTROS.VAL))</f>
        <v>671</v>
      </c>
      <c r="BR45" s="559" cm="1">
        <f t="array" ref="BR45">SUMPRODUCT((UCA.AGROOTROS.NAME=$A45)*(UCA.AGROOTROS.DATE=BR$5)*(UCA.AGROOTROS.VAL))</f>
        <v>584</v>
      </c>
      <c r="BS45" s="559" cm="1">
        <f t="array" ref="BS45">SUMPRODUCT((UCA.AGROOTROS.NAME=$A45)*(UCA.AGROOTROS.DATE=BS$5)*(UCA.AGROOTROS.VAL))</f>
        <v>511</v>
      </c>
      <c r="BT45" s="559" cm="1">
        <f t="array" ref="BT45">SUMPRODUCT((UCA.AGROOTROS.NAME=$A45)*(UCA.AGROOTROS.DATE=BT$5)*(UCA.AGROOTROS.VAL))</f>
        <v>323</v>
      </c>
      <c r="BU45" s="559" cm="1">
        <f t="array" ref="BU45">SUMPRODUCT((UCA.AGROOTROS.NAME=$A45)*(UCA.AGROOTROS.DATE=BU$5)*(UCA.AGROOTROS.VAL))</f>
        <v>293</v>
      </c>
      <c r="BV45" s="559" cm="1">
        <f t="array" ref="BV45">SUMPRODUCT((UCA.AGROOTROS.NAME=$A45)*(UCA.AGROOTROS.DATE=BV$5)*(UCA.AGROOTROS.VAL))</f>
        <v>122</v>
      </c>
      <c r="BW45" s="559" cm="1">
        <f t="array" ref="BW45">SUMPRODUCT((UCA.AGROOTROS.NAME=$A45)*(UCA.AGROOTROS.DATE=BW$5)*(UCA.AGROOTROS.VAL))</f>
        <v>0</v>
      </c>
      <c r="BX45" s="559" cm="1">
        <f t="array" ref="BX45">SUMPRODUCT((UCA.AGROOTROS.NAME=$A45)*(UCA.AGROOTROS.DATE=BX$5)*(UCA.AGROOTROS.VAL))</f>
        <v>46</v>
      </c>
      <c r="BY45" s="559" cm="1">
        <f t="array" ref="BY45">SUMPRODUCT((UCA.AGROOTROS.NAME=$A45)*(UCA.AGROOTROS.DATE=BY$5)*(UCA.AGROOTROS.VAL))</f>
        <v>137</v>
      </c>
      <c r="BZ45" s="559" cm="1">
        <f t="array" ref="BZ45">SUMPRODUCT((UCA.AGROOTROS.NAME=$A45)*(UCA.AGROOTROS.DATE=BZ$5)*(UCA.AGROOTROS.VAL))</f>
        <v>380</v>
      </c>
      <c r="CA45" s="532">
        <f t="shared" si="203"/>
        <v>4186</v>
      </c>
      <c r="CB45" s="559" cm="1">
        <f t="array" ref="CB45">SUMPRODUCT((UCA.AGROOTROS.NAME=$A45)*(UCA.AGROOTROS.DATE=CB$5)*(UCA.AGROOTROS.VAL))</f>
        <v>477.39</v>
      </c>
      <c r="CC45" s="559" cm="1">
        <f t="array" ref="CC45">SUMPRODUCT((UCA.AGROOTROS.NAME=$A45)*(UCA.AGROOTROS.DATE=CC$5)*(UCA.AGROOTROS.VAL))</f>
        <v>693.94799999999998</v>
      </c>
      <c r="CD45" s="559" cm="1">
        <f t="array" ref="CD45">SUMPRODUCT((UCA.AGROOTROS.NAME=$A45)*(UCA.AGROOTROS.DATE=CD$5)*(UCA.AGROOTROS.VAL))</f>
        <v>720.04899999999998</v>
      </c>
      <c r="CE45" s="559" cm="1">
        <f t="array" ref="CE45">SUMPRODUCT((UCA.AGROOTROS.NAME=$A45)*(UCA.AGROOTROS.DATE=CE$5)*(UCA.AGROOTROS.VAL))</f>
        <v>703.16899999999998</v>
      </c>
      <c r="CF45" s="559" cm="1">
        <f t="array" ref="CF45">SUMPRODUCT((UCA.AGROOTROS.NAME=$A45)*(UCA.AGROOTROS.DATE=CF$5)*(UCA.AGROOTROS.VAL))</f>
        <v>607.42899999999997</v>
      </c>
      <c r="CG45" s="559" cm="1">
        <f t="array" ref="CG45">SUMPRODUCT((UCA.AGROOTROS.NAME=$A45)*(UCA.AGROOTROS.DATE=CG$5)*(UCA.AGROOTROS.VAL))</f>
        <v>371.56</v>
      </c>
      <c r="CH45" s="559" cm="1">
        <f t="array" ref="CH45">SUMPRODUCT((UCA.AGROOTROS.NAME=$A45)*(UCA.AGROOTROS.DATE=CH$5)*(UCA.AGROOTROS.VAL))</f>
        <v>348.87900000000002</v>
      </c>
      <c r="CI45" s="559" cm="1">
        <f t="array" ref="CI45">SUMPRODUCT((UCA.AGROOTROS.NAME=$A45)*(UCA.AGROOTROS.DATE=CI$5)*(UCA.AGROOTROS.VAL))</f>
        <v>167.19</v>
      </c>
      <c r="CJ45" s="559" cm="1">
        <f t="array" ref="CJ45">SUMPRODUCT((UCA.AGROOTROS.NAME=$A45)*(UCA.AGROOTROS.DATE=CJ$5)*(UCA.AGROOTROS.VAL))</f>
        <v>0</v>
      </c>
      <c r="CK45" s="559" cm="1">
        <f t="array" ref="CK45">SUMPRODUCT((UCA.AGROOTROS.NAME=$A45)*(UCA.AGROOTROS.DATE=CK$5)*(UCA.AGROOTROS.VAL))</f>
        <v>65.92</v>
      </c>
      <c r="CL45" s="559" cm="1">
        <f t="array" ref="CL45">SUMPRODUCT((UCA.AGROOTROS.NAME=$A45)*(UCA.AGROOTROS.DATE=CL$5)*(UCA.AGROOTROS.VAL))</f>
        <v>210.35</v>
      </c>
      <c r="CM45" s="559" cm="1">
        <f t="array" ref="CM45">SUMPRODUCT((UCA.AGROOTROS.NAME=$A45)*(UCA.AGROOTROS.DATE=CM$5)*(UCA.AGROOTROS.VAL))</f>
        <v>459.13</v>
      </c>
      <c r="CN45" s="532">
        <f t="shared" si="204"/>
        <v>4825.0140000000001</v>
      </c>
      <c r="CO45" s="559" cm="1">
        <f t="array" ref="CO45">SUMPRODUCT((UCA.AGROOTROS.NAME=$A45)*(UCA.AGROOTROS.DATE=CO$5)*(UCA.AGROOTROS.VAL))</f>
        <v>511.56</v>
      </c>
      <c r="CP45" s="559" cm="1">
        <f t="array" ref="CP45">SUMPRODUCT((UCA.AGROOTROS.NAME=$A45)*(UCA.AGROOTROS.DATE=CP$5)*(UCA.AGROOTROS.VAL))</f>
        <v>679.80899999999997</v>
      </c>
      <c r="CQ45" s="559" cm="1">
        <f t="array" ref="CQ45">SUMPRODUCT((UCA.AGROOTROS.NAME=$A45)*(UCA.AGROOTROS.DATE=CQ$5)*(UCA.AGROOTROS.VAL))</f>
        <v>659.649</v>
      </c>
      <c r="CR45" s="559" cm="1">
        <f t="array" ref="CR45">SUMPRODUCT((UCA.AGROOTROS.NAME=$A45)*(UCA.AGROOTROS.DATE=CR$5)*(UCA.AGROOTROS.VAL))</f>
        <v>600.69000000000005</v>
      </c>
      <c r="CS45" s="559" cm="1">
        <f t="array" ref="CS45">SUMPRODUCT((UCA.AGROOTROS.NAME=$A45)*(UCA.AGROOTROS.DATE=CS$5)*(UCA.AGROOTROS.VAL))</f>
        <v>545.64800000000002</v>
      </c>
      <c r="CT45" s="559" cm="1">
        <f t="array" ref="CT45">SUMPRODUCT((UCA.AGROOTROS.NAME=$A45)*(UCA.AGROOTROS.DATE=CT$5)*(UCA.AGROOTROS.VAL))</f>
        <v>356.75</v>
      </c>
      <c r="CU45" s="559" cm="1">
        <f t="array" ref="CU45">SUMPRODUCT((UCA.AGROOTROS.NAME=$A45)*(UCA.AGROOTROS.DATE=CU$5)*(UCA.AGROOTROS.VAL))</f>
        <v>367.61</v>
      </c>
      <c r="CV45" s="559" cm="1">
        <f t="array" ref="CV45">SUMPRODUCT((UCA.AGROOTROS.NAME=$A45)*(UCA.AGROOTROS.DATE=CV$5)*(UCA.AGROOTROS.VAL))</f>
        <v>206.82</v>
      </c>
      <c r="CW45" s="559" cm="1">
        <f t="array" ref="CW45">SUMPRODUCT((UCA.AGROOTROS.NAME=$A45)*(UCA.AGROOTROS.DATE=CW$5)*(UCA.AGROOTROS.VAL))</f>
        <v>51.47</v>
      </c>
      <c r="CX45" s="559" cm="1">
        <f t="array" ref="CX45">SUMPRODUCT((UCA.AGROOTROS.NAME=$A45)*(UCA.AGROOTROS.DATE=CX$5)*(UCA.AGROOTROS.VAL))</f>
        <v>38.04</v>
      </c>
      <c r="CY45" s="559" cm="1">
        <f t="array" ref="CY45">SUMPRODUCT((UCA.AGROOTROS.NAME=$A45)*(UCA.AGROOTROS.DATE=CY$5)*(UCA.AGROOTROS.VAL))</f>
        <v>136.36000000000001</v>
      </c>
      <c r="CZ45" s="559" cm="1">
        <f t="array" ref="CZ45">SUMPRODUCT((UCA.AGROOTROS.NAME=$A45)*(UCA.AGROOTROS.DATE=CZ$5)*(UCA.AGROOTROS.VAL))</f>
        <v>436.57</v>
      </c>
      <c r="DA45" s="532">
        <f t="shared" si="205"/>
        <v>4590.9759999999997</v>
      </c>
      <c r="DB45" s="559" cm="1">
        <f t="array" ref="DB45">SUMPRODUCT((UCA.AGROOTROS.NAME=$A45)*(UCA.AGROOTROS.DATE=DB$5)*(UCA.AGROOTROS.VAL))</f>
        <v>520.27700000000004</v>
      </c>
      <c r="DC45" s="559" cm="1">
        <f t="array" ref="DC45">SUMPRODUCT((UCA.AGROOTROS.NAME=$A45)*(UCA.AGROOTROS.DATE=DC$5)*(UCA.AGROOTROS.VAL))</f>
        <v>461.87</v>
      </c>
      <c r="DD45" s="559" cm="1">
        <f t="array" ref="DD45">SUMPRODUCT((UCA.AGROOTROS.NAME=$A45)*(UCA.AGROOTROS.DATE=DD$5)*(UCA.AGROOTROS.VAL))</f>
        <v>433.64</v>
      </c>
      <c r="DE45" s="559" cm="1">
        <f t="array" ref="DE45">SUMPRODUCT((UCA.AGROOTROS.NAME=$A45)*(UCA.AGROOTROS.DATE=DE$5)*(UCA.AGROOTROS.VAL))</f>
        <v>283.17899999999997</v>
      </c>
      <c r="DF45" s="559" cm="1">
        <f t="array" ref="DF45">SUMPRODUCT((UCA.AGROOTROS.NAME=$A45)*(UCA.AGROOTROS.DATE=DF$5)*(UCA.AGROOTROS.VAL))</f>
        <v>221.40899999999999</v>
      </c>
      <c r="DG45" s="559" cm="1">
        <f t="array" ref="DG45">SUMPRODUCT((UCA.AGROOTROS.NAME=$A45)*(UCA.AGROOTROS.DATE=DG$5)*(UCA.AGROOTROS.VAL))</f>
        <v>202.88800000000001</v>
      </c>
      <c r="DH45" s="559" cm="1">
        <f t="array" ref="DH45">SUMPRODUCT((UCA.AGROOTROS.NAME=$A45)*(UCA.AGROOTROS.DATE=DH$5)*(UCA.AGROOTROS.VAL))</f>
        <v>190.79</v>
      </c>
      <c r="DI45" s="559" cm="1">
        <f t="array" ref="DI45">SUMPRODUCT((UCA.AGROOTROS.NAME=$A45)*(UCA.AGROOTROS.DATE=DI$5)*(UCA.AGROOTROS.VAL))</f>
        <v>57.3</v>
      </c>
      <c r="DJ45" s="559" cm="1">
        <f t="array" ref="DJ45">SUMPRODUCT((UCA.AGROOTROS.NAME=$A45)*(UCA.AGROOTROS.DATE=DJ$5)*(UCA.AGROOTROS.VAL))</f>
        <v>11.5</v>
      </c>
      <c r="DK45" s="559" cm="1">
        <f t="array" ref="DK45">SUMPRODUCT((UCA.AGROOTROS.NAME=$A45)*(UCA.AGROOTROS.DATE=DK$5)*(UCA.AGROOTROS.VAL))</f>
        <v>23.09</v>
      </c>
      <c r="DL45" s="559" cm="1">
        <f t="array" ref="DL45">SUMPRODUCT((UCA.AGROOTROS.NAME=$A45)*(UCA.AGROOTROS.DATE=DL$5)*(UCA.AGROOTROS.VAL))</f>
        <v>82.49</v>
      </c>
      <c r="DM45" s="559" cm="1">
        <f t="array" ref="DM45">SUMPRODUCT((UCA.AGROOTROS.NAME=$A45)*(UCA.AGROOTROS.DATE=DM$5)*(UCA.AGROOTROS.VAL))</f>
        <v>193.43899999999999</v>
      </c>
      <c r="DN45" s="532">
        <f t="shared" si="206"/>
        <v>2681.8719999999998</v>
      </c>
      <c r="DO45" s="559" cm="1">
        <f t="array" ref="DO45">SUMPRODUCT((UCA.AGROOTROS.NAME=$A45)*(UCA.AGROOTROS.DATE=DO$5)*(UCA.AGROOTROS.VAL))</f>
        <v>242.66900000000001</v>
      </c>
      <c r="DP45" s="559" cm="1">
        <f t="array" ref="DP45">SUMPRODUCT((UCA.AGROOTROS.NAME=$A45)*(UCA.AGROOTROS.DATE=DP$5)*(UCA.AGROOTROS.VAL))</f>
        <v>223.01900000000001</v>
      </c>
      <c r="DQ45" s="559" cm="1">
        <f t="array" ref="DQ45">SUMPRODUCT((UCA.AGROOTROS.NAME=$A45)*(UCA.AGROOTROS.DATE=DQ$5)*(UCA.AGROOTROS.VAL))</f>
        <v>183.21799999999999</v>
      </c>
      <c r="DR45" s="559" cm="1">
        <f t="array" ref="DR45">SUMPRODUCT((UCA.AGROOTROS.NAME=$A45)*(UCA.AGROOTROS.DATE=DR$5)*(UCA.AGROOTROS.VAL))</f>
        <v>168.839</v>
      </c>
      <c r="DS45" s="559" cm="1">
        <f t="array" ref="DS45">SUMPRODUCT((UCA.AGROOTROS.NAME=$A45)*(UCA.AGROOTROS.DATE=DS$5)*(UCA.AGROOTROS.VAL))</f>
        <v>155.679</v>
      </c>
      <c r="DT45" s="559" cm="1">
        <f t="array" ref="DT45">SUMPRODUCT((UCA.AGROOTROS.NAME=$A45)*(UCA.AGROOTROS.DATE=DT$5)*(UCA.AGROOTROS.VAL))</f>
        <v>130.09</v>
      </c>
      <c r="DU45" s="559" cm="1">
        <f t="array" ref="DU45">SUMPRODUCT((UCA.AGROOTROS.NAME=$A45)*(UCA.AGROOTROS.DATE=DU$5)*(UCA.AGROOTROS.VAL))</f>
        <v>121.23</v>
      </c>
      <c r="DV45" s="559" cm="1">
        <f t="array" ref="DV45">SUMPRODUCT((UCA.AGROOTROS.NAME=$A45)*(UCA.AGROOTROS.DATE=DV$5)*(UCA.AGROOTROS.VAL))</f>
        <v>55.35</v>
      </c>
      <c r="DW45" s="559" cm="1">
        <f t="array" ref="DW45">SUMPRODUCT((UCA.AGROOTROS.NAME=$A45)*(UCA.AGROOTROS.DATE=DW$5)*(UCA.AGROOTROS.VAL))</f>
        <v>14.97</v>
      </c>
      <c r="DX45" s="559" cm="1">
        <f t="array" ref="DX45">SUMPRODUCT((UCA.AGROOTROS.NAME=$A45)*(UCA.AGROOTROS.DATE=DX$5)*(UCA.AGROOTROS.VAL))</f>
        <v>16.12</v>
      </c>
      <c r="DY45" s="559" cm="1">
        <f t="array" ref="DY45">SUMPRODUCT((UCA.AGROOTROS.NAME=$A45)*(UCA.AGROOTROS.DATE=DY$5)*(UCA.AGROOTROS.VAL))</f>
        <v>55.26</v>
      </c>
      <c r="DZ45" s="559" cm="1">
        <f t="array" ref="DZ45">SUMPRODUCT((UCA.AGROOTROS.NAME=$A45)*(UCA.AGROOTROS.DATE=DZ$5)*(UCA.AGROOTROS.VAL))</f>
        <v>156.87799999999999</v>
      </c>
      <c r="EA45" s="532">
        <f t="shared" si="207"/>
        <v>1523.3219999999997</v>
      </c>
      <c r="EB45" s="559" cm="1">
        <f t="array" ref="EB45">SUMPRODUCT((UCA.AGROOTROS.NAME=$A45)*(UCA.AGROOTROS.DATE=EB$5)*(UCA.AGROOTROS.VAL))</f>
        <v>191.07900000000001</v>
      </c>
      <c r="EC45" s="559" cm="1">
        <f t="array" ref="EC45">SUMPRODUCT((UCA.AGROOTROS.NAME=$A45)*(UCA.AGROOTROS.DATE=EC$5)*(UCA.AGROOTROS.VAL))</f>
        <v>195.34</v>
      </c>
      <c r="ED45" s="559" cm="1">
        <f t="array" ref="ED45">SUMPRODUCT((UCA.AGROOTROS.NAME=$A45)*(UCA.AGROOTROS.DATE=ED$5)*(UCA.AGROOTROS.VAL))</f>
        <v>179.58699999999999</v>
      </c>
      <c r="EE45" s="559" cm="1">
        <f t="array" ref="EE45">SUMPRODUCT((UCA.AGROOTROS.NAME=$A45)*(UCA.AGROOTROS.DATE=EE$5)*(UCA.AGROOTROS.VAL))</f>
        <v>142.07300000000001</v>
      </c>
      <c r="EF45" s="559" cm="1">
        <f t="array" ref="EF45">SUMPRODUCT((UCA.AGROOTROS.NAME=$A45)*(UCA.AGROOTROS.DATE=EF$5)*(UCA.AGROOTROS.VAL))</f>
        <v>126.65900000000001</v>
      </c>
      <c r="EG45" s="559" cm="1">
        <f t="array" ref="EG45">SUMPRODUCT((UCA.AGROOTROS.NAME=$A45)*(UCA.AGROOTROS.DATE=EG$5)*(UCA.AGROOTROS.VAL))</f>
        <v>89.778999999999996</v>
      </c>
      <c r="EH45" s="559" cm="1">
        <f t="array" ref="EH45">SUMPRODUCT((UCA.AGROOTROS.NAME=$A45)*(UCA.AGROOTROS.DATE=EH$5)*(UCA.AGROOTROS.VAL))</f>
        <v>82.8</v>
      </c>
      <c r="EI45" s="559" cm="1">
        <f t="array" ref="EI45">SUMPRODUCT((UCA.AGROOTROS.NAME=$A45)*(UCA.AGROOTROS.DATE=EI$5)*(UCA.AGROOTROS.VAL))</f>
        <v>37.380000000000003</v>
      </c>
      <c r="EJ45" s="559" cm="1">
        <f t="array" ref="EJ45">SUMPRODUCT((UCA.AGROOTROS.NAME=$A45)*(UCA.AGROOTROS.DATE=EJ$5)*(UCA.AGROOTROS.VAL))</f>
        <v>12.45</v>
      </c>
      <c r="EK45" s="559" cm="1">
        <f t="array" ref="EK45">SUMPRODUCT((UCA.AGROOTROS.NAME=$A45)*(UCA.AGROOTROS.DATE=EK$5)*(UCA.AGROOTROS.VAL))</f>
        <v>17.77</v>
      </c>
      <c r="EL45" s="559" cm="1">
        <f t="array" ref="EL45">SUMPRODUCT((UCA.AGROOTROS.NAME=$A45)*(UCA.AGROOTROS.DATE=EL$5)*(UCA.AGROOTROS.VAL))</f>
        <v>58.908999999999999</v>
      </c>
      <c r="EM45" s="559" cm="1">
        <f t="array" ref="EM45">SUMPRODUCT((UCA.AGROOTROS.NAME=$A45)*(UCA.AGROOTROS.DATE=EM$5)*(UCA.AGROOTROS.VAL))</f>
        <v>0</v>
      </c>
      <c r="EN45" s="532">
        <f t="shared" si="208"/>
        <v>1133.826</v>
      </c>
      <c r="EO45" s="559" cm="1">
        <f t="array" ref="EO45">SUMPRODUCT((UCA.AGROOTROS.NAME=$A45)*(UCA.AGROOTROS.DATE=EO$5)*(UCA.AGROOTROS.VAL))</f>
        <v>0</v>
      </c>
      <c r="EP45" s="559" cm="1">
        <f t="array" ref="EP45">SUMPRODUCT((UCA.AGROOTROS.NAME=$A45)*(UCA.AGROOTROS.DATE=EP$5)*(UCA.AGROOTROS.VAL))</f>
        <v>0</v>
      </c>
      <c r="EQ45" s="559" cm="1">
        <f t="array" ref="EQ45">SUMPRODUCT((UCA.AGROOTROS.NAME=$A45)*(UCA.AGROOTROS.DATE=EQ$5)*(UCA.AGROOTROS.VAL))</f>
        <v>0</v>
      </c>
      <c r="ER45" s="559" cm="1">
        <f t="array" ref="ER45">SUMPRODUCT((UCA.AGROOTROS.NAME=$A45)*(UCA.AGROOTROS.DATE=ER$5)*(UCA.AGROOTROS.VAL))</f>
        <v>0</v>
      </c>
      <c r="ES45" s="559" cm="1">
        <f t="array" ref="ES45">SUMPRODUCT((UCA.AGROOTROS.NAME=$A45)*(UCA.AGROOTROS.DATE=ES$5)*(UCA.AGROOTROS.VAL))</f>
        <v>0</v>
      </c>
      <c r="ET45" s="559" cm="1">
        <f t="array" ref="ET45">SUMPRODUCT((UCA.AGROOTROS.NAME=$A45)*(UCA.AGROOTROS.DATE=ET$5)*(UCA.AGROOTROS.VAL))</f>
        <v>0</v>
      </c>
      <c r="EU45" s="559" cm="1">
        <f t="array" ref="EU45">SUMPRODUCT((UCA.AGROOTROS.NAME=$A45)*(UCA.AGROOTROS.DATE=EU$5)*(UCA.AGROOTROS.VAL))</f>
        <v>0</v>
      </c>
      <c r="EV45" s="559" cm="1">
        <f t="array" ref="EV45">SUMPRODUCT((UCA.AGROOTROS.NAME=$A45)*(UCA.AGROOTROS.DATE=EV$5)*(UCA.AGROOTROS.VAL))</f>
        <v>0</v>
      </c>
      <c r="EW45" s="559" cm="1">
        <f t="array" ref="EW45">SUMPRODUCT((UCA.AGROOTROS.NAME=$A45)*(UCA.AGROOTROS.DATE=EW$5)*(UCA.AGROOTROS.VAL))</f>
        <v>0</v>
      </c>
      <c r="EX45" s="559" cm="1">
        <f t="array" ref="EX45">SUMPRODUCT((UCA.AGROOTROS.NAME=$A45)*(UCA.AGROOTROS.DATE=EX$5)*(UCA.AGROOTROS.VAL))</f>
        <v>0</v>
      </c>
      <c r="EY45" s="559" cm="1">
        <f t="array" ref="EY45">SUMPRODUCT((UCA.AGROOTROS.NAME=$A45)*(UCA.AGROOTROS.DATE=EY$5)*(UCA.AGROOTROS.VAL))</f>
        <v>0</v>
      </c>
      <c r="EZ45" s="559" cm="1">
        <f t="array" ref="EZ45">SUMPRODUCT((UCA.AGROOTROS.NAME=$A45)*(UCA.AGROOTROS.DATE=EZ$5)*(UCA.AGROOTROS.VAL))</f>
        <v>0</v>
      </c>
      <c r="FA45" s="532">
        <f t="shared" si="209"/>
        <v>0</v>
      </c>
      <c r="FC45" s="560">
        <f t="shared" si="193"/>
        <v>6.6033297140789093</v>
      </c>
      <c r="FD45" s="561">
        <f t="shared" si="210"/>
        <v>-17.023602869930986</v>
      </c>
      <c r="FE45" s="562">
        <f t="shared" si="194"/>
        <v>1366.4439999999997</v>
      </c>
      <c r="FF45" s="563">
        <f t="shared" si="195"/>
        <v>1133.826</v>
      </c>
      <c r="FG45" s="564"/>
      <c r="FH45" s="498">
        <f t="shared" si="196"/>
        <v>75970.01999999999</v>
      </c>
      <c r="FI45" s="499"/>
      <c r="FJ45" s="500" t="str">
        <f t="shared" si="197"/>
        <v>VER</v>
      </c>
    </row>
    <row r="46" spans="1:166" s="447" customFormat="1" ht="15" customHeight="1" x14ac:dyDescent="0.25">
      <c r="A46" s="558"/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32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32"/>
      <c r="AB46" s="559"/>
      <c r="AC46" s="559"/>
      <c r="AD46" s="559"/>
      <c r="AE46" s="559"/>
      <c r="AF46" s="559"/>
      <c r="AG46" s="559"/>
      <c r="AH46" s="559"/>
      <c r="AI46" s="559"/>
      <c r="AJ46" s="559"/>
      <c r="AK46" s="559"/>
      <c r="AL46" s="559"/>
      <c r="AM46" s="559"/>
      <c r="AN46" s="532"/>
      <c r="AO46" s="559"/>
      <c r="AP46" s="559"/>
      <c r="AQ46" s="559"/>
      <c r="AR46" s="559"/>
      <c r="AS46" s="559"/>
      <c r="AT46" s="559"/>
      <c r="AU46" s="559"/>
      <c r="AV46" s="559"/>
      <c r="AW46" s="559"/>
      <c r="AX46" s="559"/>
      <c r="AY46" s="559"/>
      <c r="AZ46" s="559"/>
      <c r="BA46" s="532"/>
      <c r="BB46" s="559"/>
      <c r="BC46" s="559"/>
      <c r="BD46" s="559"/>
      <c r="BE46" s="559"/>
      <c r="BF46" s="559"/>
      <c r="BG46" s="559"/>
      <c r="BH46" s="559"/>
      <c r="BI46" s="559"/>
      <c r="BJ46" s="559"/>
      <c r="BK46" s="559"/>
      <c r="BL46" s="559"/>
      <c r="BM46" s="559"/>
      <c r="BN46" s="532"/>
      <c r="BO46" s="559"/>
      <c r="BP46" s="559"/>
      <c r="BQ46" s="559"/>
      <c r="BR46" s="559"/>
      <c r="BS46" s="559"/>
      <c r="BT46" s="559"/>
      <c r="BU46" s="559"/>
      <c r="BV46" s="559"/>
      <c r="BW46" s="559"/>
      <c r="BX46" s="559"/>
      <c r="BY46" s="559"/>
      <c r="BZ46" s="559"/>
      <c r="CA46" s="532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32"/>
      <c r="CO46" s="559"/>
      <c r="CP46" s="559"/>
      <c r="CQ46" s="559"/>
      <c r="CR46" s="559"/>
      <c r="CS46" s="559"/>
      <c r="CT46" s="559"/>
      <c r="CU46" s="559"/>
      <c r="CV46" s="559"/>
      <c r="CW46" s="559"/>
      <c r="CX46" s="559"/>
      <c r="CY46" s="559"/>
      <c r="CZ46" s="559"/>
      <c r="DA46" s="532"/>
      <c r="DB46" s="559"/>
      <c r="DC46" s="559"/>
      <c r="DD46" s="559"/>
      <c r="DE46" s="559"/>
      <c r="DF46" s="559"/>
      <c r="DG46" s="559"/>
      <c r="DH46" s="559"/>
      <c r="DI46" s="559"/>
      <c r="DJ46" s="559"/>
      <c r="DK46" s="559"/>
      <c r="DL46" s="559"/>
      <c r="DM46" s="559"/>
      <c r="DN46" s="532"/>
      <c r="DO46" s="559"/>
      <c r="DP46" s="559"/>
      <c r="DQ46" s="559"/>
      <c r="DR46" s="559"/>
      <c r="DS46" s="559"/>
      <c r="DT46" s="559"/>
      <c r="DU46" s="559"/>
      <c r="DV46" s="559"/>
      <c r="DW46" s="559"/>
      <c r="DX46" s="559"/>
      <c r="DY46" s="559"/>
      <c r="DZ46" s="559"/>
      <c r="EA46" s="532"/>
      <c r="EB46" s="559"/>
      <c r="EC46" s="559"/>
      <c r="ED46" s="559"/>
      <c r="EE46" s="559"/>
      <c r="EF46" s="559"/>
      <c r="EG46" s="559"/>
      <c r="EH46" s="559"/>
      <c r="EI46" s="559"/>
      <c r="EJ46" s="559"/>
      <c r="EK46" s="559"/>
      <c r="EL46" s="559"/>
      <c r="EM46" s="559"/>
      <c r="EN46" s="532"/>
      <c r="EO46" s="559"/>
      <c r="EP46" s="559"/>
      <c r="EQ46" s="559"/>
      <c r="ER46" s="559"/>
      <c r="ES46" s="559"/>
      <c r="ET46" s="559"/>
      <c r="EU46" s="559"/>
      <c r="EV46" s="559"/>
      <c r="EW46" s="559"/>
      <c r="EX46" s="559"/>
      <c r="EY46" s="559"/>
      <c r="EZ46" s="559"/>
      <c r="FA46" s="532"/>
      <c r="FC46" s="560"/>
      <c r="FD46" s="561"/>
      <c r="FE46" s="562"/>
      <c r="FF46" s="563"/>
      <c r="FG46" s="564"/>
      <c r="FH46" s="498"/>
      <c r="FI46" s="499"/>
      <c r="FJ46" s="500"/>
    </row>
    <row r="47" spans="1:166" s="447" customFormat="1" ht="15" customHeight="1" x14ac:dyDescent="0.25">
      <c r="A47" s="540" t="s">
        <v>560</v>
      </c>
      <c r="B47" s="541">
        <f t="shared" ref="B47:BM47" si="211">SUM(B49,B54,B55)</f>
        <v>2702</v>
      </c>
      <c r="C47" s="541">
        <f t="shared" si="211"/>
        <v>3166</v>
      </c>
      <c r="D47" s="541">
        <f t="shared" si="211"/>
        <v>3117</v>
      </c>
      <c r="E47" s="541">
        <f t="shared" si="211"/>
        <v>3222</v>
      </c>
      <c r="F47" s="541">
        <f t="shared" si="211"/>
        <v>2594</v>
      </c>
      <c r="G47" s="541">
        <f t="shared" si="211"/>
        <v>2455</v>
      </c>
      <c r="H47" s="541">
        <f t="shared" si="211"/>
        <v>2514</v>
      </c>
      <c r="I47" s="541">
        <f t="shared" si="211"/>
        <v>2215</v>
      </c>
      <c r="J47" s="541">
        <f t="shared" si="211"/>
        <v>2013</v>
      </c>
      <c r="K47" s="541">
        <f t="shared" si="211"/>
        <v>2101</v>
      </c>
      <c r="L47" s="541">
        <f t="shared" si="211"/>
        <v>2203</v>
      </c>
      <c r="M47" s="541">
        <f t="shared" si="211"/>
        <v>2337</v>
      </c>
      <c r="N47" s="542">
        <f t="shared" ref="N47" si="212">SUM(B47:M47)</f>
        <v>30639</v>
      </c>
      <c r="O47" s="541">
        <f t="shared" ref="O47" si="213">SUM(O49,O54,O55)</f>
        <v>1929</v>
      </c>
      <c r="P47" s="541">
        <f t="shared" si="211"/>
        <v>1892</v>
      </c>
      <c r="Q47" s="541">
        <f t="shared" si="211"/>
        <v>1739</v>
      </c>
      <c r="R47" s="541">
        <f t="shared" si="211"/>
        <v>1967</v>
      </c>
      <c r="S47" s="541">
        <f t="shared" si="211"/>
        <v>2356</v>
      </c>
      <c r="T47" s="541">
        <f t="shared" si="211"/>
        <v>2360</v>
      </c>
      <c r="U47" s="541">
        <f t="shared" si="211"/>
        <v>2134</v>
      </c>
      <c r="V47" s="541">
        <f t="shared" si="211"/>
        <v>2070</v>
      </c>
      <c r="W47" s="541">
        <f t="shared" si="211"/>
        <v>2087</v>
      </c>
      <c r="X47" s="541">
        <f t="shared" si="211"/>
        <v>1877</v>
      </c>
      <c r="Y47" s="541">
        <f t="shared" si="211"/>
        <v>2032</v>
      </c>
      <c r="Z47" s="541">
        <f t="shared" si="211"/>
        <v>2271</v>
      </c>
      <c r="AA47" s="542">
        <f t="shared" ref="AA47" si="214">SUM(O47:Z47)</f>
        <v>24714</v>
      </c>
      <c r="AB47" s="541">
        <f t="shared" ref="AB47" si="215">SUM(AB49,AB54,AB55)</f>
        <v>1645</v>
      </c>
      <c r="AC47" s="541">
        <f t="shared" si="211"/>
        <v>2069</v>
      </c>
      <c r="AD47" s="541">
        <f t="shared" si="211"/>
        <v>2445</v>
      </c>
      <c r="AE47" s="541">
        <f t="shared" si="211"/>
        <v>2298</v>
      </c>
      <c r="AF47" s="541">
        <f t="shared" si="211"/>
        <v>2697</v>
      </c>
      <c r="AG47" s="541">
        <f t="shared" si="211"/>
        <v>2572</v>
      </c>
      <c r="AH47" s="541">
        <f t="shared" si="211"/>
        <v>2352</v>
      </c>
      <c r="AI47" s="541">
        <f t="shared" si="211"/>
        <v>1993</v>
      </c>
      <c r="AJ47" s="541">
        <f t="shared" si="211"/>
        <v>1907</v>
      </c>
      <c r="AK47" s="541">
        <f t="shared" si="211"/>
        <v>1819</v>
      </c>
      <c r="AL47" s="541">
        <f t="shared" si="211"/>
        <v>1855</v>
      </c>
      <c r="AM47" s="541">
        <f t="shared" si="211"/>
        <v>1888</v>
      </c>
      <c r="AN47" s="542">
        <f t="shared" ref="AN47" si="216">SUM(AB47:AM47)</f>
        <v>25540</v>
      </c>
      <c r="AO47" s="541">
        <f t="shared" ref="AO47" si="217">SUM(AO49,AO54,AO55)</f>
        <v>1842</v>
      </c>
      <c r="AP47" s="541">
        <f t="shared" si="211"/>
        <v>1650.4927987171291</v>
      </c>
      <c r="AQ47" s="541">
        <f t="shared" si="211"/>
        <v>2100.5319378121831</v>
      </c>
      <c r="AR47" s="541">
        <f t="shared" si="211"/>
        <v>2283</v>
      </c>
      <c r="AS47" s="541">
        <f t="shared" si="211"/>
        <v>2164</v>
      </c>
      <c r="AT47" s="541">
        <f t="shared" si="211"/>
        <v>2322</v>
      </c>
      <c r="AU47" s="541">
        <f t="shared" si="211"/>
        <v>2229</v>
      </c>
      <c r="AV47" s="541">
        <f t="shared" si="211"/>
        <v>2634</v>
      </c>
      <c r="AW47" s="541">
        <f t="shared" si="211"/>
        <v>2080</v>
      </c>
      <c r="AX47" s="541">
        <f t="shared" si="211"/>
        <v>2680</v>
      </c>
      <c r="AY47" s="541">
        <f t="shared" si="211"/>
        <v>2194</v>
      </c>
      <c r="AZ47" s="541">
        <f t="shared" si="211"/>
        <v>2791</v>
      </c>
      <c r="BA47" s="542">
        <f t="shared" ref="BA47" si="218">SUM(AO47:AZ47)</f>
        <v>26970.024736529311</v>
      </c>
      <c r="BB47" s="541">
        <f t="shared" ref="BB47" si="219">SUM(BB49,BB54,BB55)</f>
        <v>2241</v>
      </c>
      <c r="BC47" s="541">
        <f t="shared" si="211"/>
        <v>1930</v>
      </c>
      <c r="BD47" s="541">
        <f t="shared" si="211"/>
        <v>2516</v>
      </c>
      <c r="BE47" s="541">
        <f t="shared" si="211"/>
        <v>2834</v>
      </c>
      <c r="BF47" s="541">
        <f t="shared" si="211"/>
        <v>2756</v>
      </c>
      <c r="BG47" s="541">
        <f t="shared" si="211"/>
        <v>2877</v>
      </c>
      <c r="BH47" s="541">
        <f t="shared" si="211"/>
        <v>2857</v>
      </c>
      <c r="BI47" s="541">
        <f t="shared" si="211"/>
        <v>3314</v>
      </c>
      <c r="BJ47" s="541">
        <f t="shared" si="211"/>
        <v>2739</v>
      </c>
      <c r="BK47" s="541">
        <f t="shared" si="211"/>
        <v>3490</v>
      </c>
      <c r="BL47" s="541">
        <f t="shared" si="211"/>
        <v>2701</v>
      </c>
      <c r="BM47" s="541">
        <f t="shared" si="211"/>
        <v>3432</v>
      </c>
      <c r="BN47" s="542">
        <f t="shared" ref="BN47" si="220">SUM(BB47:BM47)</f>
        <v>33687</v>
      </c>
      <c r="BO47" s="541">
        <f t="shared" ref="BO47:DZ47" si="221">SUM(BO49,BO54,BO55)</f>
        <v>2257.4732967851137</v>
      </c>
      <c r="BP47" s="541">
        <f t="shared" si="221"/>
        <v>1900.9602270095961</v>
      </c>
      <c r="BQ47" s="541">
        <f t="shared" si="221"/>
        <v>2491.7653334717597</v>
      </c>
      <c r="BR47" s="541">
        <f t="shared" si="221"/>
        <v>2758.1343311542196</v>
      </c>
      <c r="BS47" s="541">
        <f t="shared" si="221"/>
        <v>2616.1245971763419</v>
      </c>
      <c r="BT47" s="541">
        <f t="shared" si="221"/>
        <v>2816.5468731495125</v>
      </c>
      <c r="BU47" s="541">
        <f t="shared" si="221"/>
        <v>2776.6520541463415</v>
      </c>
      <c r="BV47" s="541">
        <f t="shared" si="221"/>
        <v>3096.4910257171978</v>
      </c>
      <c r="BW47" s="541">
        <f t="shared" si="221"/>
        <v>2603.3278391636632</v>
      </c>
      <c r="BX47" s="541">
        <f t="shared" si="221"/>
        <v>3359.5480753890297</v>
      </c>
      <c r="BY47" s="541">
        <f t="shared" si="221"/>
        <v>2566.2838769426307</v>
      </c>
      <c r="BZ47" s="541">
        <f t="shared" si="221"/>
        <v>3346.3554928586709</v>
      </c>
      <c r="CA47" s="542">
        <f t="shared" ref="CA47" si="222">SUM(BO47:BZ47)</f>
        <v>32589.66302296408</v>
      </c>
      <c r="CB47" s="541">
        <f t="shared" ref="CB47" si="223">SUM(CB49,CB54,CB55)</f>
        <v>2210.5359907961692</v>
      </c>
      <c r="CC47" s="541">
        <f t="shared" si="221"/>
        <v>1843.2414445757438</v>
      </c>
      <c r="CD47" s="541">
        <f t="shared" si="221"/>
        <v>2360.7468921714826</v>
      </c>
      <c r="CE47" s="541">
        <f t="shared" si="221"/>
        <v>2663.876468305557</v>
      </c>
      <c r="CF47" s="541">
        <f t="shared" si="221"/>
        <v>2541.0993885079097</v>
      </c>
      <c r="CG47" s="541">
        <f t="shared" si="221"/>
        <v>2780.8612936068289</v>
      </c>
      <c r="CH47" s="541">
        <f t="shared" si="221"/>
        <v>2717.9048290875612</v>
      </c>
      <c r="CI47" s="541">
        <f t="shared" si="221"/>
        <v>3108.6867569125429</v>
      </c>
      <c r="CJ47" s="541">
        <f t="shared" si="221"/>
        <v>2687.7537453799814</v>
      </c>
      <c r="CK47" s="541">
        <f t="shared" si="221"/>
        <v>3406.0782600832931</v>
      </c>
      <c r="CL47" s="541">
        <f t="shared" si="221"/>
        <v>2545.3539966920316</v>
      </c>
      <c r="CM47" s="541">
        <f t="shared" si="221"/>
        <v>3318.8717642582578</v>
      </c>
      <c r="CN47" s="542">
        <f t="shared" ref="CN47" si="224">SUM(CB47:CM47)</f>
        <v>32185.01083037736</v>
      </c>
      <c r="CO47" s="541">
        <f t="shared" ref="CO47" si="225">SUM(CO49,CO54,CO55)</f>
        <v>2237.9436426473485</v>
      </c>
      <c r="CP47" s="541">
        <f t="shared" si="221"/>
        <v>1831.2785289477997</v>
      </c>
      <c r="CQ47" s="541">
        <f t="shared" si="221"/>
        <v>2328.6435714376867</v>
      </c>
      <c r="CR47" s="541">
        <f t="shared" si="221"/>
        <v>2673.8737113284205</v>
      </c>
      <c r="CS47" s="541">
        <f t="shared" si="221"/>
        <v>2539.1529431491363</v>
      </c>
      <c r="CT47" s="541">
        <f t="shared" si="221"/>
        <v>2781.4090676476008</v>
      </c>
      <c r="CU47" s="541">
        <f t="shared" si="221"/>
        <v>2710.190170425632</v>
      </c>
      <c r="CV47" s="541">
        <f t="shared" si="221"/>
        <v>3038.4831637880543</v>
      </c>
      <c r="CW47" s="541">
        <f t="shared" si="221"/>
        <v>2592.8760560200321</v>
      </c>
      <c r="CX47" s="541">
        <f t="shared" si="221"/>
        <v>3301.5052889351632</v>
      </c>
      <c r="CY47" s="541">
        <f t="shared" si="221"/>
        <v>2400.3098687351348</v>
      </c>
      <c r="CZ47" s="541">
        <f t="shared" si="221"/>
        <v>3082.9906475824832</v>
      </c>
      <c r="DA47" s="542">
        <f t="shared" ref="DA47" si="226">SUM(CO47:CZ47)</f>
        <v>31518.656660644494</v>
      </c>
      <c r="DB47" s="541">
        <f t="shared" ref="DB47" si="227">SUM(DB49,DB54,DB55)</f>
        <v>2235.422444209747</v>
      </c>
      <c r="DC47" s="541">
        <f t="shared" si="221"/>
        <v>1826.6872621899684</v>
      </c>
      <c r="DD47" s="541">
        <f t="shared" si="221"/>
        <v>2369.6650986681061</v>
      </c>
      <c r="DE47" s="541">
        <f t="shared" si="221"/>
        <v>2620.1131729594022</v>
      </c>
      <c r="DF47" s="541">
        <f t="shared" si="221"/>
        <v>2525.006312625545</v>
      </c>
      <c r="DG47" s="541">
        <f t="shared" si="221"/>
        <v>2647.75791630085</v>
      </c>
      <c r="DH47" s="541">
        <f t="shared" si="221"/>
        <v>2672.8936457095119</v>
      </c>
      <c r="DI47" s="541">
        <f t="shared" si="221"/>
        <v>3087.0028962553492</v>
      </c>
      <c r="DJ47" s="541">
        <f t="shared" si="221"/>
        <v>2688.6728172719504</v>
      </c>
      <c r="DK47" s="541">
        <f t="shared" si="221"/>
        <v>3322.2974516621471</v>
      </c>
      <c r="DL47" s="541">
        <f t="shared" si="221"/>
        <v>2488.824818748049</v>
      </c>
      <c r="DM47" s="541">
        <f t="shared" si="221"/>
        <v>3146.2108810792188</v>
      </c>
      <c r="DN47" s="542">
        <f t="shared" ref="DN47" si="228">SUM(DB47:DM47)</f>
        <v>31630.554717679843</v>
      </c>
      <c r="DO47" s="541">
        <f t="shared" ref="DO47" si="229">SUM(DO49,DO54,DO55)</f>
        <v>2157.8309980047288</v>
      </c>
      <c r="DP47" s="541">
        <f t="shared" si="221"/>
        <v>1752.8865860449214</v>
      </c>
      <c r="DQ47" s="541">
        <f t="shared" si="221"/>
        <v>2353.1842196849229</v>
      </c>
      <c r="DR47" s="541">
        <f t="shared" si="221"/>
        <v>2577.2484885655185</v>
      </c>
      <c r="DS47" s="541">
        <f t="shared" si="221"/>
        <v>2485.0174423813964</v>
      </c>
      <c r="DT47" s="541">
        <f t="shared" si="221"/>
        <v>2646.4294236651367</v>
      </c>
      <c r="DU47" s="541">
        <f t="shared" si="221"/>
        <v>2674.1666514633189</v>
      </c>
      <c r="DV47" s="541">
        <f t="shared" si="221"/>
        <v>3048.3806108656145</v>
      </c>
      <c r="DW47" s="541">
        <f t="shared" si="221"/>
        <v>2720.4290402652318</v>
      </c>
      <c r="DX47" s="541">
        <f t="shared" si="221"/>
        <v>3437.5389449990944</v>
      </c>
      <c r="DY47" s="541">
        <f t="shared" si="221"/>
        <v>2498.6710718597797</v>
      </c>
      <c r="DZ47" s="541">
        <f t="shared" si="221"/>
        <v>3152.7190279772281</v>
      </c>
      <c r="EA47" s="542">
        <f t="shared" ref="EA47" si="230">SUM(DO47:DZ47)</f>
        <v>31504.502505776894</v>
      </c>
      <c r="EB47" s="541">
        <f t="shared" ref="EB47:EM47" si="231">SUM(EB49,EB54,EB55)</f>
        <v>2288.9528355817761</v>
      </c>
      <c r="EC47" s="541">
        <f t="shared" si="231"/>
        <v>1768.7796502362385</v>
      </c>
      <c r="ED47" s="541">
        <f t="shared" si="231"/>
        <v>2282.283049873171</v>
      </c>
      <c r="EE47" s="541">
        <f t="shared" si="231"/>
        <v>2552.3806207025191</v>
      </c>
      <c r="EF47" s="541">
        <f t="shared" si="231"/>
        <v>2557.8541028358986</v>
      </c>
      <c r="EG47" s="541">
        <f t="shared" si="231"/>
        <v>2775.8248981804873</v>
      </c>
      <c r="EH47" s="541">
        <f t="shared" si="231"/>
        <v>2777.1738594317071</v>
      </c>
      <c r="EI47" s="541">
        <f t="shared" si="231"/>
        <v>2965.4685801536584</v>
      </c>
      <c r="EJ47" s="541">
        <f t="shared" si="231"/>
        <v>2698.1836555188947</v>
      </c>
      <c r="EK47" s="541">
        <f t="shared" si="231"/>
        <v>3439.5709765780493</v>
      </c>
      <c r="EL47" s="541">
        <f t="shared" si="231"/>
        <v>2552.945209573244</v>
      </c>
      <c r="EM47" s="541">
        <f t="shared" si="231"/>
        <v>3180.0306100033022</v>
      </c>
      <c r="EN47" s="542">
        <f t="shared" ref="EN47" si="232">SUM(EB47:EM47)</f>
        <v>31839.448048668943</v>
      </c>
      <c r="EO47" s="541">
        <f>SUM(EO49,EO54,EO55)</f>
        <v>2270.0992701718574</v>
      </c>
      <c r="EP47" s="541">
        <f t="shared" ref="EP47:EZ47" si="233">SUM(EP49,EP54,EP55)</f>
        <v>1761.9077323858919</v>
      </c>
      <c r="EQ47" s="541">
        <f t="shared" si="233"/>
        <v>0</v>
      </c>
      <c r="ER47" s="541">
        <f t="shared" si="233"/>
        <v>0</v>
      </c>
      <c r="ES47" s="541">
        <f t="shared" si="233"/>
        <v>0</v>
      </c>
      <c r="ET47" s="541">
        <f t="shared" si="233"/>
        <v>0</v>
      </c>
      <c r="EU47" s="541">
        <f t="shared" si="233"/>
        <v>0</v>
      </c>
      <c r="EV47" s="541">
        <f t="shared" si="233"/>
        <v>0</v>
      </c>
      <c r="EW47" s="541">
        <f t="shared" si="233"/>
        <v>0</v>
      </c>
      <c r="EX47" s="541">
        <f t="shared" si="233"/>
        <v>0</v>
      </c>
      <c r="EY47" s="541">
        <f t="shared" si="233"/>
        <v>0</v>
      </c>
      <c r="EZ47" s="541">
        <f t="shared" si="233"/>
        <v>0</v>
      </c>
      <c r="FA47" s="542">
        <f t="shared" si="144"/>
        <v>4032.0070025577493</v>
      </c>
      <c r="FB47" s="565"/>
      <c r="FC47" s="566">
        <f>IFERROR(((
_xlfn.XLOOKUP((DATE(YEAR($FC$5),MONTH($FC$5),1)),UCA.AGRO.DATE,$B47:$FA47) /
_xlfn.XLOOKUP((DATE(YEAR($FC$5)-1,MONTH($FC$5),1)),UCA.AGRO.DATE,$B47:$FA47)
)-1)*100,"")</f>
        <v>2.1721201451725181</v>
      </c>
      <c r="FD47" s="567">
        <f t="shared" si="145"/>
        <v>1.0850603494022337</v>
      </c>
      <c r="FE47" s="568">
        <f>SUMIFS($B47:$FA47,UCA.AGRO.DATE,"&gt;="&amp;DATE(YEAR($FC$5)-1,1,1),UCA.AGRO.DATE,"&lt;="&amp;DATE(YEAR($FC$5)-1,MONTH($FC$5),1))</f>
        <v>28351.783477799665</v>
      </c>
      <c r="FF47" s="569">
        <f>SUMIFS($B47:$FA47,UCA.AGRO.DATE,"&gt;="&amp;DATE(YEAR($FC$5),1,1),UCA.AGRO.DATE,"&lt;="&amp;$FC$5)</f>
        <v>28659.417438665641</v>
      </c>
      <c r="FG47" s="509"/>
      <c r="FH47" s="498">
        <f>SUM(B47:FA47)</f>
        <v>673699.73505039746</v>
      </c>
      <c r="FI47" s="499"/>
      <c r="FJ47" s="500" t="str">
        <f>IF(EXACT(A47,FI47)=TRUE,"OK","VER")</f>
        <v>VER</v>
      </c>
    </row>
    <row r="48" spans="1:166" s="447" customFormat="1" ht="15" customHeight="1" x14ac:dyDescent="0.25">
      <c r="A48" s="570"/>
      <c r="B48" s="571"/>
      <c r="C48" s="571"/>
      <c r="D48" s="571"/>
      <c r="E48" s="571"/>
      <c r="F48" s="571"/>
      <c r="G48" s="571"/>
      <c r="H48" s="571"/>
      <c r="I48" s="571"/>
      <c r="J48" s="571"/>
      <c r="K48" s="571"/>
      <c r="L48" s="571"/>
      <c r="M48" s="571"/>
      <c r="N48" s="572"/>
      <c r="O48" s="571"/>
      <c r="P48" s="571"/>
      <c r="Q48" s="571"/>
      <c r="R48" s="571"/>
      <c r="S48" s="571"/>
      <c r="T48" s="571"/>
      <c r="U48" s="571"/>
      <c r="V48" s="571"/>
      <c r="W48" s="571"/>
      <c r="X48" s="571"/>
      <c r="Y48" s="571"/>
      <c r="Z48" s="571"/>
      <c r="AA48" s="572"/>
      <c r="AB48" s="571"/>
      <c r="AC48" s="571"/>
      <c r="AD48" s="571"/>
      <c r="AE48" s="571"/>
      <c r="AF48" s="571"/>
      <c r="AG48" s="571"/>
      <c r="AH48" s="571"/>
      <c r="AI48" s="571"/>
      <c r="AJ48" s="571"/>
      <c r="AK48" s="571"/>
      <c r="AL48" s="571"/>
      <c r="AM48" s="571"/>
      <c r="AN48" s="572"/>
      <c r="AO48" s="571"/>
      <c r="AP48" s="571"/>
      <c r="AQ48" s="571"/>
      <c r="AR48" s="571"/>
      <c r="AS48" s="571"/>
      <c r="AT48" s="571"/>
      <c r="AU48" s="571"/>
      <c r="AV48" s="571"/>
      <c r="AW48" s="571"/>
      <c r="AX48" s="571"/>
      <c r="AY48" s="571"/>
      <c r="AZ48" s="571"/>
      <c r="BA48" s="572"/>
      <c r="BB48" s="571"/>
      <c r="BC48" s="571"/>
      <c r="BD48" s="571"/>
      <c r="BE48" s="571"/>
      <c r="BF48" s="571"/>
      <c r="BG48" s="571"/>
      <c r="BH48" s="571"/>
      <c r="BI48" s="571"/>
      <c r="BJ48" s="571"/>
      <c r="BK48" s="571"/>
      <c r="BL48" s="571"/>
      <c r="BM48" s="571"/>
      <c r="BN48" s="572"/>
      <c r="BO48" s="571"/>
      <c r="BP48" s="571"/>
      <c r="BQ48" s="571"/>
      <c r="BR48" s="571"/>
      <c r="BS48" s="571"/>
      <c r="BT48" s="571"/>
      <c r="BU48" s="571"/>
      <c r="BV48" s="571"/>
      <c r="BW48" s="571"/>
      <c r="BX48" s="571"/>
      <c r="BY48" s="571"/>
      <c r="BZ48" s="571"/>
      <c r="CA48" s="572"/>
      <c r="CB48" s="571"/>
      <c r="CC48" s="571"/>
      <c r="CD48" s="571"/>
      <c r="CE48" s="571"/>
      <c r="CF48" s="571"/>
      <c r="CG48" s="571"/>
      <c r="CH48" s="571"/>
      <c r="CI48" s="571"/>
      <c r="CJ48" s="571"/>
      <c r="CK48" s="571"/>
      <c r="CL48" s="571"/>
      <c r="CM48" s="571"/>
      <c r="CN48" s="572"/>
      <c r="CO48" s="571"/>
      <c r="CP48" s="571"/>
      <c r="CQ48" s="571"/>
      <c r="CR48" s="571"/>
      <c r="CS48" s="571"/>
      <c r="CT48" s="571"/>
      <c r="CU48" s="571"/>
      <c r="CV48" s="571"/>
      <c r="CW48" s="571"/>
      <c r="CX48" s="571"/>
      <c r="CY48" s="571"/>
      <c r="CZ48" s="571"/>
      <c r="DA48" s="572"/>
      <c r="DB48" s="571"/>
      <c r="DC48" s="571"/>
      <c r="DD48" s="571"/>
      <c r="DE48" s="571"/>
      <c r="DF48" s="571"/>
      <c r="DG48" s="571"/>
      <c r="DH48" s="571"/>
      <c r="DI48" s="571"/>
      <c r="DJ48" s="571"/>
      <c r="DK48" s="571"/>
      <c r="DL48" s="571"/>
      <c r="DM48" s="571"/>
      <c r="DN48" s="572"/>
      <c r="DO48" s="571"/>
      <c r="DP48" s="571"/>
      <c r="DQ48" s="571"/>
      <c r="DR48" s="571"/>
      <c r="DS48" s="571"/>
      <c r="DT48" s="571"/>
      <c r="DU48" s="571"/>
      <c r="DV48" s="571"/>
      <c r="DW48" s="571"/>
      <c r="DX48" s="571"/>
      <c r="DY48" s="571"/>
      <c r="DZ48" s="571"/>
      <c r="EA48" s="572"/>
      <c r="EB48" s="571"/>
      <c r="EC48" s="571"/>
      <c r="ED48" s="571"/>
      <c r="EE48" s="571"/>
      <c r="EF48" s="571"/>
      <c r="EG48" s="571"/>
      <c r="EH48" s="571"/>
      <c r="EI48" s="571"/>
      <c r="EJ48" s="571"/>
      <c r="EK48" s="571"/>
      <c r="EL48" s="571"/>
      <c r="EM48" s="571"/>
      <c r="EN48" s="572"/>
      <c r="EO48" s="571"/>
      <c r="EP48" s="571"/>
      <c r="EQ48" s="571"/>
      <c r="ER48" s="571"/>
      <c r="ES48" s="571"/>
      <c r="ET48" s="571"/>
      <c r="EU48" s="571"/>
      <c r="EV48" s="571"/>
      <c r="EW48" s="571"/>
      <c r="EX48" s="571"/>
      <c r="EY48" s="571"/>
      <c r="EZ48" s="571"/>
      <c r="FA48" s="572"/>
      <c r="FB48" s="533"/>
      <c r="FC48" s="534"/>
      <c r="FD48" s="535"/>
      <c r="FE48" s="536"/>
      <c r="FF48" s="537"/>
      <c r="FG48" s="470"/>
      <c r="FH48" s="498"/>
      <c r="FI48" s="499"/>
      <c r="FJ48" s="500"/>
    </row>
    <row r="49" spans="1:166" s="447" customFormat="1" ht="15" customHeight="1" x14ac:dyDescent="0.25">
      <c r="A49" s="556" t="s">
        <v>603</v>
      </c>
      <c r="B49" s="557">
        <f t="shared" ref="B49" si="234">SUM(B50:B53)</f>
        <v>1976</v>
      </c>
      <c r="C49" s="557">
        <f t="shared" ref="C49" si="235">SUM(C50:C53)</f>
        <v>2415</v>
      </c>
      <c r="D49" s="557">
        <f t="shared" ref="D49" si="236">SUM(D50:D53)</f>
        <v>2339</v>
      </c>
      <c r="E49" s="557">
        <f t="shared" ref="E49" si="237">SUM(E50:E53)</f>
        <v>2437</v>
      </c>
      <c r="F49" s="557">
        <f t="shared" ref="F49" si="238">SUM(F50:F53)</f>
        <v>1815</v>
      </c>
      <c r="G49" s="557">
        <f t="shared" ref="G49" si="239">SUM(G50:G53)</f>
        <v>1691</v>
      </c>
      <c r="H49" s="557">
        <f t="shared" ref="H49" si="240">SUM(H50:H53)</f>
        <v>1732</v>
      </c>
      <c r="I49" s="557">
        <f t="shared" ref="I49" si="241">SUM(I50:I53)</f>
        <v>1437</v>
      </c>
      <c r="J49" s="557">
        <f t="shared" ref="J49" si="242">SUM(J50:J53)</f>
        <v>1251</v>
      </c>
      <c r="K49" s="557">
        <f t="shared" ref="K49" si="243">SUM(K50:K53)</f>
        <v>1337</v>
      </c>
      <c r="L49" s="557">
        <f t="shared" ref="L49" si="244">SUM(L50:L53)</f>
        <v>1437</v>
      </c>
      <c r="M49" s="557">
        <f t="shared" ref="M49" si="245">SUM(M50:M53)</f>
        <v>1567</v>
      </c>
      <c r="N49" s="516">
        <f t="shared" ref="N49" si="246">SUM(B49:M49)</f>
        <v>21434</v>
      </c>
      <c r="O49" s="557">
        <f t="shared" ref="O49" si="247">SUM(O50:O53)</f>
        <v>1135</v>
      </c>
      <c r="P49" s="557">
        <f t="shared" ref="P49" si="248">SUM(P50:P53)</f>
        <v>1086</v>
      </c>
      <c r="Q49" s="557">
        <f t="shared" ref="Q49" si="249">SUM(Q50:Q53)</f>
        <v>876</v>
      </c>
      <c r="R49" s="557">
        <f t="shared" ref="R49" si="250">SUM(R50:R53)</f>
        <v>1043</v>
      </c>
      <c r="S49" s="557">
        <f t="shared" ref="S49" si="251">SUM(S50:S53)</f>
        <v>1402</v>
      </c>
      <c r="T49" s="557">
        <f t="shared" ref="T49" si="252">SUM(T50:T53)</f>
        <v>1385</v>
      </c>
      <c r="U49" s="557">
        <f t="shared" ref="U49" si="253">SUM(U50:U53)</f>
        <v>1120</v>
      </c>
      <c r="V49" s="557">
        <f t="shared" ref="V49" si="254">SUM(V50:V53)</f>
        <v>1182</v>
      </c>
      <c r="W49" s="557">
        <f t="shared" ref="W49" si="255">SUM(W50:W53)</f>
        <v>1087</v>
      </c>
      <c r="X49" s="557">
        <f t="shared" ref="X49" si="256">SUM(X50:X53)</f>
        <v>855</v>
      </c>
      <c r="Y49" s="557">
        <f t="shared" ref="Y49" si="257">SUM(Y50:Y53)</f>
        <v>1038</v>
      </c>
      <c r="Z49" s="557">
        <f t="shared" ref="Z49" si="258">SUM(Z50:Z53)</f>
        <v>1218</v>
      </c>
      <c r="AA49" s="516">
        <f t="shared" ref="AA49" si="259">SUM(O49:Z49)</f>
        <v>13427</v>
      </c>
      <c r="AB49" s="557">
        <f t="shared" ref="AB49" si="260">SUM(AB50:AB53)</f>
        <v>553</v>
      </c>
      <c r="AC49" s="557">
        <f t="shared" ref="AC49" si="261">SUM(AC50:AC53)</f>
        <v>1041</v>
      </c>
      <c r="AD49" s="557">
        <f t="shared" ref="AD49" si="262">SUM(AD50:AD53)</f>
        <v>1384</v>
      </c>
      <c r="AE49" s="557">
        <f t="shared" ref="AE49" si="263">SUM(AE50:AE53)</f>
        <v>1249</v>
      </c>
      <c r="AF49" s="557">
        <f t="shared" ref="AF49" si="264">SUM(AF50:AF53)</f>
        <v>1665</v>
      </c>
      <c r="AG49" s="557">
        <f t="shared" ref="AG49" si="265">SUM(AG50:AG53)</f>
        <v>1609</v>
      </c>
      <c r="AH49" s="557">
        <f t="shared" ref="AH49" si="266">SUM(AH50:AH53)</f>
        <v>1392</v>
      </c>
      <c r="AI49" s="557">
        <f t="shared" ref="AI49" si="267">SUM(AI50:AI53)</f>
        <v>1256</v>
      </c>
      <c r="AJ49" s="557">
        <f t="shared" ref="AJ49" si="268">SUM(AJ50:AJ53)</f>
        <v>1292</v>
      </c>
      <c r="AK49" s="557">
        <f t="shared" ref="AK49" si="269">SUM(AK50:AK53)</f>
        <v>1152</v>
      </c>
      <c r="AL49" s="557">
        <f t="shared" ref="AL49" si="270">SUM(AL50:AL53)</f>
        <v>1139</v>
      </c>
      <c r="AM49" s="557">
        <f t="shared" ref="AM49" si="271">SUM(AM50:AM53)</f>
        <v>1232</v>
      </c>
      <c r="AN49" s="516">
        <f t="shared" ref="AN49" si="272">SUM(AB49:AM49)</f>
        <v>14964</v>
      </c>
      <c r="AO49" s="557">
        <f t="shared" ref="AO49" si="273">SUM(AO50:AO53)</f>
        <v>997</v>
      </c>
      <c r="AP49" s="557">
        <f t="shared" ref="AP49" si="274">SUM(AP50:AP53)</f>
        <v>795</v>
      </c>
      <c r="AQ49" s="557">
        <f t="shared" ref="AQ49" si="275">SUM(AQ50:AQ53)</f>
        <v>1237</v>
      </c>
      <c r="AR49" s="557">
        <f t="shared" ref="AR49" si="276">SUM(AR50:AR53)</f>
        <v>1433</v>
      </c>
      <c r="AS49" s="557">
        <f t="shared" ref="AS49" si="277">SUM(AS50:AS53)</f>
        <v>1325</v>
      </c>
      <c r="AT49" s="557">
        <f t="shared" ref="AT49" si="278">SUM(AT50:AT53)</f>
        <v>1475</v>
      </c>
      <c r="AU49" s="557">
        <f t="shared" ref="AU49" si="279">SUM(AU50:AU53)</f>
        <v>1405</v>
      </c>
      <c r="AV49" s="557">
        <f t="shared" ref="AV49" si="280">SUM(AV50:AV53)</f>
        <v>1809</v>
      </c>
      <c r="AW49" s="557">
        <f t="shared" ref="AW49" si="281">SUM(AW50:AW53)</f>
        <v>1426</v>
      </c>
      <c r="AX49" s="557">
        <f t="shared" ref="AX49" si="282">SUM(AX50:AX53)</f>
        <v>2023</v>
      </c>
      <c r="AY49" s="557">
        <f t="shared" ref="AY49" si="283">SUM(AY50:AY53)</f>
        <v>1521</v>
      </c>
      <c r="AZ49" s="557">
        <f t="shared" ref="AZ49" si="284">SUM(AZ50:AZ53)</f>
        <v>2147</v>
      </c>
      <c r="BA49" s="516">
        <f t="shared" ref="BA49" si="285">SUM(AO49:AZ49)</f>
        <v>17593</v>
      </c>
      <c r="BB49" s="557">
        <f t="shared" ref="BB49" si="286">SUM(BB50:BB53)</f>
        <v>1406</v>
      </c>
      <c r="BC49" s="557">
        <f t="shared" ref="BC49" si="287">SUM(BC50:BC53)</f>
        <v>1069</v>
      </c>
      <c r="BD49" s="557">
        <f t="shared" ref="BD49" si="288">SUM(BD50:BD53)</f>
        <v>1663</v>
      </c>
      <c r="BE49" s="557">
        <f t="shared" ref="BE49" si="289">SUM(BE50:BE53)</f>
        <v>2018</v>
      </c>
      <c r="BF49" s="557">
        <f t="shared" ref="BF49" si="290">SUM(BF50:BF53)</f>
        <v>1911</v>
      </c>
      <c r="BG49" s="557">
        <f t="shared" ref="BG49" si="291">SUM(BG50:BG53)</f>
        <v>2078</v>
      </c>
      <c r="BH49" s="557">
        <f t="shared" ref="BH49" si="292">SUM(BH50:BH53)</f>
        <v>2041</v>
      </c>
      <c r="BI49" s="557">
        <f t="shared" ref="BI49" si="293">SUM(BI50:BI53)</f>
        <v>2498</v>
      </c>
      <c r="BJ49" s="557">
        <f t="shared" ref="BJ49" si="294">SUM(BJ50:BJ53)</f>
        <v>2035</v>
      </c>
      <c r="BK49" s="557">
        <f t="shared" ref="BK49" si="295">SUM(BK50:BK53)</f>
        <v>2848</v>
      </c>
      <c r="BL49" s="557">
        <f t="shared" ref="BL49" si="296">SUM(BL50:BL53)</f>
        <v>2040</v>
      </c>
      <c r="BM49" s="557">
        <f t="shared" ref="BM49" si="297">SUM(BM50:BM53)</f>
        <v>2772</v>
      </c>
      <c r="BN49" s="516">
        <f t="shared" ref="BN49" si="298">SUM(BB49:BM49)</f>
        <v>24379</v>
      </c>
      <c r="BO49" s="557">
        <f t="shared" ref="BO49" si="299">SUM(BO50:BO53)</f>
        <v>1436.5865202121504</v>
      </c>
      <c r="BP49" s="557">
        <f t="shared" ref="BP49" si="300">SUM(BP50:BP53)</f>
        <v>1064.0578775992553</v>
      </c>
      <c r="BQ49" s="557">
        <f t="shared" ref="BQ49" si="301">SUM(BQ50:BQ53)</f>
        <v>1598.7801920217598</v>
      </c>
      <c r="BR49" s="557">
        <f t="shared" ref="BR49" si="302">SUM(BR50:BR53)</f>
        <v>1944.8722419512198</v>
      </c>
      <c r="BS49" s="557">
        <f t="shared" ref="BS49" si="303">SUM(BS50:BS53)</f>
        <v>1835.7947291463418</v>
      </c>
      <c r="BT49" s="557">
        <f t="shared" ref="BT49" si="304">SUM(BT50:BT53)</f>
        <v>2086.5316112195128</v>
      </c>
      <c r="BU49" s="557">
        <f t="shared" ref="BU49" si="305">SUM(BU50:BU53)</f>
        <v>2039.2466041463415</v>
      </c>
      <c r="BV49" s="557">
        <f t="shared" ref="BV49" si="306">SUM(BV50:BV53)</f>
        <v>2367.5462344571979</v>
      </c>
      <c r="BW49" s="557">
        <f t="shared" ref="BW49" si="307">SUM(BW50:BW53)</f>
        <v>1942.8433957436635</v>
      </c>
      <c r="BX49" s="557">
        <f t="shared" ref="BX49" si="308">SUM(BX50:BX53)</f>
        <v>2726.5487463290297</v>
      </c>
      <c r="BY49" s="557">
        <f t="shared" ref="BY49" si="309">SUM(BY50:BY53)</f>
        <v>1952.2614395026303</v>
      </c>
      <c r="BZ49" s="557">
        <f t="shared" ref="BZ49" si="310">SUM(BZ50:BZ53)</f>
        <v>2725.7666905786709</v>
      </c>
      <c r="CA49" s="516">
        <f t="shared" ref="CA49" si="311">SUM(BO49:BZ49)</f>
        <v>23720.836282907771</v>
      </c>
      <c r="CB49" s="557">
        <f t="shared" ref="CB49" si="312">SUM(CB50:CB53)</f>
        <v>1456.6485581061693</v>
      </c>
      <c r="CC49" s="557">
        <f t="shared" ref="CC49" si="313">SUM(CC50:CC53)</f>
        <v>1091.8084803957438</v>
      </c>
      <c r="CD49" s="557">
        <f t="shared" ref="CD49" si="314">SUM(CD50:CD53)</f>
        <v>1583.6422659014827</v>
      </c>
      <c r="CE49" s="557">
        <f t="shared" ref="CE49" si="315">SUM(CE50:CE53)</f>
        <v>1955.8771021855573</v>
      </c>
      <c r="CF49" s="557">
        <f t="shared" ref="CF49" si="316">SUM(CF50:CF53)</f>
        <v>1867.4280850789098</v>
      </c>
      <c r="CG49" s="557">
        <f t="shared" ref="CG49" si="317">SUM(CG50:CG53)</f>
        <v>2127.6106829268292</v>
      </c>
      <c r="CH49" s="557">
        <f t="shared" ref="CH49" si="318">SUM(CH50:CH53)</f>
        <v>2060.8967560975611</v>
      </c>
      <c r="CI49" s="557">
        <f t="shared" ref="CI49" si="319">SUM(CI50:CI53)</f>
        <v>2465.7101262875431</v>
      </c>
      <c r="CJ49" s="557">
        <f t="shared" ref="CJ49" si="320">SUM(CJ50:CJ53)</f>
        <v>2068.1032912369815</v>
      </c>
      <c r="CK49" s="557">
        <f t="shared" ref="CK49" si="321">SUM(CK50:CK53)</f>
        <v>2789.028595308293</v>
      </c>
      <c r="CL49" s="557">
        <f t="shared" ref="CL49" si="322">SUM(CL50:CL53)</f>
        <v>1978.1353576080317</v>
      </c>
      <c r="CM49" s="557">
        <f t="shared" ref="CM49" si="323">SUM(CM50:CM53)</f>
        <v>2761.9026554592579</v>
      </c>
      <c r="CN49" s="516">
        <f t="shared" ref="CN49" si="324">SUM(CB49:CM49)</f>
        <v>24206.791956592362</v>
      </c>
      <c r="CO49" s="557">
        <f t="shared" ref="CO49" si="325">SUM(CO50:CO53)</f>
        <v>1555.1517885883484</v>
      </c>
      <c r="CP49" s="557">
        <f t="shared" ref="CP49" si="326">SUM(CP50:CP53)</f>
        <v>1131.8672885297999</v>
      </c>
      <c r="CQ49" s="557">
        <f t="shared" ref="CQ49" si="327">SUM(CQ50:CQ53)</f>
        <v>1640.3416107680866</v>
      </c>
      <c r="CR49" s="557">
        <f t="shared" ref="CR49" si="328">SUM(CR50:CR53)</f>
        <v>2023.6828360588206</v>
      </c>
      <c r="CS49" s="557">
        <f t="shared" ref="CS49" si="329">SUM(CS50:CS53)</f>
        <v>1904.4973418487361</v>
      </c>
      <c r="CT49" s="557">
        <f t="shared" ref="CT49" si="330">SUM(CT50:CT53)</f>
        <v>2149.3793416360008</v>
      </c>
      <c r="CU49" s="557">
        <f t="shared" ref="CU49" si="331">SUM(CU50:CU53)</f>
        <v>2065.6984334132321</v>
      </c>
      <c r="CV49" s="557">
        <f t="shared" ref="CV49" si="332">SUM(CV50:CV53)</f>
        <v>2414.1576929764542</v>
      </c>
      <c r="CW49" s="557">
        <f t="shared" ref="CW49" si="333">SUM(CW50:CW53)</f>
        <v>1989.2035556192322</v>
      </c>
      <c r="CX49" s="557">
        <f t="shared" ref="CX49" si="334">SUM(CX50:CX53)</f>
        <v>2722.0433808553635</v>
      </c>
      <c r="CY49" s="557">
        <f t="shared" ref="CY49" si="335">SUM(CY50:CY53)</f>
        <v>1867.0072377632978</v>
      </c>
      <c r="CZ49" s="557">
        <f t="shared" ref="CZ49" si="336">SUM(CZ50:CZ53)</f>
        <v>2545.8310689572832</v>
      </c>
      <c r="DA49" s="516">
        <f t="shared" ref="DA49" si="337">SUM(CO49:CZ49)</f>
        <v>24008.861577014653</v>
      </c>
      <c r="DB49" s="557">
        <f t="shared" ref="DB49" si="338">SUM(DB50:DB53)</f>
        <v>1599.038844091747</v>
      </c>
      <c r="DC49" s="557">
        <f t="shared" ref="DC49" si="339">SUM(DC50:DC53)</f>
        <v>1167.8423197899683</v>
      </c>
      <c r="DD49" s="557">
        <f t="shared" ref="DD49" si="340">SUM(DD50:DD53)</f>
        <v>1721.6519011581063</v>
      </c>
      <c r="DE49" s="557">
        <f t="shared" ref="DE49" si="341">SUM(DE50:DE53)</f>
        <v>1998.2700726594026</v>
      </c>
      <c r="DF49" s="557">
        <f t="shared" ref="DF49" si="342">SUM(DF50:DF53)</f>
        <v>1918.152145905545</v>
      </c>
      <c r="DG49" s="557">
        <f t="shared" ref="DG49" si="343">SUM(DG50:DG53)</f>
        <v>2046.5458451208499</v>
      </c>
      <c r="DH49" s="557">
        <f t="shared" ref="DH49" si="344">SUM(DH50:DH53)</f>
        <v>2051.6409512195119</v>
      </c>
      <c r="DI49" s="557">
        <f t="shared" ref="DI49" si="345">SUM(DI50:DI53)</f>
        <v>2487.8929688553494</v>
      </c>
      <c r="DJ49" s="557">
        <f t="shared" ref="DJ49" si="346">SUM(DJ50:DJ53)</f>
        <v>2107.3446951219507</v>
      </c>
      <c r="DK49" s="557">
        <f t="shared" ref="DK49" si="347">SUM(DK50:DK53)</f>
        <v>2782.077914634147</v>
      </c>
      <c r="DL49" s="557">
        <f t="shared" ref="DL49" si="348">SUM(DL50:DL53)</f>
        <v>1987.582104878049</v>
      </c>
      <c r="DM49" s="557">
        <f t="shared" ref="DM49" si="349">SUM(DM50:DM53)</f>
        <v>2650.9951219512191</v>
      </c>
      <c r="DN49" s="516">
        <f t="shared" ref="DN49" si="350">SUM(DB49:DM49)</f>
        <v>24519.034885385849</v>
      </c>
      <c r="DO49" s="557">
        <f t="shared" ref="DO49" si="351">SUM(DO50:DO53)</f>
        <v>1562.0088773747286</v>
      </c>
      <c r="DP49" s="557">
        <f t="shared" ref="DP49" si="352">SUM(DP50:DP53)</f>
        <v>1147.3625860449215</v>
      </c>
      <c r="DQ49" s="557">
        <f t="shared" ref="DQ49" si="353">SUM(DQ50:DQ53)</f>
        <v>1740.409054184923</v>
      </c>
      <c r="DR49" s="557">
        <f t="shared" ref="DR49" si="354">SUM(DR50:DR53)</f>
        <v>2002.7814930655186</v>
      </c>
      <c r="DS49" s="557">
        <f t="shared" ref="DS49" si="355">SUM(DS50:DS53)</f>
        <v>1922.8294778813963</v>
      </c>
      <c r="DT49" s="557">
        <f t="shared" ref="DT49" si="356">SUM(DT50:DT53)</f>
        <v>2042.9350043651364</v>
      </c>
      <c r="DU49" s="557">
        <f t="shared" ref="DU49" si="357">SUM(DU50:DU53)</f>
        <v>2062.9871636633188</v>
      </c>
      <c r="DV49" s="557">
        <f t="shared" ref="DV49" si="358">SUM(DV50:DV53)</f>
        <v>2454.2378108656144</v>
      </c>
      <c r="DW49" s="557">
        <f t="shared" ref="DW49" si="359">SUM(DW50:DW53)</f>
        <v>2133.4376996652318</v>
      </c>
      <c r="DX49" s="557">
        <f t="shared" ref="DX49" si="360">SUM(DX50:DX53)</f>
        <v>2903.5735828550942</v>
      </c>
      <c r="DY49" s="557">
        <f t="shared" ref="DY49" si="361">SUM(DY50:DY53)</f>
        <v>2012.0959250597798</v>
      </c>
      <c r="DZ49" s="557">
        <f t="shared" ref="DZ49" si="362">SUM(DZ50:DZ53)</f>
        <v>2664.1677235772281</v>
      </c>
      <c r="EA49" s="516">
        <f t="shared" ref="EA49" si="363">SUM(DO49:DZ49)</f>
        <v>24648.826398602894</v>
      </c>
      <c r="EB49" s="557">
        <f t="shared" ref="EB49" si="364">SUM(EB50:EB53)</f>
        <v>1754.369984681776</v>
      </c>
      <c r="EC49" s="557">
        <f t="shared" ref="EC49" si="365">SUM(EC50:EC53)</f>
        <v>1240.4909634362384</v>
      </c>
      <c r="ED49" s="557">
        <f t="shared" ref="ED49" si="366">SUM(ED50:ED53)</f>
        <v>1766.4560170731711</v>
      </c>
      <c r="EE49" s="557">
        <f t="shared" ref="EE49" si="367">SUM(EE50:EE53)</f>
        <v>2035.125097702519</v>
      </c>
      <c r="EF49" s="557">
        <f t="shared" ref="EF49" si="368">SUM(EF50:EF53)</f>
        <v>2052.634728135899</v>
      </c>
      <c r="EG49" s="557">
        <f t="shared" ref="EG49" si="369">SUM(EG50:EG53)</f>
        <v>2269.2930487804874</v>
      </c>
      <c r="EH49" s="557">
        <f t="shared" ref="EH49" si="370">SUM(EH50:EH53)</f>
        <v>2258.5331707317073</v>
      </c>
      <c r="EI49" s="557">
        <f t="shared" ref="EI49" si="371">SUM(EI50:EI53)</f>
        <v>2441.2068658536587</v>
      </c>
      <c r="EJ49" s="557">
        <f t="shared" ref="EJ49" si="372">SUM(EJ50:EJ53)</f>
        <v>2154.4740243902443</v>
      </c>
      <c r="EK49" s="557">
        <f t="shared" ref="EK49" si="373">SUM(EK50:EK53)</f>
        <v>2929.5013048780493</v>
      </c>
      <c r="EL49" s="557">
        <f t="shared" ref="EL49" si="374">SUM(EL50:EL53)</f>
        <v>2046.9009589732441</v>
      </c>
      <c r="EM49" s="557">
        <f t="shared" ref="EM49" si="375">SUM(EM50:EM53)</f>
        <v>2687.8347943567669</v>
      </c>
      <c r="EN49" s="516">
        <f t="shared" ref="EN49" si="376">SUM(EB49:EM49)</f>
        <v>25636.820958993765</v>
      </c>
      <c r="EO49" s="557">
        <f>SUM(EO50:EO53)</f>
        <v>1749.2058478341537</v>
      </c>
      <c r="EP49" s="557">
        <f t="shared" ref="EP49:EZ49" si="377">SUM(EP50:EP53)</f>
        <v>1233.9898244858919</v>
      </c>
      <c r="EQ49" s="557">
        <f t="shared" si="377"/>
        <v>0</v>
      </c>
      <c r="ER49" s="557">
        <f t="shared" si="377"/>
        <v>0</v>
      </c>
      <c r="ES49" s="557">
        <f t="shared" si="377"/>
        <v>0</v>
      </c>
      <c r="ET49" s="557">
        <f t="shared" si="377"/>
        <v>0</v>
      </c>
      <c r="EU49" s="557">
        <f t="shared" si="377"/>
        <v>0</v>
      </c>
      <c r="EV49" s="557">
        <f t="shared" si="377"/>
        <v>0</v>
      </c>
      <c r="EW49" s="557">
        <f t="shared" si="377"/>
        <v>0</v>
      </c>
      <c r="EX49" s="557">
        <f t="shared" si="377"/>
        <v>0</v>
      </c>
      <c r="EY49" s="557">
        <f t="shared" si="377"/>
        <v>0</v>
      </c>
      <c r="EZ49" s="557">
        <f t="shared" si="377"/>
        <v>0</v>
      </c>
      <c r="FA49" s="516">
        <f t="shared" si="144"/>
        <v>2983.1956723200456</v>
      </c>
      <c r="FC49" s="524">
        <f t="shared" ref="FC49:FC55" si="378">IFERROR(((
_xlfn.XLOOKUP((DATE(YEAR($FC$5),MONTH($FC$5),1)),UCA.AGRO.DATE,$B49:$FA49) /
_xlfn.XLOOKUP((DATE(YEAR($FC$5)-1,MONTH($FC$5),1)),UCA.AGRO.DATE,$B49:$FA49)
)-1)*100,"")</f>
        <v>1.7297899906253411</v>
      </c>
      <c r="FD49" s="525">
        <f t="shared" si="145"/>
        <v>4.3863655281889846</v>
      </c>
      <c r="FE49" s="526">
        <f t="shared" ref="FE49:FE55" si="379">SUMIFS($B49:$FA49,UCA.AGRO.DATE,"&gt;="&amp;DATE(YEAR($FC$5)-1,1,1),UCA.AGRO.DATE,"&lt;="&amp;DATE(YEAR($FC$5)-1,MONTH($FC$5),1))</f>
        <v>21984.658675025665</v>
      </c>
      <c r="FF49" s="527">
        <f t="shared" ref="FF49:FF55" si="380">SUMIFS($B49:$FA49,UCA.AGRO.DATE,"&gt;="&amp;DATE(YEAR($FC$5),1,1),UCA.AGRO.DATE,"&lt;="&amp;$FC$5)</f>
        <v>22948.986164636997</v>
      </c>
      <c r="FG49" s="573"/>
      <c r="FH49" s="498">
        <f t="shared" ref="FH49:FH55" si="381">SUM(B49:FA49)</f>
        <v>483042.73546363477</v>
      </c>
      <c r="FI49" s="499"/>
      <c r="FJ49" s="500" t="str">
        <f t="shared" ref="FJ49:FJ55" si="382">IF(EXACT(A49,FI49)=TRUE,"OK","VER")</f>
        <v>VER</v>
      </c>
    </row>
    <row r="50" spans="1:166" s="447" customFormat="1" ht="15" customHeight="1" x14ac:dyDescent="0.25">
      <c r="A50" s="574" t="s">
        <v>628</v>
      </c>
      <c r="B50" s="492">
        <v>1756</v>
      </c>
      <c r="C50" s="492">
        <v>2201</v>
      </c>
      <c r="D50" s="492">
        <v>2125</v>
      </c>
      <c r="E50" s="492">
        <v>2210</v>
      </c>
      <c r="F50" s="492">
        <v>1579</v>
      </c>
      <c r="G50" s="492">
        <v>1461</v>
      </c>
      <c r="H50" s="492">
        <v>1491</v>
      </c>
      <c r="I50" s="492">
        <v>1198</v>
      </c>
      <c r="J50" s="492">
        <v>1018</v>
      </c>
      <c r="K50" s="492">
        <v>1089</v>
      </c>
      <c r="L50" s="492">
        <v>1179</v>
      </c>
      <c r="M50" s="492">
        <v>1297</v>
      </c>
      <c r="N50" s="493">
        <f t="shared" ref="N50:N53" si="383">SUM(B50:M50)</f>
        <v>18604</v>
      </c>
      <c r="O50" s="492">
        <v>883</v>
      </c>
      <c r="P50" s="492">
        <v>838</v>
      </c>
      <c r="Q50" s="492">
        <v>630</v>
      </c>
      <c r="R50" s="492">
        <v>790</v>
      </c>
      <c r="S50" s="492">
        <v>1168</v>
      </c>
      <c r="T50" s="492">
        <v>1129</v>
      </c>
      <c r="U50" s="492">
        <v>864</v>
      </c>
      <c r="V50" s="492">
        <v>917</v>
      </c>
      <c r="W50" s="492">
        <v>839</v>
      </c>
      <c r="X50" s="492">
        <v>605</v>
      </c>
      <c r="Y50" s="492">
        <v>795</v>
      </c>
      <c r="Z50" s="492">
        <v>949</v>
      </c>
      <c r="AA50" s="493">
        <f t="shared" ref="AA50:AA53" si="384">SUM(O50:Z50)</f>
        <v>10407</v>
      </c>
      <c r="AB50" s="492">
        <v>311</v>
      </c>
      <c r="AC50" s="492">
        <v>805</v>
      </c>
      <c r="AD50" s="492">
        <v>1155</v>
      </c>
      <c r="AE50" s="492">
        <v>995</v>
      </c>
      <c r="AF50" s="492">
        <v>1415</v>
      </c>
      <c r="AG50" s="492">
        <v>1393</v>
      </c>
      <c r="AH50" s="492">
        <v>1181</v>
      </c>
      <c r="AI50" s="492">
        <v>1028</v>
      </c>
      <c r="AJ50" s="492">
        <v>1065</v>
      </c>
      <c r="AK50" s="492">
        <v>913</v>
      </c>
      <c r="AL50" s="492">
        <v>904</v>
      </c>
      <c r="AM50" s="492">
        <v>878</v>
      </c>
      <c r="AN50" s="493">
        <f t="shared" ref="AN50:AN53" si="385">SUM(AB50:AM50)</f>
        <v>12043</v>
      </c>
      <c r="AO50" s="492">
        <v>749</v>
      </c>
      <c r="AP50" s="492">
        <v>583</v>
      </c>
      <c r="AQ50" s="492">
        <v>991</v>
      </c>
      <c r="AR50" s="492">
        <v>1200</v>
      </c>
      <c r="AS50" s="492">
        <v>1095</v>
      </c>
      <c r="AT50" s="492">
        <v>1252</v>
      </c>
      <c r="AU50" s="492">
        <v>1188</v>
      </c>
      <c r="AV50" s="492">
        <v>1593</v>
      </c>
      <c r="AW50" s="492">
        <v>1200</v>
      </c>
      <c r="AX50" s="492">
        <v>1788</v>
      </c>
      <c r="AY50" s="492">
        <v>1264</v>
      </c>
      <c r="AZ50" s="492">
        <v>1827</v>
      </c>
      <c r="BA50" s="493">
        <f t="shared" ref="BA50:BA53" si="386">SUM(AO50:AZ50)</f>
        <v>14730</v>
      </c>
      <c r="BB50" s="492">
        <v>1044</v>
      </c>
      <c r="BC50" s="492">
        <v>719</v>
      </c>
      <c r="BD50" s="492">
        <v>1278</v>
      </c>
      <c r="BE50" s="492">
        <v>1624</v>
      </c>
      <c r="BF50" s="492">
        <v>1516</v>
      </c>
      <c r="BG50" s="492">
        <v>1640</v>
      </c>
      <c r="BH50" s="492">
        <v>1615</v>
      </c>
      <c r="BI50" s="492">
        <v>2084</v>
      </c>
      <c r="BJ50" s="492">
        <v>1571</v>
      </c>
      <c r="BK50" s="492">
        <v>2372</v>
      </c>
      <c r="BL50" s="492">
        <v>1545</v>
      </c>
      <c r="BM50" s="492">
        <v>2198</v>
      </c>
      <c r="BN50" s="493">
        <f t="shared" ref="BN50:BN53" si="387">SUM(BB50:BM50)</f>
        <v>19206</v>
      </c>
      <c r="BO50" s="492">
        <v>1093.8022457023465</v>
      </c>
      <c r="BP50" s="492">
        <v>733.91090563847126</v>
      </c>
      <c r="BQ50" s="492">
        <v>1241.4842900609756</v>
      </c>
      <c r="BR50" s="492">
        <v>1571.3887419512198</v>
      </c>
      <c r="BS50" s="492">
        <v>1498.4083291463417</v>
      </c>
      <c r="BT50" s="492">
        <v>1635.0064512195124</v>
      </c>
      <c r="BU50" s="492">
        <v>1603.8933041463413</v>
      </c>
      <c r="BV50" s="492">
        <v>1934.4619207317076</v>
      </c>
      <c r="BW50" s="492">
        <v>1465.056768292683</v>
      </c>
      <c r="BX50" s="492">
        <v>2240.8741188780491</v>
      </c>
      <c r="BY50" s="492">
        <v>1456.4963414634146</v>
      </c>
      <c r="BZ50" s="492">
        <v>2111.3451219512199</v>
      </c>
      <c r="CA50" s="493">
        <v>18586.128539182282</v>
      </c>
      <c r="CB50" s="492">
        <v>1074.6691463414634</v>
      </c>
      <c r="CC50" s="492">
        <v>712.49091176829268</v>
      </c>
      <c r="CD50" s="492">
        <v>1207.305756097561</v>
      </c>
      <c r="CE50" s="492">
        <v>1526.9320041463416</v>
      </c>
      <c r="CF50" s="492">
        <v>1471.3887439024393</v>
      </c>
      <c r="CG50" s="492">
        <v>1666.3676829268293</v>
      </c>
      <c r="CH50" s="492">
        <v>1639.4167560975611</v>
      </c>
      <c r="CI50" s="492">
        <v>1996.8641262875431</v>
      </c>
      <c r="CJ50" s="492">
        <v>1592.6832912369816</v>
      </c>
      <c r="CK50" s="492">
        <v>2340.5460953082929</v>
      </c>
      <c r="CL50" s="492">
        <v>1528.3153576080317</v>
      </c>
      <c r="CM50" s="492">
        <v>2144.0226554592577</v>
      </c>
      <c r="CN50" s="493">
        <v>18901.002527180597</v>
      </c>
      <c r="CO50" s="492">
        <v>1202.8107885883485</v>
      </c>
      <c r="CP50" s="492">
        <v>755.57591598078034</v>
      </c>
      <c r="CQ50" s="492">
        <v>1244.231649983773</v>
      </c>
      <c r="CR50" s="492">
        <v>1584.2300223333305</v>
      </c>
      <c r="CS50" s="492">
        <v>1492.3000771428538</v>
      </c>
      <c r="CT50" s="492">
        <v>1644.6826749693344</v>
      </c>
      <c r="CU50" s="492">
        <v>1585.2451000798985</v>
      </c>
      <c r="CV50" s="492">
        <v>1943.1206929764544</v>
      </c>
      <c r="CW50" s="492">
        <v>1499.2285556192323</v>
      </c>
      <c r="CX50" s="492">
        <v>2260.0333808553637</v>
      </c>
      <c r="CY50" s="492">
        <v>1419.9556432142781</v>
      </c>
      <c r="CZ50" s="492">
        <v>1982.4677356239497</v>
      </c>
      <c r="DA50" s="493">
        <v>18613.882237367594</v>
      </c>
      <c r="DB50" s="492">
        <v>1149.077844091747</v>
      </c>
      <c r="DC50" s="492">
        <v>697.62869478996845</v>
      </c>
      <c r="DD50" s="492">
        <v>1189.6039011581063</v>
      </c>
      <c r="DE50" s="492">
        <v>1481.2771226594027</v>
      </c>
      <c r="DF50" s="492">
        <v>1464.5846459055449</v>
      </c>
      <c r="DG50" s="492">
        <v>1609.45134512085</v>
      </c>
      <c r="DH50" s="492">
        <v>1544.691951219512</v>
      </c>
      <c r="DI50" s="492">
        <v>1894.052968855349</v>
      </c>
      <c r="DJ50" s="492">
        <v>1423.7206951219509</v>
      </c>
      <c r="DK50" s="492">
        <v>2150.497914634147</v>
      </c>
      <c r="DL50" s="492">
        <v>1358.2491048780489</v>
      </c>
      <c r="DM50" s="492">
        <v>1898.785121951219</v>
      </c>
      <c r="DN50" s="493">
        <v>17861.621310385843</v>
      </c>
      <c r="DO50" s="492">
        <v>1098.407347962964</v>
      </c>
      <c r="DP50" s="492">
        <v>662.86127231943124</v>
      </c>
      <c r="DQ50" s="492">
        <v>1181.28903457708</v>
      </c>
      <c r="DR50" s="492">
        <v>1464.038414634146</v>
      </c>
      <c r="DS50" s="492">
        <v>1440.3195121951219</v>
      </c>
      <c r="DT50" s="492">
        <v>1585.991622012195</v>
      </c>
      <c r="DU50" s="492">
        <v>1536.3647126829269</v>
      </c>
      <c r="DV50" s="492">
        <v>1841.0991834146339</v>
      </c>
      <c r="DW50" s="492">
        <v>1430.409268292683</v>
      </c>
      <c r="DX50" s="492">
        <v>2246.2753475609761</v>
      </c>
      <c r="DY50" s="492">
        <v>1361.7827878048779</v>
      </c>
      <c r="DZ50" s="492">
        <v>1880.371056910561</v>
      </c>
      <c r="EA50" s="493">
        <v>17729.209560367595</v>
      </c>
      <c r="EB50" s="492">
        <v>1127.449984681776</v>
      </c>
      <c r="EC50" s="492">
        <v>676.01596343623862</v>
      </c>
      <c r="ED50" s="492">
        <v>1210.536017073171</v>
      </c>
      <c r="EE50" s="492">
        <v>1504.1530977025191</v>
      </c>
      <c r="EF50" s="492">
        <v>1483.2447281358991</v>
      </c>
      <c r="EG50" s="492">
        <v>1653.5030487804879</v>
      </c>
      <c r="EH50" s="492">
        <v>1666.603170731707</v>
      </c>
      <c r="EI50" s="492">
        <v>1869.326865853659</v>
      </c>
      <c r="EJ50" s="492">
        <v>1492.0390243902441</v>
      </c>
      <c r="EK50" s="492">
        <v>2280.9963048780492</v>
      </c>
      <c r="EL50" s="492">
        <v>1374.9333339732441</v>
      </c>
      <c r="EM50" s="492">
        <v>1889.386951219512</v>
      </c>
      <c r="EN50" s="493">
        <v>18228.188490856504</v>
      </c>
      <c r="EO50" s="492">
        <v>1142.844475285134</v>
      </c>
      <c r="EP50" s="492">
        <v>698.88380487804875</v>
      </c>
      <c r="EQ50" s="492"/>
      <c r="ER50" s="492"/>
      <c r="ES50" s="492"/>
      <c r="ET50" s="492"/>
      <c r="EU50" s="492"/>
      <c r="EV50" s="492"/>
      <c r="EW50" s="492"/>
      <c r="EX50" s="492"/>
      <c r="EY50" s="492"/>
      <c r="EZ50" s="492"/>
      <c r="FA50" s="493">
        <f t="shared" si="144"/>
        <v>1841.7282801631827</v>
      </c>
      <c r="FC50" s="560">
        <f t="shared" si="378"/>
        <v>0.96568603202602521</v>
      </c>
      <c r="FD50" s="561">
        <f t="shared" si="145"/>
        <v>3.091475984647607</v>
      </c>
      <c r="FE50" s="562">
        <f t="shared" si="379"/>
        <v>15848.838503457035</v>
      </c>
      <c r="FF50" s="563">
        <f t="shared" si="380"/>
        <v>16338.801539636992</v>
      </c>
      <c r="FG50" s="470"/>
      <c r="FH50" s="498">
        <f t="shared" si="381"/>
        <v>373503.52189100697</v>
      </c>
      <c r="FI50" s="499"/>
      <c r="FJ50" s="500" t="str">
        <f t="shared" si="382"/>
        <v>VER</v>
      </c>
    </row>
    <row r="51" spans="1:166" s="447" customFormat="1" ht="15" customHeight="1" x14ac:dyDescent="0.25">
      <c r="A51" s="574" t="s">
        <v>629</v>
      </c>
      <c r="B51" s="492">
        <v>93</v>
      </c>
      <c r="C51" s="492">
        <v>93</v>
      </c>
      <c r="D51" s="492">
        <v>90</v>
      </c>
      <c r="E51" s="492">
        <v>95</v>
      </c>
      <c r="F51" s="492">
        <v>101</v>
      </c>
      <c r="G51" s="492">
        <v>99</v>
      </c>
      <c r="H51" s="492">
        <v>104</v>
      </c>
      <c r="I51" s="492">
        <v>101</v>
      </c>
      <c r="J51" s="492">
        <v>98</v>
      </c>
      <c r="K51" s="492">
        <v>96</v>
      </c>
      <c r="L51" s="492">
        <v>101</v>
      </c>
      <c r="M51" s="492">
        <v>119</v>
      </c>
      <c r="N51" s="493">
        <f t="shared" si="383"/>
        <v>1190</v>
      </c>
      <c r="O51" s="492">
        <v>103</v>
      </c>
      <c r="P51" s="492">
        <v>103</v>
      </c>
      <c r="Q51" s="492">
        <v>101</v>
      </c>
      <c r="R51" s="492">
        <v>101</v>
      </c>
      <c r="S51" s="492">
        <v>93</v>
      </c>
      <c r="T51" s="492">
        <v>109</v>
      </c>
      <c r="U51" s="492">
        <v>101</v>
      </c>
      <c r="V51" s="492">
        <v>110</v>
      </c>
      <c r="W51" s="492">
        <v>101</v>
      </c>
      <c r="X51" s="492">
        <v>102</v>
      </c>
      <c r="Y51" s="492">
        <v>98</v>
      </c>
      <c r="Z51" s="492">
        <v>113</v>
      </c>
      <c r="AA51" s="493">
        <f t="shared" si="384"/>
        <v>1235</v>
      </c>
      <c r="AB51" s="492">
        <v>91</v>
      </c>
      <c r="AC51" s="492">
        <v>89</v>
      </c>
      <c r="AD51" s="492">
        <v>86</v>
      </c>
      <c r="AE51" s="492">
        <v>84</v>
      </c>
      <c r="AF51" s="492">
        <v>82</v>
      </c>
      <c r="AG51" s="492">
        <v>77</v>
      </c>
      <c r="AH51" s="492">
        <v>72</v>
      </c>
      <c r="AI51" s="492">
        <v>47</v>
      </c>
      <c r="AJ51" s="492">
        <v>42</v>
      </c>
      <c r="AK51" s="492">
        <v>47</v>
      </c>
      <c r="AL51" s="492">
        <v>41</v>
      </c>
      <c r="AM51" s="492">
        <v>116</v>
      </c>
      <c r="AN51" s="493">
        <f t="shared" si="385"/>
        <v>874</v>
      </c>
      <c r="AO51" s="492">
        <v>76</v>
      </c>
      <c r="AP51" s="492">
        <v>74</v>
      </c>
      <c r="AQ51" s="492">
        <v>76</v>
      </c>
      <c r="AR51" s="492">
        <v>78</v>
      </c>
      <c r="AS51" s="492">
        <v>77</v>
      </c>
      <c r="AT51" s="492">
        <v>72</v>
      </c>
      <c r="AU51" s="492">
        <v>74</v>
      </c>
      <c r="AV51" s="492">
        <v>53</v>
      </c>
      <c r="AW51" s="492">
        <v>55</v>
      </c>
      <c r="AX51" s="492">
        <v>57</v>
      </c>
      <c r="AY51" s="492">
        <v>68</v>
      </c>
      <c r="AZ51" s="492">
        <v>105</v>
      </c>
      <c r="BA51" s="493">
        <f t="shared" si="386"/>
        <v>865</v>
      </c>
      <c r="BB51" s="492">
        <v>100</v>
      </c>
      <c r="BC51" s="492">
        <v>97</v>
      </c>
      <c r="BD51" s="492">
        <v>97</v>
      </c>
      <c r="BE51" s="492">
        <v>94</v>
      </c>
      <c r="BF51" s="492">
        <v>93</v>
      </c>
      <c r="BG51" s="492">
        <v>98</v>
      </c>
      <c r="BH51" s="492">
        <v>92</v>
      </c>
      <c r="BI51" s="492">
        <v>75</v>
      </c>
      <c r="BJ51" s="492">
        <v>77</v>
      </c>
      <c r="BK51" s="492">
        <v>74</v>
      </c>
      <c r="BL51" s="492">
        <v>92</v>
      </c>
      <c r="BM51" s="492">
        <v>142</v>
      </c>
      <c r="BN51" s="493">
        <f t="shared" si="387"/>
        <v>1131</v>
      </c>
      <c r="BO51" s="492">
        <v>67.448999999999998</v>
      </c>
      <c r="BP51" s="492">
        <v>66.844070000000002</v>
      </c>
      <c r="BQ51" s="492">
        <v>72.300000000000011</v>
      </c>
      <c r="BR51" s="492">
        <v>62.941000000000003</v>
      </c>
      <c r="BS51" s="492">
        <v>55.02</v>
      </c>
      <c r="BT51" s="492">
        <v>104.94606000000003</v>
      </c>
      <c r="BU51" s="492">
        <v>64.743400000000008</v>
      </c>
      <c r="BV51" s="492">
        <v>72.539999999999992</v>
      </c>
      <c r="BW51" s="492">
        <v>77.282000000000011</v>
      </c>
      <c r="BX51" s="492">
        <v>84.665999999999983</v>
      </c>
      <c r="BY51" s="492">
        <v>91.2</v>
      </c>
      <c r="BZ51" s="492">
        <v>163.08000000000001</v>
      </c>
      <c r="CA51" s="493">
        <v>983.01153000000011</v>
      </c>
      <c r="CB51" s="492">
        <v>104.28000000000002</v>
      </c>
      <c r="CC51" s="492">
        <v>91.259999999999991</v>
      </c>
      <c r="CD51" s="492">
        <v>80.459999999999994</v>
      </c>
      <c r="CE51" s="492">
        <v>80.159999999999982</v>
      </c>
      <c r="CF51" s="492">
        <v>74.64</v>
      </c>
      <c r="CG51" s="492">
        <v>70.800000000000011</v>
      </c>
      <c r="CH51" s="492">
        <v>60</v>
      </c>
      <c r="CI51" s="492">
        <v>69.06</v>
      </c>
      <c r="CJ51" s="492">
        <v>67.8</v>
      </c>
      <c r="CK51" s="492">
        <v>60.120000000000005</v>
      </c>
      <c r="CL51" s="492">
        <v>54.779999999999994</v>
      </c>
      <c r="CM51" s="492">
        <v>145.62</v>
      </c>
      <c r="CN51" s="493">
        <v>958.97999999999979</v>
      </c>
      <c r="CO51" s="492">
        <v>92.06</v>
      </c>
      <c r="CP51" s="492">
        <v>81.033333333333331</v>
      </c>
      <c r="CQ51" s="492">
        <v>79.093333333333334</v>
      </c>
      <c r="CR51" s="492">
        <v>69.284999999999997</v>
      </c>
      <c r="CS51" s="492">
        <v>73.500000000000014</v>
      </c>
      <c r="CT51" s="492">
        <v>76.966666666666669</v>
      </c>
      <c r="CU51" s="492">
        <v>67.13333333333334</v>
      </c>
      <c r="CV51" s="492">
        <v>69.48</v>
      </c>
      <c r="CW51" s="492">
        <v>68.34</v>
      </c>
      <c r="CX51" s="492">
        <v>63.6</v>
      </c>
      <c r="CY51" s="492">
        <v>56.053138666666662</v>
      </c>
      <c r="CZ51" s="492">
        <v>153.29333333333332</v>
      </c>
      <c r="DA51" s="493">
        <v>949.83813866666674</v>
      </c>
      <c r="DB51" s="492">
        <v>80.159999999999982</v>
      </c>
      <c r="DC51" s="492">
        <v>84.179999999999993</v>
      </c>
      <c r="DD51" s="492">
        <v>93.479999999999976</v>
      </c>
      <c r="DE51" s="492">
        <v>89.091700000000003</v>
      </c>
      <c r="DF51" s="492">
        <v>83.16</v>
      </c>
      <c r="DG51" s="492">
        <v>89.759999999999991</v>
      </c>
      <c r="DH51" s="492">
        <v>102.6</v>
      </c>
      <c r="DI51" s="492">
        <v>107.94</v>
      </c>
      <c r="DJ51" s="492">
        <v>122.76</v>
      </c>
      <c r="DK51" s="492">
        <v>111.54</v>
      </c>
      <c r="DL51" s="492">
        <v>114.06</v>
      </c>
      <c r="DM51" s="492">
        <v>145.08000000000001</v>
      </c>
      <c r="DN51" s="493">
        <v>1223.8116999999997</v>
      </c>
      <c r="DO51" s="492">
        <v>85.086666666666659</v>
      </c>
      <c r="DP51" s="492">
        <v>88.818666666666672</v>
      </c>
      <c r="DQ51" s="492">
        <v>102.52</v>
      </c>
      <c r="DR51" s="492">
        <v>94.053666666666672</v>
      </c>
      <c r="DS51" s="492">
        <v>93.513333333333335</v>
      </c>
      <c r="DT51" s="492">
        <v>97.38</v>
      </c>
      <c r="DU51" s="492">
        <v>107.8333333333333</v>
      </c>
      <c r="DV51" s="492">
        <v>114.6066666666667</v>
      </c>
      <c r="DW51" s="492">
        <v>127.9133333333333</v>
      </c>
      <c r="DX51" s="492">
        <v>123.3066666666667</v>
      </c>
      <c r="DY51" s="492">
        <v>121.2266666666667</v>
      </c>
      <c r="DZ51" s="492">
        <v>160.47666666666669</v>
      </c>
      <c r="EA51" s="493">
        <v>1316.7356666666665</v>
      </c>
      <c r="EB51" s="492">
        <v>136.02000000000001</v>
      </c>
      <c r="EC51" s="492">
        <v>138.54</v>
      </c>
      <c r="ED51" s="492">
        <v>129.18</v>
      </c>
      <c r="EE51" s="492">
        <v>129.47999999999999</v>
      </c>
      <c r="EF51" s="492">
        <v>149.72</v>
      </c>
      <c r="EG51" s="492">
        <v>151.32</v>
      </c>
      <c r="EH51" s="492">
        <v>139.38</v>
      </c>
      <c r="EI51" s="492">
        <v>142.19999999999999</v>
      </c>
      <c r="EJ51" s="492">
        <v>182.7</v>
      </c>
      <c r="EK51" s="492">
        <v>167.4</v>
      </c>
      <c r="EL51" s="492">
        <v>177.39</v>
      </c>
      <c r="EM51" s="492">
        <v>245.52</v>
      </c>
      <c r="EN51" s="493">
        <v>1888.85</v>
      </c>
      <c r="EO51" s="492">
        <v>145.02000000000001</v>
      </c>
      <c r="EP51" s="492">
        <v>140.49333333333331</v>
      </c>
      <c r="EQ51" s="492"/>
      <c r="ER51" s="492"/>
      <c r="ES51" s="492"/>
      <c r="ET51" s="492"/>
      <c r="EU51" s="492"/>
      <c r="EV51" s="492"/>
      <c r="EW51" s="492"/>
      <c r="EX51" s="492"/>
      <c r="EY51" s="492"/>
      <c r="EZ51" s="492"/>
      <c r="FA51" s="493">
        <f t="shared" si="144"/>
        <v>285.51333333333332</v>
      </c>
      <c r="FC51" s="560">
        <f t="shared" si="378"/>
        <v>46.329190497140281</v>
      </c>
      <c r="FD51" s="561">
        <f t="shared" si="145"/>
        <v>42.124731569656994</v>
      </c>
      <c r="FE51" s="562">
        <f t="shared" si="379"/>
        <v>1156.2589999999998</v>
      </c>
      <c r="FF51" s="563">
        <f t="shared" si="380"/>
        <v>1643.33</v>
      </c>
      <c r="FG51" s="470"/>
      <c r="FH51" s="498">
        <f t="shared" si="381"/>
        <v>25803.480737333328</v>
      </c>
      <c r="FI51" s="499"/>
      <c r="FJ51" s="500" t="str">
        <f t="shared" si="382"/>
        <v>VER</v>
      </c>
    </row>
    <row r="52" spans="1:166" s="447" customFormat="1" ht="15" customHeight="1" x14ac:dyDescent="0.25">
      <c r="A52" s="574" t="s">
        <v>630</v>
      </c>
      <c r="B52" s="492">
        <v>127</v>
      </c>
      <c r="C52" s="492">
        <v>121</v>
      </c>
      <c r="D52" s="492">
        <v>123</v>
      </c>
      <c r="E52" s="492">
        <v>131</v>
      </c>
      <c r="F52" s="492">
        <v>134</v>
      </c>
      <c r="G52" s="492">
        <v>130</v>
      </c>
      <c r="H52" s="492">
        <v>136</v>
      </c>
      <c r="I52" s="492">
        <v>137</v>
      </c>
      <c r="J52" s="492">
        <v>134</v>
      </c>
      <c r="K52" s="492">
        <v>151</v>
      </c>
      <c r="L52" s="492">
        <v>157</v>
      </c>
      <c r="M52" s="492">
        <v>150</v>
      </c>
      <c r="N52" s="493">
        <f t="shared" si="383"/>
        <v>1631</v>
      </c>
      <c r="O52" s="492">
        <v>149</v>
      </c>
      <c r="P52" s="492">
        <v>145</v>
      </c>
      <c r="Q52" s="492">
        <v>145</v>
      </c>
      <c r="R52" s="492">
        <v>151</v>
      </c>
      <c r="S52" s="492">
        <v>140</v>
      </c>
      <c r="T52" s="492">
        <v>146</v>
      </c>
      <c r="U52" s="492">
        <v>154</v>
      </c>
      <c r="V52" s="492">
        <v>155</v>
      </c>
      <c r="W52" s="492">
        <v>146</v>
      </c>
      <c r="X52" s="492">
        <v>147</v>
      </c>
      <c r="Y52" s="492">
        <v>143</v>
      </c>
      <c r="Z52" s="492">
        <v>154</v>
      </c>
      <c r="AA52" s="493">
        <f t="shared" si="384"/>
        <v>1775</v>
      </c>
      <c r="AB52" s="492">
        <v>149</v>
      </c>
      <c r="AC52" s="492">
        <v>145</v>
      </c>
      <c r="AD52" s="492">
        <v>141</v>
      </c>
      <c r="AE52" s="492">
        <v>168</v>
      </c>
      <c r="AF52" s="492">
        <v>166</v>
      </c>
      <c r="AG52" s="492">
        <v>137</v>
      </c>
      <c r="AH52" s="492">
        <v>137</v>
      </c>
      <c r="AI52" s="492">
        <v>179</v>
      </c>
      <c r="AJ52" s="492">
        <v>182</v>
      </c>
      <c r="AK52" s="492">
        <v>189</v>
      </c>
      <c r="AL52" s="492">
        <v>191</v>
      </c>
      <c r="AM52" s="492">
        <v>233</v>
      </c>
      <c r="AN52" s="493">
        <f t="shared" si="385"/>
        <v>2017</v>
      </c>
      <c r="AO52" s="492">
        <v>168</v>
      </c>
      <c r="AP52" s="492">
        <v>136</v>
      </c>
      <c r="AQ52" s="492">
        <v>167</v>
      </c>
      <c r="AR52" s="492">
        <v>152</v>
      </c>
      <c r="AS52" s="492">
        <v>151</v>
      </c>
      <c r="AT52" s="492">
        <v>149</v>
      </c>
      <c r="AU52" s="492">
        <v>141</v>
      </c>
      <c r="AV52" s="492">
        <v>161</v>
      </c>
      <c r="AW52" s="492">
        <v>169</v>
      </c>
      <c r="AX52" s="492">
        <v>176</v>
      </c>
      <c r="AY52" s="492">
        <v>186</v>
      </c>
      <c r="AZ52" s="492">
        <v>211</v>
      </c>
      <c r="BA52" s="493">
        <f t="shared" si="386"/>
        <v>1967</v>
      </c>
      <c r="BB52" s="492">
        <v>258</v>
      </c>
      <c r="BC52" s="492">
        <v>249</v>
      </c>
      <c r="BD52" s="492">
        <v>284</v>
      </c>
      <c r="BE52" s="492">
        <v>296</v>
      </c>
      <c r="BF52" s="492">
        <v>297</v>
      </c>
      <c r="BG52" s="492">
        <v>335</v>
      </c>
      <c r="BH52" s="492">
        <v>328</v>
      </c>
      <c r="BI52" s="492">
        <v>333</v>
      </c>
      <c r="BJ52" s="492">
        <v>380</v>
      </c>
      <c r="BK52" s="492">
        <v>395</v>
      </c>
      <c r="BL52" s="492">
        <v>395</v>
      </c>
      <c r="BM52" s="492">
        <v>423</v>
      </c>
      <c r="BN52" s="493">
        <f t="shared" si="387"/>
        <v>3973</v>
      </c>
      <c r="BO52" s="492">
        <v>271.16527450980391</v>
      </c>
      <c r="BP52" s="492">
        <v>259.18290196078431</v>
      </c>
      <c r="BQ52" s="492">
        <v>280.60490196078428</v>
      </c>
      <c r="BR52" s="492">
        <v>306.69</v>
      </c>
      <c r="BS52" s="492">
        <v>277.44640000000004</v>
      </c>
      <c r="BT52" s="492">
        <v>341.03892999999999</v>
      </c>
      <c r="BU52" s="492">
        <v>364.72989999999999</v>
      </c>
      <c r="BV52" s="492">
        <v>354.78431372549016</v>
      </c>
      <c r="BW52" s="492">
        <v>393.56462745098037</v>
      </c>
      <c r="BX52" s="492">
        <v>393.41862745098035</v>
      </c>
      <c r="BY52" s="492">
        <v>396.74509803921569</v>
      </c>
      <c r="BZ52" s="492">
        <v>442.42156862745094</v>
      </c>
      <c r="CA52" s="493">
        <v>4081.7925437254898</v>
      </c>
      <c r="CB52" s="492">
        <v>273.27941176470586</v>
      </c>
      <c r="CC52" s="492">
        <v>283.90756862745098</v>
      </c>
      <c r="CD52" s="492">
        <v>291.2745098039216</v>
      </c>
      <c r="CE52" s="492">
        <v>344.74509803921569</v>
      </c>
      <c r="CF52" s="492">
        <v>316.35294117647061</v>
      </c>
      <c r="CG52" s="492">
        <v>384.75</v>
      </c>
      <c r="CH52" s="492">
        <v>355.5</v>
      </c>
      <c r="CI52" s="492">
        <v>393.75599999999997</v>
      </c>
      <c r="CJ52" s="492">
        <v>400.5</v>
      </c>
      <c r="CK52" s="492">
        <v>381.25</v>
      </c>
      <c r="CL52" s="492">
        <v>387</v>
      </c>
      <c r="CM52" s="492">
        <v>462</v>
      </c>
      <c r="CN52" s="493">
        <v>4274.3155294117641</v>
      </c>
      <c r="CO52" s="492">
        <v>255.75099999999998</v>
      </c>
      <c r="CP52" s="492">
        <v>290.8480392156863</v>
      </c>
      <c r="CQ52" s="492">
        <v>312.31862745098039</v>
      </c>
      <c r="CR52" s="492">
        <v>366.03431372549022</v>
      </c>
      <c r="CS52" s="492">
        <v>333.41176470588232</v>
      </c>
      <c r="CT52" s="492">
        <v>422</v>
      </c>
      <c r="CU52" s="492">
        <v>407</v>
      </c>
      <c r="CV52" s="492">
        <v>395.5</v>
      </c>
      <c r="CW52" s="492">
        <v>414.5</v>
      </c>
      <c r="CX52" s="492">
        <v>391.25</v>
      </c>
      <c r="CY52" s="492">
        <v>383.06170588235295</v>
      </c>
      <c r="CZ52" s="492">
        <v>399</v>
      </c>
      <c r="DA52" s="493">
        <v>4370.6754509803923</v>
      </c>
      <c r="DB52" s="492">
        <v>365.00099999999998</v>
      </c>
      <c r="DC52" s="492">
        <v>381.5</v>
      </c>
      <c r="DD52" s="492">
        <v>433.75</v>
      </c>
      <c r="DE52" s="492">
        <v>423.81</v>
      </c>
      <c r="DF52" s="492">
        <v>365.25</v>
      </c>
      <c r="DG52" s="492">
        <v>341.75</v>
      </c>
      <c r="DH52" s="492">
        <v>398</v>
      </c>
      <c r="DI52" s="492">
        <v>479.5</v>
      </c>
      <c r="DJ52" s="492">
        <v>553.25</v>
      </c>
      <c r="DK52" s="492">
        <v>512.75</v>
      </c>
      <c r="DL52" s="492">
        <v>506.99799999999999</v>
      </c>
      <c r="DM52" s="492">
        <v>596.75</v>
      </c>
      <c r="DN52" s="493">
        <v>5358.3089999999993</v>
      </c>
      <c r="DO52" s="492">
        <v>373.40686274509801</v>
      </c>
      <c r="DP52" s="492">
        <v>391.11764705882348</v>
      </c>
      <c r="DQ52" s="492">
        <v>452.05201960784308</v>
      </c>
      <c r="DR52" s="492">
        <v>440.77941176470591</v>
      </c>
      <c r="DS52" s="492">
        <v>383.95588235294122</v>
      </c>
      <c r="DT52" s="492">
        <v>353.70588235294122</v>
      </c>
      <c r="DU52" s="492">
        <v>412.29411764705878</v>
      </c>
      <c r="DV52" s="492">
        <v>491.9019607843137</v>
      </c>
      <c r="DW52" s="492">
        <v>567.24509803921569</v>
      </c>
      <c r="DX52" s="492">
        <v>526.17156862745105</v>
      </c>
      <c r="DY52" s="492">
        <v>520.27647058823527</v>
      </c>
      <c r="DZ52" s="492">
        <v>612.25</v>
      </c>
      <c r="EA52" s="493">
        <v>5525.1569215686277</v>
      </c>
      <c r="EB52" s="492">
        <v>485.25</v>
      </c>
      <c r="EC52" s="492">
        <v>421.25</v>
      </c>
      <c r="ED52" s="492">
        <v>422</v>
      </c>
      <c r="EE52" s="492">
        <v>397.5</v>
      </c>
      <c r="EF52" s="492">
        <v>414</v>
      </c>
      <c r="EG52" s="492">
        <v>458</v>
      </c>
      <c r="EH52" s="492">
        <v>445.75</v>
      </c>
      <c r="EI52" s="492">
        <v>422.5</v>
      </c>
      <c r="EJ52" s="492">
        <v>471.25</v>
      </c>
      <c r="EK52" s="492">
        <v>473</v>
      </c>
      <c r="EL52" s="492">
        <v>485.5</v>
      </c>
      <c r="EM52" s="492">
        <v>541.3578431372548</v>
      </c>
      <c r="EN52" s="493">
        <v>5437.3578431372553</v>
      </c>
      <c r="EO52" s="492">
        <v>455.68137254901961</v>
      </c>
      <c r="EP52" s="492">
        <v>389.71568627450978</v>
      </c>
      <c r="EQ52" s="492"/>
      <c r="ER52" s="492"/>
      <c r="ES52" s="492"/>
      <c r="ET52" s="492"/>
      <c r="EU52" s="492"/>
      <c r="EV52" s="492"/>
      <c r="EW52" s="492"/>
      <c r="EX52" s="492"/>
      <c r="EY52" s="492"/>
      <c r="EZ52" s="492"/>
      <c r="FA52" s="493">
        <f t="shared" si="144"/>
        <v>845.39705882352939</v>
      </c>
      <c r="FC52" s="560">
        <f t="shared" si="378"/>
        <v>-6.6842289732834352</v>
      </c>
      <c r="FD52" s="561">
        <f t="shared" si="145"/>
        <v>-0.34413274744536926</v>
      </c>
      <c r="FE52" s="562">
        <f t="shared" si="379"/>
        <v>4912.9069215686277</v>
      </c>
      <c r="FF52" s="563">
        <f t="shared" si="380"/>
        <v>4896</v>
      </c>
      <c r="FG52" s="470"/>
      <c r="FH52" s="498">
        <f t="shared" si="381"/>
        <v>82512.00869529412</v>
      </c>
      <c r="FI52" s="499"/>
      <c r="FJ52" s="500" t="str">
        <f t="shared" si="382"/>
        <v>VER</v>
      </c>
    </row>
    <row r="53" spans="1:166" s="447" customFormat="1" ht="15" customHeight="1" x14ac:dyDescent="0.25">
      <c r="A53" s="574" t="s">
        <v>631</v>
      </c>
      <c r="B53" s="492"/>
      <c r="C53" s="492"/>
      <c r="D53" s="492">
        <v>1</v>
      </c>
      <c r="E53" s="492">
        <v>1</v>
      </c>
      <c r="F53" s="492">
        <v>1</v>
      </c>
      <c r="G53" s="492">
        <v>1</v>
      </c>
      <c r="H53" s="492">
        <v>1</v>
      </c>
      <c r="I53" s="492">
        <v>1</v>
      </c>
      <c r="J53" s="492">
        <v>1</v>
      </c>
      <c r="K53" s="492">
        <v>1</v>
      </c>
      <c r="L53" s="492"/>
      <c r="M53" s="492">
        <v>1</v>
      </c>
      <c r="N53" s="493">
        <f t="shared" si="383"/>
        <v>9</v>
      </c>
      <c r="O53" s="492"/>
      <c r="P53" s="492"/>
      <c r="Q53" s="492"/>
      <c r="R53" s="492">
        <v>1</v>
      </c>
      <c r="S53" s="492">
        <v>1</v>
      </c>
      <c r="T53" s="492">
        <v>1</v>
      </c>
      <c r="U53" s="492">
        <v>1</v>
      </c>
      <c r="V53" s="492"/>
      <c r="W53" s="492">
        <v>1</v>
      </c>
      <c r="X53" s="492">
        <v>1</v>
      </c>
      <c r="Y53" s="492">
        <v>2</v>
      </c>
      <c r="Z53" s="492">
        <v>2</v>
      </c>
      <c r="AA53" s="493">
        <f t="shared" si="384"/>
        <v>10</v>
      </c>
      <c r="AB53" s="492">
        <v>2</v>
      </c>
      <c r="AC53" s="492">
        <v>2</v>
      </c>
      <c r="AD53" s="492">
        <v>2</v>
      </c>
      <c r="AE53" s="492">
        <v>2</v>
      </c>
      <c r="AF53" s="492">
        <v>2</v>
      </c>
      <c r="AG53" s="492">
        <v>2</v>
      </c>
      <c r="AH53" s="492">
        <v>2</v>
      </c>
      <c r="AI53" s="492">
        <v>2</v>
      </c>
      <c r="AJ53" s="492">
        <v>3</v>
      </c>
      <c r="AK53" s="492">
        <v>3</v>
      </c>
      <c r="AL53" s="492">
        <v>3</v>
      </c>
      <c r="AM53" s="492">
        <v>5</v>
      </c>
      <c r="AN53" s="493">
        <f t="shared" si="385"/>
        <v>30</v>
      </c>
      <c r="AO53" s="492">
        <v>4</v>
      </c>
      <c r="AP53" s="492">
        <v>2</v>
      </c>
      <c r="AQ53" s="492">
        <v>3</v>
      </c>
      <c r="AR53" s="492">
        <v>3</v>
      </c>
      <c r="AS53" s="492">
        <v>2</v>
      </c>
      <c r="AT53" s="492">
        <v>2</v>
      </c>
      <c r="AU53" s="492">
        <v>2</v>
      </c>
      <c r="AV53" s="492">
        <v>2</v>
      </c>
      <c r="AW53" s="492">
        <v>2</v>
      </c>
      <c r="AX53" s="492">
        <v>2</v>
      </c>
      <c r="AY53" s="492">
        <v>3</v>
      </c>
      <c r="AZ53" s="492">
        <v>4</v>
      </c>
      <c r="BA53" s="493">
        <f t="shared" si="386"/>
        <v>31</v>
      </c>
      <c r="BB53" s="492">
        <v>4</v>
      </c>
      <c r="BC53" s="492">
        <v>4</v>
      </c>
      <c r="BD53" s="492">
        <v>4</v>
      </c>
      <c r="BE53" s="492">
        <v>4</v>
      </c>
      <c r="BF53" s="492">
        <v>5</v>
      </c>
      <c r="BG53" s="492">
        <v>5</v>
      </c>
      <c r="BH53" s="492">
        <v>6</v>
      </c>
      <c r="BI53" s="492">
        <v>6</v>
      </c>
      <c r="BJ53" s="492">
        <v>7</v>
      </c>
      <c r="BK53" s="492">
        <v>7</v>
      </c>
      <c r="BL53" s="492">
        <v>8</v>
      </c>
      <c r="BM53" s="492">
        <v>9</v>
      </c>
      <c r="BN53" s="493">
        <f t="shared" si="387"/>
        <v>69</v>
      </c>
      <c r="BO53" s="492">
        <v>4.17</v>
      </c>
      <c r="BP53" s="492">
        <v>4.1199999999999992</v>
      </c>
      <c r="BQ53" s="492">
        <v>4.391</v>
      </c>
      <c r="BR53" s="492">
        <v>3.8524999999999996</v>
      </c>
      <c r="BS53" s="492">
        <v>4.92</v>
      </c>
      <c r="BT53" s="492">
        <v>5.5401700000000007</v>
      </c>
      <c r="BU53" s="492">
        <v>5.879999999999999</v>
      </c>
      <c r="BV53" s="492">
        <v>5.7599999999999989</v>
      </c>
      <c r="BW53" s="492">
        <v>6.9399999999999995</v>
      </c>
      <c r="BX53" s="492">
        <v>7.59</v>
      </c>
      <c r="BY53" s="492">
        <v>7.82</v>
      </c>
      <c r="BZ53" s="492">
        <v>8.92</v>
      </c>
      <c r="CA53" s="493">
        <v>69.903669999999991</v>
      </c>
      <c r="CB53" s="492">
        <v>4.42</v>
      </c>
      <c r="CC53" s="492">
        <v>4.1499999999999995</v>
      </c>
      <c r="CD53" s="492">
        <v>4.6019999999999994</v>
      </c>
      <c r="CE53" s="492">
        <v>4.04</v>
      </c>
      <c r="CF53" s="492">
        <v>5.0463999999999993</v>
      </c>
      <c r="CG53" s="492">
        <v>5.6929999999999996</v>
      </c>
      <c r="CH53" s="492">
        <v>5.9799999999999995</v>
      </c>
      <c r="CI53" s="492">
        <v>6.0299999999999994</v>
      </c>
      <c r="CJ53" s="492">
        <v>7.1199999999999992</v>
      </c>
      <c r="CK53" s="492">
        <v>7.1124999999999998</v>
      </c>
      <c r="CL53" s="492">
        <v>8.0399999999999991</v>
      </c>
      <c r="CM53" s="492">
        <v>10.26</v>
      </c>
      <c r="CN53" s="493">
        <v>72.493899999999996</v>
      </c>
      <c r="CO53" s="492">
        <v>4.53</v>
      </c>
      <c r="CP53" s="492">
        <v>4.41</v>
      </c>
      <c r="CQ53" s="492">
        <v>4.6979999999999995</v>
      </c>
      <c r="CR53" s="492">
        <v>4.1334999999999997</v>
      </c>
      <c r="CS53" s="492">
        <v>5.285499999999999</v>
      </c>
      <c r="CT53" s="492">
        <v>5.7299999999999995</v>
      </c>
      <c r="CU53" s="492">
        <v>6.3199999999999994</v>
      </c>
      <c r="CV53" s="492">
        <v>6.0569999999999995</v>
      </c>
      <c r="CW53" s="492">
        <v>7.1349999999999998</v>
      </c>
      <c r="CX53" s="492">
        <v>7.1599999999999993</v>
      </c>
      <c r="CY53" s="492">
        <v>7.93675</v>
      </c>
      <c r="CZ53" s="492">
        <v>11.069999999999999</v>
      </c>
      <c r="DA53" s="493">
        <v>74.465749999999986</v>
      </c>
      <c r="DB53" s="492">
        <v>4.8</v>
      </c>
      <c r="DC53" s="492">
        <v>4.5336249999999998</v>
      </c>
      <c r="DD53" s="492">
        <v>4.8179999999999996</v>
      </c>
      <c r="DE53" s="492">
        <v>4.0912499999999996</v>
      </c>
      <c r="DF53" s="492">
        <v>5.1574999999999998</v>
      </c>
      <c r="DG53" s="492">
        <v>5.5844999999999994</v>
      </c>
      <c r="DH53" s="492">
        <v>6.3490000000000002</v>
      </c>
      <c r="DI53" s="492">
        <v>6.3999999999999986</v>
      </c>
      <c r="DJ53" s="492">
        <v>7.613999999999999</v>
      </c>
      <c r="DK53" s="492">
        <v>7.2899999999999991</v>
      </c>
      <c r="DL53" s="492">
        <v>8.2750000000000004</v>
      </c>
      <c r="DM53" s="492">
        <v>10.38</v>
      </c>
      <c r="DN53" s="493">
        <v>75.292874999999981</v>
      </c>
      <c r="DO53" s="492">
        <v>5.1079999999999997</v>
      </c>
      <c r="DP53" s="492">
        <v>4.5650000000000004</v>
      </c>
      <c r="DQ53" s="492">
        <v>4.5479999999999992</v>
      </c>
      <c r="DR53" s="492">
        <v>3.91</v>
      </c>
      <c r="DS53" s="492">
        <v>5.0407500000000001</v>
      </c>
      <c r="DT53" s="492">
        <v>5.8574999999999999</v>
      </c>
      <c r="DU53" s="492">
        <v>6.4949999999999992</v>
      </c>
      <c r="DV53" s="492">
        <v>6.63</v>
      </c>
      <c r="DW53" s="492">
        <v>7.87</v>
      </c>
      <c r="DX53" s="492">
        <v>7.82</v>
      </c>
      <c r="DY53" s="492">
        <v>8.8099999999999987</v>
      </c>
      <c r="DZ53" s="492">
        <v>11.07</v>
      </c>
      <c r="EA53" s="493">
        <v>77.724249999999984</v>
      </c>
      <c r="EB53" s="492">
        <v>5.6499999999999986</v>
      </c>
      <c r="EC53" s="492">
        <v>4.6849999999999996</v>
      </c>
      <c r="ED53" s="492">
        <v>4.7399999999999993</v>
      </c>
      <c r="EE53" s="492">
        <v>3.992</v>
      </c>
      <c r="EF53" s="492">
        <v>5.669999999999999</v>
      </c>
      <c r="EG53" s="492">
        <v>6.47</v>
      </c>
      <c r="EH53" s="492">
        <v>6.8</v>
      </c>
      <c r="EI53" s="492">
        <v>7.18</v>
      </c>
      <c r="EJ53" s="492">
        <v>8.4849999999999994</v>
      </c>
      <c r="EK53" s="492">
        <v>8.1049999999999986</v>
      </c>
      <c r="EL53" s="492">
        <v>9.0776249999999994</v>
      </c>
      <c r="EM53" s="492">
        <v>11.57</v>
      </c>
      <c r="EN53" s="493">
        <v>82.424624999999992</v>
      </c>
      <c r="EO53" s="492">
        <v>5.6599999999999993</v>
      </c>
      <c r="EP53" s="492">
        <v>4.8970000000000002</v>
      </c>
      <c r="EQ53" s="492"/>
      <c r="ER53" s="492"/>
      <c r="ES53" s="492"/>
      <c r="ET53" s="492"/>
      <c r="EU53" s="492"/>
      <c r="EV53" s="492"/>
      <c r="EW53" s="492"/>
      <c r="EX53" s="492"/>
      <c r="EY53" s="492"/>
      <c r="EZ53" s="492"/>
      <c r="FA53" s="493">
        <f t="shared" si="144"/>
        <v>10.556999999999999</v>
      </c>
      <c r="FC53" s="560">
        <f t="shared" si="378"/>
        <v>3.0377412031782125</v>
      </c>
      <c r="FD53" s="561">
        <f t="shared" si="145"/>
        <v>6.3017361983669362</v>
      </c>
      <c r="FE53" s="562">
        <f t="shared" si="379"/>
        <v>66.65424999999999</v>
      </c>
      <c r="FF53" s="563">
        <f t="shared" si="380"/>
        <v>70.854624999999984</v>
      </c>
      <c r="FG53" s="470"/>
      <c r="FH53" s="498">
        <f t="shared" si="381"/>
        <v>1223.7241399999998</v>
      </c>
      <c r="FI53" s="499"/>
      <c r="FJ53" s="500" t="str">
        <f t="shared" si="382"/>
        <v>VER</v>
      </c>
    </row>
    <row r="54" spans="1:166" s="447" customFormat="1" ht="15" customHeight="1" x14ac:dyDescent="0.25">
      <c r="A54" s="556" t="s">
        <v>561</v>
      </c>
      <c r="B54" s="557">
        <v>379</v>
      </c>
      <c r="C54" s="557">
        <v>398</v>
      </c>
      <c r="D54" s="557">
        <v>408</v>
      </c>
      <c r="E54" s="557">
        <v>420</v>
      </c>
      <c r="F54" s="557">
        <v>424</v>
      </c>
      <c r="G54" s="557">
        <v>419</v>
      </c>
      <c r="H54" s="557">
        <v>426</v>
      </c>
      <c r="I54" s="557">
        <v>415</v>
      </c>
      <c r="J54" s="557">
        <v>415</v>
      </c>
      <c r="K54" s="557">
        <v>441</v>
      </c>
      <c r="L54" s="557">
        <v>485</v>
      </c>
      <c r="M54" s="557">
        <v>486</v>
      </c>
      <c r="N54" s="516">
        <f>SUM(B54:M54)</f>
        <v>5116</v>
      </c>
      <c r="O54" s="557">
        <v>522</v>
      </c>
      <c r="P54" s="557">
        <v>524</v>
      </c>
      <c r="Q54" s="557">
        <v>556</v>
      </c>
      <c r="R54" s="557">
        <v>630</v>
      </c>
      <c r="S54" s="557">
        <v>635</v>
      </c>
      <c r="T54" s="557">
        <v>660</v>
      </c>
      <c r="U54" s="557">
        <v>691</v>
      </c>
      <c r="V54" s="557">
        <v>543</v>
      </c>
      <c r="W54" s="557">
        <v>622</v>
      </c>
      <c r="X54" s="557">
        <v>651</v>
      </c>
      <c r="Y54" s="557">
        <v>641</v>
      </c>
      <c r="Z54" s="557">
        <v>665</v>
      </c>
      <c r="AA54" s="516">
        <f>SUM(O54:Z54)</f>
        <v>7340</v>
      </c>
      <c r="AB54" s="557">
        <v>680</v>
      </c>
      <c r="AC54" s="557">
        <v>615</v>
      </c>
      <c r="AD54" s="557">
        <v>686</v>
      </c>
      <c r="AE54" s="557">
        <v>666</v>
      </c>
      <c r="AF54" s="557">
        <v>680</v>
      </c>
      <c r="AG54" s="557">
        <v>642</v>
      </c>
      <c r="AH54" s="557">
        <v>656</v>
      </c>
      <c r="AI54" s="557">
        <v>422</v>
      </c>
      <c r="AJ54" s="557">
        <v>295</v>
      </c>
      <c r="AK54" s="557">
        <v>341</v>
      </c>
      <c r="AL54" s="557">
        <v>372</v>
      </c>
      <c r="AM54" s="557">
        <v>344</v>
      </c>
      <c r="AN54" s="516">
        <f>SUM(AB54:AM54)</f>
        <v>6399</v>
      </c>
      <c r="AO54" s="557">
        <v>568</v>
      </c>
      <c r="AP54" s="557">
        <v>553</v>
      </c>
      <c r="AQ54" s="557">
        <v>578</v>
      </c>
      <c r="AR54" s="557">
        <v>559</v>
      </c>
      <c r="AS54" s="557">
        <v>555</v>
      </c>
      <c r="AT54" s="557">
        <v>555</v>
      </c>
      <c r="AU54" s="557">
        <v>529</v>
      </c>
      <c r="AV54" s="557">
        <v>487</v>
      </c>
      <c r="AW54" s="557">
        <v>346</v>
      </c>
      <c r="AX54" s="557">
        <v>360</v>
      </c>
      <c r="AY54" s="557">
        <v>383</v>
      </c>
      <c r="AZ54" s="557">
        <v>362</v>
      </c>
      <c r="BA54" s="516">
        <f>SUM(AO54:AZ54)</f>
        <v>5835</v>
      </c>
      <c r="BB54" s="557">
        <v>521</v>
      </c>
      <c r="BC54" s="557">
        <v>529</v>
      </c>
      <c r="BD54" s="557">
        <v>551</v>
      </c>
      <c r="BE54" s="557">
        <v>496</v>
      </c>
      <c r="BF54" s="557">
        <v>546</v>
      </c>
      <c r="BG54" s="557">
        <v>502</v>
      </c>
      <c r="BH54" s="557">
        <v>510</v>
      </c>
      <c r="BI54" s="557">
        <v>475</v>
      </c>
      <c r="BJ54" s="557">
        <v>376</v>
      </c>
      <c r="BK54" s="557">
        <v>341</v>
      </c>
      <c r="BL54" s="557">
        <v>375</v>
      </c>
      <c r="BM54" s="557">
        <v>375</v>
      </c>
      <c r="BN54" s="516">
        <f>SUM(BB54:BM54)</f>
        <v>5597</v>
      </c>
      <c r="BO54" s="557">
        <v>506.08710290699997</v>
      </c>
      <c r="BP54" s="557">
        <v>504.33</v>
      </c>
      <c r="BQ54" s="557">
        <v>580.78899999999999</v>
      </c>
      <c r="BR54" s="557">
        <v>496.03086320300002</v>
      </c>
      <c r="BS54" s="557">
        <v>483.78405192999998</v>
      </c>
      <c r="BT54" s="557">
        <v>434.78405192999998</v>
      </c>
      <c r="BU54" s="557">
        <v>432.16899999999998</v>
      </c>
      <c r="BV54" s="557">
        <v>390.38479125999999</v>
      </c>
      <c r="BW54" s="557">
        <v>330.23944341999999</v>
      </c>
      <c r="BX54" s="557">
        <v>332.74462906000002</v>
      </c>
      <c r="BY54" s="557">
        <v>333.89843744000001</v>
      </c>
      <c r="BZ54" s="557">
        <v>340.34380227999998</v>
      </c>
      <c r="CA54" s="516">
        <v>5165.5851734299995</v>
      </c>
      <c r="CB54" s="557">
        <v>443.63343269000001</v>
      </c>
      <c r="CC54" s="557">
        <v>443.07616417999998</v>
      </c>
      <c r="CD54" s="557">
        <v>475.85762627000003</v>
      </c>
      <c r="CE54" s="557">
        <v>397.30966611999997</v>
      </c>
      <c r="CF54" s="557">
        <v>383.02430342899999</v>
      </c>
      <c r="CG54" s="557">
        <v>362.93281067999999</v>
      </c>
      <c r="CH54" s="557">
        <v>355.33477298999998</v>
      </c>
      <c r="CI54" s="557">
        <v>343.61392222000001</v>
      </c>
      <c r="CJ54" s="557">
        <v>295.31659783999999</v>
      </c>
      <c r="CK54" s="557">
        <v>324.19856358000004</v>
      </c>
      <c r="CL54" s="557">
        <v>299.81092235</v>
      </c>
      <c r="CM54" s="557">
        <v>291.27451729000001</v>
      </c>
      <c r="CN54" s="516">
        <v>4415.3832996390001</v>
      </c>
      <c r="CO54" s="557">
        <v>371.34038470000002</v>
      </c>
      <c r="CP54" s="557">
        <v>389.35940099999999</v>
      </c>
      <c r="CQ54" s="557">
        <v>392.76691340000002</v>
      </c>
      <c r="CR54" s="557">
        <v>354.62794384</v>
      </c>
      <c r="CS54" s="557">
        <v>355.26404710000003</v>
      </c>
      <c r="CT54" s="557">
        <v>355.49941150000001</v>
      </c>
      <c r="CU54" s="557">
        <v>353.80955641000003</v>
      </c>
      <c r="CV54" s="557">
        <v>330.67793816</v>
      </c>
      <c r="CW54" s="557">
        <v>283.42316652</v>
      </c>
      <c r="CX54" s="557">
        <v>293.895805075</v>
      </c>
      <c r="CY54" s="557">
        <v>273.11846847943701</v>
      </c>
      <c r="CZ54" s="557">
        <v>273.87841082</v>
      </c>
      <c r="DA54" s="516">
        <v>4027.6614470044369</v>
      </c>
      <c r="DB54" s="557">
        <v>336.09113252999998</v>
      </c>
      <c r="DC54" s="557">
        <v>365.9434104</v>
      </c>
      <c r="DD54" s="557">
        <v>365.79372690000002</v>
      </c>
      <c r="DE54" s="557">
        <v>336.7056</v>
      </c>
      <c r="DF54" s="557">
        <v>337.06799999999998</v>
      </c>
      <c r="DG54" s="557">
        <v>335.97334710000001</v>
      </c>
      <c r="DH54" s="557">
        <v>345.8897308</v>
      </c>
      <c r="DI54" s="557">
        <v>315.74696370999999</v>
      </c>
      <c r="DJ54" s="557">
        <v>275.67583824000002</v>
      </c>
      <c r="DK54" s="557">
        <v>269.92706944000003</v>
      </c>
      <c r="DL54" s="557">
        <v>254.86176646000001</v>
      </c>
      <c r="DM54" s="557">
        <v>244.92329154000001</v>
      </c>
      <c r="DN54" s="516">
        <v>3784.5998771199997</v>
      </c>
      <c r="DO54" s="557">
        <v>305.00412062999999</v>
      </c>
      <c r="DP54" s="557">
        <v>325.47000000000003</v>
      </c>
      <c r="DQ54" s="557">
        <v>345.15783010000001</v>
      </c>
      <c r="DR54" s="557">
        <v>305.25899550000003</v>
      </c>
      <c r="DS54" s="557">
        <v>305.2899645</v>
      </c>
      <c r="DT54" s="557">
        <v>345.36841930000003</v>
      </c>
      <c r="DU54" s="557">
        <v>340.46648779999998</v>
      </c>
      <c r="DV54" s="557">
        <v>318.42899999999997</v>
      </c>
      <c r="DW54" s="557">
        <v>285.8133406</v>
      </c>
      <c r="DX54" s="557">
        <v>265.88353699999999</v>
      </c>
      <c r="DY54" s="557">
        <v>245.8071468</v>
      </c>
      <c r="DZ54" s="557">
        <v>245.71630440000001</v>
      </c>
      <c r="EA54" s="516">
        <v>3633.66514663</v>
      </c>
      <c r="EB54" s="557">
        <v>245.6698509</v>
      </c>
      <c r="EC54" s="557">
        <v>245.60068680000001</v>
      </c>
      <c r="ED54" s="557">
        <v>245.6213328</v>
      </c>
      <c r="EE54" s="557">
        <v>245.697723</v>
      </c>
      <c r="EF54" s="557">
        <v>245.7792747</v>
      </c>
      <c r="EG54" s="557">
        <v>245.87114940000001</v>
      </c>
      <c r="EH54" s="557">
        <v>245.9650887</v>
      </c>
      <c r="EI54" s="557">
        <v>246.03941430000009</v>
      </c>
      <c r="EJ54" s="557">
        <v>246.10754610000001</v>
      </c>
      <c r="EK54" s="557">
        <v>246.18187169999999</v>
      </c>
      <c r="EL54" s="557">
        <v>246.53595060000001</v>
      </c>
      <c r="EM54" s="557">
        <v>246.61027619999999</v>
      </c>
      <c r="EN54" s="516">
        <v>2951.6801651999999</v>
      </c>
      <c r="EO54" s="557">
        <v>246.6980217</v>
      </c>
      <c r="EP54" s="557">
        <v>252.36947789999999</v>
      </c>
      <c r="EQ54" s="557"/>
      <c r="ER54" s="557"/>
      <c r="ES54" s="557"/>
      <c r="ET54" s="557"/>
      <c r="EU54" s="557"/>
      <c r="EV54" s="557"/>
      <c r="EW54" s="557"/>
      <c r="EX54" s="557"/>
      <c r="EY54" s="557"/>
      <c r="EZ54" s="557"/>
      <c r="FA54" s="516">
        <f t="shared" si="144"/>
        <v>499.06749960000002</v>
      </c>
      <c r="FC54" s="524">
        <f t="shared" si="378"/>
        <v>0.29649414571049082</v>
      </c>
      <c r="FD54" s="525">
        <f t="shared" si="145"/>
        <v>-20.156117610693279</v>
      </c>
      <c r="FE54" s="526">
        <f t="shared" si="379"/>
        <v>3387.9488422300001</v>
      </c>
      <c r="FF54" s="527">
        <f t="shared" si="380"/>
        <v>2705.0698889999999</v>
      </c>
      <c r="FG54" s="470"/>
      <c r="FH54" s="498">
        <f t="shared" si="381"/>
        <v>109529.28521724687</v>
      </c>
      <c r="FI54" s="499"/>
      <c r="FJ54" s="500" t="str">
        <f t="shared" si="382"/>
        <v>VER</v>
      </c>
    </row>
    <row r="55" spans="1:166" s="447" customFormat="1" ht="15" customHeight="1" x14ac:dyDescent="0.25">
      <c r="A55" s="556" t="s">
        <v>562</v>
      </c>
      <c r="B55" s="557">
        <v>347</v>
      </c>
      <c r="C55" s="557">
        <v>353</v>
      </c>
      <c r="D55" s="557">
        <v>370</v>
      </c>
      <c r="E55" s="557">
        <v>365</v>
      </c>
      <c r="F55" s="557">
        <v>355</v>
      </c>
      <c r="G55" s="557">
        <v>345</v>
      </c>
      <c r="H55" s="557">
        <v>356</v>
      </c>
      <c r="I55" s="557">
        <v>363</v>
      </c>
      <c r="J55" s="557">
        <v>347</v>
      </c>
      <c r="K55" s="557">
        <v>323</v>
      </c>
      <c r="L55" s="557">
        <v>281</v>
      </c>
      <c r="M55" s="557">
        <v>284</v>
      </c>
      <c r="N55" s="516">
        <f>SUM(B55:M55)</f>
        <v>4089</v>
      </c>
      <c r="O55" s="557">
        <v>272</v>
      </c>
      <c r="P55" s="557">
        <v>282</v>
      </c>
      <c r="Q55" s="557">
        <v>307</v>
      </c>
      <c r="R55" s="557">
        <v>294</v>
      </c>
      <c r="S55" s="557">
        <v>319</v>
      </c>
      <c r="T55" s="557">
        <v>315</v>
      </c>
      <c r="U55" s="557">
        <v>323</v>
      </c>
      <c r="V55" s="557">
        <v>345</v>
      </c>
      <c r="W55" s="557">
        <v>378</v>
      </c>
      <c r="X55" s="557">
        <v>371</v>
      </c>
      <c r="Y55" s="557">
        <v>353</v>
      </c>
      <c r="Z55" s="557">
        <v>388</v>
      </c>
      <c r="AA55" s="516">
        <f>SUM(O55:Z55)</f>
        <v>3947</v>
      </c>
      <c r="AB55" s="557">
        <v>412</v>
      </c>
      <c r="AC55" s="557">
        <v>413</v>
      </c>
      <c r="AD55" s="557">
        <v>375</v>
      </c>
      <c r="AE55" s="557">
        <v>383</v>
      </c>
      <c r="AF55" s="557">
        <v>352</v>
      </c>
      <c r="AG55" s="557">
        <v>321</v>
      </c>
      <c r="AH55" s="557">
        <v>304</v>
      </c>
      <c r="AI55" s="557">
        <v>315</v>
      </c>
      <c r="AJ55" s="557">
        <v>320</v>
      </c>
      <c r="AK55" s="557">
        <v>326</v>
      </c>
      <c r="AL55" s="557">
        <v>344</v>
      </c>
      <c r="AM55" s="557">
        <v>312</v>
      </c>
      <c r="AN55" s="516">
        <f>SUM(AB55:AM55)</f>
        <v>4177</v>
      </c>
      <c r="AO55" s="557">
        <v>277</v>
      </c>
      <c r="AP55" s="557">
        <v>302.49279871712912</v>
      </c>
      <c r="AQ55" s="557">
        <v>285.531937812183</v>
      </c>
      <c r="AR55" s="557">
        <v>291</v>
      </c>
      <c r="AS55" s="557">
        <v>284</v>
      </c>
      <c r="AT55" s="557">
        <v>292</v>
      </c>
      <c r="AU55" s="557">
        <v>295</v>
      </c>
      <c r="AV55" s="557">
        <v>338</v>
      </c>
      <c r="AW55" s="557">
        <v>308</v>
      </c>
      <c r="AX55" s="557">
        <v>297</v>
      </c>
      <c r="AY55" s="557">
        <v>290</v>
      </c>
      <c r="AZ55" s="557">
        <v>282</v>
      </c>
      <c r="BA55" s="516">
        <f>SUM(AO55:AZ55)</f>
        <v>3542.0247365293121</v>
      </c>
      <c r="BB55" s="557">
        <v>314</v>
      </c>
      <c r="BC55" s="557">
        <v>332</v>
      </c>
      <c r="BD55" s="557">
        <v>302</v>
      </c>
      <c r="BE55" s="557">
        <v>320</v>
      </c>
      <c r="BF55" s="557">
        <v>299</v>
      </c>
      <c r="BG55" s="557">
        <v>297</v>
      </c>
      <c r="BH55" s="557">
        <v>306</v>
      </c>
      <c r="BI55" s="557">
        <v>341</v>
      </c>
      <c r="BJ55" s="557">
        <v>328</v>
      </c>
      <c r="BK55" s="557">
        <v>301</v>
      </c>
      <c r="BL55" s="557">
        <v>286</v>
      </c>
      <c r="BM55" s="557">
        <v>285</v>
      </c>
      <c r="BN55" s="516">
        <f>SUM(BB55:BM55)</f>
        <v>3711</v>
      </c>
      <c r="BO55" s="557">
        <v>314.79967366596344</v>
      </c>
      <c r="BP55" s="557">
        <v>332.57234941034091</v>
      </c>
      <c r="BQ55" s="557">
        <v>312.19614145000003</v>
      </c>
      <c r="BR55" s="557">
        <v>317.23122599999999</v>
      </c>
      <c r="BS55" s="557">
        <v>296.54581610000002</v>
      </c>
      <c r="BT55" s="557">
        <v>295.23120999999998</v>
      </c>
      <c r="BU55" s="557">
        <v>305.23644999999999</v>
      </c>
      <c r="BV55" s="557">
        <v>338.56</v>
      </c>
      <c r="BW55" s="557">
        <v>330.245</v>
      </c>
      <c r="BX55" s="557">
        <v>300.25470000000001</v>
      </c>
      <c r="BY55" s="557">
        <v>280.12400000000002</v>
      </c>
      <c r="BZ55" s="557">
        <v>280.245</v>
      </c>
      <c r="CA55" s="516">
        <v>3703.2415666263041</v>
      </c>
      <c r="CB55" s="557">
        <v>310.25400000000002</v>
      </c>
      <c r="CC55" s="557">
        <v>308.35680000000002</v>
      </c>
      <c r="CD55" s="557">
        <v>301.24700000000001</v>
      </c>
      <c r="CE55" s="557">
        <v>310.68970000000002</v>
      </c>
      <c r="CF55" s="557">
        <v>290.64699999999999</v>
      </c>
      <c r="CG55" s="557">
        <v>290.31779999999998</v>
      </c>
      <c r="CH55" s="557">
        <v>301.67329999999998</v>
      </c>
      <c r="CI55" s="557">
        <v>299.36270840499998</v>
      </c>
      <c r="CJ55" s="557">
        <v>324.333856303</v>
      </c>
      <c r="CK55" s="557">
        <v>292.85110119500001</v>
      </c>
      <c r="CL55" s="557">
        <v>267.40771673400002</v>
      </c>
      <c r="CM55" s="557">
        <v>265.69459150900002</v>
      </c>
      <c r="CN55" s="516">
        <v>3562.8355741460005</v>
      </c>
      <c r="CO55" s="557">
        <v>311.45146935899999</v>
      </c>
      <c r="CP55" s="557">
        <v>310.05183941799999</v>
      </c>
      <c r="CQ55" s="557">
        <v>295.5350472696</v>
      </c>
      <c r="CR55" s="557">
        <v>295.56293142959998</v>
      </c>
      <c r="CS55" s="557">
        <v>279.39155420039998</v>
      </c>
      <c r="CT55" s="557">
        <v>276.53031451160001</v>
      </c>
      <c r="CU55" s="557">
        <v>290.68218060240002</v>
      </c>
      <c r="CV55" s="557">
        <v>293.64753265159999</v>
      </c>
      <c r="CW55" s="557">
        <v>320.24933388080001</v>
      </c>
      <c r="CX55" s="557">
        <v>285.56610300480003</v>
      </c>
      <c r="CY55" s="557">
        <v>260.18416249239999</v>
      </c>
      <c r="CZ55" s="557">
        <v>263.28116780520003</v>
      </c>
      <c r="DA55" s="516">
        <v>3482.1336366254</v>
      </c>
      <c r="DB55" s="557">
        <v>300.29246758800002</v>
      </c>
      <c r="DC55" s="557">
        <v>292.90153199999997</v>
      </c>
      <c r="DD55" s="557">
        <v>282.21947060999997</v>
      </c>
      <c r="DE55" s="557">
        <v>285.1375003</v>
      </c>
      <c r="DF55" s="557">
        <v>269.78616671999998</v>
      </c>
      <c r="DG55" s="557">
        <v>265.23872408</v>
      </c>
      <c r="DH55" s="557">
        <v>275.36296369000002</v>
      </c>
      <c r="DI55" s="557">
        <v>283.36296369000002</v>
      </c>
      <c r="DJ55" s="557">
        <v>305.65228390999999</v>
      </c>
      <c r="DK55" s="557">
        <v>270.29246758800002</v>
      </c>
      <c r="DL55" s="557">
        <v>246.38094741</v>
      </c>
      <c r="DM55" s="557">
        <v>250.29246758799999</v>
      </c>
      <c r="DN55" s="516">
        <v>3326.9199551739994</v>
      </c>
      <c r="DO55" s="557">
        <v>290.81799999999998</v>
      </c>
      <c r="DP55" s="557">
        <v>280.05399999999997</v>
      </c>
      <c r="DQ55" s="557">
        <v>267.6173354</v>
      </c>
      <c r="DR55" s="557">
        <v>269.20800000000003</v>
      </c>
      <c r="DS55" s="557">
        <v>256.89800000000002</v>
      </c>
      <c r="DT55" s="557">
        <v>258.12599999999998</v>
      </c>
      <c r="DU55" s="557">
        <v>270.71300000000002</v>
      </c>
      <c r="DV55" s="557">
        <v>275.71379999999999</v>
      </c>
      <c r="DW55" s="557">
        <v>301.178</v>
      </c>
      <c r="DX55" s="557">
        <v>268.08182514399999</v>
      </c>
      <c r="DY55" s="557">
        <v>240.768</v>
      </c>
      <c r="DZ55" s="557">
        <v>242.83500000000001</v>
      </c>
      <c r="EA55" s="516">
        <v>3222.0109605439998</v>
      </c>
      <c r="EB55" s="557">
        <v>288.91300000000001</v>
      </c>
      <c r="EC55" s="557">
        <v>282.68799999999999</v>
      </c>
      <c r="ED55" s="557">
        <v>270.20569999999998</v>
      </c>
      <c r="EE55" s="557">
        <v>271.55779999999999</v>
      </c>
      <c r="EF55" s="557">
        <v>259.44009999999997</v>
      </c>
      <c r="EG55" s="557">
        <v>260.66070000000002</v>
      </c>
      <c r="EH55" s="557">
        <v>272.67559999999997</v>
      </c>
      <c r="EI55" s="557">
        <v>278.22230000000002</v>
      </c>
      <c r="EJ55" s="557">
        <v>297.60208502865032</v>
      </c>
      <c r="EK55" s="557">
        <v>263.88780000000003</v>
      </c>
      <c r="EL55" s="557">
        <v>259.50830000000002</v>
      </c>
      <c r="EM55" s="557">
        <v>245.58553944653499</v>
      </c>
      <c r="EN55" s="516">
        <v>3250.9469244751854</v>
      </c>
      <c r="EO55" s="557">
        <v>274.19540063770381</v>
      </c>
      <c r="EP55" s="557">
        <v>275.54843</v>
      </c>
      <c r="EQ55" s="557"/>
      <c r="ER55" s="557"/>
      <c r="ES55" s="557"/>
      <c r="ET55" s="557"/>
      <c r="EU55" s="557"/>
      <c r="EV55" s="557"/>
      <c r="EW55" s="557"/>
      <c r="EX55" s="557"/>
      <c r="EY55" s="557"/>
      <c r="EZ55" s="557"/>
      <c r="FA55" s="516">
        <f t="shared" si="144"/>
        <v>549.74383063770381</v>
      </c>
      <c r="FC55" s="524">
        <f t="shared" si="378"/>
        <v>7.7835509702286032</v>
      </c>
      <c r="FD55" s="525">
        <f t="shared" si="145"/>
        <v>0.87894856938457444</v>
      </c>
      <c r="FE55" s="526">
        <f t="shared" si="379"/>
        <v>2979.1759605439997</v>
      </c>
      <c r="FF55" s="527">
        <f t="shared" si="380"/>
        <v>3005.3613850286501</v>
      </c>
      <c r="FG55" s="470"/>
      <c r="FH55" s="498">
        <f t="shared" si="381"/>
        <v>81127.714369515816</v>
      </c>
      <c r="FI55" s="499"/>
      <c r="FJ55" s="500" t="str">
        <f t="shared" si="382"/>
        <v>VER</v>
      </c>
    </row>
    <row r="56" spans="1:166" s="447" customFormat="1" ht="15" customHeight="1" x14ac:dyDescent="0.25">
      <c r="A56" s="575"/>
      <c r="B56" s="576"/>
      <c r="C56" s="576"/>
      <c r="D56" s="576"/>
      <c r="E56" s="576"/>
      <c r="F56" s="576"/>
      <c r="G56" s="576"/>
      <c r="H56" s="576"/>
      <c r="I56" s="576"/>
      <c r="J56" s="576"/>
      <c r="K56" s="576"/>
      <c r="L56" s="576"/>
      <c r="M56" s="576"/>
      <c r="N56" s="577"/>
      <c r="O56" s="576"/>
      <c r="P56" s="576"/>
      <c r="Q56" s="576"/>
      <c r="R56" s="576"/>
      <c r="S56" s="576"/>
      <c r="T56" s="576"/>
      <c r="U56" s="576"/>
      <c r="V56" s="576"/>
      <c r="W56" s="576"/>
      <c r="X56" s="576"/>
      <c r="Y56" s="576"/>
      <c r="Z56" s="576"/>
      <c r="AA56" s="577"/>
      <c r="AB56" s="576"/>
      <c r="AC56" s="576"/>
      <c r="AD56" s="576"/>
      <c r="AE56" s="576"/>
      <c r="AF56" s="576"/>
      <c r="AG56" s="576"/>
      <c r="AH56" s="576"/>
      <c r="AI56" s="576"/>
      <c r="AJ56" s="576"/>
      <c r="AK56" s="576"/>
      <c r="AL56" s="576"/>
      <c r="AM56" s="576"/>
      <c r="AN56" s="577"/>
      <c r="AO56" s="576"/>
      <c r="AP56" s="576"/>
      <c r="AQ56" s="576"/>
      <c r="AR56" s="576"/>
      <c r="AS56" s="576"/>
      <c r="AT56" s="576"/>
      <c r="AU56" s="576"/>
      <c r="AV56" s="576"/>
      <c r="AW56" s="576"/>
      <c r="AX56" s="576"/>
      <c r="AY56" s="576"/>
      <c r="AZ56" s="576"/>
      <c r="BA56" s="577"/>
      <c r="BB56" s="576"/>
      <c r="BC56" s="576"/>
      <c r="BD56" s="576"/>
      <c r="BE56" s="576"/>
      <c r="BF56" s="576"/>
      <c r="BG56" s="576"/>
      <c r="BH56" s="576"/>
      <c r="BI56" s="576"/>
      <c r="BJ56" s="576"/>
      <c r="BK56" s="576"/>
      <c r="BL56" s="576"/>
      <c r="BM56" s="576"/>
      <c r="BN56" s="577"/>
      <c r="BO56" s="576"/>
      <c r="BP56" s="576"/>
      <c r="BQ56" s="576"/>
      <c r="BR56" s="576"/>
      <c r="BS56" s="576"/>
      <c r="BT56" s="576"/>
      <c r="BU56" s="576"/>
      <c r="BV56" s="576"/>
      <c r="BW56" s="576"/>
      <c r="BX56" s="576"/>
      <c r="BY56" s="576"/>
      <c r="BZ56" s="576"/>
      <c r="CA56" s="577"/>
      <c r="CB56" s="576"/>
      <c r="CC56" s="576"/>
      <c r="CD56" s="576"/>
      <c r="CE56" s="576"/>
      <c r="CF56" s="576"/>
      <c r="CG56" s="576"/>
      <c r="CH56" s="576"/>
      <c r="CI56" s="576"/>
      <c r="CJ56" s="576"/>
      <c r="CK56" s="576"/>
      <c r="CL56" s="576"/>
      <c r="CM56" s="576"/>
      <c r="CN56" s="577"/>
      <c r="CO56" s="576"/>
      <c r="CP56" s="576"/>
      <c r="CQ56" s="576"/>
      <c r="CR56" s="576"/>
      <c r="CS56" s="576"/>
      <c r="CT56" s="576"/>
      <c r="CU56" s="576"/>
      <c r="CV56" s="576"/>
      <c r="CW56" s="576"/>
      <c r="CX56" s="576"/>
      <c r="CY56" s="576"/>
      <c r="CZ56" s="576"/>
      <c r="DA56" s="577"/>
      <c r="DB56" s="576"/>
      <c r="DC56" s="576"/>
      <c r="DD56" s="576"/>
      <c r="DE56" s="576"/>
      <c r="DF56" s="576"/>
      <c r="DG56" s="576"/>
      <c r="DH56" s="576"/>
      <c r="DI56" s="576"/>
      <c r="DJ56" s="576"/>
      <c r="DK56" s="576"/>
      <c r="DL56" s="576"/>
      <c r="DM56" s="576"/>
      <c r="DN56" s="577"/>
      <c r="DO56" s="576"/>
      <c r="DP56" s="576"/>
      <c r="DQ56" s="576"/>
      <c r="DR56" s="576"/>
      <c r="DS56" s="576"/>
      <c r="DT56" s="576"/>
      <c r="DU56" s="576"/>
      <c r="DV56" s="576"/>
      <c r="DW56" s="576"/>
      <c r="DX56" s="576"/>
      <c r="DY56" s="576"/>
      <c r="DZ56" s="576"/>
      <c r="EA56" s="577"/>
      <c r="EB56" s="576"/>
      <c r="EC56" s="576"/>
      <c r="ED56" s="576"/>
      <c r="EE56" s="576"/>
      <c r="EF56" s="576"/>
      <c r="EG56" s="576"/>
      <c r="EH56" s="576"/>
      <c r="EI56" s="576"/>
      <c r="EJ56" s="576"/>
      <c r="EK56" s="576"/>
      <c r="EL56" s="576"/>
      <c r="EM56" s="576"/>
      <c r="EN56" s="577"/>
      <c r="EO56" s="576"/>
      <c r="EP56" s="576"/>
      <c r="EQ56" s="576"/>
      <c r="ER56" s="576"/>
      <c r="ES56" s="576"/>
      <c r="ET56" s="576"/>
      <c r="EU56" s="576"/>
      <c r="EV56" s="576"/>
      <c r="EW56" s="576"/>
      <c r="EX56" s="576"/>
      <c r="EY56" s="576"/>
      <c r="EZ56" s="576"/>
      <c r="FA56" s="577"/>
      <c r="FC56" s="578"/>
      <c r="FD56" s="579"/>
      <c r="FE56" s="580"/>
      <c r="FF56" s="581"/>
      <c r="FG56" s="470"/>
      <c r="FH56" s="582"/>
      <c r="FI56" s="583"/>
      <c r="FJ56" s="584"/>
    </row>
    <row r="57" spans="1:166" s="447" customFormat="1" ht="15" customHeight="1" x14ac:dyDescent="0.25">
      <c r="A57" s="585" t="s">
        <v>267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 s="470"/>
      <c r="FI57" s="470"/>
      <c r="FJ57" s="470"/>
    </row>
    <row r="58" spans="1:166" s="447" customFormat="1" ht="15" customHeight="1" x14ac:dyDescent="0.25">
      <c r="A58" s="586" t="s">
        <v>162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>
        <v>115173.95999999998</v>
      </c>
      <c r="EC58">
        <v>119174.88300000002</v>
      </c>
      <c r="ED58">
        <v>109325.58600000001</v>
      </c>
      <c r="EE58">
        <v>81068.497999999992</v>
      </c>
      <c r="EF58">
        <v>101696.18800000001</v>
      </c>
      <c r="EG58">
        <v>125055.84799999997</v>
      </c>
      <c r="EH58">
        <v>90320.008000000002</v>
      </c>
      <c r="EI58">
        <v>83805.127000000008</v>
      </c>
      <c r="EJ58">
        <v>94043.909000000014</v>
      </c>
      <c r="EK58">
        <v>87098.199999999983</v>
      </c>
      <c r="EL58">
        <v>147324.29699999999</v>
      </c>
      <c r="EM58">
        <v>0</v>
      </c>
      <c r="EN58">
        <v>1154086.504</v>
      </c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 s="470"/>
      <c r="FI58" s="470"/>
      <c r="FJ58" s="470"/>
    </row>
    <row r="59" spans="1:166" s="447" customFormat="1" ht="15" customHeight="1" x14ac:dyDescent="0.25">
      <c r="A59" s="586" t="s">
        <v>633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>
        <f t="shared" ref="EB59:EO59" si="388">EB11-EB58</f>
        <v>-18.260999999998603</v>
      </c>
      <c r="EC59">
        <f t="shared" si="388"/>
        <v>-39.230000000010477</v>
      </c>
      <c r="ED59">
        <f t="shared" si="388"/>
        <v>-157.16000000000349</v>
      </c>
      <c r="EE59">
        <f t="shared" si="388"/>
        <v>-67.75</v>
      </c>
      <c r="EF59">
        <f t="shared" si="388"/>
        <v>3512.7510000000038</v>
      </c>
      <c r="EG59">
        <f t="shared" si="388"/>
        <v>-10130.488999999972</v>
      </c>
      <c r="EH59">
        <f t="shared" si="388"/>
        <v>5902.4150000000227</v>
      </c>
      <c r="EI59">
        <f t="shared" si="388"/>
        <v>27407.710999999996</v>
      </c>
      <c r="EJ59">
        <f t="shared" si="388"/>
        <v>56034.228999999963</v>
      </c>
      <c r="EK59">
        <f t="shared" si="388"/>
        <v>65531.891000000003</v>
      </c>
      <c r="EL59">
        <f t="shared" si="388"/>
        <v>583.52400000000489</v>
      </c>
      <c r="EM59">
        <f t="shared" si="388"/>
        <v>142342.10500000001</v>
      </c>
      <c r="EN59">
        <f t="shared" si="388"/>
        <v>290901.73600000003</v>
      </c>
      <c r="EO59">
        <f t="shared" si="388"/>
        <v>136460.79499999998</v>
      </c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 s="470"/>
      <c r="FI59" s="470"/>
      <c r="FJ59" s="470"/>
    </row>
    <row r="60" spans="1:166" s="447" customFormat="1" ht="15" customHeight="1" x14ac:dyDescent="0.25">
      <c r="A60" s="587" t="s">
        <v>335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</row>
  </sheetData>
  <sortState xmlns:xlrd2="http://schemas.microsoft.com/office/spreadsheetml/2017/richdata2" ref="A40:FJ45">
    <sortCondition ref="A40:A45"/>
  </sortState>
  <phoneticPr fontId="11" type="noConversion"/>
  <conditionalFormatting sqref="A1:A1048576">
    <cfRule type="duplicateValues" dxfId="11" priority="1"/>
  </conditionalFormatting>
  <conditionalFormatting sqref="A4:A5">
    <cfRule type="duplicateValues" dxfId="10" priority="2"/>
    <cfRule type="duplicateValues" dxfId="9" priority="3"/>
  </conditionalFormatting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  <colBreaks count="1" manualBreakCount="1">
    <brk id="143" max="6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</sheetPr>
  <dimension ref="A1:FJ55"/>
  <sheetViews>
    <sheetView showGridLines="0" view="pageBreakPreview" zoomScaleNormal="100" zoomScaleSheetLayoutView="100" workbookViewId="0">
      <pane xSplit="1" topLeftCell="EM1" activePane="topRight" state="frozen"/>
      <selection activeCell="DO55" sqref="DO55:EP55"/>
      <selection pane="topRight" activeCell="A3" sqref="A3"/>
    </sheetView>
  </sheetViews>
  <sheetFormatPr baseColWidth="10" defaultColWidth="9.7109375" defaultRowHeight="15" customHeight="1" x14ac:dyDescent="0.25"/>
  <cols>
    <col min="1" max="1" width="26.7109375" customWidth="1"/>
    <col min="157" max="157" width="10.42578125" bestFit="1" customWidth="1"/>
  </cols>
  <sheetData>
    <row r="1" spans="1:166" s="470" customFormat="1" ht="15" customHeight="1" x14ac:dyDescent="0.25">
      <c r="A1" s="588" t="s">
        <v>232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89"/>
      <c r="CF1" s="589"/>
      <c r="CG1" s="589"/>
      <c r="CH1" s="589"/>
      <c r="CI1" s="589"/>
      <c r="CJ1" s="589"/>
      <c r="CK1" s="589"/>
      <c r="CL1" s="589"/>
      <c r="CM1" s="589"/>
      <c r="CN1" s="589"/>
      <c r="CO1" s="589"/>
      <c r="CP1" s="589"/>
      <c r="CQ1" s="589"/>
      <c r="CR1" s="589"/>
      <c r="CS1" s="589"/>
      <c r="CT1" s="589"/>
      <c r="CU1" s="589"/>
      <c r="CV1" s="589"/>
      <c r="CW1" s="589"/>
      <c r="CX1" s="589"/>
      <c r="CY1" s="589"/>
      <c r="CZ1" s="589"/>
      <c r="DA1" s="589"/>
      <c r="DB1" s="589"/>
      <c r="DC1" s="589"/>
      <c r="DD1" s="589"/>
      <c r="DE1" s="589"/>
      <c r="DF1" s="589"/>
      <c r="DG1" s="589"/>
      <c r="DH1" s="589"/>
      <c r="DI1" s="589"/>
      <c r="DJ1" s="589"/>
      <c r="DK1" s="589"/>
      <c r="DL1" s="589"/>
      <c r="DM1" s="589"/>
      <c r="DN1" s="589"/>
      <c r="DO1" s="589"/>
      <c r="DP1" s="589"/>
      <c r="DQ1" s="589"/>
      <c r="DR1" s="589"/>
      <c r="DS1" s="589"/>
      <c r="DT1" s="589"/>
      <c r="DU1" s="589"/>
      <c r="DV1" s="589"/>
      <c r="DW1" s="589"/>
      <c r="DX1" s="589"/>
      <c r="DY1" s="589"/>
      <c r="DZ1" s="589"/>
      <c r="EA1" s="589"/>
      <c r="EB1" s="589"/>
      <c r="EC1" s="589"/>
      <c r="ED1" s="589"/>
      <c r="EE1" s="589"/>
      <c r="EF1" s="589"/>
      <c r="EG1" s="589"/>
      <c r="EH1" s="589"/>
      <c r="EI1" s="589"/>
      <c r="EJ1" s="589"/>
      <c r="EK1" s="589"/>
      <c r="EL1" s="589"/>
      <c r="EM1" s="589"/>
      <c r="EN1" s="589"/>
      <c r="EO1" s="589"/>
      <c r="EP1" s="589"/>
      <c r="EQ1" s="589"/>
      <c r="ER1" s="589"/>
      <c r="ES1" s="589"/>
      <c r="ET1" s="589"/>
      <c r="EU1" s="589"/>
      <c r="EV1" s="589"/>
      <c r="EW1" s="589"/>
      <c r="EX1" s="589"/>
      <c r="EY1" s="589"/>
      <c r="EZ1" s="589"/>
      <c r="FA1" s="589"/>
      <c r="FB1" s="590"/>
      <c r="FC1" s="589"/>
    </row>
    <row r="2" spans="1:166" s="470" customFormat="1" ht="15" customHeight="1" x14ac:dyDescent="0.25">
      <c r="A2" s="588" t="s">
        <v>605</v>
      </c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  <c r="N2" s="589"/>
      <c r="O2" s="589"/>
      <c r="P2" s="589"/>
      <c r="Q2" s="589"/>
      <c r="R2" s="589"/>
      <c r="S2" s="589"/>
      <c r="T2" s="589"/>
      <c r="U2" s="589"/>
      <c r="V2" s="589"/>
      <c r="W2" s="589"/>
      <c r="X2" s="589"/>
      <c r="Y2" s="589"/>
      <c r="Z2" s="589"/>
      <c r="AA2" s="589"/>
      <c r="AB2" s="589"/>
      <c r="AC2" s="589"/>
      <c r="AD2" s="589"/>
      <c r="AE2" s="589"/>
      <c r="AF2" s="589"/>
      <c r="AG2" s="589"/>
      <c r="AH2" s="589"/>
      <c r="AI2" s="589"/>
      <c r="AJ2" s="589"/>
      <c r="AK2" s="589"/>
      <c r="AL2" s="589"/>
      <c r="AM2" s="589"/>
      <c r="AN2" s="589"/>
      <c r="AO2" s="589"/>
      <c r="AP2" s="589"/>
      <c r="AQ2" s="589"/>
      <c r="AR2" s="589"/>
      <c r="AS2" s="589"/>
      <c r="AT2" s="589"/>
      <c r="AU2" s="589"/>
      <c r="AV2" s="589"/>
      <c r="AW2" s="589"/>
      <c r="AX2" s="589"/>
      <c r="AY2" s="589"/>
      <c r="AZ2" s="589"/>
      <c r="BA2" s="589"/>
      <c r="BB2" s="589"/>
      <c r="BC2" s="589"/>
      <c r="BD2" s="589"/>
      <c r="BE2" s="589"/>
      <c r="BF2" s="589"/>
      <c r="BG2" s="589"/>
      <c r="BH2" s="589"/>
      <c r="BI2" s="589"/>
      <c r="BJ2" s="589"/>
      <c r="BK2" s="589"/>
      <c r="BL2" s="589"/>
      <c r="BM2" s="589"/>
      <c r="BN2" s="589"/>
      <c r="BO2" s="589"/>
      <c r="BP2" s="589"/>
      <c r="BQ2" s="589"/>
      <c r="BR2" s="589"/>
      <c r="BT2" s="589"/>
      <c r="BU2" s="589"/>
      <c r="BV2" s="589"/>
      <c r="BW2" s="589"/>
      <c r="BX2" s="589"/>
      <c r="BY2" s="589"/>
      <c r="BZ2" s="589"/>
      <c r="CA2" s="589"/>
      <c r="CB2" s="589"/>
      <c r="CC2" s="589"/>
      <c r="CD2" s="589"/>
      <c r="CE2" s="589"/>
      <c r="CF2" s="589"/>
      <c r="CG2" s="589"/>
      <c r="CH2" s="589"/>
      <c r="CI2" s="589"/>
      <c r="CJ2" s="589"/>
      <c r="CK2" s="589"/>
      <c r="CL2" s="589"/>
      <c r="CM2" s="589"/>
      <c r="CN2" s="589"/>
      <c r="CO2" s="589"/>
      <c r="CP2" s="589"/>
      <c r="CQ2" s="589"/>
      <c r="CR2" s="589"/>
      <c r="CS2" s="589"/>
      <c r="CT2" s="589"/>
      <c r="CU2" s="589"/>
      <c r="CV2" s="589"/>
      <c r="CW2" s="589"/>
      <c r="CX2" s="589"/>
      <c r="CY2" s="589"/>
      <c r="CZ2" s="589"/>
      <c r="DA2" s="589"/>
      <c r="DB2" s="589"/>
      <c r="DC2" s="589"/>
      <c r="DD2" s="589"/>
      <c r="DE2" s="589"/>
      <c r="DF2" s="589"/>
      <c r="DG2" s="589"/>
      <c r="DH2" s="589"/>
      <c r="DI2" s="589"/>
      <c r="DJ2" s="589"/>
      <c r="DK2" s="589"/>
      <c r="DL2" s="589"/>
      <c r="DM2" s="589"/>
      <c r="DN2" s="589"/>
      <c r="DO2" s="589"/>
      <c r="DP2" s="589"/>
      <c r="DQ2" s="589"/>
      <c r="DR2" s="589"/>
      <c r="DS2" s="589"/>
      <c r="DT2" s="589"/>
      <c r="DU2" s="589"/>
      <c r="DV2" s="589"/>
      <c r="DW2" s="589"/>
      <c r="DX2" s="589"/>
      <c r="DY2" s="589"/>
      <c r="DZ2" s="589"/>
      <c r="EA2" s="589"/>
      <c r="EB2" s="589"/>
      <c r="EC2" s="589"/>
      <c r="ED2" s="589"/>
      <c r="EE2" s="589"/>
      <c r="EF2" s="589"/>
      <c r="EG2" s="589"/>
      <c r="EH2" s="589"/>
      <c r="EI2" s="589"/>
      <c r="EJ2" s="589"/>
      <c r="EK2" s="589"/>
      <c r="EL2" s="589"/>
      <c r="EM2" s="589"/>
      <c r="EN2" s="589"/>
      <c r="EO2" s="589"/>
      <c r="EP2" s="589"/>
      <c r="EQ2" s="589"/>
      <c r="ER2" s="589"/>
      <c r="ES2" s="589"/>
      <c r="ET2" s="589"/>
      <c r="EU2" s="589"/>
      <c r="EV2" s="589"/>
      <c r="EW2" s="589"/>
      <c r="EX2" s="589"/>
      <c r="EY2" s="589"/>
      <c r="EZ2" s="589"/>
      <c r="FA2" s="589"/>
      <c r="FB2" s="590"/>
      <c r="FC2" s="589"/>
    </row>
    <row r="3" spans="1:166" s="470" customFormat="1" ht="15" customHeight="1" x14ac:dyDescent="0.25">
      <c r="A3" s="778" t="s">
        <v>632</v>
      </c>
      <c r="B3" s="589"/>
      <c r="C3" s="589"/>
      <c r="D3" s="589"/>
      <c r="E3" s="589"/>
      <c r="F3" s="589"/>
      <c r="G3" s="589"/>
      <c r="H3" s="589"/>
      <c r="I3" s="589"/>
      <c r="J3" s="589"/>
      <c r="K3" s="589"/>
      <c r="L3" s="589"/>
      <c r="M3" s="589"/>
      <c r="N3" s="589"/>
      <c r="O3" s="589"/>
      <c r="P3" s="589"/>
      <c r="Q3" s="589"/>
      <c r="R3" s="589"/>
      <c r="S3" s="589"/>
      <c r="T3" s="589"/>
      <c r="U3" s="589"/>
      <c r="V3" s="589"/>
      <c r="W3" s="589"/>
      <c r="X3" s="589"/>
      <c r="Y3" s="589"/>
      <c r="Z3" s="589"/>
      <c r="AA3" s="589"/>
      <c r="AB3" s="589"/>
      <c r="AC3" s="589"/>
      <c r="AD3" s="589"/>
      <c r="AE3" s="589"/>
      <c r="AF3" s="589"/>
      <c r="AG3" s="589"/>
      <c r="AH3" s="589"/>
      <c r="AI3" s="589"/>
      <c r="AJ3" s="589"/>
      <c r="AK3" s="589"/>
      <c r="AL3" s="589"/>
      <c r="AM3" s="589"/>
      <c r="AN3" s="589"/>
      <c r="AO3" s="589"/>
      <c r="AP3" s="589"/>
      <c r="AQ3" s="589"/>
      <c r="AR3" s="589"/>
      <c r="AS3" s="589"/>
      <c r="AT3" s="589"/>
      <c r="AU3" s="591"/>
      <c r="AV3" s="589"/>
      <c r="AW3" s="589"/>
      <c r="AX3" s="589"/>
      <c r="AY3" s="589"/>
      <c r="AZ3" s="589"/>
      <c r="BA3" s="589"/>
      <c r="BB3" s="589"/>
      <c r="BC3" s="589"/>
      <c r="BD3" s="589"/>
      <c r="BE3" s="589"/>
      <c r="BF3" s="589"/>
      <c r="BG3" s="589"/>
      <c r="BH3" s="589"/>
      <c r="BI3" s="589"/>
      <c r="BJ3" s="589"/>
      <c r="BK3" s="589"/>
      <c r="BL3" s="589"/>
      <c r="BM3" s="589"/>
      <c r="BN3" s="589"/>
      <c r="BO3" s="589"/>
      <c r="BP3" s="589"/>
      <c r="BQ3" s="589"/>
      <c r="BR3" s="589"/>
      <c r="BT3" s="589"/>
      <c r="BU3" s="589"/>
      <c r="BV3" s="589"/>
      <c r="BW3" s="589"/>
      <c r="BX3" s="589"/>
      <c r="BY3" s="589"/>
      <c r="BZ3" s="589"/>
      <c r="CA3" s="589"/>
      <c r="CB3" s="589"/>
      <c r="CC3" s="589"/>
      <c r="CD3" s="589"/>
      <c r="CE3" s="589"/>
      <c r="CF3" s="589"/>
      <c r="CG3" s="589"/>
      <c r="CH3" s="589"/>
      <c r="CI3" s="589"/>
      <c r="CJ3" s="589"/>
      <c r="CK3" s="589"/>
      <c r="CL3" s="589"/>
      <c r="CM3" s="589"/>
      <c r="CN3" s="589"/>
      <c r="CO3" s="589"/>
      <c r="CP3" s="589"/>
      <c r="CQ3" s="589"/>
      <c r="CR3" s="589"/>
      <c r="CS3" s="589"/>
      <c r="CT3" s="589"/>
      <c r="CU3" s="589"/>
      <c r="CV3" s="589"/>
      <c r="CW3" s="589"/>
      <c r="CX3" s="589"/>
      <c r="CY3" s="589"/>
      <c r="CZ3" s="589"/>
      <c r="DA3" s="589"/>
      <c r="DB3" s="589"/>
      <c r="DC3" s="589"/>
      <c r="DD3" s="589"/>
      <c r="DE3" s="589"/>
      <c r="DF3" s="589"/>
      <c r="DG3" s="589"/>
      <c r="DH3" s="589"/>
      <c r="DI3" s="589"/>
      <c r="DJ3" s="589"/>
      <c r="DK3" s="589"/>
      <c r="DL3" s="589"/>
      <c r="DM3" s="589"/>
      <c r="DN3" s="589"/>
      <c r="DO3" s="589"/>
      <c r="DP3" s="589"/>
      <c r="DQ3" s="589"/>
      <c r="DR3" s="589"/>
      <c r="DS3" s="589"/>
      <c r="DT3" s="589"/>
      <c r="DU3" s="589"/>
      <c r="DV3" s="589"/>
      <c r="DW3" s="589"/>
      <c r="DX3" s="589"/>
      <c r="DY3" s="589"/>
      <c r="DZ3" s="589"/>
      <c r="EA3" s="589"/>
      <c r="EB3" s="589"/>
      <c r="EC3" s="589"/>
      <c r="ED3" s="589"/>
      <c r="EE3" s="589"/>
      <c r="EF3" s="589"/>
      <c r="EG3" s="589"/>
      <c r="EH3" s="589"/>
      <c r="EI3" s="589"/>
      <c r="EJ3" s="589"/>
      <c r="EK3" s="589"/>
      <c r="EL3" s="589"/>
      <c r="EM3" s="589"/>
      <c r="EN3" s="589"/>
      <c r="EO3" s="589"/>
      <c r="EP3" s="589"/>
      <c r="EQ3" s="589"/>
      <c r="ER3" s="589"/>
      <c r="ES3" s="589"/>
      <c r="ET3" s="589"/>
      <c r="EU3" s="589"/>
      <c r="EV3" s="589"/>
      <c r="EW3" s="589"/>
      <c r="EX3" s="589"/>
      <c r="EY3" s="589"/>
      <c r="EZ3" s="589"/>
      <c r="FA3" s="589"/>
      <c r="FB3" s="590"/>
      <c r="FC3" s="589"/>
    </row>
    <row r="4" spans="1:166" s="470" customFormat="1" ht="15" customHeight="1" x14ac:dyDescent="0.25">
      <c r="A4" s="592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B4" s="590"/>
      <c r="FC4" s="476" t="str">
        <f>CONCATENATE("Var.% ",FF4,"/",FF4-1)</f>
        <v>Var.% 2025/2024</v>
      </c>
      <c r="FD4" s="477"/>
      <c r="FE4" s="478">
        <f>FF4-1</f>
        <v>2024</v>
      </c>
      <c r="FF4" s="478">
        <f>YEAR(FC5)</f>
        <v>2025</v>
      </c>
      <c r="FH4" s="479" t="s">
        <v>620</v>
      </c>
      <c r="FI4" s="480"/>
      <c r="FJ4" s="481"/>
    </row>
    <row r="5" spans="1:166" s="470" customFormat="1" ht="15" customHeight="1" x14ac:dyDescent="0.25">
      <c r="A5" s="593"/>
      <c r="B5" s="483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>YEAR(M5)</f>
        <v>2015</v>
      </c>
      <c r="O5" s="483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>YEAR(Z5)</f>
        <v>2016</v>
      </c>
      <c r="AB5" s="483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>YEAR(AM5)</f>
        <v>2017</v>
      </c>
      <c r="AO5" s="483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>YEAR(AZ5)</f>
        <v>2018</v>
      </c>
      <c r="BB5" s="483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>YEAR(BM5)</f>
        <v>2019</v>
      </c>
      <c r="BO5" s="483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>YEAR(BZ5)</f>
        <v>2020</v>
      </c>
      <c r="CB5" s="483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>YEAR(CM5)</f>
        <v>2021</v>
      </c>
      <c r="CO5" s="483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>YEAR(CZ5)</f>
        <v>2022</v>
      </c>
      <c r="DB5" s="483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>YEAR(DM5)</f>
        <v>2023</v>
      </c>
      <c r="DO5" s="483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>YEAR(DZ5)</f>
        <v>2024</v>
      </c>
      <c r="EB5" s="483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483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B5" s="590"/>
      <c r="FC5" s="485">
        <f>EL5</f>
        <v>45962</v>
      </c>
      <c r="FD5" s="486" t="str">
        <f>CONCATENATE("Ene.-",TEXT(FC5,"MMM."))</f>
        <v>Ene.-Nov.</v>
      </c>
      <c r="FE5" s="487" t="str">
        <f>FD5</f>
        <v>Ene.-Nov.</v>
      </c>
      <c r="FF5" s="487" t="str">
        <f>FD5</f>
        <v>Ene.-Nov.</v>
      </c>
      <c r="FH5" s="488" t="s">
        <v>621</v>
      </c>
      <c r="FI5" s="489"/>
      <c r="FJ5" s="490"/>
    </row>
    <row r="6" spans="1:166" s="470" customFormat="1" ht="15" customHeight="1" x14ac:dyDescent="0.25">
      <c r="A6" s="594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492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492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492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B6" s="590"/>
      <c r="FC6" s="595"/>
      <c r="FD6" s="596"/>
      <c r="FE6" s="498"/>
      <c r="FF6" s="597"/>
      <c r="FH6" s="598"/>
      <c r="FI6" s="599"/>
      <c r="FJ6" s="600"/>
    </row>
    <row r="7" spans="1:166" s="509" customFormat="1" ht="15" customHeight="1" x14ac:dyDescent="0.25">
      <c r="A7" s="601" t="s">
        <v>350</v>
      </c>
      <c r="B7" s="502">
        <v>2282.3195746296506</v>
      </c>
      <c r="C7" s="502">
        <v>2409.0722814054798</v>
      </c>
      <c r="D7" s="502">
        <v>2007.1025676113072</v>
      </c>
      <c r="E7" s="502">
        <v>1110.9688120270539</v>
      </c>
      <c r="F7" s="502">
        <v>1102.6437050228819</v>
      </c>
      <c r="G7" s="502">
        <v>1104.9763903745136</v>
      </c>
      <c r="H7" s="502">
        <v>715.97635217680704</v>
      </c>
      <c r="I7" s="502">
        <v>1069.227808203513</v>
      </c>
      <c r="J7" s="502">
        <v>1543.8765835222894</v>
      </c>
      <c r="K7" s="502">
        <v>1699.9235873722271</v>
      </c>
      <c r="L7" s="502">
        <v>1836.6307453576037</v>
      </c>
      <c r="M7" s="502">
        <v>1891.6257445367373</v>
      </c>
      <c r="N7" s="503">
        <f>SUM(B7:M7)</f>
        <v>18774.344152240064</v>
      </c>
      <c r="O7" s="502">
        <v>1738.6188913152232</v>
      </c>
      <c r="P7" s="502">
        <v>2323.172176203831</v>
      </c>
      <c r="Q7" s="502">
        <v>2293.0849525487743</v>
      </c>
      <c r="R7" s="502">
        <v>1444.3108814321868</v>
      </c>
      <c r="S7" s="502">
        <v>1172.3070905908419</v>
      </c>
      <c r="T7" s="502">
        <v>984.49461225344862</v>
      </c>
      <c r="U7" s="502">
        <v>651.10195230682893</v>
      </c>
      <c r="V7" s="502">
        <v>894.96762255938518</v>
      </c>
      <c r="W7" s="502">
        <v>1110.0674175227882</v>
      </c>
      <c r="X7" s="502">
        <v>1348.4021073166375</v>
      </c>
      <c r="Y7" s="502">
        <v>1599.6155568495553</v>
      </c>
      <c r="Z7" s="502">
        <v>1928.0216994570249</v>
      </c>
      <c r="AA7" s="503">
        <f>SUM(O7:Z7)</f>
        <v>17488.164960356527</v>
      </c>
      <c r="AB7" s="502">
        <v>1813.0769884361587</v>
      </c>
      <c r="AC7" s="502">
        <v>2253.5876306043706</v>
      </c>
      <c r="AD7" s="502">
        <v>2501.2846154825652</v>
      </c>
      <c r="AE7" s="502">
        <v>1833.3869260818885</v>
      </c>
      <c r="AF7" s="502">
        <v>1376.737250724223</v>
      </c>
      <c r="AG7" s="502">
        <v>1196.3791021524103</v>
      </c>
      <c r="AH7" s="502">
        <v>746.66802656030552</v>
      </c>
      <c r="AI7" s="502">
        <v>837.78848852208228</v>
      </c>
      <c r="AJ7" s="502">
        <v>1591.2252647861708</v>
      </c>
      <c r="AK7" s="502">
        <v>1966.9499381034805</v>
      </c>
      <c r="AL7" s="502">
        <v>1858.010281044272</v>
      </c>
      <c r="AM7" s="502">
        <v>2295.0839560290774</v>
      </c>
      <c r="AN7" s="503">
        <f>SUM(AB7:AM7)</f>
        <v>20270.178468527007</v>
      </c>
      <c r="AO7" s="502">
        <v>1968.1473433728158</v>
      </c>
      <c r="AP7" s="502">
        <v>2567.9436493908061</v>
      </c>
      <c r="AQ7" s="502">
        <v>2602.5152370526416</v>
      </c>
      <c r="AR7" s="502">
        <v>1919.0651709904498</v>
      </c>
      <c r="AS7" s="502">
        <v>1457.9861165651002</v>
      </c>
      <c r="AT7" s="502">
        <v>1221.1580940921408</v>
      </c>
      <c r="AU7" s="502">
        <v>916.37921296281763</v>
      </c>
      <c r="AV7" s="502">
        <v>885.11102065363605</v>
      </c>
      <c r="AW7" s="502">
        <v>1062.9264073647091</v>
      </c>
      <c r="AX7" s="502">
        <v>1137.1542540162473</v>
      </c>
      <c r="AY7" s="502">
        <v>1629.953540024117</v>
      </c>
      <c r="AZ7" s="502">
        <v>1499.1339410224305</v>
      </c>
      <c r="BA7" s="503">
        <f>SUM(AO7:AZ7)</f>
        <v>18867.473987507918</v>
      </c>
      <c r="BB7" s="502">
        <v>1412.8448737117783</v>
      </c>
      <c r="BC7" s="502">
        <v>2031.1300645367944</v>
      </c>
      <c r="BD7" s="502">
        <v>1995.5196481731625</v>
      </c>
      <c r="BE7" s="502">
        <v>1696.1093224215481</v>
      </c>
      <c r="BF7" s="502">
        <v>1322.8685514399599</v>
      </c>
      <c r="BG7" s="502">
        <v>723.75189589353693</v>
      </c>
      <c r="BH7" s="502">
        <v>468.08973857817841</v>
      </c>
      <c r="BI7" s="502">
        <v>319.99478267547119</v>
      </c>
      <c r="BJ7" s="502">
        <v>525.65346746610498</v>
      </c>
      <c r="BK7" s="502">
        <v>964.62994816108926</v>
      </c>
      <c r="BL7" s="502">
        <v>1339.8732402110106</v>
      </c>
      <c r="BM7" s="502">
        <v>1358.2966659671729</v>
      </c>
      <c r="BN7" s="503">
        <f>SUM(BB7:BM7)</f>
        <v>14158.762199235807</v>
      </c>
      <c r="BO7" s="502">
        <v>2337.0010917413647</v>
      </c>
      <c r="BP7" s="502">
        <v>3464.1701999808029</v>
      </c>
      <c r="BQ7" s="502">
        <v>3687.7508414070708</v>
      </c>
      <c r="BR7" s="502">
        <v>2930.0488156376668</v>
      </c>
      <c r="BS7" s="502">
        <v>2181.1402821516544</v>
      </c>
      <c r="BT7" s="502">
        <v>1223.3891565286954</v>
      </c>
      <c r="BU7" s="502">
        <v>1015.8544808529814</v>
      </c>
      <c r="BV7" s="502">
        <v>922.21239677479616</v>
      </c>
      <c r="BW7" s="502">
        <v>1043.9753726569893</v>
      </c>
      <c r="BX7" s="502">
        <v>1031.3615889976809</v>
      </c>
      <c r="BY7" s="502">
        <v>1761.2474879358726</v>
      </c>
      <c r="BZ7" s="502">
        <v>2404.8310909748029</v>
      </c>
      <c r="CA7" s="503">
        <f>SUM(BO7:BZ7)</f>
        <v>24002.982805640382</v>
      </c>
      <c r="CB7" s="502">
        <v>2852.3848257125201</v>
      </c>
      <c r="CC7" s="502">
        <v>3536.4892230255455</v>
      </c>
      <c r="CD7" s="502">
        <v>3702.2922087508696</v>
      </c>
      <c r="CE7" s="502">
        <v>3479.9694955102068</v>
      </c>
      <c r="CF7" s="502">
        <v>2498.2142322822401</v>
      </c>
      <c r="CG7" s="502">
        <v>1573.3470656082168</v>
      </c>
      <c r="CH7" s="502">
        <v>772.02440425834777</v>
      </c>
      <c r="CI7" s="502">
        <v>931.20315676176062</v>
      </c>
      <c r="CJ7" s="502">
        <v>1334.5782046734373</v>
      </c>
      <c r="CK7" s="502">
        <v>1869.8931636489328</v>
      </c>
      <c r="CL7" s="502">
        <v>2846.5154960367531</v>
      </c>
      <c r="CM7" s="502">
        <v>3272.3508171212907</v>
      </c>
      <c r="CN7" s="503">
        <f>SUM(CB7:CM7)</f>
        <v>28669.262293390122</v>
      </c>
      <c r="CO7" s="502">
        <v>3044.8472352243862</v>
      </c>
      <c r="CP7" s="502">
        <v>3517.6050999445506</v>
      </c>
      <c r="CQ7" s="502">
        <v>3733.0129125536487</v>
      </c>
      <c r="CR7" s="502">
        <v>3315.6944277613129</v>
      </c>
      <c r="CS7" s="502">
        <v>2548.2119714981377</v>
      </c>
      <c r="CT7" s="502">
        <v>1725.0452411508156</v>
      </c>
      <c r="CU7" s="502">
        <v>816.5139385659819</v>
      </c>
      <c r="CV7" s="502">
        <v>778.15967013251156</v>
      </c>
      <c r="CW7" s="502">
        <v>1341.4722411365949</v>
      </c>
      <c r="CX7" s="502">
        <v>1657.9792827989222</v>
      </c>
      <c r="CY7" s="502">
        <v>1889.5830107924587</v>
      </c>
      <c r="CZ7" s="502">
        <v>3125.6538304707724</v>
      </c>
      <c r="DA7" s="503">
        <f>SUM(CO7:CZ7)</f>
        <v>27493.778862030093</v>
      </c>
      <c r="DB7" s="502">
        <v>2935.7526513222597</v>
      </c>
      <c r="DC7" s="502">
        <v>2896.3380217288254</v>
      </c>
      <c r="DD7" s="502">
        <v>3777.9332427007389</v>
      </c>
      <c r="DE7" s="502">
        <v>2525.6887946387287</v>
      </c>
      <c r="DF7" s="502">
        <v>2154.6022397448132</v>
      </c>
      <c r="DG7" s="502">
        <v>1660.4800043172693</v>
      </c>
      <c r="DH7" s="502">
        <v>773.72171887305035</v>
      </c>
      <c r="DI7" s="502">
        <v>744.88931137345401</v>
      </c>
      <c r="DJ7" s="502">
        <v>1507.2757586830362</v>
      </c>
      <c r="DK7" s="502">
        <v>1413.3880016706375</v>
      </c>
      <c r="DL7" s="502">
        <v>1618.8392803855031</v>
      </c>
      <c r="DM7" s="502">
        <v>1588.4068892050825</v>
      </c>
      <c r="DN7" s="503">
        <f>SUM(DB7:DM7)</f>
        <v>23597.315914643401</v>
      </c>
      <c r="DO7" s="502">
        <v>1990.2596944857239</v>
      </c>
      <c r="DP7" s="502">
        <v>2053.8486228831284</v>
      </c>
      <c r="DQ7" s="502">
        <v>1799.0208404687605</v>
      </c>
      <c r="DR7" s="502">
        <v>1656.7247681815084</v>
      </c>
      <c r="DS7" s="502">
        <v>1595.6043783308837</v>
      </c>
      <c r="DT7" s="502">
        <v>1393.4208955699589</v>
      </c>
      <c r="DU7" s="502">
        <v>778.32015367975464</v>
      </c>
      <c r="DV7" s="502">
        <v>1017.2254394110333</v>
      </c>
      <c r="DW7" s="502">
        <v>1712.9707702465971</v>
      </c>
      <c r="DX7" s="502">
        <v>1308.0374642481943</v>
      </c>
      <c r="DY7" s="502">
        <v>1775.8846294880709</v>
      </c>
      <c r="DZ7" s="502">
        <v>1924.5622135156882</v>
      </c>
      <c r="EA7" s="503">
        <v>19005.879870509303</v>
      </c>
      <c r="EB7" s="502">
        <v>2051.0593126170193</v>
      </c>
      <c r="EC7" s="502">
        <v>1821.789437876505</v>
      </c>
      <c r="ED7" s="502">
        <v>1640.4778077134911</v>
      </c>
      <c r="EE7" s="502">
        <v>1294.9054532200937</v>
      </c>
      <c r="EF7" s="502">
        <v>1256.1117573661209</v>
      </c>
      <c r="EG7" s="502">
        <v>1010.7626787589126</v>
      </c>
      <c r="EH7" s="502">
        <v>535.00572066359325</v>
      </c>
      <c r="EI7" s="502">
        <v>552.51400865620997</v>
      </c>
      <c r="EJ7" s="502">
        <v>1527.5564786718955</v>
      </c>
      <c r="EK7" s="502">
        <v>1653.9050504613788</v>
      </c>
      <c r="EL7" s="502">
        <v>1755.3560246327734</v>
      </c>
      <c r="EM7" s="502">
        <v>2018.3606198620103</v>
      </c>
      <c r="EN7" s="503">
        <v>17117.804350500002</v>
      </c>
      <c r="EO7" s="502">
        <v>1942.8687192125776</v>
      </c>
      <c r="EP7" s="502">
        <v>1793.166505192858</v>
      </c>
      <c r="EQ7" s="502"/>
      <c r="ER7" s="502"/>
      <c r="ES7" s="502"/>
      <c r="ET7" s="502"/>
      <c r="EU7" s="502"/>
      <c r="EV7" s="502"/>
      <c r="EW7" s="502"/>
      <c r="EX7" s="502"/>
      <c r="EY7" s="502"/>
      <c r="EZ7" s="502"/>
      <c r="FA7" s="503">
        <f>SUM(EO7:EZ7)</f>
        <v>3736.0352244054357</v>
      </c>
      <c r="FB7" s="448"/>
      <c r="FC7" s="505">
        <f>IFERROR(((
_xlfn.XLOOKUP((DATE(YEAR($FC$5),MONTH($FC$5),1)),UCA.AGROOTROS.DATE,$B7:$FA7) /
_xlfn.XLOOKUP((DATE(YEAR($FC$5)-1,MONTH($FC$5),1)),UCA.AGROOTROS.DATE,$B7:$FA7)
)-1)*100,"")</f>
        <v>-1.1559650055203874</v>
      </c>
      <c r="FD7" s="506">
        <f>IFERROR(((FF7/FE7)-1)*100,"")</f>
        <v>-11.602582225523939</v>
      </c>
      <c r="FE7" s="507">
        <f>SUMIFS($B7:$FA7,UCA.AGROOTROS.DATE,"&gt;="&amp;DATE(YEAR($FC$5)-1,1,1),UCA.AGROOTROS.DATE,"&lt;="&amp;DATE(YEAR($FC$5)-1,MONTH($FC$5),1))</f>
        <v>17081.317656993615</v>
      </c>
      <c r="FF7" s="508">
        <f>SUMIFS($B7:$FA7,UCA.AGROOTROS.DATE,"&gt;="&amp;DATE(YEAR($FC$5),1,1),UCA.AGROOTROS.DATE,"&lt;="&amp;$FC$5)</f>
        <v>15099.443730637991</v>
      </c>
      <c r="FH7" s="602"/>
      <c r="FI7" s="603"/>
      <c r="FJ7" s="604"/>
    </row>
    <row r="8" spans="1:166" s="470" customFormat="1" ht="15" customHeight="1" x14ac:dyDescent="0.25">
      <c r="A8" s="594"/>
      <c r="B8" s="492"/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3"/>
      <c r="O8" s="492"/>
      <c r="P8" s="492"/>
      <c r="Q8" s="492"/>
      <c r="R8" s="492"/>
      <c r="S8" s="492"/>
      <c r="T8" s="492"/>
      <c r="U8" s="492"/>
      <c r="V8" s="492"/>
      <c r="W8" s="492"/>
      <c r="X8" s="492"/>
      <c r="Y8" s="492"/>
      <c r="Z8" s="492"/>
      <c r="AA8" s="493"/>
      <c r="AB8" s="492"/>
      <c r="AC8" s="492"/>
      <c r="AD8" s="492"/>
      <c r="AE8" s="492"/>
      <c r="AF8" s="492"/>
      <c r="AG8" s="492"/>
      <c r="AH8" s="492"/>
      <c r="AI8" s="492"/>
      <c r="AJ8" s="492"/>
      <c r="AK8" s="492"/>
      <c r="AL8" s="492"/>
      <c r="AM8" s="492"/>
      <c r="AN8" s="493"/>
      <c r="AO8" s="492"/>
      <c r="AP8" s="492"/>
      <c r="AQ8" s="492"/>
      <c r="AR8" s="492"/>
      <c r="AS8" s="492"/>
      <c r="AT8" s="492"/>
      <c r="AU8" s="492"/>
      <c r="AV8" s="492"/>
      <c r="AW8" s="492"/>
      <c r="AX8" s="492"/>
      <c r="AY8" s="492"/>
      <c r="AZ8" s="492"/>
      <c r="BA8" s="493"/>
      <c r="BB8" s="492"/>
      <c r="BC8" s="492"/>
      <c r="BD8" s="492"/>
      <c r="BE8" s="492"/>
      <c r="BF8" s="492"/>
      <c r="BG8" s="492"/>
      <c r="BH8" s="492"/>
      <c r="BI8" s="492"/>
      <c r="BJ8" s="492"/>
      <c r="BK8" s="492"/>
      <c r="BL8" s="492"/>
      <c r="BM8" s="492"/>
      <c r="BN8" s="493"/>
      <c r="BO8" s="492"/>
      <c r="BP8" s="492"/>
      <c r="BQ8" s="492"/>
      <c r="BR8" s="492"/>
      <c r="BS8" s="492"/>
      <c r="BT8" s="492"/>
      <c r="BU8" s="492"/>
      <c r="BV8" s="492"/>
      <c r="BW8" s="492"/>
      <c r="BX8" s="492"/>
      <c r="BY8" s="492"/>
      <c r="BZ8" s="492"/>
      <c r="CA8" s="493"/>
      <c r="CB8" s="492"/>
      <c r="CC8" s="492"/>
      <c r="CD8" s="492"/>
      <c r="CE8" s="492"/>
      <c r="CF8" s="492"/>
      <c r="CG8" s="492"/>
      <c r="CH8" s="492"/>
      <c r="CI8" s="492"/>
      <c r="CJ8" s="492"/>
      <c r="CK8" s="492"/>
      <c r="CL8" s="492"/>
      <c r="CM8" s="492"/>
      <c r="CN8" s="493"/>
      <c r="CO8" s="492"/>
      <c r="CP8" s="492"/>
      <c r="CQ8" s="492"/>
      <c r="CR8" s="492"/>
      <c r="CS8" s="492"/>
      <c r="CT8" s="492"/>
      <c r="CU8" s="492"/>
      <c r="CV8" s="492"/>
      <c r="CW8" s="492"/>
      <c r="CX8" s="492"/>
      <c r="CY8" s="492"/>
      <c r="CZ8" s="492"/>
      <c r="DA8" s="493"/>
      <c r="DB8" s="492"/>
      <c r="DC8" s="492"/>
      <c r="DD8" s="492"/>
      <c r="DE8" s="492"/>
      <c r="DF8" s="492"/>
      <c r="DG8" s="492"/>
      <c r="DH8" s="492"/>
      <c r="DI8" s="492"/>
      <c r="DJ8" s="492"/>
      <c r="DK8" s="492"/>
      <c r="DL8" s="492"/>
      <c r="DM8" s="492"/>
      <c r="DN8" s="493"/>
      <c r="DO8" s="492"/>
      <c r="DP8" s="492"/>
      <c r="DQ8" s="492"/>
      <c r="DR8" s="492"/>
      <c r="DS8" s="492"/>
      <c r="DT8" s="492"/>
      <c r="DU8" s="492"/>
      <c r="DV8" s="492"/>
      <c r="DW8" s="492"/>
      <c r="DX8" s="492"/>
      <c r="DY8" s="492"/>
      <c r="DZ8" s="492"/>
      <c r="EA8" s="493"/>
      <c r="EB8" s="492"/>
      <c r="EC8" s="492"/>
      <c r="ED8" s="492"/>
      <c r="EE8" s="492"/>
      <c r="EF8" s="492"/>
      <c r="EG8" s="492"/>
      <c r="EH8" s="492"/>
      <c r="EI8" s="492"/>
      <c r="EJ8" s="492"/>
      <c r="EK8" s="492"/>
      <c r="EL8" s="492"/>
      <c r="EM8" s="492"/>
      <c r="EN8" s="493"/>
      <c r="EO8" s="492"/>
      <c r="EP8" s="492"/>
      <c r="EQ8" s="492"/>
      <c r="ER8" s="492"/>
      <c r="ES8" s="492"/>
      <c r="ET8" s="492"/>
      <c r="EU8" s="492"/>
      <c r="EV8" s="492"/>
      <c r="EW8" s="492"/>
      <c r="EX8" s="492"/>
      <c r="EY8" s="492"/>
      <c r="EZ8" s="492"/>
      <c r="FA8" s="493"/>
      <c r="FB8" s="590"/>
      <c r="FC8" s="595"/>
      <c r="FD8" s="596"/>
      <c r="FE8" s="498"/>
      <c r="FF8" s="597"/>
      <c r="FG8" s="509"/>
      <c r="FH8" s="605"/>
      <c r="FI8" s="553"/>
      <c r="FJ8" s="554"/>
    </row>
    <row r="9" spans="1:166" s="609" customFormat="1" ht="15" customHeight="1" x14ac:dyDescent="0.25">
      <c r="A9" s="606" t="s">
        <v>636</v>
      </c>
      <c r="B9" s="541">
        <f t="shared" ref="B9:BM9" si="0">SUM(B11:B51)</f>
        <v>6727</v>
      </c>
      <c r="C9" s="541">
        <f t="shared" si="0"/>
        <v>7294</v>
      </c>
      <c r="D9" s="541">
        <f t="shared" si="0"/>
        <v>6071</v>
      </c>
      <c r="E9" s="541">
        <f t="shared" si="0"/>
        <v>3315</v>
      </c>
      <c r="F9" s="541">
        <f t="shared" si="0"/>
        <v>3257</v>
      </c>
      <c r="G9" s="541">
        <f t="shared" si="0"/>
        <v>2601</v>
      </c>
      <c r="H9" s="541">
        <f t="shared" si="0"/>
        <v>1511</v>
      </c>
      <c r="I9" s="541">
        <f t="shared" si="0"/>
        <v>1880</v>
      </c>
      <c r="J9" s="541">
        <f t="shared" si="0"/>
        <v>2683</v>
      </c>
      <c r="K9" s="541">
        <f t="shared" si="0"/>
        <v>2964</v>
      </c>
      <c r="L9" s="541">
        <f t="shared" si="0"/>
        <v>3820</v>
      </c>
      <c r="M9" s="541">
        <f t="shared" si="0"/>
        <v>4806</v>
      </c>
      <c r="N9" s="542">
        <f>SUM(B9:M9)</f>
        <v>46929</v>
      </c>
      <c r="O9" s="541">
        <f t="shared" ref="O9" si="1">SUM(O11:O51)</f>
        <v>5013</v>
      </c>
      <c r="P9" s="541">
        <f t="shared" si="0"/>
        <v>6830</v>
      </c>
      <c r="Q9" s="541">
        <f t="shared" si="0"/>
        <v>6844</v>
      </c>
      <c r="R9" s="541">
        <f t="shared" si="0"/>
        <v>4355</v>
      </c>
      <c r="S9" s="541">
        <f t="shared" si="0"/>
        <v>3539</v>
      </c>
      <c r="T9" s="541">
        <f t="shared" si="0"/>
        <v>2260</v>
      </c>
      <c r="U9" s="541">
        <f t="shared" si="0"/>
        <v>1224</v>
      </c>
      <c r="V9" s="541">
        <f t="shared" si="0"/>
        <v>1487</v>
      </c>
      <c r="W9" s="541">
        <f t="shared" si="0"/>
        <v>1859</v>
      </c>
      <c r="X9" s="541">
        <f t="shared" si="0"/>
        <v>2286</v>
      </c>
      <c r="Y9" s="541">
        <f t="shared" si="0"/>
        <v>3375</v>
      </c>
      <c r="Z9" s="541">
        <f t="shared" si="0"/>
        <v>5000</v>
      </c>
      <c r="AA9" s="542">
        <f>SUM(O9:Z9)</f>
        <v>44072</v>
      </c>
      <c r="AB9" s="541">
        <f t="shared" ref="AB9" si="2">SUM(AB11:AB51)</f>
        <v>5226</v>
      </c>
      <c r="AC9" s="541">
        <f t="shared" si="0"/>
        <v>6518</v>
      </c>
      <c r="AD9" s="541">
        <f t="shared" si="0"/>
        <v>7251</v>
      </c>
      <c r="AE9" s="541">
        <f t="shared" si="0"/>
        <v>5442</v>
      </c>
      <c r="AF9" s="541">
        <f t="shared" si="0"/>
        <v>4172</v>
      </c>
      <c r="AG9" s="541">
        <f t="shared" si="0"/>
        <v>2684</v>
      </c>
      <c r="AH9" s="541">
        <f t="shared" si="0"/>
        <v>1351</v>
      </c>
      <c r="AI9" s="541">
        <f t="shared" si="0"/>
        <v>1454</v>
      </c>
      <c r="AJ9" s="541">
        <f t="shared" si="0"/>
        <v>2734</v>
      </c>
      <c r="AK9" s="541">
        <f t="shared" si="0"/>
        <v>2712</v>
      </c>
      <c r="AL9" s="541">
        <f t="shared" si="0"/>
        <v>4119</v>
      </c>
      <c r="AM9" s="541">
        <f t="shared" si="0"/>
        <v>5957</v>
      </c>
      <c r="AN9" s="542">
        <f>SUM(AB9:AM9)</f>
        <v>49620</v>
      </c>
      <c r="AO9" s="541">
        <f t="shared" ref="AO9" si="3">SUM(AO11:AO51)</f>
        <v>5583</v>
      </c>
      <c r="AP9" s="541">
        <f t="shared" si="0"/>
        <v>7399</v>
      </c>
      <c r="AQ9" s="541">
        <f t="shared" si="0"/>
        <v>7585</v>
      </c>
      <c r="AR9" s="541">
        <f t="shared" si="0"/>
        <v>5688</v>
      </c>
      <c r="AS9" s="541">
        <f t="shared" si="0"/>
        <v>4409</v>
      </c>
      <c r="AT9" s="541">
        <f t="shared" si="0"/>
        <v>2968</v>
      </c>
      <c r="AU9" s="541">
        <f t="shared" si="0"/>
        <v>1931</v>
      </c>
      <c r="AV9" s="541">
        <f t="shared" si="0"/>
        <v>1684</v>
      </c>
      <c r="AW9" s="541">
        <f t="shared" si="0"/>
        <v>1654</v>
      </c>
      <c r="AX9" s="541">
        <f t="shared" si="0"/>
        <v>1911</v>
      </c>
      <c r="AY9" s="541">
        <f t="shared" si="0"/>
        <v>3401</v>
      </c>
      <c r="AZ9" s="541">
        <f t="shared" si="0"/>
        <v>4007</v>
      </c>
      <c r="BA9" s="542">
        <f>SUM(AO9:AZ9)</f>
        <v>48220</v>
      </c>
      <c r="BB9" s="541">
        <f t="shared" ref="BB9" si="4">SUM(BB11:BB51)</f>
        <v>4401</v>
      </c>
      <c r="BC9" s="541">
        <f t="shared" si="0"/>
        <v>6767</v>
      </c>
      <c r="BD9" s="541">
        <f t="shared" si="0"/>
        <v>6627</v>
      </c>
      <c r="BE9" s="541">
        <f t="shared" si="0"/>
        <v>5384</v>
      </c>
      <c r="BF9" s="541">
        <f t="shared" si="0"/>
        <v>4226</v>
      </c>
      <c r="BG9" s="541">
        <f t="shared" si="0"/>
        <v>2498</v>
      </c>
      <c r="BH9" s="541">
        <f t="shared" si="0"/>
        <v>1411</v>
      </c>
      <c r="BI9" s="541">
        <f t="shared" si="0"/>
        <v>914</v>
      </c>
      <c r="BJ9" s="541">
        <f t="shared" si="0"/>
        <v>1038</v>
      </c>
      <c r="BK9" s="541">
        <f t="shared" si="0"/>
        <v>2055</v>
      </c>
      <c r="BL9" s="541">
        <f t="shared" si="0"/>
        <v>2936</v>
      </c>
      <c r="BM9" s="541">
        <f t="shared" si="0"/>
        <v>3652</v>
      </c>
      <c r="BN9" s="542">
        <f>SUM(BB9:BM9)</f>
        <v>41909</v>
      </c>
      <c r="BO9" s="541">
        <f t="shared" ref="BO9:DZ9" si="5">SUM(BO11:BO51)</f>
        <v>6334.6369999999997</v>
      </c>
      <c r="BP9" s="541">
        <f t="shared" si="5"/>
        <v>9727.1130000000012</v>
      </c>
      <c r="BQ9" s="541">
        <f t="shared" si="5"/>
        <v>10178.267</v>
      </c>
      <c r="BR9" s="541">
        <f t="shared" si="5"/>
        <v>8062.7060000000001</v>
      </c>
      <c r="BS9" s="541">
        <f t="shared" si="5"/>
        <v>6310.12</v>
      </c>
      <c r="BT9" s="541">
        <f t="shared" si="5"/>
        <v>3493.7560000000003</v>
      </c>
      <c r="BU9" s="541">
        <f t="shared" si="5"/>
        <v>2881.9399999999996</v>
      </c>
      <c r="BV9" s="541">
        <f t="shared" si="5"/>
        <v>2362.6600000000003</v>
      </c>
      <c r="BW9" s="541">
        <f t="shared" si="5"/>
        <v>2544.3879999999999</v>
      </c>
      <c r="BX9" s="541">
        <f t="shared" si="5"/>
        <v>2542.3330000000001</v>
      </c>
      <c r="BY9" s="541">
        <f t="shared" si="5"/>
        <v>4414.521999999999</v>
      </c>
      <c r="BZ9" s="541">
        <f t="shared" si="5"/>
        <v>6270.4439999999995</v>
      </c>
      <c r="CA9" s="542">
        <f>SUM(BO9:BZ9)</f>
        <v>65122.885999999999</v>
      </c>
      <c r="CB9" s="541">
        <f t="shared" ref="CB9" si="6">SUM(CB11:CB51)</f>
        <v>7777.7420000000011</v>
      </c>
      <c r="CC9" s="541">
        <f t="shared" si="5"/>
        <v>10224.347</v>
      </c>
      <c r="CD9" s="541">
        <f t="shared" si="5"/>
        <v>10341.280000000002</v>
      </c>
      <c r="CE9" s="541">
        <f t="shared" si="5"/>
        <v>9846.4759999999987</v>
      </c>
      <c r="CF9" s="541">
        <f t="shared" si="5"/>
        <v>7232.4350000000022</v>
      </c>
      <c r="CG9" s="541">
        <f t="shared" si="5"/>
        <v>4474.6350000000002</v>
      </c>
      <c r="CH9" s="541">
        <f t="shared" si="5"/>
        <v>2316.4550000000004</v>
      </c>
      <c r="CI9" s="541">
        <f t="shared" si="5"/>
        <v>2320.3440000000001</v>
      </c>
      <c r="CJ9" s="541">
        <f t="shared" si="5"/>
        <v>2825.3810000000003</v>
      </c>
      <c r="CK9" s="541">
        <f t="shared" si="5"/>
        <v>3719.9170000000004</v>
      </c>
      <c r="CL9" s="541">
        <f t="shared" si="5"/>
        <v>6162.7950000000019</v>
      </c>
      <c r="CM9" s="541">
        <f t="shared" si="5"/>
        <v>8112.3049999999994</v>
      </c>
      <c r="CN9" s="542">
        <f>SUM(CB9:CM9)</f>
        <v>75354.112000000008</v>
      </c>
      <c r="CO9" s="541">
        <f t="shared" ref="CO9" si="7">SUM(CO11:CO51)</f>
        <v>8123.7090000000007</v>
      </c>
      <c r="CP9" s="541">
        <f t="shared" si="5"/>
        <v>10172.645</v>
      </c>
      <c r="CQ9" s="541">
        <f t="shared" si="5"/>
        <v>10313.226999999999</v>
      </c>
      <c r="CR9" s="541">
        <f t="shared" si="5"/>
        <v>9394.6809999999987</v>
      </c>
      <c r="CS9" s="541">
        <f t="shared" si="5"/>
        <v>7512.0800000000008</v>
      </c>
      <c r="CT9" s="541">
        <f t="shared" si="5"/>
        <v>4841.9659999999994</v>
      </c>
      <c r="CU9" s="541">
        <f t="shared" si="5"/>
        <v>2495.67</v>
      </c>
      <c r="CV9" s="541">
        <f t="shared" si="5"/>
        <v>2140.835</v>
      </c>
      <c r="CW9" s="541">
        <f t="shared" si="5"/>
        <v>2511.6829999999995</v>
      </c>
      <c r="CX9" s="541">
        <f t="shared" si="5"/>
        <v>2574.2059999999997</v>
      </c>
      <c r="CY9" s="541">
        <f t="shared" si="5"/>
        <v>3426.0129999999999</v>
      </c>
      <c r="CZ9" s="541">
        <f t="shared" si="5"/>
        <v>7129.5880000000006</v>
      </c>
      <c r="DA9" s="542">
        <f>SUM(CO9:CZ9)</f>
        <v>70636.302999999985</v>
      </c>
      <c r="DB9" s="541">
        <f t="shared" ref="DB9" si="8">SUM(DB11:DB51)</f>
        <v>7772.4239999999991</v>
      </c>
      <c r="DC9" s="541">
        <f t="shared" si="5"/>
        <v>8313.219000000001</v>
      </c>
      <c r="DD9" s="541">
        <f t="shared" si="5"/>
        <v>8620.1200000000008</v>
      </c>
      <c r="DE9" s="541">
        <f t="shared" si="5"/>
        <v>6920.39</v>
      </c>
      <c r="DF9" s="541">
        <f t="shared" si="5"/>
        <v>5983.4359999999997</v>
      </c>
      <c r="DG9" s="541">
        <f t="shared" si="5"/>
        <v>4643.6349999999993</v>
      </c>
      <c r="DH9" s="541">
        <f t="shared" si="5"/>
        <v>2453.241</v>
      </c>
      <c r="DI9" s="541">
        <f t="shared" si="5"/>
        <v>1964.03</v>
      </c>
      <c r="DJ9" s="541">
        <f t="shared" si="5"/>
        <v>3007.53</v>
      </c>
      <c r="DK9" s="541">
        <f t="shared" si="5"/>
        <v>2561.1030000000001</v>
      </c>
      <c r="DL9" s="541">
        <f t="shared" si="5"/>
        <v>3240.107</v>
      </c>
      <c r="DM9" s="541">
        <f t="shared" si="5"/>
        <v>4068.549</v>
      </c>
      <c r="DN9" s="542">
        <f>SUM(DB9:DM9)</f>
        <v>59547.784</v>
      </c>
      <c r="DO9" s="541">
        <f t="shared" ref="DO9" si="9">SUM(DO11:DO51)</f>
        <v>4977.6619999999994</v>
      </c>
      <c r="DP9" s="541">
        <f t="shared" si="5"/>
        <v>5494.0890000000009</v>
      </c>
      <c r="DQ9" s="541">
        <f t="shared" si="5"/>
        <v>5145.8990000000003</v>
      </c>
      <c r="DR9" s="541">
        <f t="shared" si="5"/>
        <v>4733.2959999999994</v>
      </c>
      <c r="DS9" s="541">
        <f t="shared" si="5"/>
        <v>4763.4270000000006</v>
      </c>
      <c r="DT9" s="541">
        <f t="shared" si="5"/>
        <v>3735.02</v>
      </c>
      <c r="DU9" s="541">
        <f t="shared" si="5"/>
        <v>2401.4459999999999</v>
      </c>
      <c r="DV9" s="541">
        <f t="shared" si="5"/>
        <v>2513.61</v>
      </c>
      <c r="DW9" s="541">
        <f t="shared" si="5"/>
        <v>3392.6659999999997</v>
      </c>
      <c r="DX9" s="541">
        <f t="shared" si="5"/>
        <v>2244.1410000000001</v>
      </c>
      <c r="DY9" s="541">
        <f t="shared" si="5"/>
        <v>3669.6620000000003</v>
      </c>
      <c r="DZ9" s="541">
        <f t="shared" si="5"/>
        <v>4514.8739999999989</v>
      </c>
      <c r="EA9" s="542">
        <f>SUM(DO9:DZ9)</f>
        <v>47585.792000000001</v>
      </c>
      <c r="EB9" s="541">
        <f t="shared" ref="EB9:EM9" si="10">SUM(EB11:EB51)</f>
        <v>4965.1939999999995</v>
      </c>
      <c r="EC9" s="541">
        <f t="shared" si="10"/>
        <v>4602.174</v>
      </c>
      <c r="ED9" s="541">
        <f t="shared" si="10"/>
        <v>4271.92</v>
      </c>
      <c r="EE9" s="541">
        <f t="shared" si="10"/>
        <v>3395.3779999999997</v>
      </c>
      <c r="EF9" s="541">
        <f t="shared" si="10"/>
        <v>3484.6240000000003</v>
      </c>
      <c r="EG9" s="541">
        <f t="shared" si="10"/>
        <v>2750.7050000000004</v>
      </c>
      <c r="EH9" s="541">
        <f t="shared" si="10"/>
        <v>1785.3190000000002</v>
      </c>
      <c r="EI9" s="541">
        <f t="shared" si="10"/>
        <v>1750.6870000000001</v>
      </c>
      <c r="EJ9" s="541">
        <f t="shared" si="10"/>
        <v>2747.83</v>
      </c>
      <c r="EK9" s="541">
        <f t="shared" si="10"/>
        <v>2717.2379999999998</v>
      </c>
      <c r="EL9" s="541">
        <f t="shared" si="10"/>
        <v>3767.2019999999998</v>
      </c>
      <c r="EM9" s="541">
        <f t="shared" si="10"/>
        <v>4029.2740000000008</v>
      </c>
      <c r="EN9" s="542">
        <f>SUM(EB9:EM9)</f>
        <v>40267.544999999998</v>
      </c>
      <c r="EO9" s="541">
        <f>SUM(EO11:EO51)</f>
        <v>3929.3019999999997</v>
      </c>
      <c r="EP9" s="541">
        <f t="shared" ref="EP9:EZ9" si="11">SUM(EP11:EP51)</f>
        <v>3590.1189999999992</v>
      </c>
      <c r="EQ9" s="541">
        <f t="shared" si="11"/>
        <v>0</v>
      </c>
      <c r="ER9" s="541">
        <f t="shared" si="11"/>
        <v>0</v>
      </c>
      <c r="ES9" s="541">
        <f t="shared" si="11"/>
        <v>0</v>
      </c>
      <c r="ET9" s="541">
        <f t="shared" si="11"/>
        <v>0</v>
      </c>
      <c r="EU9" s="541">
        <f t="shared" si="11"/>
        <v>0</v>
      </c>
      <c r="EV9" s="541">
        <f t="shared" si="11"/>
        <v>0</v>
      </c>
      <c r="EW9" s="541">
        <f t="shared" si="11"/>
        <v>0</v>
      </c>
      <c r="EX9" s="541">
        <f t="shared" si="11"/>
        <v>0</v>
      </c>
      <c r="EY9" s="541">
        <f t="shared" si="11"/>
        <v>0</v>
      </c>
      <c r="EZ9" s="541">
        <f t="shared" si="11"/>
        <v>0</v>
      </c>
      <c r="FA9" s="542">
        <f>SUM(EO9:EZ9)</f>
        <v>7519.4209999999985</v>
      </c>
      <c r="FB9" s="607"/>
      <c r="FC9" s="544">
        <f>IFERROR(((
_xlfn.XLOOKUP((DATE(YEAR($FC$5),MONTH($FC$5),1)),UCA.AGROOTROS.DATE,$B9:$FA9) /
_xlfn.XLOOKUP((DATE(YEAR($FC$5)-1,MONTH($FC$5),1)),UCA.AGROOTROS.DATE,$B9:$FA9)
)-1)*100,"")</f>
        <v>2.6580104652689895</v>
      </c>
      <c r="FD9" s="545">
        <f t="shared" ref="FD9" si="12">IFERROR(((FF9/FE9)-1)*100,"")</f>
        <v>-15.863713422592951</v>
      </c>
      <c r="FE9" s="546">
        <f>SUMIFS($B9:$FA9,UCA.AGROOTROS.DATE,"&gt;="&amp;DATE(YEAR($FC$5)-1,1,1),UCA.AGROOTROS.DATE,"&lt;="&amp;DATE(YEAR($FC$5)-1,MONTH($FC$5),1))</f>
        <v>43070.918000000005</v>
      </c>
      <c r="FF9" s="547">
        <f>SUMIFS($B9:$FA9,UCA.AGROOTROS.DATE,"&gt;="&amp;DATE(YEAR($FC$5),1,1),UCA.AGROOTROS.DATE,"&lt;="&amp;$FC$5)</f>
        <v>36238.271000000001</v>
      </c>
      <c r="FG9" s="608"/>
      <c r="FH9" s="551"/>
      <c r="FI9" s="553"/>
      <c r="FJ9" s="554"/>
    </row>
    <row r="10" spans="1:166" s="470" customFormat="1" ht="15" customHeight="1" x14ac:dyDescent="0.25">
      <c r="A10" s="594"/>
      <c r="B10" s="492"/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93"/>
      <c r="O10" s="492"/>
      <c r="P10" s="492"/>
      <c r="Q10" s="492"/>
      <c r="R10" s="492"/>
      <c r="S10" s="492"/>
      <c r="T10" s="492"/>
      <c r="U10" s="492"/>
      <c r="V10" s="492"/>
      <c r="W10" s="492"/>
      <c r="X10" s="492"/>
      <c r="Y10" s="492"/>
      <c r="Z10" s="492"/>
      <c r="AA10" s="493"/>
      <c r="AB10" s="492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/>
      <c r="AN10" s="493"/>
      <c r="AO10" s="492"/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/>
      <c r="BA10" s="493"/>
      <c r="BB10" s="492"/>
      <c r="BC10" s="492"/>
      <c r="BD10" s="492"/>
      <c r="BE10" s="492"/>
      <c r="BF10" s="492"/>
      <c r="BG10" s="492"/>
      <c r="BH10" s="492"/>
      <c r="BI10" s="492"/>
      <c r="BJ10" s="492"/>
      <c r="BK10" s="492"/>
      <c r="BL10" s="492"/>
      <c r="BM10" s="492"/>
      <c r="BN10" s="493"/>
      <c r="BO10" s="492"/>
      <c r="BP10" s="492"/>
      <c r="BQ10" s="492"/>
      <c r="BR10" s="492"/>
      <c r="BS10" s="492"/>
      <c r="BT10" s="492"/>
      <c r="BU10" s="492"/>
      <c r="BV10" s="492"/>
      <c r="BW10" s="492"/>
      <c r="BX10" s="492"/>
      <c r="BY10" s="492"/>
      <c r="BZ10" s="492"/>
      <c r="CA10" s="493"/>
      <c r="CB10" s="492"/>
      <c r="CC10" s="492"/>
      <c r="CD10" s="492"/>
      <c r="CE10" s="492"/>
      <c r="CF10" s="492"/>
      <c r="CG10" s="492"/>
      <c r="CH10" s="492"/>
      <c r="CI10" s="492"/>
      <c r="CJ10" s="492"/>
      <c r="CK10" s="492"/>
      <c r="CL10" s="492"/>
      <c r="CM10" s="492"/>
      <c r="CN10" s="493"/>
      <c r="CO10" s="492"/>
      <c r="CP10" s="492"/>
      <c r="CQ10" s="492"/>
      <c r="CR10" s="492"/>
      <c r="CS10" s="492"/>
      <c r="CT10" s="492"/>
      <c r="CU10" s="492"/>
      <c r="CV10" s="492"/>
      <c r="CW10" s="492"/>
      <c r="CX10" s="492"/>
      <c r="CY10" s="492"/>
      <c r="CZ10" s="492"/>
      <c r="DA10" s="493"/>
      <c r="DB10" s="492"/>
      <c r="DC10" s="492"/>
      <c r="DD10" s="492"/>
      <c r="DE10" s="492"/>
      <c r="DF10" s="492"/>
      <c r="DG10" s="492"/>
      <c r="DH10" s="492"/>
      <c r="DI10" s="492"/>
      <c r="DJ10" s="492"/>
      <c r="DK10" s="492"/>
      <c r="DL10" s="492"/>
      <c r="DM10" s="492"/>
      <c r="DN10" s="493"/>
      <c r="DO10" s="492"/>
      <c r="DP10" s="492"/>
      <c r="DQ10" s="492"/>
      <c r="DR10" s="492"/>
      <c r="DS10" s="492"/>
      <c r="DT10" s="492"/>
      <c r="DU10" s="492"/>
      <c r="DV10" s="492"/>
      <c r="DW10" s="492"/>
      <c r="DX10" s="492"/>
      <c r="DY10" s="492"/>
      <c r="DZ10" s="492"/>
      <c r="EA10" s="493"/>
      <c r="EB10" s="492"/>
      <c r="EC10" s="492"/>
      <c r="ED10" s="492"/>
      <c r="EE10" s="492"/>
      <c r="EF10" s="492"/>
      <c r="EG10" s="492"/>
      <c r="EH10" s="492"/>
      <c r="EI10" s="492"/>
      <c r="EJ10" s="492"/>
      <c r="EK10" s="492"/>
      <c r="EL10" s="492"/>
      <c r="EM10" s="492"/>
      <c r="EN10" s="493"/>
      <c r="EO10" s="492"/>
      <c r="EP10" s="492"/>
      <c r="EQ10" s="492"/>
      <c r="ER10" s="492"/>
      <c r="ES10" s="492"/>
      <c r="ET10" s="492"/>
      <c r="EU10" s="492"/>
      <c r="EV10" s="492"/>
      <c r="EW10" s="492"/>
      <c r="EX10" s="492"/>
      <c r="EY10" s="492"/>
      <c r="EZ10" s="492"/>
      <c r="FA10" s="493"/>
      <c r="FB10" s="590"/>
      <c r="FC10" s="595"/>
      <c r="FD10" s="596"/>
      <c r="FE10" s="498"/>
      <c r="FF10" s="597"/>
      <c r="FG10" s="509"/>
      <c r="FH10" s="551"/>
      <c r="FI10" s="553"/>
      <c r="FJ10" s="554"/>
    </row>
    <row r="11" spans="1:166" s="470" customFormat="1" ht="15" customHeight="1" x14ac:dyDescent="0.25">
      <c r="A11" s="610" t="s">
        <v>106</v>
      </c>
      <c r="B11" s="492">
        <v>18</v>
      </c>
      <c r="C11" s="492">
        <v>13</v>
      </c>
      <c r="D11" s="492">
        <v>13</v>
      </c>
      <c r="E11" s="492">
        <v>7</v>
      </c>
      <c r="F11" s="492">
        <v>3</v>
      </c>
      <c r="G11" s="492">
        <v>3</v>
      </c>
      <c r="H11" s="492"/>
      <c r="I11" s="492"/>
      <c r="J11" s="492">
        <v>3</v>
      </c>
      <c r="K11" s="492">
        <v>4</v>
      </c>
      <c r="L11" s="492">
        <v>20</v>
      </c>
      <c r="M11" s="492">
        <v>34</v>
      </c>
      <c r="N11" s="493">
        <f t="shared" ref="N11:N51" si="13">SUM(B11:M11)</f>
        <v>118</v>
      </c>
      <c r="O11" s="492">
        <v>19</v>
      </c>
      <c r="P11" s="492">
        <v>12</v>
      </c>
      <c r="Q11" s="492">
        <v>10</v>
      </c>
      <c r="R11" s="492">
        <v>6</v>
      </c>
      <c r="S11" s="492">
        <v>3</v>
      </c>
      <c r="T11" s="492">
        <v>3</v>
      </c>
      <c r="U11" s="492"/>
      <c r="V11" s="492"/>
      <c r="W11" s="492">
        <v>4</v>
      </c>
      <c r="X11" s="492">
        <v>5</v>
      </c>
      <c r="Y11" s="492">
        <v>28</v>
      </c>
      <c r="Z11" s="492">
        <v>45</v>
      </c>
      <c r="AA11" s="493">
        <f t="shared" ref="AA11:AA51" si="14">SUM(O11:Z11)</f>
        <v>135</v>
      </c>
      <c r="AB11" s="492">
        <v>24</v>
      </c>
      <c r="AC11" s="492">
        <v>21</v>
      </c>
      <c r="AD11" s="492">
        <v>25</v>
      </c>
      <c r="AE11" s="492">
        <v>13</v>
      </c>
      <c r="AF11" s="492">
        <v>4</v>
      </c>
      <c r="AG11" s="492">
        <v>2</v>
      </c>
      <c r="AH11" s="492"/>
      <c r="AI11" s="492"/>
      <c r="AJ11" s="492">
        <v>7</v>
      </c>
      <c r="AK11" s="492">
        <v>2</v>
      </c>
      <c r="AL11" s="492">
        <v>28</v>
      </c>
      <c r="AM11" s="492">
        <v>63</v>
      </c>
      <c r="AN11" s="493">
        <f t="shared" ref="AN11:AN51" si="15">SUM(AB11:AM11)</f>
        <v>189</v>
      </c>
      <c r="AO11" s="492">
        <v>21</v>
      </c>
      <c r="AP11" s="492">
        <v>26</v>
      </c>
      <c r="AQ11" s="492">
        <v>40</v>
      </c>
      <c r="AR11" s="492">
        <v>15</v>
      </c>
      <c r="AS11" s="492">
        <v>5</v>
      </c>
      <c r="AT11" s="492">
        <v>3</v>
      </c>
      <c r="AU11" s="492"/>
      <c r="AV11" s="492"/>
      <c r="AW11" s="492">
        <v>12</v>
      </c>
      <c r="AX11" s="492">
        <v>2</v>
      </c>
      <c r="AY11" s="492">
        <v>40</v>
      </c>
      <c r="AZ11" s="492">
        <v>76</v>
      </c>
      <c r="BA11" s="493">
        <f t="shared" ref="BA11:BA51" si="16">SUM(AO11:AZ11)</f>
        <v>240</v>
      </c>
      <c r="BB11" s="492">
        <v>54</v>
      </c>
      <c r="BC11" s="492">
        <v>38</v>
      </c>
      <c r="BD11" s="492">
        <v>34</v>
      </c>
      <c r="BE11" s="492">
        <v>16</v>
      </c>
      <c r="BF11" s="492">
        <v>5</v>
      </c>
      <c r="BG11" s="492">
        <v>3</v>
      </c>
      <c r="BH11" s="492"/>
      <c r="BI11" s="492"/>
      <c r="BJ11" s="492">
        <v>17</v>
      </c>
      <c r="BK11" s="492">
        <v>4</v>
      </c>
      <c r="BL11" s="492">
        <v>53</v>
      </c>
      <c r="BM11" s="492">
        <v>109</v>
      </c>
      <c r="BN11" s="493">
        <f t="shared" ref="BN11:BN51" si="17">SUM(BB11:BM11)</f>
        <v>333</v>
      </c>
      <c r="BO11" s="492">
        <v>66.87</v>
      </c>
      <c r="BP11" s="492">
        <v>43.917999999999999</v>
      </c>
      <c r="BQ11" s="492">
        <v>34.22</v>
      </c>
      <c r="BR11" s="492">
        <v>17.07</v>
      </c>
      <c r="BS11" s="492">
        <v>3.8800000000000003</v>
      </c>
      <c r="BT11" s="492">
        <v>3.38</v>
      </c>
      <c r="BU11" s="492"/>
      <c r="BV11" s="492"/>
      <c r="BW11" s="492">
        <v>18.350000000000001</v>
      </c>
      <c r="BX11" s="492">
        <v>15.469999999999999</v>
      </c>
      <c r="BY11" s="492">
        <v>58.576000000000001</v>
      </c>
      <c r="BZ11" s="492">
        <v>106.51</v>
      </c>
      <c r="CA11" s="493">
        <f t="shared" ref="CA11:CA51" si="18">SUM(BO11:BZ11)</f>
        <v>368.24399999999997</v>
      </c>
      <c r="CB11" s="492">
        <v>53.169000000000004</v>
      </c>
      <c r="CC11" s="492">
        <v>50.498999999999995</v>
      </c>
      <c r="CD11" s="492">
        <v>40.847999999999999</v>
      </c>
      <c r="CE11" s="492">
        <v>23.788999999999998</v>
      </c>
      <c r="CF11" s="492">
        <v>5.4089999999999998</v>
      </c>
      <c r="CG11" s="492">
        <v>3.16</v>
      </c>
      <c r="CH11" s="492"/>
      <c r="CI11" s="492"/>
      <c r="CJ11" s="492">
        <v>8.43</v>
      </c>
      <c r="CK11" s="492">
        <v>18.37</v>
      </c>
      <c r="CL11" s="492">
        <v>56.629999999999995</v>
      </c>
      <c r="CM11" s="492">
        <v>106.23399999999999</v>
      </c>
      <c r="CN11" s="493">
        <f t="shared" ref="CN11:CN51" si="19">SUM(CB11:CM11)</f>
        <v>366.53799999999995</v>
      </c>
      <c r="CO11" s="492">
        <v>60.618000000000009</v>
      </c>
      <c r="CP11" s="492">
        <v>43.579000000000001</v>
      </c>
      <c r="CQ11" s="492">
        <v>43.429000000000002</v>
      </c>
      <c r="CR11" s="492">
        <v>22.43</v>
      </c>
      <c r="CS11" s="492">
        <v>4.92</v>
      </c>
      <c r="CT11" s="492">
        <v>3.75</v>
      </c>
      <c r="CU11" s="492"/>
      <c r="CV11" s="492"/>
      <c r="CW11" s="492">
        <v>15.77</v>
      </c>
      <c r="CX11" s="492">
        <v>22.06</v>
      </c>
      <c r="CY11" s="492">
        <v>47.230000000000004</v>
      </c>
      <c r="CZ11" s="492">
        <v>111.26600000000001</v>
      </c>
      <c r="DA11" s="493">
        <f t="shared" ref="DA11:DA51" si="20">SUM(CO11:CZ11)</f>
        <v>375.05200000000002</v>
      </c>
      <c r="DB11" s="492">
        <v>69.88000000000001</v>
      </c>
      <c r="DC11" s="492">
        <v>45.929999999999993</v>
      </c>
      <c r="DD11" s="492">
        <v>38.658000000000001</v>
      </c>
      <c r="DE11" s="492">
        <v>26.478999999999999</v>
      </c>
      <c r="DF11" s="492">
        <v>6.44</v>
      </c>
      <c r="DG11" s="492">
        <v>2.0499999999999998</v>
      </c>
      <c r="DH11" s="492"/>
      <c r="DI11" s="492"/>
      <c r="DJ11" s="492">
        <v>7.91</v>
      </c>
      <c r="DK11" s="492">
        <v>23.89</v>
      </c>
      <c r="DL11" s="492">
        <v>65.667999999999992</v>
      </c>
      <c r="DM11" s="492">
        <v>93.202000000000012</v>
      </c>
      <c r="DN11" s="493">
        <f t="shared" ref="DN11:DN51" si="21">SUM(DB11:DM11)</f>
        <v>380.10700000000003</v>
      </c>
      <c r="DO11" s="492">
        <v>82.690000000000012</v>
      </c>
      <c r="DP11" s="492">
        <v>56.829999999999991</v>
      </c>
      <c r="DQ11" s="492">
        <v>40.889000000000003</v>
      </c>
      <c r="DR11" s="492">
        <v>24.161999999999999</v>
      </c>
      <c r="DS11" s="492">
        <v>7.38</v>
      </c>
      <c r="DT11" s="492">
        <v>4.87</v>
      </c>
      <c r="DU11" s="492">
        <v>0</v>
      </c>
      <c r="DV11" s="492">
        <v>0</v>
      </c>
      <c r="DW11" s="492">
        <v>9.6300000000000008</v>
      </c>
      <c r="DX11" s="492">
        <v>32.39</v>
      </c>
      <c r="DY11" s="492">
        <v>80.749999999999986</v>
      </c>
      <c r="DZ11" s="492">
        <v>188.41000000000011</v>
      </c>
      <c r="EA11" s="493">
        <v>528.00100000000009</v>
      </c>
      <c r="EB11" s="492">
        <v>144.41900000000001</v>
      </c>
      <c r="EC11" s="492">
        <v>101.809</v>
      </c>
      <c r="ED11" s="492">
        <v>73.75800000000001</v>
      </c>
      <c r="EE11" s="492">
        <v>35.036000000000001</v>
      </c>
      <c r="EF11" s="492">
        <v>7.7000000000000011</v>
      </c>
      <c r="EG11" s="492">
        <v>5.17</v>
      </c>
      <c r="EH11" s="492">
        <v>0</v>
      </c>
      <c r="EI11" s="492">
        <v>0</v>
      </c>
      <c r="EJ11" s="492">
        <v>14.34</v>
      </c>
      <c r="EK11" s="492">
        <v>44.848999999999997</v>
      </c>
      <c r="EL11" s="492">
        <v>112.19</v>
      </c>
      <c r="EM11" s="492">
        <v>212.727</v>
      </c>
      <c r="EN11" s="493">
        <v>751.99799999999993</v>
      </c>
      <c r="EO11" s="492">
        <v>149.90799999999999</v>
      </c>
      <c r="EP11" s="492">
        <v>105.989</v>
      </c>
      <c r="EQ11" s="492"/>
      <c r="ER11" s="492"/>
      <c r="ES11" s="492"/>
      <c r="ET11" s="492"/>
      <c r="EU11" s="492"/>
      <c r="EV11" s="492"/>
      <c r="EW11" s="492"/>
      <c r="EX11" s="492"/>
      <c r="EY11" s="492"/>
      <c r="EZ11" s="492"/>
      <c r="FA11" s="493">
        <f t="shared" ref="FA11:FA51" si="22">SUM(EO11:EZ11)</f>
        <v>255.89699999999999</v>
      </c>
      <c r="FB11" s="590"/>
      <c r="FC11" s="595">
        <f t="shared" ref="FC11:FC51" si="23">IFERROR(((
_xlfn.XLOOKUP((DATE(YEAR($FC$5),MONTH($FC$5),1)),UCA.AGROOTROS.DATE,$B11:$FA11) /
_xlfn.XLOOKUP((DATE(YEAR($FC$5)-1,MONTH($FC$5),1)),UCA.AGROOTROS.DATE,$B11:$FA11)
)-1)*100,"")</f>
        <v>38.934984520123848</v>
      </c>
      <c r="FD11" s="596">
        <f t="shared" ref="FD11:FD51" si="24">IFERROR(((FF11/FE11)-1)*100,"")</f>
        <v>58.800144880164652</v>
      </c>
      <c r="FE11" s="498">
        <f t="shared" ref="FE11:FE51" si="25">SUMIFS($B11:$FA11,UCA.AGROOTROS.DATE,"&gt;="&amp;DATE(YEAR($FC$5)-1,1,1),UCA.AGROOTROS.DATE,"&lt;="&amp;DATE(YEAR($FC$5)-1,MONTH($FC$5),1))</f>
        <v>339.59100000000001</v>
      </c>
      <c r="FF11" s="597">
        <f t="shared" ref="FF11:FF51" si="26">SUMIFS($B11:$FA11,UCA.AGROOTROS.DATE,"&gt;="&amp;DATE(YEAR($FC$5),1,1),UCA.AGROOTROS.DATE,"&lt;="&amp;$FC$5)</f>
        <v>539.27099999999996</v>
      </c>
      <c r="FG11" s="509"/>
      <c r="FH11" s="551">
        <f t="shared" ref="FH11:FH51" si="27">SUM(O11:FA11)</f>
        <v>7845.674</v>
      </c>
      <c r="FI11" s="553" t="s">
        <v>106</v>
      </c>
      <c r="FJ11" s="554" t="str">
        <f t="shared" ref="FJ11:FJ51" si="28">IF(EXACT(A11,FI11)=TRUE,"OK","VER")</f>
        <v>OK</v>
      </c>
    </row>
    <row r="12" spans="1:166" s="470" customFormat="1" ht="15" customHeight="1" x14ac:dyDescent="0.25">
      <c r="A12" s="610" t="s">
        <v>107</v>
      </c>
      <c r="B12" s="492">
        <v>35</v>
      </c>
      <c r="C12" s="492"/>
      <c r="D12" s="492">
        <v>10</v>
      </c>
      <c r="E12" s="492"/>
      <c r="F12" s="492">
        <v>18</v>
      </c>
      <c r="G12" s="492">
        <v>4</v>
      </c>
      <c r="H12" s="492"/>
      <c r="I12" s="492">
        <v>5</v>
      </c>
      <c r="J12" s="492">
        <v>37</v>
      </c>
      <c r="K12" s="492">
        <v>106</v>
      </c>
      <c r="L12" s="492">
        <v>112</v>
      </c>
      <c r="M12" s="492">
        <v>58</v>
      </c>
      <c r="N12" s="493">
        <f t="shared" si="13"/>
        <v>385</v>
      </c>
      <c r="O12" s="492">
        <v>39</v>
      </c>
      <c r="P12" s="492">
        <v>43</v>
      </c>
      <c r="Q12" s="492">
        <v>28</v>
      </c>
      <c r="R12" s="492">
        <v>15</v>
      </c>
      <c r="S12" s="492">
        <v>8</v>
      </c>
      <c r="T12" s="492"/>
      <c r="U12" s="492">
        <v>7</v>
      </c>
      <c r="V12" s="492">
        <v>12</v>
      </c>
      <c r="W12" s="492">
        <v>11</v>
      </c>
      <c r="X12" s="492">
        <v>54</v>
      </c>
      <c r="Y12" s="492">
        <v>66</v>
      </c>
      <c r="Z12" s="492">
        <v>4</v>
      </c>
      <c r="AA12" s="493">
        <f t="shared" si="14"/>
        <v>287</v>
      </c>
      <c r="AB12" s="492"/>
      <c r="AC12" s="492">
        <v>8</v>
      </c>
      <c r="AD12" s="492">
        <v>9</v>
      </c>
      <c r="AE12" s="492">
        <v>9</v>
      </c>
      <c r="AF12" s="492"/>
      <c r="AG12" s="492"/>
      <c r="AH12" s="492"/>
      <c r="AI12" s="492"/>
      <c r="AJ12" s="492">
        <v>88</v>
      </c>
      <c r="AK12" s="492">
        <v>129</v>
      </c>
      <c r="AL12" s="492">
        <v>63</v>
      </c>
      <c r="AM12" s="492">
        <v>19</v>
      </c>
      <c r="AN12" s="493">
        <f t="shared" si="15"/>
        <v>325</v>
      </c>
      <c r="AO12" s="492"/>
      <c r="AP12" s="492"/>
      <c r="AQ12" s="492">
        <v>9</v>
      </c>
      <c r="AR12" s="492"/>
      <c r="AS12" s="492"/>
      <c r="AT12" s="492"/>
      <c r="AU12" s="492">
        <v>35</v>
      </c>
      <c r="AV12" s="492"/>
      <c r="AW12" s="492">
        <v>57</v>
      </c>
      <c r="AX12" s="492">
        <v>87</v>
      </c>
      <c r="AY12" s="492">
        <v>55</v>
      </c>
      <c r="AZ12" s="492">
        <v>34</v>
      </c>
      <c r="BA12" s="493">
        <f t="shared" si="16"/>
        <v>277</v>
      </c>
      <c r="BB12" s="492">
        <v>7</v>
      </c>
      <c r="BC12" s="492">
        <v>3</v>
      </c>
      <c r="BD12" s="492">
        <v>3</v>
      </c>
      <c r="BE12" s="492"/>
      <c r="BF12" s="492"/>
      <c r="BG12" s="492"/>
      <c r="BH12" s="492">
        <v>6</v>
      </c>
      <c r="BI12" s="492">
        <v>3</v>
      </c>
      <c r="BJ12" s="492">
        <v>9</v>
      </c>
      <c r="BK12" s="492"/>
      <c r="BL12" s="492"/>
      <c r="BM12" s="492"/>
      <c r="BN12" s="493">
        <f t="shared" si="17"/>
        <v>31</v>
      </c>
      <c r="BO12" s="492"/>
      <c r="BP12" s="492"/>
      <c r="BQ12" s="492"/>
      <c r="BR12" s="492"/>
      <c r="BS12" s="492"/>
      <c r="BT12" s="492"/>
      <c r="BU12" s="492"/>
      <c r="BV12" s="492"/>
      <c r="BW12" s="492"/>
      <c r="BX12" s="492"/>
      <c r="BY12" s="492"/>
      <c r="BZ12" s="492"/>
      <c r="CA12" s="493">
        <f t="shared" si="18"/>
        <v>0</v>
      </c>
      <c r="CB12" s="492">
        <v>10.82</v>
      </c>
      <c r="CC12" s="492">
        <v>16.14</v>
      </c>
      <c r="CD12" s="492">
        <v>10.84</v>
      </c>
      <c r="CE12" s="492"/>
      <c r="CF12" s="492"/>
      <c r="CG12" s="492"/>
      <c r="CH12" s="492"/>
      <c r="CI12" s="492"/>
      <c r="CJ12" s="492">
        <v>22.44</v>
      </c>
      <c r="CK12" s="492">
        <v>286.27</v>
      </c>
      <c r="CL12" s="492">
        <v>226.4</v>
      </c>
      <c r="CM12" s="492">
        <v>102.69</v>
      </c>
      <c r="CN12" s="493">
        <f t="shared" si="19"/>
        <v>675.59999999999991</v>
      </c>
      <c r="CO12" s="492">
        <v>14.92</v>
      </c>
      <c r="CP12" s="492">
        <v>13.56</v>
      </c>
      <c r="CQ12" s="492"/>
      <c r="CR12" s="492"/>
      <c r="CS12" s="492">
        <v>12.98</v>
      </c>
      <c r="CT12" s="492"/>
      <c r="CU12" s="492">
        <v>13.5</v>
      </c>
      <c r="CV12" s="492">
        <v>7.19</v>
      </c>
      <c r="CW12" s="492">
        <v>31.54</v>
      </c>
      <c r="CX12" s="492">
        <v>434.26</v>
      </c>
      <c r="CY12" s="492">
        <v>474.41</v>
      </c>
      <c r="CZ12" s="492">
        <v>305.89</v>
      </c>
      <c r="DA12" s="493">
        <f t="shared" si="20"/>
        <v>1308.25</v>
      </c>
      <c r="DB12" s="492"/>
      <c r="DC12" s="492"/>
      <c r="DD12" s="492"/>
      <c r="DE12" s="492"/>
      <c r="DF12" s="492"/>
      <c r="DG12" s="492"/>
      <c r="DH12" s="492"/>
      <c r="DI12" s="492">
        <v>16.18</v>
      </c>
      <c r="DJ12" s="492">
        <v>2.86</v>
      </c>
      <c r="DK12" s="492">
        <v>9.629999999999999</v>
      </c>
      <c r="DL12" s="492">
        <v>2.73</v>
      </c>
      <c r="DM12" s="492"/>
      <c r="DN12" s="493">
        <f t="shared" si="21"/>
        <v>31.4</v>
      </c>
      <c r="DO12" s="492">
        <v>0</v>
      </c>
      <c r="DP12" s="492">
        <v>0</v>
      </c>
      <c r="DQ12" s="492">
        <v>0</v>
      </c>
      <c r="DR12" s="492">
        <v>0</v>
      </c>
      <c r="DS12" s="492">
        <v>0</v>
      </c>
      <c r="DT12" s="492">
        <v>0</v>
      </c>
      <c r="DU12" s="492">
        <v>0</v>
      </c>
      <c r="DV12" s="492">
        <v>0</v>
      </c>
      <c r="DW12" s="492">
        <v>3.95</v>
      </c>
      <c r="DX12" s="492">
        <v>42.22</v>
      </c>
      <c r="DY12" s="492">
        <v>22.51</v>
      </c>
      <c r="DZ12" s="492">
        <v>0</v>
      </c>
      <c r="EA12" s="493">
        <v>68.680000000000007</v>
      </c>
      <c r="EB12" s="492">
        <v>0</v>
      </c>
      <c r="EC12" s="492">
        <v>0</v>
      </c>
      <c r="ED12" s="492">
        <v>0</v>
      </c>
      <c r="EE12" s="492">
        <v>0</v>
      </c>
      <c r="EF12" s="492">
        <v>0</v>
      </c>
      <c r="EG12" s="492">
        <v>0</v>
      </c>
      <c r="EH12" s="492">
        <v>0</v>
      </c>
      <c r="EI12" s="492">
        <v>0</v>
      </c>
      <c r="EJ12" s="492">
        <v>33.229999999999997</v>
      </c>
      <c r="EK12" s="492">
        <v>66.48</v>
      </c>
      <c r="EL12" s="492">
        <v>81.129000000000005</v>
      </c>
      <c r="EM12" s="492">
        <v>0</v>
      </c>
      <c r="EN12" s="493">
        <v>180.839</v>
      </c>
      <c r="EO12" s="492">
        <v>0</v>
      </c>
      <c r="EP12" s="492">
        <v>13.66</v>
      </c>
      <c r="EQ12" s="492"/>
      <c r="ER12" s="492"/>
      <c r="ES12" s="492"/>
      <c r="ET12" s="492"/>
      <c r="EU12" s="492"/>
      <c r="EV12" s="492"/>
      <c r="EW12" s="492"/>
      <c r="EX12" s="492"/>
      <c r="EY12" s="492"/>
      <c r="EZ12" s="492"/>
      <c r="FA12" s="493">
        <f t="shared" si="22"/>
        <v>13.66</v>
      </c>
      <c r="FB12" s="590"/>
      <c r="FC12" s="595">
        <f t="shared" si="23"/>
        <v>260.41314971123944</v>
      </c>
      <c r="FD12" s="596">
        <f t="shared" si="24"/>
        <v>163.30663948747812</v>
      </c>
      <c r="FE12" s="498">
        <f t="shared" si="25"/>
        <v>68.680000000000007</v>
      </c>
      <c r="FF12" s="597">
        <f t="shared" si="26"/>
        <v>180.839</v>
      </c>
      <c r="FH12" s="551">
        <f t="shared" si="27"/>
        <v>6396.8579999999993</v>
      </c>
      <c r="FI12" s="553" t="s">
        <v>107</v>
      </c>
      <c r="FJ12" s="554" t="str">
        <f t="shared" si="28"/>
        <v>OK</v>
      </c>
    </row>
    <row r="13" spans="1:166" s="470" customFormat="1" ht="15" customHeight="1" x14ac:dyDescent="0.25">
      <c r="A13" s="610" t="s">
        <v>109</v>
      </c>
      <c r="B13" s="492"/>
      <c r="C13" s="492"/>
      <c r="D13" s="492"/>
      <c r="E13" s="492"/>
      <c r="F13" s="492"/>
      <c r="G13" s="492"/>
      <c r="H13" s="492"/>
      <c r="I13" s="492">
        <v>6</v>
      </c>
      <c r="J13" s="492">
        <v>34</v>
      </c>
      <c r="K13" s="492">
        <v>30</v>
      </c>
      <c r="L13" s="492">
        <v>31</v>
      </c>
      <c r="M13" s="492"/>
      <c r="N13" s="493">
        <f t="shared" si="13"/>
        <v>101</v>
      </c>
      <c r="O13" s="492"/>
      <c r="P13" s="492"/>
      <c r="Q13" s="492"/>
      <c r="R13" s="492"/>
      <c r="S13" s="492"/>
      <c r="T13" s="492"/>
      <c r="U13" s="492"/>
      <c r="V13" s="492"/>
      <c r="W13" s="492">
        <v>42</v>
      </c>
      <c r="X13" s="492">
        <v>42</v>
      </c>
      <c r="Y13" s="492">
        <v>44</v>
      </c>
      <c r="Z13" s="492"/>
      <c r="AA13" s="493">
        <f t="shared" si="14"/>
        <v>128</v>
      </c>
      <c r="AB13" s="492"/>
      <c r="AC13" s="492"/>
      <c r="AD13" s="492"/>
      <c r="AE13" s="492"/>
      <c r="AF13" s="492"/>
      <c r="AG13" s="492"/>
      <c r="AH13" s="492"/>
      <c r="AI13" s="492"/>
      <c r="AJ13" s="492">
        <v>46</v>
      </c>
      <c r="AK13" s="492">
        <v>45</v>
      </c>
      <c r="AL13" s="492">
        <v>54</v>
      </c>
      <c r="AM13" s="492"/>
      <c r="AN13" s="493">
        <f t="shared" si="15"/>
        <v>145</v>
      </c>
      <c r="AO13" s="492"/>
      <c r="AP13" s="492"/>
      <c r="AQ13" s="492"/>
      <c r="AR13" s="492"/>
      <c r="AS13" s="492"/>
      <c r="AT13" s="492"/>
      <c r="AU13" s="492"/>
      <c r="AV13" s="492"/>
      <c r="AW13" s="492">
        <v>57</v>
      </c>
      <c r="AX13" s="492">
        <v>70</v>
      </c>
      <c r="AY13" s="492">
        <v>107</v>
      </c>
      <c r="AZ13" s="492"/>
      <c r="BA13" s="493">
        <f t="shared" si="16"/>
        <v>234</v>
      </c>
      <c r="BB13" s="492"/>
      <c r="BC13" s="492"/>
      <c r="BD13" s="492"/>
      <c r="BE13" s="492"/>
      <c r="BF13" s="492"/>
      <c r="BG13" s="492"/>
      <c r="BH13" s="492"/>
      <c r="BI13" s="492"/>
      <c r="BJ13" s="492">
        <v>57</v>
      </c>
      <c r="BK13" s="492">
        <v>60</v>
      </c>
      <c r="BL13" s="492">
        <v>96</v>
      </c>
      <c r="BM13" s="492"/>
      <c r="BN13" s="493">
        <f t="shared" si="17"/>
        <v>213</v>
      </c>
      <c r="BO13" s="492"/>
      <c r="BP13" s="492"/>
      <c r="BQ13" s="492"/>
      <c r="BR13" s="492"/>
      <c r="BS13" s="492"/>
      <c r="BT13" s="492"/>
      <c r="BU13" s="492"/>
      <c r="BV13" s="492"/>
      <c r="BW13" s="492">
        <v>46.408000000000001</v>
      </c>
      <c r="BX13" s="492">
        <v>60.51</v>
      </c>
      <c r="BY13" s="492">
        <v>76.736999999999995</v>
      </c>
      <c r="BZ13" s="492"/>
      <c r="CA13" s="493">
        <f t="shared" si="18"/>
        <v>183.655</v>
      </c>
      <c r="CB13" s="492"/>
      <c r="CC13" s="492"/>
      <c r="CD13" s="492"/>
      <c r="CE13" s="492"/>
      <c r="CF13" s="492"/>
      <c r="CG13" s="492"/>
      <c r="CH13" s="492"/>
      <c r="CI13" s="492"/>
      <c r="CJ13" s="492">
        <v>79.680000000000007</v>
      </c>
      <c r="CK13" s="492">
        <v>127.28900000000002</v>
      </c>
      <c r="CL13" s="492">
        <v>201.94</v>
      </c>
      <c r="CM13" s="492"/>
      <c r="CN13" s="493">
        <f t="shared" si="19"/>
        <v>408.90899999999999</v>
      </c>
      <c r="CO13" s="492"/>
      <c r="CP13" s="492"/>
      <c r="CQ13" s="492"/>
      <c r="CR13" s="492"/>
      <c r="CS13" s="492"/>
      <c r="CT13" s="492"/>
      <c r="CU13" s="492"/>
      <c r="CV13" s="492"/>
      <c r="CW13" s="492">
        <v>145.87</v>
      </c>
      <c r="CX13" s="492">
        <v>122.07899999999999</v>
      </c>
      <c r="CY13" s="492">
        <v>85.21</v>
      </c>
      <c r="CZ13" s="492">
        <v>2.1040000000000001</v>
      </c>
      <c r="DA13" s="493">
        <f t="shared" si="20"/>
        <v>355.26299999999998</v>
      </c>
      <c r="DB13" s="492"/>
      <c r="DC13" s="492"/>
      <c r="DD13" s="492"/>
      <c r="DE13" s="492"/>
      <c r="DF13" s="492"/>
      <c r="DG13" s="492"/>
      <c r="DH13" s="492"/>
      <c r="DI13" s="492"/>
      <c r="DJ13" s="492">
        <v>109.44800000000001</v>
      </c>
      <c r="DK13" s="492">
        <v>130.12899999999999</v>
      </c>
      <c r="DL13" s="492">
        <v>126.67600000000002</v>
      </c>
      <c r="DM13" s="492"/>
      <c r="DN13" s="493">
        <f t="shared" si="21"/>
        <v>366.25300000000004</v>
      </c>
      <c r="DO13" s="492">
        <v>0</v>
      </c>
      <c r="DP13" s="492">
        <v>0</v>
      </c>
      <c r="DQ13" s="492">
        <v>0</v>
      </c>
      <c r="DR13" s="492">
        <v>0</v>
      </c>
      <c r="DS13" s="492">
        <v>0</v>
      </c>
      <c r="DT13" s="492">
        <v>0</v>
      </c>
      <c r="DU13" s="492">
        <v>0</v>
      </c>
      <c r="DV13" s="492">
        <v>0</v>
      </c>
      <c r="DW13" s="492">
        <v>97.679000000000002</v>
      </c>
      <c r="DX13" s="492">
        <v>142.089</v>
      </c>
      <c r="DY13" s="492">
        <v>122.749</v>
      </c>
      <c r="DZ13" s="492">
        <v>0</v>
      </c>
      <c r="EA13" s="493">
        <v>362.517</v>
      </c>
      <c r="EB13" s="492">
        <v>0</v>
      </c>
      <c r="EC13" s="492">
        <v>0</v>
      </c>
      <c r="ED13" s="492">
        <v>0</v>
      </c>
      <c r="EE13" s="492">
        <v>0</v>
      </c>
      <c r="EF13" s="492">
        <v>0</v>
      </c>
      <c r="EG13" s="492">
        <v>0</v>
      </c>
      <c r="EH13" s="492">
        <v>0</v>
      </c>
      <c r="EI13" s="492">
        <v>0</v>
      </c>
      <c r="EJ13" s="492">
        <v>178.22900000000001</v>
      </c>
      <c r="EK13" s="492">
        <v>197.75800000000001</v>
      </c>
      <c r="EL13" s="492">
        <v>124.914</v>
      </c>
      <c r="EM13" s="492">
        <v>0</v>
      </c>
      <c r="EN13" s="493">
        <v>500.90100000000001</v>
      </c>
      <c r="EO13" s="492">
        <v>0</v>
      </c>
      <c r="EP13" s="492">
        <v>0</v>
      </c>
      <c r="EQ13" s="492"/>
      <c r="ER13" s="492"/>
      <c r="ES13" s="492"/>
      <c r="ET13" s="492"/>
      <c r="EU13" s="492"/>
      <c r="EV13" s="492"/>
      <c r="EW13" s="492"/>
      <c r="EX13" s="492"/>
      <c r="EY13" s="492"/>
      <c r="EZ13" s="492"/>
      <c r="FA13" s="493">
        <f t="shared" si="22"/>
        <v>0</v>
      </c>
      <c r="FB13" s="590"/>
      <c r="FC13" s="595">
        <f t="shared" si="23"/>
        <v>1.7637618229069174</v>
      </c>
      <c r="FD13" s="596">
        <f t="shared" si="24"/>
        <v>38.173106364667042</v>
      </c>
      <c r="FE13" s="498">
        <f t="shared" si="25"/>
        <v>362.517</v>
      </c>
      <c r="FF13" s="597">
        <f t="shared" si="26"/>
        <v>500.90100000000001</v>
      </c>
      <c r="FH13" s="551">
        <f t="shared" si="27"/>
        <v>5794.9959999999992</v>
      </c>
      <c r="FI13" s="553" t="s">
        <v>109</v>
      </c>
      <c r="FJ13" s="554" t="str">
        <f t="shared" si="28"/>
        <v>OK</v>
      </c>
    </row>
    <row r="14" spans="1:166" s="470" customFormat="1" ht="15" customHeight="1" x14ac:dyDescent="0.25">
      <c r="A14" s="610" t="s">
        <v>110</v>
      </c>
      <c r="B14" s="492">
        <v>253</v>
      </c>
      <c r="C14" s="492">
        <v>288</v>
      </c>
      <c r="D14" s="492">
        <v>231</v>
      </c>
      <c r="E14" s="492">
        <v>129</v>
      </c>
      <c r="F14" s="492">
        <v>79</v>
      </c>
      <c r="G14" s="492">
        <v>23</v>
      </c>
      <c r="H14" s="492">
        <v>8</v>
      </c>
      <c r="I14" s="492"/>
      <c r="J14" s="492"/>
      <c r="K14" s="492">
        <v>63</v>
      </c>
      <c r="L14" s="492">
        <v>234</v>
      </c>
      <c r="M14" s="492">
        <v>277</v>
      </c>
      <c r="N14" s="493">
        <f t="shared" si="13"/>
        <v>1585</v>
      </c>
      <c r="O14" s="492">
        <v>248</v>
      </c>
      <c r="P14" s="492">
        <v>304</v>
      </c>
      <c r="Q14" s="492">
        <v>261</v>
      </c>
      <c r="R14" s="492">
        <v>169</v>
      </c>
      <c r="S14" s="492">
        <v>92</v>
      </c>
      <c r="T14" s="492">
        <v>24</v>
      </c>
      <c r="U14" s="492">
        <v>6</v>
      </c>
      <c r="V14" s="492"/>
      <c r="W14" s="492"/>
      <c r="X14" s="492">
        <v>68</v>
      </c>
      <c r="Y14" s="492">
        <v>252</v>
      </c>
      <c r="Z14" s="492">
        <v>339</v>
      </c>
      <c r="AA14" s="493">
        <f t="shared" si="14"/>
        <v>1763</v>
      </c>
      <c r="AB14" s="492">
        <v>297</v>
      </c>
      <c r="AC14" s="492">
        <v>317</v>
      </c>
      <c r="AD14" s="492">
        <v>284</v>
      </c>
      <c r="AE14" s="492">
        <v>238</v>
      </c>
      <c r="AF14" s="492">
        <v>111</v>
      </c>
      <c r="AG14" s="492">
        <v>29</v>
      </c>
      <c r="AH14" s="492">
        <v>7</v>
      </c>
      <c r="AI14" s="492"/>
      <c r="AJ14" s="492"/>
      <c r="AK14" s="492">
        <v>61</v>
      </c>
      <c r="AL14" s="492">
        <v>280</v>
      </c>
      <c r="AM14" s="492">
        <v>343</v>
      </c>
      <c r="AN14" s="493">
        <f t="shared" si="15"/>
        <v>1967</v>
      </c>
      <c r="AO14" s="492">
        <v>308</v>
      </c>
      <c r="AP14" s="492">
        <v>374</v>
      </c>
      <c r="AQ14" s="492">
        <v>311</v>
      </c>
      <c r="AR14" s="492">
        <v>229</v>
      </c>
      <c r="AS14" s="492">
        <v>103</v>
      </c>
      <c r="AT14" s="492">
        <v>32</v>
      </c>
      <c r="AU14" s="492">
        <v>9</v>
      </c>
      <c r="AV14" s="492"/>
      <c r="AW14" s="492"/>
      <c r="AX14" s="492">
        <v>48</v>
      </c>
      <c r="AY14" s="492">
        <v>265</v>
      </c>
      <c r="AZ14" s="492">
        <v>289</v>
      </c>
      <c r="BA14" s="493">
        <f t="shared" si="16"/>
        <v>1968</v>
      </c>
      <c r="BB14" s="492">
        <v>323</v>
      </c>
      <c r="BC14" s="492">
        <v>331</v>
      </c>
      <c r="BD14" s="492">
        <v>305</v>
      </c>
      <c r="BE14" s="492">
        <v>212</v>
      </c>
      <c r="BF14" s="492">
        <v>105</v>
      </c>
      <c r="BG14" s="492">
        <v>28</v>
      </c>
      <c r="BH14" s="492">
        <v>7</v>
      </c>
      <c r="BI14" s="492"/>
      <c r="BJ14" s="492"/>
      <c r="BK14" s="492">
        <v>41</v>
      </c>
      <c r="BL14" s="492">
        <v>271</v>
      </c>
      <c r="BM14" s="492">
        <v>334</v>
      </c>
      <c r="BN14" s="493">
        <f t="shared" si="17"/>
        <v>1957</v>
      </c>
      <c r="BO14" s="492">
        <v>436</v>
      </c>
      <c r="BP14" s="492">
        <v>563</v>
      </c>
      <c r="BQ14" s="492">
        <v>528</v>
      </c>
      <c r="BR14" s="492">
        <v>321</v>
      </c>
      <c r="BS14" s="492">
        <v>174.95</v>
      </c>
      <c r="BT14" s="492">
        <v>49</v>
      </c>
      <c r="BU14" s="492">
        <v>12</v>
      </c>
      <c r="BV14" s="492"/>
      <c r="BW14" s="492"/>
      <c r="BX14" s="492"/>
      <c r="BY14" s="492">
        <v>309</v>
      </c>
      <c r="BZ14" s="492">
        <v>459</v>
      </c>
      <c r="CA14" s="493">
        <f t="shared" si="18"/>
        <v>2851.95</v>
      </c>
      <c r="CB14" s="492">
        <v>519.77900000000011</v>
      </c>
      <c r="CC14" s="492">
        <v>622.73</v>
      </c>
      <c r="CD14" s="492">
        <v>608.33699999999999</v>
      </c>
      <c r="CE14" s="492">
        <v>413.65900000000011</v>
      </c>
      <c r="CF14" s="492">
        <v>221.47</v>
      </c>
      <c r="CG14" s="492">
        <v>89.86</v>
      </c>
      <c r="CH14" s="492">
        <v>26.5</v>
      </c>
      <c r="CI14" s="492"/>
      <c r="CJ14" s="492"/>
      <c r="CK14" s="492"/>
      <c r="CL14" s="492">
        <v>409.59000000000003</v>
      </c>
      <c r="CM14" s="492">
        <v>641.99999999999989</v>
      </c>
      <c r="CN14" s="493">
        <f t="shared" si="19"/>
        <v>3553.9250000000002</v>
      </c>
      <c r="CO14" s="492">
        <v>574.47900000000004</v>
      </c>
      <c r="CP14" s="492">
        <v>595.71499999999992</v>
      </c>
      <c r="CQ14" s="492">
        <v>615.32899999999995</v>
      </c>
      <c r="CR14" s="492">
        <v>445.72699999999998</v>
      </c>
      <c r="CS14" s="492">
        <v>231.29900000000001</v>
      </c>
      <c r="CT14" s="492">
        <v>89.869</v>
      </c>
      <c r="CU14" s="492">
        <v>26.329000000000001</v>
      </c>
      <c r="CV14" s="492"/>
      <c r="CW14" s="492"/>
      <c r="CX14" s="492">
        <v>9.6189999999999998</v>
      </c>
      <c r="CY14" s="492">
        <v>210.82900000000004</v>
      </c>
      <c r="CZ14" s="492">
        <v>512.46</v>
      </c>
      <c r="DA14" s="493">
        <f t="shared" si="20"/>
        <v>3311.6550000000007</v>
      </c>
      <c r="DB14" s="492">
        <v>606.22699999999998</v>
      </c>
      <c r="DC14" s="492">
        <v>607.89</v>
      </c>
      <c r="DD14" s="492">
        <v>497.34</v>
      </c>
      <c r="DE14" s="492">
        <v>376.41899999999998</v>
      </c>
      <c r="DF14" s="492">
        <v>202.57</v>
      </c>
      <c r="DG14" s="492">
        <v>70.549000000000007</v>
      </c>
      <c r="DH14" s="492">
        <v>23.97</v>
      </c>
      <c r="DI14" s="492"/>
      <c r="DJ14" s="492"/>
      <c r="DK14" s="492"/>
      <c r="DL14" s="492">
        <v>223.25700000000009</v>
      </c>
      <c r="DM14" s="492">
        <v>337.988</v>
      </c>
      <c r="DN14" s="493">
        <f t="shared" si="21"/>
        <v>2946.2099999999996</v>
      </c>
      <c r="DO14" s="492">
        <v>442.68900000000002</v>
      </c>
      <c r="DP14" s="492">
        <v>508.75799999999998</v>
      </c>
      <c r="DQ14" s="492">
        <v>409.74799999999988</v>
      </c>
      <c r="DR14" s="492">
        <v>319.69799999999998</v>
      </c>
      <c r="DS14" s="492">
        <v>172.959</v>
      </c>
      <c r="DT14" s="492">
        <v>65.22</v>
      </c>
      <c r="DU14" s="492">
        <v>21.69</v>
      </c>
      <c r="DV14" s="492">
        <v>0</v>
      </c>
      <c r="DW14" s="492">
        <v>0</v>
      </c>
      <c r="DX14" s="492">
        <v>0</v>
      </c>
      <c r="DY14" s="492">
        <v>200.988</v>
      </c>
      <c r="DZ14" s="492">
        <v>300.541</v>
      </c>
      <c r="EA14" s="493">
        <v>2442.2910000000002</v>
      </c>
      <c r="EB14" s="492">
        <v>388.37900000000002</v>
      </c>
      <c r="EC14" s="492">
        <v>418.60000000000008</v>
      </c>
      <c r="ED14" s="492">
        <v>325.024</v>
      </c>
      <c r="EE14" s="492">
        <v>242.72399999999999</v>
      </c>
      <c r="EF14" s="492">
        <v>192.126</v>
      </c>
      <c r="EG14" s="492">
        <v>42.814000000000007</v>
      </c>
      <c r="EH14" s="492">
        <v>14.529</v>
      </c>
      <c r="EI14" s="492">
        <v>0</v>
      </c>
      <c r="EJ14" s="492">
        <v>0</v>
      </c>
      <c r="EK14" s="492">
        <v>0</v>
      </c>
      <c r="EL14" s="492">
        <v>217.477</v>
      </c>
      <c r="EM14" s="492">
        <v>317.298</v>
      </c>
      <c r="EN14" s="493">
        <v>2158.9710000000005</v>
      </c>
      <c r="EO14" s="492">
        <v>360.07800000000009</v>
      </c>
      <c r="EP14" s="492">
        <v>392.65899999999999</v>
      </c>
      <c r="EQ14" s="492"/>
      <c r="ER14" s="492"/>
      <c r="ES14" s="492"/>
      <c r="ET14" s="492"/>
      <c r="EU14" s="492"/>
      <c r="EV14" s="492"/>
      <c r="EW14" s="492"/>
      <c r="EX14" s="492"/>
      <c r="EY14" s="492"/>
      <c r="EZ14" s="492"/>
      <c r="FA14" s="493">
        <f t="shared" si="22"/>
        <v>752.73700000000008</v>
      </c>
      <c r="FB14" s="590"/>
      <c r="FC14" s="595">
        <f t="shared" si="23"/>
        <v>8.203972376460289</v>
      </c>
      <c r="FD14" s="596">
        <f t="shared" si="24"/>
        <v>-14.010832263336049</v>
      </c>
      <c r="FE14" s="498">
        <f t="shared" si="25"/>
        <v>2141.75</v>
      </c>
      <c r="FF14" s="597">
        <f t="shared" si="26"/>
        <v>1841.6730000000002</v>
      </c>
      <c r="FH14" s="551">
        <f t="shared" si="27"/>
        <v>51345.477999999981</v>
      </c>
      <c r="FI14" s="553" t="s">
        <v>110</v>
      </c>
      <c r="FJ14" s="554" t="str">
        <f t="shared" si="28"/>
        <v>OK</v>
      </c>
    </row>
    <row r="15" spans="1:166" s="470" customFormat="1" ht="15" customHeight="1" x14ac:dyDescent="0.25">
      <c r="A15" s="610" t="s">
        <v>112</v>
      </c>
      <c r="B15" s="492">
        <v>331</v>
      </c>
      <c r="C15" s="492">
        <v>374</v>
      </c>
      <c r="D15" s="492">
        <v>316</v>
      </c>
      <c r="E15" s="492">
        <v>178</v>
      </c>
      <c r="F15" s="492">
        <v>203</v>
      </c>
      <c r="G15" s="492">
        <v>63</v>
      </c>
      <c r="H15" s="492">
        <v>29</v>
      </c>
      <c r="I15" s="492">
        <v>363</v>
      </c>
      <c r="J15" s="492">
        <v>200</v>
      </c>
      <c r="K15" s="492">
        <v>75</v>
      </c>
      <c r="L15" s="492">
        <v>167</v>
      </c>
      <c r="M15" s="492">
        <v>226</v>
      </c>
      <c r="N15" s="493">
        <f t="shared" si="13"/>
        <v>2525</v>
      </c>
      <c r="O15" s="492">
        <v>272</v>
      </c>
      <c r="P15" s="492">
        <v>379</v>
      </c>
      <c r="Q15" s="492">
        <v>390</v>
      </c>
      <c r="R15" s="492">
        <v>220</v>
      </c>
      <c r="S15" s="492">
        <v>199</v>
      </c>
      <c r="T15" s="492">
        <v>54</v>
      </c>
      <c r="U15" s="492">
        <v>24</v>
      </c>
      <c r="V15" s="492">
        <v>387</v>
      </c>
      <c r="W15" s="492">
        <v>213</v>
      </c>
      <c r="X15" s="492">
        <v>67</v>
      </c>
      <c r="Y15" s="492">
        <v>144</v>
      </c>
      <c r="Z15" s="492">
        <v>213</v>
      </c>
      <c r="AA15" s="493">
        <f t="shared" si="14"/>
        <v>2562</v>
      </c>
      <c r="AB15" s="492">
        <v>312</v>
      </c>
      <c r="AC15" s="492">
        <v>390</v>
      </c>
      <c r="AD15" s="492">
        <v>435</v>
      </c>
      <c r="AE15" s="492">
        <v>282</v>
      </c>
      <c r="AF15" s="492">
        <v>264</v>
      </c>
      <c r="AG15" s="492">
        <v>66</v>
      </c>
      <c r="AH15" s="492">
        <v>18</v>
      </c>
      <c r="AI15" s="492">
        <v>381</v>
      </c>
      <c r="AJ15" s="492">
        <v>264</v>
      </c>
      <c r="AK15" s="492">
        <v>65</v>
      </c>
      <c r="AL15" s="492">
        <v>200</v>
      </c>
      <c r="AM15" s="492">
        <v>266</v>
      </c>
      <c r="AN15" s="493">
        <f t="shared" si="15"/>
        <v>2943</v>
      </c>
      <c r="AO15" s="492">
        <v>356</v>
      </c>
      <c r="AP15" s="492">
        <v>475</v>
      </c>
      <c r="AQ15" s="492">
        <v>458</v>
      </c>
      <c r="AR15" s="492">
        <v>330</v>
      </c>
      <c r="AS15" s="492">
        <v>297</v>
      </c>
      <c r="AT15" s="492">
        <v>88</v>
      </c>
      <c r="AU15" s="492">
        <v>23</v>
      </c>
      <c r="AV15" s="492">
        <v>271</v>
      </c>
      <c r="AW15" s="492">
        <v>112</v>
      </c>
      <c r="AX15" s="492">
        <v>43</v>
      </c>
      <c r="AY15" s="492">
        <v>365</v>
      </c>
      <c r="AZ15" s="492">
        <v>212</v>
      </c>
      <c r="BA15" s="493">
        <f t="shared" si="16"/>
        <v>3030</v>
      </c>
      <c r="BB15" s="492">
        <v>287</v>
      </c>
      <c r="BC15" s="492">
        <v>233</v>
      </c>
      <c r="BD15" s="492">
        <v>212</v>
      </c>
      <c r="BE15" s="492">
        <v>173</v>
      </c>
      <c r="BF15" s="492">
        <v>185</v>
      </c>
      <c r="BG15" s="492">
        <v>28</v>
      </c>
      <c r="BH15" s="492">
        <v>15</v>
      </c>
      <c r="BI15" s="492">
        <v>227</v>
      </c>
      <c r="BJ15" s="492">
        <v>118</v>
      </c>
      <c r="BK15" s="492">
        <v>12</v>
      </c>
      <c r="BL15" s="492">
        <v>119</v>
      </c>
      <c r="BM15" s="492">
        <v>99</v>
      </c>
      <c r="BN15" s="493">
        <f t="shared" si="17"/>
        <v>1708</v>
      </c>
      <c r="BO15" s="492">
        <v>338</v>
      </c>
      <c r="BP15" s="492">
        <v>532</v>
      </c>
      <c r="BQ15" s="492">
        <v>599</v>
      </c>
      <c r="BR15" s="492">
        <v>388</v>
      </c>
      <c r="BS15" s="492">
        <v>362.99700000000001</v>
      </c>
      <c r="BT15" s="492">
        <v>26</v>
      </c>
      <c r="BU15" s="492"/>
      <c r="BV15" s="492"/>
      <c r="BW15" s="492">
        <v>516</v>
      </c>
      <c r="BX15" s="492">
        <v>589</v>
      </c>
      <c r="BY15" s="492">
        <v>352</v>
      </c>
      <c r="BZ15" s="492">
        <v>241</v>
      </c>
      <c r="CA15" s="493">
        <f t="shared" si="18"/>
        <v>3943.9969999999998</v>
      </c>
      <c r="CB15" s="492">
        <v>329.40899999999999</v>
      </c>
      <c r="CC15" s="492">
        <v>334.82</v>
      </c>
      <c r="CD15" s="492">
        <v>329.90899999999999</v>
      </c>
      <c r="CE15" s="492">
        <v>495.41</v>
      </c>
      <c r="CF15" s="492">
        <v>313.98900000000009</v>
      </c>
      <c r="CG15" s="492">
        <v>42.609000000000002</v>
      </c>
      <c r="CH15" s="492"/>
      <c r="CI15" s="492"/>
      <c r="CJ15" s="492">
        <v>491.24</v>
      </c>
      <c r="CK15" s="492">
        <v>775.56</v>
      </c>
      <c r="CL15" s="492">
        <v>581.55999999999995</v>
      </c>
      <c r="CM15" s="492">
        <v>376.42999999999995</v>
      </c>
      <c r="CN15" s="493">
        <f t="shared" si="19"/>
        <v>4070.9359999999997</v>
      </c>
      <c r="CO15" s="492">
        <v>393.07900000000001</v>
      </c>
      <c r="CP15" s="492">
        <v>408.26900000000006</v>
      </c>
      <c r="CQ15" s="492">
        <v>384.81900000000002</v>
      </c>
      <c r="CR15" s="492">
        <v>385.02</v>
      </c>
      <c r="CS15" s="492">
        <v>337.95000000000005</v>
      </c>
      <c r="CT15" s="492">
        <v>65.59</v>
      </c>
      <c r="CU15" s="492"/>
      <c r="CV15" s="492"/>
      <c r="CW15" s="492">
        <v>268.78800000000001</v>
      </c>
      <c r="CX15" s="492">
        <v>272.738</v>
      </c>
      <c r="CY15" s="492">
        <v>194.21999999999997</v>
      </c>
      <c r="CZ15" s="492">
        <v>359.42900000000003</v>
      </c>
      <c r="DA15" s="493">
        <f t="shared" si="20"/>
        <v>3069.902</v>
      </c>
      <c r="DB15" s="492">
        <v>381.43900000000002</v>
      </c>
      <c r="DC15" s="492">
        <v>314.25900000000001</v>
      </c>
      <c r="DD15" s="492">
        <v>255.06700000000001</v>
      </c>
      <c r="DE15" s="492">
        <v>224.739</v>
      </c>
      <c r="DF15" s="492">
        <v>316.04899999999998</v>
      </c>
      <c r="DG15" s="492">
        <v>500.06700000000012</v>
      </c>
      <c r="DH15" s="492"/>
      <c r="DI15" s="492"/>
      <c r="DJ15" s="492">
        <v>187.18899999999999</v>
      </c>
      <c r="DK15" s="492">
        <v>269.82900000000001</v>
      </c>
      <c r="DL15" s="492">
        <v>192.81800000000001</v>
      </c>
      <c r="DM15" s="492">
        <v>162.99100000000001</v>
      </c>
      <c r="DN15" s="493">
        <f t="shared" si="21"/>
        <v>2804.4470000000006</v>
      </c>
      <c r="DO15" s="492">
        <v>212.47900000000001</v>
      </c>
      <c r="DP15" s="492">
        <v>183.09800000000001</v>
      </c>
      <c r="DQ15" s="492">
        <v>135.92699999999999</v>
      </c>
      <c r="DR15" s="492">
        <v>218.38900000000001</v>
      </c>
      <c r="DS15" s="492">
        <v>382.8</v>
      </c>
      <c r="DT15" s="492">
        <v>406.01</v>
      </c>
      <c r="DU15" s="492">
        <v>0</v>
      </c>
      <c r="DV15" s="492">
        <v>0</v>
      </c>
      <c r="DW15" s="492">
        <v>0</v>
      </c>
      <c r="DX15" s="492">
        <v>125.828</v>
      </c>
      <c r="DY15" s="492">
        <v>219.08699999999999</v>
      </c>
      <c r="DZ15" s="492">
        <v>214.81899999999999</v>
      </c>
      <c r="EA15" s="493">
        <v>2098.4369999999999</v>
      </c>
      <c r="EB15" s="492">
        <v>323.47800000000012</v>
      </c>
      <c r="EC15" s="492">
        <v>206.14</v>
      </c>
      <c r="ED15" s="492">
        <v>243.67899999999989</v>
      </c>
      <c r="EE15" s="492">
        <v>307.95</v>
      </c>
      <c r="EF15" s="492">
        <v>392.64699999999999</v>
      </c>
      <c r="EG15" s="492">
        <v>395.88400000000001</v>
      </c>
      <c r="EH15" s="492">
        <v>0</v>
      </c>
      <c r="EI15" s="492">
        <v>0</v>
      </c>
      <c r="EJ15" s="492">
        <v>0</v>
      </c>
      <c r="EK15" s="492">
        <v>120.48</v>
      </c>
      <c r="EL15" s="492">
        <v>269.72800000000001</v>
      </c>
      <c r="EM15" s="492">
        <v>229.98099999999999</v>
      </c>
      <c r="EN15" s="493">
        <v>2489.9669999999996</v>
      </c>
      <c r="EO15" s="492">
        <v>238.29799999999989</v>
      </c>
      <c r="EP15" s="492">
        <v>184.827</v>
      </c>
      <c r="EQ15" s="492"/>
      <c r="ER15" s="492"/>
      <c r="ES15" s="492"/>
      <c r="ET15" s="492"/>
      <c r="EU15" s="492"/>
      <c r="EV15" s="492"/>
      <c r="EW15" s="492"/>
      <c r="EX15" s="492"/>
      <c r="EY15" s="492"/>
      <c r="EZ15" s="492"/>
      <c r="FA15" s="493">
        <f t="shared" si="22"/>
        <v>423.12499999999989</v>
      </c>
      <c r="FB15" s="590"/>
      <c r="FC15" s="595">
        <f t="shared" si="23"/>
        <v>23.114561795085976</v>
      </c>
      <c r="FD15" s="596">
        <f t="shared" si="24"/>
        <v>19.981121437573869</v>
      </c>
      <c r="FE15" s="498">
        <f t="shared" si="25"/>
        <v>1883.6179999999999</v>
      </c>
      <c r="FF15" s="597">
        <f t="shared" si="26"/>
        <v>2259.9859999999999</v>
      </c>
      <c r="FH15" s="551">
        <f t="shared" si="27"/>
        <v>58287.621999999996</v>
      </c>
      <c r="FI15" s="553" t="s">
        <v>112</v>
      </c>
      <c r="FJ15" s="554" t="str">
        <f t="shared" si="28"/>
        <v>OK</v>
      </c>
    </row>
    <row r="16" spans="1:166" s="470" customFormat="1" ht="15" customHeight="1" x14ac:dyDescent="0.25">
      <c r="A16" s="610" t="s">
        <v>113</v>
      </c>
      <c r="B16" s="492">
        <v>168</v>
      </c>
      <c r="C16" s="492">
        <v>88</v>
      </c>
      <c r="D16" s="492">
        <v>73</v>
      </c>
      <c r="E16" s="492">
        <v>14</v>
      </c>
      <c r="F16" s="492">
        <v>95</v>
      </c>
      <c r="G16" s="492">
        <v>108</v>
      </c>
      <c r="H16" s="492">
        <v>80</v>
      </c>
      <c r="I16" s="492">
        <v>78</v>
      </c>
      <c r="J16" s="492">
        <v>36</v>
      </c>
      <c r="K16" s="492">
        <v>49</v>
      </c>
      <c r="L16" s="492">
        <v>41</v>
      </c>
      <c r="M16" s="492">
        <v>13</v>
      </c>
      <c r="N16" s="493">
        <f t="shared" si="13"/>
        <v>843</v>
      </c>
      <c r="O16" s="492">
        <v>64</v>
      </c>
      <c r="P16" s="492">
        <v>65</v>
      </c>
      <c r="Q16" s="492">
        <v>72</v>
      </c>
      <c r="R16" s="492">
        <v>85</v>
      </c>
      <c r="S16" s="492">
        <v>59</v>
      </c>
      <c r="T16" s="492">
        <v>39</v>
      </c>
      <c r="U16" s="492">
        <v>12</v>
      </c>
      <c r="V16" s="492">
        <v>12</v>
      </c>
      <c r="W16" s="492"/>
      <c r="X16" s="492">
        <v>7</v>
      </c>
      <c r="Y16" s="492">
        <v>24</v>
      </c>
      <c r="Z16" s="492">
        <v>32</v>
      </c>
      <c r="AA16" s="493">
        <f t="shared" si="14"/>
        <v>471</v>
      </c>
      <c r="AB16" s="492">
        <v>31</v>
      </c>
      <c r="AC16" s="492">
        <v>74</v>
      </c>
      <c r="AD16" s="492">
        <v>23</v>
      </c>
      <c r="AE16" s="492">
        <v>45</v>
      </c>
      <c r="AF16" s="492">
        <v>30</v>
      </c>
      <c r="AG16" s="492">
        <v>52</v>
      </c>
      <c r="AH16" s="492">
        <v>34</v>
      </c>
      <c r="AI16" s="492">
        <v>22</v>
      </c>
      <c r="AJ16" s="492">
        <v>77</v>
      </c>
      <c r="AK16" s="492">
        <v>49</v>
      </c>
      <c r="AL16" s="492">
        <v>81</v>
      </c>
      <c r="AM16" s="492">
        <v>76</v>
      </c>
      <c r="AN16" s="493">
        <f t="shared" si="15"/>
        <v>594</v>
      </c>
      <c r="AO16" s="492">
        <v>98</v>
      </c>
      <c r="AP16" s="492">
        <v>53</v>
      </c>
      <c r="AQ16" s="492">
        <v>54</v>
      </c>
      <c r="AR16" s="492">
        <v>16</v>
      </c>
      <c r="AS16" s="492">
        <v>11</v>
      </c>
      <c r="AT16" s="492">
        <v>49</v>
      </c>
      <c r="AU16" s="492">
        <v>65</v>
      </c>
      <c r="AV16" s="492">
        <v>27</v>
      </c>
      <c r="AW16" s="492">
        <v>17</v>
      </c>
      <c r="AX16" s="492"/>
      <c r="AY16" s="492"/>
      <c r="AZ16" s="492">
        <v>92</v>
      </c>
      <c r="BA16" s="493">
        <f t="shared" si="16"/>
        <v>482</v>
      </c>
      <c r="BB16" s="492">
        <v>54</v>
      </c>
      <c r="BC16" s="492">
        <v>80</v>
      </c>
      <c r="BD16" s="492">
        <v>44</v>
      </c>
      <c r="BE16" s="492">
        <v>16</v>
      </c>
      <c r="BF16" s="492">
        <v>16</v>
      </c>
      <c r="BG16" s="492">
        <v>63</v>
      </c>
      <c r="BH16" s="492">
        <v>16</v>
      </c>
      <c r="BI16" s="492">
        <v>16</v>
      </c>
      <c r="BJ16" s="492">
        <v>28</v>
      </c>
      <c r="BK16" s="492">
        <v>47</v>
      </c>
      <c r="BL16" s="492">
        <v>48</v>
      </c>
      <c r="BM16" s="492">
        <v>73</v>
      </c>
      <c r="BN16" s="493">
        <f t="shared" si="17"/>
        <v>501</v>
      </c>
      <c r="BO16" s="492">
        <v>35.130000000000003</v>
      </c>
      <c r="BP16" s="492">
        <v>15.23</v>
      </c>
      <c r="BQ16" s="492">
        <v>32.64</v>
      </c>
      <c r="BR16" s="492">
        <v>36.209999999999994</v>
      </c>
      <c r="BS16" s="492">
        <v>33.64</v>
      </c>
      <c r="BT16" s="492">
        <v>30.869999999999997</v>
      </c>
      <c r="BU16" s="492">
        <v>61.810000000000009</v>
      </c>
      <c r="BV16" s="492">
        <v>21.490000000000002</v>
      </c>
      <c r="BW16" s="492">
        <v>33.120000000000005</v>
      </c>
      <c r="BX16" s="492">
        <v>10.6</v>
      </c>
      <c r="BY16" s="492"/>
      <c r="BZ16" s="492">
        <v>28.44</v>
      </c>
      <c r="CA16" s="493">
        <f t="shared" si="18"/>
        <v>339.18</v>
      </c>
      <c r="CB16" s="492">
        <v>71.92</v>
      </c>
      <c r="CC16" s="492">
        <v>41.730000000000004</v>
      </c>
      <c r="CD16" s="492">
        <v>21.04</v>
      </c>
      <c r="CE16" s="492">
        <v>5.27</v>
      </c>
      <c r="CF16" s="492"/>
      <c r="CG16" s="492">
        <v>49.54</v>
      </c>
      <c r="CH16" s="492">
        <v>55.57</v>
      </c>
      <c r="CI16" s="492">
        <v>16.379000000000001</v>
      </c>
      <c r="CJ16" s="492"/>
      <c r="CK16" s="492">
        <v>11.52</v>
      </c>
      <c r="CL16" s="492"/>
      <c r="CM16" s="492">
        <v>73.56</v>
      </c>
      <c r="CN16" s="493">
        <f t="shared" si="19"/>
        <v>346.529</v>
      </c>
      <c r="CO16" s="492">
        <v>88.12</v>
      </c>
      <c r="CP16" s="492">
        <v>73.31</v>
      </c>
      <c r="CQ16" s="492">
        <v>28.78</v>
      </c>
      <c r="CR16" s="492">
        <v>5.39</v>
      </c>
      <c r="CS16" s="492">
        <v>52.15</v>
      </c>
      <c r="CT16" s="492">
        <v>128.91</v>
      </c>
      <c r="CU16" s="492">
        <v>47.13</v>
      </c>
      <c r="CV16" s="492">
        <v>29.5</v>
      </c>
      <c r="CW16" s="492"/>
      <c r="CX16" s="492">
        <v>6.41</v>
      </c>
      <c r="CY16" s="492">
        <v>6.38</v>
      </c>
      <c r="CZ16" s="492"/>
      <c r="DA16" s="493">
        <f t="shared" si="20"/>
        <v>466.08</v>
      </c>
      <c r="DB16" s="492">
        <v>13.56</v>
      </c>
      <c r="DC16" s="492">
        <v>44.47</v>
      </c>
      <c r="DD16" s="492">
        <v>6.14</v>
      </c>
      <c r="DE16" s="492">
        <v>26.290000000000003</v>
      </c>
      <c r="DF16" s="492">
        <v>3.38</v>
      </c>
      <c r="DG16" s="492">
        <v>119.999</v>
      </c>
      <c r="DH16" s="492">
        <v>133.93899999999999</v>
      </c>
      <c r="DI16" s="492">
        <v>78.03</v>
      </c>
      <c r="DJ16" s="492">
        <v>47.279999999999987</v>
      </c>
      <c r="DK16" s="492">
        <v>12.47</v>
      </c>
      <c r="DL16" s="492">
        <v>58.128000000000007</v>
      </c>
      <c r="DM16" s="492">
        <v>33.04</v>
      </c>
      <c r="DN16" s="493">
        <f t="shared" si="21"/>
        <v>576.726</v>
      </c>
      <c r="DO16" s="492">
        <v>22.36</v>
      </c>
      <c r="DP16" s="492">
        <v>94.06</v>
      </c>
      <c r="DQ16" s="492">
        <v>33.14</v>
      </c>
      <c r="DR16" s="492">
        <v>0</v>
      </c>
      <c r="DS16" s="492">
        <v>46.52</v>
      </c>
      <c r="DT16" s="492">
        <v>0</v>
      </c>
      <c r="DU16" s="492">
        <v>161.15</v>
      </c>
      <c r="DV16" s="492">
        <v>18.12</v>
      </c>
      <c r="DW16" s="492">
        <v>5.47</v>
      </c>
      <c r="DX16" s="492">
        <v>25.4</v>
      </c>
      <c r="DY16" s="492">
        <v>0</v>
      </c>
      <c r="DZ16" s="492">
        <v>0</v>
      </c>
      <c r="EA16" s="493">
        <v>406.22</v>
      </c>
      <c r="EB16" s="492">
        <v>0</v>
      </c>
      <c r="EC16" s="492">
        <v>104.92</v>
      </c>
      <c r="ED16" s="492">
        <v>61.64</v>
      </c>
      <c r="EE16" s="492">
        <v>99.31</v>
      </c>
      <c r="EF16" s="492">
        <v>127.86</v>
      </c>
      <c r="EG16" s="492">
        <v>82.350000000000009</v>
      </c>
      <c r="EH16" s="492">
        <v>5.74</v>
      </c>
      <c r="EI16" s="492">
        <v>43.12</v>
      </c>
      <c r="EJ16" s="492">
        <v>5.73</v>
      </c>
      <c r="EK16" s="492">
        <v>104.97</v>
      </c>
      <c r="EL16" s="492">
        <v>45.279000000000003</v>
      </c>
      <c r="EM16" s="492">
        <v>54.09</v>
      </c>
      <c r="EN16" s="493">
        <v>735.00900000000013</v>
      </c>
      <c r="EO16" s="492">
        <v>245.32900000000001</v>
      </c>
      <c r="EP16" s="492">
        <v>147.57</v>
      </c>
      <c r="EQ16" s="492"/>
      <c r="ER16" s="492"/>
      <c r="ES16" s="492"/>
      <c r="ET16" s="492"/>
      <c r="EU16" s="492"/>
      <c r="EV16" s="492"/>
      <c r="EW16" s="492"/>
      <c r="EX16" s="492"/>
      <c r="EY16" s="492"/>
      <c r="EZ16" s="492"/>
      <c r="FA16" s="493">
        <f t="shared" si="22"/>
        <v>392.899</v>
      </c>
      <c r="FB16" s="590"/>
      <c r="FC16" s="595" t="str">
        <f t="shared" si="23"/>
        <v/>
      </c>
      <c r="FD16" s="596">
        <f t="shared" si="24"/>
        <v>67.623209098518061</v>
      </c>
      <c r="FE16" s="498">
        <f t="shared" si="25"/>
        <v>406.22</v>
      </c>
      <c r="FF16" s="597">
        <f t="shared" si="26"/>
        <v>680.9190000000001</v>
      </c>
      <c r="FH16" s="551">
        <f t="shared" si="27"/>
        <v>10621.286</v>
      </c>
      <c r="FI16" s="553" t="s">
        <v>113</v>
      </c>
      <c r="FJ16" s="554" t="str">
        <f t="shared" si="28"/>
        <v>OK</v>
      </c>
    </row>
    <row r="17" spans="1:166" s="470" customFormat="1" ht="15" customHeight="1" x14ac:dyDescent="0.25">
      <c r="A17" s="610" t="s">
        <v>115</v>
      </c>
      <c r="B17" s="492">
        <v>229</v>
      </c>
      <c r="C17" s="492">
        <v>242</v>
      </c>
      <c r="D17" s="492">
        <v>185</v>
      </c>
      <c r="E17" s="492">
        <v>131</v>
      </c>
      <c r="F17" s="492">
        <v>131</v>
      </c>
      <c r="G17" s="492">
        <v>120</v>
      </c>
      <c r="H17" s="492">
        <v>97</v>
      </c>
      <c r="I17" s="492">
        <v>121</v>
      </c>
      <c r="J17" s="492">
        <v>142</v>
      </c>
      <c r="K17" s="492">
        <v>148</v>
      </c>
      <c r="L17" s="492">
        <v>125</v>
      </c>
      <c r="M17" s="492">
        <v>153</v>
      </c>
      <c r="N17" s="493">
        <f t="shared" si="13"/>
        <v>1824</v>
      </c>
      <c r="O17" s="492">
        <v>143</v>
      </c>
      <c r="P17" s="492">
        <v>178</v>
      </c>
      <c r="Q17" s="492">
        <v>153</v>
      </c>
      <c r="R17" s="492">
        <v>97</v>
      </c>
      <c r="S17" s="492">
        <v>83</v>
      </c>
      <c r="T17" s="492">
        <v>92</v>
      </c>
      <c r="U17" s="492">
        <v>65</v>
      </c>
      <c r="V17" s="492">
        <v>55</v>
      </c>
      <c r="W17" s="492">
        <v>78</v>
      </c>
      <c r="X17" s="492">
        <v>92</v>
      </c>
      <c r="Y17" s="492">
        <v>97</v>
      </c>
      <c r="Z17" s="492">
        <v>127</v>
      </c>
      <c r="AA17" s="493">
        <f t="shared" si="14"/>
        <v>1260</v>
      </c>
      <c r="AB17" s="492">
        <v>123</v>
      </c>
      <c r="AC17" s="492">
        <v>144</v>
      </c>
      <c r="AD17" s="492">
        <v>134</v>
      </c>
      <c r="AE17" s="492">
        <v>91</v>
      </c>
      <c r="AF17" s="492">
        <v>87</v>
      </c>
      <c r="AG17" s="492">
        <v>88</v>
      </c>
      <c r="AH17" s="492">
        <v>66</v>
      </c>
      <c r="AI17" s="492">
        <v>51</v>
      </c>
      <c r="AJ17" s="492">
        <v>55</v>
      </c>
      <c r="AK17" s="492">
        <v>76</v>
      </c>
      <c r="AL17" s="492">
        <v>73</v>
      </c>
      <c r="AM17" s="492">
        <v>123</v>
      </c>
      <c r="AN17" s="493">
        <f t="shared" si="15"/>
        <v>1111</v>
      </c>
      <c r="AO17" s="492">
        <v>104</v>
      </c>
      <c r="AP17" s="492">
        <v>97</v>
      </c>
      <c r="AQ17" s="492">
        <v>119</v>
      </c>
      <c r="AR17" s="492">
        <v>101</v>
      </c>
      <c r="AS17" s="492">
        <v>77</v>
      </c>
      <c r="AT17" s="492">
        <v>75</v>
      </c>
      <c r="AU17" s="492">
        <v>72</v>
      </c>
      <c r="AV17" s="492">
        <v>56</v>
      </c>
      <c r="AW17" s="492">
        <v>50</v>
      </c>
      <c r="AX17" s="492">
        <v>63</v>
      </c>
      <c r="AY17" s="492">
        <v>54</v>
      </c>
      <c r="AZ17" s="492">
        <v>61</v>
      </c>
      <c r="BA17" s="493">
        <f t="shared" si="16"/>
        <v>929</v>
      </c>
      <c r="BB17" s="492">
        <v>54</v>
      </c>
      <c r="BC17" s="492">
        <v>43</v>
      </c>
      <c r="BD17" s="492">
        <v>45</v>
      </c>
      <c r="BE17" s="492">
        <v>36</v>
      </c>
      <c r="BF17" s="492">
        <v>33</v>
      </c>
      <c r="BG17" s="492">
        <v>46</v>
      </c>
      <c r="BH17" s="492">
        <v>57</v>
      </c>
      <c r="BI17" s="492">
        <v>56</v>
      </c>
      <c r="BJ17" s="492">
        <v>40</v>
      </c>
      <c r="BK17" s="492">
        <v>54</v>
      </c>
      <c r="BL17" s="492">
        <v>46</v>
      </c>
      <c r="BM17" s="492">
        <v>68</v>
      </c>
      <c r="BN17" s="493">
        <f t="shared" si="17"/>
        <v>578</v>
      </c>
      <c r="BO17" s="492">
        <v>186</v>
      </c>
      <c r="BP17" s="492">
        <v>223</v>
      </c>
      <c r="BQ17" s="492">
        <v>211</v>
      </c>
      <c r="BR17" s="492">
        <v>285</v>
      </c>
      <c r="BS17" s="492">
        <v>345.22800000000001</v>
      </c>
      <c r="BT17" s="492">
        <v>339</v>
      </c>
      <c r="BU17" s="492">
        <v>382</v>
      </c>
      <c r="BV17" s="492">
        <v>472</v>
      </c>
      <c r="BW17" s="492">
        <v>418</v>
      </c>
      <c r="BX17" s="492">
        <v>363</v>
      </c>
      <c r="BY17" s="492">
        <v>384</v>
      </c>
      <c r="BZ17" s="492">
        <v>389</v>
      </c>
      <c r="CA17" s="493">
        <f t="shared" si="18"/>
        <v>3997.2280000000001</v>
      </c>
      <c r="CB17" s="492">
        <v>356.00799999999998</v>
      </c>
      <c r="CC17" s="492">
        <v>251.44800000000001</v>
      </c>
      <c r="CD17" s="492">
        <v>202.64899999999992</v>
      </c>
      <c r="CE17" s="492">
        <v>286.64999999999998</v>
      </c>
      <c r="CF17" s="492">
        <v>376.13900000000007</v>
      </c>
      <c r="CG17" s="492">
        <v>345.38000000000005</v>
      </c>
      <c r="CH17" s="492">
        <v>328.77599999999995</v>
      </c>
      <c r="CI17" s="492">
        <v>292.21800000000002</v>
      </c>
      <c r="CJ17" s="492">
        <v>337.52799999999996</v>
      </c>
      <c r="CK17" s="492">
        <v>353.67899999999997</v>
      </c>
      <c r="CL17" s="492">
        <v>337.73999999999995</v>
      </c>
      <c r="CM17" s="492">
        <v>404.01</v>
      </c>
      <c r="CN17" s="493">
        <f t="shared" si="19"/>
        <v>3872.2249999999995</v>
      </c>
      <c r="CO17" s="492">
        <v>311.55800000000005</v>
      </c>
      <c r="CP17" s="492">
        <v>241.30299999999994</v>
      </c>
      <c r="CQ17" s="492">
        <v>166.11699999999999</v>
      </c>
      <c r="CR17" s="492">
        <v>246.72800000000004</v>
      </c>
      <c r="CS17" s="492">
        <v>261.61399999999998</v>
      </c>
      <c r="CT17" s="492">
        <v>277.06</v>
      </c>
      <c r="CU17" s="492">
        <v>276.22699999999998</v>
      </c>
      <c r="CV17" s="492">
        <v>372.91700000000003</v>
      </c>
      <c r="CW17" s="492">
        <v>327.62</v>
      </c>
      <c r="CX17" s="492">
        <v>287.32299999999998</v>
      </c>
      <c r="CY17" s="492">
        <v>266.76</v>
      </c>
      <c r="CZ17" s="492">
        <v>220.58800000000002</v>
      </c>
      <c r="DA17" s="493">
        <f t="shared" si="20"/>
        <v>3255.8150000000001</v>
      </c>
      <c r="DB17" s="492">
        <v>260.46499999999997</v>
      </c>
      <c r="DC17" s="492">
        <v>215.905</v>
      </c>
      <c r="DD17" s="492">
        <v>169.57</v>
      </c>
      <c r="DE17" s="492">
        <v>214.34100000000001</v>
      </c>
      <c r="DF17" s="492">
        <v>317.56799999999993</v>
      </c>
      <c r="DG17" s="492">
        <v>393.63699999999989</v>
      </c>
      <c r="DH17" s="492">
        <v>384.30500000000012</v>
      </c>
      <c r="DI17" s="492">
        <v>360.34</v>
      </c>
      <c r="DJ17" s="492">
        <v>360.23899999999998</v>
      </c>
      <c r="DK17" s="492">
        <v>336.91899999999998</v>
      </c>
      <c r="DL17" s="492">
        <v>301.37599999999998</v>
      </c>
      <c r="DM17" s="492">
        <v>217.01499999999999</v>
      </c>
      <c r="DN17" s="493">
        <f t="shared" si="21"/>
        <v>3531.68</v>
      </c>
      <c r="DO17" s="492">
        <v>176.279</v>
      </c>
      <c r="DP17" s="492">
        <v>141.90899999999999</v>
      </c>
      <c r="DQ17" s="492">
        <v>106.678</v>
      </c>
      <c r="DR17" s="492">
        <v>72.25800000000001</v>
      </c>
      <c r="DS17" s="492">
        <v>104.79</v>
      </c>
      <c r="DT17" s="492">
        <v>172.749</v>
      </c>
      <c r="DU17" s="492">
        <v>257.49900000000002</v>
      </c>
      <c r="DV17" s="492">
        <v>348.53800000000001</v>
      </c>
      <c r="DW17" s="492">
        <v>357.16899999999998</v>
      </c>
      <c r="DX17" s="492">
        <v>319.92</v>
      </c>
      <c r="DY17" s="492">
        <v>234.50899999999999</v>
      </c>
      <c r="DZ17" s="492">
        <v>173.64</v>
      </c>
      <c r="EA17" s="493">
        <v>2465.9380000000001</v>
      </c>
      <c r="EB17" s="492">
        <v>134.31</v>
      </c>
      <c r="EC17" s="492">
        <v>104.574</v>
      </c>
      <c r="ED17" s="492">
        <v>73.099999999999994</v>
      </c>
      <c r="EE17" s="492">
        <v>42.829999999999991</v>
      </c>
      <c r="EF17" s="492">
        <v>98.619</v>
      </c>
      <c r="EG17" s="492">
        <v>156.273</v>
      </c>
      <c r="EH17" s="492">
        <v>294.86900000000003</v>
      </c>
      <c r="EI17" s="492">
        <v>302.04199999999997</v>
      </c>
      <c r="EJ17" s="492">
        <v>313.30900000000003</v>
      </c>
      <c r="EK17" s="492">
        <v>328.91899999999998</v>
      </c>
      <c r="EL17" s="492">
        <v>345.34500000000003</v>
      </c>
      <c r="EM17" s="492">
        <v>383.16</v>
      </c>
      <c r="EN17" s="493">
        <v>2577.3499999999995</v>
      </c>
      <c r="EO17" s="492">
        <v>320.13799999999998</v>
      </c>
      <c r="EP17" s="492">
        <v>264.22699999999998</v>
      </c>
      <c r="EQ17" s="492"/>
      <c r="ER17" s="492"/>
      <c r="ES17" s="492"/>
      <c r="ET17" s="492"/>
      <c r="EU17" s="492"/>
      <c r="EV17" s="492"/>
      <c r="EW17" s="492"/>
      <c r="EX17" s="492"/>
      <c r="EY17" s="492"/>
      <c r="EZ17" s="492"/>
      <c r="FA17" s="493">
        <f t="shared" si="22"/>
        <v>584.36500000000001</v>
      </c>
      <c r="FB17" s="590"/>
      <c r="FC17" s="595">
        <f t="shared" si="23"/>
        <v>47.263004831371092</v>
      </c>
      <c r="FD17" s="596">
        <f t="shared" si="24"/>
        <v>-4.2798972908409176</v>
      </c>
      <c r="FE17" s="498">
        <f t="shared" si="25"/>
        <v>2292.2980000000002</v>
      </c>
      <c r="FF17" s="597">
        <f t="shared" si="26"/>
        <v>2194.1899999999996</v>
      </c>
      <c r="FH17" s="551">
        <f t="shared" si="27"/>
        <v>48325.202000000005</v>
      </c>
      <c r="FI17" s="553" t="s">
        <v>115</v>
      </c>
      <c r="FJ17" s="554" t="str">
        <f t="shared" si="28"/>
        <v>OK</v>
      </c>
    </row>
    <row r="18" spans="1:166" s="470" customFormat="1" ht="15" customHeight="1" x14ac:dyDescent="0.25">
      <c r="A18" s="610" t="s">
        <v>637</v>
      </c>
      <c r="B18" s="492"/>
      <c r="C18" s="492"/>
      <c r="D18" s="492"/>
      <c r="E18" s="492"/>
      <c r="F18" s="492"/>
      <c r="G18" s="492"/>
      <c r="H18" s="492"/>
      <c r="I18" s="492">
        <v>9</v>
      </c>
      <c r="J18" s="492">
        <v>20</v>
      </c>
      <c r="K18" s="492">
        <v>59</v>
      </c>
      <c r="L18" s="492">
        <v>24</v>
      </c>
      <c r="M18" s="492"/>
      <c r="N18" s="493">
        <f t="shared" si="13"/>
        <v>112</v>
      </c>
      <c r="O18" s="492">
        <v>11</v>
      </c>
      <c r="P18" s="492">
        <v>6</v>
      </c>
      <c r="Q18" s="492"/>
      <c r="R18" s="492"/>
      <c r="S18" s="492"/>
      <c r="T18" s="492"/>
      <c r="U18" s="492"/>
      <c r="V18" s="492"/>
      <c r="W18" s="492"/>
      <c r="X18" s="492"/>
      <c r="Y18" s="492"/>
      <c r="Z18" s="492"/>
      <c r="AA18" s="493">
        <f t="shared" si="14"/>
        <v>17</v>
      </c>
      <c r="AB18" s="492"/>
      <c r="AC18" s="492"/>
      <c r="AD18" s="492"/>
      <c r="AE18" s="492"/>
      <c r="AF18" s="492"/>
      <c r="AG18" s="492"/>
      <c r="AH18" s="492"/>
      <c r="AI18" s="492">
        <v>20</v>
      </c>
      <c r="AJ18" s="492">
        <v>32</v>
      </c>
      <c r="AK18" s="492">
        <v>16</v>
      </c>
      <c r="AL18" s="492"/>
      <c r="AM18" s="492"/>
      <c r="AN18" s="493">
        <f t="shared" si="15"/>
        <v>68</v>
      </c>
      <c r="AO18" s="492"/>
      <c r="AP18" s="492"/>
      <c r="AQ18" s="492"/>
      <c r="AR18" s="492"/>
      <c r="AS18" s="492"/>
      <c r="AT18" s="492"/>
      <c r="AU18" s="492">
        <v>3</v>
      </c>
      <c r="AV18" s="492">
        <v>3</v>
      </c>
      <c r="AW18" s="492">
        <v>9</v>
      </c>
      <c r="AX18" s="492">
        <v>3</v>
      </c>
      <c r="AY18" s="492">
        <v>3</v>
      </c>
      <c r="AZ18" s="492"/>
      <c r="BA18" s="493">
        <f t="shared" si="16"/>
        <v>21</v>
      </c>
      <c r="BB18" s="492"/>
      <c r="BC18" s="492"/>
      <c r="BD18" s="492"/>
      <c r="BE18" s="492"/>
      <c r="BF18" s="492"/>
      <c r="BG18" s="492"/>
      <c r="BH18" s="492"/>
      <c r="BI18" s="492"/>
      <c r="BJ18" s="492"/>
      <c r="BK18" s="492"/>
      <c r="BL18" s="492">
        <v>6</v>
      </c>
      <c r="BM18" s="492">
        <v>5</v>
      </c>
      <c r="BN18" s="493">
        <f t="shared" si="17"/>
        <v>11</v>
      </c>
      <c r="BO18" s="492">
        <v>5</v>
      </c>
      <c r="BP18" s="492">
        <v>3</v>
      </c>
      <c r="BQ18" s="492"/>
      <c r="BR18" s="492"/>
      <c r="BS18" s="492"/>
      <c r="BT18" s="492"/>
      <c r="BU18" s="492">
        <v>6</v>
      </c>
      <c r="BV18" s="492">
        <v>9</v>
      </c>
      <c r="BW18" s="492">
        <v>13</v>
      </c>
      <c r="BX18" s="492"/>
      <c r="BY18" s="492"/>
      <c r="BZ18" s="492"/>
      <c r="CA18" s="493">
        <f t="shared" si="18"/>
        <v>36</v>
      </c>
      <c r="CB18" s="492"/>
      <c r="CC18" s="492"/>
      <c r="CD18" s="492"/>
      <c r="CE18" s="492"/>
      <c r="CF18" s="492"/>
      <c r="CG18" s="492"/>
      <c r="CH18" s="492"/>
      <c r="CI18" s="492">
        <v>8.65</v>
      </c>
      <c r="CJ18" s="492">
        <v>6.0600000000000005</v>
      </c>
      <c r="CK18" s="492">
        <v>3.34</v>
      </c>
      <c r="CL18" s="492">
        <v>5.76</v>
      </c>
      <c r="CM18" s="492"/>
      <c r="CN18" s="493">
        <f t="shared" si="19"/>
        <v>23.810000000000002</v>
      </c>
      <c r="CO18" s="492"/>
      <c r="CP18" s="492"/>
      <c r="CQ18" s="492"/>
      <c r="CR18" s="492"/>
      <c r="CS18" s="492"/>
      <c r="CT18" s="492"/>
      <c r="CU18" s="492"/>
      <c r="CV18" s="492">
        <v>3.75</v>
      </c>
      <c r="CW18" s="492">
        <v>3.62</v>
      </c>
      <c r="CX18" s="492"/>
      <c r="CY18" s="492"/>
      <c r="CZ18" s="492">
        <v>5.48</v>
      </c>
      <c r="DA18" s="493">
        <f t="shared" si="20"/>
        <v>12.850000000000001</v>
      </c>
      <c r="DB18" s="492"/>
      <c r="DC18" s="492"/>
      <c r="DD18" s="492"/>
      <c r="DE18" s="492"/>
      <c r="DF18" s="492"/>
      <c r="DG18" s="492"/>
      <c r="DH18" s="492"/>
      <c r="DI18" s="492"/>
      <c r="DJ18" s="492"/>
      <c r="DK18" s="492"/>
      <c r="DL18" s="492"/>
      <c r="DM18" s="492"/>
      <c r="DN18" s="493">
        <f t="shared" si="21"/>
        <v>0</v>
      </c>
      <c r="DO18" s="492">
        <v>0</v>
      </c>
      <c r="DP18" s="492">
        <v>0</v>
      </c>
      <c r="DQ18" s="492">
        <v>0</v>
      </c>
      <c r="DR18" s="492">
        <v>0</v>
      </c>
      <c r="DS18" s="492">
        <v>0</v>
      </c>
      <c r="DT18" s="492">
        <v>0</v>
      </c>
      <c r="DU18" s="492">
        <v>0</v>
      </c>
      <c r="DV18" s="492">
        <v>5.72</v>
      </c>
      <c r="DW18" s="492">
        <v>10.92</v>
      </c>
      <c r="DX18" s="492">
        <v>43.39</v>
      </c>
      <c r="DY18" s="492">
        <v>63.159000000000013</v>
      </c>
      <c r="DZ18" s="492">
        <v>24.29</v>
      </c>
      <c r="EA18" s="493">
        <v>147.47900000000001</v>
      </c>
      <c r="EB18" s="492">
        <v>10.96</v>
      </c>
      <c r="EC18" s="492">
        <v>0</v>
      </c>
      <c r="ED18" s="492">
        <v>0</v>
      </c>
      <c r="EE18" s="492">
        <v>0</v>
      </c>
      <c r="EF18" s="492">
        <v>0</v>
      </c>
      <c r="EG18" s="492">
        <v>6.84</v>
      </c>
      <c r="EH18" s="492">
        <v>24.05</v>
      </c>
      <c r="EI18" s="492">
        <v>58.04</v>
      </c>
      <c r="EJ18" s="492">
        <v>73.84</v>
      </c>
      <c r="EK18" s="492">
        <v>98.95</v>
      </c>
      <c r="EL18" s="492">
        <v>20.91</v>
      </c>
      <c r="EM18" s="492">
        <v>43.32</v>
      </c>
      <c r="EN18" s="493">
        <v>336.91</v>
      </c>
      <c r="EO18" s="492">
        <v>27.01</v>
      </c>
      <c r="EP18" s="492">
        <v>13.5</v>
      </c>
      <c r="EQ18" s="492"/>
      <c r="ER18" s="492"/>
      <c r="ES18" s="492"/>
      <c r="ET18" s="492"/>
      <c r="EU18" s="492"/>
      <c r="EV18" s="492"/>
      <c r="EW18" s="492"/>
      <c r="EX18" s="492"/>
      <c r="EY18" s="492"/>
      <c r="EZ18" s="492"/>
      <c r="FA18" s="493">
        <f t="shared" si="22"/>
        <v>40.510000000000005</v>
      </c>
      <c r="FB18" s="590"/>
      <c r="FC18" s="595">
        <f t="shared" si="23"/>
        <v>-66.893079371111014</v>
      </c>
      <c r="FD18" s="596">
        <f t="shared" si="24"/>
        <v>138.32485043307437</v>
      </c>
      <c r="FE18" s="498">
        <f t="shared" si="25"/>
        <v>123.18900000000002</v>
      </c>
      <c r="FF18" s="597">
        <f t="shared" si="26"/>
        <v>293.59000000000003</v>
      </c>
      <c r="FH18" s="551">
        <f t="shared" si="27"/>
        <v>1429.1180000000002</v>
      </c>
      <c r="FI18" s="553" t="s">
        <v>637</v>
      </c>
      <c r="FJ18" s="554" t="str">
        <f t="shared" si="28"/>
        <v>OK</v>
      </c>
    </row>
    <row r="19" spans="1:166" s="470" customFormat="1" ht="15" customHeight="1" x14ac:dyDescent="0.25">
      <c r="A19" s="610" t="s">
        <v>118</v>
      </c>
      <c r="B19" s="492"/>
      <c r="C19" s="492"/>
      <c r="D19" s="492">
        <v>21</v>
      </c>
      <c r="E19" s="492">
        <v>22</v>
      </c>
      <c r="F19" s="492"/>
      <c r="G19" s="492">
        <v>94</v>
      </c>
      <c r="H19" s="492">
        <v>108</v>
      </c>
      <c r="I19" s="492">
        <v>67</v>
      </c>
      <c r="J19" s="492">
        <v>52</v>
      </c>
      <c r="K19" s="492">
        <v>41</v>
      </c>
      <c r="L19" s="492">
        <v>44</v>
      </c>
      <c r="M19" s="492">
        <v>20</v>
      </c>
      <c r="N19" s="493">
        <f t="shared" si="13"/>
        <v>469</v>
      </c>
      <c r="O19" s="492"/>
      <c r="P19" s="492"/>
      <c r="Q19" s="492"/>
      <c r="R19" s="492"/>
      <c r="S19" s="492"/>
      <c r="T19" s="492">
        <v>72</v>
      </c>
      <c r="U19" s="492">
        <v>100</v>
      </c>
      <c r="V19" s="492">
        <v>26</v>
      </c>
      <c r="W19" s="492">
        <v>30</v>
      </c>
      <c r="X19" s="492">
        <v>58</v>
      </c>
      <c r="Y19" s="492">
        <v>29</v>
      </c>
      <c r="Z19" s="492">
        <v>37</v>
      </c>
      <c r="AA19" s="493">
        <f t="shared" si="14"/>
        <v>352</v>
      </c>
      <c r="AB19" s="492"/>
      <c r="AC19" s="492"/>
      <c r="AD19" s="492"/>
      <c r="AE19" s="492"/>
      <c r="AF19" s="492"/>
      <c r="AG19" s="492">
        <v>119</v>
      </c>
      <c r="AH19" s="492">
        <v>164</v>
      </c>
      <c r="AI19" s="492">
        <v>90</v>
      </c>
      <c r="AJ19" s="492">
        <v>38</v>
      </c>
      <c r="AK19" s="492">
        <v>20</v>
      </c>
      <c r="AL19" s="492"/>
      <c r="AM19" s="492"/>
      <c r="AN19" s="493">
        <f t="shared" si="15"/>
        <v>431</v>
      </c>
      <c r="AO19" s="492"/>
      <c r="AP19" s="492"/>
      <c r="AQ19" s="492"/>
      <c r="AR19" s="492"/>
      <c r="AS19" s="492"/>
      <c r="AT19" s="492">
        <v>66</v>
      </c>
      <c r="AU19" s="492">
        <v>85</v>
      </c>
      <c r="AV19" s="492">
        <v>68</v>
      </c>
      <c r="AW19" s="492">
        <v>39</v>
      </c>
      <c r="AX19" s="492"/>
      <c r="AY19" s="492"/>
      <c r="AZ19" s="492"/>
      <c r="BA19" s="493">
        <f t="shared" si="16"/>
        <v>258</v>
      </c>
      <c r="BB19" s="492"/>
      <c r="BC19" s="492"/>
      <c r="BD19" s="492"/>
      <c r="BE19" s="492"/>
      <c r="BF19" s="492"/>
      <c r="BG19" s="492">
        <v>40</v>
      </c>
      <c r="BH19" s="492">
        <v>122</v>
      </c>
      <c r="BI19" s="492">
        <v>98</v>
      </c>
      <c r="BJ19" s="492">
        <v>51</v>
      </c>
      <c r="BK19" s="492">
        <v>10</v>
      </c>
      <c r="BL19" s="492"/>
      <c r="BM19" s="492"/>
      <c r="BN19" s="493">
        <f t="shared" si="17"/>
        <v>321</v>
      </c>
      <c r="BO19" s="492"/>
      <c r="BP19" s="492"/>
      <c r="BQ19" s="492"/>
      <c r="BR19" s="492"/>
      <c r="BS19" s="492"/>
      <c r="BT19" s="492"/>
      <c r="BU19" s="492">
        <v>137</v>
      </c>
      <c r="BV19" s="492">
        <v>129</v>
      </c>
      <c r="BW19" s="492">
        <v>107</v>
      </c>
      <c r="BX19" s="492">
        <v>44</v>
      </c>
      <c r="BY19" s="492"/>
      <c r="BZ19" s="492"/>
      <c r="CA19" s="493">
        <f t="shared" si="18"/>
        <v>417</v>
      </c>
      <c r="CB19" s="492"/>
      <c r="CC19" s="492"/>
      <c r="CD19" s="492"/>
      <c r="CE19" s="492"/>
      <c r="CF19" s="492"/>
      <c r="CG19" s="492">
        <v>12.24</v>
      </c>
      <c r="CH19" s="492">
        <v>92.067000000000021</v>
      </c>
      <c r="CI19" s="492">
        <v>185.72800000000001</v>
      </c>
      <c r="CJ19" s="492">
        <v>198.82899999999998</v>
      </c>
      <c r="CK19" s="492">
        <v>52.588999999999999</v>
      </c>
      <c r="CL19" s="492">
        <v>6.609</v>
      </c>
      <c r="CM19" s="492"/>
      <c r="CN19" s="493">
        <f t="shared" si="19"/>
        <v>548.06200000000001</v>
      </c>
      <c r="CO19" s="492"/>
      <c r="CP19" s="492"/>
      <c r="CQ19" s="492"/>
      <c r="CR19" s="492"/>
      <c r="CS19" s="492"/>
      <c r="CT19" s="492"/>
      <c r="CU19" s="492">
        <v>48.88</v>
      </c>
      <c r="CV19" s="492">
        <v>132.68600000000001</v>
      </c>
      <c r="CW19" s="492">
        <v>141.41999999999999</v>
      </c>
      <c r="CX19" s="492">
        <v>86.018999999999991</v>
      </c>
      <c r="CY19" s="492">
        <v>12.899999999999999</v>
      </c>
      <c r="CZ19" s="492"/>
      <c r="DA19" s="493">
        <f t="shared" si="20"/>
        <v>421.90499999999997</v>
      </c>
      <c r="DB19" s="492"/>
      <c r="DC19" s="492"/>
      <c r="DD19" s="492"/>
      <c r="DE19" s="492">
        <v>70</v>
      </c>
      <c r="DF19" s="492">
        <v>103</v>
      </c>
      <c r="DG19" s="492"/>
      <c r="DH19" s="492"/>
      <c r="DI19" s="492">
        <v>110.089</v>
      </c>
      <c r="DJ19" s="492">
        <v>138.708</v>
      </c>
      <c r="DK19" s="492">
        <v>143.18</v>
      </c>
      <c r="DL19" s="492">
        <v>40.889999999999993</v>
      </c>
      <c r="DM19" s="492"/>
      <c r="DN19" s="493">
        <f t="shared" si="21"/>
        <v>605.86700000000008</v>
      </c>
      <c r="DO19" s="492">
        <v>0</v>
      </c>
      <c r="DP19" s="492">
        <v>0</v>
      </c>
      <c r="DQ19" s="492">
        <v>0</v>
      </c>
      <c r="DR19" s="492">
        <v>0</v>
      </c>
      <c r="DS19" s="492">
        <v>0</v>
      </c>
      <c r="DT19" s="492">
        <v>0</v>
      </c>
      <c r="DU19" s="492">
        <v>0</v>
      </c>
      <c r="DV19" s="492">
        <v>109.92400000000001</v>
      </c>
      <c r="DW19" s="492">
        <v>177.66800000000001</v>
      </c>
      <c r="DX19" s="492">
        <v>147.494</v>
      </c>
      <c r="DY19" s="492">
        <v>77.906999999999996</v>
      </c>
      <c r="DZ19" s="492">
        <v>23.599</v>
      </c>
      <c r="EA19" s="493">
        <v>536.5920000000001</v>
      </c>
      <c r="EB19" s="492">
        <v>0</v>
      </c>
      <c r="EC19" s="492">
        <v>0</v>
      </c>
      <c r="ED19" s="492">
        <v>0</v>
      </c>
      <c r="EE19" s="492">
        <v>0</v>
      </c>
      <c r="EF19" s="492">
        <v>0</v>
      </c>
      <c r="EG19" s="492">
        <v>0</v>
      </c>
      <c r="EH19" s="492">
        <v>4.7690000000000001</v>
      </c>
      <c r="EI19" s="492">
        <v>92.759999999999991</v>
      </c>
      <c r="EJ19" s="492">
        <v>140.417</v>
      </c>
      <c r="EK19" s="492">
        <v>159.88800000000001</v>
      </c>
      <c r="EL19" s="492">
        <v>18.808</v>
      </c>
      <c r="EM19" s="492">
        <v>0</v>
      </c>
      <c r="EN19" s="493">
        <v>416.642</v>
      </c>
      <c r="EO19" s="492">
        <v>0</v>
      </c>
      <c r="EP19" s="492">
        <v>0</v>
      </c>
      <c r="EQ19" s="492"/>
      <c r="ER19" s="492"/>
      <c r="ES19" s="492"/>
      <c r="ET19" s="492"/>
      <c r="EU19" s="492"/>
      <c r="EV19" s="492"/>
      <c r="EW19" s="492"/>
      <c r="EX19" s="492"/>
      <c r="EY19" s="492"/>
      <c r="EZ19" s="492"/>
      <c r="FA19" s="493">
        <f t="shared" si="22"/>
        <v>0</v>
      </c>
      <c r="FB19" s="590"/>
      <c r="FC19" s="595">
        <f t="shared" si="23"/>
        <v>-75.858395266150666</v>
      </c>
      <c r="FD19" s="596">
        <f t="shared" si="24"/>
        <v>-18.782127631371193</v>
      </c>
      <c r="FE19" s="498">
        <f t="shared" si="25"/>
        <v>512.99300000000005</v>
      </c>
      <c r="FF19" s="597">
        <f t="shared" si="26"/>
        <v>416.642</v>
      </c>
      <c r="FH19" s="551">
        <f t="shared" si="27"/>
        <v>8616.1360000000022</v>
      </c>
      <c r="FI19" s="553" t="s">
        <v>118</v>
      </c>
      <c r="FJ19" s="554" t="str">
        <f t="shared" si="28"/>
        <v>OK</v>
      </c>
    </row>
    <row r="20" spans="1:166" s="470" customFormat="1" ht="15" customHeight="1" x14ac:dyDescent="0.25">
      <c r="A20" s="610" t="s">
        <v>119</v>
      </c>
      <c r="B20" s="492">
        <v>130</v>
      </c>
      <c r="C20" s="492">
        <v>174</v>
      </c>
      <c r="D20" s="492">
        <v>139</v>
      </c>
      <c r="E20" s="492">
        <v>72</v>
      </c>
      <c r="F20" s="492">
        <v>45</v>
      </c>
      <c r="G20" s="492">
        <v>19</v>
      </c>
      <c r="H20" s="492">
        <v>2</v>
      </c>
      <c r="I20" s="492"/>
      <c r="J20" s="492"/>
      <c r="K20" s="492">
        <v>3</v>
      </c>
      <c r="L20" s="492">
        <v>3</v>
      </c>
      <c r="M20" s="492">
        <v>53</v>
      </c>
      <c r="N20" s="493">
        <f t="shared" si="13"/>
        <v>640</v>
      </c>
      <c r="O20" s="492">
        <v>86</v>
      </c>
      <c r="P20" s="492">
        <v>144</v>
      </c>
      <c r="Q20" s="492">
        <v>135</v>
      </c>
      <c r="R20" s="492">
        <v>72</v>
      </c>
      <c r="S20" s="492">
        <v>42</v>
      </c>
      <c r="T20" s="492">
        <v>24</v>
      </c>
      <c r="U20" s="492">
        <v>4</v>
      </c>
      <c r="V20" s="492"/>
      <c r="W20" s="492"/>
      <c r="X20" s="492">
        <v>2</v>
      </c>
      <c r="Y20" s="492">
        <v>4</v>
      </c>
      <c r="Z20" s="492">
        <v>61</v>
      </c>
      <c r="AA20" s="493">
        <f t="shared" si="14"/>
        <v>574</v>
      </c>
      <c r="AB20" s="492">
        <v>97</v>
      </c>
      <c r="AC20" s="492">
        <v>148</v>
      </c>
      <c r="AD20" s="492">
        <v>144</v>
      </c>
      <c r="AE20" s="492">
        <v>94</v>
      </c>
      <c r="AF20" s="492">
        <v>50</v>
      </c>
      <c r="AG20" s="492">
        <v>29</v>
      </c>
      <c r="AH20" s="492">
        <v>3</v>
      </c>
      <c r="AI20" s="492"/>
      <c r="AJ20" s="492"/>
      <c r="AK20" s="492">
        <v>3</v>
      </c>
      <c r="AL20" s="492">
        <v>1</v>
      </c>
      <c r="AM20" s="492">
        <v>99</v>
      </c>
      <c r="AN20" s="493">
        <f t="shared" si="15"/>
        <v>668</v>
      </c>
      <c r="AO20" s="492">
        <v>85</v>
      </c>
      <c r="AP20" s="492">
        <v>140</v>
      </c>
      <c r="AQ20" s="492">
        <v>127</v>
      </c>
      <c r="AR20" s="492">
        <v>86</v>
      </c>
      <c r="AS20" s="492">
        <v>41</v>
      </c>
      <c r="AT20" s="492">
        <v>22</v>
      </c>
      <c r="AU20" s="492">
        <v>3</v>
      </c>
      <c r="AV20" s="492"/>
      <c r="AW20" s="492"/>
      <c r="AX20" s="492">
        <v>1</v>
      </c>
      <c r="AY20" s="492">
        <v>1</v>
      </c>
      <c r="AZ20" s="492">
        <v>30</v>
      </c>
      <c r="BA20" s="493">
        <f t="shared" si="16"/>
        <v>536</v>
      </c>
      <c r="BB20" s="492">
        <v>42</v>
      </c>
      <c r="BC20" s="492">
        <v>63</v>
      </c>
      <c r="BD20" s="492">
        <v>29</v>
      </c>
      <c r="BE20" s="492">
        <v>56</v>
      </c>
      <c r="BF20" s="492">
        <v>61</v>
      </c>
      <c r="BG20" s="492">
        <v>18</v>
      </c>
      <c r="BH20" s="492">
        <v>2</v>
      </c>
      <c r="BI20" s="492"/>
      <c r="BJ20" s="492"/>
      <c r="BK20" s="492"/>
      <c r="BL20" s="492">
        <v>1</v>
      </c>
      <c r="BM20" s="492">
        <v>15</v>
      </c>
      <c r="BN20" s="493">
        <f t="shared" si="17"/>
        <v>287</v>
      </c>
      <c r="BO20" s="492">
        <v>181.779</v>
      </c>
      <c r="BP20" s="492">
        <v>275.56900000000002</v>
      </c>
      <c r="BQ20" s="492">
        <v>294.76</v>
      </c>
      <c r="BR20" s="492">
        <v>219.90899999999999</v>
      </c>
      <c r="BS20" s="492">
        <v>80.320000000000007</v>
      </c>
      <c r="BT20" s="492">
        <v>44.980000000000004</v>
      </c>
      <c r="BU20" s="492">
        <v>7.56</v>
      </c>
      <c r="BV20" s="492"/>
      <c r="BW20" s="492"/>
      <c r="BX20" s="492"/>
      <c r="BY20" s="492"/>
      <c r="BZ20" s="492">
        <v>153.75000000000003</v>
      </c>
      <c r="CA20" s="493">
        <f t="shared" si="18"/>
        <v>1258.627</v>
      </c>
      <c r="CB20" s="492">
        <v>226.82</v>
      </c>
      <c r="CC20" s="492">
        <v>281.005</v>
      </c>
      <c r="CD20" s="492">
        <v>368.86500000000007</v>
      </c>
      <c r="CE20" s="492">
        <v>280.33899999999994</v>
      </c>
      <c r="CF20" s="492">
        <v>126.17900000000002</v>
      </c>
      <c r="CG20" s="492">
        <v>65.91</v>
      </c>
      <c r="CH20" s="492">
        <v>12.47</v>
      </c>
      <c r="CI20" s="492"/>
      <c r="CJ20" s="492"/>
      <c r="CK20" s="492"/>
      <c r="CL20" s="492"/>
      <c r="CM20" s="492">
        <v>176.02</v>
      </c>
      <c r="CN20" s="493">
        <f t="shared" si="19"/>
        <v>1537.6080000000002</v>
      </c>
      <c r="CO20" s="492">
        <v>211.39899999999997</v>
      </c>
      <c r="CP20" s="492">
        <v>261.83</v>
      </c>
      <c r="CQ20" s="492">
        <v>330.23900000000003</v>
      </c>
      <c r="CR20" s="492">
        <v>243.93899999999999</v>
      </c>
      <c r="CS20" s="492">
        <v>103.88899999999998</v>
      </c>
      <c r="CT20" s="492">
        <v>77.587000000000003</v>
      </c>
      <c r="CU20" s="492">
        <v>14.36</v>
      </c>
      <c r="CV20" s="492"/>
      <c r="CW20" s="492"/>
      <c r="CX20" s="492"/>
      <c r="CY20" s="492"/>
      <c r="CZ20" s="492">
        <v>186.19899999999998</v>
      </c>
      <c r="DA20" s="493">
        <f t="shared" si="20"/>
        <v>1429.4419999999998</v>
      </c>
      <c r="DB20" s="492">
        <v>201.57999999999998</v>
      </c>
      <c r="DC20" s="492">
        <v>212.88</v>
      </c>
      <c r="DD20" s="492">
        <v>219.63000000000002</v>
      </c>
      <c r="DE20" s="492">
        <v>212.16</v>
      </c>
      <c r="DF20" s="492">
        <v>122.669</v>
      </c>
      <c r="DG20" s="492">
        <v>64.138999999999996</v>
      </c>
      <c r="DH20" s="492">
        <v>11.56</v>
      </c>
      <c r="DI20" s="492"/>
      <c r="DJ20" s="492"/>
      <c r="DK20" s="492"/>
      <c r="DL20" s="492"/>
      <c r="DM20" s="492">
        <v>81.256</v>
      </c>
      <c r="DN20" s="493">
        <f t="shared" si="21"/>
        <v>1125.874</v>
      </c>
      <c r="DO20" s="492">
        <v>130.459</v>
      </c>
      <c r="DP20" s="492">
        <v>171.31800000000001</v>
      </c>
      <c r="DQ20" s="492">
        <v>150.239</v>
      </c>
      <c r="DR20" s="492">
        <v>126.539</v>
      </c>
      <c r="DS20" s="492">
        <v>65.92</v>
      </c>
      <c r="DT20" s="492">
        <v>37.738999999999997</v>
      </c>
      <c r="DU20" s="492">
        <v>7.65</v>
      </c>
      <c r="DV20" s="492">
        <v>0</v>
      </c>
      <c r="DW20" s="492">
        <v>0</v>
      </c>
      <c r="DX20" s="492">
        <v>0</v>
      </c>
      <c r="DY20" s="492">
        <v>0</v>
      </c>
      <c r="DZ20" s="492">
        <v>55.807999999999993</v>
      </c>
      <c r="EA20" s="493">
        <v>745.67200000000003</v>
      </c>
      <c r="EB20" s="492">
        <v>92.599000000000018</v>
      </c>
      <c r="EC20" s="492">
        <v>104.523</v>
      </c>
      <c r="ED20" s="492">
        <v>127.378</v>
      </c>
      <c r="EE20" s="492">
        <v>110.608</v>
      </c>
      <c r="EF20" s="492">
        <v>70.288999999999987</v>
      </c>
      <c r="EG20" s="492">
        <v>38.49</v>
      </c>
      <c r="EH20" s="492">
        <v>6.11</v>
      </c>
      <c r="EI20" s="492">
        <v>0</v>
      </c>
      <c r="EJ20" s="492">
        <v>0</v>
      </c>
      <c r="EK20" s="492">
        <v>0</v>
      </c>
      <c r="EL20" s="492">
        <v>0</v>
      </c>
      <c r="EM20" s="492">
        <v>41.77</v>
      </c>
      <c r="EN20" s="493">
        <v>591.76699999999994</v>
      </c>
      <c r="EO20" s="492">
        <v>63.078000000000003</v>
      </c>
      <c r="EP20" s="492">
        <v>74.888999999999996</v>
      </c>
      <c r="EQ20" s="492"/>
      <c r="ER20" s="492"/>
      <c r="ES20" s="492"/>
      <c r="ET20" s="492"/>
      <c r="EU20" s="492"/>
      <c r="EV20" s="492"/>
      <c r="EW20" s="492"/>
      <c r="EX20" s="492"/>
      <c r="EY20" s="492"/>
      <c r="EZ20" s="492"/>
      <c r="FA20" s="493">
        <f t="shared" si="22"/>
        <v>137.96699999999998</v>
      </c>
      <c r="FB20" s="590"/>
      <c r="FC20" s="595" t="str">
        <f t="shared" si="23"/>
        <v/>
      </c>
      <c r="FD20" s="596">
        <f t="shared" si="24"/>
        <v>-20.274575858430076</v>
      </c>
      <c r="FE20" s="498">
        <f t="shared" si="25"/>
        <v>689.86400000000003</v>
      </c>
      <c r="FF20" s="597">
        <f t="shared" si="26"/>
        <v>549.99699999999996</v>
      </c>
      <c r="FH20" s="551">
        <f t="shared" si="27"/>
        <v>17783.914000000001</v>
      </c>
      <c r="FI20" s="553" t="s">
        <v>119</v>
      </c>
      <c r="FJ20" s="554" t="str">
        <f t="shared" si="28"/>
        <v>OK</v>
      </c>
    </row>
    <row r="21" spans="1:166" s="470" customFormat="1" ht="15" customHeight="1" x14ac:dyDescent="0.25">
      <c r="A21" s="610" t="s">
        <v>120</v>
      </c>
      <c r="B21" s="492">
        <v>315</v>
      </c>
      <c r="C21" s="492">
        <v>360</v>
      </c>
      <c r="D21" s="492">
        <v>334</v>
      </c>
      <c r="E21" s="492">
        <v>176</v>
      </c>
      <c r="F21" s="492">
        <v>98</v>
      </c>
      <c r="G21" s="492">
        <v>33</v>
      </c>
      <c r="H21" s="492">
        <v>13</v>
      </c>
      <c r="I21" s="492"/>
      <c r="J21" s="492">
        <v>15</v>
      </c>
      <c r="K21" s="492">
        <v>37</v>
      </c>
      <c r="L21" s="492">
        <v>290</v>
      </c>
      <c r="M21" s="492">
        <v>385</v>
      </c>
      <c r="N21" s="493">
        <f t="shared" si="13"/>
        <v>2056</v>
      </c>
      <c r="O21" s="492">
        <v>290</v>
      </c>
      <c r="P21" s="492">
        <v>340</v>
      </c>
      <c r="Q21" s="492">
        <v>359</v>
      </c>
      <c r="R21" s="492">
        <v>207</v>
      </c>
      <c r="S21" s="492">
        <v>113</v>
      </c>
      <c r="T21" s="492">
        <v>36</v>
      </c>
      <c r="U21" s="492">
        <v>9</v>
      </c>
      <c r="V21" s="492"/>
      <c r="W21" s="492">
        <v>18</v>
      </c>
      <c r="X21" s="492">
        <v>38</v>
      </c>
      <c r="Y21" s="492">
        <v>273</v>
      </c>
      <c r="Z21" s="492">
        <v>400</v>
      </c>
      <c r="AA21" s="493">
        <f t="shared" si="14"/>
        <v>2083</v>
      </c>
      <c r="AB21" s="492">
        <v>335</v>
      </c>
      <c r="AC21" s="492">
        <v>353</v>
      </c>
      <c r="AD21" s="492">
        <v>387</v>
      </c>
      <c r="AE21" s="492">
        <v>274</v>
      </c>
      <c r="AF21" s="492">
        <v>172</v>
      </c>
      <c r="AG21" s="492">
        <v>49</v>
      </c>
      <c r="AH21" s="492">
        <v>10</v>
      </c>
      <c r="AI21" s="492"/>
      <c r="AJ21" s="492">
        <v>21</v>
      </c>
      <c r="AK21" s="492">
        <v>47</v>
      </c>
      <c r="AL21" s="492">
        <v>365</v>
      </c>
      <c r="AM21" s="492">
        <v>422</v>
      </c>
      <c r="AN21" s="493">
        <f t="shared" si="15"/>
        <v>2435</v>
      </c>
      <c r="AO21" s="492">
        <v>338</v>
      </c>
      <c r="AP21" s="492">
        <v>402</v>
      </c>
      <c r="AQ21" s="492">
        <v>392</v>
      </c>
      <c r="AR21" s="492">
        <v>282</v>
      </c>
      <c r="AS21" s="492">
        <v>164</v>
      </c>
      <c r="AT21" s="492">
        <v>62</v>
      </c>
      <c r="AU21" s="492">
        <v>12</v>
      </c>
      <c r="AV21" s="492"/>
      <c r="AW21" s="492">
        <v>17</v>
      </c>
      <c r="AX21" s="492">
        <v>49</v>
      </c>
      <c r="AY21" s="492">
        <v>293</v>
      </c>
      <c r="AZ21" s="492">
        <v>313</v>
      </c>
      <c r="BA21" s="493">
        <f t="shared" si="16"/>
        <v>2324</v>
      </c>
      <c r="BB21" s="492">
        <v>318</v>
      </c>
      <c r="BC21" s="492">
        <v>366</v>
      </c>
      <c r="BD21" s="492">
        <v>322</v>
      </c>
      <c r="BE21" s="492">
        <v>222</v>
      </c>
      <c r="BF21" s="492">
        <v>130</v>
      </c>
      <c r="BG21" s="492">
        <v>45</v>
      </c>
      <c r="BH21" s="492">
        <v>26</v>
      </c>
      <c r="BI21" s="492"/>
      <c r="BJ21" s="492"/>
      <c r="BK21" s="492">
        <v>5</v>
      </c>
      <c r="BL21" s="492">
        <v>287</v>
      </c>
      <c r="BM21" s="492">
        <v>355</v>
      </c>
      <c r="BN21" s="493">
        <f t="shared" si="17"/>
        <v>2076</v>
      </c>
      <c r="BO21" s="492">
        <v>427</v>
      </c>
      <c r="BP21" s="492">
        <v>572</v>
      </c>
      <c r="BQ21" s="492">
        <v>648</v>
      </c>
      <c r="BR21" s="492">
        <v>438</v>
      </c>
      <c r="BS21" s="492">
        <v>202.67</v>
      </c>
      <c r="BT21" s="492">
        <v>70</v>
      </c>
      <c r="BU21" s="492">
        <v>17</v>
      </c>
      <c r="BV21" s="492"/>
      <c r="BW21" s="492"/>
      <c r="BX21" s="492"/>
      <c r="BY21" s="492">
        <v>335</v>
      </c>
      <c r="BZ21" s="492">
        <v>470</v>
      </c>
      <c r="CA21" s="493">
        <f t="shared" si="18"/>
        <v>3179.67</v>
      </c>
      <c r="CB21" s="492">
        <v>496.23899999999992</v>
      </c>
      <c r="CC21" s="492">
        <v>628.48900000000003</v>
      </c>
      <c r="CD21" s="492">
        <v>772.99</v>
      </c>
      <c r="CE21" s="492">
        <v>514.16800000000001</v>
      </c>
      <c r="CF21" s="492">
        <v>227.518</v>
      </c>
      <c r="CG21" s="492">
        <v>98.33</v>
      </c>
      <c r="CH21" s="492">
        <v>20.7</v>
      </c>
      <c r="CI21" s="492"/>
      <c r="CJ21" s="492"/>
      <c r="CK21" s="492"/>
      <c r="CL21" s="492">
        <v>459.59</v>
      </c>
      <c r="CM21" s="492">
        <v>631.9</v>
      </c>
      <c r="CN21" s="493">
        <f t="shared" si="19"/>
        <v>3849.924</v>
      </c>
      <c r="CO21" s="492">
        <v>565.6</v>
      </c>
      <c r="CP21" s="492">
        <v>657.29</v>
      </c>
      <c r="CQ21" s="492">
        <v>751.92099999999994</v>
      </c>
      <c r="CR21" s="492">
        <v>526.95699999999988</v>
      </c>
      <c r="CS21" s="492">
        <v>272.827</v>
      </c>
      <c r="CT21" s="492">
        <v>131.88</v>
      </c>
      <c r="CU21" s="492">
        <v>36.579000000000001</v>
      </c>
      <c r="CV21" s="492"/>
      <c r="CW21" s="492"/>
      <c r="CX21" s="492"/>
      <c r="CY21" s="492">
        <v>247.96</v>
      </c>
      <c r="CZ21" s="492">
        <v>533.73</v>
      </c>
      <c r="DA21" s="493">
        <f t="shared" si="20"/>
        <v>3724.7439999999997</v>
      </c>
      <c r="DB21" s="492">
        <v>567.50900000000001</v>
      </c>
      <c r="DC21" s="492">
        <v>556.29899999999998</v>
      </c>
      <c r="DD21" s="492">
        <v>478.67</v>
      </c>
      <c r="DE21" s="492">
        <v>380.94</v>
      </c>
      <c r="DF21" s="492">
        <v>221.07</v>
      </c>
      <c r="DG21" s="492">
        <v>105.77</v>
      </c>
      <c r="DH21" s="492">
        <v>21.9</v>
      </c>
      <c r="DI21" s="492"/>
      <c r="DJ21" s="492"/>
      <c r="DK21" s="492"/>
      <c r="DL21" s="492">
        <v>233.548</v>
      </c>
      <c r="DM21" s="492">
        <v>323.47000000000003</v>
      </c>
      <c r="DN21" s="493">
        <f t="shared" si="21"/>
        <v>2889.1760000000004</v>
      </c>
      <c r="DO21" s="492">
        <v>416.08899999999988</v>
      </c>
      <c r="DP21" s="492">
        <v>420.00699999999989</v>
      </c>
      <c r="DQ21" s="492">
        <v>365.96499999999997</v>
      </c>
      <c r="DR21" s="492">
        <v>284.279</v>
      </c>
      <c r="DS21" s="492">
        <v>150.26</v>
      </c>
      <c r="DT21" s="492">
        <v>76.260000000000005</v>
      </c>
      <c r="DU21" s="492">
        <v>12.95</v>
      </c>
      <c r="DV21" s="492">
        <v>0</v>
      </c>
      <c r="DW21" s="492">
        <v>0</v>
      </c>
      <c r="DX21" s="492">
        <v>0</v>
      </c>
      <c r="DY21" s="492">
        <v>224.66800000000001</v>
      </c>
      <c r="DZ21" s="492">
        <v>329.64800000000002</v>
      </c>
      <c r="EA21" s="493">
        <v>2280.1259999999997</v>
      </c>
      <c r="EB21" s="492">
        <v>378.21800000000007</v>
      </c>
      <c r="EC21" s="492">
        <v>387.94799999999998</v>
      </c>
      <c r="ED21" s="492">
        <v>325.32499999999999</v>
      </c>
      <c r="EE21" s="492">
        <v>227.36799999999999</v>
      </c>
      <c r="EF21" s="492">
        <v>208.18899999999999</v>
      </c>
      <c r="EG21" s="492">
        <v>52.890000000000008</v>
      </c>
      <c r="EH21" s="492">
        <v>10.74</v>
      </c>
      <c r="EI21" s="492">
        <v>0</v>
      </c>
      <c r="EJ21" s="492">
        <v>0</v>
      </c>
      <c r="EK21" s="492">
        <v>0</v>
      </c>
      <c r="EL21" s="492">
        <v>257.267</v>
      </c>
      <c r="EM21" s="492">
        <v>327.65800000000002</v>
      </c>
      <c r="EN21" s="493">
        <v>2175.6030000000001</v>
      </c>
      <c r="EO21" s="492">
        <v>352.15800000000002</v>
      </c>
      <c r="EP21" s="492">
        <v>367.58</v>
      </c>
      <c r="EQ21" s="492"/>
      <c r="ER21" s="492"/>
      <c r="ES21" s="492"/>
      <c r="ET21" s="492"/>
      <c r="EU21" s="492"/>
      <c r="EV21" s="492"/>
      <c r="EW21" s="492"/>
      <c r="EX21" s="492"/>
      <c r="EY21" s="492"/>
      <c r="EZ21" s="492"/>
      <c r="FA21" s="493">
        <f t="shared" si="22"/>
        <v>719.73800000000006</v>
      </c>
      <c r="FB21" s="590"/>
      <c r="FC21" s="595">
        <f t="shared" si="23"/>
        <v>14.509854540922596</v>
      </c>
      <c r="FD21" s="596">
        <f t="shared" si="24"/>
        <v>-5.2568139707292012</v>
      </c>
      <c r="FE21" s="498">
        <f t="shared" si="25"/>
        <v>1950.4779999999996</v>
      </c>
      <c r="FF21" s="597">
        <f t="shared" si="26"/>
        <v>1847.9450000000002</v>
      </c>
      <c r="FH21" s="551">
        <f t="shared" si="27"/>
        <v>55473.961999999992</v>
      </c>
      <c r="FI21" s="553" t="s">
        <v>120</v>
      </c>
      <c r="FJ21" s="554" t="str">
        <f t="shared" si="28"/>
        <v>OK</v>
      </c>
    </row>
    <row r="22" spans="1:166" s="470" customFormat="1" ht="15" customHeight="1" x14ac:dyDescent="0.25">
      <c r="A22" s="610" t="s">
        <v>121</v>
      </c>
      <c r="B22" s="492">
        <v>346</v>
      </c>
      <c r="C22" s="492">
        <v>429</v>
      </c>
      <c r="D22" s="492">
        <v>351</v>
      </c>
      <c r="E22" s="492">
        <v>173</v>
      </c>
      <c r="F22" s="492">
        <v>27</v>
      </c>
      <c r="G22" s="492">
        <v>20</v>
      </c>
      <c r="H22" s="492">
        <v>9</v>
      </c>
      <c r="I22" s="492"/>
      <c r="J22" s="492"/>
      <c r="K22" s="492">
        <v>26</v>
      </c>
      <c r="L22" s="492">
        <v>257</v>
      </c>
      <c r="M22" s="492">
        <v>319</v>
      </c>
      <c r="N22" s="493">
        <f t="shared" si="13"/>
        <v>1957</v>
      </c>
      <c r="O22" s="492">
        <v>315</v>
      </c>
      <c r="P22" s="492">
        <v>425</v>
      </c>
      <c r="Q22" s="492">
        <v>388</v>
      </c>
      <c r="R22" s="492">
        <v>223</v>
      </c>
      <c r="S22" s="492">
        <v>44</v>
      </c>
      <c r="T22" s="492">
        <v>23</v>
      </c>
      <c r="U22" s="492">
        <v>11</v>
      </c>
      <c r="V22" s="492"/>
      <c r="W22" s="492"/>
      <c r="X22" s="492">
        <v>31</v>
      </c>
      <c r="Y22" s="492">
        <v>244</v>
      </c>
      <c r="Z22" s="492">
        <v>348</v>
      </c>
      <c r="AA22" s="493">
        <f t="shared" si="14"/>
        <v>2052</v>
      </c>
      <c r="AB22" s="492">
        <v>346</v>
      </c>
      <c r="AC22" s="492">
        <v>408</v>
      </c>
      <c r="AD22" s="492">
        <v>425</v>
      </c>
      <c r="AE22" s="492">
        <v>298</v>
      </c>
      <c r="AF22" s="492">
        <v>63</v>
      </c>
      <c r="AG22" s="492">
        <v>33</v>
      </c>
      <c r="AH22" s="492">
        <v>14</v>
      </c>
      <c r="AI22" s="492"/>
      <c r="AJ22" s="492"/>
      <c r="AK22" s="492">
        <v>19</v>
      </c>
      <c r="AL22" s="492">
        <v>316</v>
      </c>
      <c r="AM22" s="492">
        <v>409</v>
      </c>
      <c r="AN22" s="493">
        <f t="shared" si="15"/>
        <v>2331</v>
      </c>
      <c r="AO22" s="492">
        <v>347</v>
      </c>
      <c r="AP22" s="492">
        <v>474</v>
      </c>
      <c r="AQ22" s="492">
        <v>406</v>
      </c>
      <c r="AR22" s="492">
        <v>256</v>
      </c>
      <c r="AS22" s="492">
        <v>72</v>
      </c>
      <c r="AT22" s="492">
        <v>42</v>
      </c>
      <c r="AU22" s="492">
        <v>17</v>
      </c>
      <c r="AV22" s="492"/>
      <c r="AW22" s="492"/>
      <c r="AX22" s="492">
        <v>29</v>
      </c>
      <c r="AY22" s="492">
        <v>249</v>
      </c>
      <c r="AZ22" s="492">
        <v>234</v>
      </c>
      <c r="BA22" s="493">
        <f t="shared" si="16"/>
        <v>2126</v>
      </c>
      <c r="BB22" s="492">
        <v>286</v>
      </c>
      <c r="BC22" s="492">
        <v>353</v>
      </c>
      <c r="BD22" s="492">
        <v>333</v>
      </c>
      <c r="BE22" s="492">
        <v>222</v>
      </c>
      <c r="BF22" s="492">
        <v>74</v>
      </c>
      <c r="BG22" s="492">
        <v>45</v>
      </c>
      <c r="BH22" s="492">
        <v>23</v>
      </c>
      <c r="BI22" s="492"/>
      <c r="BJ22" s="492"/>
      <c r="BK22" s="492">
        <v>18</v>
      </c>
      <c r="BL22" s="492">
        <v>223</v>
      </c>
      <c r="BM22" s="492">
        <v>294</v>
      </c>
      <c r="BN22" s="493">
        <f t="shared" si="17"/>
        <v>1871</v>
      </c>
      <c r="BO22" s="492">
        <v>317</v>
      </c>
      <c r="BP22" s="492">
        <v>470</v>
      </c>
      <c r="BQ22" s="492">
        <v>416</v>
      </c>
      <c r="BR22" s="492">
        <v>231</v>
      </c>
      <c r="BS22" s="492">
        <v>63.22</v>
      </c>
      <c r="BT22" s="492">
        <v>39</v>
      </c>
      <c r="BU22" s="492">
        <v>18</v>
      </c>
      <c r="BV22" s="492"/>
      <c r="BW22" s="492"/>
      <c r="BX22" s="492"/>
      <c r="BY22" s="492">
        <v>249</v>
      </c>
      <c r="BZ22" s="492">
        <v>341</v>
      </c>
      <c r="CA22" s="493">
        <f t="shared" si="18"/>
        <v>2144.2200000000003</v>
      </c>
      <c r="CB22" s="492">
        <v>390.64899999999994</v>
      </c>
      <c r="CC22" s="492">
        <v>514.90499999999997</v>
      </c>
      <c r="CD22" s="492">
        <v>469.74400000000003</v>
      </c>
      <c r="CE22" s="492">
        <v>317.21500000000003</v>
      </c>
      <c r="CF22" s="492">
        <v>74.97999999999999</v>
      </c>
      <c r="CG22" s="492">
        <v>39.980000000000004</v>
      </c>
      <c r="CH22" s="492">
        <v>13.969999999999999</v>
      </c>
      <c r="CI22" s="492"/>
      <c r="CJ22" s="492"/>
      <c r="CK22" s="492"/>
      <c r="CL22" s="492">
        <v>347.42899999999997</v>
      </c>
      <c r="CM22" s="492">
        <v>430.56700000000001</v>
      </c>
      <c r="CN22" s="493">
        <f t="shared" si="19"/>
        <v>2599.4389999999999</v>
      </c>
      <c r="CO22" s="492">
        <v>443.61999999999995</v>
      </c>
      <c r="CP22" s="492">
        <v>481.21800000000002</v>
      </c>
      <c r="CQ22" s="492">
        <v>427.16800000000001</v>
      </c>
      <c r="CR22" s="492">
        <v>303.50600000000003</v>
      </c>
      <c r="CS22" s="492">
        <v>83.31</v>
      </c>
      <c r="CT22" s="492">
        <v>62.33</v>
      </c>
      <c r="CU22" s="492">
        <v>26.1</v>
      </c>
      <c r="CV22" s="492"/>
      <c r="CW22" s="492"/>
      <c r="CX22" s="492"/>
      <c r="CY22" s="492">
        <v>195.13</v>
      </c>
      <c r="CZ22" s="492">
        <v>376.09799999999996</v>
      </c>
      <c r="DA22" s="493">
        <f t="shared" si="20"/>
        <v>2398.4799999999996</v>
      </c>
      <c r="DB22" s="492">
        <v>415.04899999999998</v>
      </c>
      <c r="DC22" s="492">
        <v>376.23899999999998</v>
      </c>
      <c r="DD22" s="492">
        <v>256.19</v>
      </c>
      <c r="DE22" s="492">
        <v>179.16200000000001</v>
      </c>
      <c r="DF22" s="492">
        <v>52.108999999999988</v>
      </c>
      <c r="DG22" s="492">
        <v>37.689</v>
      </c>
      <c r="DH22" s="492">
        <v>15.16</v>
      </c>
      <c r="DI22" s="492"/>
      <c r="DJ22" s="492"/>
      <c r="DK22" s="492"/>
      <c r="DL22" s="492">
        <v>213.60900000000001</v>
      </c>
      <c r="DM22" s="492">
        <v>230.65899999999999</v>
      </c>
      <c r="DN22" s="493">
        <f t="shared" si="21"/>
        <v>1775.866</v>
      </c>
      <c r="DO22" s="492">
        <v>275.2</v>
      </c>
      <c r="DP22" s="492">
        <v>228.51599999999999</v>
      </c>
      <c r="DQ22" s="492">
        <v>176.70500000000001</v>
      </c>
      <c r="DR22" s="492">
        <v>120.65</v>
      </c>
      <c r="DS22" s="492">
        <v>31.707999999999998</v>
      </c>
      <c r="DT22" s="492">
        <v>22.74</v>
      </c>
      <c r="DU22" s="492">
        <v>9.14</v>
      </c>
      <c r="DV22" s="492">
        <v>0</v>
      </c>
      <c r="DW22" s="492">
        <v>0</v>
      </c>
      <c r="DX22" s="492">
        <v>0</v>
      </c>
      <c r="DY22" s="492">
        <v>202.489</v>
      </c>
      <c r="DZ22" s="492">
        <v>260.87599999999998</v>
      </c>
      <c r="EA22" s="493">
        <v>1328.0239999999999</v>
      </c>
      <c r="EB22" s="492">
        <v>307.15599999999989</v>
      </c>
      <c r="EC22" s="492">
        <v>220.34800000000001</v>
      </c>
      <c r="ED22" s="492">
        <v>164.749</v>
      </c>
      <c r="EE22" s="492">
        <v>98.213999999999999</v>
      </c>
      <c r="EF22" s="492">
        <v>21.86</v>
      </c>
      <c r="EG22" s="492">
        <v>12.48</v>
      </c>
      <c r="EH22" s="492">
        <v>5.6300000000000008</v>
      </c>
      <c r="EI22" s="492">
        <v>0</v>
      </c>
      <c r="EJ22" s="492">
        <v>0</v>
      </c>
      <c r="EK22" s="492">
        <v>0</v>
      </c>
      <c r="EL22" s="492">
        <v>203.714</v>
      </c>
      <c r="EM22" s="492">
        <v>269.60899999999998</v>
      </c>
      <c r="EN22" s="493">
        <v>1303.7599999999998</v>
      </c>
      <c r="EO22" s="492">
        <v>258.68400000000003</v>
      </c>
      <c r="EP22" s="492">
        <v>201.977</v>
      </c>
      <c r="EQ22" s="492"/>
      <c r="ER22" s="492"/>
      <c r="ES22" s="492"/>
      <c r="ET22" s="492"/>
      <c r="EU22" s="492"/>
      <c r="EV22" s="492"/>
      <c r="EW22" s="492"/>
      <c r="EX22" s="492"/>
      <c r="EY22" s="492"/>
      <c r="EZ22" s="492"/>
      <c r="FA22" s="493">
        <f t="shared" si="22"/>
        <v>460.66100000000006</v>
      </c>
      <c r="FB22" s="590"/>
      <c r="FC22" s="595">
        <f t="shared" si="23"/>
        <v>0.60497113423445548</v>
      </c>
      <c r="FD22" s="596">
        <f t="shared" si="24"/>
        <v>-3.0920734518548598</v>
      </c>
      <c r="FE22" s="498">
        <f t="shared" si="25"/>
        <v>1067.1479999999999</v>
      </c>
      <c r="FF22" s="597">
        <f t="shared" si="26"/>
        <v>1034.1509999999998</v>
      </c>
      <c r="FH22" s="551">
        <f t="shared" si="27"/>
        <v>40780.9</v>
      </c>
      <c r="FI22" s="553" t="s">
        <v>121</v>
      </c>
      <c r="FJ22" s="554" t="str">
        <f t="shared" si="28"/>
        <v>OK</v>
      </c>
    </row>
    <row r="23" spans="1:166" s="470" customFormat="1" ht="15" customHeight="1" x14ac:dyDescent="0.25">
      <c r="A23" s="610" t="s">
        <v>124</v>
      </c>
      <c r="B23" s="492"/>
      <c r="C23" s="492"/>
      <c r="D23" s="492"/>
      <c r="E23" s="492"/>
      <c r="F23" s="492"/>
      <c r="G23" s="492"/>
      <c r="H23" s="492"/>
      <c r="I23" s="492"/>
      <c r="J23" s="492">
        <v>18</v>
      </c>
      <c r="K23" s="492">
        <v>23</v>
      </c>
      <c r="L23" s="492">
        <v>10</v>
      </c>
      <c r="M23" s="492">
        <v>11</v>
      </c>
      <c r="N23" s="493">
        <f t="shared" si="13"/>
        <v>62</v>
      </c>
      <c r="O23" s="492">
        <v>5</v>
      </c>
      <c r="P23" s="492">
        <v>2</v>
      </c>
      <c r="Q23" s="492"/>
      <c r="R23" s="492"/>
      <c r="S23" s="492"/>
      <c r="T23" s="492"/>
      <c r="U23" s="492"/>
      <c r="V23" s="492"/>
      <c r="W23" s="492">
        <v>8</v>
      </c>
      <c r="X23" s="492">
        <v>5</v>
      </c>
      <c r="Y23" s="492"/>
      <c r="Z23" s="492"/>
      <c r="AA23" s="493">
        <f t="shared" si="14"/>
        <v>20</v>
      </c>
      <c r="AB23" s="492"/>
      <c r="AC23" s="492"/>
      <c r="AD23" s="492"/>
      <c r="AE23" s="492"/>
      <c r="AF23" s="492"/>
      <c r="AG23" s="492"/>
      <c r="AH23" s="492"/>
      <c r="AI23" s="492">
        <v>13</v>
      </c>
      <c r="AJ23" s="492">
        <v>13</v>
      </c>
      <c r="AK23" s="492">
        <v>3</v>
      </c>
      <c r="AL23" s="492"/>
      <c r="AM23" s="492"/>
      <c r="AN23" s="493">
        <f t="shared" si="15"/>
        <v>29</v>
      </c>
      <c r="AO23" s="492"/>
      <c r="AP23" s="492"/>
      <c r="AQ23" s="492"/>
      <c r="AR23" s="492"/>
      <c r="AS23" s="492"/>
      <c r="AT23" s="492"/>
      <c r="AU23" s="492"/>
      <c r="AV23" s="492">
        <v>3</v>
      </c>
      <c r="AW23" s="492">
        <v>17</v>
      </c>
      <c r="AX23" s="492">
        <v>10</v>
      </c>
      <c r="AY23" s="492"/>
      <c r="AZ23" s="492"/>
      <c r="BA23" s="493">
        <f t="shared" si="16"/>
        <v>30</v>
      </c>
      <c r="BB23" s="492"/>
      <c r="BC23" s="492"/>
      <c r="BD23" s="492"/>
      <c r="BE23" s="492"/>
      <c r="BF23" s="492"/>
      <c r="BG23" s="492"/>
      <c r="BH23" s="492">
        <v>3</v>
      </c>
      <c r="BI23" s="492">
        <v>2</v>
      </c>
      <c r="BJ23" s="492">
        <v>9</v>
      </c>
      <c r="BK23" s="492">
        <v>7</v>
      </c>
      <c r="BL23" s="492">
        <v>5</v>
      </c>
      <c r="BM23" s="492">
        <v>4</v>
      </c>
      <c r="BN23" s="493">
        <f t="shared" si="17"/>
        <v>30</v>
      </c>
      <c r="BO23" s="492">
        <v>4</v>
      </c>
      <c r="BP23" s="492"/>
      <c r="BQ23" s="492"/>
      <c r="BR23" s="492"/>
      <c r="BS23" s="492"/>
      <c r="BT23" s="492"/>
      <c r="BU23" s="492">
        <v>8</v>
      </c>
      <c r="BV23" s="492">
        <v>24</v>
      </c>
      <c r="BW23" s="492"/>
      <c r="BX23" s="492"/>
      <c r="BY23" s="492"/>
      <c r="BZ23" s="492"/>
      <c r="CA23" s="493">
        <f t="shared" si="18"/>
        <v>36</v>
      </c>
      <c r="CB23" s="492"/>
      <c r="CC23" s="492">
        <v>3.78</v>
      </c>
      <c r="CD23" s="492"/>
      <c r="CE23" s="492"/>
      <c r="CF23" s="492"/>
      <c r="CG23" s="492"/>
      <c r="CH23" s="492">
        <v>2.65</v>
      </c>
      <c r="CI23" s="492">
        <v>13.88</v>
      </c>
      <c r="CJ23" s="492">
        <v>8.66</v>
      </c>
      <c r="CK23" s="492">
        <v>14.55</v>
      </c>
      <c r="CL23" s="492"/>
      <c r="CM23" s="492">
        <v>3.46</v>
      </c>
      <c r="CN23" s="493">
        <f t="shared" si="19"/>
        <v>46.980000000000004</v>
      </c>
      <c r="CO23" s="492">
        <v>6.31</v>
      </c>
      <c r="CP23" s="492"/>
      <c r="CQ23" s="492"/>
      <c r="CR23" s="492">
        <v>3.7250000000000001</v>
      </c>
      <c r="CS23" s="492"/>
      <c r="CT23" s="492"/>
      <c r="CU23" s="492"/>
      <c r="CV23" s="492">
        <v>10.269</v>
      </c>
      <c r="CW23" s="492">
        <v>7.92</v>
      </c>
      <c r="CX23" s="492"/>
      <c r="CY23" s="492"/>
      <c r="CZ23" s="492"/>
      <c r="DA23" s="493">
        <f t="shared" si="20"/>
        <v>28.224000000000004</v>
      </c>
      <c r="DB23" s="492"/>
      <c r="DC23" s="492">
        <v>2.69</v>
      </c>
      <c r="DD23" s="492"/>
      <c r="DE23" s="492"/>
      <c r="DF23" s="492"/>
      <c r="DG23" s="492"/>
      <c r="DH23" s="492"/>
      <c r="DI23" s="492"/>
      <c r="DJ23" s="492"/>
      <c r="DK23" s="492"/>
      <c r="DL23" s="492"/>
      <c r="DM23" s="492"/>
      <c r="DN23" s="493">
        <f t="shared" si="21"/>
        <v>2.69</v>
      </c>
      <c r="DO23" s="492">
        <v>0</v>
      </c>
      <c r="DP23" s="492">
        <v>0</v>
      </c>
      <c r="DQ23" s="492">
        <v>0</v>
      </c>
      <c r="DR23" s="492">
        <v>0</v>
      </c>
      <c r="DS23" s="492">
        <v>0</v>
      </c>
      <c r="DT23" s="492">
        <v>0</v>
      </c>
      <c r="DU23" s="492">
        <v>0</v>
      </c>
      <c r="DV23" s="492">
        <v>0</v>
      </c>
      <c r="DW23" s="492">
        <v>72.228999999999999</v>
      </c>
      <c r="DX23" s="492">
        <v>28.39</v>
      </c>
      <c r="DY23" s="492">
        <v>17.78</v>
      </c>
      <c r="DZ23" s="492">
        <v>6.68</v>
      </c>
      <c r="EA23" s="493">
        <v>125.07900000000001</v>
      </c>
      <c r="EB23" s="492">
        <v>0</v>
      </c>
      <c r="EC23" s="492">
        <v>0</v>
      </c>
      <c r="ED23" s="492">
        <v>0</v>
      </c>
      <c r="EE23" s="492">
        <v>0</v>
      </c>
      <c r="EF23" s="492">
        <v>13.46</v>
      </c>
      <c r="EG23" s="492">
        <v>6.5</v>
      </c>
      <c r="EH23" s="492">
        <v>13.56</v>
      </c>
      <c r="EI23" s="492">
        <v>36.229999999999997</v>
      </c>
      <c r="EJ23" s="492">
        <v>20.79</v>
      </c>
      <c r="EK23" s="492">
        <v>15.24</v>
      </c>
      <c r="EL23" s="492">
        <v>19.46</v>
      </c>
      <c r="EM23" s="492">
        <v>6.69</v>
      </c>
      <c r="EN23" s="493">
        <v>131.92999999999998</v>
      </c>
      <c r="EO23" s="492">
        <v>19.478999999999999</v>
      </c>
      <c r="EP23" s="492">
        <v>0</v>
      </c>
      <c r="EQ23" s="492"/>
      <c r="ER23" s="492"/>
      <c r="ES23" s="492"/>
      <c r="ET23" s="492"/>
      <c r="EU23" s="492"/>
      <c r="EV23" s="492"/>
      <c r="EW23" s="492"/>
      <c r="EX23" s="492"/>
      <c r="EY23" s="492"/>
      <c r="EZ23" s="492"/>
      <c r="FA23" s="493">
        <f t="shared" si="22"/>
        <v>19.478999999999999</v>
      </c>
      <c r="FB23" s="590"/>
      <c r="FC23" s="595">
        <f t="shared" si="23"/>
        <v>9.4488188976377998</v>
      </c>
      <c r="FD23" s="596">
        <f t="shared" si="24"/>
        <v>5.7779204216251712</v>
      </c>
      <c r="FE23" s="498">
        <f t="shared" si="25"/>
        <v>118.399</v>
      </c>
      <c r="FF23" s="597">
        <f t="shared" si="26"/>
        <v>125.23999999999998</v>
      </c>
      <c r="FH23" s="551">
        <f t="shared" si="27"/>
        <v>998.76400000000001</v>
      </c>
      <c r="FI23" s="553" t="s">
        <v>124</v>
      </c>
      <c r="FJ23" s="554" t="str">
        <f t="shared" si="28"/>
        <v>OK</v>
      </c>
    </row>
    <row r="24" spans="1:166" s="470" customFormat="1" ht="15" customHeight="1" x14ac:dyDescent="0.25">
      <c r="A24" s="610" t="s">
        <v>125</v>
      </c>
      <c r="B24" s="492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2"/>
      <c r="N24" s="493">
        <f t="shared" si="13"/>
        <v>0</v>
      </c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/>
      <c r="AA24" s="493">
        <f t="shared" si="14"/>
        <v>0</v>
      </c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2"/>
      <c r="AM24" s="492"/>
      <c r="AN24" s="493">
        <f t="shared" si="15"/>
        <v>0</v>
      </c>
      <c r="AO24" s="492"/>
      <c r="AP24" s="492"/>
      <c r="AQ24" s="492"/>
      <c r="AR24" s="492"/>
      <c r="AS24" s="492"/>
      <c r="AT24" s="492"/>
      <c r="AU24" s="492"/>
      <c r="AV24" s="492"/>
      <c r="AW24" s="492"/>
      <c r="AX24" s="492"/>
      <c r="AY24" s="492"/>
      <c r="AZ24" s="492"/>
      <c r="BA24" s="493">
        <f t="shared" si="16"/>
        <v>0</v>
      </c>
      <c r="BB24" s="492"/>
      <c r="BC24" s="492"/>
      <c r="BD24" s="492"/>
      <c r="BE24" s="492"/>
      <c r="BF24" s="492"/>
      <c r="BG24" s="492"/>
      <c r="BH24" s="492"/>
      <c r="BI24" s="492"/>
      <c r="BJ24" s="492"/>
      <c r="BK24" s="492"/>
      <c r="BL24" s="492"/>
      <c r="BM24" s="492"/>
      <c r="BN24" s="493">
        <f t="shared" si="17"/>
        <v>0</v>
      </c>
      <c r="BO24" s="492"/>
      <c r="BP24" s="492"/>
      <c r="BQ24" s="492"/>
      <c r="BR24" s="492"/>
      <c r="BS24" s="492"/>
      <c r="BT24" s="492"/>
      <c r="BU24" s="492"/>
      <c r="BV24" s="492"/>
      <c r="BW24" s="492"/>
      <c r="BX24" s="492"/>
      <c r="BY24" s="492"/>
      <c r="BZ24" s="492"/>
      <c r="CA24" s="493">
        <f t="shared" si="18"/>
        <v>0</v>
      </c>
      <c r="CB24" s="492"/>
      <c r="CC24" s="492"/>
      <c r="CD24" s="492"/>
      <c r="CE24" s="492"/>
      <c r="CF24" s="492"/>
      <c r="CG24" s="492"/>
      <c r="CH24" s="492"/>
      <c r="CI24" s="492"/>
      <c r="CJ24" s="492"/>
      <c r="CK24" s="492"/>
      <c r="CL24" s="492"/>
      <c r="CM24" s="492"/>
      <c r="CN24" s="493">
        <f t="shared" si="19"/>
        <v>0</v>
      </c>
      <c r="CO24" s="492"/>
      <c r="CP24" s="492"/>
      <c r="CQ24" s="492"/>
      <c r="CR24" s="492"/>
      <c r="CS24" s="492"/>
      <c r="CT24" s="492"/>
      <c r="CU24" s="492"/>
      <c r="CV24" s="492"/>
      <c r="CW24" s="492"/>
      <c r="CX24" s="492"/>
      <c r="CY24" s="492"/>
      <c r="CZ24" s="492"/>
      <c r="DA24" s="493">
        <f t="shared" si="20"/>
        <v>0</v>
      </c>
      <c r="DB24" s="492"/>
      <c r="DC24" s="492"/>
      <c r="DD24" s="492"/>
      <c r="DE24" s="492"/>
      <c r="DF24" s="492"/>
      <c r="DG24" s="492"/>
      <c r="DH24" s="492"/>
      <c r="DI24" s="492"/>
      <c r="DJ24" s="492"/>
      <c r="DK24" s="492"/>
      <c r="DL24" s="492"/>
      <c r="DM24" s="492"/>
      <c r="DN24" s="493">
        <f t="shared" si="21"/>
        <v>0</v>
      </c>
      <c r="DO24" s="492">
        <v>0</v>
      </c>
      <c r="DP24" s="492">
        <v>0</v>
      </c>
      <c r="DQ24" s="492">
        <v>0</v>
      </c>
      <c r="DR24" s="492">
        <v>0</v>
      </c>
      <c r="DS24" s="492">
        <v>0</v>
      </c>
      <c r="DT24" s="492">
        <v>0</v>
      </c>
      <c r="DU24" s="492">
        <v>0</v>
      </c>
      <c r="DV24" s="492">
        <v>0</v>
      </c>
      <c r="DW24" s="492">
        <v>0</v>
      </c>
      <c r="DX24" s="492">
        <v>0</v>
      </c>
      <c r="DY24" s="492">
        <v>0</v>
      </c>
      <c r="DZ24" s="492">
        <v>0</v>
      </c>
      <c r="EA24" s="493">
        <v>0</v>
      </c>
      <c r="EB24" s="492">
        <v>0</v>
      </c>
      <c r="EC24" s="492">
        <v>0</v>
      </c>
      <c r="ED24" s="492">
        <v>0</v>
      </c>
      <c r="EE24" s="492">
        <v>0</v>
      </c>
      <c r="EF24" s="492">
        <v>0</v>
      </c>
      <c r="EG24" s="492">
        <v>0</v>
      </c>
      <c r="EH24" s="492">
        <v>0</v>
      </c>
      <c r="EI24" s="492">
        <v>0</v>
      </c>
      <c r="EJ24" s="492">
        <v>0</v>
      </c>
      <c r="EK24" s="492">
        <v>0</v>
      </c>
      <c r="EL24" s="492">
        <v>0</v>
      </c>
      <c r="EM24" s="492">
        <v>0</v>
      </c>
      <c r="EN24" s="493">
        <v>0</v>
      </c>
      <c r="EO24" s="492">
        <v>0</v>
      </c>
      <c r="EP24" s="492">
        <v>0</v>
      </c>
      <c r="EQ24" s="492"/>
      <c r="ER24" s="492"/>
      <c r="ES24" s="492"/>
      <c r="ET24" s="492"/>
      <c r="EU24" s="492"/>
      <c r="EV24" s="492"/>
      <c r="EW24" s="492"/>
      <c r="EX24" s="492"/>
      <c r="EY24" s="492"/>
      <c r="EZ24" s="492"/>
      <c r="FA24" s="493">
        <f t="shared" si="22"/>
        <v>0</v>
      </c>
      <c r="FB24" s="590"/>
      <c r="FC24" s="595" t="str">
        <f t="shared" si="23"/>
        <v/>
      </c>
      <c r="FD24" s="596" t="str">
        <f t="shared" si="24"/>
        <v/>
      </c>
      <c r="FE24" s="498">
        <f t="shared" si="25"/>
        <v>0</v>
      </c>
      <c r="FF24" s="597">
        <f t="shared" si="26"/>
        <v>0</v>
      </c>
      <c r="FH24" s="551">
        <f t="shared" si="27"/>
        <v>0</v>
      </c>
      <c r="FI24" s="553" t="s">
        <v>125</v>
      </c>
      <c r="FJ24" s="554" t="str">
        <f t="shared" si="28"/>
        <v>OK</v>
      </c>
    </row>
    <row r="25" spans="1:166" s="470" customFormat="1" ht="15" customHeight="1" x14ac:dyDescent="0.25">
      <c r="A25" s="610" t="s">
        <v>638</v>
      </c>
      <c r="B25" s="492">
        <v>70</v>
      </c>
      <c r="C25" s="492">
        <v>103</v>
      </c>
      <c r="D25" s="492">
        <v>90</v>
      </c>
      <c r="E25" s="492">
        <v>39</v>
      </c>
      <c r="F25" s="492">
        <v>14</v>
      </c>
      <c r="G25" s="492">
        <v>5</v>
      </c>
      <c r="H25" s="492"/>
      <c r="I25" s="492"/>
      <c r="J25" s="492">
        <v>11</v>
      </c>
      <c r="K25" s="492"/>
      <c r="L25" s="492"/>
      <c r="M25" s="492">
        <v>30</v>
      </c>
      <c r="N25" s="493">
        <f t="shared" si="13"/>
        <v>362</v>
      </c>
      <c r="O25" s="492">
        <v>52</v>
      </c>
      <c r="P25" s="492">
        <v>84</v>
      </c>
      <c r="Q25" s="492">
        <v>88</v>
      </c>
      <c r="R25" s="492">
        <v>50</v>
      </c>
      <c r="S25" s="492">
        <v>20</v>
      </c>
      <c r="T25" s="492">
        <v>5</v>
      </c>
      <c r="U25" s="492"/>
      <c r="V25" s="492"/>
      <c r="W25" s="492">
        <v>9</v>
      </c>
      <c r="X25" s="492"/>
      <c r="Y25" s="492"/>
      <c r="Z25" s="492">
        <v>31</v>
      </c>
      <c r="AA25" s="493">
        <f t="shared" si="14"/>
        <v>339</v>
      </c>
      <c r="AB25" s="492">
        <v>49</v>
      </c>
      <c r="AC25" s="492">
        <v>83</v>
      </c>
      <c r="AD25" s="492">
        <v>91</v>
      </c>
      <c r="AE25" s="492">
        <v>58</v>
      </c>
      <c r="AF25" s="492">
        <v>25</v>
      </c>
      <c r="AG25" s="492">
        <v>5</v>
      </c>
      <c r="AH25" s="492"/>
      <c r="AI25" s="492"/>
      <c r="AJ25" s="492"/>
      <c r="AK25" s="492"/>
      <c r="AL25" s="492"/>
      <c r="AM25" s="492">
        <v>46</v>
      </c>
      <c r="AN25" s="493">
        <f t="shared" si="15"/>
        <v>357</v>
      </c>
      <c r="AO25" s="492">
        <v>47</v>
      </c>
      <c r="AP25" s="492">
        <v>83</v>
      </c>
      <c r="AQ25" s="492">
        <v>75</v>
      </c>
      <c r="AR25" s="492">
        <v>49</v>
      </c>
      <c r="AS25" s="492">
        <v>20</v>
      </c>
      <c r="AT25" s="492">
        <v>3</v>
      </c>
      <c r="AU25" s="492"/>
      <c r="AV25" s="492"/>
      <c r="AW25" s="492"/>
      <c r="AX25" s="492"/>
      <c r="AY25" s="492"/>
      <c r="AZ25" s="492">
        <v>17</v>
      </c>
      <c r="BA25" s="493">
        <f t="shared" si="16"/>
        <v>294</v>
      </c>
      <c r="BB25" s="492">
        <v>21</v>
      </c>
      <c r="BC25" s="492">
        <v>36</v>
      </c>
      <c r="BD25" s="492">
        <v>24</v>
      </c>
      <c r="BE25" s="492">
        <v>19</v>
      </c>
      <c r="BF25" s="492">
        <v>10</v>
      </c>
      <c r="BG25" s="492">
        <v>2</v>
      </c>
      <c r="BH25" s="492"/>
      <c r="BI25" s="492"/>
      <c r="BJ25" s="492"/>
      <c r="BK25" s="492"/>
      <c r="BL25" s="492"/>
      <c r="BM25" s="492">
        <v>4</v>
      </c>
      <c r="BN25" s="493">
        <f t="shared" si="17"/>
        <v>116</v>
      </c>
      <c r="BO25" s="492">
        <v>62.02000000000001</v>
      </c>
      <c r="BP25" s="492">
        <v>91.86999999999999</v>
      </c>
      <c r="BQ25" s="492">
        <v>83.740000000000009</v>
      </c>
      <c r="BR25" s="492">
        <v>72.565000000000012</v>
      </c>
      <c r="BS25" s="492">
        <v>41.830000000000005</v>
      </c>
      <c r="BT25" s="492">
        <v>2.286</v>
      </c>
      <c r="BU25" s="492"/>
      <c r="BV25" s="492"/>
      <c r="BW25" s="492"/>
      <c r="BX25" s="492"/>
      <c r="BY25" s="492"/>
      <c r="BZ25" s="492">
        <v>54.228000000000002</v>
      </c>
      <c r="CA25" s="493">
        <f t="shared" si="18"/>
        <v>408.53899999999999</v>
      </c>
      <c r="CB25" s="492">
        <v>71.800000000000011</v>
      </c>
      <c r="CC25" s="492">
        <v>88.028000000000006</v>
      </c>
      <c r="CD25" s="492">
        <v>98.85</v>
      </c>
      <c r="CE25" s="492">
        <v>63.527999999999999</v>
      </c>
      <c r="CF25" s="492">
        <v>37.32</v>
      </c>
      <c r="CG25" s="492">
        <v>4.75</v>
      </c>
      <c r="CH25" s="492"/>
      <c r="CI25" s="492"/>
      <c r="CJ25" s="492"/>
      <c r="CK25" s="492"/>
      <c r="CL25" s="492"/>
      <c r="CM25" s="492">
        <v>45.777999999999999</v>
      </c>
      <c r="CN25" s="493">
        <f t="shared" si="19"/>
        <v>410.05400000000003</v>
      </c>
      <c r="CO25" s="492">
        <v>64.169000000000011</v>
      </c>
      <c r="CP25" s="492">
        <v>95.550000000000011</v>
      </c>
      <c r="CQ25" s="492">
        <v>101.2</v>
      </c>
      <c r="CR25" s="492">
        <v>77.66</v>
      </c>
      <c r="CS25" s="492">
        <v>44.209999999999994</v>
      </c>
      <c r="CT25" s="492">
        <v>9.01</v>
      </c>
      <c r="CU25" s="492"/>
      <c r="CV25" s="492"/>
      <c r="CW25" s="492"/>
      <c r="CX25" s="492"/>
      <c r="CY25" s="492"/>
      <c r="CZ25" s="492">
        <v>49.35</v>
      </c>
      <c r="DA25" s="493">
        <f t="shared" si="20"/>
        <v>441.14900000000006</v>
      </c>
      <c r="DB25" s="492">
        <v>60.8</v>
      </c>
      <c r="DC25" s="492">
        <v>82.2</v>
      </c>
      <c r="DD25" s="492">
        <v>70.959999999999994</v>
      </c>
      <c r="DE25" s="492">
        <v>58.82</v>
      </c>
      <c r="DF25" s="492">
        <v>33.939</v>
      </c>
      <c r="DG25" s="492">
        <v>8.9700000000000006</v>
      </c>
      <c r="DH25" s="492"/>
      <c r="DI25" s="492"/>
      <c r="DJ25" s="492"/>
      <c r="DK25" s="492"/>
      <c r="DL25" s="492"/>
      <c r="DM25" s="492">
        <v>23.21</v>
      </c>
      <c r="DN25" s="493">
        <f t="shared" si="21"/>
        <v>338.899</v>
      </c>
      <c r="DO25" s="492">
        <v>47.808999999999997</v>
      </c>
      <c r="DP25" s="492">
        <v>74.359000000000009</v>
      </c>
      <c r="DQ25" s="492">
        <v>61.149000000000001</v>
      </c>
      <c r="DR25" s="492">
        <v>59.098999999999997</v>
      </c>
      <c r="DS25" s="492">
        <v>36.988999999999997</v>
      </c>
      <c r="DT25" s="492">
        <v>15.22</v>
      </c>
      <c r="DU25" s="492">
        <v>0</v>
      </c>
      <c r="DV25" s="492">
        <v>0</v>
      </c>
      <c r="DW25" s="492">
        <v>0</v>
      </c>
      <c r="DX25" s="492">
        <v>0</v>
      </c>
      <c r="DY25" s="492">
        <v>0</v>
      </c>
      <c r="DZ25" s="492">
        <v>72.408999999999992</v>
      </c>
      <c r="EA25" s="493">
        <v>367.03399999999999</v>
      </c>
      <c r="EB25" s="492">
        <v>35.929000000000002</v>
      </c>
      <c r="EC25" s="492">
        <v>31.847000000000001</v>
      </c>
      <c r="ED25" s="492">
        <v>32.979999999999997</v>
      </c>
      <c r="EE25" s="492">
        <v>25.28</v>
      </c>
      <c r="EF25" s="492">
        <v>17.149000000000001</v>
      </c>
      <c r="EG25" s="492">
        <v>5.13</v>
      </c>
      <c r="EH25" s="492">
        <v>0</v>
      </c>
      <c r="EI25" s="492">
        <v>0</v>
      </c>
      <c r="EJ25" s="492">
        <v>0</v>
      </c>
      <c r="EK25" s="492">
        <v>0</v>
      </c>
      <c r="EL25" s="492">
        <v>0</v>
      </c>
      <c r="EM25" s="492">
        <v>30.739000000000001</v>
      </c>
      <c r="EN25" s="493">
        <v>179.054</v>
      </c>
      <c r="EO25" s="492">
        <v>24.048999999999999</v>
      </c>
      <c r="EP25" s="492">
        <v>27.318999999999999</v>
      </c>
      <c r="EQ25" s="492"/>
      <c r="ER25" s="492"/>
      <c r="ES25" s="492"/>
      <c r="ET25" s="492"/>
      <c r="EU25" s="492"/>
      <c r="EV25" s="492"/>
      <c r="EW25" s="492"/>
      <c r="EX25" s="492"/>
      <c r="EY25" s="492"/>
      <c r="EZ25" s="492"/>
      <c r="FA25" s="493">
        <f t="shared" si="22"/>
        <v>51.367999999999995</v>
      </c>
      <c r="FB25" s="590"/>
      <c r="FC25" s="595" t="str">
        <f t="shared" si="23"/>
        <v/>
      </c>
      <c r="FD25" s="596">
        <f t="shared" si="24"/>
        <v>-49.659736953754773</v>
      </c>
      <c r="FE25" s="498">
        <f t="shared" si="25"/>
        <v>294.625</v>
      </c>
      <c r="FF25" s="597">
        <f t="shared" si="26"/>
        <v>148.315</v>
      </c>
      <c r="FH25" s="551">
        <f t="shared" si="27"/>
        <v>6604.1940000000022</v>
      </c>
      <c r="FI25" s="553" t="s">
        <v>638</v>
      </c>
      <c r="FJ25" s="554" t="str">
        <f t="shared" si="28"/>
        <v>OK</v>
      </c>
    </row>
    <row r="26" spans="1:166" s="470" customFormat="1" ht="15" customHeight="1" x14ac:dyDescent="0.25">
      <c r="A26" s="610" t="s">
        <v>126</v>
      </c>
      <c r="B26" s="492">
        <v>151</v>
      </c>
      <c r="C26" s="492">
        <v>161</v>
      </c>
      <c r="D26" s="492">
        <v>122</v>
      </c>
      <c r="E26" s="492">
        <v>111</v>
      </c>
      <c r="F26" s="492">
        <v>148</v>
      </c>
      <c r="G26" s="492">
        <v>100</v>
      </c>
      <c r="H26" s="492">
        <v>57</v>
      </c>
      <c r="I26" s="492">
        <v>25</v>
      </c>
      <c r="J26" s="492">
        <v>150</v>
      </c>
      <c r="K26" s="492">
        <v>266</v>
      </c>
      <c r="L26" s="492">
        <v>292</v>
      </c>
      <c r="M26" s="492">
        <v>291</v>
      </c>
      <c r="N26" s="493">
        <f t="shared" si="13"/>
        <v>1874</v>
      </c>
      <c r="O26" s="492">
        <v>124</v>
      </c>
      <c r="P26" s="492">
        <v>163</v>
      </c>
      <c r="Q26" s="492">
        <v>149</v>
      </c>
      <c r="R26" s="492">
        <v>138</v>
      </c>
      <c r="S26" s="492">
        <v>172</v>
      </c>
      <c r="T26" s="492">
        <v>92</v>
      </c>
      <c r="U26" s="492">
        <v>50</v>
      </c>
      <c r="V26" s="492">
        <v>27</v>
      </c>
      <c r="W26" s="492">
        <v>158</v>
      </c>
      <c r="X26" s="492">
        <v>275</v>
      </c>
      <c r="Y26" s="492">
        <v>314</v>
      </c>
      <c r="Z26" s="492">
        <v>330</v>
      </c>
      <c r="AA26" s="493">
        <f t="shared" si="14"/>
        <v>1992</v>
      </c>
      <c r="AB26" s="492">
        <v>162</v>
      </c>
      <c r="AC26" s="492">
        <v>197</v>
      </c>
      <c r="AD26" s="492">
        <v>209</v>
      </c>
      <c r="AE26" s="492">
        <v>218</v>
      </c>
      <c r="AF26" s="492">
        <v>225</v>
      </c>
      <c r="AG26" s="492">
        <v>115</v>
      </c>
      <c r="AH26" s="492">
        <v>56</v>
      </c>
      <c r="AI26" s="492">
        <v>29</v>
      </c>
      <c r="AJ26" s="492">
        <v>239</v>
      </c>
      <c r="AK26" s="492">
        <v>283</v>
      </c>
      <c r="AL26" s="492">
        <v>402</v>
      </c>
      <c r="AM26" s="492">
        <v>432</v>
      </c>
      <c r="AN26" s="493">
        <f t="shared" si="15"/>
        <v>2567</v>
      </c>
      <c r="AO26" s="492">
        <v>179</v>
      </c>
      <c r="AP26" s="492">
        <v>229</v>
      </c>
      <c r="AQ26" s="492">
        <v>202</v>
      </c>
      <c r="AR26" s="492">
        <v>253</v>
      </c>
      <c r="AS26" s="492">
        <v>248</v>
      </c>
      <c r="AT26" s="492">
        <v>130</v>
      </c>
      <c r="AU26" s="492">
        <v>67</v>
      </c>
      <c r="AV26" s="492">
        <v>16</v>
      </c>
      <c r="AW26" s="492">
        <v>129</v>
      </c>
      <c r="AX26" s="492">
        <v>196</v>
      </c>
      <c r="AY26" s="492">
        <v>231</v>
      </c>
      <c r="AZ26" s="492">
        <v>147</v>
      </c>
      <c r="BA26" s="493">
        <f t="shared" si="16"/>
        <v>2027</v>
      </c>
      <c r="BB26" s="492">
        <v>107</v>
      </c>
      <c r="BC26" s="492">
        <v>117</v>
      </c>
      <c r="BD26" s="492">
        <v>88</v>
      </c>
      <c r="BE26" s="492">
        <v>101</v>
      </c>
      <c r="BF26" s="492">
        <v>99</v>
      </c>
      <c r="BG26" s="492">
        <v>34</v>
      </c>
      <c r="BH26" s="492">
        <v>16</v>
      </c>
      <c r="BI26" s="492">
        <v>6</v>
      </c>
      <c r="BJ26" s="492">
        <v>37</v>
      </c>
      <c r="BK26" s="492">
        <v>158</v>
      </c>
      <c r="BL26" s="492">
        <v>157</v>
      </c>
      <c r="BM26" s="492">
        <v>143</v>
      </c>
      <c r="BN26" s="493">
        <f t="shared" si="17"/>
        <v>1063</v>
      </c>
      <c r="BO26" s="492">
        <v>204</v>
      </c>
      <c r="BP26" s="492">
        <v>359</v>
      </c>
      <c r="BQ26" s="492">
        <v>426</v>
      </c>
      <c r="BR26" s="492">
        <v>398</v>
      </c>
      <c r="BS26" s="492">
        <v>342.26900000000001</v>
      </c>
      <c r="BT26" s="492">
        <v>128</v>
      </c>
      <c r="BU26" s="492">
        <v>83</v>
      </c>
      <c r="BV26" s="492">
        <v>43</v>
      </c>
      <c r="BW26" s="492">
        <v>119</v>
      </c>
      <c r="BX26" s="492">
        <v>98</v>
      </c>
      <c r="BY26" s="492">
        <v>386</v>
      </c>
      <c r="BZ26" s="492">
        <v>434</v>
      </c>
      <c r="CA26" s="493">
        <f t="shared" si="18"/>
        <v>3020.2690000000002</v>
      </c>
      <c r="CB26" s="492">
        <v>252.60999999999999</v>
      </c>
      <c r="CC26" s="492">
        <v>362.64000000000004</v>
      </c>
      <c r="CD26" s="492">
        <v>332.08799999999997</v>
      </c>
      <c r="CE26" s="492">
        <v>361.37</v>
      </c>
      <c r="CF26" s="492">
        <v>397.59999999999997</v>
      </c>
      <c r="CG26" s="492">
        <v>149.73999999999998</v>
      </c>
      <c r="CH26" s="492">
        <v>79.576999999999998</v>
      </c>
      <c r="CI26" s="492">
        <v>34.700000000000003</v>
      </c>
      <c r="CJ26" s="492">
        <v>110.46000000000001</v>
      </c>
      <c r="CK26" s="492">
        <v>109.68</v>
      </c>
      <c r="CL26" s="492">
        <v>432.32900000000001</v>
      </c>
      <c r="CM26" s="492">
        <v>484.29799999999994</v>
      </c>
      <c r="CN26" s="493">
        <f t="shared" si="19"/>
        <v>3107.0919999999996</v>
      </c>
      <c r="CO26" s="492">
        <v>286.61</v>
      </c>
      <c r="CP26" s="492">
        <v>368.80900000000003</v>
      </c>
      <c r="CQ26" s="492">
        <v>342.23</v>
      </c>
      <c r="CR26" s="492">
        <v>393.23900000000003</v>
      </c>
      <c r="CS26" s="492">
        <v>423.75900000000001</v>
      </c>
      <c r="CT26" s="492">
        <v>173.89</v>
      </c>
      <c r="CU26" s="492">
        <v>74.088000000000008</v>
      </c>
      <c r="CV26" s="492">
        <v>31.7</v>
      </c>
      <c r="CW26" s="492">
        <v>64.09</v>
      </c>
      <c r="CX26" s="492">
        <v>35.590000000000003</v>
      </c>
      <c r="CY26" s="492">
        <v>203.01</v>
      </c>
      <c r="CZ26" s="492">
        <v>461.60000000000008</v>
      </c>
      <c r="DA26" s="493">
        <f t="shared" si="20"/>
        <v>2858.6150000000002</v>
      </c>
      <c r="DB26" s="492">
        <v>300.25799999999998</v>
      </c>
      <c r="DC26" s="492">
        <v>249.32</v>
      </c>
      <c r="DD26" s="492">
        <v>202.47</v>
      </c>
      <c r="DE26" s="492">
        <v>202.625</v>
      </c>
      <c r="DF26" s="492">
        <v>220.322</v>
      </c>
      <c r="DG26" s="492">
        <v>65.27</v>
      </c>
      <c r="DH26" s="492">
        <v>56.32</v>
      </c>
      <c r="DI26" s="492">
        <v>18.47</v>
      </c>
      <c r="DJ26" s="492">
        <v>87.969000000000008</v>
      </c>
      <c r="DK26" s="492">
        <v>46.57</v>
      </c>
      <c r="DL26" s="492">
        <v>235.62899999999999</v>
      </c>
      <c r="DM26" s="492">
        <v>243.14</v>
      </c>
      <c r="DN26" s="493">
        <f t="shared" si="21"/>
        <v>1928.3629999999998</v>
      </c>
      <c r="DO26" s="492">
        <v>218.40799999999999</v>
      </c>
      <c r="DP26" s="492">
        <v>169.74700000000001</v>
      </c>
      <c r="DQ26" s="492">
        <v>141.53899999999999</v>
      </c>
      <c r="DR26" s="492">
        <v>174.96899999999999</v>
      </c>
      <c r="DS26" s="492">
        <v>205.54599999999999</v>
      </c>
      <c r="DT26" s="492">
        <v>76.350000000000009</v>
      </c>
      <c r="DU26" s="492">
        <v>56.33</v>
      </c>
      <c r="DV26" s="492">
        <v>21.49</v>
      </c>
      <c r="DW26" s="492">
        <v>115.437</v>
      </c>
      <c r="DX26" s="492">
        <v>53.819000000000003</v>
      </c>
      <c r="DY26" s="492">
        <v>265.137</v>
      </c>
      <c r="DZ26" s="492">
        <v>305.77800000000008</v>
      </c>
      <c r="EA26" s="493">
        <v>1804.55</v>
      </c>
      <c r="EB26" s="492">
        <v>229.958</v>
      </c>
      <c r="EC26" s="492">
        <v>154.62</v>
      </c>
      <c r="ED26" s="492">
        <v>127.497</v>
      </c>
      <c r="EE26" s="492">
        <v>141.059</v>
      </c>
      <c r="EF26" s="492">
        <v>176.208</v>
      </c>
      <c r="EG26" s="492">
        <v>66.879000000000005</v>
      </c>
      <c r="EH26" s="492">
        <v>39.06</v>
      </c>
      <c r="EI26" s="492">
        <v>21.63</v>
      </c>
      <c r="EJ26" s="492">
        <v>115.04900000000001</v>
      </c>
      <c r="EK26" s="492">
        <v>61.91</v>
      </c>
      <c r="EL26" s="492">
        <v>291.11900000000003</v>
      </c>
      <c r="EM26" s="492">
        <v>317.14600000000002</v>
      </c>
      <c r="EN26" s="493">
        <v>1742.135</v>
      </c>
      <c r="EO26" s="492">
        <v>216.33699999999999</v>
      </c>
      <c r="EP26" s="492">
        <v>150.66999999999999</v>
      </c>
      <c r="EQ26" s="492"/>
      <c r="ER26" s="492"/>
      <c r="ES26" s="492"/>
      <c r="ET26" s="492"/>
      <c r="EU26" s="492"/>
      <c r="EV26" s="492"/>
      <c r="EW26" s="492"/>
      <c r="EX26" s="492"/>
      <c r="EY26" s="492"/>
      <c r="EZ26" s="492"/>
      <c r="FA26" s="493">
        <f t="shared" si="22"/>
        <v>367.00699999999995</v>
      </c>
      <c r="FB26" s="590"/>
      <c r="FC26" s="595">
        <f t="shared" si="23"/>
        <v>9.7994621648430869</v>
      </c>
      <c r="FD26" s="596">
        <f t="shared" si="24"/>
        <v>-4.9228968782443205</v>
      </c>
      <c r="FE26" s="498">
        <f t="shared" si="25"/>
        <v>1498.7719999999999</v>
      </c>
      <c r="FF26" s="597">
        <f t="shared" si="26"/>
        <v>1424.989</v>
      </c>
      <c r="FH26" s="551">
        <f t="shared" si="27"/>
        <v>44954.062000000005</v>
      </c>
      <c r="FI26" s="553" t="s">
        <v>126</v>
      </c>
      <c r="FJ26" s="554" t="str">
        <f t="shared" si="28"/>
        <v>OK</v>
      </c>
    </row>
    <row r="27" spans="1:166" s="470" customFormat="1" ht="15" customHeight="1" x14ac:dyDescent="0.25">
      <c r="A27" s="610" t="s">
        <v>127</v>
      </c>
      <c r="B27" s="492"/>
      <c r="C27" s="492"/>
      <c r="D27" s="492"/>
      <c r="E27" s="492"/>
      <c r="F27" s="492"/>
      <c r="G27" s="492"/>
      <c r="H27" s="492"/>
      <c r="I27" s="492">
        <v>508</v>
      </c>
      <c r="J27" s="492">
        <v>775</v>
      </c>
      <c r="K27" s="492">
        <v>469</v>
      </c>
      <c r="L27" s="492">
        <v>145</v>
      </c>
      <c r="M27" s="492">
        <v>35</v>
      </c>
      <c r="N27" s="493">
        <f t="shared" si="13"/>
        <v>1932</v>
      </c>
      <c r="O27" s="492">
        <v>39</v>
      </c>
      <c r="P27" s="492">
        <v>35</v>
      </c>
      <c r="Q27" s="492"/>
      <c r="R27" s="492"/>
      <c r="S27" s="492"/>
      <c r="T27" s="492"/>
      <c r="U27" s="492"/>
      <c r="V27" s="492">
        <v>532</v>
      </c>
      <c r="W27" s="492">
        <v>517</v>
      </c>
      <c r="X27" s="492">
        <v>436</v>
      </c>
      <c r="Y27" s="492">
        <v>46</v>
      </c>
      <c r="Z27" s="492">
        <v>65</v>
      </c>
      <c r="AA27" s="493">
        <f t="shared" si="14"/>
        <v>1670</v>
      </c>
      <c r="AB27" s="492"/>
      <c r="AC27" s="492"/>
      <c r="AD27" s="492"/>
      <c r="AE27" s="492"/>
      <c r="AF27" s="492"/>
      <c r="AG27" s="492"/>
      <c r="AH27" s="492">
        <v>22</v>
      </c>
      <c r="AI27" s="492">
        <v>338</v>
      </c>
      <c r="AJ27" s="492">
        <v>707</v>
      </c>
      <c r="AK27" s="492">
        <v>151</v>
      </c>
      <c r="AL27" s="492"/>
      <c r="AM27" s="492"/>
      <c r="AN27" s="493">
        <f t="shared" si="15"/>
        <v>1218</v>
      </c>
      <c r="AO27" s="492"/>
      <c r="AP27" s="492"/>
      <c r="AQ27" s="492"/>
      <c r="AR27" s="492"/>
      <c r="AS27" s="492"/>
      <c r="AT27" s="492">
        <v>77</v>
      </c>
      <c r="AU27" s="492">
        <v>257</v>
      </c>
      <c r="AV27" s="492">
        <v>598</v>
      </c>
      <c r="AW27" s="492">
        <v>543</v>
      </c>
      <c r="AX27" s="492">
        <v>91</v>
      </c>
      <c r="AY27" s="492"/>
      <c r="AZ27" s="492"/>
      <c r="BA27" s="493">
        <f t="shared" si="16"/>
        <v>1566</v>
      </c>
      <c r="BB27" s="492"/>
      <c r="BC27" s="492"/>
      <c r="BD27" s="492"/>
      <c r="BE27" s="492"/>
      <c r="BF27" s="492"/>
      <c r="BG27" s="492"/>
      <c r="BH27" s="492">
        <v>30</v>
      </c>
      <c r="BI27" s="492">
        <v>37</v>
      </c>
      <c r="BJ27" s="492">
        <v>86</v>
      </c>
      <c r="BK27" s="492">
        <v>383</v>
      </c>
      <c r="BL27" s="492">
        <v>21</v>
      </c>
      <c r="BM27" s="492">
        <v>17</v>
      </c>
      <c r="BN27" s="493">
        <f t="shared" si="17"/>
        <v>574</v>
      </c>
      <c r="BO27" s="492"/>
      <c r="BP27" s="492"/>
      <c r="BQ27" s="492"/>
      <c r="BR27" s="492"/>
      <c r="BS27" s="492"/>
      <c r="BT27" s="492"/>
      <c r="BU27" s="492">
        <v>590.14</v>
      </c>
      <c r="BV27" s="492">
        <v>996.31000000000017</v>
      </c>
      <c r="BW27" s="492">
        <v>401.25000000000006</v>
      </c>
      <c r="BX27" s="492"/>
      <c r="BY27" s="492"/>
      <c r="BZ27" s="492"/>
      <c r="CA27" s="493">
        <f t="shared" si="18"/>
        <v>1987.7000000000003</v>
      </c>
      <c r="CB27" s="492"/>
      <c r="CC27" s="492"/>
      <c r="CD27" s="492"/>
      <c r="CE27" s="492"/>
      <c r="CF27" s="492"/>
      <c r="CG27" s="492"/>
      <c r="CH27" s="492">
        <v>77.400000000000006</v>
      </c>
      <c r="CI27" s="492">
        <v>755.88</v>
      </c>
      <c r="CJ27" s="492">
        <v>462.29999999999995</v>
      </c>
      <c r="CK27" s="492">
        <v>53.4</v>
      </c>
      <c r="CL27" s="492">
        <v>25.8</v>
      </c>
      <c r="CM27" s="492">
        <v>52.63</v>
      </c>
      <c r="CN27" s="493">
        <f t="shared" si="19"/>
        <v>1427.41</v>
      </c>
      <c r="CO27" s="492"/>
      <c r="CP27" s="492"/>
      <c r="CQ27" s="492"/>
      <c r="CR27" s="492"/>
      <c r="CS27" s="492"/>
      <c r="CT27" s="492"/>
      <c r="CU27" s="492"/>
      <c r="CV27" s="492">
        <v>544.16000000000008</v>
      </c>
      <c r="CW27" s="492">
        <v>447.27</v>
      </c>
      <c r="CX27" s="492">
        <v>107</v>
      </c>
      <c r="CY27" s="492"/>
      <c r="CZ27" s="492"/>
      <c r="DA27" s="493">
        <f t="shared" si="20"/>
        <v>1098.43</v>
      </c>
      <c r="DB27" s="492"/>
      <c r="DC27" s="492"/>
      <c r="DD27" s="492"/>
      <c r="DE27" s="492"/>
      <c r="DF27" s="492"/>
      <c r="DG27" s="492"/>
      <c r="DH27" s="492"/>
      <c r="DI27" s="492">
        <v>643.54999999999995</v>
      </c>
      <c r="DJ27" s="492">
        <v>901.3</v>
      </c>
      <c r="DK27" s="492">
        <v>451.55999999999989</v>
      </c>
      <c r="DL27" s="492">
        <v>100.28</v>
      </c>
      <c r="DM27" s="492"/>
      <c r="DN27" s="493">
        <f t="shared" si="21"/>
        <v>2096.69</v>
      </c>
      <c r="DO27" s="492">
        <v>0</v>
      </c>
      <c r="DP27" s="492">
        <v>0</v>
      </c>
      <c r="DQ27" s="492">
        <v>0</v>
      </c>
      <c r="DR27" s="492">
        <v>0</v>
      </c>
      <c r="DS27" s="492">
        <v>0</v>
      </c>
      <c r="DT27" s="492">
        <v>0</v>
      </c>
      <c r="DU27" s="492">
        <v>0</v>
      </c>
      <c r="DV27" s="492">
        <v>950.66000000000008</v>
      </c>
      <c r="DW27" s="492">
        <v>1453.47</v>
      </c>
      <c r="DX27" s="492">
        <v>242.81</v>
      </c>
      <c r="DY27" s="492">
        <v>309.96899999999999</v>
      </c>
      <c r="DZ27" s="492">
        <v>0</v>
      </c>
      <c r="EA27" s="493">
        <v>2956.9090000000001</v>
      </c>
      <c r="EB27" s="492">
        <v>46.94</v>
      </c>
      <c r="EC27" s="492">
        <v>0</v>
      </c>
      <c r="ED27" s="492">
        <v>0</v>
      </c>
      <c r="EE27" s="492">
        <v>0</v>
      </c>
      <c r="EF27" s="492">
        <v>0</v>
      </c>
      <c r="EG27" s="492">
        <v>0</v>
      </c>
      <c r="EH27" s="492">
        <v>0</v>
      </c>
      <c r="EI27" s="492">
        <v>246.77</v>
      </c>
      <c r="EJ27" s="492">
        <v>689.73900000000003</v>
      </c>
      <c r="EK27" s="492">
        <v>499.35</v>
      </c>
      <c r="EL27" s="492">
        <v>114.979</v>
      </c>
      <c r="EM27" s="492">
        <v>224.84</v>
      </c>
      <c r="EN27" s="493">
        <v>1822.6179999999999</v>
      </c>
      <c r="EO27" s="492">
        <v>18.75</v>
      </c>
      <c r="EP27" s="492">
        <v>0</v>
      </c>
      <c r="EQ27" s="492"/>
      <c r="ER27" s="492"/>
      <c r="ES27" s="492"/>
      <c r="ET27" s="492"/>
      <c r="EU27" s="492"/>
      <c r="EV27" s="492"/>
      <c r="EW27" s="492"/>
      <c r="EX27" s="492"/>
      <c r="EY27" s="492"/>
      <c r="EZ27" s="492"/>
      <c r="FA27" s="493">
        <f t="shared" si="22"/>
        <v>18.75</v>
      </c>
      <c r="FB27" s="590"/>
      <c r="FC27" s="595">
        <f t="shared" si="23"/>
        <v>-62.906290629062902</v>
      </c>
      <c r="FD27" s="596">
        <f t="shared" si="24"/>
        <v>-45.96458666803747</v>
      </c>
      <c r="FE27" s="498">
        <f t="shared" si="25"/>
        <v>2956.9090000000001</v>
      </c>
      <c r="FF27" s="597">
        <f t="shared" si="26"/>
        <v>1597.778</v>
      </c>
      <c r="FH27" s="551">
        <f t="shared" si="27"/>
        <v>32873.013999999996</v>
      </c>
      <c r="FI27" s="553" t="s">
        <v>127</v>
      </c>
      <c r="FJ27" s="554" t="str">
        <f t="shared" si="28"/>
        <v>OK</v>
      </c>
    </row>
    <row r="28" spans="1:166" s="470" customFormat="1" ht="15" customHeight="1" x14ac:dyDescent="0.25">
      <c r="A28" s="610" t="s">
        <v>128</v>
      </c>
      <c r="B28" s="492">
        <v>792</v>
      </c>
      <c r="C28" s="492">
        <v>655</v>
      </c>
      <c r="D28" s="492">
        <v>488</v>
      </c>
      <c r="E28" s="492">
        <v>311</v>
      </c>
      <c r="F28" s="492">
        <v>756</v>
      </c>
      <c r="G28" s="492">
        <v>705</v>
      </c>
      <c r="H28" s="492">
        <v>238</v>
      </c>
      <c r="I28" s="492">
        <v>18</v>
      </c>
      <c r="J28" s="492">
        <v>548</v>
      </c>
      <c r="K28" s="492">
        <v>571</v>
      </c>
      <c r="L28" s="492">
        <v>599</v>
      </c>
      <c r="M28" s="492">
        <v>544</v>
      </c>
      <c r="N28" s="493">
        <f t="shared" si="13"/>
        <v>6225</v>
      </c>
      <c r="O28" s="492">
        <v>585</v>
      </c>
      <c r="P28" s="492">
        <v>610</v>
      </c>
      <c r="Q28" s="492">
        <v>507</v>
      </c>
      <c r="R28" s="492">
        <v>392</v>
      </c>
      <c r="S28" s="492">
        <v>760</v>
      </c>
      <c r="T28" s="492">
        <v>689</v>
      </c>
      <c r="U28" s="492">
        <v>262</v>
      </c>
      <c r="V28" s="492">
        <v>27</v>
      </c>
      <c r="W28" s="492">
        <v>493</v>
      </c>
      <c r="X28" s="492">
        <v>565</v>
      </c>
      <c r="Y28" s="492">
        <v>625</v>
      </c>
      <c r="Z28" s="492">
        <v>624</v>
      </c>
      <c r="AA28" s="493">
        <f t="shared" si="14"/>
        <v>6139</v>
      </c>
      <c r="AB28" s="492">
        <v>653</v>
      </c>
      <c r="AC28" s="492">
        <v>663</v>
      </c>
      <c r="AD28" s="492">
        <v>667</v>
      </c>
      <c r="AE28" s="492">
        <v>543</v>
      </c>
      <c r="AF28" s="492">
        <v>821</v>
      </c>
      <c r="AG28" s="492">
        <v>824</v>
      </c>
      <c r="AH28" s="492">
        <v>215</v>
      </c>
      <c r="AI28" s="492">
        <v>31</v>
      </c>
      <c r="AJ28" s="492">
        <v>685</v>
      </c>
      <c r="AK28" s="492">
        <v>761</v>
      </c>
      <c r="AL28" s="492">
        <v>893</v>
      </c>
      <c r="AM28" s="492">
        <v>883</v>
      </c>
      <c r="AN28" s="493">
        <f t="shared" si="15"/>
        <v>7639</v>
      </c>
      <c r="AO28" s="492">
        <v>706</v>
      </c>
      <c r="AP28" s="492">
        <v>850</v>
      </c>
      <c r="AQ28" s="492">
        <v>779</v>
      </c>
      <c r="AR28" s="492">
        <v>659</v>
      </c>
      <c r="AS28" s="492">
        <v>974</v>
      </c>
      <c r="AT28" s="492">
        <v>797</v>
      </c>
      <c r="AU28" s="492">
        <v>263</v>
      </c>
      <c r="AV28" s="492">
        <v>28</v>
      </c>
      <c r="AW28" s="492">
        <v>295</v>
      </c>
      <c r="AX28" s="492">
        <v>696</v>
      </c>
      <c r="AY28" s="492">
        <v>720</v>
      </c>
      <c r="AZ28" s="492">
        <v>423</v>
      </c>
      <c r="BA28" s="493">
        <f t="shared" si="16"/>
        <v>7190</v>
      </c>
      <c r="BB28" s="492">
        <v>438</v>
      </c>
      <c r="BC28" s="492">
        <v>926</v>
      </c>
      <c r="BD28" s="492">
        <v>700</v>
      </c>
      <c r="BE28" s="492">
        <v>853</v>
      </c>
      <c r="BF28" s="492">
        <v>1204</v>
      </c>
      <c r="BG28" s="492">
        <v>637</v>
      </c>
      <c r="BH28" s="492">
        <v>172</v>
      </c>
      <c r="BI28" s="492">
        <v>32</v>
      </c>
      <c r="BJ28" s="492">
        <v>270</v>
      </c>
      <c r="BK28" s="492">
        <v>643</v>
      </c>
      <c r="BL28" s="492">
        <v>530</v>
      </c>
      <c r="BM28" s="492">
        <v>393</v>
      </c>
      <c r="BN28" s="493">
        <f t="shared" si="17"/>
        <v>6798</v>
      </c>
      <c r="BO28" s="492">
        <v>827.77900000000011</v>
      </c>
      <c r="BP28" s="492">
        <v>1372.519</v>
      </c>
      <c r="BQ28" s="492">
        <v>1402.9990000000003</v>
      </c>
      <c r="BR28" s="492">
        <v>1451.537</v>
      </c>
      <c r="BS28" s="492">
        <v>1771.309</v>
      </c>
      <c r="BT28" s="492">
        <v>1163.2800000000002</v>
      </c>
      <c r="BU28" s="492">
        <v>339.31999999999994</v>
      </c>
      <c r="BV28" s="492">
        <v>47.370000000000005</v>
      </c>
      <c r="BW28" s="492">
        <v>408.47999999999996</v>
      </c>
      <c r="BX28" s="492">
        <v>906.928</v>
      </c>
      <c r="BY28" s="492">
        <v>1063.78</v>
      </c>
      <c r="BZ28" s="492">
        <v>836.88800000000003</v>
      </c>
      <c r="CA28" s="493">
        <f t="shared" si="18"/>
        <v>11592.189000000002</v>
      </c>
      <c r="CB28" s="492">
        <v>1100.8000000000002</v>
      </c>
      <c r="CC28" s="492">
        <v>1374.9589999999998</v>
      </c>
      <c r="CD28" s="492">
        <v>1391.2190000000001</v>
      </c>
      <c r="CE28" s="492">
        <v>2108.6979999999999</v>
      </c>
      <c r="CF28" s="492">
        <v>2224.4890000000005</v>
      </c>
      <c r="CG28" s="492">
        <v>1522.5500000000002</v>
      </c>
      <c r="CH28" s="492">
        <v>299.80899999999997</v>
      </c>
      <c r="CI28" s="492">
        <v>45.7</v>
      </c>
      <c r="CJ28" s="492">
        <v>452.34900000000005</v>
      </c>
      <c r="CK28" s="492">
        <v>1323.6900000000003</v>
      </c>
      <c r="CL28" s="492">
        <v>1372.549</v>
      </c>
      <c r="CM28" s="492">
        <v>1014.6899999999999</v>
      </c>
      <c r="CN28" s="493">
        <f t="shared" si="19"/>
        <v>14231.502000000002</v>
      </c>
      <c r="CO28" s="492">
        <v>1033.9100000000001</v>
      </c>
      <c r="CP28" s="492">
        <v>1181.8580000000002</v>
      </c>
      <c r="CQ28" s="492">
        <v>1332.3889999999999</v>
      </c>
      <c r="CR28" s="492">
        <v>1880.3700000000001</v>
      </c>
      <c r="CS28" s="492">
        <v>2156.0280000000002</v>
      </c>
      <c r="CT28" s="492">
        <v>1514.0800000000002</v>
      </c>
      <c r="CU28" s="492">
        <v>498.11900000000003</v>
      </c>
      <c r="CV28" s="492">
        <v>58.2</v>
      </c>
      <c r="CW28" s="492">
        <v>544.11</v>
      </c>
      <c r="CX28" s="492">
        <v>653.98899999999992</v>
      </c>
      <c r="CY28" s="492">
        <v>437.2</v>
      </c>
      <c r="CZ28" s="492">
        <v>622.86900000000014</v>
      </c>
      <c r="DA28" s="493">
        <f t="shared" si="20"/>
        <v>11913.122000000003</v>
      </c>
      <c r="DB28" s="492">
        <v>817.39999999999986</v>
      </c>
      <c r="DC28" s="492">
        <v>686.82899999999995</v>
      </c>
      <c r="DD28" s="492">
        <v>569.92999999999995</v>
      </c>
      <c r="DE28" s="492">
        <v>1021.5580000000002</v>
      </c>
      <c r="DF28" s="492">
        <v>1646.1389999999999</v>
      </c>
      <c r="DG28" s="492">
        <v>1325.248</v>
      </c>
      <c r="DH28" s="492">
        <v>399.07</v>
      </c>
      <c r="DI28" s="492">
        <v>75.42</v>
      </c>
      <c r="DJ28" s="492">
        <v>439.42899999999997</v>
      </c>
      <c r="DK28" s="492">
        <v>562.99</v>
      </c>
      <c r="DL28" s="492">
        <v>414.41799999999989</v>
      </c>
      <c r="DM28" s="492">
        <v>235.119</v>
      </c>
      <c r="DN28" s="493">
        <f t="shared" si="21"/>
        <v>8193.5499999999993</v>
      </c>
      <c r="DO28" s="492">
        <v>401.45</v>
      </c>
      <c r="DP28" s="492">
        <v>353.21800000000002</v>
      </c>
      <c r="DQ28" s="492">
        <v>272.93900000000002</v>
      </c>
      <c r="DR28" s="492">
        <v>445.19000000000011</v>
      </c>
      <c r="DS28" s="492">
        <v>1351.9659999999999</v>
      </c>
      <c r="DT28" s="492">
        <v>1301.989</v>
      </c>
      <c r="DU28" s="492">
        <v>399.05999999999989</v>
      </c>
      <c r="DV28" s="492">
        <v>73.239999999999995</v>
      </c>
      <c r="DW28" s="492">
        <v>0</v>
      </c>
      <c r="DX28" s="492">
        <v>222.23400000000001</v>
      </c>
      <c r="DY28" s="492">
        <v>348.697</v>
      </c>
      <c r="DZ28" s="492">
        <v>309.44</v>
      </c>
      <c r="EA28" s="493">
        <v>5479.4229999999998</v>
      </c>
      <c r="EB28" s="492">
        <v>339.52</v>
      </c>
      <c r="EC28" s="492">
        <v>279.01</v>
      </c>
      <c r="ED28" s="492">
        <v>193.74</v>
      </c>
      <c r="EE28" s="492">
        <v>245.93</v>
      </c>
      <c r="EF28" s="492">
        <v>515.68900000000008</v>
      </c>
      <c r="EG28" s="492">
        <v>634.67899999999997</v>
      </c>
      <c r="EH28" s="492">
        <v>184.149</v>
      </c>
      <c r="EI28" s="492">
        <v>14.86</v>
      </c>
      <c r="EJ28" s="492">
        <v>0</v>
      </c>
      <c r="EK28" s="492">
        <v>204.35099999999991</v>
      </c>
      <c r="EL28" s="492">
        <v>341.62900000000002</v>
      </c>
      <c r="EM28" s="492">
        <v>333.94900000000001</v>
      </c>
      <c r="EN28" s="493">
        <v>3287.5060000000003</v>
      </c>
      <c r="EO28" s="492">
        <v>320.10599999999988</v>
      </c>
      <c r="EP28" s="492">
        <v>300.35800000000012</v>
      </c>
      <c r="EQ28" s="492"/>
      <c r="ER28" s="492"/>
      <c r="ES28" s="492"/>
      <c r="ET28" s="492"/>
      <c r="EU28" s="492"/>
      <c r="EV28" s="492"/>
      <c r="EW28" s="492"/>
      <c r="EX28" s="492"/>
      <c r="EY28" s="492"/>
      <c r="EZ28" s="492"/>
      <c r="FA28" s="493">
        <f t="shared" si="22"/>
        <v>620.46399999999994</v>
      </c>
      <c r="FB28" s="590"/>
      <c r="FC28" s="595">
        <f t="shared" si="23"/>
        <v>-2.0269747087012457</v>
      </c>
      <c r="FD28" s="596">
        <f t="shared" si="24"/>
        <v>-42.871050059545645</v>
      </c>
      <c r="FE28" s="498">
        <f t="shared" si="25"/>
        <v>5169.9830000000002</v>
      </c>
      <c r="FF28" s="597">
        <f t="shared" si="26"/>
        <v>2953.5570000000002</v>
      </c>
      <c r="FG28" s="509"/>
      <c r="FH28" s="551">
        <f t="shared" si="27"/>
        <v>166167.51199999999</v>
      </c>
      <c r="FI28" s="553" t="s">
        <v>128</v>
      </c>
      <c r="FJ28" s="554" t="str">
        <f t="shared" si="28"/>
        <v>OK</v>
      </c>
    </row>
    <row r="29" spans="1:166" s="470" customFormat="1" ht="15" customHeight="1" x14ac:dyDescent="0.25">
      <c r="A29" s="610" t="s">
        <v>639</v>
      </c>
      <c r="B29" s="492">
        <v>308</v>
      </c>
      <c r="C29" s="492">
        <v>343</v>
      </c>
      <c r="D29" s="492">
        <v>246</v>
      </c>
      <c r="E29" s="492">
        <v>136</v>
      </c>
      <c r="F29" s="492">
        <v>87</v>
      </c>
      <c r="G29" s="492">
        <v>82</v>
      </c>
      <c r="H29" s="492">
        <v>32</v>
      </c>
      <c r="I29" s="492"/>
      <c r="J29" s="492">
        <v>26</v>
      </c>
      <c r="K29" s="492">
        <v>216</v>
      </c>
      <c r="L29" s="492">
        <v>296</v>
      </c>
      <c r="M29" s="492">
        <v>315</v>
      </c>
      <c r="N29" s="493">
        <f t="shared" si="13"/>
        <v>2087</v>
      </c>
      <c r="O29" s="492">
        <v>256</v>
      </c>
      <c r="P29" s="492">
        <v>324</v>
      </c>
      <c r="Q29" s="492">
        <v>279</v>
      </c>
      <c r="R29" s="492">
        <v>168</v>
      </c>
      <c r="S29" s="492">
        <v>96</v>
      </c>
      <c r="T29" s="492">
        <v>77</v>
      </c>
      <c r="U29" s="492">
        <v>24</v>
      </c>
      <c r="V29" s="492"/>
      <c r="W29" s="492">
        <v>29</v>
      </c>
      <c r="X29" s="492">
        <v>195</v>
      </c>
      <c r="Y29" s="492">
        <v>296</v>
      </c>
      <c r="Z29" s="492">
        <v>342</v>
      </c>
      <c r="AA29" s="493">
        <f t="shared" si="14"/>
        <v>2086</v>
      </c>
      <c r="AB29" s="492">
        <v>307</v>
      </c>
      <c r="AC29" s="492">
        <v>333</v>
      </c>
      <c r="AD29" s="492">
        <v>366</v>
      </c>
      <c r="AE29" s="492">
        <v>254</v>
      </c>
      <c r="AF29" s="492">
        <v>149</v>
      </c>
      <c r="AG29" s="492">
        <v>126</v>
      </c>
      <c r="AH29" s="492">
        <v>28</v>
      </c>
      <c r="AI29" s="492"/>
      <c r="AJ29" s="492">
        <v>38</v>
      </c>
      <c r="AK29" s="492">
        <v>226</v>
      </c>
      <c r="AL29" s="492">
        <v>355</v>
      </c>
      <c r="AM29" s="492">
        <v>372</v>
      </c>
      <c r="AN29" s="493">
        <f t="shared" si="15"/>
        <v>2554</v>
      </c>
      <c r="AO29" s="492">
        <v>323</v>
      </c>
      <c r="AP29" s="492">
        <v>397</v>
      </c>
      <c r="AQ29" s="492">
        <v>338</v>
      </c>
      <c r="AR29" s="492">
        <v>256</v>
      </c>
      <c r="AS29" s="492">
        <v>145</v>
      </c>
      <c r="AT29" s="492">
        <v>111</v>
      </c>
      <c r="AU29" s="492">
        <v>30</v>
      </c>
      <c r="AV29" s="492"/>
      <c r="AW29" s="492">
        <v>30</v>
      </c>
      <c r="AX29" s="492">
        <v>169</v>
      </c>
      <c r="AY29" s="492">
        <v>255</v>
      </c>
      <c r="AZ29" s="492">
        <v>241</v>
      </c>
      <c r="BA29" s="493">
        <f t="shared" si="16"/>
        <v>2295</v>
      </c>
      <c r="BB29" s="492">
        <v>240</v>
      </c>
      <c r="BC29" s="492">
        <v>314</v>
      </c>
      <c r="BD29" s="492">
        <v>327</v>
      </c>
      <c r="BE29" s="492">
        <v>254</v>
      </c>
      <c r="BF29" s="492">
        <v>138</v>
      </c>
      <c r="BG29" s="492">
        <v>76</v>
      </c>
      <c r="BH29" s="492">
        <v>21</v>
      </c>
      <c r="BI29" s="492"/>
      <c r="BJ29" s="492">
        <v>10</v>
      </c>
      <c r="BK29" s="492">
        <v>161</v>
      </c>
      <c r="BL29" s="492">
        <v>254</v>
      </c>
      <c r="BM29" s="492">
        <v>261</v>
      </c>
      <c r="BN29" s="493">
        <f t="shared" si="17"/>
        <v>2056</v>
      </c>
      <c r="BO29" s="492">
        <v>385.80899999999997</v>
      </c>
      <c r="BP29" s="492">
        <v>526.30799999999999</v>
      </c>
      <c r="BQ29" s="492">
        <v>561.52900000000011</v>
      </c>
      <c r="BR29" s="492">
        <v>453.16999999999996</v>
      </c>
      <c r="BS29" s="492">
        <v>258.52</v>
      </c>
      <c r="BT29" s="492">
        <v>173.27</v>
      </c>
      <c r="BU29" s="492">
        <v>25.68</v>
      </c>
      <c r="BV29" s="492"/>
      <c r="BW29" s="492"/>
      <c r="BX29" s="492">
        <v>41.3</v>
      </c>
      <c r="BY29" s="492">
        <v>318.47899999999998</v>
      </c>
      <c r="BZ29" s="492">
        <v>392.22899999999998</v>
      </c>
      <c r="CA29" s="493">
        <f t="shared" si="18"/>
        <v>3136.2939999999999</v>
      </c>
      <c r="CB29" s="492">
        <v>461.31999999999994</v>
      </c>
      <c r="CC29" s="492">
        <v>520.17999999999984</v>
      </c>
      <c r="CD29" s="492">
        <v>533.26</v>
      </c>
      <c r="CE29" s="492">
        <v>419.55900000000003</v>
      </c>
      <c r="CF29" s="492">
        <v>261.05900000000003</v>
      </c>
      <c r="CG29" s="492">
        <v>193.18</v>
      </c>
      <c r="CH29" s="492">
        <v>41.84</v>
      </c>
      <c r="CI29" s="492"/>
      <c r="CJ29" s="492"/>
      <c r="CK29" s="492">
        <v>60.300000000000004</v>
      </c>
      <c r="CL29" s="492">
        <v>461.51899999999995</v>
      </c>
      <c r="CM29" s="492">
        <v>613.67900000000009</v>
      </c>
      <c r="CN29" s="493">
        <f t="shared" si="19"/>
        <v>3565.8959999999997</v>
      </c>
      <c r="CO29" s="492">
        <v>543.83000000000004</v>
      </c>
      <c r="CP29" s="492">
        <v>562.88</v>
      </c>
      <c r="CQ29" s="492">
        <v>559.36199999999997</v>
      </c>
      <c r="CR29" s="492">
        <v>447.11000000000007</v>
      </c>
      <c r="CS29" s="492">
        <v>293.03899999999999</v>
      </c>
      <c r="CT29" s="492">
        <v>217.52799999999996</v>
      </c>
      <c r="CU29" s="492">
        <v>57.25</v>
      </c>
      <c r="CV29" s="492"/>
      <c r="CW29" s="492"/>
      <c r="CX29" s="492">
        <v>31.279</v>
      </c>
      <c r="CY29" s="492">
        <v>234.50999999999996</v>
      </c>
      <c r="CZ29" s="492">
        <v>508.149</v>
      </c>
      <c r="DA29" s="493">
        <f t="shared" si="20"/>
        <v>3454.9369999999999</v>
      </c>
      <c r="DB29" s="492">
        <v>550.75199999999984</v>
      </c>
      <c r="DC29" s="492">
        <v>495.6</v>
      </c>
      <c r="DD29" s="492">
        <v>417.28000000000003</v>
      </c>
      <c r="DE29" s="492">
        <v>385.34999999999997</v>
      </c>
      <c r="DF29" s="492">
        <v>228.43899999999999</v>
      </c>
      <c r="DG29" s="492">
        <v>199.94900000000001</v>
      </c>
      <c r="DH29" s="492">
        <v>62.43</v>
      </c>
      <c r="DI29" s="492"/>
      <c r="DJ29" s="492"/>
      <c r="DK29" s="492">
        <v>42.64</v>
      </c>
      <c r="DL29" s="492">
        <v>241.82900000000001</v>
      </c>
      <c r="DM29" s="492">
        <v>273.66800000000001</v>
      </c>
      <c r="DN29" s="493">
        <f t="shared" si="21"/>
        <v>2897.9369999999999</v>
      </c>
      <c r="DO29" s="492">
        <v>389.21</v>
      </c>
      <c r="DP29" s="492">
        <v>360.27899999999988</v>
      </c>
      <c r="DQ29" s="492">
        <v>283.03899999999999</v>
      </c>
      <c r="DR29" s="492">
        <v>231.596</v>
      </c>
      <c r="DS29" s="492">
        <v>141.809</v>
      </c>
      <c r="DT29" s="492">
        <v>144.21</v>
      </c>
      <c r="DU29" s="492">
        <v>57.59</v>
      </c>
      <c r="DV29" s="492">
        <v>0</v>
      </c>
      <c r="DW29" s="492">
        <v>0</v>
      </c>
      <c r="DX29" s="492">
        <v>6.39</v>
      </c>
      <c r="DY29" s="492">
        <v>200.97800000000001</v>
      </c>
      <c r="DZ29" s="492">
        <v>301.84800000000001</v>
      </c>
      <c r="EA29" s="493">
        <v>2116.9490000000001</v>
      </c>
      <c r="EB29" s="492">
        <v>359.28899999999999</v>
      </c>
      <c r="EC29" s="492">
        <v>314.19299999999998</v>
      </c>
      <c r="ED29" s="492">
        <v>245.589</v>
      </c>
      <c r="EE29" s="492">
        <v>174.91200000000001</v>
      </c>
      <c r="EF29" s="492">
        <v>100.94</v>
      </c>
      <c r="EG29" s="492">
        <v>67.649000000000015</v>
      </c>
      <c r="EH29" s="492">
        <v>23.31</v>
      </c>
      <c r="EI29" s="492">
        <v>0</v>
      </c>
      <c r="EJ29" s="492">
        <v>0</v>
      </c>
      <c r="EK29" s="492">
        <v>7.585</v>
      </c>
      <c r="EL29" s="492">
        <v>213.679</v>
      </c>
      <c r="EM29" s="492">
        <v>294.91699999999997</v>
      </c>
      <c r="EN29" s="493">
        <v>1802.0630000000001</v>
      </c>
      <c r="EO29" s="492">
        <v>310.27699999999999</v>
      </c>
      <c r="EP29" s="492">
        <v>309.75799999999998</v>
      </c>
      <c r="EQ29" s="492"/>
      <c r="ER29" s="492"/>
      <c r="ES29" s="492"/>
      <c r="ET29" s="492"/>
      <c r="EU29" s="492"/>
      <c r="EV29" s="492"/>
      <c r="EW29" s="492"/>
      <c r="EX29" s="492"/>
      <c r="EY29" s="492"/>
      <c r="EZ29" s="492"/>
      <c r="FA29" s="493">
        <f t="shared" si="22"/>
        <v>620.03499999999997</v>
      </c>
      <c r="FB29" s="590"/>
      <c r="FC29" s="595">
        <f t="shared" si="23"/>
        <v>6.3195971698394748</v>
      </c>
      <c r="FD29" s="596">
        <f t="shared" si="24"/>
        <v>-16.966273502135675</v>
      </c>
      <c r="FE29" s="498">
        <f t="shared" si="25"/>
        <v>1815.1009999999999</v>
      </c>
      <c r="FF29" s="597">
        <f t="shared" si="26"/>
        <v>1507.1460000000002</v>
      </c>
      <c r="FG29" s="611"/>
      <c r="FH29" s="551">
        <f t="shared" si="27"/>
        <v>53170.221999999972</v>
      </c>
      <c r="FI29" s="553" t="s">
        <v>639</v>
      </c>
      <c r="FJ29" s="554" t="str">
        <f t="shared" si="28"/>
        <v>OK</v>
      </c>
    </row>
    <row r="30" spans="1:166" s="470" customFormat="1" ht="15" customHeight="1" x14ac:dyDescent="0.25">
      <c r="A30" s="610" t="s">
        <v>129</v>
      </c>
      <c r="B30" s="492">
        <v>23</v>
      </c>
      <c r="C30" s="492">
        <v>11</v>
      </c>
      <c r="D30" s="492">
        <v>11</v>
      </c>
      <c r="E30" s="492">
        <v>31</v>
      </c>
      <c r="F30" s="492">
        <v>16</v>
      </c>
      <c r="G30" s="492"/>
      <c r="H30" s="492">
        <v>29</v>
      </c>
      <c r="I30" s="492">
        <v>76</v>
      </c>
      <c r="J30" s="492">
        <v>126</v>
      </c>
      <c r="K30" s="492">
        <v>161</v>
      </c>
      <c r="L30" s="492">
        <v>52</v>
      </c>
      <c r="M30" s="492">
        <v>33</v>
      </c>
      <c r="N30" s="493">
        <f t="shared" si="13"/>
        <v>569</v>
      </c>
      <c r="O30" s="492">
        <v>36</v>
      </c>
      <c r="P30" s="492">
        <v>22</v>
      </c>
      <c r="Q30" s="492"/>
      <c r="R30" s="492"/>
      <c r="S30" s="492"/>
      <c r="T30" s="492">
        <v>11</v>
      </c>
      <c r="U30" s="492">
        <v>12</v>
      </c>
      <c r="V30" s="492">
        <v>70</v>
      </c>
      <c r="W30" s="492">
        <v>101</v>
      </c>
      <c r="X30" s="492">
        <v>56</v>
      </c>
      <c r="Y30" s="492">
        <v>8</v>
      </c>
      <c r="Z30" s="492"/>
      <c r="AA30" s="493">
        <f t="shared" si="14"/>
        <v>316</v>
      </c>
      <c r="AB30" s="492"/>
      <c r="AC30" s="492"/>
      <c r="AD30" s="492"/>
      <c r="AE30" s="492"/>
      <c r="AF30" s="492"/>
      <c r="AG30" s="492"/>
      <c r="AH30" s="492">
        <v>6</v>
      </c>
      <c r="AI30" s="492">
        <v>96</v>
      </c>
      <c r="AJ30" s="492">
        <v>141</v>
      </c>
      <c r="AK30" s="492">
        <v>76</v>
      </c>
      <c r="AL30" s="492">
        <v>22</v>
      </c>
      <c r="AM30" s="492"/>
      <c r="AN30" s="493">
        <f t="shared" si="15"/>
        <v>341</v>
      </c>
      <c r="AO30" s="492"/>
      <c r="AP30" s="492"/>
      <c r="AQ30" s="492"/>
      <c r="AR30" s="492"/>
      <c r="AS30" s="492"/>
      <c r="AT30" s="492">
        <v>80</v>
      </c>
      <c r="AU30" s="492">
        <v>133</v>
      </c>
      <c r="AV30" s="492">
        <v>153</v>
      </c>
      <c r="AW30" s="492">
        <v>116</v>
      </c>
      <c r="AX30" s="492">
        <v>72</v>
      </c>
      <c r="AY30" s="492">
        <v>19</v>
      </c>
      <c r="AZ30" s="492">
        <v>21</v>
      </c>
      <c r="BA30" s="493">
        <f t="shared" si="16"/>
        <v>594</v>
      </c>
      <c r="BB30" s="492">
        <v>21</v>
      </c>
      <c r="BC30" s="492">
        <v>21</v>
      </c>
      <c r="BD30" s="492"/>
      <c r="BE30" s="492"/>
      <c r="BF30" s="492">
        <v>13</v>
      </c>
      <c r="BG30" s="492">
        <v>9</v>
      </c>
      <c r="BH30" s="492">
        <v>21</v>
      </c>
      <c r="BI30" s="492">
        <v>42</v>
      </c>
      <c r="BJ30" s="492">
        <v>96</v>
      </c>
      <c r="BK30" s="492">
        <v>58</v>
      </c>
      <c r="BL30" s="492">
        <v>10</v>
      </c>
      <c r="BM30" s="492">
        <v>10</v>
      </c>
      <c r="BN30" s="493">
        <f t="shared" si="17"/>
        <v>301</v>
      </c>
      <c r="BO30" s="492">
        <v>5</v>
      </c>
      <c r="BP30" s="492"/>
      <c r="BQ30" s="492"/>
      <c r="BR30" s="492">
        <v>6</v>
      </c>
      <c r="BS30" s="492"/>
      <c r="BT30" s="492"/>
      <c r="BU30" s="492">
        <v>79</v>
      </c>
      <c r="BV30" s="492">
        <v>168</v>
      </c>
      <c r="BW30" s="492">
        <v>169</v>
      </c>
      <c r="BX30" s="492">
        <v>27</v>
      </c>
      <c r="BY30" s="492"/>
      <c r="BZ30" s="492">
        <v>31</v>
      </c>
      <c r="CA30" s="493">
        <f t="shared" si="18"/>
        <v>485</v>
      </c>
      <c r="CB30" s="492">
        <v>24.49</v>
      </c>
      <c r="CC30" s="492">
        <v>23.83</v>
      </c>
      <c r="CD30" s="492">
        <v>6.25</v>
      </c>
      <c r="CE30" s="492"/>
      <c r="CF30" s="492"/>
      <c r="CG30" s="492">
        <v>50.488</v>
      </c>
      <c r="CH30" s="492">
        <v>50.45</v>
      </c>
      <c r="CI30" s="492">
        <v>240.75900000000007</v>
      </c>
      <c r="CJ30" s="492">
        <v>199.81</v>
      </c>
      <c r="CK30" s="492">
        <v>176.70000000000002</v>
      </c>
      <c r="CL30" s="492">
        <v>13.88</v>
      </c>
      <c r="CM30" s="492"/>
      <c r="CN30" s="493">
        <f t="shared" si="19"/>
        <v>786.65700000000004</v>
      </c>
      <c r="CO30" s="492">
        <v>19.920000000000002</v>
      </c>
      <c r="CP30" s="492">
        <v>73.760000000000005</v>
      </c>
      <c r="CQ30" s="492"/>
      <c r="CR30" s="492"/>
      <c r="CS30" s="492">
        <v>6.75</v>
      </c>
      <c r="CT30" s="492">
        <v>38.22</v>
      </c>
      <c r="CU30" s="492">
        <v>95.859999999999985</v>
      </c>
      <c r="CV30" s="492">
        <v>184.36</v>
      </c>
      <c r="CW30" s="492">
        <v>250.95000000000002</v>
      </c>
      <c r="CX30" s="492">
        <v>230.17000000000002</v>
      </c>
      <c r="CY30" s="492">
        <v>60.95</v>
      </c>
      <c r="CZ30" s="492">
        <v>151.81</v>
      </c>
      <c r="DA30" s="493">
        <f t="shared" si="20"/>
        <v>1112.75</v>
      </c>
      <c r="DB30" s="492">
        <v>107.54</v>
      </c>
      <c r="DC30" s="492">
        <v>74.739000000000004</v>
      </c>
      <c r="DD30" s="492">
        <v>40.44</v>
      </c>
      <c r="DE30" s="492">
        <v>6.59</v>
      </c>
      <c r="DF30" s="492">
        <v>20.55</v>
      </c>
      <c r="DG30" s="492">
        <v>12.78</v>
      </c>
      <c r="DH30" s="492">
        <v>44.84</v>
      </c>
      <c r="DI30" s="492">
        <v>212.12</v>
      </c>
      <c r="DJ30" s="492">
        <v>358.80999999999989</v>
      </c>
      <c r="DK30" s="492">
        <v>188.15199999999999</v>
      </c>
      <c r="DL30" s="492">
        <v>86.844999999999999</v>
      </c>
      <c r="DM30" s="492">
        <v>154.05799999999999</v>
      </c>
      <c r="DN30" s="493">
        <f t="shared" si="21"/>
        <v>1307.4639999999999</v>
      </c>
      <c r="DO30" s="492">
        <v>177.59</v>
      </c>
      <c r="DP30" s="492">
        <v>0</v>
      </c>
      <c r="DQ30" s="492">
        <v>11.52</v>
      </c>
      <c r="DR30" s="492">
        <v>19.440000000000001</v>
      </c>
      <c r="DS30" s="492">
        <v>27.32</v>
      </c>
      <c r="DT30" s="492">
        <v>30.151</v>
      </c>
      <c r="DU30" s="492">
        <v>144.97</v>
      </c>
      <c r="DV30" s="492">
        <v>408.01899999999989</v>
      </c>
      <c r="DW30" s="492">
        <v>667.08699999999999</v>
      </c>
      <c r="DX30" s="492">
        <v>330.25</v>
      </c>
      <c r="DY30" s="492">
        <v>299.16800000000001</v>
      </c>
      <c r="DZ30" s="492">
        <v>195.41900000000001</v>
      </c>
      <c r="EA30" s="493">
        <v>2310.9339999999997</v>
      </c>
      <c r="EB30" s="492">
        <v>170.91900000000001</v>
      </c>
      <c r="EC30" s="492">
        <v>5.38</v>
      </c>
      <c r="ED30" s="492">
        <v>0</v>
      </c>
      <c r="EE30" s="492">
        <v>0</v>
      </c>
      <c r="EF30" s="492">
        <v>32.81</v>
      </c>
      <c r="EG30" s="492">
        <v>34.47</v>
      </c>
      <c r="EH30" s="492">
        <v>46.005000000000003</v>
      </c>
      <c r="EI30" s="492">
        <v>340.91</v>
      </c>
      <c r="EJ30" s="492">
        <v>288.22899999999998</v>
      </c>
      <c r="EK30" s="492">
        <v>265.19</v>
      </c>
      <c r="EL30" s="492">
        <v>285.76900000000001</v>
      </c>
      <c r="EM30" s="492">
        <v>269.17</v>
      </c>
      <c r="EN30" s="493">
        <v>1738.8520000000001</v>
      </c>
      <c r="EO30" s="492">
        <v>186.23</v>
      </c>
      <c r="EP30" s="492">
        <v>6.73</v>
      </c>
      <c r="EQ30" s="492"/>
      <c r="ER30" s="492"/>
      <c r="ES30" s="492"/>
      <c r="ET30" s="492"/>
      <c r="EU30" s="492"/>
      <c r="EV30" s="492"/>
      <c r="EW30" s="492"/>
      <c r="EX30" s="492"/>
      <c r="EY30" s="492"/>
      <c r="EZ30" s="492"/>
      <c r="FA30" s="493">
        <f t="shared" si="22"/>
        <v>192.95999999999998</v>
      </c>
      <c r="FB30" s="590"/>
      <c r="FC30" s="595">
        <f t="shared" si="23"/>
        <v>-4.4787544122366079</v>
      </c>
      <c r="FD30" s="596">
        <f t="shared" si="24"/>
        <v>-30.528405612817679</v>
      </c>
      <c r="FE30" s="498">
        <f t="shared" si="25"/>
        <v>2115.5149999999999</v>
      </c>
      <c r="FF30" s="597">
        <f t="shared" si="26"/>
        <v>1469.682</v>
      </c>
      <c r="FH30" s="551">
        <f t="shared" si="27"/>
        <v>18973.233999999989</v>
      </c>
      <c r="FI30" s="553" t="s">
        <v>129</v>
      </c>
      <c r="FJ30" s="554" t="str">
        <f t="shared" si="28"/>
        <v>OK</v>
      </c>
    </row>
    <row r="31" spans="1:166" s="470" customFormat="1" ht="15" customHeight="1" x14ac:dyDescent="0.25">
      <c r="A31" s="610" t="s">
        <v>130</v>
      </c>
      <c r="B31" s="492"/>
      <c r="C31" s="492"/>
      <c r="D31" s="492"/>
      <c r="E31" s="492"/>
      <c r="F31" s="492">
        <v>2</v>
      </c>
      <c r="G31" s="492">
        <v>28</v>
      </c>
      <c r="H31" s="492">
        <v>31</v>
      </c>
      <c r="I31" s="492">
        <v>55</v>
      </c>
      <c r="J31" s="492">
        <v>61</v>
      </c>
      <c r="K31" s="492">
        <v>43</v>
      </c>
      <c r="L31" s="492">
        <v>23</v>
      </c>
      <c r="M31" s="492">
        <v>2</v>
      </c>
      <c r="N31" s="493">
        <f t="shared" si="13"/>
        <v>245</v>
      </c>
      <c r="O31" s="492"/>
      <c r="P31" s="492"/>
      <c r="Q31" s="492"/>
      <c r="R31" s="492"/>
      <c r="S31" s="492">
        <v>1</v>
      </c>
      <c r="T31" s="492">
        <v>26</v>
      </c>
      <c r="U31" s="492">
        <v>32</v>
      </c>
      <c r="V31" s="492">
        <v>53</v>
      </c>
      <c r="W31" s="492">
        <v>46</v>
      </c>
      <c r="X31" s="492">
        <v>34</v>
      </c>
      <c r="Y31" s="492">
        <v>23</v>
      </c>
      <c r="Z31" s="492"/>
      <c r="AA31" s="493">
        <f t="shared" si="14"/>
        <v>215</v>
      </c>
      <c r="AB31" s="492"/>
      <c r="AC31" s="492"/>
      <c r="AD31" s="492"/>
      <c r="AE31" s="492"/>
      <c r="AF31" s="492">
        <v>1</v>
      </c>
      <c r="AG31" s="492">
        <v>27</v>
      </c>
      <c r="AH31" s="492">
        <v>35</v>
      </c>
      <c r="AI31" s="492">
        <v>45</v>
      </c>
      <c r="AJ31" s="492">
        <v>49</v>
      </c>
      <c r="AK31" s="492">
        <v>41</v>
      </c>
      <c r="AL31" s="492">
        <v>23</v>
      </c>
      <c r="AM31" s="492"/>
      <c r="AN31" s="493">
        <f t="shared" si="15"/>
        <v>221</v>
      </c>
      <c r="AO31" s="492"/>
      <c r="AP31" s="492"/>
      <c r="AQ31" s="492"/>
      <c r="AR31" s="492"/>
      <c r="AS31" s="492">
        <v>1</v>
      </c>
      <c r="AT31" s="492">
        <v>22</v>
      </c>
      <c r="AU31" s="492">
        <v>29</v>
      </c>
      <c r="AV31" s="492">
        <v>33</v>
      </c>
      <c r="AW31" s="492">
        <v>29</v>
      </c>
      <c r="AX31" s="492">
        <v>17</v>
      </c>
      <c r="AY31" s="492">
        <v>12</v>
      </c>
      <c r="AZ31" s="492"/>
      <c r="BA31" s="493">
        <f t="shared" si="16"/>
        <v>143</v>
      </c>
      <c r="BB31" s="492"/>
      <c r="BC31" s="492"/>
      <c r="BD31" s="492"/>
      <c r="BE31" s="492"/>
      <c r="BF31" s="492">
        <v>1</v>
      </c>
      <c r="BG31" s="492">
        <v>18</v>
      </c>
      <c r="BH31" s="492">
        <v>27</v>
      </c>
      <c r="BI31" s="492">
        <v>40</v>
      </c>
      <c r="BJ31" s="492">
        <v>26</v>
      </c>
      <c r="BK31" s="492">
        <v>18</v>
      </c>
      <c r="BL31" s="492">
        <v>11</v>
      </c>
      <c r="BM31" s="492"/>
      <c r="BN31" s="493">
        <f t="shared" si="17"/>
        <v>141</v>
      </c>
      <c r="BO31" s="492"/>
      <c r="BP31" s="492"/>
      <c r="BQ31" s="492"/>
      <c r="BR31" s="492"/>
      <c r="BS31" s="492">
        <v>1</v>
      </c>
      <c r="BT31" s="492">
        <v>17</v>
      </c>
      <c r="BU31" s="492">
        <v>27</v>
      </c>
      <c r="BV31" s="492">
        <v>43</v>
      </c>
      <c r="BW31" s="492">
        <v>42</v>
      </c>
      <c r="BX31" s="492">
        <v>23</v>
      </c>
      <c r="BY31" s="492">
        <v>16</v>
      </c>
      <c r="BZ31" s="492"/>
      <c r="CA31" s="493">
        <f t="shared" si="18"/>
        <v>169</v>
      </c>
      <c r="CB31" s="492"/>
      <c r="CC31" s="492"/>
      <c r="CD31" s="492"/>
      <c r="CE31" s="492"/>
      <c r="CF31" s="492">
        <v>1.5</v>
      </c>
      <c r="CG31" s="492">
        <v>25.01</v>
      </c>
      <c r="CH31" s="492">
        <v>35.96</v>
      </c>
      <c r="CI31" s="492">
        <v>43.29</v>
      </c>
      <c r="CJ31" s="492">
        <v>63.76</v>
      </c>
      <c r="CK31" s="492">
        <v>74.150000000000006</v>
      </c>
      <c r="CL31" s="492">
        <v>78.67</v>
      </c>
      <c r="CM31" s="492"/>
      <c r="CN31" s="493">
        <f t="shared" si="19"/>
        <v>322.33999999999997</v>
      </c>
      <c r="CO31" s="492"/>
      <c r="CP31" s="492"/>
      <c r="CQ31" s="492"/>
      <c r="CR31" s="492"/>
      <c r="CS31" s="492"/>
      <c r="CT31" s="492"/>
      <c r="CU31" s="492"/>
      <c r="CV31" s="492"/>
      <c r="CW31" s="492"/>
      <c r="CX31" s="492"/>
      <c r="CY31" s="492"/>
      <c r="CZ31" s="492"/>
      <c r="DA31" s="493">
        <f t="shared" si="20"/>
        <v>0</v>
      </c>
      <c r="DB31" s="492"/>
      <c r="DC31" s="492"/>
      <c r="DD31" s="492"/>
      <c r="DE31" s="492"/>
      <c r="DF31" s="492">
        <v>2.34</v>
      </c>
      <c r="DG31" s="492">
        <v>36.606999999999999</v>
      </c>
      <c r="DH31" s="492">
        <v>50.079000000000001</v>
      </c>
      <c r="DI31" s="492">
        <v>81.489999999999995</v>
      </c>
      <c r="DJ31" s="492">
        <v>97.128</v>
      </c>
      <c r="DK31" s="492">
        <v>90.85</v>
      </c>
      <c r="DL31" s="492">
        <v>46.07</v>
      </c>
      <c r="DM31" s="492"/>
      <c r="DN31" s="493">
        <f t="shared" si="21"/>
        <v>404.56400000000002</v>
      </c>
      <c r="DO31" s="492">
        <v>0</v>
      </c>
      <c r="DP31" s="492">
        <v>0</v>
      </c>
      <c r="DQ31" s="492">
        <v>0</v>
      </c>
      <c r="DR31" s="492">
        <v>0</v>
      </c>
      <c r="DS31" s="492">
        <v>0</v>
      </c>
      <c r="DT31" s="492">
        <v>0</v>
      </c>
      <c r="DU31" s="492">
        <v>0</v>
      </c>
      <c r="DV31" s="492">
        <v>0</v>
      </c>
      <c r="DW31" s="492">
        <v>0</v>
      </c>
      <c r="DX31" s="492">
        <v>0</v>
      </c>
      <c r="DY31" s="492">
        <v>0</v>
      </c>
      <c r="DZ31" s="492">
        <v>0</v>
      </c>
      <c r="EA31" s="493">
        <v>0</v>
      </c>
      <c r="EB31" s="492">
        <v>0</v>
      </c>
      <c r="EC31" s="492">
        <v>0</v>
      </c>
      <c r="ED31" s="492">
        <v>0</v>
      </c>
      <c r="EE31" s="492">
        <v>0</v>
      </c>
      <c r="EF31" s="492">
        <v>0</v>
      </c>
      <c r="EG31" s="492">
        <v>0</v>
      </c>
      <c r="EH31" s="492">
        <v>0</v>
      </c>
      <c r="EI31" s="492">
        <v>0</v>
      </c>
      <c r="EJ31" s="492">
        <v>0</v>
      </c>
      <c r="EK31" s="492">
        <v>0</v>
      </c>
      <c r="EL31" s="492">
        <v>0</v>
      </c>
      <c r="EM31" s="492">
        <v>0</v>
      </c>
      <c r="EN31" s="493">
        <v>0</v>
      </c>
      <c r="EO31" s="492">
        <v>0</v>
      </c>
      <c r="EP31" s="492">
        <v>0</v>
      </c>
      <c r="EQ31" s="492"/>
      <c r="ER31" s="492"/>
      <c r="ES31" s="492"/>
      <c r="ET31" s="492"/>
      <c r="EU31" s="492"/>
      <c r="EV31" s="492"/>
      <c r="EW31" s="492"/>
      <c r="EX31" s="492"/>
      <c r="EY31" s="492"/>
      <c r="EZ31" s="492"/>
      <c r="FA31" s="493">
        <f t="shared" si="22"/>
        <v>0</v>
      </c>
      <c r="FB31" s="590"/>
      <c r="FC31" s="595" t="str">
        <f t="shared" si="23"/>
        <v/>
      </c>
      <c r="FD31" s="596" t="str">
        <f t="shared" si="24"/>
        <v/>
      </c>
      <c r="FE31" s="498">
        <f t="shared" si="25"/>
        <v>0</v>
      </c>
      <c r="FF31" s="597">
        <f t="shared" si="26"/>
        <v>0</v>
      </c>
      <c r="FH31" s="551">
        <f t="shared" si="27"/>
        <v>3231.8080000000004</v>
      </c>
      <c r="FI31" s="553" t="s">
        <v>130</v>
      </c>
      <c r="FJ31" s="554" t="str">
        <f t="shared" si="28"/>
        <v>OK</v>
      </c>
    </row>
    <row r="32" spans="1:166" s="470" customFormat="1" ht="15" customHeight="1" x14ac:dyDescent="0.25">
      <c r="A32" s="610" t="s">
        <v>131</v>
      </c>
      <c r="B32" s="492">
        <v>110</v>
      </c>
      <c r="C32" s="492">
        <v>88</v>
      </c>
      <c r="D32" s="492">
        <v>73</v>
      </c>
      <c r="E32" s="492"/>
      <c r="F32" s="492">
        <v>58</v>
      </c>
      <c r="G32" s="492">
        <v>102</v>
      </c>
      <c r="H32" s="492">
        <v>65</v>
      </c>
      <c r="I32" s="492">
        <v>72</v>
      </c>
      <c r="J32" s="492">
        <v>101</v>
      </c>
      <c r="K32" s="492">
        <v>64</v>
      </c>
      <c r="L32" s="492">
        <v>21</v>
      </c>
      <c r="M32" s="492">
        <v>39</v>
      </c>
      <c r="N32" s="493">
        <f t="shared" si="13"/>
        <v>793</v>
      </c>
      <c r="O32" s="492">
        <v>73</v>
      </c>
      <c r="P32" s="492">
        <v>32</v>
      </c>
      <c r="Q32" s="492">
        <v>78</v>
      </c>
      <c r="R32" s="492">
        <v>79</v>
      </c>
      <c r="S32" s="492">
        <v>65</v>
      </c>
      <c r="T32" s="492">
        <v>38</v>
      </c>
      <c r="U32" s="492">
        <v>30</v>
      </c>
      <c r="V32" s="492">
        <v>6</v>
      </c>
      <c r="W32" s="492"/>
      <c r="X32" s="492"/>
      <c r="Y32" s="492">
        <v>6</v>
      </c>
      <c r="Z32" s="492">
        <v>42</v>
      </c>
      <c r="AA32" s="493">
        <f t="shared" si="14"/>
        <v>449</v>
      </c>
      <c r="AB32" s="492">
        <v>12</v>
      </c>
      <c r="AC32" s="492">
        <v>55</v>
      </c>
      <c r="AD32" s="492">
        <v>18</v>
      </c>
      <c r="AE32" s="492">
        <v>35</v>
      </c>
      <c r="AF32" s="492">
        <v>42</v>
      </c>
      <c r="AG32" s="492">
        <v>23</v>
      </c>
      <c r="AH32" s="492">
        <v>28</v>
      </c>
      <c r="AI32" s="492">
        <v>6</v>
      </c>
      <c r="AJ32" s="492">
        <v>28</v>
      </c>
      <c r="AK32" s="492">
        <v>21</v>
      </c>
      <c r="AL32" s="492">
        <v>26</v>
      </c>
      <c r="AM32" s="492">
        <v>42</v>
      </c>
      <c r="AN32" s="493">
        <f t="shared" si="15"/>
        <v>336</v>
      </c>
      <c r="AO32" s="492">
        <v>101</v>
      </c>
      <c r="AP32" s="492">
        <v>75</v>
      </c>
      <c r="AQ32" s="492">
        <v>43</v>
      </c>
      <c r="AR32" s="492">
        <v>27</v>
      </c>
      <c r="AS32" s="492">
        <v>5</v>
      </c>
      <c r="AT32" s="492">
        <v>33</v>
      </c>
      <c r="AU32" s="492">
        <v>80</v>
      </c>
      <c r="AV32" s="492">
        <v>37</v>
      </c>
      <c r="AW32" s="492">
        <v>6</v>
      </c>
      <c r="AX32" s="492">
        <v>6</v>
      </c>
      <c r="AY32" s="492">
        <v>10</v>
      </c>
      <c r="AZ32" s="492">
        <v>70</v>
      </c>
      <c r="BA32" s="493">
        <f t="shared" si="16"/>
        <v>493</v>
      </c>
      <c r="BB32" s="492">
        <v>37</v>
      </c>
      <c r="BC32" s="492">
        <v>85</v>
      </c>
      <c r="BD32" s="492">
        <v>38</v>
      </c>
      <c r="BE32" s="492">
        <v>11</v>
      </c>
      <c r="BF32" s="492">
        <v>37</v>
      </c>
      <c r="BG32" s="492">
        <v>58</v>
      </c>
      <c r="BH32" s="492">
        <v>22</v>
      </c>
      <c r="BI32" s="492">
        <v>16</v>
      </c>
      <c r="BJ32" s="492">
        <v>16</v>
      </c>
      <c r="BK32" s="492">
        <v>32</v>
      </c>
      <c r="BL32" s="492">
        <v>37</v>
      </c>
      <c r="BM32" s="492">
        <v>39</v>
      </c>
      <c r="BN32" s="493">
        <f t="shared" si="17"/>
        <v>428</v>
      </c>
      <c r="BO32" s="492">
        <v>47</v>
      </c>
      <c r="BP32" s="492">
        <v>31</v>
      </c>
      <c r="BQ32" s="492">
        <v>32</v>
      </c>
      <c r="BR32" s="492">
        <v>16</v>
      </c>
      <c r="BS32" s="492">
        <v>21.1</v>
      </c>
      <c r="BT32" s="492">
        <v>21</v>
      </c>
      <c r="BU32" s="492">
        <v>63</v>
      </c>
      <c r="BV32" s="492">
        <v>26</v>
      </c>
      <c r="BW32" s="492">
        <v>25</v>
      </c>
      <c r="BX32" s="492">
        <v>11</v>
      </c>
      <c r="BY32" s="492">
        <v>16</v>
      </c>
      <c r="BZ32" s="492">
        <v>5</v>
      </c>
      <c r="CA32" s="493">
        <f t="shared" si="18"/>
        <v>314.10000000000002</v>
      </c>
      <c r="CB32" s="492">
        <v>87.329000000000008</v>
      </c>
      <c r="CC32" s="492">
        <v>27.139999999999997</v>
      </c>
      <c r="CD32" s="492">
        <v>26.679999999999996</v>
      </c>
      <c r="CE32" s="492"/>
      <c r="CF32" s="492">
        <v>5.76</v>
      </c>
      <c r="CG32" s="492">
        <v>82.88</v>
      </c>
      <c r="CH32" s="492">
        <v>67.23899999999999</v>
      </c>
      <c r="CI32" s="492">
        <v>51.67</v>
      </c>
      <c r="CJ32" s="492">
        <v>30.67</v>
      </c>
      <c r="CK32" s="492">
        <v>38.65</v>
      </c>
      <c r="CL32" s="492">
        <v>13.14</v>
      </c>
      <c r="CM32" s="492">
        <v>121.03</v>
      </c>
      <c r="CN32" s="493">
        <f t="shared" si="19"/>
        <v>552.18799999999999</v>
      </c>
      <c r="CO32" s="492">
        <v>72.430000000000007</v>
      </c>
      <c r="CP32" s="492">
        <v>62.510000000000005</v>
      </c>
      <c r="CQ32" s="492">
        <v>5.74</v>
      </c>
      <c r="CR32" s="492">
        <v>22.53</v>
      </c>
      <c r="CS32" s="492">
        <v>111.83000000000001</v>
      </c>
      <c r="CT32" s="492">
        <v>101.77800000000001</v>
      </c>
      <c r="CU32" s="492">
        <v>37.839999999999996</v>
      </c>
      <c r="CV32" s="492">
        <v>154.52000000000001</v>
      </c>
      <c r="CW32" s="492"/>
      <c r="CX32" s="492">
        <v>20.25</v>
      </c>
      <c r="CY32" s="492"/>
      <c r="CZ32" s="492"/>
      <c r="DA32" s="493">
        <f t="shared" si="20"/>
        <v>589.428</v>
      </c>
      <c r="DB32" s="492">
        <v>11.92</v>
      </c>
      <c r="DC32" s="492">
        <v>52.03</v>
      </c>
      <c r="DD32" s="492">
        <v>28.12</v>
      </c>
      <c r="DE32" s="492">
        <v>12.73</v>
      </c>
      <c r="DF32" s="492">
        <v>70.23</v>
      </c>
      <c r="DG32" s="492">
        <v>143.79</v>
      </c>
      <c r="DH32" s="492">
        <v>89.9</v>
      </c>
      <c r="DI32" s="492">
        <v>12.17</v>
      </c>
      <c r="DJ32" s="492"/>
      <c r="DK32" s="492"/>
      <c r="DL32" s="492"/>
      <c r="DM32" s="492">
        <v>5.73</v>
      </c>
      <c r="DN32" s="493">
        <f t="shared" si="21"/>
        <v>426.62000000000006</v>
      </c>
      <c r="DO32" s="492">
        <v>12.02</v>
      </c>
      <c r="DP32" s="492">
        <v>95.920000000000016</v>
      </c>
      <c r="DQ32" s="492">
        <v>0</v>
      </c>
      <c r="DR32" s="492">
        <v>93.46</v>
      </c>
      <c r="DS32" s="492">
        <v>0</v>
      </c>
      <c r="DT32" s="492">
        <v>77.09</v>
      </c>
      <c r="DU32" s="492">
        <v>137.46</v>
      </c>
      <c r="DV32" s="492">
        <v>0</v>
      </c>
      <c r="DW32" s="492">
        <v>0</v>
      </c>
      <c r="DX32" s="492">
        <v>126.36</v>
      </c>
      <c r="DY32" s="492">
        <v>52.19</v>
      </c>
      <c r="DZ32" s="492">
        <v>156.27099999999999</v>
      </c>
      <c r="EA32" s="493">
        <v>750.77099999999996</v>
      </c>
      <c r="EB32" s="492">
        <v>114.23</v>
      </c>
      <c r="EC32" s="492">
        <v>239.22900000000001</v>
      </c>
      <c r="ED32" s="492">
        <v>249.7</v>
      </c>
      <c r="EE32" s="492">
        <v>94.429999999999993</v>
      </c>
      <c r="EF32" s="492">
        <v>165.06</v>
      </c>
      <c r="EG32" s="492">
        <v>169.62899999999999</v>
      </c>
      <c r="EH32" s="492">
        <v>102.84</v>
      </c>
      <c r="EI32" s="492">
        <v>39.613</v>
      </c>
      <c r="EJ32" s="492">
        <v>20.329999999999998</v>
      </c>
      <c r="EK32" s="492">
        <v>0</v>
      </c>
      <c r="EL32" s="492">
        <v>0</v>
      </c>
      <c r="EM32" s="492">
        <v>0</v>
      </c>
      <c r="EN32" s="493">
        <v>1195.0609999999997</v>
      </c>
      <c r="EO32" s="492">
        <v>149.50800000000001</v>
      </c>
      <c r="EP32" s="492">
        <v>103.99</v>
      </c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3">
        <f t="shared" si="22"/>
        <v>253.49799999999999</v>
      </c>
      <c r="FB32" s="590"/>
      <c r="FC32" s="595">
        <f t="shared" si="23"/>
        <v>-100</v>
      </c>
      <c r="FD32" s="596">
        <f t="shared" si="24"/>
        <v>101.01951219512189</v>
      </c>
      <c r="FE32" s="498">
        <f t="shared" si="25"/>
        <v>594.5</v>
      </c>
      <c r="FF32" s="597">
        <f t="shared" si="26"/>
        <v>1195.0609999999997</v>
      </c>
      <c r="FH32" s="551">
        <f t="shared" si="27"/>
        <v>11575.331999999997</v>
      </c>
      <c r="FI32" s="553" t="s">
        <v>131</v>
      </c>
      <c r="FJ32" s="554" t="str">
        <f t="shared" si="28"/>
        <v>OK</v>
      </c>
    </row>
    <row r="33" spans="1:166" s="470" customFormat="1" ht="15" customHeight="1" x14ac:dyDescent="0.25">
      <c r="A33" s="610" t="s">
        <v>641</v>
      </c>
      <c r="B33" s="492">
        <v>227</v>
      </c>
      <c r="C33" s="492">
        <v>125</v>
      </c>
      <c r="D33" s="492">
        <v>88</v>
      </c>
      <c r="E33" s="492">
        <v>22</v>
      </c>
      <c r="F33" s="492">
        <v>103</v>
      </c>
      <c r="G33" s="492">
        <v>131</v>
      </c>
      <c r="H33" s="492">
        <v>73</v>
      </c>
      <c r="I33" s="492">
        <v>71</v>
      </c>
      <c r="J33" s="492">
        <v>79</v>
      </c>
      <c r="K33" s="492">
        <v>64</v>
      </c>
      <c r="L33" s="492">
        <v>41</v>
      </c>
      <c r="M33" s="492"/>
      <c r="N33" s="493">
        <f t="shared" si="13"/>
        <v>1024</v>
      </c>
      <c r="O33" s="492">
        <v>52</v>
      </c>
      <c r="P33" s="492">
        <v>59</v>
      </c>
      <c r="Q33" s="492">
        <v>119</v>
      </c>
      <c r="R33" s="492">
        <v>72</v>
      </c>
      <c r="S33" s="492">
        <v>85</v>
      </c>
      <c r="T33" s="492">
        <v>57</v>
      </c>
      <c r="U33" s="492">
        <v>59</v>
      </c>
      <c r="V33" s="492">
        <v>21</v>
      </c>
      <c r="W33" s="492"/>
      <c r="X33" s="492">
        <v>10</v>
      </c>
      <c r="Y33" s="492">
        <v>28</v>
      </c>
      <c r="Z33" s="492">
        <v>50</v>
      </c>
      <c r="AA33" s="493">
        <f t="shared" si="14"/>
        <v>612</v>
      </c>
      <c r="AB33" s="492">
        <v>33</v>
      </c>
      <c r="AC33" s="492">
        <v>101</v>
      </c>
      <c r="AD33" s="492">
        <v>70</v>
      </c>
      <c r="AE33" s="492">
        <v>38</v>
      </c>
      <c r="AF33" s="492">
        <v>41</v>
      </c>
      <c r="AG33" s="492">
        <v>17</v>
      </c>
      <c r="AH33" s="492">
        <v>35</v>
      </c>
      <c r="AI33" s="492">
        <v>17</v>
      </c>
      <c r="AJ33" s="492">
        <v>54</v>
      </c>
      <c r="AK33" s="492">
        <v>36</v>
      </c>
      <c r="AL33" s="492">
        <v>22</v>
      </c>
      <c r="AM33" s="492">
        <v>38</v>
      </c>
      <c r="AN33" s="493">
        <f t="shared" si="15"/>
        <v>502</v>
      </c>
      <c r="AO33" s="492">
        <v>81</v>
      </c>
      <c r="AP33" s="492">
        <v>70</v>
      </c>
      <c r="AQ33" s="492">
        <v>31</v>
      </c>
      <c r="AR33" s="492">
        <v>4</v>
      </c>
      <c r="AS33" s="492"/>
      <c r="AT33" s="492">
        <v>33</v>
      </c>
      <c r="AU33" s="492">
        <v>65</v>
      </c>
      <c r="AV33" s="492">
        <v>21</v>
      </c>
      <c r="AW33" s="492">
        <v>10</v>
      </c>
      <c r="AX33" s="492">
        <v>5</v>
      </c>
      <c r="AY33" s="492">
        <v>5</v>
      </c>
      <c r="AZ33" s="492">
        <v>70</v>
      </c>
      <c r="BA33" s="493">
        <f t="shared" si="16"/>
        <v>395</v>
      </c>
      <c r="BB33" s="492">
        <v>54</v>
      </c>
      <c r="BC33" s="492">
        <v>86</v>
      </c>
      <c r="BD33" s="492">
        <v>37</v>
      </c>
      <c r="BE33" s="492">
        <v>22</v>
      </c>
      <c r="BF33" s="492">
        <v>16</v>
      </c>
      <c r="BG33" s="492">
        <v>69</v>
      </c>
      <c r="BH33" s="492">
        <v>27</v>
      </c>
      <c r="BI33" s="492">
        <v>15</v>
      </c>
      <c r="BJ33" s="492">
        <v>27</v>
      </c>
      <c r="BK33" s="492">
        <v>38</v>
      </c>
      <c r="BL33" s="492">
        <v>10</v>
      </c>
      <c r="BM33" s="492">
        <v>58</v>
      </c>
      <c r="BN33" s="493">
        <f t="shared" si="17"/>
        <v>459</v>
      </c>
      <c r="BO33" s="492">
        <v>63</v>
      </c>
      <c r="BP33" s="492">
        <v>26</v>
      </c>
      <c r="BQ33" s="492">
        <v>47</v>
      </c>
      <c r="BR33" s="492">
        <v>16</v>
      </c>
      <c r="BS33" s="492">
        <v>32</v>
      </c>
      <c r="BT33" s="492">
        <v>37</v>
      </c>
      <c r="BU33" s="492">
        <v>74</v>
      </c>
      <c r="BV33" s="492">
        <v>48</v>
      </c>
      <c r="BW33" s="492">
        <v>47</v>
      </c>
      <c r="BX33" s="492">
        <v>42</v>
      </c>
      <c r="BY33" s="492">
        <v>5</v>
      </c>
      <c r="BZ33" s="492">
        <v>12</v>
      </c>
      <c r="CA33" s="493">
        <f t="shared" si="18"/>
        <v>449</v>
      </c>
      <c r="CB33" s="492">
        <v>74.459999999999994</v>
      </c>
      <c r="CC33" s="492">
        <v>27.49</v>
      </c>
      <c r="CD33" s="492">
        <v>31.6</v>
      </c>
      <c r="CE33" s="492"/>
      <c r="CF33" s="492">
        <v>5.43</v>
      </c>
      <c r="CG33" s="492">
        <v>93.91</v>
      </c>
      <c r="CH33" s="492">
        <v>32.5</v>
      </c>
      <c r="CI33" s="492">
        <v>45.03</v>
      </c>
      <c r="CJ33" s="492">
        <v>18.04</v>
      </c>
      <c r="CK33" s="492">
        <v>32.57</v>
      </c>
      <c r="CL33" s="492">
        <v>19.68</v>
      </c>
      <c r="CM33" s="492">
        <v>40.58</v>
      </c>
      <c r="CN33" s="493">
        <f t="shared" si="19"/>
        <v>421.28999999999996</v>
      </c>
      <c r="CO33" s="492">
        <v>6.29</v>
      </c>
      <c r="CP33" s="492">
        <v>70.75</v>
      </c>
      <c r="CQ33" s="492"/>
      <c r="CR33" s="492">
        <v>10.863</v>
      </c>
      <c r="CS33" s="492">
        <v>90.82</v>
      </c>
      <c r="CT33" s="492">
        <v>94.7</v>
      </c>
      <c r="CU33" s="492">
        <v>31.6</v>
      </c>
      <c r="CV33" s="492">
        <v>44.32</v>
      </c>
      <c r="CW33" s="492"/>
      <c r="CX33" s="492">
        <v>6.85</v>
      </c>
      <c r="CY33" s="492">
        <v>6.27</v>
      </c>
      <c r="CZ33" s="492"/>
      <c r="DA33" s="493">
        <f t="shared" si="20"/>
        <v>362.46300000000002</v>
      </c>
      <c r="DB33" s="492">
        <v>12.64</v>
      </c>
      <c r="DC33" s="492">
        <v>57.85</v>
      </c>
      <c r="DD33" s="492">
        <v>39.192</v>
      </c>
      <c r="DE33" s="492">
        <v>18.09</v>
      </c>
      <c r="DF33" s="492">
        <v>5.39</v>
      </c>
      <c r="DG33" s="492">
        <v>41.582999999999998</v>
      </c>
      <c r="DH33" s="492">
        <v>87.13</v>
      </c>
      <c r="DI33" s="492">
        <v>78.650000000000006</v>
      </c>
      <c r="DJ33" s="492"/>
      <c r="DK33" s="492"/>
      <c r="DL33" s="492"/>
      <c r="DM33" s="492">
        <v>5.47</v>
      </c>
      <c r="DN33" s="493">
        <f t="shared" si="21"/>
        <v>345.995</v>
      </c>
      <c r="DO33" s="492">
        <v>0</v>
      </c>
      <c r="DP33" s="492">
        <v>0</v>
      </c>
      <c r="DQ33" s="492">
        <v>0</v>
      </c>
      <c r="DR33" s="492">
        <v>0</v>
      </c>
      <c r="DS33" s="492">
        <v>0</v>
      </c>
      <c r="DT33" s="492">
        <v>0</v>
      </c>
      <c r="DU33" s="492">
        <v>0</v>
      </c>
      <c r="DV33" s="492">
        <v>0</v>
      </c>
      <c r="DW33" s="492">
        <v>0</v>
      </c>
      <c r="DX33" s="492">
        <v>0</v>
      </c>
      <c r="DY33" s="492">
        <v>0</v>
      </c>
      <c r="DZ33" s="492">
        <v>0</v>
      </c>
      <c r="EA33" s="493">
        <v>0</v>
      </c>
      <c r="EB33" s="492">
        <v>0</v>
      </c>
      <c r="EC33" s="492">
        <v>0</v>
      </c>
      <c r="ED33" s="492">
        <v>0</v>
      </c>
      <c r="EE33" s="492">
        <v>0</v>
      </c>
      <c r="EF33" s="492">
        <v>0</v>
      </c>
      <c r="EG33" s="492">
        <v>0</v>
      </c>
      <c r="EH33" s="492">
        <v>0</v>
      </c>
      <c r="EI33" s="492">
        <v>0</v>
      </c>
      <c r="EJ33" s="492">
        <v>0</v>
      </c>
      <c r="EK33" s="492">
        <v>0</v>
      </c>
      <c r="EL33" s="492">
        <v>0</v>
      </c>
      <c r="EM33" s="492">
        <v>0</v>
      </c>
      <c r="EN33" s="493">
        <v>0</v>
      </c>
      <c r="EO33" s="492">
        <v>0</v>
      </c>
      <c r="EP33" s="492">
        <v>0</v>
      </c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3">
        <f t="shared" si="22"/>
        <v>0</v>
      </c>
      <c r="FB33" s="590"/>
      <c r="FC33" s="595" t="str">
        <f t="shared" si="23"/>
        <v/>
      </c>
      <c r="FD33" s="596" t="str">
        <f t="shared" si="24"/>
        <v/>
      </c>
      <c r="FE33" s="498">
        <f t="shared" si="25"/>
        <v>0</v>
      </c>
      <c r="FF33" s="597">
        <f t="shared" si="26"/>
        <v>0</v>
      </c>
      <c r="FH33" s="551">
        <f t="shared" si="27"/>
        <v>7093.496000000001</v>
      </c>
      <c r="FI33" s="553" t="s">
        <v>641</v>
      </c>
      <c r="FJ33" s="554" t="str">
        <f t="shared" si="28"/>
        <v>OK</v>
      </c>
    </row>
    <row r="34" spans="1:166" s="470" customFormat="1" ht="15" customHeight="1" x14ac:dyDescent="0.25">
      <c r="A34" s="610" t="s">
        <v>132</v>
      </c>
      <c r="B34" s="492"/>
      <c r="C34" s="492"/>
      <c r="D34" s="492"/>
      <c r="E34" s="492"/>
      <c r="F34" s="492"/>
      <c r="G34" s="492"/>
      <c r="H34" s="492"/>
      <c r="I34" s="492"/>
      <c r="J34" s="492"/>
      <c r="K34" s="492">
        <v>22</v>
      </c>
      <c r="L34" s="492">
        <v>14</v>
      </c>
      <c r="M34" s="492">
        <v>3</v>
      </c>
      <c r="N34" s="493">
        <f t="shared" si="13"/>
        <v>39</v>
      </c>
      <c r="O34" s="492"/>
      <c r="P34" s="492">
        <v>7</v>
      </c>
      <c r="Q34" s="492">
        <v>7</v>
      </c>
      <c r="R34" s="492"/>
      <c r="S34" s="492"/>
      <c r="T34" s="492"/>
      <c r="U34" s="492"/>
      <c r="V34" s="492"/>
      <c r="W34" s="492"/>
      <c r="X34" s="492">
        <v>3</v>
      </c>
      <c r="Y34" s="492">
        <v>3</v>
      </c>
      <c r="Z34" s="492"/>
      <c r="AA34" s="493">
        <f t="shared" si="14"/>
        <v>20</v>
      </c>
      <c r="AB34" s="492"/>
      <c r="AC34" s="492"/>
      <c r="AD34" s="492"/>
      <c r="AE34" s="492"/>
      <c r="AF34" s="492"/>
      <c r="AG34" s="492"/>
      <c r="AH34" s="492"/>
      <c r="AI34" s="492"/>
      <c r="AJ34" s="492">
        <v>36</v>
      </c>
      <c r="AK34" s="492">
        <v>377</v>
      </c>
      <c r="AL34" s="492"/>
      <c r="AM34" s="492"/>
      <c r="AN34" s="493">
        <f t="shared" si="15"/>
        <v>413</v>
      </c>
      <c r="AO34" s="492"/>
      <c r="AP34" s="492"/>
      <c r="AQ34" s="492"/>
      <c r="AR34" s="492"/>
      <c r="AS34" s="492"/>
      <c r="AT34" s="492"/>
      <c r="AU34" s="492"/>
      <c r="AV34" s="492">
        <v>10</v>
      </c>
      <c r="AW34" s="492">
        <v>15</v>
      </c>
      <c r="AX34" s="492">
        <v>19</v>
      </c>
      <c r="AY34" s="492"/>
      <c r="AZ34" s="492"/>
      <c r="BA34" s="493">
        <f t="shared" si="16"/>
        <v>44</v>
      </c>
      <c r="BB34" s="492"/>
      <c r="BC34" s="492"/>
      <c r="BD34" s="492"/>
      <c r="BE34" s="492"/>
      <c r="BF34" s="492"/>
      <c r="BG34" s="492"/>
      <c r="BH34" s="492"/>
      <c r="BI34" s="492">
        <v>3</v>
      </c>
      <c r="BJ34" s="492">
        <v>12</v>
      </c>
      <c r="BK34" s="492">
        <v>19</v>
      </c>
      <c r="BL34" s="492">
        <v>32</v>
      </c>
      <c r="BM34" s="492">
        <v>19</v>
      </c>
      <c r="BN34" s="493">
        <f t="shared" si="17"/>
        <v>85</v>
      </c>
      <c r="BO34" s="492">
        <v>12</v>
      </c>
      <c r="BP34" s="492"/>
      <c r="BQ34" s="492">
        <v>3</v>
      </c>
      <c r="BR34" s="492"/>
      <c r="BS34" s="492">
        <v>2.98</v>
      </c>
      <c r="BT34" s="492"/>
      <c r="BU34" s="492"/>
      <c r="BV34" s="492">
        <v>5</v>
      </c>
      <c r="BW34" s="492">
        <v>25</v>
      </c>
      <c r="BX34" s="492">
        <v>14</v>
      </c>
      <c r="BY34" s="492"/>
      <c r="BZ34" s="492"/>
      <c r="CA34" s="493">
        <f t="shared" si="18"/>
        <v>61.980000000000004</v>
      </c>
      <c r="CB34" s="492">
        <v>9.81</v>
      </c>
      <c r="CC34" s="492">
        <v>1.57</v>
      </c>
      <c r="CD34" s="492">
        <v>9.27</v>
      </c>
      <c r="CE34" s="492">
        <v>9.0990000000000002</v>
      </c>
      <c r="CF34" s="492">
        <v>9.3889999999999993</v>
      </c>
      <c r="CG34" s="492">
        <v>1.52</v>
      </c>
      <c r="CH34" s="492">
        <v>13.529000000000002</v>
      </c>
      <c r="CI34" s="492">
        <v>54.78</v>
      </c>
      <c r="CJ34" s="492">
        <v>70.460000000000008</v>
      </c>
      <c r="CK34" s="492">
        <v>19.259999999999998</v>
      </c>
      <c r="CL34" s="492">
        <v>4.96</v>
      </c>
      <c r="CM34" s="492">
        <v>13.1</v>
      </c>
      <c r="CN34" s="493">
        <f t="shared" si="19"/>
        <v>216.74700000000001</v>
      </c>
      <c r="CO34" s="492">
        <v>15.69</v>
      </c>
      <c r="CP34" s="492"/>
      <c r="CQ34" s="492">
        <v>12.019</v>
      </c>
      <c r="CR34" s="492"/>
      <c r="CS34" s="492"/>
      <c r="CT34" s="492"/>
      <c r="CU34" s="492"/>
      <c r="CV34" s="492">
        <v>4.8600000000000003</v>
      </c>
      <c r="CW34" s="492">
        <v>17.700000000000003</v>
      </c>
      <c r="CX34" s="492">
        <v>33.54</v>
      </c>
      <c r="CY34" s="492">
        <v>13.709</v>
      </c>
      <c r="CZ34" s="492">
        <v>32.47</v>
      </c>
      <c r="DA34" s="493">
        <f t="shared" si="20"/>
        <v>129.988</v>
      </c>
      <c r="DB34" s="492">
        <v>42.1</v>
      </c>
      <c r="DC34" s="492">
        <v>19.329999999999998</v>
      </c>
      <c r="DD34" s="492">
        <v>792.54</v>
      </c>
      <c r="DE34" s="492"/>
      <c r="DF34" s="492"/>
      <c r="DG34" s="492"/>
      <c r="DH34" s="492"/>
      <c r="DI34" s="492">
        <v>34.36</v>
      </c>
      <c r="DJ34" s="492">
        <v>119.55</v>
      </c>
      <c r="DK34" s="492">
        <v>123.53</v>
      </c>
      <c r="DL34" s="492">
        <v>107.74</v>
      </c>
      <c r="DM34" s="492"/>
      <c r="DN34" s="493">
        <f t="shared" si="21"/>
        <v>1239.1499999999999</v>
      </c>
      <c r="DO34" s="492">
        <v>0</v>
      </c>
      <c r="DP34" s="492">
        <v>0</v>
      </c>
      <c r="DQ34" s="492">
        <v>0</v>
      </c>
      <c r="DR34" s="492">
        <v>0</v>
      </c>
      <c r="DS34" s="492">
        <v>0</v>
      </c>
      <c r="DT34" s="492">
        <v>0</v>
      </c>
      <c r="DU34" s="492">
        <v>0</v>
      </c>
      <c r="DV34" s="492">
        <v>114.42</v>
      </c>
      <c r="DW34" s="492">
        <v>132.51</v>
      </c>
      <c r="DX34" s="492">
        <v>99.44</v>
      </c>
      <c r="DY34" s="492">
        <v>61.268000000000008</v>
      </c>
      <c r="DZ34" s="492">
        <v>28.858000000000001</v>
      </c>
      <c r="EA34" s="493">
        <v>436.49600000000004</v>
      </c>
      <c r="EB34" s="492">
        <v>28.169</v>
      </c>
      <c r="EC34" s="492">
        <v>3.14</v>
      </c>
      <c r="ED34" s="492">
        <v>0</v>
      </c>
      <c r="EE34" s="492">
        <v>0</v>
      </c>
      <c r="EF34" s="492">
        <v>0</v>
      </c>
      <c r="EG34" s="492">
        <v>0</v>
      </c>
      <c r="EH34" s="492">
        <v>0</v>
      </c>
      <c r="EI34" s="492">
        <v>0</v>
      </c>
      <c r="EJ34" s="492">
        <v>97.59</v>
      </c>
      <c r="EK34" s="492">
        <v>80.75</v>
      </c>
      <c r="EL34" s="492">
        <v>30.888999999999999</v>
      </c>
      <c r="EM34" s="492">
        <v>14.42</v>
      </c>
      <c r="EN34" s="493">
        <v>254.958</v>
      </c>
      <c r="EO34" s="492">
        <v>23.18</v>
      </c>
      <c r="EP34" s="492">
        <v>23.18</v>
      </c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3">
        <f t="shared" si="22"/>
        <v>46.36</v>
      </c>
      <c r="FB34" s="590"/>
      <c r="FC34" s="595">
        <f t="shared" si="23"/>
        <v>-49.583795782463937</v>
      </c>
      <c r="FD34" s="596">
        <f t="shared" si="24"/>
        <v>-40.992252930296004</v>
      </c>
      <c r="FE34" s="498">
        <f t="shared" si="25"/>
        <v>407.63800000000003</v>
      </c>
      <c r="FF34" s="597">
        <f t="shared" si="26"/>
        <v>240.53800000000001</v>
      </c>
      <c r="FH34" s="551">
        <f t="shared" si="27"/>
        <v>5895.3580000000002</v>
      </c>
      <c r="FI34" s="553" t="s">
        <v>132</v>
      </c>
      <c r="FJ34" s="554" t="str">
        <f t="shared" si="28"/>
        <v>OK</v>
      </c>
    </row>
    <row r="35" spans="1:166" s="470" customFormat="1" ht="15" customHeight="1" x14ac:dyDescent="0.25">
      <c r="A35" s="610" t="s">
        <v>133</v>
      </c>
      <c r="B35" s="492">
        <v>146</v>
      </c>
      <c r="C35" s="492">
        <v>149</v>
      </c>
      <c r="D35" s="492">
        <v>228</v>
      </c>
      <c r="E35" s="492">
        <v>162</v>
      </c>
      <c r="F35" s="492">
        <v>223</v>
      </c>
      <c r="G35" s="492">
        <v>281</v>
      </c>
      <c r="H35" s="492">
        <v>175</v>
      </c>
      <c r="I35" s="492">
        <v>84</v>
      </c>
      <c r="J35" s="492"/>
      <c r="K35" s="492"/>
      <c r="L35" s="492">
        <v>47</v>
      </c>
      <c r="M35" s="492">
        <v>264</v>
      </c>
      <c r="N35" s="493">
        <f t="shared" si="13"/>
        <v>1759</v>
      </c>
      <c r="O35" s="492">
        <v>147</v>
      </c>
      <c r="P35" s="492">
        <v>140</v>
      </c>
      <c r="Q35" s="492">
        <v>261</v>
      </c>
      <c r="R35" s="492">
        <v>203</v>
      </c>
      <c r="S35" s="492">
        <v>265</v>
      </c>
      <c r="T35" s="492">
        <v>323</v>
      </c>
      <c r="U35" s="492">
        <v>198</v>
      </c>
      <c r="V35" s="492">
        <v>92</v>
      </c>
      <c r="W35" s="492"/>
      <c r="X35" s="492"/>
      <c r="Y35" s="492">
        <v>40</v>
      </c>
      <c r="Z35" s="492">
        <v>300</v>
      </c>
      <c r="AA35" s="493">
        <f t="shared" si="14"/>
        <v>1969</v>
      </c>
      <c r="AB35" s="492">
        <v>179</v>
      </c>
      <c r="AC35" s="492">
        <v>159</v>
      </c>
      <c r="AD35" s="492">
        <v>339</v>
      </c>
      <c r="AE35" s="492">
        <v>221</v>
      </c>
      <c r="AF35" s="492">
        <v>305</v>
      </c>
      <c r="AG35" s="492">
        <v>386</v>
      </c>
      <c r="AH35" s="492">
        <v>225</v>
      </c>
      <c r="AI35" s="492">
        <v>128</v>
      </c>
      <c r="AJ35" s="492"/>
      <c r="AK35" s="492"/>
      <c r="AL35" s="492">
        <v>24</v>
      </c>
      <c r="AM35" s="492">
        <v>418</v>
      </c>
      <c r="AN35" s="493">
        <f t="shared" si="15"/>
        <v>2384</v>
      </c>
      <c r="AO35" s="492">
        <v>226</v>
      </c>
      <c r="AP35" s="492">
        <v>219</v>
      </c>
      <c r="AQ35" s="492">
        <v>401</v>
      </c>
      <c r="AR35" s="492">
        <v>292</v>
      </c>
      <c r="AS35" s="492">
        <v>399</v>
      </c>
      <c r="AT35" s="492">
        <v>473</v>
      </c>
      <c r="AU35" s="492">
        <v>252</v>
      </c>
      <c r="AV35" s="492">
        <v>129</v>
      </c>
      <c r="AW35" s="492"/>
      <c r="AX35" s="492"/>
      <c r="AY35" s="492">
        <v>7</v>
      </c>
      <c r="AZ35" s="492">
        <v>223</v>
      </c>
      <c r="BA35" s="493">
        <f t="shared" si="16"/>
        <v>2621</v>
      </c>
      <c r="BB35" s="492">
        <v>139</v>
      </c>
      <c r="BC35" s="492">
        <v>214</v>
      </c>
      <c r="BD35" s="492">
        <v>378</v>
      </c>
      <c r="BE35" s="492">
        <v>328</v>
      </c>
      <c r="BF35" s="492">
        <v>396</v>
      </c>
      <c r="BG35" s="492">
        <v>385</v>
      </c>
      <c r="BH35" s="492">
        <v>318</v>
      </c>
      <c r="BI35" s="492">
        <v>112</v>
      </c>
      <c r="BJ35" s="492"/>
      <c r="BK35" s="492"/>
      <c r="BL35" s="492">
        <v>5</v>
      </c>
      <c r="BM35" s="492">
        <v>196</v>
      </c>
      <c r="BN35" s="493">
        <f t="shared" si="17"/>
        <v>2471</v>
      </c>
      <c r="BO35" s="492">
        <v>246.86999999999998</v>
      </c>
      <c r="BP35" s="492">
        <v>381.01900000000001</v>
      </c>
      <c r="BQ35" s="492">
        <v>537.899</v>
      </c>
      <c r="BR35" s="492">
        <v>565.57000000000005</v>
      </c>
      <c r="BS35" s="492">
        <v>691.51</v>
      </c>
      <c r="BT35" s="492">
        <v>609.32999999999993</v>
      </c>
      <c r="BU35" s="492">
        <v>412.04</v>
      </c>
      <c r="BV35" s="492">
        <v>144.26000000000002</v>
      </c>
      <c r="BW35" s="492"/>
      <c r="BX35" s="492"/>
      <c r="BY35" s="492"/>
      <c r="BZ35" s="492">
        <v>337.09900000000005</v>
      </c>
      <c r="CA35" s="493">
        <f t="shared" si="18"/>
        <v>3925.5970000000007</v>
      </c>
      <c r="CB35" s="492">
        <v>293.71000000000004</v>
      </c>
      <c r="CC35" s="492">
        <v>405.90999999999997</v>
      </c>
      <c r="CD35" s="492">
        <v>604.11000000000013</v>
      </c>
      <c r="CE35" s="492">
        <v>696.78</v>
      </c>
      <c r="CF35" s="492">
        <v>782.34999999999991</v>
      </c>
      <c r="CG35" s="492">
        <v>730.33000000000015</v>
      </c>
      <c r="CH35" s="492">
        <v>484.95900000000006</v>
      </c>
      <c r="CI35" s="492">
        <v>130.82</v>
      </c>
      <c r="CJ35" s="492"/>
      <c r="CK35" s="492"/>
      <c r="CL35" s="492"/>
      <c r="CM35" s="492">
        <v>421.56000000000006</v>
      </c>
      <c r="CN35" s="493">
        <f t="shared" si="19"/>
        <v>4550.5289999999995</v>
      </c>
      <c r="CO35" s="492">
        <v>365.8</v>
      </c>
      <c r="CP35" s="492">
        <v>443.08000000000004</v>
      </c>
      <c r="CQ35" s="492">
        <v>733.58999999999992</v>
      </c>
      <c r="CR35" s="492">
        <v>582.4190000000001</v>
      </c>
      <c r="CS35" s="492">
        <v>647.46999999999991</v>
      </c>
      <c r="CT35" s="492">
        <v>816.56900000000007</v>
      </c>
      <c r="CU35" s="492">
        <v>561.76</v>
      </c>
      <c r="CV35" s="492">
        <v>151.03</v>
      </c>
      <c r="CW35" s="492"/>
      <c r="CX35" s="492"/>
      <c r="CY35" s="492">
        <v>19.5</v>
      </c>
      <c r="CZ35" s="492">
        <v>498.98</v>
      </c>
      <c r="DA35" s="493">
        <f t="shared" si="20"/>
        <v>4820.1980000000003</v>
      </c>
      <c r="DB35" s="492">
        <v>398.96999999999997</v>
      </c>
      <c r="DC35" s="492">
        <v>434.33000000000004</v>
      </c>
      <c r="DD35" s="492">
        <v>663.89999999999986</v>
      </c>
      <c r="DE35" s="492">
        <v>529.01</v>
      </c>
      <c r="DF35" s="492">
        <v>554.94000000000005</v>
      </c>
      <c r="DG35" s="492">
        <v>690.9380000000001</v>
      </c>
      <c r="DH35" s="492">
        <v>557.85900000000004</v>
      </c>
      <c r="DI35" s="492">
        <v>58.03</v>
      </c>
      <c r="DJ35" s="492"/>
      <c r="DK35" s="492"/>
      <c r="DL35" s="492"/>
      <c r="DM35" s="492">
        <v>254.255</v>
      </c>
      <c r="DN35" s="493">
        <f t="shared" si="21"/>
        <v>4142.232</v>
      </c>
      <c r="DO35" s="492">
        <v>264.25900000000001</v>
      </c>
      <c r="DP35" s="492">
        <v>311.64999999999998</v>
      </c>
      <c r="DQ35" s="492">
        <v>456.55900000000003</v>
      </c>
      <c r="DR35" s="492">
        <v>458.49799999999999</v>
      </c>
      <c r="DS35" s="492">
        <v>523.30000000000007</v>
      </c>
      <c r="DT35" s="492">
        <v>711.54999999999984</v>
      </c>
      <c r="DU35" s="492">
        <v>545.48900000000015</v>
      </c>
      <c r="DV35" s="492">
        <v>72.47</v>
      </c>
      <c r="DW35" s="492">
        <v>0</v>
      </c>
      <c r="DX35" s="492">
        <v>0</v>
      </c>
      <c r="DY35" s="492">
        <v>0</v>
      </c>
      <c r="DZ35" s="492">
        <v>228.589</v>
      </c>
      <c r="EA35" s="493">
        <v>3572.3639999999996</v>
      </c>
      <c r="EB35" s="492">
        <v>207.03800000000001</v>
      </c>
      <c r="EC35" s="492">
        <v>220.489</v>
      </c>
      <c r="ED35" s="492">
        <v>265.90800000000002</v>
      </c>
      <c r="EE35" s="492">
        <v>231.708</v>
      </c>
      <c r="EF35" s="492">
        <v>293.19900000000001</v>
      </c>
      <c r="EG35" s="492">
        <v>495.33899999999988</v>
      </c>
      <c r="EH35" s="492">
        <v>424.13000000000011</v>
      </c>
      <c r="EI35" s="492">
        <v>74.680000000000007</v>
      </c>
      <c r="EJ35" s="492">
        <v>0</v>
      </c>
      <c r="EK35" s="492">
        <v>0</v>
      </c>
      <c r="EL35" s="492">
        <v>0</v>
      </c>
      <c r="EM35" s="492">
        <v>189.578</v>
      </c>
      <c r="EN35" s="493">
        <v>2402.069</v>
      </c>
      <c r="EO35" s="492">
        <v>133.018</v>
      </c>
      <c r="EP35" s="492">
        <v>178.81899999999999</v>
      </c>
      <c r="EQ35" s="492"/>
      <c r="ER35" s="492"/>
      <c r="ES35" s="492"/>
      <c r="ET35" s="492"/>
      <c r="EU35" s="492"/>
      <c r="EV35" s="492"/>
      <c r="EW35" s="492"/>
      <c r="EX35" s="492"/>
      <c r="EY35" s="492"/>
      <c r="EZ35" s="492"/>
      <c r="FA35" s="493">
        <f t="shared" si="22"/>
        <v>311.83699999999999</v>
      </c>
      <c r="FB35" s="590"/>
      <c r="FC35" s="595" t="str">
        <f t="shared" si="23"/>
        <v/>
      </c>
      <c r="FD35" s="596">
        <f t="shared" si="24"/>
        <v>-33.832539569797603</v>
      </c>
      <c r="FE35" s="498">
        <f t="shared" si="25"/>
        <v>3343.7749999999996</v>
      </c>
      <c r="FF35" s="597">
        <f t="shared" si="26"/>
        <v>2212.491</v>
      </c>
      <c r="FH35" s="551">
        <f t="shared" si="27"/>
        <v>66339.652000000016</v>
      </c>
      <c r="FI35" s="553" t="s">
        <v>133</v>
      </c>
      <c r="FJ35" s="554" t="str">
        <f t="shared" si="28"/>
        <v>OK</v>
      </c>
    </row>
    <row r="36" spans="1:166" s="470" customFormat="1" ht="15" customHeight="1" x14ac:dyDescent="0.25">
      <c r="A36" s="610" t="s">
        <v>351</v>
      </c>
      <c r="B36" s="492">
        <v>305</v>
      </c>
      <c r="C36" s="492">
        <v>335</v>
      </c>
      <c r="D36" s="492">
        <v>276</v>
      </c>
      <c r="E36" s="492">
        <v>204</v>
      </c>
      <c r="F36" s="492">
        <v>236</v>
      </c>
      <c r="G36" s="492">
        <v>10</v>
      </c>
      <c r="H36" s="492"/>
      <c r="I36" s="492"/>
      <c r="J36" s="492"/>
      <c r="K36" s="492"/>
      <c r="L36" s="492">
        <v>14</v>
      </c>
      <c r="M36" s="492">
        <v>208</v>
      </c>
      <c r="N36" s="493">
        <f t="shared" si="13"/>
        <v>1588</v>
      </c>
      <c r="O36" s="492">
        <v>197</v>
      </c>
      <c r="P36" s="492">
        <v>350</v>
      </c>
      <c r="Q36" s="492">
        <v>367</v>
      </c>
      <c r="R36" s="492">
        <v>247</v>
      </c>
      <c r="S36" s="492">
        <v>287</v>
      </c>
      <c r="T36" s="492">
        <v>16</v>
      </c>
      <c r="U36" s="492"/>
      <c r="V36" s="492"/>
      <c r="W36" s="492"/>
      <c r="X36" s="492"/>
      <c r="Y36" s="492">
        <v>6</v>
      </c>
      <c r="Z36" s="492">
        <v>212</v>
      </c>
      <c r="AA36" s="493">
        <f t="shared" si="14"/>
        <v>1682</v>
      </c>
      <c r="AB36" s="492">
        <v>242</v>
      </c>
      <c r="AC36" s="492">
        <v>363</v>
      </c>
      <c r="AD36" s="492">
        <v>449</v>
      </c>
      <c r="AE36" s="492">
        <v>382</v>
      </c>
      <c r="AF36" s="492">
        <v>317</v>
      </c>
      <c r="AG36" s="492">
        <v>19</v>
      </c>
      <c r="AH36" s="492"/>
      <c r="AI36" s="492"/>
      <c r="AJ36" s="492"/>
      <c r="AK36" s="492"/>
      <c r="AL36" s="492"/>
      <c r="AM36" s="492">
        <v>242</v>
      </c>
      <c r="AN36" s="493">
        <f t="shared" si="15"/>
        <v>2014</v>
      </c>
      <c r="AO36" s="492">
        <v>289</v>
      </c>
      <c r="AP36" s="492">
        <v>428</v>
      </c>
      <c r="AQ36" s="492">
        <v>550</v>
      </c>
      <c r="AR36" s="492">
        <v>485</v>
      </c>
      <c r="AS36" s="492">
        <v>386</v>
      </c>
      <c r="AT36" s="492">
        <v>33</v>
      </c>
      <c r="AU36" s="492"/>
      <c r="AV36" s="492"/>
      <c r="AW36" s="492"/>
      <c r="AX36" s="492"/>
      <c r="AY36" s="492"/>
      <c r="AZ36" s="492">
        <v>114</v>
      </c>
      <c r="BA36" s="493">
        <f t="shared" si="16"/>
        <v>2285</v>
      </c>
      <c r="BB36" s="492">
        <v>217</v>
      </c>
      <c r="BC36" s="492">
        <v>276</v>
      </c>
      <c r="BD36" s="492">
        <v>563</v>
      </c>
      <c r="BE36" s="492">
        <v>677</v>
      </c>
      <c r="BF36" s="492">
        <v>302</v>
      </c>
      <c r="BG36" s="492">
        <v>11</v>
      </c>
      <c r="BH36" s="492"/>
      <c r="BI36" s="492"/>
      <c r="BJ36" s="492"/>
      <c r="BK36" s="492"/>
      <c r="BL36" s="492"/>
      <c r="BM36" s="492">
        <v>82</v>
      </c>
      <c r="BN36" s="493">
        <f t="shared" si="17"/>
        <v>2128</v>
      </c>
      <c r="BO36" s="492">
        <v>432</v>
      </c>
      <c r="BP36" s="492">
        <v>681</v>
      </c>
      <c r="BQ36" s="492">
        <v>834</v>
      </c>
      <c r="BR36" s="492">
        <v>617</v>
      </c>
      <c r="BS36" s="492">
        <v>382.72899999999998</v>
      </c>
      <c r="BT36" s="492">
        <v>9</v>
      </c>
      <c r="BU36" s="492"/>
      <c r="BV36" s="492"/>
      <c r="BW36" s="492"/>
      <c r="BX36" s="492"/>
      <c r="BY36" s="492"/>
      <c r="BZ36" s="492">
        <v>351</v>
      </c>
      <c r="CA36" s="493">
        <f t="shared" si="18"/>
        <v>3306.7289999999998</v>
      </c>
      <c r="CB36" s="492">
        <v>522.79899999999998</v>
      </c>
      <c r="CC36" s="492">
        <v>590.37699999999995</v>
      </c>
      <c r="CD36" s="492">
        <v>525.1</v>
      </c>
      <c r="CE36" s="492">
        <v>781.11699999999996</v>
      </c>
      <c r="CF36" s="492">
        <v>375.29999999999995</v>
      </c>
      <c r="CG36" s="492">
        <v>13.7</v>
      </c>
      <c r="CH36" s="492"/>
      <c r="CI36" s="492"/>
      <c r="CJ36" s="492"/>
      <c r="CK36" s="492"/>
      <c r="CL36" s="492"/>
      <c r="CM36" s="492">
        <v>354.05900000000003</v>
      </c>
      <c r="CN36" s="493">
        <f t="shared" si="19"/>
        <v>3162.4520000000002</v>
      </c>
      <c r="CO36" s="492">
        <v>522.96900000000005</v>
      </c>
      <c r="CP36" s="492">
        <v>594.97299999999996</v>
      </c>
      <c r="CQ36" s="492">
        <v>588.50000000000011</v>
      </c>
      <c r="CR36" s="492">
        <v>660.82400000000007</v>
      </c>
      <c r="CS36" s="492">
        <v>423.649</v>
      </c>
      <c r="CT36" s="492">
        <v>53.78</v>
      </c>
      <c r="CU36" s="492"/>
      <c r="CV36" s="492"/>
      <c r="CW36" s="492"/>
      <c r="CX36" s="492"/>
      <c r="CY36" s="492">
        <v>13.46</v>
      </c>
      <c r="CZ36" s="492">
        <v>331.07899999999995</v>
      </c>
      <c r="DA36" s="493">
        <f t="shared" si="20"/>
        <v>3189.2340000000004</v>
      </c>
      <c r="DB36" s="492">
        <v>460.62</v>
      </c>
      <c r="DC36" s="492">
        <v>407.85</v>
      </c>
      <c r="DD36" s="492">
        <v>491.07</v>
      </c>
      <c r="DE36" s="492">
        <v>537.71</v>
      </c>
      <c r="DF36" s="492">
        <v>368.21899999999999</v>
      </c>
      <c r="DG36" s="492">
        <v>24.15</v>
      </c>
      <c r="DH36" s="492"/>
      <c r="DI36" s="492"/>
      <c r="DJ36" s="492"/>
      <c r="DK36" s="492"/>
      <c r="DL36" s="492"/>
      <c r="DM36" s="492">
        <v>214.958</v>
      </c>
      <c r="DN36" s="493">
        <f t="shared" si="21"/>
        <v>2504.5770000000002</v>
      </c>
      <c r="DO36" s="492">
        <v>282.46999999999991</v>
      </c>
      <c r="DP36" s="492">
        <v>223.46700000000001</v>
      </c>
      <c r="DQ36" s="492">
        <v>194.559</v>
      </c>
      <c r="DR36" s="492">
        <v>290.63699999999989</v>
      </c>
      <c r="DS36" s="492">
        <v>260.38900000000001</v>
      </c>
      <c r="DT36" s="492">
        <v>31.5</v>
      </c>
      <c r="DU36" s="492">
        <v>0</v>
      </c>
      <c r="DV36" s="492">
        <v>0</v>
      </c>
      <c r="DW36" s="492">
        <v>0</v>
      </c>
      <c r="DX36" s="492">
        <v>0</v>
      </c>
      <c r="DY36" s="492">
        <v>0</v>
      </c>
      <c r="DZ36" s="492">
        <v>174.50800000000001</v>
      </c>
      <c r="EA36" s="493">
        <v>1457.53</v>
      </c>
      <c r="EB36" s="492">
        <v>264.03699999999998</v>
      </c>
      <c r="EC36" s="492">
        <v>177.369</v>
      </c>
      <c r="ED36" s="492">
        <v>209.51900000000001</v>
      </c>
      <c r="EE36" s="492">
        <v>238.41900000000001</v>
      </c>
      <c r="EF36" s="492">
        <v>283.69</v>
      </c>
      <c r="EG36" s="492">
        <v>24.61</v>
      </c>
      <c r="EH36" s="492">
        <v>0</v>
      </c>
      <c r="EI36" s="492">
        <v>0</v>
      </c>
      <c r="EJ36" s="492">
        <v>0</v>
      </c>
      <c r="EK36" s="492">
        <v>0</v>
      </c>
      <c r="EL36" s="492">
        <v>0</v>
      </c>
      <c r="EM36" s="492">
        <v>163.81800000000001</v>
      </c>
      <c r="EN36" s="493">
        <v>1361.4619999999998</v>
      </c>
      <c r="EO36" s="492">
        <v>201.21899999999999</v>
      </c>
      <c r="EP36" s="492">
        <v>159.44900000000001</v>
      </c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3">
        <f t="shared" si="22"/>
        <v>360.66800000000001</v>
      </c>
      <c r="FB36" s="590"/>
      <c r="FC36" s="595" t="str">
        <f t="shared" si="23"/>
        <v/>
      </c>
      <c r="FD36" s="596">
        <f t="shared" si="24"/>
        <v>-6.6544455200300607</v>
      </c>
      <c r="FE36" s="498">
        <f t="shared" si="25"/>
        <v>1283.0219999999999</v>
      </c>
      <c r="FF36" s="597">
        <f t="shared" si="26"/>
        <v>1197.6439999999998</v>
      </c>
      <c r="FG36" s="509"/>
      <c r="FH36" s="551">
        <f t="shared" si="27"/>
        <v>46903.303999999996</v>
      </c>
      <c r="FI36" s="553" t="s">
        <v>351</v>
      </c>
      <c r="FJ36" s="554" t="str">
        <f t="shared" si="28"/>
        <v>OK</v>
      </c>
    </row>
    <row r="37" spans="1:166" s="470" customFormat="1" ht="15" customHeight="1" x14ac:dyDescent="0.25">
      <c r="A37" s="610" t="s">
        <v>134</v>
      </c>
      <c r="B37" s="492">
        <v>11</v>
      </c>
      <c r="C37" s="492">
        <v>9</v>
      </c>
      <c r="D37" s="492">
        <v>9</v>
      </c>
      <c r="E37" s="492">
        <v>7</v>
      </c>
      <c r="F37" s="492">
        <v>11</v>
      </c>
      <c r="G37" s="492">
        <v>10</v>
      </c>
      <c r="H37" s="492">
        <v>12</v>
      </c>
      <c r="I37" s="492">
        <v>12</v>
      </c>
      <c r="J37" s="492">
        <v>10</v>
      </c>
      <c r="K37" s="492">
        <v>9</v>
      </c>
      <c r="L37" s="492">
        <v>10</v>
      </c>
      <c r="M37" s="492">
        <v>9</v>
      </c>
      <c r="N37" s="493">
        <f t="shared" si="13"/>
        <v>119</v>
      </c>
      <c r="O37" s="492"/>
      <c r="P37" s="492"/>
      <c r="Q37" s="492"/>
      <c r="R37" s="492"/>
      <c r="S37" s="492">
        <v>1</v>
      </c>
      <c r="T37" s="492">
        <v>1</v>
      </c>
      <c r="U37" s="492">
        <v>1</v>
      </c>
      <c r="V37" s="492"/>
      <c r="W37" s="492"/>
      <c r="X37" s="492"/>
      <c r="Y37" s="492"/>
      <c r="Z37" s="492">
        <v>1</v>
      </c>
      <c r="AA37" s="493">
        <f t="shared" si="14"/>
        <v>4</v>
      </c>
      <c r="AB37" s="492">
        <v>1</v>
      </c>
      <c r="AC37" s="492">
        <v>1</v>
      </c>
      <c r="AD37" s="492">
        <v>1</v>
      </c>
      <c r="AE37" s="492">
        <v>1</v>
      </c>
      <c r="AF37" s="492">
        <v>1</v>
      </c>
      <c r="AG37" s="492">
        <v>1</v>
      </c>
      <c r="AH37" s="492">
        <v>1</v>
      </c>
      <c r="AI37" s="492"/>
      <c r="AJ37" s="492"/>
      <c r="AK37" s="492">
        <v>1</v>
      </c>
      <c r="AL37" s="492">
        <v>1</v>
      </c>
      <c r="AM37" s="492">
        <v>1</v>
      </c>
      <c r="AN37" s="493">
        <f t="shared" si="15"/>
        <v>10</v>
      </c>
      <c r="AO37" s="492">
        <v>1</v>
      </c>
      <c r="AP37" s="492">
        <v>1</v>
      </c>
      <c r="AQ37" s="492">
        <v>1</v>
      </c>
      <c r="AR37" s="492"/>
      <c r="AS37" s="492"/>
      <c r="AT37" s="492"/>
      <c r="AU37" s="492"/>
      <c r="AV37" s="492"/>
      <c r="AW37" s="492"/>
      <c r="AX37" s="492"/>
      <c r="AY37" s="492"/>
      <c r="AZ37" s="492"/>
      <c r="BA37" s="493">
        <f t="shared" si="16"/>
        <v>3</v>
      </c>
      <c r="BB37" s="492">
        <v>1</v>
      </c>
      <c r="BC37" s="492">
        <v>1</v>
      </c>
      <c r="BD37" s="492">
        <v>1</v>
      </c>
      <c r="BE37" s="492">
        <v>1</v>
      </c>
      <c r="BF37" s="492">
        <v>1</v>
      </c>
      <c r="BG37" s="492"/>
      <c r="BH37" s="492"/>
      <c r="BI37" s="492"/>
      <c r="BJ37" s="492"/>
      <c r="BK37" s="492"/>
      <c r="BL37" s="492"/>
      <c r="BM37" s="492"/>
      <c r="BN37" s="493">
        <f t="shared" si="17"/>
        <v>5</v>
      </c>
      <c r="BO37" s="492">
        <v>0.38</v>
      </c>
      <c r="BP37" s="492">
        <v>0.68</v>
      </c>
      <c r="BQ37" s="492">
        <v>0.48</v>
      </c>
      <c r="BR37" s="492">
        <v>0.67500000000000004</v>
      </c>
      <c r="BS37" s="492">
        <v>0.50900000000000001</v>
      </c>
      <c r="BT37" s="492">
        <v>0.36</v>
      </c>
      <c r="BU37" s="492">
        <v>0.39</v>
      </c>
      <c r="BV37" s="492">
        <v>0.23</v>
      </c>
      <c r="BW37" s="492">
        <v>0.18</v>
      </c>
      <c r="BX37" s="492">
        <v>0.245</v>
      </c>
      <c r="BY37" s="492">
        <v>0.27</v>
      </c>
      <c r="BZ37" s="492">
        <v>0.3</v>
      </c>
      <c r="CA37" s="493">
        <f t="shared" si="18"/>
        <v>4.698999999999999</v>
      </c>
      <c r="CB37" s="492">
        <v>1.627</v>
      </c>
      <c r="CC37" s="492">
        <v>1.48</v>
      </c>
      <c r="CD37" s="492">
        <v>1.38</v>
      </c>
      <c r="CE37" s="492">
        <v>1.86</v>
      </c>
      <c r="CF37" s="492">
        <v>2.29</v>
      </c>
      <c r="CG37" s="492">
        <v>2.78</v>
      </c>
      <c r="CH37" s="492">
        <v>3.28</v>
      </c>
      <c r="CI37" s="492">
        <v>3.96</v>
      </c>
      <c r="CJ37" s="492">
        <v>3.72</v>
      </c>
      <c r="CK37" s="492">
        <v>3.37</v>
      </c>
      <c r="CL37" s="492">
        <v>3.1</v>
      </c>
      <c r="CM37" s="492">
        <v>2.68</v>
      </c>
      <c r="CN37" s="493">
        <f t="shared" si="19"/>
        <v>31.527000000000001</v>
      </c>
      <c r="CO37" s="492">
        <v>1.96</v>
      </c>
      <c r="CP37" s="492">
        <v>1.58</v>
      </c>
      <c r="CQ37" s="492">
        <v>1.46</v>
      </c>
      <c r="CR37" s="492">
        <v>1.92</v>
      </c>
      <c r="CS37" s="492">
        <v>2.41</v>
      </c>
      <c r="CT37" s="492">
        <v>2.87</v>
      </c>
      <c r="CU37" s="492">
        <v>3.27</v>
      </c>
      <c r="CV37" s="492">
        <v>5.14</v>
      </c>
      <c r="CW37" s="492">
        <v>3.95</v>
      </c>
      <c r="CX37" s="492">
        <v>3.1100000000000003</v>
      </c>
      <c r="CY37" s="492">
        <v>2.12</v>
      </c>
      <c r="CZ37" s="492">
        <v>2.16</v>
      </c>
      <c r="DA37" s="493">
        <f t="shared" si="20"/>
        <v>31.95</v>
      </c>
      <c r="DB37" s="492">
        <v>1.7799999999999998</v>
      </c>
      <c r="DC37" s="492">
        <v>1.51</v>
      </c>
      <c r="DD37" s="492">
        <v>1.62</v>
      </c>
      <c r="DE37" s="492">
        <v>1.68</v>
      </c>
      <c r="DF37" s="492">
        <v>2.5499999999999998</v>
      </c>
      <c r="DG37" s="492">
        <v>4.8000000000000007</v>
      </c>
      <c r="DH37" s="492">
        <v>5.04</v>
      </c>
      <c r="DI37" s="492">
        <v>3.5390000000000001</v>
      </c>
      <c r="DJ37" s="492">
        <v>3.12</v>
      </c>
      <c r="DK37" s="492">
        <v>3.6989999999999998</v>
      </c>
      <c r="DL37" s="492">
        <v>4.82</v>
      </c>
      <c r="DM37" s="492">
        <v>4.0599999999999996</v>
      </c>
      <c r="DN37" s="493">
        <f t="shared" si="21"/>
        <v>38.218000000000004</v>
      </c>
      <c r="DO37" s="492">
        <v>4.4700000000000006</v>
      </c>
      <c r="DP37" s="492">
        <v>3.5790000000000002</v>
      </c>
      <c r="DQ37" s="492">
        <v>2.879</v>
      </c>
      <c r="DR37" s="492">
        <v>2.69</v>
      </c>
      <c r="DS37" s="492">
        <v>3.105</v>
      </c>
      <c r="DT37" s="492">
        <v>3.77</v>
      </c>
      <c r="DU37" s="492">
        <v>5.0999999999999996</v>
      </c>
      <c r="DV37" s="492">
        <v>7.38</v>
      </c>
      <c r="DW37" s="492">
        <v>6.5790000000000006</v>
      </c>
      <c r="DX37" s="492">
        <v>5.79</v>
      </c>
      <c r="DY37" s="492">
        <v>12.3</v>
      </c>
      <c r="DZ37" s="492">
        <v>15.209</v>
      </c>
      <c r="EA37" s="493">
        <v>72.850999999999999</v>
      </c>
      <c r="EB37" s="492">
        <v>15.26</v>
      </c>
      <c r="EC37" s="492">
        <v>11.97</v>
      </c>
      <c r="ED37" s="492">
        <v>8.57</v>
      </c>
      <c r="EE37" s="492">
        <v>10</v>
      </c>
      <c r="EF37" s="492">
        <v>12.33</v>
      </c>
      <c r="EG37" s="492">
        <v>7.86</v>
      </c>
      <c r="EH37" s="492">
        <v>10.47</v>
      </c>
      <c r="EI37" s="492">
        <v>11.46</v>
      </c>
      <c r="EJ37" s="492">
        <v>12.08</v>
      </c>
      <c r="EK37" s="492">
        <v>11.46</v>
      </c>
      <c r="EL37" s="492">
        <v>10.98</v>
      </c>
      <c r="EM37" s="492">
        <v>11.994999999999999</v>
      </c>
      <c r="EN37" s="493">
        <v>134.43499999999997</v>
      </c>
      <c r="EO37" s="492">
        <v>9.67</v>
      </c>
      <c r="EP37" s="492">
        <v>12.31</v>
      </c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3">
        <f t="shared" si="22"/>
        <v>21.98</v>
      </c>
      <c r="FB37" s="590"/>
      <c r="FC37" s="595">
        <f t="shared" si="23"/>
        <v>-10.73170731707317</v>
      </c>
      <c r="FD37" s="596">
        <f t="shared" si="24"/>
        <v>112.41455882863187</v>
      </c>
      <c r="FE37" s="498">
        <f t="shared" si="25"/>
        <v>57.641999999999996</v>
      </c>
      <c r="FF37" s="597">
        <f t="shared" si="26"/>
        <v>122.43999999999998</v>
      </c>
      <c r="FG37" s="509"/>
      <c r="FH37" s="551">
        <f t="shared" si="27"/>
        <v>715.31999999999994</v>
      </c>
      <c r="FI37" s="553" t="s">
        <v>134</v>
      </c>
      <c r="FJ37" s="554" t="str">
        <f t="shared" si="28"/>
        <v>OK</v>
      </c>
    </row>
    <row r="38" spans="1:166" s="470" customFormat="1" ht="15" customHeight="1" x14ac:dyDescent="0.25">
      <c r="A38" s="610" t="s">
        <v>136</v>
      </c>
      <c r="B38" s="492">
        <v>39</v>
      </c>
      <c r="C38" s="492">
        <v>35</v>
      </c>
      <c r="D38" s="492"/>
      <c r="E38" s="492"/>
      <c r="F38" s="492"/>
      <c r="G38" s="492"/>
      <c r="H38" s="492"/>
      <c r="I38" s="492">
        <v>49</v>
      </c>
      <c r="J38" s="492">
        <v>43</v>
      </c>
      <c r="K38" s="492">
        <v>85</v>
      </c>
      <c r="L38" s="492">
        <v>198</v>
      </c>
      <c r="M38" s="492">
        <v>203</v>
      </c>
      <c r="N38" s="493">
        <f t="shared" si="13"/>
        <v>652</v>
      </c>
      <c r="O38" s="492">
        <v>34</v>
      </c>
      <c r="P38" s="492">
        <v>64</v>
      </c>
      <c r="Q38" s="492">
        <v>61</v>
      </c>
      <c r="R38" s="492">
        <v>14</v>
      </c>
      <c r="S38" s="492">
        <v>13</v>
      </c>
      <c r="T38" s="492"/>
      <c r="U38" s="492"/>
      <c r="V38" s="492"/>
      <c r="W38" s="492"/>
      <c r="X38" s="492">
        <v>15</v>
      </c>
      <c r="Y38" s="492">
        <v>33</v>
      </c>
      <c r="Z38" s="492">
        <v>16</v>
      </c>
      <c r="AA38" s="493">
        <f t="shared" si="14"/>
        <v>250</v>
      </c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3">
        <f t="shared" si="15"/>
        <v>0</v>
      </c>
      <c r="AO38" s="492"/>
      <c r="AP38" s="492"/>
      <c r="AQ38" s="492"/>
      <c r="AR38" s="492"/>
      <c r="AS38" s="492"/>
      <c r="AT38" s="492"/>
      <c r="AU38" s="492"/>
      <c r="AV38" s="492">
        <v>58</v>
      </c>
      <c r="AW38" s="492">
        <v>37</v>
      </c>
      <c r="AX38" s="492">
        <v>61</v>
      </c>
      <c r="AY38" s="492">
        <v>12</v>
      </c>
      <c r="AZ38" s="492"/>
      <c r="BA38" s="493">
        <f t="shared" si="16"/>
        <v>168</v>
      </c>
      <c r="BB38" s="492"/>
      <c r="BC38" s="492"/>
      <c r="BD38" s="492"/>
      <c r="BE38" s="492"/>
      <c r="BF38" s="492">
        <v>11</v>
      </c>
      <c r="BG38" s="492">
        <v>13</v>
      </c>
      <c r="BH38" s="492">
        <v>11</v>
      </c>
      <c r="BI38" s="492">
        <v>28</v>
      </c>
      <c r="BJ38" s="492">
        <v>36</v>
      </c>
      <c r="BK38" s="492">
        <v>66</v>
      </c>
      <c r="BL38" s="492">
        <v>60</v>
      </c>
      <c r="BM38" s="492"/>
      <c r="BN38" s="493">
        <f t="shared" si="17"/>
        <v>225</v>
      </c>
      <c r="BO38" s="492"/>
      <c r="BP38" s="492"/>
      <c r="BQ38" s="492"/>
      <c r="BR38" s="492"/>
      <c r="BS38" s="492"/>
      <c r="BT38" s="492"/>
      <c r="BU38" s="492"/>
      <c r="BV38" s="492"/>
      <c r="BW38" s="492">
        <v>60.6</v>
      </c>
      <c r="BX38" s="492">
        <v>205.28000000000003</v>
      </c>
      <c r="BY38" s="492">
        <v>90.68</v>
      </c>
      <c r="BZ38" s="492"/>
      <c r="CA38" s="493">
        <f t="shared" si="18"/>
        <v>356.56000000000006</v>
      </c>
      <c r="CB38" s="492"/>
      <c r="CC38" s="492"/>
      <c r="CD38" s="492"/>
      <c r="CE38" s="492"/>
      <c r="CF38" s="492"/>
      <c r="CG38" s="492"/>
      <c r="CH38" s="492"/>
      <c r="CI38" s="492">
        <v>76.38</v>
      </c>
      <c r="CJ38" s="492">
        <v>133</v>
      </c>
      <c r="CK38" s="492">
        <v>87.54</v>
      </c>
      <c r="CL38" s="492"/>
      <c r="CM38" s="492">
        <v>54.74</v>
      </c>
      <c r="CN38" s="493">
        <f t="shared" si="19"/>
        <v>351.66</v>
      </c>
      <c r="CO38" s="492"/>
      <c r="CP38" s="492"/>
      <c r="CQ38" s="492"/>
      <c r="CR38" s="492">
        <v>92.45</v>
      </c>
      <c r="CS38" s="492"/>
      <c r="CT38" s="492"/>
      <c r="CU38" s="492"/>
      <c r="CV38" s="492">
        <v>64.5</v>
      </c>
      <c r="CW38" s="492">
        <v>141.84</v>
      </c>
      <c r="CX38" s="492">
        <v>79.5</v>
      </c>
      <c r="CY38" s="492">
        <v>53.7</v>
      </c>
      <c r="CZ38" s="492"/>
      <c r="DA38" s="493">
        <f t="shared" si="20"/>
        <v>431.98999999999995</v>
      </c>
      <c r="DB38" s="492"/>
      <c r="DC38" s="492"/>
      <c r="DD38" s="492"/>
      <c r="DE38" s="492"/>
      <c r="DF38" s="492"/>
      <c r="DG38" s="492"/>
      <c r="DH38" s="492"/>
      <c r="DI38" s="492"/>
      <c r="DJ38" s="492">
        <v>31.5</v>
      </c>
      <c r="DK38" s="492">
        <v>9.68</v>
      </c>
      <c r="DL38" s="492"/>
      <c r="DM38" s="492">
        <v>92.4</v>
      </c>
      <c r="DN38" s="493">
        <f t="shared" si="21"/>
        <v>133.58000000000001</v>
      </c>
      <c r="DO38" s="492">
        <v>0</v>
      </c>
      <c r="DP38" s="492">
        <v>0</v>
      </c>
      <c r="DQ38" s="492">
        <v>0</v>
      </c>
      <c r="DR38" s="492">
        <v>0</v>
      </c>
      <c r="DS38" s="492">
        <v>0</v>
      </c>
      <c r="DT38" s="492">
        <v>0</v>
      </c>
      <c r="DU38" s="492">
        <v>0</v>
      </c>
      <c r="DV38" s="492">
        <v>0</v>
      </c>
      <c r="DW38" s="492">
        <v>58.81</v>
      </c>
      <c r="DX38" s="492">
        <v>64.688000000000002</v>
      </c>
      <c r="DY38" s="492">
        <v>88.35</v>
      </c>
      <c r="DZ38" s="492">
        <v>58.599999999999987</v>
      </c>
      <c r="EA38" s="493">
        <v>270.44799999999998</v>
      </c>
      <c r="EB38" s="492">
        <v>55.35</v>
      </c>
      <c r="EC38" s="492">
        <v>19.75</v>
      </c>
      <c r="ED38" s="492">
        <v>0</v>
      </c>
      <c r="EE38" s="492">
        <v>0</v>
      </c>
      <c r="EF38" s="492">
        <v>0</v>
      </c>
      <c r="EG38" s="492">
        <v>32.6</v>
      </c>
      <c r="EH38" s="492">
        <v>73</v>
      </c>
      <c r="EI38" s="492">
        <v>94.47</v>
      </c>
      <c r="EJ38" s="492">
        <v>362.92999999999989</v>
      </c>
      <c r="EK38" s="492">
        <v>213.34899999999999</v>
      </c>
      <c r="EL38" s="492">
        <v>12.49</v>
      </c>
      <c r="EM38" s="492">
        <v>86.34</v>
      </c>
      <c r="EN38" s="493">
        <v>950.27899999999988</v>
      </c>
      <c r="EO38" s="492">
        <v>55.5</v>
      </c>
      <c r="EP38" s="492">
        <v>114.54900000000001</v>
      </c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3">
        <f t="shared" si="22"/>
        <v>170.04900000000001</v>
      </c>
      <c r="FB38" s="590"/>
      <c r="FC38" s="595">
        <f t="shared" si="23"/>
        <v>-85.863044708545559</v>
      </c>
      <c r="FD38" s="596">
        <f t="shared" si="24"/>
        <v>307.8107888674898</v>
      </c>
      <c r="FE38" s="498">
        <f t="shared" si="25"/>
        <v>211.84800000000001</v>
      </c>
      <c r="FF38" s="597">
        <f t="shared" si="26"/>
        <v>863.93899999999985</v>
      </c>
      <c r="FG38" s="509"/>
      <c r="FH38" s="551">
        <f t="shared" si="27"/>
        <v>6615.1320000000005</v>
      </c>
      <c r="FI38" s="553" t="s">
        <v>136</v>
      </c>
      <c r="FJ38" s="554" t="str">
        <f t="shared" si="28"/>
        <v>OK</v>
      </c>
    </row>
    <row r="39" spans="1:166" s="470" customFormat="1" ht="15" customHeight="1" x14ac:dyDescent="0.25">
      <c r="A39" s="610" t="s">
        <v>137</v>
      </c>
      <c r="B39" s="492">
        <v>1137</v>
      </c>
      <c r="C39" s="492">
        <v>1557</v>
      </c>
      <c r="D39" s="492">
        <v>1244</v>
      </c>
      <c r="E39" s="492">
        <v>534</v>
      </c>
      <c r="F39" s="492">
        <v>118</v>
      </c>
      <c r="G39" s="492"/>
      <c r="H39" s="492"/>
      <c r="I39" s="492"/>
      <c r="J39" s="492"/>
      <c r="K39" s="492"/>
      <c r="L39" s="492">
        <v>27</v>
      </c>
      <c r="M39" s="492">
        <v>219</v>
      </c>
      <c r="N39" s="493">
        <f t="shared" si="13"/>
        <v>4836</v>
      </c>
      <c r="O39" s="492">
        <v>522</v>
      </c>
      <c r="P39" s="492">
        <v>1261</v>
      </c>
      <c r="Q39" s="492">
        <v>1425</v>
      </c>
      <c r="R39" s="492">
        <v>804</v>
      </c>
      <c r="S39" s="492">
        <v>241</v>
      </c>
      <c r="T39" s="492"/>
      <c r="U39" s="492"/>
      <c r="V39" s="492"/>
      <c r="W39" s="492"/>
      <c r="X39" s="492"/>
      <c r="Y39" s="492"/>
      <c r="Z39" s="492">
        <v>267</v>
      </c>
      <c r="AA39" s="493">
        <f t="shared" si="14"/>
        <v>4520</v>
      </c>
      <c r="AB39" s="492">
        <v>551</v>
      </c>
      <c r="AC39" s="492">
        <v>1070</v>
      </c>
      <c r="AD39" s="492">
        <v>1344</v>
      </c>
      <c r="AE39" s="492">
        <v>949</v>
      </c>
      <c r="AF39" s="492">
        <v>332</v>
      </c>
      <c r="AG39" s="492"/>
      <c r="AH39" s="492"/>
      <c r="AI39" s="492"/>
      <c r="AJ39" s="492"/>
      <c r="AK39" s="492"/>
      <c r="AL39" s="492"/>
      <c r="AM39" s="492">
        <v>334</v>
      </c>
      <c r="AN39" s="493">
        <f t="shared" si="15"/>
        <v>4580</v>
      </c>
      <c r="AO39" s="492">
        <v>542</v>
      </c>
      <c r="AP39" s="492">
        <v>1199</v>
      </c>
      <c r="AQ39" s="492">
        <v>1414</v>
      </c>
      <c r="AR39" s="492">
        <v>967</v>
      </c>
      <c r="AS39" s="492">
        <v>317</v>
      </c>
      <c r="AT39" s="492"/>
      <c r="AU39" s="492"/>
      <c r="AV39" s="492"/>
      <c r="AW39" s="492"/>
      <c r="AX39" s="492"/>
      <c r="AY39" s="492"/>
      <c r="AZ39" s="492">
        <v>107</v>
      </c>
      <c r="BA39" s="493">
        <f t="shared" si="16"/>
        <v>4546</v>
      </c>
      <c r="BB39" s="492">
        <v>465</v>
      </c>
      <c r="BC39" s="492">
        <v>1412</v>
      </c>
      <c r="BD39" s="492">
        <v>1341</v>
      </c>
      <c r="BE39" s="492">
        <v>780</v>
      </c>
      <c r="BF39" s="492">
        <v>253</v>
      </c>
      <c r="BG39" s="492"/>
      <c r="BH39" s="492"/>
      <c r="BI39" s="492"/>
      <c r="BJ39" s="492"/>
      <c r="BK39" s="492"/>
      <c r="BL39" s="492"/>
      <c r="BM39" s="492">
        <v>83</v>
      </c>
      <c r="BN39" s="493">
        <f t="shared" si="17"/>
        <v>4334</v>
      </c>
      <c r="BO39" s="492">
        <v>693</v>
      </c>
      <c r="BP39" s="492">
        <v>1711</v>
      </c>
      <c r="BQ39" s="492">
        <v>1560</v>
      </c>
      <c r="BR39" s="492">
        <v>962</v>
      </c>
      <c r="BS39" s="492">
        <v>324.459</v>
      </c>
      <c r="BT39" s="492"/>
      <c r="BU39" s="492"/>
      <c r="BV39" s="492"/>
      <c r="BW39" s="492"/>
      <c r="BX39" s="492"/>
      <c r="BY39" s="492"/>
      <c r="BZ39" s="492">
        <v>380</v>
      </c>
      <c r="CA39" s="493">
        <f t="shared" si="18"/>
        <v>5630.4589999999998</v>
      </c>
      <c r="CB39" s="492">
        <v>854.46</v>
      </c>
      <c r="CC39" s="492">
        <v>1874.0500000000002</v>
      </c>
      <c r="CD39" s="492">
        <v>1624.3799999999999</v>
      </c>
      <c r="CE39" s="492">
        <v>1082.519</v>
      </c>
      <c r="CF39" s="492">
        <v>407.00900000000001</v>
      </c>
      <c r="CG39" s="492"/>
      <c r="CH39" s="492"/>
      <c r="CI39" s="492"/>
      <c r="CJ39" s="492"/>
      <c r="CK39" s="492"/>
      <c r="CL39" s="492"/>
      <c r="CM39" s="492">
        <v>307.37000000000006</v>
      </c>
      <c r="CN39" s="493">
        <f t="shared" si="19"/>
        <v>6149.7880000000005</v>
      </c>
      <c r="CO39" s="492">
        <v>817.28</v>
      </c>
      <c r="CP39" s="492">
        <v>1685.8100000000002</v>
      </c>
      <c r="CQ39" s="492">
        <v>1621.4299999999998</v>
      </c>
      <c r="CR39" s="492">
        <v>1160.02</v>
      </c>
      <c r="CS39" s="492">
        <v>519.58900000000006</v>
      </c>
      <c r="CT39" s="492"/>
      <c r="CU39" s="492"/>
      <c r="CV39" s="492"/>
      <c r="CW39" s="492"/>
      <c r="CX39" s="492"/>
      <c r="CY39" s="492">
        <v>23.78</v>
      </c>
      <c r="CZ39" s="492">
        <v>357.36900000000003</v>
      </c>
      <c r="DA39" s="493">
        <f t="shared" si="20"/>
        <v>6185.2780000000002</v>
      </c>
      <c r="DB39" s="492">
        <v>783.38900000000001</v>
      </c>
      <c r="DC39" s="492">
        <v>1430.03</v>
      </c>
      <c r="DD39" s="492">
        <v>1499.73</v>
      </c>
      <c r="DE39" s="492">
        <v>861.07</v>
      </c>
      <c r="DF39" s="492">
        <v>370.07900000000001</v>
      </c>
      <c r="DG39" s="492"/>
      <c r="DH39" s="492"/>
      <c r="DI39" s="492"/>
      <c r="DJ39" s="492"/>
      <c r="DK39" s="492"/>
      <c r="DL39" s="492"/>
      <c r="DM39" s="492">
        <v>233.578</v>
      </c>
      <c r="DN39" s="493">
        <f t="shared" si="21"/>
        <v>5177.8760000000002</v>
      </c>
      <c r="DO39" s="492">
        <v>448.34899999999999</v>
      </c>
      <c r="DP39" s="492">
        <v>830.39700000000005</v>
      </c>
      <c r="DQ39" s="492">
        <v>966.70800000000008</v>
      </c>
      <c r="DR39" s="492">
        <v>609.74400000000003</v>
      </c>
      <c r="DS39" s="492">
        <v>252.81899999999999</v>
      </c>
      <c r="DT39" s="492">
        <v>0</v>
      </c>
      <c r="DU39" s="492">
        <v>0</v>
      </c>
      <c r="DV39" s="492">
        <v>0</v>
      </c>
      <c r="DW39" s="492">
        <v>0</v>
      </c>
      <c r="DX39" s="492">
        <v>0</v>
      </c>
      <c r="DY39" s="492">
        <v>0</v>
      </c>
      <c r="DZ39" s="492">
        <v>252.79</v>
      </c>
      <c r="EA39" s="493">
        <v>3360.8070000000002</v>
      </c>
      <c r="EB39" s="492">
        <v>397.57800000000009</v>
      </c>
      <c r="EC39" s="492">
        <v>552.16899999999998</v>
      </c>
      <c r="ED39" s="492">
        <v>636.12</v>
      </c>
      <c r="EE39" s="492">
        <v>397.24900000000002</v>
      </c>
      <c r="EF39" s="492">
        <v>176.34</v>
      </c>
      <c r="EG39" s="492">
        <v>0</v>
      </c>
      <c r="EH39" s="492">
        <v>0</v>
      </c>
      <c r="EI39" s="492">
        <v>0</v>
      </c>
      <c r="EJ39" s="492">
        <v>0</v>
      </c>
      <c r="EK39" s="492">
        <v>0</v>
      </c>
      <c r="EL39" s="492">
        <v>0</v>
      </c>
      <c r="EM39" s="492">
        <v>206.059</v>
      </c>
      <c r="EN39" s="493">
        <v>2365.5150000000003</v>
      </c>
      <c r="EO39" s="492">
        <v>247.298</v>
      </c>
      <c r="EP39" s="492">
        <v>436.10900000000009</v>
      </c>
      <c r="EQ39" s="492"/>
      <c r="ER39" s="492"/>
      <c r="ES39" s="492"/>
      <c r="ET39" s="492"/>
      <c r="EU39" s="492"/>
      <c r="EV39" s="492"/>
      <c r="EW39" s="492"/>
      <c r="EX39" s="492"/>
      <c r="EY39" s="492"/>
      <c r="EZ39" s="492"/>
      <c r="FA39" s="493">
        <f t="shared" si="22"/>
        <v>683.40700000000015</v>
      </c>
      <c r="FB39" s="590"/>
      <c r="FC39" s="595" t="str">
        <f t="shared" si="23"/>
        <v/>
      </c>
      <c r="FD39" s="596">
        <f t="shared" si="24"/>
        <v>-30.519813759062451</v>
      </c>
      <c r="FE39" s="498">
        <f t="shared" si="25"/>
        <v>3108.0170000000003</v>
      </c>
      <c r="FF39" s="597">
        <f t="shared" si="26"/>
        <v>2159.4560000000001</v>
      </c>
      <c r="FH39" s="551">
        <f t="shared" si="27"/>
        <v>95066.259999999966</v>
      </c>
      <c r="FI39" s="553" t="s">
        <v>137</v>
      </c>
      <c r="FJ39" s="554" t="str">
        <f t="shared" si="28"/>
        <v>OK</v>
      </c>
    </row>
    <row r="40" spans="1:166" s="470" customFormat="1" ht="15" customHeight="1" x14ac:dyDescent="0.25">
      <c r="A40" s="623" t="s">
        <v>108</v>
      </c>
      <c r="B40" s="492"/>
      <c r="C40" s="492"/>
      <c r="D40" s="492"/>
      <c r="E40" s="492"/>
      <c r="F40" s="492"/>
      <c r="G40" s="492"/>
      <c r="H40" s="492"/>
      <c r="I40" s="492"/>
      <c r="J40" s="492"/>
      <c r="K40" s="492">
        <v>12</v>
      </c>
      <c r="L40" s="492"/>
      <c r="M40" s="492">
        <v>9</v>
      </c>
      <c r="N40" s="493">
        <f t="shared" si="13"/>
        <v>21</v>
      </c>
      <c r="O40" s="492">
        <v>3</v>
      </c>
      <c r="P40" s="492">
        <v>2</v>
      </c>
      <c r="Q40" s="492">
        <v>1</v>
      </c>
      <c r="R40" s="492"/>
      <c r="S40" s="492"/>
      <c r="T40" s="492"/>
      <c r="U40" s="492"/>
      <c r="V40" s="492"/>
      <c r="W40" s="492"/>
      <c r="X40" s="492"/>
      <c r="Y40" s="492"/>
      <c r="Z40" s="492"/>
      <c r="AA40" s="493">
        <f t="shared" si="14"/>
        <v>6</v>
      </c>
      <c r="AB40" s="492"/>
      <c r="AC40" s="492"/>
      <c r="AD40" s="492"/>
      <c r="AE40" s="492"/>
      <c r="AF40" s="492"/>
      <c r="AG40" s="492"/>
      <c r="AH40" s="492"/>
      <c r="AI40" s="492"/>
      <c r="AJ40" s="492"/>
      <c r="AK40" s="492">
        <v>7</v>
      </c>
      <c r="AL40" s="492">
        <v>1</v>
      </c>
      <c r="AM40" s="492"/>
      <c r="AN40" s="493">
        <f t="shared" si="15"/>
        <v>8</v>
      </c>
      <c r="AO40" s="492"/>
      <c r="AP40" s="492"/>
      <c r="AQ40" s="492"/>
      <c r="AR40" s="492"/>
      <c r="AS40" s="492"/>
      <c r="AT40" s="492"/>
      <c r="AU40" s="492"/>
      <c r="AV40" s="492"/>
      <c r="AW40" s="492"/>
      <c r="AX40" s="492"/>
      <c r="AY40" s="492"/>
      <c r="AZ40" s="492"/>
      <c r="BA40" s="493">
        <f t="shared" si="16"/>
        <v>0</v>
      </c>
      <c r="BB40" s="492"/>
      <c r="BC40" s="492"/>
      <c r="BD40" s="492"/>
      <c r="BE40" s="492"/>
      <c r="BF40" s="492"/>
      <c r="BG40" s="492"/>
      <c r="BH40" s="492"/>
      <c r="BI40" s="492"/>
      <c r="BJ40" s="492"/>
      <c r="BK40" s="492"/>
      <c r="BL40" s="492"/>
      <c r="BM40" s="492"/>
      <c r="BN40" s="493">
        <f t="shared" si="17"/>
        <v>0</v>
      </c>
      <c r="BO40" s="492"/>
      <c r="BP40" s="492"/>
      <c r="BQ40" s="492"/>
      <c r="BR40" s="492"/>
      <c r="BS40" s="492"/>
      <c r="BT40" s="492"/>
      <c r="BU40" s="492"/>
      <c r="BV40" s="492"/>
      <c r="BW40" s="492"/>
      <c r="BX40" s="492"/>
      <c r="BY40" s="492"/>
      <c r="BZ40" s="492"/>
      <c r="CA40" s="493">
        <f t="shared" si="18"/>
        <v>0</v>
      </c>
      <c r="CB40" s="492"/>
      <c r="CC40" s="492"/>
      <c r="CD40" s="492"/>
      <c r="CE40" s="492"/>
      <c r="CF40" s="492"/>
      <c r="CG40" s="492"/>
      <c r="CH40" s="492"/>
      <c r="CI40" s="492"/>
      <c r="CJ40" s="492"/>
      <c r="CK40" s="492"/>
      <c r="CL40" s="492"/>
      <c r="CM40" s="492"/>
      <c r="CN40" s="493">
        <f t="shared" si="19"/>
        <v>0</v>
      </c>
      <c r="CO40" s="492"/>
      <c r="CP40" s="492"/>
      <c r="CQ40" s="492"/>
      <c r="CR40" s="492"/>
      <c r="CS40" s="492"/>
      <c r="CT40" s="492"/>
      <c r="CU40" s="492"/>
      <c r="CV40" s="492"/>
      <c r="CW40" s="492"/>
      <c r="CX40" s="492"/>
      <c r="CY40" s="492"/>
      <c r="CZ40" s="492"/>
      <c r="DA40" s="493">
        <f t="shared" si="20"/>
        <v>0</v>
      </c>
      <c r="DB40" s="492"/>
      <c r="DC40" s="492"/>
      <c r="DD40" s="492"/>
      <c r="DE40" s="492"/>
      <c r="DF40" s="492"/>
      <c r="DG40" s="492"/>
      <c r="DH40" s="492"/>
      <c r="DI40" s="492"/>
      <c r="DJ40" s="492"/>
      <c r="DK40" s="492"/>
      <c r="DL40" s="492"/>
      <c r="DM40" s="492"/>
      <c r="DN40" s="493">
        <f t="shared" si="21"/>
        <v>0</v>
      </c>
      <c r="DO40" s="492"/>
      <c r="DP40" s="492"/>
      <c r="DQ40" s="492"/>
      <c r="DR40" s="492"/>
      <c r="DS40" s="492"/>
      <c r="DT40" s="492"/>
      <c r="DU40" s="492"/>
      <c r="DV40" s="492"/>
      <c r="DW40" s="492">
        <v>21.24</v>
      </c>
      <c r="DX40" s="492">
        <v>5.58</v>
      </c>
      <c r="DY40" s="492"/>
      <c r="DZ40" s="492"/>
      <c r="EA40" s="493">
        <f t="shared" ref="EA40:EA51" si="29">SUM(DO40:DZ40)</f>
        <v>26.82</v>
      </c>
      <c r="EB40" s="492"/>
      <c r="EC40" s="492"/>
      <c r="ED40" s="492"/>
      <c r="EE40" s="492"/>
      <c r="EF40" s="492"/>
      <c r="EG40" s="492"/>
      <c r="EH40" s="492"/>
      <c r="EI40" s="492">
        <v>1.58</v>
      </c>
      <c r="EJ40" s="492">
        <v>76.638999999999996</v>
      </c>
      <c r="EK40" s="492">
        <v>35.369</v>
      </c>
      <c r="EL40" s="492">
        <v>32.32</v>
      </c>
      <c r="EM40" s="492"/>
      <c r="EN40" s="493">
        <f t="shared" ref="EN40:EN51" si="30">SUM(EB40:EM40)</f>
        <v>145.90799999999999</v>
      </c>
      <c r="EO40" s="492"/>
      <c r="EP40" s="492"/>
      <c r="EQ40" s="492"/>
      <c r="ER40" s="492"/>
      <c r="ES40" s="492"/>
      <c r="ET40" s="492"/>
      <c r="EU40" s="492"/>
      <c r="EV40" s="492"/>
      <c r="EW40" s="492"/>
      <c r="EX40" s="492"/>
      <c r="EY40" s="492"/>
      <c r="EZ40" s="492"/>
      <c r="FA40" s="493">
        <f t="shared" si="22"/>
        <v>0</v>
      </c>
      <c r="FB40" s="590"/>
      <c r="FC40" s="595" t="str">
        <f t="shared" si="23"/>
        <v/>
      </c>
      <c r="FD40" s="596">
        <f t="shared" si="24"/>
        <v>444.02684563758379</v>
      </c>
      <c r="FE40" s="498">
        <f t="shared" si="25"/>
        <v>26.82</v>
      </c>
      <c r="FF40" s="597">
        <f t="shared" si="26"/>
        <v>145.90799999999999</v>
      </c>
      <c r="FH40" s="551">
        <f t="shared" si="27"/>
        <v>373.45599999999996</v>
      </c>
      <c r="FI40" s="553" t="s">
        <v>108</v>
      </c>
      <c r="FJ40" s="554" t="str">
        <f t="shared" si="28"/>
        <v>OK</v>
      </c>
    </row>
    <row r="41" spans="1:166" s="470" customFormat="1" ht="15" customHeight="1" x14ac:dyDescent="0.25">
      <c r="A41" s="623" t="s">
        <v>640</v>
      </c>
      <c r="B41" s="492">
        <v>837</v>
      </c>
      <c r="C41" s="492">
        <v>907</v>
      </c>
      <c r="D41" s="492">
        <v>802</v>
      </c>
      <c r="E41" s="492">
        <v>454</v>
      </c>
      <c r="F41" s="492">
        <v>336</v>
      </c>
      <c r="G41" s="492">
        <v>208</v>
      </c>
      <c r="H41" s="492">
        <v>119</v>
      </c>
      <c r="I41" s="492"/>
      <c r="J41" s="492">
        <v>29</v>
      </c>
      <c r="K41" s="492">
        <v>144</v>
      </c>
      <c r="L41" s="492">
        <v>367</v>
      </c>
      <c r="M41" s="492">
        <v>486</v>
      </c>
      <c r="N41" s="493">
        <f t="shared" si="13"/>
        <v>4689</v>
      </c>
      <c r="O41" s="492">
        <v>715</v>
      </c>
      <c r="P41" s="492">
        <v>941</v>
      </c>
      <c r="Q41" s="492">
        <v>909</v>
      </c>
      <c r="R41" s="492">
        <v>584</v>
      </c>
      <c r="S41" s="492">
        <v>425</v>
      </c>
      <c r="T41" s="492">
        <v>211</v>
      </c>
      <c r="U41" s="492">
        <v>91</v>
      </c>
      <c r="V41" s="492"/>
      <c r="W41" s="492"/>
      <c r="X41" s="492">
        <v>133</v>
      </c>
      <c r="Y41" s="492">
        <v>366</v>
      </c>
      <c r="Z41" s="492">
        <v>530</v>
      </c>
      <c r="AA41" s="493">
        <f t="shared" si="14"/>
        <v>4905</v>
      </c>
      <c r="AB41" s="492">
        <v>781</v>
      </c>
      <c r="AC41" s="492">
        <v>867</v>
      </c>
      <c r="AD41" s="492">
        <v>996</v>
      </c>
      <c r="AE41" s="492">
        <v>774</v>
      </c>
      <c r="AF41" s="492">
        <v>555</v>
      </c>
      <c r="AG41" s="492">
        <v>267</v>
      </c>
      <c r="AH41" s="492">
        <v>118</v>
      </c>
      <c r="AI41" s="492"/>
      <c r="AJ41" s="492"/>
      <c r="AK41" s="492">
        <v>120</v>
      </c>
      <c r="AL41" s="492">
        <v>394</v>
      </c>
      <c r="AM41" s="492">
        <v>597</v>
      </c>
      <c r="AN41" s="493">
        <f t="shared" si="15"/>
        <v>5469</v>
      </c>
      <c r="AO41" s="492">
        <v>737</v>
      </c>
      <c r="AP41" s="492">
        <v>984</v>
      </c>
      <c r="AQ41" s="492">
        <v>967</v>
      </c>
      <c r="AR41" s="492">
        <v>712</v>
      </c>
      <c r="AS41" s="492">
        <v>532</v>
      </c>
      <c r="AT41" s="492">
        <v>299</v>
      </c>
      <c r="AU41" s="492">
        <v>148</v>
      </c>
      <c r="AV41" s="492"/>
      <c r="AW41" s="492"/>
      <c r="AX41" s="492">
        <v>92</v>
      </c>
      <c r="AY41" s="492">
        <v>330</v>
      </c>
      <c r="AZ41" s="492">
        <v>708</v>
      </c>
      <c r="BA41" s="493">
        <f t="shared" si="16"/>
        <v>5509</v>
      </c>
      <c r="BB41" s="492">
        <v>657</v>
      </c>
      <c r="BC41" s="492">
        <v>986</v>
      </c>
      <c r="BD41" s="492">
        <v>968</v>
      </c>
      <c r="BE41" s="492">
        <v>713</v>
      </c>
      <c r="BF41" s="492">
        <v>501</v>
      </c>
      <c r="BG41" s="492">
        <v>312</v>
      </c>
      <c r="BH41" s="492">
        <v>164</v>
      </c>
      <c r="BI41" s="492"/>
      <c r="BJ41" s="492"/>
      <c r="BK41" s="492">
        <v>87</v>
      </c>
      <c r="BL41" s="492">
        <v>319</v>
      </c>
      <c r="BM41" s="492">
        <v>460</v>
      </c>
      <c r="BN41" s="493">
        <f t="shared" si="17"/>
        <v>5167</v>
      </c>
      <c r="BO41" s="492">
        <v>683</v>
      </c>
      <c r="BP41" s="492">
        <v>960</v>
      </c>
      <c r="BQ41" s="492">
        <v>1046</v>
      </c>
      <c r="BR41" s="492">
        <v>842</v>
      </c>
      <c r="BS41" s="492">
        <v>540</v>
      </c>
      <c r="BT41" s="492">
        <v>300</v>
      </c>
      <c r="BU41" s="492">
        <v>152</v>
      </c>
      <c r="BV41" s="492"/>
      <c r="BW41" s="492"/>
      <c r="BX41" s="492"/>
      <c r="BY41" s="492">
        <v>388</v>
      </c>
      <c r="BZ41" s="492">
        <v>542</v>
      </c>
      <c r="CA41" s="493">
        <f t="shared" si="18"/>
        <v>5453</v>
      </c>
      <c r="CB41" s="492">
        <v>823.47</v>
      </c>
      <c r="CC41" s="492">
        <v>1194.029</v>
      </c>
      <c r="CD41" s="492">
        <v>1357.019</v>
      </c>
      <c r="CE41" s="492">
        <v>1121.8679999999999</v>
      </c>
      <c r="CF41" s="492">
        <v>631.75900000000001</v>
      </c>
      <c r="CG41" s="492">
        <v>337.47</v>
      </c>
      <c r="CH41" s="492">
        <v>155.91</v>
      </c>
      <c r="CI41" s="492"/>
      <c r="CJ41" s="492"/>
      <c r="CK41" s="492"/>
      <c r="CL41" s="492">
        <v>611.15</v>
      </c>
      <c r="CM41" s="492">
        <v>741.52</v>
      </c>
      <c r="CN41" s="493">
        <f t="shared" si="19"/>
        <v>6974.1949999999997</v>
      </c>
      <c r="CO41" s="492">
        <v>891.47900000000004</v>
      </c>
      <c r="CP41" s="492">
        <v>1276.4480000000001</v>
      </c>
      <c r="CQ41" s="492">
        <v>1330.876</v>
      </c>
      <c r="CR41" s="492">
        <v>1116.9100000000001</v>
      </c>
      <c r="CS41" s="492">
        <v>723.37</v>
      </c>
      <c r="CT41" s="492">
        <v>397.16899999999998</v>
      </c>
      <c r="CU41" s="492">
        <v>203.839</v>
      </c>
      <c r="CV41" s="492"/>
      <c r="CW41" s="492"/>
      <c r="CX41" s="492">
        <v>13.79</v>
      </c>
      <c r="CY41" s="492">
        <v>286.27999999999997</v>
      </c>
      <c r="CZ41" s="492">
        <v>668.83</v>
      </c>
      <c r="DA41" s="493">
        <f t="shared" si="20"/>
        <v>6908.9909999999991</v>
      </c>
      <c r="DB41" s="492">
        <v>839.64</v>
      </c>
      <c r="DC41" s="492">
        <v>1246.6489999999999</v>
      </c>
      <c r="DD41" s="492">
        <v>1241.0229999999999</v>
      </c>
      <c r="DE41" s="492">
        <v>1115.8209999999999</v>
      </c>
      <c r="DF41" s="492">
        <v>733.57799999999997</v>
      </c>
      <c r="DG41" s="492">
        <v>369.96699999999998</v>
      </c>
      <c r="DH41" s="492">
        <v>190.13</v>
      </c>
      <c r="DI41" s="492"/>
      <c r="DJ41" s="492"/>
      <c r="DK41" s="492"/>
      <c r="DL41" s="492">
        <v>277.42899999999997</v>
      </c>
      <c r="DM41" s="492">
        <v>376.8</v>
      </c>
      <c r="DN41" s="493">
        <f t="shared" si="21"/>
        <v>6391.0369999999994</v>
      </c>
      <c r="DO41" s="492">
        <v>549.37900000000002</v>
      </c>
      <c r="DP41" s="492">
        <v>868.279</v>
      </c>
      <c r="DQ41" s="492">
        <v>1004.599</v>
      </c>
      <c r="DR41" s="492">
        <v>925.47799999999995</v>
      </c>
      <c r="DS41" s="492">
        <v>726.01900000000001</v>
      </c>
      <c r="DT41" s="492">
        <v>275.54899999999998</v>
      </c>
      <c r="DU41" s="492">
        <v>138.56</v>
      </c>
      <c r="DV41" s="492"/>
      <c r="DW41" s="492"/>
      <c r="DX41" s="492"/>
      <c r="DY41" s="492">
        <v>252.255</v>
      </c>
      <c r="DZ41" s="492">
        <v>355.18799999999999</v>
      </c>
      <c r="EA41" s="493">
        <f t="shared" si="29"/>
        <v>5095.3060000000005</v>
      </c>
      <c r="EB41" s="492">
        <v>469.22</v>
      </c>
      <c r="EC41" s="492">
        <v>593.71900000000005</v>
      </c>
      <c r="ED41" s="492">
        <v>607.88900000000001</v>
      </c>
      <c r="EE41" s="492">
        <v>458.964</v>
      </c>
      <c r="EF41" s="492">
        <v>360.99700000000001</v>
      </c>
      <c r="EG41" s="492">
        <v>197.48</v>
      </c>
      <c r="EH41" s="492">
        <v>88.959000000000003</v>
      </c>
      <c r="EI41" s="492"/>
      <c r="EJ41" s="492"/>
      <c r="EK41" s="492"/>
      <c r="EL41" s="492">
        <v>289.49</v>
      </c>
      <c r="EM41" s="492"/>
      <c r="EN41" s="493">
        <f t="shared" si="30"/>
        <v>3066.7179999999998</v>
      </c>
      <c r="EO41" s="492"/>
      <c r="EP41" s="492"/>
      <c r="EQ41" s="492"/>
      <c r="ER41" s="492"/>
      <c r="ES41" s="492"/>
      <c r="ET41" s="492"/>
      <c r="EU41" s="492"/>
      <c r="EV41" s="492"/>
      <c r="EW41" s="492"/>
      <c r="EX41" s="492"/>
      <c r="EY41" s="492"/>
      <c r="EZ41" s="492"/>
      <c r="FA41" s="493">
        <f t="shared" si="22"/>
        <v>0</v>
      </c>
      <c r="FB41" s="590"/>
      <c r="FC41" s="595">
        <f t="shared" si="23"/>
        <v>14.760857069235511</v>
      </c>
      <c r="FD41" s="596">
        <f t="shared" si="24"/>
        <v>-35.302918619325517</v>
      </c>
      <c r="FE41" s="498">
        <f t="shared" si="25"/>
        <v>4740.1180000000004</v>
      </c>
      <c r="FF41" s="597">
        <f t="shared" si="26"/>
        <v>3066.7179999999998</v>
      </c>
      <c r="FH41" s="551">
        <f t="shared" si="27"/>
        <v>109878.49400000002</v>
      </c>
      <c r="FI41" s="553" t="s">
        <v>640</v>
      </c>
      <c r="FJ41" s="554" t="str">
        <f t="shared" si="28"/>
        <v>OK</v>
      </c>
    </row>
    <row r="42" spans="1:166" s="470" customFormat="1" ht="15" customHeight="1" x14ac:dyDescent="0.25">
      <c r="A42" s="623" t="s">
        <v>111</v>
      </c>
      <c r="B42" s="492"/>
      <c r="C42" s="492"/>
      <c r="D42" s="492"/>
      <c r="E42" s="492"/>
      <c r="F42" s="492"/>
      <c r="G42" s="492">
        <v>34</v>
      </c>
      <c r="H42" s="492">
        <v>6</v>
      </c>
      <c r="I42" s="492">
        <v>15</v>
      </c>
      <c r="J42" s="492">
        <v>12</v>
      </c>
      <c r="K42" s="492">
        <v>9</v>
      </c>
      <c r="L42" s="492">
        <v>6</v>
      </c>
      <c r="M42" s="492">
        <v>2</v>
      </c>
      <c r="N42" s="493">
        <f t="shared" si="13"/>
        <v>84</v>
      </c>
      <c r="O42" s="492"/>
      <c r="P42" s="492">
        <v>4</v>
      </c>
      <c r="Q42" s="492">
        <v>2</v>
      </c>
      <c r="R42" s="492">
        <v>2</v>
      </c>
      <c r="S42" s="492">
        <v>5</v>
      </c>
      <c r="T42" s="492">
        <v>13</v>
      </c>
      <c r="U42" s="492">
        <v>6</v>
      </c>
      <c r="V42" s="492">
        <v>6</v>
      </c>
      <c r="W42" s="492">
        <v>10</v>
      </c>
      <c r="X42" s="492">
        <v>10</v>
      </c>
      <c r="Y42" s="492">
        <v>2</v>
      </c>
      <c r="Z42" s="492">
        <v>4</v>
      </c>
      <c r="AA42" s="493">
        <f t="shared" si="14"/>
        <v>64</v>
      </c>
      <c r="AB42" s="492"/>
      <c r="AC42" s="492">
        <v>2</v>
      </c>
      <c r="AD42" s="492">
        <v>10</v>
      </c>
      <c r="AE42" s="492"/>
      <c r="AF42" s="492">
        <v>7</v>
      </c>
      <c r="AG42" s="492">
        <v>16</v>
      </c>
      <c r="AH42" s="492">
        <v>12</v>
      </c>
      <c r="AI42" s="492">
        <v>4</v>
      </c>
      <c r="AJ42" s="492">
        <v>6</v>
      </c>
      <c r="AK42" s="492">
        <v>3</v>
      </c>
      <c r="AL42" s="492">
        <v>6</v>
      </c>
      <c r="AM42" s="492">
        <v>22</v>
      </c>
      <c r="AN42" s="493">
        <f t="shared" si="15"/>
        <v>88</v>
      </c>
      <c r="AO42" s="492">
        <v>10</v>
      </c>
      <c r="AP42" s="492">
        <v>7</v>
      </c>
      <c r="AQ42" s="492">
        <v>7</v>
      </c>
      <c r="AR42" s="492">
        <v>2</v>
      </c>
      <c r="AS42" s="492">
        <v>4</v>
      </c>
      <c r="AT42" s="492">
        <v>11</v>
      </c>
      <c r="AU42" s="492">
        <v>4</v>
      </c>
      <c r="AV42" s="492">
        <v>8</v>
      </c>
      <c r="AW42" s="492">
        <v>4</v>
      </c>
      <c r="AX42" s="492">
        <v>9</v>
      </c>
      <c r="AY42" s="492">
        <v>7</v>
      </c>
      <c r="AZ42" s="492">
        <v>6</v>
      </c>
      <c r="BA42" s="493">
        <f t="shared" si="16"/>
        <v>79</v>
      </c>
      <c r="BB42" s="492">
        <v>2</v>
      </c>
      <c r="BC42" s="492"/>
      <c r="BD42" s="492"/>
      <c r="BE42" s="492"/>
      <c r="BF42" s="492">
        <v>15</v>
      </c>
      <c r="BG42" s="492">
        <v>19</v>
      </c>
      <c r="BH42" s="492">
        <v>6</v>
      </c>
      <c r="BI42" s="492">
        <v>2</v>
      </c>
      <c r="BJ42" s="492">
        <v>15</v>
      </c>
      <c r="BK42" s="492">
        <v>13</v>
      </c>
      <c r="BL42" s="492">
        <v>19</v>
      </c>
      <c r="BM42" s="492">
        <v>11</v>
      </c>
      <c r="BN42" s="493">
        <f t="shared" si="17"/>
        <v>102</v>
      </c>
      <c r="BO42" s="492">
        <v>9</v>
      </c>
      <c r="BP42" s="492">
        <v>4</v>
      </c>
      <c r="BQ42" s="492">
        <v>6</v>
      </c>
      <c r="BR42" s="492">
        <v>4</v>
      </c>
      <c r="BS42" s="492">
        <v>2</v>
      </c>
      <c r="BT42" s="492">
        <v>2</v>
      </c>
      <c r="BU42" s="492">
        <v>13</v>
      </c>
      <c r="BV42" s="492">
        <v>9</v>
      </c>
      <c r="BW42" s="492">
        <v>15</v>
      </c>
      <c r="BX42" s="492">
        <v>5</v>
      </c>
      <c r="BY42" s="492">
        <v>11</v>
      </c>
      <c r="BZ42" s="492">
        <v>2</v>
      </c>
      <c r="CA42" s="493">
        <f t="shared" si="18"/>
        <v>82</v>
      </c>
      <c r="CB42" s="492">
        <v>4.38</v>
      </c>
      <c r="CC42" s="492"/>
      <c r="CD42" s="492"/>
      <c r="CE42" s="492">
        <v>6.7389999999999999</v>
      </c>
      <c r="CF42" s="492">
        <v>2.129</v>
      </c>
      <c r="CG42" s="492">
        <v>15.37</v>
      </c>
      <c r="CH42" s="492">
        <v>6.18</v>
      </c>
      <c r="CI42" s="492">
        <v>10.56</v>
      </c>
      <c r="CJ42" s="492">
        <v>17.670000000000002</v>
      </c>
      <c r="CK42" s="492">
        <v>4.74</v>
      </c>
      <c r="CL42" s="492">
        <v>2.5</v>
      </c>
      <c r="CM42" s="492">
        <v>17.850000000000001</v>
      </c>
      <c r="CN42" s="493">
        <f t="shared" si="19"/>
        <v>88.117999999999995</v>
      </c>
      <c r="CO42" s="492"/>
      <c r="CP42" s="492"/>
      <c r="CQ42" s="492"/>
      <c r="CR42" s="492"/>
      <c r="CS42" s="492">
        <v>4.5289999999999999</v>
      </c>
      <c r="CT42" s="492">
        <v>6.9189999999999996</v>
      </c>
      <c r="CU42" s="492">
        <v>5.5789999999999997</v>
      </c>
      <c r="CV42" s="492">
        <v>4.6989999999999998</v>
      </c>
      <c r="CW42" s="492">
        <v>2.48</v>
      </c>
      <c r="CX42" s="492">
        <v>2.48</v>
      </c>
      <c r="CY42" s="492">
        <v>10.53</v>
      </c>
      <c r="CZ42" s="492">
        <v>8.7100000000000009</v>
      </c>
      <c r="DA42" s="493">
        <f t="shared" si="20"/>
        <v>45.926000000000002</v>
      </c>
      <c r="DB42" s="492">
        <v>9.0500000000000007</v>
      </c>
      <c r="DC42" s="492"/>
      <c r="DD42" s="492"/>
      <c r="DE42" s="492"/>
      <c r="DF42" s="492"/>
      <c r="DG42" s="492">
        <v>14.06</v>
      </c>
      <c r="DH42" s="492">
        <v>2.15</v>
      </c>
      <c r="DI42" s="492">
        <v>2.57</v>
      </c>
      <c r="DJ42" s="492"/>
      <c r="DK42" s="492"/>
      <c r="DL42" s="492"/>
      <c r="DM42" s="492">
        <v>2.38</v>
      </c>
      <c r="DN42" s="493">
        <f t="shared" si="21"/>
        <v>30.209999999999997</v>
      </c>
      <c r="DO42" s="492"/>
      <c r="DP42" s="492">
        <v>10.39</v>
      </c>
      <c r="DQ42" s="492"/>
      <c r="DR42" s="492"/>
      <c r="DS42" s="492"/>
      <c r="DT42" s="492"/>
      <c r="DU42" s="492">
        <v>2.09</v>
      </c>
      <c r="DV42" s="492">
        <v>4.2290000000000001</v>
      </c>
      <c r="DW42" s="492"/>
      <c r="DX42" s="492">
        <v>2.86</v>
      </c>
      <c r="DY42" s="492"/>
      <c r="DZ42" s="492">
        <v>19.25</v>
      </c>
      <c r="EA42" s="493">
        <f t="shared" si="29"/>
        <v>38.819000000000003</v>
      </c>
      <c r="EB42" s="492">
        <v>2.359</v>
      </c>
      <c r="EC42" s="492">
        <v>2.29</v>
      </c>
      <c r="ED42" s="492"/>
      <c r="EE42" s="492"/>
      <c r="EF42" s="492"/>
      <c r="EG42" s="492"/>
      <c r="EH42" s="492"/>
      <c r="EI42" s="492">
        <v>11.379</v>
      </c>
      <c r="EJ42" s="492"/>
      <c r="EK42" s="492">
        <v>4.68</v>
      </c>
      <c r="EL42" s="492"/>
      <c r="EM42" s="492"/>
      <c r="EN42" s="493">
        <f t="shared" si="30"/>
        <v>20.707999999999998</v>
      </c>
      <c r="EO42" s="492"/>
      <c r="EP42" s="492"/>
      <c r="EQ42" s="492"/>
      <c r="ER42" s="492"/>
      <c r="ES42" s="492"/>
      <c r="ET42" s="492"/>
      <c r="EU42" s="492"/>
      <c r="EV42" s="492"/>
      <c r="EW42" s="492"/>
      <c r="EX42" s="492"/>
      <c r="EY42" s="492"/>
      <c r="EZ42" s="492"/>
      <c r="FA42" s="493">
        <f t="shared" si="22"/>
        <v>0</v>
      </c>
      <c r="FB42" s="590"/>
      <c r="FC42" s="595" t="str">
        <f t="shared" si="23"/>
        <v/>
      </c>
      <c r="FD42" s="596">
        <f t="shared" si="24"/>
        <v>5.8204302723695589</v>
      </c>
      <c r="FE42" s="498">
        <f t="shared" si="25"/>
        <v>19.568999999999999</v>
      </c>
      <c r="FF42" s="597">
        <f t="shared" si="26"/>
        <v>20.707999999999998</v>
      </c>
      <c r="FH42" s="551">
        <f t="shared" si="27"/>
        <v>1277.5619999999997</v>
      </c>
      <c r="FI42" s="553" t="s">
        <v>111</v>
      </c>
      <c r="FJ42" s="554" t="str">
        <f t="shared" si="28"/>
        <v>OK</v>
      </c>
    </row>
    <row r="43" spans="1:166" s="470" customFormat="1" ht="15" customHeight="1" x14ac:dyDescent="0.25">
      <c r="A43" s="623" t="s">
        <v>114</v>
      </c>
      <c r="B43" s="492"/>
      <c r="C43" s="492"/>
      <c r="D43" s="492"/>
      <c r="E43" s="492"/>
      <c r="F43" s="492"/>
      <c r="G43" s="492"/>
      <c r="H43" s="492"/>
      <c r="I43" s="492"/>
      <c r="J43" s="492"/>
      <c r="K43" s="492"/>
      <c r="L43" s="492"/>
      <c r="M43" s="492"/>
      <c r="N43" s="493">
        <f t="shared" si="13"/>
        <v>0</v>
      </c>
      <c r="O43" s="492"/>
      <c r="P43" s="492"/>
      <c r="Q43" s="492"/>
      <c r="R43" s="492"/>
      <c r="S43" s="492"/>
      <c r="T43" s="492"/>
      <c r="U43" s="492"/>
      <c r="V43" s="492"/>
      <c r="W43" s="492"/>
      <c r="X43" s="492"/>
      <c r="Y43" s="492"/>
      <c r="Z43" s="492"/>
      <c r="AA43" s="493">
        <f t="shared" si="14"/>
        <v>0</v>
      </c>
      <c r="AB43" s="492"/>
      <c r="AC43" s="492"/>
      <c r="AD43" s="492"/>
      <c r="AE43" s="492"/>
      <c r="AF43" s="492"/>
      <c r="AG43" s="492"/>
      <c r="AH43" s="492"/>
      <c r="AI43" s="492"/>
      <c r="AJ43" s="492"/>
      <c r="AK43" s="492"/>
      <c r="AL43" s="492"/>
      <c r="AM43" s="492"/>
      <c r="AN43" s="493">
        <f t="shared" si="15"/>
        <v>0</v>
      </c>
      <c r="AO43" s="492"/>
      <c r="AP43" s="492"/>
      <c r="AQ43" s="492"/>
      <c r="AR43" s="492"/>
      <c r="AS43" s="492"/>
      <c r="AT43" s="492"/>
      <c r="AU43" s="492"/>
      <c r="AV43" s="492"/>
      <c r="AW43" s="492"/>
      <c r="AX43" s="492"/>
      <c r="AY43" s="492"/>
      <c r="AZ43" s="492"/>
      <c r="BA43" s="493">
        <f t="shared" si="16"/>
        <v>0</v>
      </c>
      <c r="BB43" s="492"/>
      <c r="BC43" s="492"/>
      <c r="BD43" s="492"/>
      <c r="BE43" s="492"/>
      <c r="BF43" s="492"/>
      <c r="BG43" s="492"/>
      <c r="BH43" s="492"/>
      <c r="BI43" s="492"/>
      <c r="BJ43" s="492"/>
      <c r="BK43" s="492"/>
      <c r="BL43" s="492"/>
      <c r="BM43" s="492"/>
      <c r="BN43" s="493">
        <f t="shared" si="17"/>
        <v>0</v>
      </c>
      <c r="BO43" s="492"/>
      <c r="BP43" s="492"/>
      <c r="BQ43" s="492"/>
      <c r="BR43" s="492"/>
      <c r="BS43" s="492"/>
      <c r="BT43" s="492"/>
      <c r="BU43" s="492"/>
      <c r="BV43" s="492"/>
      <c r="BW43" s="492"/>
      <c r="BX43" s="492"/>
      <c r="BY43" s="492"/>
      <c r="BZ43" s="492"/>
      <c r="CA43" s="493">
        <f t="shared" si="18"/>
        <v>0</v>
      </c>
      <c r="CB43" s="492"/>
      <c r="CC43" s="492"/>
      <c r="CD43" s="492"/>
      <c r="CE43" s="492"/>
      <c r="CF43" s="492"/>
      <c r="CG43" s="492"/>
      <c r="CH43" s="492"/>
      <c r="CI43" s="492"/>
      <c r="CJ43" s="492"/>
      <c r="CK43" s="492"/>
      <c r="CL43" s="492"/>
      <c r="CM43" s="492"/>
      <c r="CN43" s="493">
        <f t="shared" si="19"/>
        <v>0</v>
      </c>
      <c r="CO43" s="492"/>
      <c r="CP43" s="492"/>
      <c r="CQ43" s="492"/>
      <c r="CR43" s="492"/>
      <c r="CS43" s="492"/>
      <c r="CT43" s="492"/>
      <c r="CU43" s="492"/>
      <c r="CV43" s="492"/>
      <c r="CW43" s="492"/>
      <c r="CX43" s="492"/>
      <c r="CY43" s="492"/>
      <c r="CZ43" s="492"/>
      <c r="DA43" s="493">
        <f t="shared" si="20"/>
        <v>0</v>
      </c>
      <c r="DB43" s="492"/>
      <c r="DC43" s="492"/>
      <c r="DD43" s="492"/>
      <c r="DE43" s="492"/>
      <c r="DF43" s="492"/>
      <c r="DG43" s="492"/>
      <c r="DH43" s="492"/>
      <c r="DI43" s="492"/>
      <c r="DJ43" s="492"/>
      <c r="DK43" s="492"/>
      <c r="DL43" s="492"/>
      <c r="DM43" s="492"/>
      <c r="DN43" s="493">
        <f t="shared" si="21"/>
        <v>0</v>
      </c>
      <c r="DO43" s="492"/>
      <c r="DP43" s="492"/>
      <c r="DQ43" s="492"/>
      <c r="DR43" s="492"/>
      <c r="DS43" s="492"/>
      <c r="DT43" s="492"/>
      <c r="DU43" s="492"/>
      <c r="DV43" s="492"/>
      <c r="DW43" s="492"/>
      <c r="DX43" s="492"/>
      <c r="DY43" s="492"/>
      <c r="DZ43" s="492"/>
      <c r="EA43" s="493">
        <f t="shared" si="29"/>
        <v>0</v>
      </c>
      <c r="EB43" s="492"/>
      <c r="EC43" s="492"/>
      <c r="ED43" s="492"/>
      <c r="EE43" s="492"/>
      <c r="EF43" s="492"/>
      <c r="EG43" s="492"/>
      <c r="EH43" s="492"/>
      <c r="EI43" s="492"/>
      <c r="EJ43" s="492"/>
      <c r="EK43" s="492"/>
      <c r="EL43" s="492"/>
      <c r="EM43" s="492"/>
      <c r="EN43" s="493">
        <f t="shared" si="30"/>
        <v>0</v>
      </c>
      <c r="EO43" s="492"/>
      <c r="EP43" s="492"/>
      <c r="EQ43" s="492"/>
      <c r="ER43" s="492"/>
      <c r="ES43" s="492"/>
      <c r="ET43" s="492"/>
      <c r="EU43" s="492"/>
      <c r="EV43" s="492"/>
      <c r="EW43" s="492"/>
      <c r="EX43" s="492"/>
      <c r="EY43" s="492"/>
      <c r="EZ43" s="492"/>
      <c r="FA43" s="493">
        <f t="shared" si="22"/>
        <v>0</v>
      </c>
      <c r="FB43" s="590"/>
      <c r="FC43" s="595" t="str">
        <f t="shared" si="23"/>
        <v/>
      </c>
      <c r="FD43" s="596" t="str">
        <f t="shared" si="24"/>
        <v/>
      </c>
      <c r="FE43" s="498">
        <f t="shared" si="25"/>
        <v>0</v>
      </c>
      <c r="FF43" s="597">
        <f t="shared" si="26"/>
        <v>0</v>
      </c>
      <c r="FH43" s="551">
        <f t="shared" si="27"/>
        <v>0</v>
      </c>
      <c r="FI43" s="553" t="s">
        <v>114</v>
      </c>
      <c r="FJ43" s="554" t="str">
        <f t="shared" si="28"/>
        <v>OK</v>
      </c>
    </row>
    <row r="44" spans="1:166" s="470" customFormat="1" ht="15" customHeight="1" x14ac:dyDescent="0.25">
      <c r="A44" s="623" t="s">
        <v>116</v>
      </c>
      <c r="B44" s="492">
        <v>120</v>
      </c>
      <c r="C44" s="492">
        <v>162</v>
      </c>
      <c r="D44" s="492">
        <v>135</v>
      </c>
      <c r="E44" s="492">
        <v>57</v>
      </c>
      <c r="F44" s="492">
        <v>57</v>
      </c>
      <c r="G44" s="492">
        <v>57</v>
      </c>
      <c r="H44" s="492">
        <v>17</v>
      </c>
      <c r="I44" s="492"/>
      <c r="J44" s="492"/>
      <c r="K44" s="492"/>
      <c r="L44" s="492">
        <v>130</v>
      </c>
      <c r="M44" s="492">
        <v>172</v>
      </c>
      <c r="N44" s="493">
        <f t="shared" si="13"/>
        <v>907</v>
      </c>
      <c r="O44" s="492">
        <v>139</v>
      </c>
      <c r="P44" s="492">
        <v>152</v>
      </c>
      <c r="Q44" s="492">
        <v>145</v>
      </c>
      <c r="R44" s="492">
        <v>74</v>
      </c>
      <c r="S44" s="492">
        <v>71</v>
      </c>
      <c r="T44" s="492">
        <v>61</v>
      </c>
      <c r="U44" s="492">
        <v>19</v>
      </c>
      <c r="V44" s="492"/>
      <c r="W44" s="492"/>
      <c r="X44" s="492"/>
      <c r="Y44" s="492">
        <v>144</v>
      </c>
      <c r="Z44" s="492">
        <v>196</v>
      </c>
      <c r="AA44" s="493">
        <f t="shared" si="14"/>
        <v>1001</v>
      </c>
      <c r="AB44" s="492">
        <v>150</v>
      </c>
      <c r="AC44" s="492">
        <v>169</v>
      </c>
      <c r="AD44" s="492">
        <v>172</v>
      </c>
      <c r="AE44" s="492">
        <v>114</v>
      </c>
      <c r="AF44" s="492">
        <v>108</v>
      </c>
      <c r="AG44" s="492">
        <v>68</v>
      </c>
      <c r="AH44" s="492">
        <v>1</v>
      </c>
      <c r="AI44" s="492"/>
      <c r="AJ44" s="492"/>
      <c r="AK44" s="492"/>
      <c r="AL44" s="492">
        <v>192</v>
      </c>
      <c r="AM44" s="492">
        <v>236</v>
      </c>
      <c r="AN44" s="493">
        <f t="shared" si="15"/>
        <v>1210</v>
      </c>
      <c r="AO44" s="492">
        <v>143</v>
      </c>
      <c r="AP44" s="492">
        <v>189</v>
      </c>
      <c r="AQ44" s="492">
        <v>177</v>
      </c>
      <c r="AR44" s="492">
        <v>104</v>
      </c>
      <c r="AS44" s="492">
        <v>106</v>
      </c>
      <c r="AT44" s="492">
        <v>73</v>
      </c>
      <c r="AU44" s="492">
        <v>4</v>
      </c>
      <c r="AV44" s="492"/>
      <c r="AW44" s="492"/>
      <c r="AX44" s="492"/>
      <c r="AY44" s="492">
        <v>157</v>
      </c>
      <c r="AZ44" s="492">
        <v>167</v>
      </c>
      <c r="BA44" s="493">
        <f t="shared" si="16"/>
        <v>1120</v>
      </c>
      <c r="BB44" s="492">
        <v>132</v>
      </c>
      <c r="BC44" s="492">
        <v>156</v>
      </c>
      <c r="BD44" s="492">
        <v>171</v>
      </c>
      <c r="BE44" s="492">
        <v>106</v>
      </c>
      <c r="BF44" s="492">
        <v>99</v>
      </c>
      <c r="BG44" s="492">
        <v>74</v>
      </c>
      <c r="BH44" s="492">
        <v>4</v>
      </c>
      <c r="BI44" s="492"/>
      <c r="BJ44" s="492"/>
      <c r="BK44" s="492"/>
      <c r="BL44" s="492">
        <v>121</v>
      </c>
      <c r="BM44" s="492">
        <v>139</v>
      </c>
      <c r="BN44" s="493">
        <f t="shared" si="17"/>
        <v>1002</v>
      </c>
      <c r="BO44" s="492">
        <v>161</v>
      </c>
      <c r="BP44" s="492">
        <v>179</v>
      </c>
      <c r="BQ44" s="492">
        <v>182</v>
      </c>
      <c r="BR44" s="492">
        <v>118</v>
      </c>
      <c r="BS44" s="492">
        <v>114</v>
      </c>
      <c r="BT44" s="492">
        <v>78</v>
      </c>
      <c r="BU44" s="492">
        <v>3</v>
      </c>
      <c r="BV44" s="492"/>
      <c r="BW44" s="492"/>
      <c r="BX44" s="492"/>
      <c r="BY44" s="492">
        <v>151</v>
      </c>
      <c r="BZ44" s="492">
        <v>287</v>
      </c>
      <c r="CA44" s="493">
        <f t="shared" si="18"/>
        <v>1273</v>
      </c>
      <c r="CB44" s="492">
        <v>232.29900000000001</v>
      </c>
      <c r="CC44" s="492">
        <v>290.31</v>
      </c>
      <c r="CD44" s="492">
        <v>254.44800000000001</v>
      </c>
      <c r="CE44" s="492">
        <v>153.28</v>
      </c>
      <c r="CF44" s="492">
        <v>129.44800000000001</v>
      </c>
      <c r="CG44" s="492">
        <v>93.778999999999996</v>
      </c>
      <c r="CH44" s="492">
        <v>4.58</v>
      </c>
      <c r="CI44" s="492"/>
      <c r="CJ44" s="492"/>
      <c r="CK44" s="492"/>
      <c r="CL44" s="492">
        <v>250.78</v>
      </c>
      <c r="CM44" s="492">
        <v>390.8</v>
      </c>
      <c r="CN44" s="493">
        <f t="shared" si="19"/>
        <v>1799.7239999999999</v>
      </c>
      <c r="CO44" s="492">
        <v>267.68900000000002</v>
      </c>
      <c r="CP44" s="492">
        <v>291.86900000000003</v>
      </c>
      <c r="CQ44" s="492">
        <v>269.02</v>
      </c>
      <c r="CR44" s="492">
        <v>163.16900000000001</v>
      </c>
      <c r="CS44" s="492">
        <v>152.91999999999999</v>
      </c>
      <c r="CT44" s="492">
        <v>114.04900000000001</v>
      </c>
      <c r="CU44" s="492">
        <v>6.93</v>
      </c>
      <c r="CV44" s="492"/>
      <c r="CW44" s="492"/>
      <c r="CX44" s="492"/>
      <c r="CY44" s="492">
        <v>121.52</v>
      </c>
      <c r="CZ44" s="492">
        <v>303.28800000000001</v>
      </c>
      <c r="DA44" s="493">
        <f t="shared" si="20"/>
        <v>1690.454</v>
      </c>
      <c r="DB44" s="492">
        <v>245.989</v>
      </c>
      <c r="DC44" s="492">
        <v>229.68</v>
      </c>
      <c r="DD44" s="492">
        <v>194.25</v>
      </c>
      <c r="DE44" s="492">
        <v>125.69</v>
      </c>
      <c r="DF44" s="492">
        <v>113.657</v>
      </c>
      <c r="DG44" s="492">
        <v>96.48</v>
      </c>
      <c r="DH44" s="492">
        <v>4.5190000000000001</v>
      </c>
      <c r="DI44" s="492"/>
      <c r="DJ44" s="492">
        <v>12.5</v>
      </c>
      <c r="DK44" s="492"/>
      <c r="DL44" s="492">
        <v>114.658</v>
      </c>
      <c r="DM44" s="492">
        <v>191.18799999999999</v>
      </c>
      <c r="DN44" s="493">
        <f t="shared" si="21"/>
        <v>1328.6109999999999</v>
      </c>
      <c r="DO44" s="492">
        <v>179.809</v>
      </c>
      <c r="DP44" s="492">
        <v>152.37899999999999</v>
      </c>
      <c r="DQ44" s="492">
        <v>144.52000000000001</v>
      </c>
      <c r="DR44" s="492">
        <v>80.128</v>
      </c>
      <c r="DS44" s="492">
        <v>93.629000000000005</v>
      </c>
      <c r="DT44" s="492">
        <v>80.040000000000006</v>
      </c>
      <c r="DU44" s="492">
        <v>5.28</v>
      </c>
      <c r="DV44" s="492"/>
      <c r="DW44" s="492"/>
      <c r="DX44" s="492"/>
      <c r="DY44" s="492">
        <v>114.45</v>
      </c>
      <c r="DZ44" s="492">
        <v>179.798</v>
      </c>
      <c r="EA44" s="493">
        <f t="shared" si="29"/>
        <v>1030.0329999999999</v>
      </c>
      <c r="EB44" s="492">
        <v>181.55</v>
      </c>
      <c r="EC44" s="492">
        <v>142.36699999999999</v>
      </c>
      <c r="ED44" s="492">
        <v>120.16800000000001</v>
      </c>
      <c r="EE44" s="492">
        <v>64.09</v>
      </c>
      <c r="EF44" s="492">
        <v>76.599000000000004</v>
      </c>
      <c r="EG44" s="492">
        <v>81.96</v>
      </c>
      <c r="EH44" s="492">
        <v>3.68</v>
      </c>
      <c r="EI44" s="492"/>
      <c r="EJ44" s="492"/>
      <c r="EK44" s="492"/>
      <c r="EL44" s="492">
        <v>128.02000000000001</v>
      </c>
      <c r="EM44" s="492"/>
      <c r="EN44" s="493">
        <f t="shared" si="30"/>
        <v>798.43400000000008</v>
      </c>
      <c r="EO44" s="492"/>
      <c r="EP44" s="492"/>
      <c r="EQ44" s="492"/>
      <c r="ER44" s="492"/>
      <c r="ES44" s="492"/>
      <c r="ET44" s="492"/>
      <c r="EU44" s="492"/>
      <c r="EV44" s="492"/>
      <c r="EW44" s="492"/>
      <c r="EX44" s="492"/>
      <c r="EY44" s="492"/>
      <c r="EZ44" s="492"/>
      <c r="FA44" s="493">
        <f t="shared" si="22"/>
        <v>0</v>
      </c>
      <c r="FB44" s="590"/>
      <c r="FC44" s="595">
        <f t="shared" si="23"/>
        <v>11.856705985146366</v>
      </c>
      <c r="FD44" s="596">
        <f t="shared" si="24"/>
        <v>-6.0925508829911657</v>
      </c>
      <c r="FE44" s="498">
        <f t="shared" si="25"/>
        <v>850.23500000000001</v>
      </c>
      <c r="FF44" s="597">
        <f t="shared" si="26"/>
        <v>798.43400000000008</v>
      </c>
      <c r="FG44" s="611"/>
      <c r="FH44" s="551">
        <f t="shared" si="27"/>
        <v>24506.512000000006</v>
      </c>
      <c r="FI44" s="553" t="s">
        <v>116</v>
      </c>
      <c r="FJ44" s="554" t="str">
        <f t="shared" si="28"/>
        <v>OK</v>
      </c>
    </row>
    <row r="45" spans="1:166" s="470" customFormat="1" ht="15" customHeight="1" x14ac:dyDescent="0.25">
      <c r="A45" s="623" t="s">
        <v>117</v>
      </c>
      <c r="B45" s="492">
        <v>13</v>
      </c>
      <c r="C45" s="492">
        <v>10</v>
      </c>
      <c r="D45" s="492">
        <v>12</v>
      </c>
      <c r="E45" s="492">
        <v>12</v>
      </c>
      <c r="F45" s="492">
        <v>15</v>
      </c>
      <c r="G45" s="492">
        <v>19</v>
      </c>
      <c r="H45" s="492">
        <v>38</v>
      </c>
      <c r="I45" s="492">
        <v>52</v>
      </c>
      <c r="J45" s="492">
        <v>62</v>
      </c>
      <c r="K45" s="492">
        <v>46</v>
      </c>
      <c r="L45" s="492">
        <v>14</v>
      </c>
      <c r="M45" s="492">
        <v>26</v>
      </c>
      <c r="N45" s="493">
        <f t="shared" si="13"/>
        <v>319</v>
      </c>
      <c r="O45" s="492">
        <v>13</v>
      </c>
      <c r="P45" s="492">
        <v>10</v>
      </c>
      <c r="Q45" s="492">
        <v>2</v>
      </c>
      <c r="R45" s="492"/>
      <c r="S45" s="492"/>
      <c r="T45" s="492">
        <v>5</v>
      </c>
      <c r="U45" s="492">
        <v>14</v>
      </c>
      <c r="V45" s="492">
        <v>19</v>
      </c>
      <c r="W45" s="492">
        <v>13</v>
      </c>
      <c r="X45" s="492">
        <v>11</v>
      </c>
      <c r="Y45" s="492">
        <v>10</v>
      </c>
      <c r="Z45" s="492"/>
      <c r="AA45" s="493">
        <f t="shared" si="14"/>
        <v>97</v>
      </c>
      <c r="AB45" s="492"/>
      <c r="AC45" s="492"/>
      <c r="AD45" s="492"/>
      <c r="AE45" s="492"/>
      <c r="AF45" s="492"/>
      <c r="AG45" s="492">
        <v>8</v>
      </c>
      <c r="AH45" s="492">
        <v>31</v>
      </c>
      <c r="AI45" s="492">
        <v>42</v>
      </c>
      <c r="AJ45" s="492">
        <v>37</v>
      </c>
      <c r="AK45" s="492">
        <v>13</v>
      </c>
      <c r="AL45" s="492">
        <v>2</v>
      </c>
      <c r="AM45" s="492">
        <v>2</v>
      </c>
      <c r="AN45" s="493">
        <f t="shared" si="15"/>
        <v>135</v>
      </c>
      <c r="AO45" s="492">
        <v>2</v>
      </c>
      <c r="AP45" s="492">
        <v>2</v>
      </c>
      <c r="AQ45" s="492">
        <v>2</v>
      </c>
      <c r="AR45" s="492">
        <v>11</v>
      </c>
      <c r="AS45" s="492">
        <v>15</v>
      </c>
      <c r="AT45" s="492">
        <v>29</v>
      </c>
      <c r="AU45" s="492">
        <v>27</v>
      </c>
      <c r="AV45" s="492">
        <v>22</v>
      </c>
      <c r="AW45" s="492">
        <v>7</v>
      </c>
      <c r="AX45" s="492">
        <v>9</v>
      </c>
      <c r="AY45" s="492">
        <v>2</v>
      </c>
      <c r="AZ45" s="492">
        <v>5</v>
      </c>
      <c r="BA45" s="493">
        <f t="shared" si="16"/>
        <v>133</v>
      </c>
      <c r="BB45" s="492">
        <v>2</v>
      </c>
      <c r="BC45" s="492"/>
      <c r="BD45" s="492">
        <v>2</v>
      </c>
      <c r="BE45" s="492">
        <v>2</v>
      </c>
      <c r="BF45" s="492">
        <v>8</v>
      </c>
      <c r="BG45" s="492">
        <v>15</v>
      </c>
      <c r="BH45" s="492">
        <v>6</v>
      </c>
      <c r="BI45" s="492">
        <v>13</v>
      </c>
      <c r="BJ45" s="492">
        <v>9</v>
      </c>
      <c r="BK45" s="492">
        <v>15</v>
      </c>
      <c r="BL45" s="492">
        <v>9</v>
      </c>
      <c r="BM45" s="492">
        <v>10</v>
      </c>
      <c r="BN45" s="493">
        <f t="shared" si="17"/>
        <v>91</v>
      </c>
      <c r="BO45" s="492">
        <v>10</v>
      </c>
      <c r="BP45" s="492">
        <v>6</v>
      </c>
      <c r="BQ45" s="492"/>
      <c r="BR45" s="492"/>
      <c r="BS45" s="492"/>
      <c r="BT45" s="492"/>
      <c r="BU45" s="492">
        <v>33</v>
      </c>
      <c r="BV45" s="492">
        <v>24</v>
      </c>
      <c r="BW45" s="492">
        <v>15</v>
      </c>
      <c r="BX45" s="492"/>
      <c r="BY45" s="492">
        <v>8</v>
      </c>
      <c r="BZ45" s="492">
        <v>4</v>
      </c>
      <c r="CA45" s="493">
        <f t="shared" si="18"/>
        <v>100</v>
      </c>
      <c r="CB45" s="492">
        <v>8.5299999999999994</v>
      </c>
      <c r="CC45" s="492">
        <v>2.74</v>
      </c>
      <c r="CD45" s="492"/>
      <c r="CE45" s="492"/>
      <c r="CF45" s="492"/>
      <c r="CG45" s="492">
        <v>4.7190000000000003</v>
      </c>
      <c r="CH45" s="492">
        <v>50.66</v>
      </c>
      <c r="CI45" s="492">
        <v>85.53</v>
      </c>
      <c r="CJ45" s="492">
        <v>63.57</v>
      </c>
      <c r="CK45" s="492">
        <v>26.1</v>
      </c>
      <c r="CL45" s="492">
        <v>5.3</v>
      </c>
      <c r="CM45" s="492">
        <v>18.5</v>
      </c>
      <c r="CN45" s="493">
        <f t="shared" si="19"/>
        <v>265.649</v>
      </c>
      <c r="CO45" s="492">
        <v>25.16</v>
      </c>
      <c r="CP45" s="492"/>
      <c r="CQ45" s="492">
        <v>7.9</v>
      </c>
      <c r="CR45" s="492"/>
      <c r="CS45" s="492">
        <v>4.96</v>
      </c>
      <c r="CT45" s="492">
        <v>21.728999999999999</v>
      </c>
      <c r="CU45" s="492">
        <v>24.9</v>
      </c>
      <c r="CV45" s="492">
        <v>56.878999999999998</v>
      </c>
      <c r="CW45" s="492">
        <v>33.299999999999997</v>
      </c>
      <c r="CX45" s="492">
        <v>21.62</v>
      </c>
      <c r="CY45" s="492">
        <v>13.83</v>
      </c>
      <c r="CZ45" s="492">
        <v>59.36</v>
      </c>
      <c r="DA45" s="493">
        <f t="shared" si="20"/>
        <v>269.63799999999998</v>
      </c>
      <c r="DB45" s="492">
        <v>45.24</v>
      </c>
      <c r="DC45" s="492">
        <v>6.82</v>
      </c>
      <c r="DD45" s="492">
        <v>12.64</v>
      </c>
      <c r="DE45" s="492">
        <v>48.54</v>
      </c>
      <c r="DF45" s="492">
        <v>46.77</v>
      </c>
      <c r="DG45" s="492">
        <v>84.44</v>
      </c>
      <c r="DH45" s="492">
        <v>99.55</v>
      </c>
      <c r="DI45" s="492">
        <v>121.13</v>
      </c>
      <c r="DJ45" s="492">
        <v>91.03</v>
      </c>
      <c r="DK45" s="492">
        <v>91.87</v>
      </c>
      <c r="DL45" s="492">
        <v>69.198999999999998</v>
      </c>
      <c r="DM45" s="492">
        <v>84.1</v>
      </c>
      <c r="DN45" s="493">
        <f t="shared" si="21"/>
        <v>801.32899999999995</v>
      </c>
      <c r="DO45" s="492"/>
      <c r="DP45" s="492"/>
      <c r="DQ45" s="492">
        <v>3.38</v>
      </c>
      <c r="DR45" s="492">
        <v>6.96</v>
      </c>
      <c r="DS45" s="492">
        <v>10.77</v>
      </c>
      <c r="DT45" s="492">
        <v>69.087999999999994</v>
      </c>
      <c r="DU45" s="492">
        <v>318.20800000000003</v>
      </c>
      <c r="DV45" s="492">
        <v>287.31</v>
      </c>
      <c r="DW45" s="492">
        <v>187.84800000000001</v>
      </c>
      <c r="DX45" s="492">
        <v>146.858</v>
      </c>
      <c r="DY45" s="492">
        <v>143.04400000000001</v>
      </c>
      <c r="DZ45" s="492">
        <v>108.13500000000001</v>
      </c>
      <c r="EA45" s="493">
        <f t="shared" si="29"/>
        <v>1281.6010000000001</v>
      </c>
      <c r="EB45" s="492">
        <v>76.147999999999996</v>
      </c>
      <c r="EC45" s="492">
        <v>10.43</v>
      </c>
      <c r="ED45" s="492"/>
      <c r="EE45" s="492">
        <v>6.5190000000000001</v>
      </c>
      <c r="EF45" s="492">
        <v>12.959</v>
      </c>
      <c r="EG45" s="492">
        <v>40.32</v>
      </c>
      <c r="EH45" s="492">
        <v>313.12900000000002</v>
      </c>
      <c r="EI45" s="492">
        <v>272.66000000000003</v>
      </c>
      <c r="EJ45" s="492">
        <v>279.76900000000001</v>
      </c>
      <c r="EK45" s="492">
        <v>126.79</v>
      </c>
      <c r="EL45" s="492">
        <v>218.708</v>
      </c>
      <c r="EM45" s="492"/>
      <c r="EN45" s="493">
        <f t="shared" si="30"/>
        <v>1357.432</v>
      </c>
      <c r="EO45" s="492"/>
      <c r="EP45" s="492"/>
      <c r="EQ45" s="492"/>
      <c r="ER45" s="492"/>
      <c r="ES45" s="492"/>
      <c r="ET45" s="492"/>
      <c r="EU45" s="492"/>
      <c r="EV45" s="492"/>
      <c r="EW45" s="492"/>
      <c r="EX45" s="492"/>
      <c r="EY45" s="492"/>
      <c r="EZ45" s="492"/>
      <c r="FA45" s="493">
        <f t="shared" si="22"/>
        <v>0</v>
      </c>
      <c r="FB45" s="590"/>
      <c r="FC45" s="595">
        <f t="shared" si="23"/>
        <v>52.895612538799242</v>
      </c>
      <c r="FD45" s="596">
        <f t="shared" si="24"/>
        <v>15.677147867939922</v>
      </c>
      <c r="FE45" s="498">
        <f t="shared" si="25"/>
        <v>1173.4660000000001</v>
      </c>
      <c r="FF45" s="597">
        <f t="shared" si="26"/>
        <v>1357.432</v>
      </c>
      <c r="FH45" s="551">
        <f t="shared" si="27"/>
        <v>9063.2980000000007</v>
      </c>
      <c r="FI45" s="553" t="s">
        <v>117</v>
      </c>
      <c r="FJ45" s="554" t="str">
        <f t="shared" si="28"/>
        <v>OK</v>
      </c>
    </row>
    <row r="46" spans="1:166" s="470" customFormat="1" ht="15" customHeight="1" x14ac:dyDescent="0.25">
      <c r="A46" s="623" t="s">
        <v>122</v>
      </c>
      <c r="B46" s="492"/>
      <c r="C46" s="492"/>
      <c r="D46" s="492">
        <v>10</v>
      </c>
      <c r="E46" s="492"/>
      <c r="F46" s="492">
        <v>68</v>
      </c>
      <c r="G46" s="492">
        <v>103</v>
      </c>
      <c r="H46" s="492">
        <v>70</v>
      </c>
      <c r="I46" s="492">
        <v>39</v>
      </c>
      <c r="J46" s="492">
        <v>51</v>
      </c>
      <c r="K46" s="492">
        <v>60</v>
      </c>
      <c r="L46" s="492">
        <v>10</v>
      </c>
      <c r="M46" s="492">
        <v>57</v>
      </c>
      <c r="N46" s="493">
        <f t="shared" si="13"/>
        <v>468</v>
      </c>
      <c r="O46" s="492"/>
      <c r="P46" s="492">
        <v>9</v>
      </c>
      <c r="Q46" s="492"/>
      <c r="R46" s="492"/>
      <c r="S46" s="492">
        <v>44</v>
      </c>
      <c r="T46" s="492">
        <v>28</v>
      </c>
      <c r="U46" s="492">
        <v>9</v>
      </c>
      <c r="V46" s="492">
        <v>18</v>
      </c>
      <c r="W46" s="492">
        <v>43</v>
      </c>
      <c r="X46" s="492">
        <v>11</v>
      </c>
      <c r="Y46" s="492">
        <v>26</v>
      </c>
      <c r="Z46" s="492">
        <v>18</v>
      </c>
      <c r="AA46" s="493">
        <f t="shared" si="14"/>
        <v>206</v>
      </c>
      <c r="AB46" s="492">
        <v>8</v>
      </c>
      <c r="AC46" s="492"/>
      <c r="AD46" s="492">
        <v>28</v>
      </c>
      <c r="AE46" s="492"/>
      <c r="AF46" s="492">
        <v>38</v>
      </c>
      <c r="AG46" s="492">
        <v>47</v>
      </c>
      <c r="AH46" s="492">
        <v>17</v>
      </c>
      <c r="AI46" s="492"/>
      <c r="AJ46" s="492">
        <v>27</v>
      </c>
      <c r="AK46" s="492"/>
      <c r="AL46" s="492">
        <v>35</v>
      </c>
      <c r="AM46" s="492">
        <v>45</v>
      </c>
      <c r="AN46" s="493">
        <f t="shared" si="15"/>
        <v>245</v>
      </c>
      <c r="AO46" s="492">
        <v>53</v>
      </c>
      <c r="AP46" s="492"/>
      <c r="AQ46" s="492"/>
      <c r="AR46" s="492"/>
      <c r="AS46" s="492">
        <v>29</v>
      </c>
      <c r="AT46" s="492">
        <v>27</v>
      </c>
      <c r="AU46" s="492">
        <v>26</v>
      </c>
      <c r="AV46" s="492">
        <v>28</v>
      </c>
      <c r="AW46" s="492">
        <v>9</v>
      </c>
      <c r="AX46" s="492">
        <v>19</v>
      </c>
      <c r="AY46" s="492">
        <v>29</v>
      </c>
      <c r="AZ46" s="492">
        <v>18</v>
      </c>
      <c r="BA46" s="493">
        <f t="shared" si="16"/>
        <v>238</v>
      </c>
      <c r="BB46" s="492"/>
      <c r="BC46" s="492"/>
      <c r="BD46" s="492"/>
      <c r="BE46" s="492">
        <v>10</v>
      </c>
      <c r="BF46" s="492">
        <v>47</v>
      </c>
      <c r="BG46" s="492">
        <v>145</v>
      </c>
      <c r="BH46" s="492">
        <v>34</v>
      </c>
      <c r="BI46" s="492">
        <v>37</v>
      </c>
      <c r="BJ46" s="492">
        <v>67</v>
      </c>
      <c r="BK46" s="492">
        <v>59</v>
      </c>
      <c r="BL46" s="492">
        <v>53</v>
      </c>
      <c r="BM46" s="492">
        <v>54</v>
      </c>
      <c r="BN46" s="493">
        <f t="shared" si="17"/>
        <v>506</v>
      </c>
      <c r="BO46" s="492">
        <v>44</v>
      </c>
      <c r="BP46" s="492">
        <v>30</v>
      </c>
      <c r="BQ46" s="492">
        <v>20</v>
      </c>
      <c r="BR46" s="492">
        <v>19</v>
      </c>
      <c r="BS46" s="492">
        <v>5</v>
      </c>
      <c r="BT46" s="492">
        <v>25</v>
      </c>
      <c r="BU46" s="492">
        <v>44</v>
      </c>
      <c r="BV46" s="492">
        <v>31</v>
      </c>
      <c r="BW46" s="492">
        <v>65</v>
      </c>
      <c r="BX46" s="492">
        <v>40</v>
      </c>
      <c r="BY46" s="492">
        <v>59</v>
      </c>
      <c r="BZ46" s="492">
        <v>32</v>
      </c>
      <c r="CA46" s="493">
        <f t="shared" si="18"/>
        <v>414</v>
      </c>
      <c r="CB46" s="492">
        <v>20.85</v>
      </c>
      <c r="CC46" s="492"/>
      <c r="CD46" s="492"/>
      <c r="CE46" s="492"/>
      <c r="CF46" s="492">
        <v>6.34</v>
      </c>
      <c r="CG46" s="492">
        <v>32.69</v>
      </c>
      <c r="CH46" s="492">
        <v>10.7</v>
      </c>
      <c r="CI46" s="492">
        <v>57.1</v>
      </c>
      <c r="CJ46" s="492">
        <v>46.58</v>
      </c>
      <c r="CK46" s="492"/>
      <c r="CL46" s="492">
        <v>23.3</v>
      </c>
      <c r="CM46" s="492">
        <v>10.4</v>
      </c>
      <c r="CN46" s="493">
        <f t="shared" si="19"/>
        <v>207.96</v>
      </c>
      <c r="CO46" s="492">
        <v>6.5</v>
      </c>
      <c r="CP46" s="492">
        <v>6.72</v>
      </c>
      <c r="CQ46" s="492"/>
      <c r="CR46" s="492"/>
      <c r="CS46" s="492"/>
      <c r="CT46" s="492">
        <v>84.879000000000005</v>
      </c>
      <c r="CU46" s="492">
        <v>37.81</v>
      </c>
      <c r="CV46" s="492">
        <v>73.069999999999993</v>
      </c>
      <c r="CW46" s="492">
        <v>11.83</v>
      </c>
      <c r="CX46" s="492">
        <v>56.33</v>
      </c>
      <c r="CY46" s="492">
        <v>48.14</v>
      </c>
      <c r="CZ46" s="492">
        <v>23</v>
      </c>
      <c r="DA46" s="493">
        <f t="shared" si="20"/>
        <v>348.279</v>
      </c>
      <c r="DB46" s="492">
        <v>47.65</v>
      </c>
      <c r="DC46" s="492"/>
      <c r="DD46" s="492"/>
      <c r="DE46" s="492"/>
      <c r="DF46" s="492"/>
      <c r="DG46" s="492">
        <v>24.94</v>
      </c>
      <c r="DH46" s="492">
        <v>22.6</v>
      </c>
      <c r="DI46" s="492"/>
      <c r="DJ46" s="492"/>
      <c r="DK46" s="492"/>
      <c r="DL46" s="492"/>
      <c r="DM46" s="492"/>
      <c r="DN46" s="493">
        <f t="shared" si="21"/>
        <v>95.19</v>
      </c>
      <c r="DO46" s="492"/>
      <c r="DP46" s="492">
        <v>12.85</v>
      </c>
      <c r="DQ46" s="492"/>
      <c r="DR46" s="492"/>
      <c r="DS46" s="492">
        <v>11.69</v>
      </c>
      <c r="DT46" s="492"/>
      <c r="DU46" s="492"/>
      <c r="DV46" s="492">
        <v>35.880000000000003</v>
      </c>
      <c r="DW46" s="492"/>
      <c r="DX46" s="492">
        <v>12.75</v>
      </c>
      <c r="DY46" s="492"/>
      <c r="DZ46" s="492">
        <v>13.78</v>
      </c>
      <c r="EA46" s="493">
        <f t="shared" si="29"/>
        <v>86.95</v>
      </c>
      <c r="EB46" s="492"/>
      <c r="EC46" s="492"/>
      <c r="ED46" s="492"/>
      <c r="EE46" s="492"/>
      <c r="EF46" s="492"/>
      <c r="EG46" s="492"/>
      <c r="EH46" s="492">
        <v>13.67</v>
      </c>
      <c r="EI46" s="492">
        <v>49.148000000000003</v>
      </c>
      <c r="EJ46" s="492">
        <v>12.86</v>
      </c>
      <c r="EK46" s="492">
        <v>49.43</v>
      </c>
      <c r="EL46" s="492">
        <v>22</v>
      </c>
      <c r="EM46" s="492"/>
      <c r="EN46" s="493">
        <f t="shared" si="30"/>
        <v>147.108</v>
      </c>
      <c r="EO46" s="492"/>
      <c r="EP46" s="492"/>
      <c r="EQ46" s="492"/>
      <c r="ER46" s="492"/>
      <c r="ES46" s="492"/>
      <c r="ET46" s="492"/>
      <c r="EU46" s="492"/>
      <c r="EV46" s="492"/>
      <c r="EW46" s="492"/>
      <c r="EX46" s="492"/>
      <c r="EY46" s="492"/>
      <c r="EZ46" s="492"/>
      <c r="FA46" s="493">
        <f t="shared" si="22"/>
        <v>0</v>
      </c>
      <c r="FB46" s="590"/>
      <c r="FC46" s="595" t="str">
        <f t="shared" si="23"/>
        <v/>
      </c>
      <c r="FD46" s="596">
        <f t="shared" si="24"/>
        <v>101.04961049610495</v>
      </c>
      <c r="FE46" s="498">
        <f t="shared" si="25"/>
        <v>73.17</v>
      </c>
      <c r="FF46" s="597">
        <f t="shared" si="26"/>
        <v>147.108</v>
      </c>
      <c r="FG46" s="509"/>
      <c r="FH46" s="551">
        <f t="shared" si="27"/>
        <v>4988.9739999999983</v>
      </c>
      <c r="FI46" s="553" t="s">
        <v>122</v>
      </c>
      <c r="FJ46" s="554" t="str">
        <f t="shared" si="28"/>
        <v>OK</v>
      </c>
    </row>
    <row r="47" spans="1:166" s="470" customFormat="1" ht="15" customHeight="1" x14ac:dyDescent="0.25">
      <c r="A47" s="623" t="s">
        <v>123</v>
      </c>
      <c r="B47" s="492"/>
      <c r="C47" s="492"/>
      <c r="D47" s="492"/>
      <c r="E47" s="492"/>
      <c r="F47" s="492"/>
      <c r="G47" s="492"/>
      <c r="H47" s="492"/>
      <c r="I47" s="492"/>
      <c r="J47" s="492"/>
      <c r="K47" s="492"/>
      <c r="L47" s="492"/>
      <c r="M47" s="492"/>
      <c r="N47" s="493">
        <f t="shared" si="13"/>
        <v>0</v>
      </c>
      <c r="O47" s="492"/>
      <c r="P47" s="492"/>
      <c r="Q47" s="492"/>
      <c r="R47" s="492"/>
      <c r="S47" s="492"/>
      <c r="T47" s="492"/>
      <c r="U47" s="492"/>
      <c r="V47" s="492"/>
      <c r="W47" s="492"/>
      <c r="X47" s="492"/>
      <c r="Y47" s="492"/>
      <c r="Z47" s="492"/>
      <c r="AA47" s="493">
        <f t="shared" si="14"/>
        <v>0</v>
      </c>
      <c r="AB47" s="492"/>
      <c r="AC47" s="492"/>
      <c r="AD47" s="492"/>
      <c r="AE47" s="492"/>
      <c r="AF47" s="492"/>
      <c r="AG47" s="492"/>
      <c r="AH47" s="492"/>
      <c r="AI47" s="492"/>
      <c r="AJ47" s="492"/>
      <c r="AK47" s="492"/>
      <c r="AL47" s="492"/>
      <c r="AM47" s="492"/>
      <c r="AN47" s="493">
        <f t="shared" si="15"/>
        <v>0</v>
      </c>
      <c r="AO47" s="492"/>
      <c r="AP47" s="492"/>
      <c r="AQ47" s="492"/>
      <c r="AR47" s="492"/>
      <c r="AS47" s="492"/>
      <c r="AT47" s="492"/>
      <c r="AU47" s="492"/>
      <c r="AV47" s="492"/>
      <c r="AW47" s="492"/>
      <c r="AX47" s="492"/>
      <c r="AY47" s="492"/>
      <c r="AZ47" s="492"/>
      <c r="BA47" s="493">
        <f t="shared" si="16"/>
        <v>0</v>
      </c>
      <c r="BB47" s="492"/>
      <c r="BC47" s="492"/>
      <c r="BD47" s="492"/>
      <c r="BE47" s="492"/>
      <c r="BF47" s="492"/>
      <c r="BG47" s="492"/>
      <c r="BH47" s="492"/>
      <c r="BI47" s="492"/>
      <c r="BJ47" s="492"/>
      <c r="BK47" s="492"/>
      <c r="BL47" s="492"/>
      <c r="BM47" s="492"/>
      <c r="BN47" s="493">
        <f t="shared" si="17"/>
        <v>0</v>
      </c>
      <c r="BO47" s="492"/>
      <c r="BP47" s="492"/>
      <c r="BQ47" s="492"/>
      <c r="BR47" s="492"/>
      <c r="BS47" s="492"/>
      <c r="BT47" s="492"/>
      <c r="BU47" s="492"/>
      <c r="BV47" s="492"/>
      <c r="BW47" s="492"/>
      <c r="BX47" s="492"/>
      <c r="BY47" s="492"/>
      <c r="BZ47" s="492"/>
      <c r="CA47" s="493">
        <f t="shared" si="18"/>
        <v>0</v>
      </c>
      <c r="CB47" s="492"/>
      <c r="CC47" s="492"/>
      <c r="CD47" s="492"/>
      <c r="CE47" s="492"/>
      <c r="CF47" s="492"/>
      <c r="CG47" s="492"/>
      <c r="CH47" s="492"/>
      <c r="CI47" s="492"/>
      <c r="CJ47" s="492"/>
      <c r="CK47" s="492"/>
      <c r="CL47" s="492"/>
      <c r="CM47" s="492"/>
      <c r="CN47" s="493">
        <f t="shared" si="19"/>
        <v>0</v>
      </c>
      <c r="CO47" s="492"/>
      <c r="CP47" s="492"/>
      <c r="CQ47" s="492"/>
      <c r="CR47" s="492"/>
      <c r="CS47" s="492"/>
      <c r="CT47" s="492"/>
      <c r="CU47" s="492"/>
      <c r="CV47" s="492"/>
      <c r="CW47" s="492"/>
      <c r="CX47" s="492"/>
      <c r="CY47" s="492"/>
      <c r="CZ47" s="492"/>
      <c r="DA47" s="493">
        <f t="shared" si="20"/>
        <v>0</v>
      </c>
      <c r="DB47" s="492"/>
      <c r="DC47" s="492"/>
      <c r="DD47" s="492"/>
      <c r="DE47" s="492"/>
      <c r="DF47" s="492"/>
      <c r="DG47" s="492"/>
      <c r="DH47" s="492"/>
      <c r="DI47" s="492"/>
      <c r="DJ47" s="492"/>
      <c r="DK47" s="492"/>
      <c r="DL47" s="492"/>
      <c r="DM47" s="492"/>
      <c r="DN47" s="493">
        <f t="shared" si="21"/>
        <v>0</v>
      </c>
      <c r="DO47" s="492"/>
      <c r="DP47" s="492"/>
      <c r="DQ47" s="492"/>
      <c r="DR47" s="492"/>
      <c r="DS47" s="492"/>
      <c r="DT47" s="492"/>
      <c r="DU47" s="492"/>
      <c r="DV47" s="492"/>
      <c r="DW47" s="492"/>
      <c r="DX47" s="492"/>
      <c r="DY47" s="492"/>
      <c r="DZ47" s="492"/>
      <c r="EA47" s="493">
        <f t="shared" si="29"/>
        <v>0</v>
      </c>
      <c r="EB47" s="492"/>
      <c r="EC47" s="492"/>
      <c r="ED47" s="492"/>
      <c r="EE47" s="492"/>
      <c r="EF47" s="492"/>
      <c r="EG47" s="492"/>
      <c r="EH47" s="492"/>
      <c r="EI47" s="492"/>
      <c r="EJ47" s="492"/>
      <c r="EK47" s="492"/>
      <c r="EL47" s="492"/>
      <c r="EM47" s="492"/>
      <c r="EN47" s="493">
        <f t="shared" si="30"/>
        <v>0</v>
      </c>
      <c r="EO47" s="492"/>
      <c r="EP47" s="492"/>
      <c r="EQ47" s="492"/>
      <c r="ER47" s="492"/>
      <c r="ES47" s="492"/>
      <c r="ET47" s="492"/>
      <c r="EU47" s="492"/>
      <c r="EV47" s="492"/>
      <c r="EW47" s="492"/>
      <c r="EX47" s="492"/>
      <c r="EY47" s="492"/>
      <c r="EZ47" s="492"/>
      <c r="FA47" s="493">
        <f t="shared" si="22"/>
        <v>0</v>
      </c>
      <c r="FB47" s="590"/>
      <c r="FC47" s="595" t="str">
        <f t="shared" si="23"/>
        <v/>
      </c>
      <c r="FD47" s="596" t="str">
        <f t="shared" si="24"/>
        <v/>
      </c>
      <c r="FE47" s="498">
        <f t="shared" si="25"/>
        <v>0</v>
      </c>
      <c r="FF47" s="597">
        <f t="shared" si="26"/>
        <v>0</v>
      </c>
      <c r="FH47" s="551">
        <f t="shared" si="27"/>
        <v>0</v>
      </c>
      <c r="FI47" s="553" t="s">
        <v>123</v>
      </c>
      <c r="FJ47" s="554" t="str">
        <f t="shared" si="28"/>
        <v>OK</v>
      </c>
    </row>
    <row r="48" spans="1:166" s="470" customFormat="1" ht="15" customHeight="1" x14ac:dyDescent="0.25">
      <c r="A48" s="623" t="s">
        <v>644</v>
      </c>
      <c r="B48" s="492">
        <v>36</v>
      </c>
      <c r="C48" s="492">
        <v>31</v>
      </c>
      <c r="D48" s="492">
        <v>20</v>
      </c>
      <c r="E48" s="492">
        <v>9</v>
      </c>
      <c r="F48" s="492">
        <v>4</v>
      </c>
      <c r="G48" s="492">
        <v>36</v>
      </c>
      <c r="H48" s="492">
        <v>5</v>
      </c>
      <c r="I48" s="492">
        <v>5</v>
      </c>
      <c r="J48" s="492">
        <v>3</v>
      </c>
      <c r="K48" s="492">
        <v>3</v>
      </c>
      <c r="L48" s="492">
        <v>2</v>
      </c>
      <c r="M48" s="492">
        <v>8</v>
      </c>
      <c r="N48" s="493">
        <f t="shared" si="13"/>
        <v>162</v>
      </c>
      <c r="O48" s="492">
        <v>25</v>
      </c>
      <c r="P48" s="492">
        <v>22</v>
      </c>
      <c r="Q48" s="492">
        <v>15</v>
      </c>
      <c r="R48" s="492">
        <v>6</v>
      </c>
      <c r="S48" s="492">
        <v>4</v>
      </c>
      <c r="T48" s="492">
        <v>29</v>
      </c>
      <c r="U48" s="492">
        <v>3</v>
      </c>
      <c r="V48" s="492">
        <v>2</v>
      </c>
      <c r="W48" s="492">
        <v>1</v>
      </c>
      <c r="X48" s="492">
        <v>2</v>
      </c>
      <c r="Y48" s="492">
        <v>2</v>
      </c>
      <c r="Z48" s="492">
        <v>8</v>
      </c>
      <c r="AA48" s="493">
        <f t="shared" si="14"/>
        <v>119</v>
      </c>
      <c r="AB48" s="492">
        <v>17</v>
      </c>
      <c r="AC48" s="492">
        <v>20</v>
      </c>
      <c r="AD48" s="492">
        <v>19</v>
      </c>
      <c r="AE48" s="492">
        <v>12</v>
      </c>
      <c r="AF48" s="492">
        <v>5</v>
      </c>
      <c r="AG48" s="492">
        <v>30</v>
      </c>
      <c r="AH48" s="492">
        <v>2</v>
      </c>
      <c r="AI48" s="492">
        <v>3</v>
      </c>
      <c r="AJ48" s="492">
        <v>1</v>
      </c>
      <c r="AK48" s="492">
        <v>2</v>
      </c>
      <c r="AL48" s="492">
        <v>3</v>
      </c>
      <c r="AM48" s="492">
        <v>8</v>
      </c>
      <c r="AN48" s="493">
        <f t="shared" si="15"/>
        <v>122</v>
      </c>
      <c r="AO48" s="492">
        <v>13</v>
      </c>
      <c r="AP48" s="492">
        <v>6</v>
      </c>
      <c r="AQ48" s="492">
        <v>6</v>
      </c>
      <c r="AR48" s="492">
        <v>4</v>
      </c>
      <c r="AS48" s="492">
        <v>2</v>
      </c>
      <c r="AT48" s="492">
        <v>22</v>
      </c>
      <c r="AU48" s="492">
        <v>3</v>
      </c>
      <c r="AV48" s="492">
        <v>1</v>
      </c>
      <c r="AW48" s="492">
        <v>1</v>
      </c>
      <c r="AX48" s="492">
        <v>2</v>
      </c>
      <c r="AY48" s="492">
        <v>2</v>
      </c>
      <c r="AZ48" s="492">
        <v>5</v>
      </c>
      <c r="BA48" s="493">
        <f t="shared" si="16"/>
        <v>67</v>
      </c>
      <c r="BB48" s="492">
        <v>4</v>
      </c>
      <c r="BC48" s="492">
        <v>2</v>
      </c>
      <c r="BD48" s="492">
        <v>2</v>
      </c>
      <c r="BE48" s="492">
        <v>2</v>
      </c>
      <c r="BF48" s="492">
        <v>1</v>
      </c>
      <c r="BG48" s="492">
        <v>5</v>
      </c>
      <c r="BH48" s="492">
        <v>1</v>
      </c>
      <c r="BI48" s="492">
        <v>1</v>
      </c>
      <c r="BJ48" s="492">
        <v>2</v>
      </c>
      <c r="BK48" s="492">
        <v>1</v>
      </c>
      <c r="BL48" s="492">
        <v>1</v>
      </c>
      <c r="BM48" s="492">
        <v>5</v>
      </c>
      <c r="BN48" s="493">
        <f t="shared" si="17"/>
        <v>27</v>
      </c>
      <c r="BO48" s="492">
        <v>2</v>
      </c>
      <c r="BP48" s="492">
        <v>1</v>
      </c>
      <c r="BQ48" s="492">
        <v>1</v>
      </c>
      <c r="BR48" s="492">
        <v>1</v>
      </c>
      <c r="BS48" s="492">
        <v>1</v>
      </c>
      <c r="BT48" s="492">
        <v>3</v>
      </c>
      <c r="BU48" s="492">
        <v>1</v>
      </c>
      <c r="BV48" s="492"/>
      <c r="BW48" s="492"/>
      <c r="BX48" s="492"/>
      <c r="BY48" s="492"/>
      <c r="BZ48" s="492">
        <v>1</v>
      </c>
      <c r="CA48" s="493">
        <f t="shared" si="18"/>
        <v>11</v>
      </c>
      <c r="CB48" s="492">
        <v>0.79500000000000004</v>
      </c>
      <c r="CC48" s="492">
        <v>0.12</v>
      </c>
      <c r="CD48" s="492">
        <v>0.35499999999999998</v>
      </c>
      <c r="CE48" s="492">
        <v>0.39</v>
      </c>
      <c r="CF48" s="492">
        <v>0.15</v>
      </c>
      <c r="CG48" s="492">
        <v>1.2</v>
      </c>
      <c r="CH48" s="492">
        <v>0.3</v>
      </c>
      <c r="CI48" s="492">
        <v>0.14000000000000001</v>
      </c>
      <c r="CJ48" s="492">
        <v>0.125</v>
      </c>
      <c r="CK48" s="492">
        <v>0.68</v>
      </c>
      <c r="CL48" s="492">
        <v>0.54</v>
      </c>
      <c r="CM48" s="492">
        <v>1.04</v>
      </c>
      <c r="CN48" s="493">
        <f t="shared" si="19"/>
        <v>5.835</v>
      </c>
      <c r="CO48" s="492">
        <v>0.76</v>
      </c>
      <c r="CP48" s="492">
        <v>0.16500000000000001</v>
      </c>
      <c r="CQ48" s="492">
        <v>0.06</v>
      </c>
      <c r="CR48" s="492">
        <v>1.085</v>
      </c>
      <c r="CS48" s="492">
        <v>0.16</v>
      </c>
      <c r="CT48" s="492">
        <v>1.07</v>
      </c>
      <c r="CU48" s="492">
        <v>0.11</v>
      </c>
      <c r="CV48" s="492">
        <v>0.26500000000000001</v>
      </c>
      <c r="CW48" s="492">
        <v>0.14499999999999999</v>
      </c>
      <c r="CX48" s="492">
        <v>0.16</v>
      </c>
      <c r="CY48" s="492">
        <v>0.115</v>
      </c>
      <c r="CZ48" s="492">
        <v>0.75</v>
      </c>
      <c r="DA48" s="493">
        <f t="shared" si="20"/>
        <v>4.8450000000000006</v>
      </c>
      <c r="DB48" s="492">
        <v>0.7</v>
      </c>
      <c r="DC48" s="492">
        <v>0.02</v>
      </c>
      <c r="DD48" s="492">
        <v>0.05</v>
      </c>
      <c r="DE48" s="492">
        <v>1.397</v>
      </c>
      <c r="DF48" s="492">
        <v>0.03</v>
      </c>
      <c r="DG48" s="492">
        <v>2.875</v>
      </c>
      <c r="DH48" s="492"/>
      <c r="DI48" s="492">
        <v>0.59199999999999997</v>
      </c>
      <c r="DJ48" s="492">
        <v>0.06</v>
      </c>
      <c r="DK48" s="492">
        <v>0.42499999999999999</v>
      </c>
      <c r="DL48" s="492"/>
      <c r="DM48" s="492">
        <v>1.375</v>
      </c>
      <c r="DN48" s="493">
        <f t="shared" si="21"/>
        <v>7.5239999999999982</v>
      </c>
      <c r="DO48" s="492">
        <v>1.5249999999999999</v>
      </c>
      <c r="DP48" s="492">
        <v>0.06</v>
      </c>
      <c r="DQ48" s="492"/>
      <c r="DR48" s="492">
        <v>0.59299999999999997</v>
      </c>
      <c r="DS48" s="492">
        <v>0.06</v>
      </c>
      <c r="DT48" s="492">
        <v>2.835</v>
      </c>
      <c r="DU48" s="492"/>
      <c r="DV48" s="492">
        <v>0.86</v>
      </c>
      <c r="DW48" s="492"/>
      <c r="DX48" s="492">
        <v>1.071</v>
      </c>
      <c r="DY48" s="492"/>
      <c r="DZ48" s="492">
        <v>3.8149999999999999</v>
      </c>
      <c r="EA48" s="493">
        <f t="shared" si="29"/>
        <v>10.819000000000001</v>
      </c>
      <c r="EB48" s="492">
        <v>1.1020000000000001</v>
      </c>
      <c r="EC48" s="492"/>
      <c r="ED48" s="492"/>
      <c r="EE48" s="492">
        <v>0.70499999999999996</v>
      </c>
      <c r="EF48" s="492">
        <v>1.2450000000000001</v>
      </c>
      <c r="EG48" s="492">
        <v>2.63</v>
      </c>
      <c r="EH48" s="492">
        <v>0.12</v>
      </c>
      <c r="EI48" s="492">
        <v>1.9550000000000001</v>
      </c>
      <c r="EJ48" s="492">
        <v>0.28000000000000003</v>
      </c>
      <c r="EK48" s="492">
        <v>1.72</v>
      </c>
      <c r="EL48" s="492"/>
      <c r="EM48" s="492"/>
      <c r="EN48" s="493">
        <f t="shared" si="30"/>
        <v>9.7570000000000014</v>
      </c>
      <c r="EO48" s="492"/>
      <c r="EP48" s="492"/>
      <c r="EQ48" s="492"/>
      <c r="ER48" s="492"/>
      <c r="ES48" s="492"/>
      <c r="ET48" s="492"/>
      <c r="EU48" s="492"/>
      <c r="EV48" s="492"/>
      <c r="EW48" s="492"/>
      <c r="EX48" s="492"/>
      <c r="EY48" s="492"/>
      <c r="EZ48" s="492"/>
      <c r="FA48" s="493">
        <f t="shared" si="22"/>
        <v>0</v>
      </c>
      <c r="FB48" s="590"/>
      <c r="FC48" s="595" t="str">
        <f t="shared" si="23"/>
        <v/>
      </c>
      <c r="FD48" s="596">
        <f t="shared" si="24"/>
        <v>39.306110793832104</v>
      </c>
      <c r="FE48" s="498">
        <f t="shared" si="25"/>
        <v>7.0040000000000004</v>
      </c>
      <c r="FF48" s="597">
        <f t="shared" si="26"/>
        <v>9.7570000000000014</v>
      </c>
      <c r="FH48" s="551">
        <f t="shared" si="27"/>
        <v>769.5599999999996</v>
      </c>
      <c r="FI48" s="553" t="s">
        <v>644</v>
      </c>
      <c r="FJ48" s="554" t="str">
        <f t="shared" si="28"/>
        <v>OK</v>
      </c>
    </row>
    <row r="49" spans="1:166" s="470" customFormat="1" ht="15" customHeight="1" x14ac:dyDescent="0.25">
      <c r="A49" s="623" t="s">
        <v>135</v>
      </c>
      <c r="B49" s="492">
        <v>577</v>
      </c>
      <c r="C49" s="492">
        <v>645</v>
      </c>
      <c r="D49" s="492">
        <v>544</v>
      </c>
      <c r="E49" s="492">
        <v>324</v>
      </c>
      <c r="F49" s="492">
        <v>306</v>
      </c>
      <c r="G49" s="492">
        <v>203</v>
      </c>
      <c r="H49" s="492">
        <v>198</v>
      </c>
      <c r="I49" s="492">
        <v>150</v>
      </c>
      <c r="J49" s="492">
        <v>39</v>
      </c>
      <c r="K49" s="492">
        <v>56</v>
      </c>
      <c r="L49" s="492">
        <v>154</v>
      </c>
      <c r="M49" s="492">
        <v>302</v>
      </c>
      <c r="N49" s="493">
        <f t="shared" si="13"/>
        <v>3498</v>
      </c>
      <c r="O49" s="492">
        <v>509</v>
      </c>
      <c r="P49" s="492">
        <v>641</v>
      </c>
      <c r="Q49" s="492">
        <v>633</v>
      </c>
      <c r="R49" s="492">
        <v>428</v>
      </c>
      <c r="S49" s="492">
        <v>341</v>
      </c>
      <c r="T49" s="492">
        <v>211</v>
      </c>
      <c r="U49" s="492">
        <v>176</v>
      </c>
      <c r="V49" s="492">
        <v>122</v>
      </c>
      <c r="W49" s="492">
        <v>35</v>
      </c>
      <c r="X49" s="492">
        <v>61</v>
      </c>
      <c r="Y49" s="492">
        <v>192</v>
      </c>
      <c r="Z49" s="492">
        <v>358</v>
      </c>
      <c r="AA49" s="493">
        <f t="shared" si="14"/>
        <v>3707</v>
      </c>
      <c r="AB49" s="492">
        <v>516</v>
      </c>
      <c r="AC49" s="492">
        <v>572</v>
      </c>
      <c r="AD49" s="492">
        <v>606</v>
      </c>
      <c r="AE49" s="492">
        <v>499</v>
      </c>
      <c r="AF49" s="492">
        <v>419</v>
      </c>
      <c r="AG49" s="492">
        <v>238</v>
      </c>
      <c r="AH49" s="492">
        <v>203</v>
      </c>
      <c r="AI49" s="492">
        <v>138</v>
      </c>
      <c r="AJ49" s="492">
        <v>45</v>
      </c>
      <c r="AK49" s="492">
        <v>59</v>
      </c>
      <c r="AL49" s="492">
        <v>257</v>
      </c>
      <c r="AM49" s="492">
        <v>419</v>
      </c>
      <c r="AN49" s="493">
        <f t="shared" si="15"/>
        <v>3971</v>
      </c>
      <c r="AO49" s="492">
        <v>473</v>
      </c>
      <c r="AP49" s="492">
        <v>619</v>
      </c>
      <c r="AQ49" s="492">
        <v>676</v>
      </c>
      <c r="AR49" s="492">
        <v>548</v>
      </c>
      <c r="AS49" s="492">
        <v>456</v>
      </c>
      <c r="AT49" s="492">
        <v>276</v>
      </c>
      <c r="AU49" s="492">
        <v>219</v>
      </c>
      <c r="AV49" s="492">
        <v>114</v>
      </c>
      <c r="AW49" s="492">
        <v>36</v>
      </c>
      <c r="AX49" s="492">
        <v>43</v>
      </c>
      <c r="AY49" s="492">
        <v>171</v>
      </c>
      <c r="AZ49" s="492">
        <v>324</v>
      </c>
      <c r="BA49" s="493">
        <f t="shared" si="16"/>
        <v>3955</v>
      </c>
      <c r="BB49" s="492">
        <v>439</v>
      </c>
      <c r="BC49" s="492">
        <v>625</v>
      </c>
      <c r="BD49" s="492">
        <v>660</v>
      </c>
      <c r="BE49" s="492">
        <v>552</v>
      </c>
      <c r="BF49" s="492">
        <v>465</v>
      </c>
      <c r="BG49" s="492">
        <v>300</v>
      </c>
      <c r="BH49" s="492">
        <v>254</v>
      </c>
      <c r="BI49" s="492">
        <v>128</v>
      </c>
      <c r="BJ49" s="492"/>
      <c r="BK49" s="492">
        <v>46</v>
      </c>
      <c r="BL49" s="492">
        <v>132</v>
      </c>
      <c r="BM49" s="492">
        <v>312</v>
      </c>
      <c r="BN49" s="493">
        <f t="shared" si="17"/>
        <v>3913</v>
      </c>
      <c r="BO49" s="492">
        <v>450</v>
      </c>
      <c r="BP49" s="492">
        <v>669</v>
      </c>
      <c r="BQ49" s="492">
        <v>671</v>
      </c>
      <c r="BR49" s="492">
        <v>584</v>
      </c>
      <c r="BS49" s="492">
        <v>511</v>
      </c>
      <c r="BT49" s="492">
        <v>323</v>
      </c>
      <c r="BU49" s="492">
        <v>293</v>
      </c>
      <c r="BV49" s="492">
        <v>122</v>
      </c>
      <c r="BW49" s="492"/>
      <c r="BX49" s="492">
        <v>46</v>
      </c>
      <c r="BY49" s="492">
        <v>137</v>
      </c>
      <c r="BZ49" s="492">
        <v>380</v>
      </c>
      <c r="CA49" s="493">
        <f t="shared" si="18"/>
        <v>4186</v>
      </c>
      <c r="CB49" s="492">
        <v>477.39</v>
      </c>
      <c r="CC49" s="492">
        <v>693.94799999999998</v>
      </c>
      <c r="CD49" s="492">
        <v>720.04899999999998</v>
      </c>
      <c r="CE49" s="492">
        <v>703.16899999999998</v>
      </c>
      <c r="CF49" s="492">
        <v>607.42899999999997</v>
      </c>
      <c r="CG49" s="492">
        <v>371.56</v>
      </c>
      <c r="CH49" s="492">
        <v>348.87900000000002</v>
      </c>
      <c r="CI49" s="492">
        <v>167.19</v>
      </c>
      <c r="CJ49" s="492"/>
      <c r="CK49" s="492">
        <v>65.92</v>
      </c>
      <c r="CL49" s="492">
        <v>210.35</v>
      </c>
      <c r="CM49" s="492">
        <v>459.13</v>
      </c>
      <c r="CN49" s="493">
        <f t="shared" si="19"/>
        <v>4825.0140000000001</v>
      </c>
      <c r="CO49" s="492">
        <v>511.56</v>
      </c>
      <c r="CP49" s="492">
        <v>679.80899999999997</v>
      </c>
      <c r="CQ49" s="492">
        <v>659.649</v>
      </c>
      <c r="CR49" s="492">
        <v>600.69000000000005</v>
      </c>
      <c r="CS49" s="492">
        <v>545.64800000000002</v>
      </c>
      <c r="CT49" s="492">
        <v>356.75</v>
      </c>
      <c r="CU49" s="492">
        <v>367.61</v>
      </c>
      <c r="CV49" s="492">
        <v>206.82</v>
      </c>
      <c r="CW49" s="492">
        <v>51.47</v>
      </c>
      <c r="CX49" s="492">
        <v>38.04</v>
      </c>
      <c r="CY49" s="492">
        <v>136.36000000000001</v>
      </c>
      <c r="CZ49" s="492">
        <v>436.57</v>
      </c>
      <c r="DA49" s="493">
        <f t="shared" si="20"/>
        <v>4590.9759999999997</v>
      </c>
      <c r="DB49" s="492">
        <v>520.27700000000004</v>
      </c>
      <c r="DC49" s="492">
        <v>461.87</v>
      </c>
      <c r="DD49" s="492">
        <v>433.64</v>
      </c>
      <c r="DE49" s="492">
        <v>283.17899999999997</v>
      </c>
      <c r="DF49" s="492">
        <v>221.40899999999999</v>
      </c>
      <c r="DG49" s="492">
        <v>202.88800000000001</v>
      </c>
      <c r="DH49" s="492">
        <v>190.79</v>
      </c>
      <c r="DI49" s="492">
        <v>57.3</v>
      </c>
      <c r="DJ49" s="492">
        <v>11.5</v>
      </c>
      <c r="DK49" s="492">
        <v>23.09</v>
      </c>
      <c r="DL49" s="492">
        <v>82.49</v>
      </c>
      <c r="DM49" s="492">
        <v>193.43899999999999</v>
      </c>
      <c r="DN49" s="493">
        <f t="shared" si="21"/>
        <v>2681.8719999999998</v>
      </c>
      <c r="DO49" s="492">
        <v>242.66900000000001</v>
      </c>
      <c r="DP49" s="492">
        <v>223.01900000000001</v>
      </c>
      <c r="DQ49" s="492">
        <v>183.21799999999999</v>
      </c>
      <c r="DR49" s="492">
        <v>168.839</v>
      </c>
      <c r="DS49" s="492">
        <v>155.679</v>
      </c>
      <c r="DT49" s="492">
        <v>130.09</v>
      </c>
      <c r="DU49" s="492">
        <v>121.23</v>
      </c>
      <c r="DV49" s="492">
        <v>55.35</v>
      </c>
      <c r="DW49" s="492">
        <v>14.97</v>
      </c>
      <c r="DX49" s="492">
        <v>16.12</v>
      </c>
      <c r="DY49" s="492">
        <v>55.26</v>
      </c>
      <c r="DZ49" s="492">
        <v>156.87799999999999</v>
      </c>
      <c r="EA49" s="493">
        <f t="shared" si="29"/>
        <v>1523.3219999999997</v>
      </c>
      <c r="EB49" s="492">
        <v>191.07900000000001</v>
      </c>
      <c r="EC49" s="492">
        <v>195.34</v>
      </c>
      <c r="ED49" s="492">
        <v>179.58699999999999</v>
      </c>
      <c r="EE49" s="492">
        <v>142.07300000000001</v>
      </c>
      <c r="EF49" s="492">
        <v>126.65900000000001</v>
      </c>
      <c r="EG49" s="492">
        <v>89.778999999999996</v>
      </c>
      <c r="EH49" s="492">
        <v>82.8</v>
      </c>
      <c r="EI49" s="492">
        <v>37.380000000000003</v>
      </c>
      <c r="EJ49" s="492">
        <v>12.45</v>
      </c>
      <c r="EK49" s="492">
        <v>17.77</v>
      </c>
      <c r="EL49" s="492">
        <v>58.908999999999999</v>
      </c>
      <c r="EM49" s="492"/>
      <c r="EN49" s="493">
        <f t="shared" si="30"/>
        <v>1133.826</v>
      </c>
      <c r="EO49" s="492"/>
      <c r="EP49" s="492"/>
      <c r="EQ49" s="492"/>
      <c r="ER49" s="492"/>
      <c r="ES49" s="492"/>
      <c r="ET49" s="492"/>
      <c r="EU49" s="492"/>
      <c r="EV49" s="492"/>
      <c r="EW49" s="492"/>
      <c r="EX49" s="492"/>
      <c r="EY49" s="492"/>
      <c r="EZ49" s="492"/>
      <c r="FA49" s="493">
        <f t="shared" si="22"/>
        <v>0</v>
      </c>
      <c r="FB49" s="590"/>
      <c r="FC49" s="595">
        <f t="shared" si="23"/>
        <v>6.6033297140789093</v>
      </c>
      <c r="FD49" s="596">
        <f t="shared" si="24"/>
        <v>-17.023602869930986</v>
      </c>
      <c r="FE49" s="498">
        <f t="shared" si="25"/>
        <v>1366.4439999999997</v>
      </c>
      <c r="FF49" s="597">
        <f t="shared" si="26"/>
        <v>1133.826</v>
      </c>
      <c r="FH49" s="551">
        <f t="shared" si="27"/>
        <v>68974.01999999999</v>
      </c>
      <c r="FI49" s="553" t="s">
        <v>135</v>
      </c>
      <c r="FJ49" s="554" t="str">
        <f t="shared" si="28"/>
        <v>OK</v>
      </c>
    </row>
    <row r="50" spans="1:166" s="470" customFormat="1" ht="15" customHeight="1" x14ac:dyDescent="0.25">
      <c r="A50" s="623" t="s">
        <v>642</v>
      </c>
      <c r="B50" s="492"/>
      <c r="C50" s="492"/>
      <c r="D50" s="492"/>
      <c r="E50" s="492"/>
      <c r="F50" s="492"/>
      <c r="G50" s="492"/>
      <c r="H50" s="492"/>
      <c r="I50" s="492"/>
      <c r="J50" s="492"/>
      <c r="K50" s="492"/>
      <c r="L50" s="492"/>
      <c r="M50" s="492"/>
      <c r="N50" s="493">
        <f t="shared" si="13"/>
        <v>0</v>
      </c>
      <c r="O50" s="492"/>
      <c r="P50" s="492"/>
      <c r="Q50" s="492"/>
      <c r="R50" s="492"/>
      <c r="S50" s="492"/>
      <c r="T50" s="492"/>
      <c r="U50" s="492"/>
      <c r="V50" s="492"/>
      <c r="W50" s="492"/>
      <c r="X50" s="492"/>
      <c r="Y50" s="492"/>
      <c r="Z50" s="492"/>
      <c r="AA50" s="493">
        <f t="shared" si="14"/>
        <v>0</v>
      </c>
      <c r="AB50" s="492"/>
      <c r="AC50" s="492"/>
      <c r="AD50" s="492"/>
      <c r="AE50" s="492"/>
      <c r="AF50" s="492"/>
      <c r="AG50" s="492"/>
      <c r="AH50" s="492"/>
      <c r="AI50" s="492"/>
      <c r="AJ50" s="492"/>
      <c r="AK50" s="492"/>
      <c r="AL50" s="492"/>
      <c r="AM50" s="492"/>
      <c r="AN50" s="493">
        <f t="shared" si="15"/>
        <v>0</v>
      </c>
      <c r="AO50" s="492"/>
      <c r="AP50" s="492"/>
      <c r="AQ50" s="492"/>
      <c r="AR50" s="492"/>
      <c r="AS50" s="492"/>
      <c r="AT50" s="492"/>
      <c r="AU50" s="492"/>
      <c r="AV50" s="492"/>
      <c r="AW50" s="492"/>
      <c r="AX50" s="492"/>
      <c r="AY50" s="492"/>
      <c r="AZ50" s="492"/>
      <c r="BA50" s="493">
        <f t="shared" si="16"/>
        <v>0</v>
      </c>
      <c r="BB50" s="492"/>
      <c r="BC50" s="492"/>
      <c r="BD50" s="492"/>
      <c r="BE50" s="492"/>
      <c r="BF50" s="492"/>
      <c r="BG50" s="492"/>
      <c r="BH50" s="492"/>
      <c r="BI50" s="492"/>
      <c r="BJ50" s="492"/>
      <c r="BK50" s="492"/>
      <c r="BL50" s="492"/>
      <c r="BM50" s="492"/>
      <c r="BN50" s="493">
        <f t="shared" si="17"/>
        <v>0</v>
      </c>
      <c r="BO50" s="492"/>
      <c r="BP50" s="492"/>
      <c r="BQ50" s="492"/>
      <c r="BR50" s="492"/>
      <c r="BS50" s="492"/>
      <c r="BT50" s="492"/>
      <c r="BU50" s="492"/>
      <c r="BV50" s="492"/>
      <c r="BW50" s="492"/>
      <c r="BX50" s="492"/>
      <c r="BY50" s="492"/>
      <c r="BZ50" s="492"/>
      <c r="CA50" s="493">
        <f t="shared" si="18"/>
        <v>0</v>
      </c>
      <c r="CB50" s="492"/>
      <c r="CC50" s="492"/>
      <c r="CD50" s="492"/>
      <c r="CE50" s="492"/>
      <c r="CF50" s="492"/>
      <c r="CG50" s="492"/>
      <c r="CH50" s="492"/>
      <c r="CI50" s="492"/>
      <c r="CJ50" s="492"/>
      <c r="CK50" s="492"/>
      <c r="CL50" s="492"/>
      <c r="CM50" s="492"/>
      <c r="CN50" s="493">
        <f t="shared" si="19"/>
        <v>0</v>
      </c>
      <c r="CO50" s="492"/>
      <c r="CP50" s="492"/>
      <c r="CQ50" s="492"/>
      <c r="CR50" s="492"/>
      <c r="CS50" s="492"/>
      <c r="CT50" s="492"/>
      <c r="CU50" s="492"/>
      <c r="CV50" s="492"/>
      <c r="CW50" s="492"/>
      <c r="CX50" s="492"/>
      <c r="CY50" s="492"/>
      <c r="CZ50" s="492"/>
      <c r="DA50" s="493">
        <f t="shared" si="20"/>
        <v>0</v>
      </c>
      <c r="DB50" s="492"/>
      <c r="DC50" s="492"/>
      <c r="DD50" s="492"/>
      <c r="DE50" s="492"/>
      <c r="DF50" s="492"/>
      <c r="DG50" s="492"/>
      <c r="DH50" s="492"/>
      <c r="DI50" s="492"/>
      <c r="DJ50" s="492"/>
      <c r="DK50" s="492"/>
      <c r="DL50" s="492"/>
      <c r="DM50" s="492"/>
      <c r="DN50" s="493">
        <f t="shared" si="21"/>
        <v>0</v>
      </c>
      <c r="DO50" s="492"/>
      <c r="DP50" s="492"/>
      <c r="DQ50" s="492"/>
      <c r="DR50" s="492"/>
      <c r="DS50" s="492"/>
      <c r="DT50" s="492"/>
      <c r="DU50" s="492"/>
      <c r="DV50" s="492"/>
      <c r="DW50" s="492"/>
      <c r="DX50" s="492"/>
      <c r="DY50" s="492"/>
      <c r="DZ50" s="492"/>
      <c r="EA50" s="493">
        <f t="shared" si="29"/>
        <v>0</v>
      </c>
      <c r="EB50" s="492"/>
      <c r="EC50" s="492"/>
      <c r="ED50" s="492"/>
      <c r="EE50" s="492"/>
      <c r="EF50" s="492"/>
      <c r="EG50" s="492"/>
      <c r="EH50" s="492"/>
      <c r="EI50" s="492"/>
      <c r="EJ50" s="492"/>
      <c r="EK50" s="492"/>
      <c r="EL50" s="492"/>
      <c r="EM50" s="492"/>
      <c r="EN50" s="493">
        <f t="shared" si="30"/>
        <v>0</v>
      </c>
      <c r="EO50" s="492"/>
      <c r="EP50" s="492"/>
      <c r="EQ50" s="492"/>
      <c r="ER50" s="492"/>
      <c r="ES50" s="492"/>
      <c r="ET50" s="492"/>
      <c r="EU50" s="492"/>
      <c r="EV50" s="492"/>
      <c r="EW50" s="492"/>
      <c r="EX50" s="492"/>
      <c r="EY50" s="492"/>
      <c r="EZ50" s="492"/>
      <c r="FA50" s="493">
        <f t="shared" si="22"/>
        <v>0</v>
      </c>
      <c r="FB50" s="590"/>
      <c r="FC50" s="595" t="str">
        <f t="shared" si="23"/>
        <v/>
      </c>
      <c r="FD50" s="596" t="str">
        <f t="shared" si="24"/>
        <v/>
      </c>
      <c r="FE50" s="498">
        <f t="shared" si="25"/>
        <v>0</v>
      </c>
      <c r="FF50" s="597">
        <f t="shared" si="26"/>
        <v>0</v>
      </c>
      <c r="FG50" s="509"/>
      <c r="FH50" s="551">
        <f t="shared" si="27"/>
        <v>0</v>
      </c>
      <c r="FI50" s="553" t="s">
        <v>642</v>
      </c>
      <c r="FJ50" s="554" t="str">
        <f t="shared" si="28"/>
        <v>OK</v>
      </c>
    </row>
    <row r="51" spans="1:166" s="470" customFormat="1" ht="15" customHeight="1" x14ac:dyDescent="0.25">
      <c r="A51" s="623" t="s">
        <v>645</v>
      </c>
      <c r="B51" s="492"/>
      <c r="C51" s="492"/>
      <c r="D51" s="492"/>
      <c r="E51" s="492"/>
      <c r="F51" s="492"/>
      <c r="G51" s="492"/>
      <c r="H51" s="492"/>
      <c r="I51" s="492"/>
      <c r="J51" s="492"/>
      <c r="K51" s="492"/>
      <c r="L51" s="492"/>
      <c r="M51" s="492"/>
      <c r="N51" s="493">
        <f t="shared" si="13"/>
        <v>0</v>
      </c>
      <c r="O51" s="492"/>
      <c r="P51" s="492"/>
      <c r="Q51" s="492"/>
      <c r="R51" s="492"/>
      <c r="S51" s="492"/>
      <c r="T51" s="492"/>
      <c r="U51" s="492"/>
      <c r="V51" s="492"/>
      <c r="W51" s="492"/>
      <c r="X51" s="492"/>
      <c r="Y51" s="492"/>
      <c r="Z51" s="492"/>
      <c r="AA51" s="493">
        <f t="shared" si="14"/>
        <v>0</v>
      </c>
      <c r="AB51" s="492"/>
      <c r="AC51" s="492"/>
      <c r="AD51" s="492"/>
      <c r="AE51" s="492"/>
      <c r="AF51" s="492"/>
      <c r="AG51" s="492"/>
      <c r="AH51" s="492"/>
      <c r="AI51" s="492"/>
      <c r="AJ51" s="492"/>
      <c r="AK51" s="492"/>
      <c r="AL51" s="492"/>
      <c r="AM51" s="492"/>
      <c r="AN51" s="493">
        <f t="shared" si="15"/>
        <v>0</v>
      </c>
      <c r="AO51" s="492"/>
      <c r="AP51" s="492"/>
      <c r="AQ51" s="492"/>
      <c r="AR51" s="492"/>
      <c r="AS51" s="492"/>
      <c r="AT51" s="492"/>
      <c r="AU51" s="492"/>
      <c r="AV51" s="492"/>
      <c r="AW51" s="492"/>
      <c r="AX51" s="492"/>
      <c r="AY51" s="492"/>
      <c r="AZ51" s="492"/>
      <c r="BA51" s="493">
        <f t="shared" si="16"/>
        <v>0</v>
      </c>
      <c r="BB51" s="492"/>
      <c r="BC51" s="492"/>
      <c r="BD51" s="492"/>
      <c r="BE51" s="492"/>
      <c r="BF51" s="492"/>
      <c r="BG51" s="492"/>
      <c r="BH51" s="492"/>
      <c r="BI51" s="492"/>
      <c r="BJ51" s="492"/>
      <c r="BK51" s="492"/>
      <c r="BL51" s="492"/>
      <c r="BM51" s="492"/>
      <c r="BN51" s="493">
        <f t="shared" si="17"/>
        <v>0</v>
      </c>
      <c r="BO51" s="492"/>
      <c r="BP51" s="492"/>
      <c r="BQ51" s="492"/>
      <c r="BR51" s="492"/>
      <c r="BS51" s="492"/>
      <c r="BT51" s="492"/>
      <c r="BU51" s="492"/>
      <c r="BV51" s="492"/>
      <c r="BW51" s="492"/>
      <c r="BX51" s="492"/>
      <c r="BY51" s="492"/>
      <c r="BZ51" s="492"/>
      <c r="CA51" s="493">
        <f t="shared" si="18"/>
        <v>0</v>
      </c>
      <c r="CB51" s="492"/>
      <c r="CC51" s="492"/>
      <c r="CD51" s="492"/>
      <c r="CE51" s="492"/>
      <c r="CF51" s="492"/>
      <c r="CG51" s="492"/>
      <c r="CH51" s="492"/>
      <c r="CI51" s="492"/>
      <c r="CJ51" s="492"/>
      <c r="CK51" s="492"/>
      <c r="CL51" s="492"/>
      <c r="CM51" s="492"/>
      <c r="CN51" s="493">
        <f t="shared" si="19"/>
        <v>0</v>
      </c>
      <c r="CO51" s="492"/>
      <c r="CP51" s="492"/>
      <c r="CQ51" s="492"/>
      <c r="CR51" s="492"/>
      <c r="CS51" s="492"/>
      <c r="CT51" s="492"/>
      <c r="CU51" s="492"/>
      <c r="CV51" s="492"/>
      <c r="CW51" s="492"/>
      <c r="CX51" s="492"/>
      <c r="CY51" s="492"/>
      <c r="CZ51" s="492"/>
      <c r="DA51" s="493">
        <f t="shared" si="20"/>
        <v>0</v>
      </c>
      <c r="DB51" s="492"/>
      <c r="DC51" s="492"/>
      <c r="DD51" s="492"/>
      <c r="DE51" s="492"/>
      <c r="DF51" s="492"/>
      <c r="DG51" s="492"/>
      <c r="DH51" s="492"/>
      <c r="DI51" s="492"/>
      <c r="DJ51" s="492"/>
      <c r="DK51" s="492"/>
      <c r="DL51" s="492"/>
      <c r="DM51" s="492"/>
      <c r="DN51" s="493">
        <f t="shared" si="21"/>
        <v>0</v>
      </c>
      <c r="DO51" s="492"/>
      <c r="DP51" s="492"/>
      <c r="DQ51" s="492"/>
      <c r="DR51" s="492"/>
      <c r="DS51" s="492"/>
      <c r="DT51" s="492"/>
      <c r="DU51" s="492"/>
      <c r="DV51" s="492"/>
      <c r="DW51" s="492"/>
      <c r="DX51" s="492"/>
      <c r="DY51" s="492"/>
      <c r="DZ51" s="492"/>
      <c r="EA51" s="493">
        <f t="shared" si="29"/>
        <v>0</v>
      </c>
      <c r="EB51" s="492"/>
      <c r="EC51" s="492"/>
      <c r="ED51" s="492"/>
      <c r="EE51" s="492"/>
      <c r="EF51" s="492"/>
      <c r="EG51" s="492"/>
      <c r="EH51" s="492"/>
      <c r="EI51" s="492"/>
      <c r="EJ51" s="492"/>
      <c r="EK51" s="492"/>
      <c r="EL51" s="492"/>
      <c r="EM51" s="492"/>
      <c r="EN51" s="493">
        <f t="shared" si="30"/>
        <v>0</v>
      </c>
      <c r="EO51" s="492"/>
      <c r="EP51" s="492"/>
      <c r="EQ51" s="492"/>
      <c r="ER51" s="492"/>
      <c r="ES51" s="492"/>
      <c r="ET51" s="492"/>
      <c r="EU51" s="492"/>
      <c r="EV51" s="492"/>
      <c r="EW51" s="492"/>
      <c r="EX51" s="492"/>
      <c r="EY51" s="492"/>
      <c r="EZ51" s="492"/>
      <c r="FA51" s="493">
        <f t="shared" si="22"/>
        <v>0</v>
      </c>
      <c r="FB51" s="590"/>
      <c r="FC51" s="595" t="str">
        <f t="shared" si="23"/>
        <v/>
      </c>
      <c r="FD51" s="596" t="str">
        <f t="shared" si="24"/>
        <v/>
      </c>
      <c r="FE51" s="498">
        <f t="shared" si="25"/>
        <v>0</v>
      </c>
      <c r="FF51" s="597">
        <f t="shared" si="26"/>
        <v>0</v>
      </c>
      <c r="FH51" s="551">
        <f t="shared" si="27"/>
        <v>0</v>
      </c>
      <c r="FI51" s="553" t="s">
        <v>645</v>
      </c>
      <c r="FJ51" s="554" t="str">
        <f t="shared" si="28"/>
        <v>OK</v>
      </c>
    </row>
    <row r="52" spans="1:166" s="470" customFormat="1" ht="15" customHeight="1" x14ac:dyDescent="0.25">
      <c r="A52" s="612"/>
      <c r="B52" s="613"/>
      <c r="C52" s="613"/>
      <c r="D52" s="613"/>
      <c r="E52" s="613"/>
      <c r="F52" s="613"/>
      <c r="G52" s="613"/>
      <c r="H52" s="613"/>
      <c r="I52" s="613"/>
      <c r="J52" s="613"/>
      <c r="K52" s="613"/>
      <c r="L52" s="613"/>
      <c r="M52" s="613"/>
      <c r="N52" s="577"/>
      <c r="O52" s="613"/>
      <c r="P52" s="613"/>
      <c r="Q52" s="613"/>
      <c r="R52" s="613"/>
      <c r="S52" s="613"/>
      <c r="T52" s="613"/>
      <c r="U52" s="613"/>
      <c r="V52" s="613"/>
      <c r="W52" s="613"/>
      <c r="X52" s="613"/>
      <c r="Y52" s="613"/>
      <c r="Z52" s="613"/>
      <c r="AA52" s="577"/>
      <c r="AB52" s="613"/>
      <c r="AC52" s="613"/>
      <c r="AD52" s="613"/>
      <c r="AE52" s="613"/>
      <c r="AF52" s="613"/>
      <c r="AG52" s="613"/>
      <c r="AH52" s="613"/>
      <c r="AI52" s="613"/>
      <c r="AJ52" s="613"/>
      <c r="AK52" s="613"/>
      <c r="AL52" s="613"/>
      <c r="AM52" s="613"/>
      <c r="AN52" s="577"/>
      <c r="AO52" s="613"/>
      <c r="AP52" s="613"/>
      <c r="AQ52" s="613"/>
      <c r="AR52" s="613"/>
      <c r="AS52" s="613"/>
      <c r="AT52" s="613"/>
      <c r="AU52" s="613"/>
      <c r="AV52" s="613"/>
      <c r="AW52" s="613"/>
      <c r="AX52" s="613"/>
      <c r="AY52" s="613"/>
      <c r="AZ52" s="613"/>
      <c r="BA52" s="577"/>
      <c r="BB52" s="613"/>
      <c r="BC52" s="613"/>
      <c r="BD52" s="613"/>
      <c r="BE52" s="613"/>
      <c r="BF52" s="613"/>
      <c r="BG52" s="613"/>
      <c r="BH52" s="613"/>
      <c r="BI52" s="613"/>
      <c r="BJ52" s="613"/>
      <c r="BK52" s="613"/>
      <c r="BL52" s="613"/>
      <c r="BM52" s="613"/>
      <c r="BN52" s="577"/>
      <c r="BO52" s="613"/>
      <c r="BP52" s="613"/>
      <c r="BQ52" s="613"/>
      <c r="BR52" s="613"/>
      <c r="BS52" s="613"/>
      <c r="BT52" s="613"/>
      <c r="BU52" s="613"/>
      <c r="BV52" s="613"/>
      <c r="BW52" s="613"/>
      <c r="BX52" s="613"/>
      <c r="BY52" s="613"/>
      <c r="BZ52" s="613"/>
      <c r="CA52" s="577"/>
      <c r="CB52" s="613"/>
      <c r="CC52" s="613"/>
      <c r="CD52" s="613"/>
      <c r="CE52" s="613"/>
      <c r="CF52" s="613"/>
      <c r="CG52" s="613"/>
      <c r="CH52" s="613"/>
      <c r="CI52" s="613"/>
      <c r="CJ52" s="613"/>
      <c r="CK52" s="613"/>
      <c r="CL52" s="613"/>
      <c r="CM52" s="613"/>
      <c r="CN52" s="577"/>
      <c r="CO52" s="613"/>
      <c r="CP52" s="613"/>
      <c r="CQ52" s="613"/>
      <c r="CR52" s="613"/>
      <c r="CS52" s="613"/>
      <c r="CT52" s="613"/>
      <c r="CU52" s="613"/>
      <c r="CV52" s="613"/>
      <c r="CW52" s="613"/>
      <c r="CX52" s="613"/>
      <c r="CY52" s="613"/>
      <c r="CZ52" s="613"/>
      <c r="DA52" s="577"/>
      <c r="DB52" s="613"/>
      <c r="DC52" s="613"/>
      <c r="DD52" s="613"/>
      <c r="DE52" s="613"/>
      <c r="DF52" s="613"/>
      <c r="DG52" s="613"/>
      <c r="DH52" s="613"/>
      <c r="DI52" s="613"/>
      <c r="DJ52" s="613"/>
      <c r="DK52" s="613"/>
      <c r="DL52" s="613"/>
      <c r="DM52" s="613"/>
      <c r="DN52" s="577"/>
      <c r="DO52" s="613"/>
      <c r="DP52" s="613"/>
      <c r="DQ52" s="613"/>
      <c r="DR52" s="613"/>
      <c r="DS52" s="613"/>
      <c r="DT52" s="613"/>
      <c r="DU52" s="613"/>
      <c r="DV52" s="613"/>
      <c r="DW52" s="613"/>
      <c r="DX52" s="613"/>
      <c r="DY52" s="613"/>
      <c r="DZ52" s="613"/>
      <c r="EA52" s="577"/>
      <c r="EB52" s="613"/>
      <c r="EC52" s="613"/>
      <c r="ED52" s="613"/>
      <c r="EE52" s="613"/>
      <c r="EF52" s="613"/>
      <c r="EG52" s="613"/>
      <c r="EH52" s="613"/>
      <c r="EI52" s="613"/>
      <c r="EJ52" s="613"/>
      <c r="EK52" s="613"/>
      <c r="EL52" s="613"/>
      <c r="EM52" s="613"/>
      <c r="EN52" s="577"/>
      <c r="EO52" s="613"/>
      <c r="EP52" s="613"/>
      <c r="EQ52" s="613"/>
      <c r="ER52" s="613"/>
      <c r="ES52" s="613"/>
      <c r="ET52" s="613"/>
      <c r="EU52" s="613"/>
      <c r="EV52" s="613"/>
      <c r="EW52" s="613"/>
      <c r="EX52" s="613"/>
      <c r="EY52" s="613"/>
      <c r="EZ52" s="613"/>
      <c r="FA52" s="577"/>
      <c r="FB52" s="590"/>
      <c r="FC52" s="614"/>
      <c r="FD52" s="615"/>
      <c r="FE52" s="616"/>
      <c r="FF52" s="617"/>
      <c r="FH52" s="618"/>
      <c r="FI52" s="619"/>
      <c r="FJ52" s="620"/>
    </row>
    <row r="53" spans="1:166" s="470" customFormat="1" ht="15" customHeight="1" x14ac:dyDescent="0.25">
      <c r="A53" s="587" t="s">
        <v>189</v>
      </c>
      <c r="B53" s="621"/>
      <c r="C53" s="621"/>
      <c r="D53" s="621"/>
      <c r="E53" s="621"/>
      <c r="F53" s="621"/>
      <c r="G53" s="621"/>
      <c r="H53" s="621"/>
      <c r="I53" s="621"/>
      <c r="J53" s="621"/>
      <c r="K53" s="621"/>
      <c r="L53" s="621"/>
      <c r="M53" s="621"/>
      <c r="N53" s="621"/>
      <c r="O53" s="621"/>
      <c r="P53" s="621"/>
      <c r="Q53" s="621"/>
      <c r="R53" s="621"/>
      <c r="S53" s="621"/>
      <c r="T53" s="621"/>
      <c r="U53" s="621"/>
      <c r="V53" s="621"/>
      <c r="W53" s="621"/>
      <c r="X53" s="621"/>
      <c r="Y53" s="621"/>
      <c r="Z53" s="621"/>
      <c r="AA53" s="621"/>
      <c r="AB53" s="621"/>
      <c r="AC53" s="621"/>
      <c r="AD53" s="621"/>
      <c r="AE53" s="621"/>
      <c r="AF53" s="621"/>
      <c r="AG53" s="621"/>
      <c r="AH53" s="621"/>
      <c r="AI53" s="621"/>
      <c r="AJ53" s="621"/>
      <c r="AK53" s="621"/>
      <c r="AL53" s="621"/>
      <c r="AM53" s="621"/>
      <c r="AN53" s="621"/>
      <c r="AO53" s="621"/>
      <c r="AP53" s="621"/>
      <c r="AQ53" s="621"/>
      <c r="AR53" s="621"/>
      <c r="AS53" s="621"/>
      <c r="AT53" s="621"/>
      <c r="AU53" s="621"/>
      <c r="AV53" s="621"/>
      <c r="AW53" s="621"/>
      <c r="AX53" s="621"/>
      <c r="AY53" s="621"/>
      <c r="AZ53" s="621"/>
      <c r="BA53" s="621"/>
      <c r="BB53" s="621"/>
      <c r="BC53" s="621"/>
      <c r="BD53" s="621"/>
      <c r="BE53" s="621"/>
      <c r="BF53" s="621"/>
      <c r="BG53" s="621"/>
      <c r="BH53" s="621"/>
      <c r="BI53" s="621"/>
      <c r="BJ53" s="621"/>
      <c r="BK53" s="621"/>
      <c r="BL53" s="621"/>
      <c r="BM53" s="621"/>
      <c r="BN53" s="621"/>
      <c r="BO53" s="621"/>
      <c r="BP53" s="621"/>
      <c r="BQ53" s="621"/>
      <c r="BR53" s="621"/>
      <c r="BS53" s="621"/>
      <c r="BT53" s="621"/>
      <c r="BU53" s="621"/>
      <c r="BV53" s="621"/>
      <c r="BW53" s="621"/>
      <c r="BX53" s="621"/>
      <c r="BY53" s="621"/>
      <c r="BZ53" s="621"/>
      <c r="CA53" s="621"/>
      <c r="CB53" s="621"/>
      <c r="CC53" s="621"/>
      <c r="CD53" s="621"/>
      <c r="CE53" s="621"/>
      <c r="CF53" s="621"/>
      <c r="CG53" s="621"/>
      <c r="CH53" s="621"/>
      <c r="CI53" s="621"/>
      <c r="CJ53" s="621"/>
      <c r="CK53" s="621"/>
      <c r="CL53" s="621"/>
      <c r="CM53" s="621"/>
      <c r="CN53" s="621"/>
      <c r="CO53" s="621"/>
      <c r="CP53" s="621"/>
      <c r="CQ53" s="621"/>
      <c r="CR53" s="621"/>
      <c r="CS53" s="621"/>
      <c r="CT53" s="621"/>
      <c r="CU53" s="621"/>
      <c r="CV53" s="621"/>
      <c r="CW53" s="621"/>
      <c r="CX53" s="621"/>
      <c r="CY53" s="621"/>
      <c r="CZ53" s="621"/>
      <c r="DA53" s="621"/>
      <c r="DB53" s="621"/>
      <c r="DC53" s="621"/>
      <c r="DD53" s="621"/>
      <c r="DE53" s="621"/>
      <c r="DF53" s="621"/>
      <c r="DG53" s="621"/>
      <c r="DH53" s="621"/>
      <c r="DI53" s="621"/>
      <c r="DJ53" s="621"/>
      <c r="DK53" s="621"/>
      <c r="DL53" s="621"/>
      <c r="DM53" s="621"/>
      <c r="DN53" s="621"/>
      <c r="DO53" s="621"/>
      <c r="DP53" s="621"/>
      <c r="DQ53" s="621"/>
      <c r="DR53" s="621"/>
      <c r="DS53" s="621"/>
      <c r="DT53" s="621"/>
      <c r="DU53" s="621"/>
      <c r="DV53" s="621"/>
      <c r="DW53" s="621"/>
      <c r="DX53" s="621"/>
      <c r="DY53" s="621"/>
      <c r="DZ53" s="621"/>
      <c r="EA53" s="621"/>
      <c r="EB53" s="621"/>
      <c r="EC53" s="621"/>
      <c r="ED53" s="621"/>
      <c r="EE53" s="621"/>
      <c r="EF53" s="621"/>
      <c r="EG53" s="621"/>
      <c r="EH53" s="621"/>
      <c r="EI53" s="621"/>
      <c r="EJ53" s="621"/>
      <c r="EK53" s="621"/>
      <c r="EL53" s="621"/>
      <c r="EM53" s="621"/>
      <c r="EN53" s="621"/>
      <c r="EO53" s="621"/>
      <c r="EP53" s="621"/>
      <c r="EQ53" s="621"/>
      <c r="ER53" s="621"/>
      <c r="ES53" s="621"/>
      <c r="ET53" s="621"/>
      <c r="EU53" s="621"/>
      <c r="EV53" s="621"/>
      <c r="EW53" s="621"/>
      <c r="EX53" s="621"/>
      <c r="EY53" s="621"/>
      <c r="EZ53" s="621"/>
      <c r="FA53" s="621"/>
      <c r="FB53" s="590"/>
      <c r="FE53" s="622"/>
      <c r="FF53" s="622"/>
    </row>
    <row r="54" spans="1:166" s="470" customFormat="1" ht="15" customHeight="1" x14ac:dyDescent="0.25">
      <c r="A54" s="587" t="s">
        <v>162</v>
      </c>
      <c r="FB54" s="590"/>
      <c r="FE54" s="622"/>
      <c r="FF54" s="622"/>
    </row>
    <row r="55" spans="1:166" s="470" customFormat="1" ht="15" customHeight="1" x14ac:dyDescent="0.25">
      <c r="A55" s="587" t="s">
        <v>633</v>
      </c>
      <c r="FB55" s="590"/>
      <c r="FE55" s="622"/>
      <c r="FF55" s="622"/>
    </row>
  </sheetData>
  <sortState xmlns:xlrd2="http://schemas.microsoft.com/office/spreadsheetml/2017/richdata2" ref="A11:FJ51">
    <sortCondition sortBy="cellColor" ref="A11:A51" dxfId="14"/>
    <sortCondition ref="A11:A51"/>
  </sortState>
  <conditionalFormatting sqref="A1:A1048576">
    <cfRule type="duplicateValues" dxfId="8" priority="1"/>
  </conditionalFormatting>
  <printOptions horizontalCentered="1" verticalCentered="1"/>
  <pageMargins left="0.74803149606299213" right="0.74803149606299213" top="0.39370078740157483" bottom="0.43307086614173229" header="0" footer="0"/>
  <pageSetup paperSize="9" scale="10" orientation="landscape" r:id="rId1"/>
  <headerFooter alignWithMargins="0"/>
  <colBreaks count="1" manualBreakCount="1">
    <brk id="143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FW44"/>
  <sheetViews>
    <sheetView showGridLines="0" view="pageBreakPreview" zoomScaleSheetLayoutView="100" workbookViewId="0">
      <pane xSplit="1" topLeftCell="FA1" activePane="topRight" state="frozen"/>
      <selection activeCell="DO55" sqref="DO55:EP55"/>
      <selection pane="topRight" activeCell="A3" sqref="A3"/>
    </sheetView>
  </sheetViews>
  <sheetFormatPr baseColWidth="10" defaultColWidth="9.7109375" defaultRowHeight="15" customHeight="1" x14ac:dyDescent="0.25"/>
  <cols>
    <col min="1" max="1" width="20.7109375" style="624" customWidth="1"/>
    <col min="2" max="170" width="9.7109375" style="624"/>
    <col min="171" max="171" width="9.7109375" customWidth="1"/>
    <col min="172" max="177" width="9.7109375" style="624"/>
    <col min="178" max="178" width="16.85546875" style="624" bestFit="1" customWidth="1"/>
    <col min="179" max="16384" width="9.7109375" style="624"/>
  </cols>
  <sheetData>
    <row r="1" spans="1:179" ht="15" customHeight="1" x14ac:dyDescent="0.25">
      <c r="A1" s="469" t="s">
        <v>228</v>
      </c>
      <c r="FU1"/>
      <c r="FV1"/>
      <c r="FW1"/>
    </row>
    <row r="2" spans="1:179" ht="15" customHeight="1" x14ac:dyDescent="0.25">
      <c r="A2" s="469" t="s">
        <v>606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FU2"/>
      <c r="FV2"/>
      <c r="FW2"/>
    </row>
    <row r="3" spans="1:179" ht="15" customHeight="1" x14ac:dyDescent="0.25">
      <c r="A3" s="777" t="s">
        <v>90</v>
      </c>
      <c r="FP3" s="626"/>
      <c r="FU3"/>
      <c r="FV3"/>
      <c r="FW3"/>
    </row>
    <row r="4" spans="1:179" ht="15" customHeight="1" x14ac:dyDescent="0.25">
      <c r="A4" s="627"/>
      <c r="B4" s="474" t="str">
        <f t="shared" ref="B4" si="0">CONCATENATE("CAMPAÑA ",(YEAR(B5)),"-",(YEAR(M5)))</f>
        <v>CAMPAÑA 2013-2014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474" t="str">
        <f t="shared" ref="O4" si="1">CONCATENATE("CAMPAÑA ",(YEAR(O5)),"-",(YEAR(Z5)))</f>
        <v>CAMPAÑA 2014-2015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474" t="str">
        <f t="shared" ref="AB4" si="2">CONCATENATE("CAMPAÑA ",(YEAR(AB5)),"-",(YEAR(AM5)))</f>
        <v>CAMPAÑA 2015-2016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474" t="str">
        <f t="shared" ref="AO4" si="3">CONCATENATE("CAMPAÑA ",(YEAR(AO5)),"-",(YEAR(AZ5)))</f>
        <v>CAMPAÑA 2016-2017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474" t="str">
        <f t="shared" ref="BB4" si="4">CONCATENATE("CAMPAÑA ",(YEAR(BB5)),"-",(YEAR(BM5)))</f>
        <v>CAMPAÑA 2017-2018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474" t="str">
        <f t="shared" ref="BO4" si="5">CONCATENATE("CAMPAÑA ",(YEAR(BO5)),"-",(YEAR(BZ5)))</f>
        <v>CAMPAÑA 2018-2019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474" t="str">
        <f t="shared" ref="CB4" si="6">CONCATENATE("CAMPAÑA ",(YEAR(CB5)),"-",(YEAR(CM5)))</f>
        <v>CAMPAÑA 2019-2020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474" t="str">
        <f t="shared" ref="CO4" si="7">CONCATENATE("CAMPAÑA ",(YEAR(CO5)),"-",(YEAR(CZ5)))</f>
        <v>CAMPAÑA 2020-2021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474" t="str">
        <f t="shared" ref="DB4" si="8">CONCATENATE("CAMPAÑA ",(YEAR(DB5)),"-",(YEAR(DM5)))</f>
        <v>CAMPAÑA 2021-2022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474" t="str">
        <f t="shared" ref="DO4" si="9">CONCATENATE("CAMPAÑA ",(YEAR(DO5)),"-",(YEAR(DZ5)))</f>
        <v>CAMPAÑA 2022-2023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474" t="str">
        <f t="shared" ref="EB4" si="10">CONCATENATE("CAMPAÑA ",(YEAR(EB5)),"-",(YEAR(EM5)))</f>
        <v>CAMPAÑA 2023-2024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 t="str">
        <f t="shared" ref="EO4" si="11">CONCATENATE("CAMPAÑA ",(YEAR(EO5)),"-",(YEAR(EZ5)))</f>
        <v>CAMPAÑA 2024-2025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B4" s="474" t="str">
        <f>CONCATENATE("CAMPAÑA ",(YEAR(FB5)),"-",(YEAR(FM5)))</f>
        <v>CAMPAÑA 2025-2026</v>
      </c>
      <c r="FC4" s="474"/>
      <c r="FD4" s="474"/>
      <c r="FE4" s="474"/>
      <c r="FF4" s="474"/>
      <c r="FG4" s="474"/>
      <c r="FH4" s="474"/>
      <c r="FI4" s="474"/>
      <c r="FJ4" s="474"/>
      <c r="FK4" s="474"/>
      <c r="FL4" s="474"/>
      <c r="FM4" s="474"/>
      <c r="FN4" s="475" t="s">
        <v>83</v>
      </c>
      <c r="FO4" s="628"/>
      <c r="FP4" s="476" t="str">
        <f>CONCATENATE("Var.% ",YEAR(FP5),"/",YEAR(FP5)-1)</f>
        <v>Var.% 2025/2024</v>
      </c>
      <c r="FQ4" s="477"/>
      <c r="FR4" s="478">
        <f>FS4-1</f>
        <v>2024</v>
      </c>
      <c r="FS4" s="478">
        <f>YEAR(FP5)</f>
        <v>2025</v>
      </c>
      <c r="FU4" s="479" t="s">
        <v>620</v>
      </c>
      <c r="FV4" s="480"/>
      <c r="FW4" s="481"/>
    </row>
    <row r="5" spans="1:179" ht="15" customHeight="1" x14ac:dyDescent="0.25">
      <c r="A5" s="629"/>
      <c r="B5" s="483">
        <v>41487</v>
      </c>
      <c r="C5" s="483">
        <v>41518</v>
      </c>
      <c r="D5" s="483">
        <v>41548</v>
      </c>
      <c r="E5" s="483">
        <v>41579</v>
      </c>
      <c r="F5" s="483">
        <v>41609</v>
      </c>
      <c r="G5" s="483">
        <v>41640</v>
      </c>
      <c r="H5" s="483">
        <v>41671</v>
      </c>
      <c r="I5" s="483">
        <v>41699</v>
      </c>
      <c r="J5" s="483">
        <v>41730</v>
      </c>
      <c r="K5" s="483">
        <v>41760</v>
      </c>
      <c r="L5" s="483">
        <v>41791</v>
      </c>
      <c r="M5" s="483">
        <v>41821</v>
      </c>
      <c r="N5" s="484">
        <f>YEAR(M5)</f>
        <v>2014</v>
      </c>
      <c r="O5" s="483">
        <v>41852</v>
      </c>
      <c r="P5" s="483">
        <v>41883</v>
      </c>
      <c r="Q5" s="483">
        <v>41913</v>
      </c>
      <c r="R5" s="483">
        <v>41944</v>
      </c>
      <c r="S5" s="483">
        <v>41974</v>
      </c>
      <c r="T5" s="483">
        <v>42005</v>
      </c>
      <c r="U5" s="483">
        <v>42036</v>
      </c>
      <c r="V5" s="483">
        <v>42064</v>
      </c>
      <c r="W5" s="483">
        <v>42095</v>
      </c>
      <c r="X5" s="483">
        <v>42125</v>
      </c>
      <c r="Y5" s="483">
        <v>42156</v>
      </c>
      <c r="Z5" s="483">
        <v>42186</v>
      </c>
      <c r="AA5" s="484">
        <f>YEAR(Z5)</f>
        <v>2015</v>
      </c>
      <c r="AB5" s="483">
        <v>42217</v>
      </c>
      <c r="AC5" s="483">
        <v>42248</v>
      </c>
      <c r="AD5" s="483">
        <v>42278</v>
      </c>
      <c r="AE5" s="483">
        <v>42309</v>
      </c>
      <c r="AF5" s="483">
        <v>42339</v>
      </c>
      <c r="AG5" s="483">
        <v>42370</v>
      </c>
      <c r="AH5" s="483">
        <v>42401</v>
      </c>
      <c r="AI5" s="483">
        <v>42430</v>
      </c>
      <c r="AJ5" s="483">
        <v>42461</v>
      </c>
      <c r="AK5" s="483">
        <v>42491</v>
      </c>
      <c r="AL5" s="483">
        <v>42522</v>
      </c>
      <c r="AM5" s="483">
        <v>42552</v>
      </c>
      <c r="AN5" s="484">
        <f>YEAR(AM5)</f>
        <v>2016</v>
      </c>
      <c r="AO5" s="483">
        <v>42583</v>
      </c>
      <c r="AP5" s="483">
        <v>42614</v>
      </c>
      <c r="AQ5" s="483">
        <v>42644</v>
      </c>
      <c r="AR5" s="483">
        <v>42675</v>
      </c>
      <c r="AS5" s="483">
        <v>42705</v>
      </c>
      <c r="AT5" s="483">
        <v>42736</v>
      </c>
      <c r="AU5" s="483">
        <v>42767</v>
      </c>
      <c r="AV5" s="483">
        <v>42795</v>
      </c>
      <c r="AW5" s="483">
        <v>42826</v>
      </c>
      <c r="AX5" s="483">
        <v>42856</v>
      </c>
      <c r="AY5" s="483">
        <v>42887</v>
      </c>
      <c r="AZ5" s="483">
        <v>42917</v>
      </c>
      <c r="BA5" s="484">
        <f>YEAR(AZ5)</f>
        <v>2017</v>
      </c>
      <c r="BB5" s="483">
        <v>42948</v>
      </c>
      <c r="BC5" s="483">
        <v>42979</v>
      </c>
      <c r="BD5" s="483">
        <v>43009</v>
      </c>
      <c r="BE5" s="483">
        <v>43040</v>
      </c>
      <c r="BF5" s="483">
        <v>43070</v>
      </c>
      <c r="BG5" s="483">
        <v>43101</v>
      </c>
      <c r="BH5" s="483">
        <v>43132</v>
      </c>
      <c r="BI5" s="483">
        <v>43160</v>
      </c>
      <c r="BJ5" s="483">
        <v>43191</v>
      </c>
      <c r="BK5" s="483">
        <v>43221</v>
      </c>
      <c r="BL5" s="483">
        <v>43252</v>
      </c>
      <c r="BM5" s="483">
        <v>43282</v>
      </c>
      <c r="BN5" s="484">
        <f>YEAR(BM5)</f>
        <v>2018</v>
      </c>
      <c r="BO5" s="483">
        <v>43313</v>
      </c>
      <c r="BP5" s="483">
        <v>43344</v>
      </c>
      <c r="BQ5" s="483">
        <v>43374</v>
      </c>
      <c r="BR5" s="483">
        <v>43405</v>
      </c>
      <c r="BS5" s="483">
        <v>43435</v>
      </c>
      <c r="BT5" s="483">
        <v>43466</v>
      </c>
      <c r="BU5" s="483">
        <v>43497</v>
      </c>
      <c r="BV5" s="483">
        <v>43525</v>
      </c>
      <c r="BW5" s="483">
        <v>43556</v>
      </c>
      <c r="BX5" s="483">
        <v>43586</v>
      </c>
      <c r="BY5" s="483">
        <v>43617</v>
      </c>
      <c r="BZ5" s="483">
        <v>43647</v>
      </c>
      <c r="CA5" s="484">
        <f>YEAR(BZ5)</f>
        <v>2019</v>
      </c>
      <c r="CB5" s="483">
        <v>43678</v>
      </c>
      <c r="CC5" s="483">
        <v>43709</v>
      </c>
      <c r="CD5" s="483">
        <v>43739</v>
      </c>
      <c r="CE5" s="483">
        <v>43770</v>
      </c>
      <c r="CF5" s="483">
        <v>43800</v>
      </c>
      <c r="CG5" s="483">
        <v>43831</v>
      </c>
      <c r="CH5" s="483">
        <v>43862</v>
      </c>
      <c r="CI5" s="483">
        <v>43891</v>
      </c>
      <c r="CJ5" s="483">
        <v>43922</v>
      </c>
      <c r="CK5" s="483">
        <v>43952</v>
      </c>
      <c r="CL5" s="483">
        <v>43983</v>
      </c>
      <c r="CM5" s="483">
        <v>44013</v>
      </c>
      <c r="CN5" s="484">
        <f>YEAR(CM5)</f>
        <v>2020</v>
      </c>
      <c r="CO5" s="483">
        <v>44044</v>
      </c>
      <c r="CP5" s="483">
        <v>44075</v>
      </c>
      <c r="CQ5" s="483">
        <v>44105</v>
      </c>
      <c r="CR5" s="483">
        <v>44136</v>
      </c>
      <c r="CS5" s="483">
        <v>44166</v>
      </c>
      <c r="CT5" s="483">
        <v>44197</v>
      </c>
      <c r="CU5" s="483">
        <v>44228</v>
      </c>
      <c r="CV5" s="483">
        <v>44256</v>
      </c>
      <c r="CW5" s="483">
        <v>44287</v>
      </c>
      <c r="CX5" s="483">
        <v>44317</v>
      </c>
      <c r="CY5" s="483">
        <v>44348</v>
      </c>
      <c r="CZ5" s="483">
        <v>44378</v>
      </c>
      <c r="DA5" s="484">
        <f>YEAR(CZ5)</f>
        <v>2021</v>
      </c>
      <c r="DB5" s="483">
        <v>44409</v>
      </c>
      <c r="DC5" s="483">
        <v>44440</v>
      </c>
      <c r="DD5" s="483">
        <v>44470</v>
      </c>
      <c r="DE5" s="483">
        <v>44501</v>
      </c>
      <c r="DF5" s="483">
        <v>44531</v>
      </c>
      <c r="DG5" s="483">
        <v>44562</v>
      </c>
      <c r="DH5" s="483">
        <v>44593</v>
      </c>
      <c r="DI5" s="483">
        <v>44621</v>
      </c>
      <c r="DJ5" s="483">
        <v>44652</v>
      </c>
      <c r="DK5" s="483">
        <v>44682</v>
      </c>
      <c r="DL5" s="483">
        <v>44713</v>
      </c>
      <c r="DM5" s="483">
        <v>44743</v>
      </c>
      <c r="DN5" s="484">
        <f>YEAR(DM5)</f>
        <v>2022</v>
      </c>
      <c r="DO5" s="483">
        <v>44774</v>
      </c>
      <c r="DP5" s="483">
        <v>44805</v>
      </c>
      <c r="DQ5" s="483">
        <v>44835</v>
      </c>
      <c r="DR5" s="483">
        <v>44866</v>
      </c>
      <c r="DS5" s="483">
        <v>44896</v>
      </c>
      <c r="DT5" s="483">
        <v>44927</v>
      </c>
      <c r="DU5" s="483">
        <v>44958</v>
      </c>
      <c r="DV5" s="483">
        <v>44986</v>
      </c>
      <c r="DW5" s="483">
        <v>45017</v>
      </c>
      <c r="DX5" s="483">
        <v>45047</v>
      </c>
      <c r="DY5" s="483">
        <v>45078</v>
      </c>
      <c r="DZ5" s="483">
        <v>45108</v>
      </c>
      <c r="EA5" s="484">
        <f>YEAR(DZ5)</f>
        <v>2023</v>
      </c>
      <c r="EB5" s="483">
        <v>45139</v>
      </c>
      <c r="EC5" s="483">
        <v>45170</v>
      </c>
      <c r="ED5" s="483">
        <v>45200</v>
      </c>
      <c r="EE5" s="483">
        <v>45231</v>
      </c>
      <c r="EF5" s="483">
        <v>45261</v>
      </c>
      <c r="EG5" s="483">
        <v>45292</v>
      </c>
      <c r="EH5" s="483">
        <v>45323</v>
      </c>
      <c r="EI5" s="483">
        <v>45352</v>
      </c>
      <c r="EJ5" s="483">
        <v>45383</v>
      </c>
      <c r="EK5" s="483">
        <v>45413</v>
      </c>
      <c r="EL5" s="483">
        <v>45444</v>
      </c>
      <c r="EM5" s="483">
        <v>45474</v>
      </c>
      <c r="EN5" s="484">
        <f>YEAR(EM5)</f>
        <v>2024</v>
      </c>
      <c r="EO5" s="483">
        <v>45505</v>
      </c>
      <c r="EP5" s="483">
        <v>45536</v>
      </c>
      <c r="EQ5" s="483">
        <v>45566</v>
      </c>
      <c r="ER5" s="483">
        <v>45597</v>
      </c>
      <c r="ES5" s="483">
        <v>45627</v>
      </c>
      <c r="ET5" s="483">
        <v>45658</v>
      </c>
      <c r="EU5" s="483">
        <v>45689</v>
      </c>
      <c r="EV5" s="483">
        <v>45717</v>
      </c>
      <c r="EW5" s="483">
        <v>45748</v>
      </c>
      <c r="EX5" s="483">
        <v>45778</v>
      </c>
      <c r="EY5" s="483">
        <v>45809</v>
      </c>
      <c r="EZ5" s="483">
        <v>45839</v>
      </c>
      <c r="FA5" s="484">
        <f>YEAR(EZ5)</f>
        <v>2025</v>
      </c>
      <c r="FB5" s="483">
        <v>45870</v>
      </c>
      <c r="FC5" s="483">
        <v>45901</v>
      </c>
      <c r="FD5" s="483">
        <v>45931</v>
      </c>
      <c r="FE5" s="483">
        <v>45962</v>
      </c>
      <c r="FF5" s="483">
        <v>45992</v>
      </c>
      <c r="FG5" s="483">
        <v>46023</v>
      </c>
      <c r="FH5" s="483">
        <v>46054</v>
      </c>
      <c r="FI5" s="483">
        <v>46082</v>
      </c>
      <c r="FJ5" s="483">
        <v>46113</v>
      </c>
      <c r="FK5" s="483">
        <v>46143</v>
      </c>
      <c r="FL5" s="483">
        <v>46174</v>
      </c>
      <c r="FM5" s="483">
        <v>46204</v>
      </c>
      <c r="FN5" s="484">
        <f>YEAR(FM5)</f>
        <v>2026</v>
      </c>
      <c r="FO5" s="628"/>
      <c r="FP5" s="485">
        <f>FE5</f>
        <v>45962</v>
      </c>
      <c r="FQ5" s="486" t="str">
        <f>CONCATENATE("Ago.-",TEXT(FP5,"MMM."))</f>
        <v>Ago.-Nov.</v>
      </c>
      <c r="FR5" s="487" t="str">
        <f>FQ5</f>
        <v>Ago.-Nov.</v>
      </c>
      <c r="FS5" s="487" t="str">
        <f>FQ5</f>
        <v>Ago.-Nov.</v>
      </c>
      <c r="FU5" s="488" t="s">
        <v>621</v>
      </c>
      <c r="FV5" s="489"/>
      <c r="FW5" s="490"/>
    </row>
    <row r="6" spans="1:179" ht="15" customHeight="1" x14ac:dyDescent="0.25">
      <c r="A6" s="630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492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492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492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B6" s="492"/>
      <c r="FC6" s="492"/>
      <c r="FD6" s="492"/>
      <c r="FE6" s="492"/>
      <c r="FF6" s="492"/>
      <c r="FG6" s="492"/>
      <c r="FH6" s="492"/>
      <c r="FI6" s="492"/>
      <c r="FJ6" s="492"/>
      <c r="FK6" s="492"/>
      <c r="FL6" s="492"/>
      <c r="FM6" s="492"/>
      <c r="FN6" s="493"/>
      <c r="FO6" s="631"/>
      <c r="FP6" s="494"/>
      <c r="FQ6" s="495"/>
      <c r="FR6" s="496"/>
      <c r="FS6" s="497"/>
      <c r="FU6" s="498"/>
      <c r="FV6" s="499"/>
      <c r="FW6" s="500"/>
    </row>
    <row r="7" spans="1:179" ht="15" customHeight="1" x14ac:dyDescent="0.25">
      <c r="A7" s="602" t="s">
        <v>163</v>
      </c>
      <c r="B7" s="541">
        <f t="shared" ref="B7:M7" si="12">SUM(B9:B34)</f>
        <v>3218</v>
      </c>
      <c r="C7" s="541">
        <f t="shared" si="12"/>
        <v>3989</v>
      </c>
      <c r="D7" s="541">
        <f t="shared" si="12"/>
        <v>4339</v>
      </c>
      <c r="E7" s="541">
        <f t="shared" si="12"/>
        <v>4213</v>
      </c>
      <c r="F7" s="541">
        <f t="shared" si="12"/>
        <v>4952</v>
      </c>
      <c r="G7" s="541">
        <f t="shared" si="12"/>
        <v>3532</v>
      </c>
      <c r="H7" s="541">
        <f t="shared" si="12"/>
        <v>2465</v>
      </c>
      <c r="I7" s="541">
        <f t="shared" si="12"/>
        <v>2665</v>
      </c>
      <c r="J7" s="541">
        <f t="shared" si="12"/>
        <v>6933</v>
      </c>
      <c r="K7" s="541">
        <f t="shared" si="12"/>
        <v>7944</v>
      </c>
      <c r="L7" s="541">
        <f t="shared" si="12"/>
        <v>4956</v>
      </c>
      <c r="M7" s="541">
        <f t="shared" si="12"/>
        <v>3198</v>
      </c>
      <c r="N7" s="542">
        <f>SUM(B7:M7)</f>
        <v>52404</v>
      </c>
      <c r="O7" s="541">
        <f t="shared" ref="O7:Z7" si="13">SUM(O9:O34)</f>
        <v>4169</v>
      </c>
      <c r="P7" s="541">
        <f t="shared" si="13"/>
        <v>5356</v>
      </c>
      <c r="Q7" s="541">
        <f t="shared" si="13"/>
        <v>4417</v>
      </c>
      <c r="R7" s="541">
        <f t="shared" si="13"/>
        <v>3515</v>
      </c>
      <c r="S7" s="541">
        <f t="shared" si="13"/>
        <v>3618</v>
      </c>
      <c r="T7" s="541">
        <f t="shared" si="13"/>
        <v>3334</v>
      </c>
      <c r="U7" s="541">
        <f t="shared" si="13"/>
        <v>2836</v>
      </c>
      <c r="V7" s="541">
        <f t="shared" si="13"/>
        <v>1826</v>
      </c>
      <c r="W7" s="541">
        <f t="shared" si="13"/>
        <v>2803</v>
      </c>
      <c r="X7" s="541">
        <f t="shared" si="13"/>
        <v>4660</v>
      </c>
      <c r="Y7" s="541">
        <f t="shared" si="13"/>
        <v>5049</v>
      </c>
      <c r="Z7" s="541">
        <f t="shared" si="13"/>
        <v>4778</v>
      </c>
      <c r="AA7" s="542">
        <f>SUM(O7:Z7)</f>
        <v>46361</v>
      </c>
      <c r="AB7" s="541">
        <f t="shared" ref="AB7:AM7" si="14">SUM(AB9:AB34)</f>
        <v>4560</v>
      </c>
      <c r="AC7" s="541">
        <f t="shared" si="14"/>
        <v>5166</v>
      </c>
      <c r="AD7" s="541">
        <f t="shared" si="14"/>
        <v>4158</v>
      </c>
      <c r="AE7" s="541">
        <f t="shared" si="14"/>
        <v>3187</v>
      </c>
      <c r="AF7" s="541">
        <f t="shared" si="14"/>
        <v>2598</v>
      </c>
      <c r="AG7" s="541">
        <f t="shared" si="14"/>
        <v>1673</v>
      </c>
      <c r="AH7" s="541">
        <f t="shared" si="14"/>
        <v>2008</v>
      </c>
      <c r="AI7" s="541">
        <f t="shared" si="14"/>
        <v>1124</v>
      </c>
      <c r="AJ7" s="541">
        <f t="shared" si="14"/>
        <v>2609</v>
      </c>
      <c r="AK7" s="541">
        <f t="shared" si="14"/>
        <v>3640</v>
      </c>
      <c r="AL7" s="541">
        <f t="shared" si="14"/>
        <v>5709</v>
      </c>
      <c r="AM7" s="541">
        <f t="shared" si="14"/>
        <v>3254</v>
      </c>
      <c r="AN7" s="542">
        <f>SUM(AB7:AM7)</f>
        <v>39686</v>
      </c>
      <c r="AO7" s="541">
        <f t="shared" ref="AO7:AZ7" si="15">SUM(AO9:AO34)</f>
        <v>3189</v>
      </c>
      <c r="AP7" s="541">
        <f t="shared" si="15"/>
        <v>3782</v>
      </c>
      <c r="AQ7" s="541">
        <f t="shared" si="15"/>
        <v>4017</v>
      </c>
      <c r="AR7" s="541">
        <f t="shared" si="15"/>
        <v>2553</v>
      </c>
      <c r="AS7" s="541">
        <f t="shared" si="15"/>
        <v>2272</v>
      </c>
      <c r="AT7" s="541">
        <f t="shared" si="15"/>
        <v>2050</v>
      </c>
      <c r="AU7" s="541">
        <f t="shared" si="15"/>
        <v>2262</v>
      </c>
      <c r="AV7" s="541">
        <f t="shared" si="15"/>
        <v>2348</v>
      </c>
      <c r="AW7" s="541">
        <f t="shared" si="15"/>
        <v>3636</v>
      </c>
      <c r="AX7" s="541">
        <f t="shared" si="15"/>
        <v>8207</v>
      </c>
      <c r="AY7" s="541">
        <f t="shared" si="15"/>
        <v>10449</v>
      </c>
      <c r="AZ7" s="541">
        <f t="shared" si="15"/>
        <v>4051</v>
      </c>
      <c r="BA7" s="542">
        <f>SUM(AO7:AZ7)</f>
        <v>48816</v>
      </c>
      <c r="BB7" s="541">
        <f t="shared" ref="BB7:BM7" si="16">SUM(BB9:BB34)</f>
        <v>3613</v>
      </c>
      <c r="BC7" s="541">
        <f t="shared" si="16"/>
        <v>3847</v>
      </c>
      <c r="BD7" s="541">
        <f t="shared" si="16"/>
        <v>3565</v>
      </c>
      <c r="BE7" s="541">
        <f t="shared" si="16"/>
        <v>2988</v>
      </c>
      <c r="BF7" s="541">
        <f t="shared" si="16"/>
        <v>2685</v>
      </c>
      <c r="BG7" s="541">
        <f t="shared" si="16"/>
        <v>2815</v>
      </c>
      <c r="BH7" s="541">
        <f t="shared" si="16"/>
        <v>1786</v>
      </c>
      <c r="BI7" s="541">
        <f t="shared" si="16"/>
        <v>2167</v>
      </c>
      <c r="BJ7" s="541">
        <f t="shared" si="16"/>
        <v>3434</v>
      </c>
      <c r="BK7" s="541">
        <f t="shared" si="16"/>
        <v>7300</v>
      </c>
      <c r="BL7" s="541">
        <f t="shared" si="16"/>
        <v>7595</v>
      </c>
      <c r="BM7" s="541">
        <f t="shared" si="16"/>
        <v>5654</v>
      </c>
      <c r="BN7" s="542">
        <f>SUM(BB7:BM7)</f>
        <v>47449</v>
      </c>
      <c r="BO7" s="541">
        <f t="shared" ref="BO7:BZ7" si="17">SUM(BO9:BO34)</f>
        <v>3681</v>
      </c>
      <c r="BP7" s="541">
        <f t="shared" si="17"/>
        <v>3787</v>
      </c>
      <c r="BQ7" s="541">
        <f t="shared" si="17"/>
        <v>2792</v>
      </c>
      <c r="BR7" s="541">
        <f t="shared" si="17"/>
        <v>2963</v>
      </c>
      <c r="BS7" s="541">
        <f t="shared" si="17"/>
        <v>2316</v>
      </c>
      <c r="BT7" s="541">
        <f t="shared" si="17"/>
        <v>3609</v>
      </c>
      <c r="BU7" s="541">
        <f t="shared" si="17"/>
        <v>2916</v>
      </c>
      <c r="BV7" s="541">
        <f t="shared" si="17"/>
        <v>3968</v>
      </c>
      <c r="BW7" s="541">
        <f t="shared" si="17"/>
        <v>4636</v>
      </c>
      <c r="BX7" s="541">
        <f t="shared" si="17"/>
        <v>5637</v>
      </c>
      <c r="BY7" s="541">
        <f t="shared" si="17"/>
        <v>5439</v>
      </c>
      <c r="BZ7" s="541">
        <f t="shared" si="17"/>
        <v>6768</v>
      </c>
      <c r="CA7" s="542">
        <f>SUM(BO7:BZ7)</f>
        <v>48512</v>
      </c>
      <c r="CB7" s="541">
        <f t="shared" ref="CB7:CM7" si="18">SUM(CB9:CB34)</f>
        <v>5239</v>
      </c>
      <c r="CC7" s="541">
        <f t="shared" si="18"/>
        <v>5389</v>
      </c>
      <c r="CD7" s="541">
        <f t="shared" si="18"/>
        <v>4671</v>
      </c>
      <c r="CE7" s="541">
        <f t="shared" si="18"/>
        <v>3629</v>
      </c>
      <c r="CF7" s="541">
        <f t="shared" si="18"/>
        <v>5161</v>
      </c>
      <c r="CG7" s="541">
        <f t="shared" si="18"/>
        <v>2699</v>
      </c>
      <c r="CH7" s="541">
        <f t="shared" si="18"/>
        <v>2291</v>
      </c>
      <c r="CI7" s="541">
        <f t="shared" si="18"/>
        <v>1934</v>
      </c>
      <c r="CJ7" s="541">
        <f t="shared" si="18"/>
        <v>4226</v>
      </c>
      <c r="CK7" s="541">
        <f t="shared" si="18"/>
        <v>5218</v>
      </c>
      <c r="CL7" s="541">
        <f t="shared" si="18"/>
        <v>4508</v>
      </c>
      <c r="CM7" s="541">
        <f t="shared" si="18"/>
        <v>3195</v>
      </c>
      <c r="CN7" s="542">
        <f>SUM(CB7:CM7)</f>
        <v>48160</v>
      </c>
      <c r="CO7" s="541">
        <f t="shared" ref="CO7:CZ7" si="19">SUM(CO9:CO34)</f>
        <v>3549</v>
      </c>
      <c r="CP7" s="541">
        <f t="shared" si="19"/>
        <v>5069</v>
      </c>
      <c r="CQ7" s="541">
        <f t="shared" si="19"/>
        <v>5310.5</v>
      </c>
      <c r="CR7" s="541">
        <f t="shared" si="19"/>
        <v>4731.5</v>
      </c>
      <c r="CS7" s="541">
        <f t="shared" si="19"/>
        <v>3621.8799999999997</v>
      </c>
      <c r="CT7" s="541">
        <f t="shared" si="19"/>
        <v>2037</v>
      </c>
      <c r="CU7" s="541">
        <f t="shared" si="19"/>
        <v>1279</v>
      </c>
      <c r="CV7" s="541">
        <f t="shared" si="19"/>
        <v>2614</v>
      </c>
      <c r="CW7" s="541">
        <f t="shared" si="19"/>
        <v>3133.5</v>
      </c>
      <c r="CX7" s="541">
        <f t="shared" si="19"/>
        <v>4220.5</v>
      </c>
      <c r="CY7" s="541">
        <f t="shared" si="19"/>
        <v>3635.62</v>
      </c>
      <c r="CZ7" s="541">
        <f t="shared" si="19"/>
        <v>2180</v>
      </c>
      <c r="DA7" s="542">
        <f>SUM(CO7:CZ7)</f>
        <v>41381.500000000007</v>
      </c>
      <c r="DB7" s="541">
        <f t="shared" ref="DB7:DM7" si="20">SUM(DB9:DB34)</f>
        <v>5605</v>
      </c>
      <c r="DC7" s="541">
        <f t="shared" si="20"/>
        <v>7841</v>
      </c>
      <c r="DD7" s="541">
        <f t="shared" si="20"/>
        <v>5007</v>
      </c>
      <c r="DE7" s="541">
        <f t="shared" si="20"/>
        <v>5686</v>
      </c>
      <c r="DF7" s="541">
        <f t="shared" si="20"/>
        <v>1611.5</v>
      </c>
      <c r="DG7" s="541">
        <f t="shared" si="20"/>
        <v>1528</v>
      </c>
      <c r="DH7" s="541">
        <f t="shared" si="20"/>
        <v>1393</v>
      </c>
      <c r="DI7" s="541">
        <f t="shared" si="20"/>
        <v>1637</v>
      </c>
      <c r="DJ7" s="541">
        <f t="shared" si="20"/>
        <v>2865</v>
      </c>
      <c r="DK7" s="541">
        <f t="shared" si="20"/>
        <v>4270</v>
      </c>
      <c r="DL7" s="541">
        <f t="shared" si="20"/>
        <v>4888.5</v>
      </c>
      <c r="DM7" s="541">
        <f t="shared" si="20"/>
        <v>4571.5</v>
      </c>
      <c r="DN7" s="542">
        <f>SUM(DB7:DM7)</f>
        <v>46903.5</v>
      </c>
      <c r="DO7" s="541">
        <f t="shared" ref="DO7:DZ7" si="21">SUM(DO9:DO34)</f>
        <v>7149.5</v>
      </c>
      <c r="DP7" s="541">
        <f t="shared" si="21"/>
        <v>7946</v>
      </c>
      <c r="DQ7" s="541">
        <f t="shared" si="21"/>
        <v>6520.4</v>
      </c>
      <c r="DR7" s="541">
        <f t="shared" si="21"/>
        <v>3561.66</v>
      </c>
      <c r="DS7" s="541">
        <f t="shared" si="21"/>
        <v>3531.31</v>
      </c>
      <c r="DT7" s="541">
        <f t="shared" si="21"/>
        <v>3187.85</v>
      </c>
      <c r="DU7" s="541">
        <f t="shared" si="21"/>
        <v>1613</v>
      </c>
      <c r="DV7" s="541">
        <f t="shared" si="21"/>
        <v>3284</v>
      </c>
      <c r="DW7" s="541">
        <f t="shared" si="21"/>
        <v>3178</v>
      </c>
      <c r="DX7" s="541">
        <f t="shared" si="21"/>
        <v>5952.2500000000009</v>
      </c>
      <c r="DY7" s="541">
        <f t="shared" si="21"/>
        <v>7082</v>
      </c>
      <c r="DZ7" s="541">
        <f t="shared" si="21"/>
        <v>4923.5</v>
      </c>
      <c r="EA7" s="542">
        <f>SUM(DO7:DZ7)</f>
        <v>57929.47</v>
      </c>
      <c r="EB7" s="541">
        <f t="shared" ref="EB7:EM7" si="22">SUM(EB9:EB34)</f>
        <v>1899.5</v>
      </c>
      <c r="EC7" s="541">
        <f t="shared" si="22"/>
        <v>3090.8599999999997</v>
      </c>
      <c r="ED7" s="541">
        <f t="shared" si="22"/>
        <v>6312.54</v>
      </c>
      <c r="EE7" s="541">
        <f t="shared" si="22"/>
        <v>5211</v>
      </c>
      <c r="EF7" s="541">
        <f t="shared" si="22"/>
        <v>2348.0300000000002</v>
      </c>
      <c r="EG7" s="541">
        <f t="shared" si="22"/>
        <v>2398.5</v>
      </c>
      <c r="EH7" s="541">
        <f t="shared" si="22"/>
        <v>2643</v>
      </c>
      <c r="EI7" s="541">
        <f t="shared" si="22"/>
        <v>2915</v>
      </c>
      <c r="EJ7" s="541">
        <f t="shared" si="22"/>
        <v>4598.5</v>
      </c>
      <c r="EK7" s="541">
        <f t="shared" si="22"/>
        <v>9715</v>
      </c>
      <c r="EL7" s="541">
        <f t="shared" si="22"/>
        <v>10956.5</v>
      </c>
      <c r="EM7" s="541">
        <f t="shared" si="22"/>
        <v>7363</v>
      </c>
      <c r="EN7" s="542">
        <f>SUM(EB7:EM7)</f>
        <v>59451.43</v>
      </c>
      <c r="EO7" s="541">
        <f t="shared" ref="EO7" si="23">SUM(EO9:EO34)</f>
        <v>11504</v>
      </c>
      <c r="EP7" s="541">
        <f t="shared" ref="EP7:EZ7" si="24">SUM(EP9:EP34)</f>
        <v>12754.029999999999</v>
      </c>
      <c r="EQ7" s="541">
        <f t="shared" si="24"/>
        <v>9600.5</v>
      </c>
      <c r="ER7" s="541">
        <f t="shared" si="24"/>
        <v>6160.25</v>
      </c>
      <c r="ES7" s="541">
        <f t="shared" si="24"/>
        <v>1595</v>
      </c>
      <c r="ET7" s="541">
        <f t="shared" si="24"/>
        <v>822</v>
      </c>
      <c r="EU7" s="541">
        <f t="shared" si="24"/>
        <v>2361.5</v>
      </c>
      <c r="EV7" s="541">
        <f t="shared" si="24"/>
        <v>2434.5</v>
      </c>
      <c r="EW7" s="541">
        <f t="shared" si="24"/>
        <v>1872</v>
      </c>
      <c r="EX7" s="541">
        <f t="shared" si="24"/>
        <v>10971.5</v>
      </c>
      <c r="EY7" s="541">
        <f t="shared" si="24"/>
        <v>7143.5</v>
      </c>
      <c r="EZ7" s="541">
        <f t="shared" si="24"/>
        <v>6143.5</v>
      </c>
      <c r="FA7" s="542">
        <f>SUM(EO7:EZ7)</f>
        <v>73362.28</v>
      </c>
      <c r="FB7" s="541">
        <f t="shared" ref="FB7:FM7" si="25">SUM(FB9:FB34)</f>
        <v>6598.5</v>
      </c>
      <c r="FC7" s="541">
        <f t="shared" si="25"/>
        <v>14766</v>
      </c>
      <c r="FD7" s="541">
        <f t="shared" si="25"/>
        <v>12047</v>
      </c>
      <c r="FE7" s="541">
        <f t="shared" si="25"/>
        <v>6380.5</v>
      </c>
      <c r="FF7" s="541">
        <f t="shared" si="25"/>
        <v>1102.0000000002501</v>
      </c>
      <c r="FG7" s="541">
        <f t="shared" si="25"/>
        <v>0</v>
      </c>
      <c r="FH7" s="541">
        <f t="shared" si="25"/>
        <v>0</v>
      </c>
      <c r="FI7" s="541">
        <f t="shared" si="25"/>
        <v>0</v>
      </c>
      <c r="FJ7" s="541">
        <f t="shared" si="25"/>
        <v>0</v>
      </c>
      <c r="FK7" s="541">
        <f t="shared" si="25"/>
        <v>0</v>
      </c>
      <c r="FL7" s="541">
        <f t="shared" si="25"/>
        <v>0</v>
      </c>
      <c r="FM7" s="541">
        <f t="shared" si="25"/>
        <v>0</v>
      </c>
      <c r="FN7" s="542">
        <f>SUM(FB7:FM7)</f>
        <v>40894.000000000247</v>
      </c>
      <c r="FO7" s="628"/>
      <c r="FP7" s="544">
        <f>IFERROR(((
_xlfn.XLOOKUP((DATE(YEAR(FP$5),MONTH(FP$5),1)),UCA.SIEMBRAS.DATE,$B7:$FN7) /
_xlfn.XLOOKUP((DATE(YEAR(FP$5)-1,MONTH(FP$5),1)),UCA.SIEMBRAS.DATE,$B7:$FN7)
)-1)*100,"")</f>
        <v>3.5753419098250916</v>
      </c>
      <c r="FQ7" s="545">
        <f>IFERROR(((FS7/FR7)-1)*100,"")</f>
        <v>-0.56668394188927884</v>
      </c>
      <c r="FR7" s="546">
        <f>SUMIFS(
  $B7:$FN7,
  UCA.SIEMBRAS.DATE,"&gt;="&amp;DATE(IF(MONTH(FP$5)&gt;=8,YEAR(FP$5)-1,YEAR(FP$5)-2),8,1),
  UCA.SIEMBRAS.DATE,"&lt;="&amp;DATE(YEAR(FP$5)-1,MONTH(FP$5),1)
)</f>
        <v>40018.78</v>
      </c>
      <c r="FS7" s="547">
        <f>SUMIFS(
  $B7:$FN7,
  UCA.SIEMBRAS.DATE,"&gt;="&amp;DATE(IF(MONTH(FP$5)&gt;=8,YEAR(FP$5),YEAR(FP$5)-1),8,1),
  UCA.SIEMBRAS.DATE,"&lt;="&amp;DATE(YEAR(FP$5),MONTH(FP$5),1)
)</f>
        <v>39792</v>
      </c>
      <c r="FU7" s="498"/>
      <c r="FV7" s="499"/>
      <c r="FW7" s="500"/>
    </row>
    <row r="8" spans="1:179" ht="15" customHeight="1" x14ac:dyDescent="0.25">
      <c r="A8" s="632"/>
      <c r="B8" s="633"/>
      <c r="C8" s="633"/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493"/>
      <c r="O8" s="633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493"/>
      <c r="AB8" s="633"/>
      <c r="AC8" s="633"/>
      <c r="AD8" s="633"/>
      <c r="AE8" s="633"/>
      <c r="AF8" s="633"/>
      <c r="AG8" s="633"/>
      <c r="AH8" s="633"/>
      <c r="AI8" s="633"/>
      <c r="AJ8" s="633"/>
      <c r="AK8" s="633"/>
      <c r="AL8" s="633"/>
      <c r="AM8" s="633"/>
      <c r="AN8" s="493"/>
      <c r="AO8" s="633"/>
      <c r="AP8" s="633"/>
      <c r="AQ8" s="633"/>
      <c r="AR8" s="633"/>
      <c r="AS8" s="633"/>
      <c r="AT8" s="633"/>
      <c r="AU8" s="633"/>
      <c r="AV8" s="633"/>
      <c r="AW8" s="633"/>
      <c r="AX8" s="633"/>
      <c r="AY8" s="633"/>
      <c r="AZ8" s="633"/>
      <c r="BA8" s="493"/>
      <c r="BB8" s="633"/>
      <c r="BC8" s="633"/>
      <c r="BD8" s="633"/>
      <c r="BE8" s="633"/>
      <c r="BF8" s="633"/>
      <c r="BG8" s="633"/>
      <c r="BH8" s="633"/>
      <c r="BI8" s="633"/>
      <c r="BJ8" s="633"/>
      <c r="BK8" s="633"/>
      <c r="BL8" s="633"/>
      <c r="BM8" s="633"/>
      <c r="BN8" s="493"/>
      <c r="BO8" s="633"/>
      <c r="BP8" s="633"/>
      <c r="BQ8" s="633"/>
      <c r="BR8" s="633"/>
      <c r="BS8" s="633"/>
      <c r="BT8" s="633"/>
      <c r="BU8" s="633"/>
      <c r="BV8" s="633"/>
      <c r="BW8" s="633"/>
      <c r="BX8" s="633"/>
      <c r="BY8" s="633"/>
      <c r="BZ8" s="633"/>
      <c r="CA8" s="493"/>
      <c r="CB8" s="633"/>
      <c r="CC8" s="633"/>
      <c r="CD8" s="633"/>
      <c r="CE8" s="633"/>
      <c r="CF8" s="633"/>
      <c r="CG8" s="633"/>
      <c r="CH8" s="633"/>
      <c r="CI8" s="633"/>
      <c r="CJ8" s="633"/>
      <c r="CK8" s="633"/>
      <c r="CL8" s="633"/>
      <c r="CM8" s="633"/>
      <c r="CN8" s="493"/>
      <c r="CO8" s="633"/>
      <c r="CP8" s="633"/>
      <c r="CQ8" s="633"/>
      <c r="CR8" s="633"/>
      <c r="CS8" s="633"/>
      <c r="CT8" s="633"/>
      <c r="CU8" s="633"/>
      <c r="CV8" s="633"/>
      <c r="CW8" s="633"/>
      <c r="CX8" s="633"/>
      <c r="CY8" s="633"/>
      <c r="CZ8" s="633"/>
      <c r="DA8" s="493"/>
      <c r="DB8" s="633"/>
      <c r="DC8" s="633"/>
      <c r="DD8" s="633"/>
      <c r="DE8" s="633"/>
      <c r="DF8" s="633"/>
      <c r="DG8" s="633"/>
      <c r="DH8" s="633"/>
      <c r="DI8" s="633"/>
      <c r="DJ8" s="633"/>
      <c r="DK8" s="633"/>
      <c r="DL8" s="633"/>
      <c r="DM8" s="633"/>
      <c r="DN8" s="493"/>
      <c r="DO8" s="633"/>
      <c r="DP8" s="633"/>
      <c r="DQ8" s="633"/>
      <c r="DR8" s="633"/>
      <c r="DS8" s="633"/>
      <c r="DT8" s="633"/>
      <c r="DU8" s="633"/>
      <c r="DV8" s="633"/>
      <c r="DW8" s="633"/>
      <c r="DX8" s="633"/>
      <c r="DY8" s="633"/>
      <c r="DZ8" s="633"/>
      <c r="EA8" s="493"/>
      <c r="EB8" s="633"/>
      <c r="EC8" s="633"/>
      <c r="ED8" s="633"/>
      <c r="EE8" s="633"/>
      <c r="EF8" s="633"/>
      <c r="EG8" s="633"/>
      <c r="EH8" s="633"/>
      <c r="EI8" s="633"/>
      <c r="EJ8" s="633"/>
      <c r="EK8" s="633"/>
      <c r="EL8" s="633"/>
      <c r="EM8" s="633"/>
      <c r="EN8" s="493"/>
      <c r="EO8" s="633"/>
      <c r="EP8" s="633"/>
      <c r="EQ8" s="633"/>
      <c r="ER8" s="633"/>
      <c r="ES8" s="633"/>
      <c r="ET8" s="633"/>
      <c r="EU8" s="633"/>
      <c r="EV8" s="633"/>
      <c r="EW8" s="633"/>
      <c r="EX8" s="633"/>
      <c r="EY8" s="633"/>
      <c r="EZ8" s="633"/>
      <c r="FA8" s="493"/>
      <c r="FB8" s="633"/>
      <c r="FC8" s="633"/>
      <c r="FD8" s="633"/>
      <c r="FE8" s="633"/>
      <c r="FF8" s="633"/>
      <c r="FG8" s="633"/>
      <c r="FH8" s="633"/>
      <c r="FI8" s="633"/>
      <c r="FJ8" s="633"/>
      <c r="FK8" s="633"/>
      <c r="FL8" s="633"/>
      <c r="FM8" s="633"/>
      <c r="FN8" s="493"/>
      <c r="FO8" s="628"/>
      <c r="FP8" s="549"/>
      <c r="FQ8" s="550"/>
      <c r="FR8" s="551"/>
      <c r="FS8" s="552"/>
      <c r="FU8" s="498"/>
      <c r="FV8" s="499"/>
      <c r="FW8" s="500"/>
    </row>
    <row r="9" spans="1:179" ht="15" customHeight="1" x14ac:dyDescent="0.25">
      <c r="A9" s="634" t="s">
        <v>622</v>
      </c>
      <c r="B9" s="492">
        <v>722</v>
      </c>
      <c r="C9" s="492">
        <v>910</v>
      </c>
      <c r="D9" s="492">
        <v>1255</v>
      </c>
      <c r="E9" s="492">
        <v>1017</v>
      </c>
      <c r="F9" s="492">
        <v>1193</v>
      </c>
      <c r="G9" s="492">
        <v>716</v>
      </c>
      <c r="H9" s="492">
        <v>433</v>
      </c>
      <c r="I9" s="492">
        <v>488</v>
      </c>
      <c r="J9" s="492">
        <v>1435</v>
      </c>
      <c r="K9" s="492">
        <v>1766</v>
      </c>
      <c r="L9" s="492">
        <v>833</v>
      </c>
      <c r="M9" s="492">
        <v>636</v>
      </c>
      <c r="N9" s="493">
        <f t="shared" ref="N9:N33" si="26">SUM(B9:M9)</f>
        <v>11404</v>
      </c>
      <c r="O9" s="492">
        <v>950</v>
      </c>
      <c r="P9" s="492">
        <v>1029</v>
      </c>
      <c r="Q9" s="492">
        <v>923</v>
      </c>
      <c r="R9" s="492">
        <v>728</v>
      </c>
      <c r="S9" s="492">
        <v>795</v>
      </c>
      <c r="T9" s="492">
        <v>444</v>
      </c>
      <c r="U9" s="492">
        <v>710</v>
      </c>
      <c r="V9" s="492">
        <v>210</v>
      </c>
      <c r="W9" s="492">
        <v>965</v>
      </c>
      <c r="X9" s="492">
        <v>1364</v>
      </c>
      <c r="Y9" s="492">
        <v>1452</v>
      </c>
      <c r="Z9" s="492">
        <v>715</v>
      </c>
      <c r="AA9" s="493">
        <f t="shared" ref="AA9:AA33" si="27">SUM(O9:Z9)</f>
        <v>10285</v>
      </c>
      <c r="AB9" s="492">
        <v>1137</v>
      </c>
      <c r="AC9" s="492">
        <v>984</v>
      </c>
      <c r="AD9" s="492">
        <v>983</v>
      </c>
      <c r="AE9" s="492">
        <v>781</v>
      </c>
      <c r="AF9" s="492">
        <v>615</v>
      </c>
      <c r="AG9" s="492">
        <v>257</v>
      </c>
      <c r="AH9" s="492">
        <v>457</v>
      </c>
      <c r="AI9" s="492">
        <v>279</v>
      </c>
      <c r="AJ9" s="492">
        <v>815</v>
      </c>
      <c r="AK9" s="492">
        <v>1191</v>
      </c>
      <c r="AL9" s="492">
        <v>1463</v>
      </c>
      <c r="AM9" s="492">
        <v>871</v>
      </c>
      <c r="AN9" s="493">
        <f t="shared" ref="AN9:AN33" si="28">SUM(AB9:AM9)</f>
        <v>9833</v>
      </c>
      <c r="AO9" s="492">
        <v>980</v>
      </c>
      <c r="AP9" s="492">
        <v>808</v>
      </c>
      <c r="AQ9" s="492">
        <v>1266</v>
      </c>
      <c r="AR9" s="492">
        <v>1020</v>
      </c>
      <c r="AS9" s="492">
        <v>823</v>
      </c>
      <c r="AT9" s="492">
        <v>989</v>
      </c>
      <c r="AU9" s="492">
        <v>936</v>
      </c>
      <c r="AV9" s="492">
        <v>1206</v>
      </c>
      <c r="AW9" s="492">
        <v>1084</v>
      </c>
      <c r="AX9" s="492">
        <v>3928</v>
      </c>
      <c r="AY9" s="492">
        <v>3699</v>
      </c>
      <c r="AZ9" s="492">
        <v>1562</v>
      </c>
      <c r="BA9" s="493">
        <f t="shared" ref="BA9:BA33" si="29">SUM(AO9:AZ9)</f>
        <v>18301</v>
      </c>
      <c r="BB9" s="492">
        <v>1100</v>
      </c>
      <c r="BC9" s="492">
        <v>867</v>
      </c>
      <c r="BD9" s="492">
        <v>966</v>
      </c>
      <c r="BE9" s="492">
        <v>753</v>
      </c>
      <c r="BF9" s="492">
        <v>887</v>
      </c>
      <c r="BG9" s="492">
        <v>1318</v>
      </c>
      <c r="BH9" s="492">
        <v>780</v>
      </c>
      <c r="BI9" s="492">
        <v>848</v>
      </c>
      <c r="BJ9" s="492">
        <v>1130</v>
      </c>
      <c r="BK9" s="492">
        <v>2257</v>
      </c>
      <c r="BL9" s="492">
        <v>2062</v>
      </c>
      <c r="BM9" s="492">
        <v>1839</v>
      </c>
      <c r="BN9" s="493">
        <f t="shared" ref="BN9:BN33" si="30">SUM(BB9:BM9)</f>
        <v>14807</v>
      </c>
      <c r="BO9" s="492">
        <v>1021</v>
      </c>
      <c r="BP9" s="492">
        <v>901</v>
      </c>
      <c r="BQ9" s="492">
        <v>665</v>
      </c>
      <c r="BR9" s="492">
        <v>893</v>
      </c>
      <c r="BS9" s="492">
        <v>952</v>
      </c>
      <c r="BT9" s="492">
        <v>2380</v>
      </c>
      <c r="BU9" s="492">
        <v>1802</v>
      </c>
      <c r="BV9" s="492">
        <v>2026</v>
      </c>
      <c r="BW9" s="492">
        <v>2121</v>
      </c>
      <c r="BX9" s="492">
        <v>2326</v>
      </c>
      <c r="BY9" s="492">
        <v>1707</v>
      </c>
      <c r="BZ9" s="492">
        <v>2690</v>
      </c>
      <c r="CA9" s="493">
        <f t="shared" ref="CA9:CA33" si="31">SUM(BO9:BZ9)</f>
        <v>19484</v>
      </c>
      <c r="CB9" s="492">
        <v>1258</v>
      </c>
      <c r="CC9" s="492">
        <v>1606</v>
      </c>
      <c r="CD9" s="492">
        <v>1451</v>
      </c>
      <c r="CE9" s="492">
        <v>1210</v>
      </c>
      <c r="CF9" s="492">
        <v>1925</v>
      </c>
      <c r="CG9" s="492">
        <v>914</v>
      </c>
      <c r="CH9" s="492">
        <v>1216</v>
      </c>
      <c r="CI9" s="492">
        <v>822</v>
      </c>
      <c r="CJ9" s="492">
        <v>1113</v>
      </c>
      <c r="CK9" s="492">
        <v>1424</v>
      </c>
      <c r="CL9" s="492">
        <v>997</v>
      </c>
      <c r="CM9" s="492">
        <v>853</v>
      </c>
      <c r="CN9" s="493">
        <f t="shared" ref="CN9:CN33" si="32">SUM(CB9:CM9)</f>
        <v>14789</v>
      </c>
      <c r="CO9" s="492">
        <v>962</v>
      </c>
      <c r="CP9" s="492">
        <v>1517</v>
      </c>
      <c r="CQ9" s="492">
        <v>1479</v>
      </c>
      <c r="CR9" s="492">
        <v>1754</v>
      </c>
      <c r="CS9" s="492">
        <v>1328</v>
      </c>
      <c r="CT9" s="492">
        <v>459</v>
      </c>
      <c r="CU9" s="492">
        <v>407</v>
      </c>
      <c r="CV9" s="492">
        <v>858</v>
      </c>
      <c r="CW9" s="492">
        <v>829</v>
      </c>
      <c r="CX9" s="492">
        <v>1189</v>
      </c>
      <c r="CY9" s="492">
        <v>796</v>
      </c>
      <c r="CZ9" s="492">
        <v>478</v>
      </c>
      <c r="DA9" s="493">
        <f t="shared" ref="DA9:DA33" si="33">SUM(CO9:CZ9)</f>
        <v>12056</v>
      </c>
      <c r="DB9" s="492">
        <v>1257</v>
      </c>
      <c r="DC9" s="492">
        <v>2187</v>
      </c>
      <c r="DD9" s="492">
        <v>1542</v>
      </c>
      <c r="DE9" s="492">
        <v>2171</v>
      </c>
      <c r="DF9" s="492">
        <v>419</v>
      </c>
      <c r="DG9" s="492">
        <v>757</v>
      </c>
      <c r="DH9" s="492">
        <v>512</v>
      </c>
      <c r="DI9" s="492">
        <v>559</v>
      </c>
      <c r="DJ9" s="492">
        <v>985</v>
      </c>
      <c r="DK9" s="492">
        <v>1369</v>
      </c>
      <c r="DL9" s="492">
        <v>1722</v>
      </c>
      <c r="DM9" s="492">
        <v>1558</v>
      </c>
      <c r="DN9" s="493">
        <f t="shared" ref="DN9:DN33" si="34">SUM(DB9:DM9)</f>
        <v>15038</v>
      </c>
      <c r="DO9" s="492">
        <v>1398</v>
      </c>
      <c r="DP9" s="492">
        <v>1606</v>
      </c>
      <c r="DQ9" s="492">
        <v>1774</v>
      </c>
      <c r="DR9" s="492">
        <v>1422</v>
      </c>
      <c r="DS9" s="492">
        <v>1711</v>
      </c>
      <c r="DT9" s="492">
        <v>1738</v>
      </c>
      <c r="DU9" s="492">
        <v>429</v>
      </c>
      <c r="DV9" s="492">
        <v>1434</v>
      </c>
      <c r="DW9" s="492">
        <v>1132</v>
      </c>
      <c r="DX9" s="492">
        <v>2269</v>
      </c>
      <c r="DY9" s="492">
        <v>3259</v>
      </c>
      <c r="DZ9" s="492">
        <v>2195</v>
      </c>
      <c r="EA9" s="493">
        <f t="shared" ref="EA9:EA33" si="35">SUM(DO9:DZ9)</f>
        <v>20367</v>
      </c>
      <c r="EB9" s="492">
        <v>872</v>
      </c>
      <c r="EC9" s="492">
        <v>1211</v>
      </c>
      <c r="ED9" s="492">
        <v>1976</v>
      </c>
      <c r="EE9" s="492">
        <v>3100</v>
      </c>
      <c r="EF9" s="492">
        <v>1365</v>
      </c>
      <c r="EG9" s="492">
        <v>1307</v>
      </c>
      <c r="EH9" s="492">
        <v>828</v>
      </c>
      <c r="EI9" s="492">
        <v>1025</v>
      </c>
      <c r="EJ9" s="492">
        <v>2201</v>
      </c>
      <c r="EK9" s="492">
        <v>4395</v>
      </c>
      <c r="EL9" s="492">
        <v>3499</v>
      </c>
      <c r="EM9" s="492">
        <v>1866</v>
      </c>
      <c r="EN9" s="493">
        <f t="shared" ref="EN9:EN33" si="36">SUM(EB9:EM9)</f>
        <v>23645</v>
      </c>
      <c r="EO9" s="492">
        <v>3841</v>
      </c>
      <c r="EP9" s="492">
        <v>3570</v>
      </c>
      <c r="EQ9" s="492">
        <v>4072</v>
      </c>
      <c r="ER9" s="492">
        <v>3209</v>
      </c>
      <c r="ES9" s="492">
        <v>651</v>
      </c>
      <c r="ET9" s="492">
        <v>284</v>
      </c>
      <c r="EU9" s="492">
        <v>922</v>
      </c>
      <c r="EV9" s="492">
        <v>679</v>
      </c>
      <c r="EW9" s="492">
        <v>505.5</v>
      </c>
      <c r="EX9" s="492">
        <v>2793.5</v>
      </c>
      <c r="EY9" s="492">
        <v>2104</v>
      </c>
      <c r="EZ9" s="492">
        <v>1630</v>
      </c>
      <c r="FA9" s="493">
        <f t="shared" ref="FA9:FA33" si="37">SUM(EO9:EZ9)</f>
        <v>24261</v>
      </c>
      <c r="FB9" s="492">
        <v>1271</v>
      </c>
      <c r="FC9" s="492">
        <v>2282</v>
      </c>
      <c r="FD9" s="492">
        <v>2213</v>
      </c>
      <c r="FE9" s="492">
        <v>2513.5</v>
      </c>
      <c r="FF9" s="492">
        <v>413.00000000001</v>
      </c>
      <c r="FG9" s="492"/>
      <c r="FH9" s="492"/>
      <c r="FI9" s="492"/>
      <c r="FJ9" s="492"/>
      <c r="FK9" s="492"/>
      <c r="FL9" s="492"/>
      <c r="FM9" s="492"/>
      <c r="FN9" s="493">
        <f t="shared" ref="FN9:FN33" si="38">SUM(FB9:FM9)</f>
        <v>8692.5000000000109</v>
      </c>
      <c r="FO9" s="628"/>
      <c r="FP9" s="595">
        <f t="shared" ref="FP9:FP34" si="39">IFERROR(((
_xlfn.XLOOKUP((DATE(YEAR(FP$5),MONTH(FP$5),1)),UCA.SIEMBRAS.DATE,$B9:$FN9) /
_xlfn.XLOOKUP((DATE(YEAR(FP$5)-1,MONTH(FP$5),1)),UCA.SIEMBRAS.DATE,$B9:$FN9)
)-1)*100,"")</f>
        <v>-21.67341851043939</v>
      </c>
      <c r="FQ9" s="596">
        <f t="shared" ref="FQ9:FQ33" si="40">IFERROR(((FS9/FR9)-1)*100,"")</f>
        <v>-43.646202014701871</v>
      </c>
      <c r="FR9" s="498">
        <f t="shared" ref="FR9:FR34" si="41">SUMIFS(
  $B9:$FN9,
  UCA.SIEMBRAS.DATE,"&gt;="&amp;DATE(IF(MONTH(FP$5)&gt;=8,YEAR(FP$5)-1,YEAR(FP$5)-2),8,1),
  UCA.SIEMBRAS.DATE,"&lt;="&amp;DATE(YEAR(FP$5)-1,MONTH(FP$5),1)
)</f>
        <v>14692</v>
      </c>
      <c r="FS9" s="597">
        <f t="shared" ref="FS9:FS34" si="42">SUMIFS(
  $B9:$FN9,
  UCA.SIEMBRAS.DATE,"&gt;="&amp;DATE(IF(MONTH(FP$5)&gt;=8,YEAR(FP$5),YEAR(FP$5)-1),8,1),
  UCA.SIEMBRAS.DATE,"&lt;="&amp;DATE(YEAR(FP$5),MONTH(FP$5),1)
)</f>
        <v>8279.5</v>
      </c>
      <c r="FU9" s="498">
        <f t="shared" ref="FU9:FU33" si="43">SUM(B9:FN9)</f>
        <v>405925</v>
      </c>
      <c r="FV9" s="499" t="s">
        <v>622</v>
      </c>
      <c r="FW9" s="500" t="str">
        <f t="shared" ref="FW9:FW33" si="44">IF(EXACT(A9,FV9)=TRUE,"OK","VER")</f>
        <v>OK</v>
      </c>
    </row>
    <row r="10" spans="1:179" ht="15" customHeight="1" x14ac:dyDescent="0.25">
      <c r="A10" s="634" t="s">
        <v>183</v>
      </c>
      <c r="B10" s="492">
        <v>29</v>
      </c>
      <c r="C10" s="492">
        <v>87</v>
      </c>
      <c r="D10" s="492">
        <v>76</v>
      </c>
      <c r="E10" s="492">
        <v>99</v>
      </c>
      <c r="F10" s="492">
        <v>512</v>
      </c>
      <c r="G10" s="492">
        <v>128</v>
      </c>
      <c r="H10" s="492">
        <v>113</v>
      </c>
      <c r="I10" s="492">
        <v>92</v>
      </c>
      <c r="J10" s="492">
        <v>153</v>
      </c>
      <c r="K10" s="492">
        <v>146</v>
      </c>
      <c r="L10" s="492">
        <v>198</v>
      </c>
      <c r="M10" s="492">
        <v>84</v>
      </c>
      <c r="N10" s="493">
        <f t="shared" si="26"/>
        <v>1717</v>
      </c>
      <c r="O10" s="492">
        <v>161</v>
      </c>
      <c r="P10" s="492">
        <v>269</v>
      </c>
      <c r="Q10" s="492">
        <v>223</v>
      </c>
      <c r="R10" s="492">
        <v>215</v>
      </c>
      <c r="S10" s="492">
        <v>168</v>
      </c>
      <c r="T10" s="492">
        <v>171</v>
      </c>
      <c r="U10" s="492">
        <v>271</v>
      </c>
      <c r="V10" s="492">
        <v>123</v>
      </c>
      <c r="W10" s="492">
        <v>143</v>
      </c>
      <c r="X10" s="492">
        <v>84</v>
      </c>
      <c r="Y10" s="492">
        <v>46</v>
      </c>
      <c r="Z10" s="492">
        <v>37</v>
      </c>
      <c r="AA10" s="493">
        <f t="shared" si="27"/>
        <v>1911</v>
      </c>
      <c r="AB10" s="492">
        <v>23</v>
      </c>
      <c r="AC10" s="492">
        <v>113</v>
      </c>
      <c r="AD10" s="492">
        <v>177</v>
      </c>
      <c r="AE10" s="492">
        <v>170</v>
      </c>
      <c r="AF10" s="492">
        <v>78</v>
      </c>
      <c r="AG10" s="492">
        <v>98</v>
      </c>
      <c r="AH10" s="492">
        <v>111</v>
      </c>
      <c r="AI10" s="492">
        <v>59</v>
      </c>
      <c r="AJ10" s="492">
        <v>34</v>
      </c>
      <c r="AK10" s="492">
        <v>69</v>
      </c>
      <c r="AL10" s="492">
        <v>54</v>
      </c>
      <c r="AM10" s="492">
        <v>30</v>
      </c>
      <c r="AN10" s="493">
        <f t="shared" si="28"/>
        <v>1016</v>
      </c>
      <c r="AO10" s="492">
        <v>43</v>
      </c>
      <c r="AP10" s="492">
        <v>223</v>
      </c>
      <c r="AQ10" s="492">
        <v>193</v>
      </c>
      <c r="AR10" s="492">
        <v>118</v>
      </c>
      <c r="AS10" s="492">
        <v>53</v>
      </c>
      <c r="AT10" s="492">
        <v>27</v>
      </c>
      <c r="AU10" s="492">
        <v>61</v>
      </c>
      <c r="AV10" s="492">
        <v>132</v>
      </c>
      <c r="AW10" s="492">
        <v>91</v>
      </c>
      <c r="AX10" s="492">
        <v>77</v>
      </c>
      <c r="AY10" s="492">
        <v>67</v>
      </c>
      <c r="AZ10" s="492"/>
      <c r="BA10" s="493">
        <f t="shared" si="29"/>
        <v>1085</v>
      </c>
      <c r="BB10" s="492"/>
      <c r="BC10" s="492">
        <v>233</v>
      </c>
      <c r="BD10" s="492"/>
      <c r="BE10" s="492">
        <v>108</v>
      </c>
      <c r="BF10" s="492">
        <v>103</v>
      </c>
      <c r="BG10" s="492">
        <v>131</v>
      </c>
      <c r="BH10" s="492">
        <v>53</v>
      </c>
      <c r="BI10" s="492">
        <v>30</v>
      </c>
      <c r="BJ10" s="492">
        <v>82</v>
      </c>
      <c r="BK10" s="492">
        <v>386</v>
      </c>
      <c r="BL10" s="492">
        <v>303</v>
      </c>
      <c r="BM10" s="492">
        <v>293</v>
      </c>
      <c r="BN10" s="493">
        <f t="shared" si="30"/>
        <v>1722</v>
      </c>
      <c r="BO10" s="492">
        <v>177</v>
      </c>
      <c r="BP10" s="492">
        <v>81</v>
      </c>
      <c r="BQ10" s="492">
        <v>108</v>
      </c>
      <c r="BR10" s="492">
        <v>51</v>
      </c>
      <c r="BS10" s="492">
        <v>77</v>
      </c>
      <c r="BT10" s="492">
        <v>37</v>
      </c>
      <c r="BU10" s="492">
        <v>61</v>
      </c>
      <c r="BV10" s="492">
        <v>76</v>
      </c>
      <c r="BW10" s="492">
        <v>170</v>
      </c>
      <c r="BX10" s="492">
        <v>139</v>
      </c>
      <c r="BY10" s="492">
        <v>167</v>
      </c>
      <c r="BZ10" s="492">
        <v>200</v>
      </c>
      <c r="CA10" s="493">
        <f t="shared" si="31"/>
        <v>1344</v>
      </c>
      <c r="CB10" s="492">
        <v>204</v>
      </c>
      <c r="CC10" s="492">
        <v>213</v>
      </c>
      <c r="CD10" s="492">
        <v>228</v>
      </c>
      <c r="CE10" s="492">
        <v>133</v>
      </c>
      <c r="CF10" s="492">
        <v>268</v>
      </c>
      <c r="CG10" s="492">
        <v>91</v>
      </c>
      <c r="CH10" s="492">
        <v>78</v>
      </c>
      <c r="CI10" s="492">
        <v>39</v>
      </c>
      <c r="CJ10" s="492">
        <v>139</v>
      </c>
      <c r="CK10" s="492">
        <v>81</v>
      </c>
      <c r="CL10" s="492">
        <v>77</v>
      </c>
      <c r="CM10" s="492">
        <v>89</v>
      </c>
      <c r="CN10" s="493">
        <f t="shared" si="32"/>
        <v>1640</v>
      </c>
      <c r="CO10" s="492">
        <v>141</v>
      </c>
      <c r="CP10" s="492">
        <v>120</v>
      </c>
      <c r="CQ10" s="492">
        <v>168</v>
      </c>
      <c r="CR10" s="492">
        <v>229</v>
      </c>
      <c r="CS10" s="492">
        <v>163.19999999999999</v>
      </c>
      <c r="CT10" s="492">
        <v>45</v>
      </c>
      <c r="CU10" s="492">
        <v>35</v>
      </c>
      <c r="CV10" s="492">
        <v>106</v>
      </c>
      <c r="CW10" s="492">
        <v>141</v>
      </c>
      <c r="CX10" s="492">
        <v>94</v>
      </c>
      <c r="CY10" s="492">
        <v>149</v>
      </c>
      <c r="CZ10" s="492">
        <v>63</v>
      </c>
      <c r="DA10" s="493">
        <f t="shared" si="33"/>
        <v>1454.2</v>
      </c>
      <c r="DB10" s="492">
        <v>216</v>
      </c>
      <c r="DC10" s="492">
        <v>143</v>
      </c>
      <c r="DD10" s="492">
        <v>153</v>
      </c>
      <c r="DE10" s="492">
        <v>410</v>
      </c>
      <c r="DF10" s="492">
        <v>19</v>
      </c>
      <c r="DG10" s="492">
        <v>45</v>
      </c>
      <c r="DH10" s="492">
        <v>119</v>
      </c>
      <c r="DI10" s="492">
        <v>46</v>
      </c>
      <c r="DJ10" s="492">
        <v>134</v>
      </c>
      <c r="DK10" s="492">
        <v>171</v>
      </c>
      <c r="DL10" s="492">
        <v>142</v>
      </c>
      <c r="DM10" s="492">
        <v>78</v>
      </c>
      <c r="DN10" s="493">
        <f t="shared" si="34"/>
        <v>1676</v>
      </c>
      <c r="DO10" s="492">
        <v>45</v>
      </c>
      <c r="DP10" s="492">
        <v>302</v>
      </c>
      <c r="DQ10" s="492">
        <v>244</v>
      </c>
      <c r="DR10" s="492">
        <v>100</v>
      </c>
      <c r="DS10" s="492">
        <v>43</v>
      </c>
      <c r="DT10" s="492">
        <v>33</v>
      </c>
      <c r="DU10" s="492"/>
      <c r="DV10" s="492">
        <v>101</v>
      </c>
      <c r="DW10" s="492">
        <v>115</v>
      </c>
      <c r="DX10" s="492">
        <v>54</v>
      </c>
      <c r="DY10" s="492">
        <v>90</v>
      </c>
      <c r="DZ10" s="492">
        <v>92</v>
      </c>
      <c r="EA10" s="493">
        <f t="shared" si="35"/>
        <v>1219</v>
      </c>
      <c r="EB10" s="492">
        <v>20</v>
      </c>
      <c r="EC10" s="492">
        <v>3</v>
      </c>
      <c r="ED10" s="492">
        <v>808</v>
      </c>
      <c r="EE10" s="492">
        <v>140</v>
      </c>
      <c r="EF10" s="492">
        <v>113.15</v>
      </c>
      <c r="EG10" s="492">
        <v>134</v>
      </c>
      <c r="EH10" s="492">
        <v>701</v>
      </c>
      <c r="EI10" s="492">
        <v>134</v>
      </c>
      <c r="EJ10" s="492">
        <v>247</v>
      </c>
      <c r="EK10" s="492">
        <v>382</v>
      </c>
      <c r="EL10" s="492">
        <v>390</v>
      </c>
      <c r="EM10" s="492">
        <v>122</v>
      </c>
      <c r="EN10" s="493">
        <f t="shared" si="36"/>
        <v>3194.15</v>
      </c>
      <c r="EO10" s="492">
        <v>104</v>
      </c>
      <c r="EP10" s="492">
        <v>149</v>
      </c>
      <c r="EQ10" s="492">
        <v>245</v>
      </c>
      <c r="ER10" s="492">
        <v>58</v>
      </c>
      <c r="ES10" s="492">
        <v>48</v>
      </c>
      <c r="ET10" s="492">
        <v>10</v>
      </c>
      <c r="EU10" s="492">
        <v>115</v>
      </c>
      <c r="EV10" s="492">
        <v>63</v>
      </c>
      <c r="EW10" s="492">
        <v>56</v>
      </c>
      <c r="EX10" s="492">
        <v>315</v>
      </c>
      <c r="EY10" s="492">
        <v>254</v>
      </c>
      <c r="EZ10" s="492">
        <v>349</v>
      </c>
      <c r="FA10" s="493">
        <f t="shared" si="37"/>
        <v>1766</v>
      </c>
      <c r="FB10" s="492">
        <v>483</v>
      </c>
      <c r="FC10" s="492">
        <v>1130</v>
      </c>
      <c r="FD10" s="492">
        <v>1293</v>
      </c>
      <c r="FE10" s="492">
        <v>743.5</v>
      </c>
      <c r="FF10" s="492">
        <v>39.000000000009997</v>
      </c>
      <c r="FG10" s="492"/>
      <c r="FH10" s="492"/>
      <c r="FI10" s="492"/>
      <c r="FJ10" s="492"/>
      <c r="FK10" s="492"/>
      <c r="FL10" s="492"/>
      <c r="FM10" s="492"/>
      <c r="FN10" s="493">
        <f t="shared" si="38"/>
        <v>3688.50000000001</v>
      </c>
      <c r="FO10" s="628"/>
      <c r="FP10" s="595">
        <f t="shared" si="39"/>
        <v>1181.8965517241379</v>
      </c>
      <c r="FQ10" s="596">
        <f t="shared" si="40"/>
        <v>556.38489208633098</v>
      </c>
      <c r="FR10" s="498">
        <f t="shared" si="41"/>
        <v>556</v>
      </c>
      <c r="FS10" s="597">
        <f t="shared" si="42"/>
        <v>3649.5</v>
      </c>
      <c r="FU10" s="498">
        <f t="shared" si="43"/>
        <v>46865.700000000019</v>
      </c>
      <c r="FV10" s="499" t="s">
        <v>183</v>
      </c>
      <c r="FW10" s="500" t="str">
        <f t="shared" si="44"/>
        <v>OK</v>
      </c>
    </row>
    <row r="11" spans="1:179" ht="15" customHeight="1" x14ac:dyDescent="0.25">
      <c r="A11" s="634" t="s">
        <v>184</v>
      </c>
      <c r="B11" s="492"/>
      <c r="C11" s="492">
        <v>20</v>
      </c>
      <c r="D11" s="492">
        <v>20</v>
      </c>
      <c r="E11" s="492"/>
      <c r="F11" s="492">
        <v>2</v>
      </c>
      <c r="G11" s="492">
        <v>10</v>
      </c>
      <c r="H11" s="492">
        <v>25</v>
      </c>
      <c r="I11" s="492">
        <v>16</v>
      </c>
      <c r="J11" s="492">
        <v>3</v>
      </c>
      <c r="K11" s="492">
        <v>3</v>
      </c>
      <c r="L11" s="492">
        <v>27</v>
      </c>
      <c r="M11" s="492">
        <v>55</v>
      </c>
      <c r="N11" s="493">
        <f t="shared" si="26"/>
        <v>181</v>
      </c>
      <c r="O11" s="492">
        <v>16</v>
      </c>
      <c r="P11" s="492">
        <v>248</v>
      </c>
      <c r="Q11" s="492">
        <v>246</v>
      </c>
      <c r="R11" s="492">
        <v>163</v>
      </c>
      <c r="S11" s="492">
        <v>112</v>
      </c>
      <c r="T11" s="492">
        <v>114</v>
      </c>
      <c r="U11" s="492">
        <v>52</v>
      </c>
      <c r="V11" s="492">
        <v>83</v>
      </c>
      <c r="W11" s="492">
        <v>11</v>
      </c>
      <c r="X11" s="492">
        <v>69</v>
      </c>
      <c r="Y11" s="492">
        <v>5</v>
      </c>
      <c r="Z11" s="492">
        <v>4</v>
      </c>
      <c r="AA11" s="493">
        <f t="shared" si="27"/>
        <v>1123</v>
      </c>
      <c r="AB11" s="492">
        <v>4</v>
      </c>
      <c r="AC11" s="492">
        <v>7</v>
      </c>
      <c r="AD11" s="492">
        <v>16</v>
      </c>
      <c r="AE11" s="492">
        <v>31</v>
      </c>
      <c r="AF11" s="492">
        <v>22</v>
      </c>
      <c r="AG11" s="492">
        <v>11</v>
      </c>
      <c r="AH11" s="492">
        <v>122</v>
      </c>
      <c r="AI11" s="492">
        <v>4</v>
      </c>
      <c r="AJ11" s="492">
        <v>6</v>
      </c>
      <c r="AK11" s="492">
        <v>16</v>
      </c>
      <c r="AL11" s="492">
        <v>3</v>
      </c>
      <c r="AM11" s="492">
        <v>1</v>
      </c>
      <c r="AN11" s="493">
        <f t="shared" si="28"/>
        <v>243</v>
      </c>
      <c r="AO11" s="492"/>
      <c r="AP11" s="492"/>
      <c r="AQ11" s="492">
        <v>4</v>
      </c>
      <c r="AR11" s="492">
        <v>5</v>
      </c>
      <c r="AS11" s="492">
        <v>4</v>
      </c>
      <c r="AT11" s="492">
        <v>5</v>
      </c>
      <c r="AU11" s="492">
        <v>21</v>
      </c>
      <c r="AV11" s="492"/>
      <c r="AW11" s="492">
        <v>6</v>
      </c>
      <c r="AX11" s="492">
        <v>6</v>
      </c>
      <c r="AY11" s="492"/>
      <c r="AZ11" s="492"/>
      <c r="BA11" s="493">
        <f t="shared" si="29"/>
        <v>51</v>
      </c>
      <c r="BB11" s="492"/>
      <c r="BC11" s="492"/>
      <c r="BD11" s="492">
        <v>8</v>
      </c>
      <c r="BE11" s="492">
        <v>200</v>
      </c>
      <c r="BF11" s="492">
        <v>50</v>
      </c>
      <c r="BG11" s="492">
        <v>25</v>
      </c>
      <c r="BH11" s="492">
        <v>25</v>
      </c>
      <c r="BI11" s="492">
        <v>30</v>
      </c>
      <c r="BJ11" s="492"/>
      <c r="BK11" s="492">
        <v>1230</v>
      </c>
      <c r="BL11" s="492">
        <v>979</v>
      </c>
      <c r="BM11" s="492">
        <v>12</v>
      </c>
      <c r="BN11" s="493">
        <f t="shared" si="30"/>
        <v>2559</v>
      </c>
      <c r="BO11" s="492"/>
      <c r="BP11" s="492"/>
      <c r="BQ11" s="492">
        <v>2</v>
      </c>
      <c r="BR11" s="492"/>
      <c r="BS11" s="492"/>
      <c r="BT11" s="492"/>
      <c r="BU11" s="492">
        <v>120</v>
      </c>
      <c r="BV11" s="492">
        <v>240</v>
      </c>
      <c r="BW11" s="492">
        <v>230</v>
      </c>
      <c r="BX11" s="492">
        <v>280</v>
      </c>
      <c r="BY11" s="492">
        <v>50</v>
      </c>
      <c r="BZ11" s="492">
        <v>170</v>
      </c>
      <c r="CA11" s="493">
        <f t="shared" si="31"/>
        <v>1092</v>
      </c>
      <c r="CB11" s="492"/>
      <c r="CC11" s="492"/>
      <c r="CD11" s="492">
        <v>8</v>
      </c>
      <c r="CE11" s="492">
        <v>12</v>
      </c>
      <c r="CF11" s="492">
        <v>6</v>
      </c>
      <c r="CG11" s="492"/>
      <c r="CH11" s="492">
        <v>24</v>
      </c>
      <c r="CI11" s="492">
        <v>48</v>
      </c>
      <c r="CJ11" s="492">
        <v>2</v>
      </c>
      <c r="CK11" s="492"/>
      <c r="CL11" s="492"/>
      <c r="CM11" s="492"/>
      <c r="CN11" s="493">
        <f t="shared" si="32"/>
        <v>100</v>
      </c>
      <c r="CO11" s="492"/>
      <c r="CP11" s="492">
        <v>4</v>
      </c>
      <c r="CQ11" s="492"/>
      <c r="CR11" s="492">
        <v>2</v>
      </c>
      <c r="CS11" s="492">
        <v>2</v>
      </c>
      <c r="CT11" s="492">
        <v>2</v>
      </c>
      <c r="CU11" s="492"/>
      <c r="CV11" s="492">
        <v>62</v>
      </c>
      <c r="CW11" s="492">
        <v>129</v>
      </c>
      <c r="CX11" s="492"/>
      <c r="CY11" s="492"/>
      <c r="CZ11" s="492"/>
      <c r="DA11" s="493">
        <f t="shared" si="33"/>
        <v>201</v>
      </c>
      <c r="DB11" s="492">
        <v>4</v>
      </c>
      <c r="DC11" s="492">
        <v>4</v>
      </c>
      <c r="DD11" s="492">
        <v>89</v>
      </c>
      <c r="DE11" s="492">
        <v>87</v>
      </c>
      <c r="DF11" s="492">
        <v>28</v>
      </c>
      <c r="DG11" s="492">
        <v>16</v>
      </c>
      <c r="DH11" s="492">
        <v>18</v>
      </c>
      <c r="DI11" s="492">
        <v>34</v>
      </c>
      <c r="DJ11" s="492">
        <v>26</v>
      </c>
      <c r="DK11" s="492">
        <v>3</v>
      </c>
      <c r="DL11" s="492">
        <v>3</v>
      </c>
      <c r="DM11" s="492"/>
      <c r="DN11" s="493">
        <f t="shared" si="34"/>
        <v>312</v>
      </c>
      <c r="DO11" s="492"/>
      <c r="DP11" s="492">
        <v>15</v>
      </c>
      <c r="DQ11" s="492">
        <v>10</v>
      </c>
      <c r="DR11" s="492">
        <v>10</v>
      </c>
      <c r="DS11" s="492">
        <v>25</v>
      </c>
      <c r="DT11" s="492"/>
      <c r="DU11" s="492"/>
      <c r="DV11" s="492"/>
      <c r="DW11" s="492"/>
      <c r="DX11" s="492"/>
      <c r="DY11" s="492">
        <v>23</v>
      </c>
      <c r="DZ11" s="492"/>
      <c r="EA11" s="493">
        <f t="shared" si="35"/>
        <v>83</v>
      </c>
      <c r="EB11" s="492"/>
      <c r="EC11" s="492"/>
      <c r="ED11" s="492">
        <v>15</v>
      </c>
      <c r="EE11" s="492"/>
      <c r="EF11" s="492"/>
      <c r="EG11" s="492"/>
      <c r="EH11" s="492">
        <v>57</v>
      </c>
      <c r="EI11" s="492">
        <v>34</v>
      </c>
      <c r="EJ11" s="492">
        <v>15</v>
      </c>
      <c r="EK11" s="492">
        <v>97</v>
      </c>
      <c r="EL11" s="492">
        <v>101</v>
      </c>
      <c r="EM11" s="492">
        <v>100</v>
      </c>
      <c r="EN11" s="493">
        <f t="shared" si="36"/>
        <v>419</v>
      </c>
      <c r="EO11" s="492"/>
      <c r="EP11" s="492">
        <v>44</v>
      </c>
      <c r="EQ11" s="492">
        <v>48</v>
      </c>
      <c r="ER11" s="492">
        <v>20</v>
      </c>
      <c r="ES11" s="492"/>
      <c r="ET11" s="492"/>
      <c r="EU11" s="492">
        <v>57</v>
      </c>
      <c r="EV11" s="492">
        <v>34</v>
      </c>
      <c r="EW11" s="492">
        <v>45</v>
      </c>
      <c r="EX11" s="492">
        <v>100</v>
      </c>
      <c r="EY11" s="492"/>
      <c r="EZ11" s="492">
        <v>138</v>
      </c>
      <c r="FA11" s="493">
        <f t="shared" si="37"/>
        <v>486</v>
      </c>
      <c r="FB11" s="492">
        <v>56</v>
      </c>
      <c r="FC11" s="492">
        <v>163</v>
      </c>
      <c r="FD11" s="492">
        <v>108</v>
      </c>
      <c r="FE11" s="492">
        <v>65</v>
      </c>
      <c r="FF11" s="492">
        <v>8.0000000000099991</v>
      </c>
      <c r="FG11" s="492"/>
      <c r="FH11" s="492"/>
      <c r="FI11" s="492"/>
      <c r="FJ11" s="492"/>
      <c r="FK11" s="492"/>
      <c r="FL11" s="492"/>
      <c r="FM11" s="492"/>
      <c r="FN11" s="493">
        <f t="shared" si="38"/>
        <v>400.00000000001</v>
      </c>
      <c r="FO11" s="628"/>
      <c r="FP11" s="595">
        <f t="shared" si="39"/>
        <v>225</v>
      </c>
      <c r="FQ11" s="596">
        <f t="shared" si="40"/>
        <v>250</v>
      </c>
      <c r="FR11" s="498">
        <f t="shared" si="41"/>
        <v>112</v>
      </c>
      <c r="FS11" s="597">
        <f t="shared" si="42"/>
        <v>392</v>
      </c>
      <c r="FU11" s="498">
        <f t="shared" si="43"/>
        <v>14500.000000000018</v>
      </c>
      <c r="FV11" s="499" t="s">
        <v>184</v>
      </c>
      <c r="FW11" s="500" t="str">
        <f t="shared" si="44"/>
        <v>OK</v>
      </c>
    </row>
    <row r="12" spans="1:179" ht="15" customHeight="1" x14ac:dyDescent="0.25">
      <c r="A12" s="634" t="s">
        <v>161</v>
      </c>
      <c r="B12" s="492"/>
      <c r="C12" s="492">
        <v>4</v>
      </c>
      <c r="D12" s="492">
        <v>5</v>
      </c>
      <c r="E12" s="492"/>
      <c r="F12" s="492"/>
      <c r="G12" s="492"/>
      <c r="H12" s="492"/>
      <c r="I12" s="492"/>
      <c r="J12" s="492">
        <v>17</v>
      </c>
      <c r="K12" s="492">
        <v>17</v>
      </c>
      <c r="L12" s="492">
        <v>34</v>
      </c>
      <c r="M12" s="492">
        <v>23</v>
      </c>
      <c r="N12" s="493">
        <f t="shared" si="26"/>
        <v>100</v>
      </c>
      <c r="O12" s="492">
        <v>23</v>
      </c>
      <c r="P12" s="492">
        <v>15</v>
      </c>
      <c r="Q12" s="492">
        <v>25</v>
      </c>
      <c r="R12" s="492">
        <v>25</v>
      </c>
      <c r="S12" s="492">
        <v>23</v>
      </c>
      <c r="T12" s="492">
        <v>18</v>
      </c>
      <c r="U12" s="492">
        <v>8</v>
      </c>
      <c r="V12" s="492">
        <v>8</v>
      </c>
      <c r="W12" s="492">
        <v>7</v>
      </c>
      <c r="X12" s="492">
        <v>1</v>
      </c>
      <c r="Y12" s="492">
        <v>1</v>
      </c>
      <c r="Z12" s="492">
        <v>1</v>
      </c>
      <c r="AA12" s="493">
        <f t="shared" si="27"/>
        <v>155</v>
      </c>
      <c r="AB12" s="492">
        <v>8</v>
      </c>
      <c r="AC12" s="492">
        <v>3</v>
      </c>
      <c r="AD12" s="492">
        <v>12</v>
      </c>
      <c r="AE12" s="492">
        <v>10</v>
      </c>
      <c r="AF12" s="492">
        <v>8</v>
      </c>
      <c r="AG12" s="492">
        <v>7</v>
      </c>
      <c r="AH12" s="492">
        <v>2</v>
      </c>
      <c r="AI12" s="492">
        <v>1</v>
      </c>
      <c r="AJ12" s="492">
        <v>16</v>
      </c>
      <c r="AK12" s="492">
        <v>1</v>
      </c>
      <c r="AL12" s="492">
        <v>1</v>
      </c>
      <c r="AM12" s="492">
        <v>1</v>
      </c>
      <c r="AN12" s="493">
        <f t="shared" si="28"/>
        <v>70</v>
      </c>
      <c r="AO12" s="492">
        <v>1</v>
      </c>
      <c r="AP12" s="492"/>
      <c r="AQ12" s="492">
        <v>2</v>
      </c>
      <c r="AR12" s="492">
        <v>3</v>
      </c>
      <c r="AS12" s="492"/>
      <c r="AT12" s="492"/>
      <c r="AU12" s="492">
        <v>31</v>
      </c>
      <c r="AV12" s="492"/>
      <c r="AW12" s="492"/>
      <c r="AX12" s="492">
        <v>24</v>
      </c>
      <c r="AY12" s="492"/>
      <c r="AZ12" s="492"/>
      <c r="BA12" s="493">
        <f t="shared" si="29"/>
        <v>61</v>
      </c>
      <c r="BB12" s="492"/>
      <c r="BC12" s="492"/>
      <c r="BD12" s="492">
        <v>1</v>
      </c>
      <c r="BE12" s="492">
        <v>1</v>
      </c>
      <c r="BF12" s="492"/>
      <c r="BG12" s="492">
        <v>1</v>
      </c>
      <c r="BH12" s="492"/>
      <c r="BI12" s="492"/>
      <c r="BJ12" s="492"/>
      <c r="BK12" s="492"/>
      <c r="BL12" s="492"/>
      <c r="BM12" s="492"/>
      <c r="BN12" s="493">
        <f t="shared" si="30"/>
        <v>3</v>
      </c>
      <c r="BO12" s="492"/>
      <c r="BP12" s="492"/>
      <c r="BQ12" s="492"/>
      <c r="BR12" s="492"/>
      <c r="BS12" s="492"/>
      <c r="BT12" s="492"/>
      <c r="BU12" s="492"/>
      <c r="BV12" s="492"/>
      <c r="BW12" s="492"/>
      <c r="BX12" s="492"/>
      <c r="BY12" s="492"/>
      <c r="BZ12" s="492"/>
      <c r="CA12" s="493">
        <f t="shared" si="31"/>
        <v>0</v>
      </c>
      <c r="CB12" s="492"/>
      <c r="CC12" s="492"/>
      <c r="CD12" s="492">
        <v>5</v>
      </c>
      <c r="CE12" s="492">
        <v>6</v>
      </c>
      <c r="CF12" s="492">
        <v>2</v>
      </c>
      <c r="CG12" s="492"/>
      <c r="CH12" s="492"/>
      <c r="CI12" s="492"/>
      <c r="CJ12" s="492">
        <v>1</v>
      </c>
      <c r="CK12" s="492">
        <v>3</v>
      </c>
      <c r="CL12" s="492">
        <v>8</v>
      </c>
      <c r="CM12" s="492">
        <v>13</v>
      </c>
      <c r="CN12" s="493">
        <f t="shared" si="32"/>
        <v>38</v>
      </c>
      <c r="CO12" s="492">
        <v>5</v>
      </c>
      <c r="CP12" s="492">
        <v>8</v>
      </c>
      <c r="CQ12" s="492">
        <v>29</v>
      </c>
      <c r="CR12" s="492">
        <v>3</v>
      </c>
      <c r="CS12" s="492">
        <v>14</v>
      </c>
      <c r="CT12" s="492"/>
      <c r="CU12" s="492"/>
      <c r="CV12" s="492">
        <v>15</v>
      </c>
      <c r="CW12" s="492">
        <v>4</v>
      </c>
      <c r="CX12" s="492">
        <v>4</v>
      </c>
      <c r="CY12" s="492">
        <v>1</v>
      </c>
      <c r="CZ12" s="492">
        <v>4</v>
      </c>
      <c r="DA12" s="493">
        <f t="shared" si="33"/>
        <v>87</v>
      </c>
      <c r="DB12" s="492">
        <v>2</v>
      </c>
      <c r="DC12" s="492">
        <v>6</v>
      </c>
      <c r="DD12" s="492">
        <v>5</v>
      </c>
      <c r="DE12" s="492">
        <v>5</v>
      </c>
      <c r="DF12" s="492">
        <v>6</v>
      </c>
      <c r="DG12" s="492">
        <v>8</v>
      </c>
      <c r="DH12" s="492">
        <v>5</v>
      </c>
      <c r="DI12" s="492">
        <v>5</v>
      </c>
      <c r="DJ12" s="492">
        <v>3</v>
      </c>
      <c r="DK12" s="492">
        <v>11</v>
      </c>
      <c r="DL12" s="492">
        <v>7</v>
      </c>
      <c r="DM12" s="492">
        <v>8</v>
      </c>
      <c r="DN12" s="493">
        <f t="shared" si="34"/>
        <v>71</v>
      </c>
      <c r="DO12" s="492">
        <v>12</v>
      </c>
      <c r="DP12" s="492"/>
      <c r="DQ12" s="492">
        <v>2</v>
      </c>
      <c r="DR12" s="492">
        <v>17</v>
      </c>
      <c r="DS12" s="492">
        <v>4</v>
      </c>
      <c r="DT12" s="492">
        <v>10</v>
      </c>
      <c r="DU12" s="492">
        <v>2</v>
      </c>
      <c r="DV12" s="492">
        <v>12</v>
      </c>
      <c r="DW12" s="492"/>
      <c r="DX12" s="492">
        <v>27.69</v>
      </c>
      <c r="DY12" s="492"/>
      <c r="DZ12" s="492"/>
      <c r="EA12" s="493">
        <f t="shared" si="35"/>
        <v>86.69</v>
      </c>
      <c r="EB12" s="492"/>
      <c r="EC12" s="492"/>
      <c r="ED12" s="492"/>
      <c r="EE12" s="492"/>
      <c r="EF12" s="492">
        <v>9</v>
      </c>
      <c r="EG12" s="492">
        <v>10</v>
      </c>
      <c r="EH12" s="492"/>
      <c r="EI12" s="492">
        <v>8</v>
      </c>
      <c r="EJ12" s="492"/>
      <c r="EK12" s="492"/>
      <c r="EL12" s="492">
        <v>3</v>
      </c>
      <c r="EM12" s="492">
        <v>4</v>
      </c>
      <c r="EN12" s="493">
        <f t="shared" si="36"/>
        <v>34</v>
      </c>
      <c r="EO12" s="492">
        <v>10</v>
      </c>
      <c r="EP12" s="492">
        <v>7</v>
      </c>
      <c r="EQ12" s="492">
        <v>11.5</v>
      </c>
      <c r="ER12" s="492"/>
      <c r="ES12" s="492"/>
      <c r="ET12" s="492">
        <v>1</v>
      </c>
      <c r="EU12" s="492">
        <v>5</v>
      </c>
      <c r="EV12" s="492">
        <v>8</v>
      </c>
      <c r="EW12" s="492">
        <v>6</v>
      </c>
      <c r="EX12" s="492">
        <v>41</v>
      </c>
      <c r="EY12" s="492"/>
      <c r="EZ12" s="492"/>
      <c r="FA12" s="493">
        <f t="shared" si="37"/>
        <v>89.5</v>
      </c>
      <c r="FB12" s="492"/>
      <c r="FC12" s="492"/>
      <c r="FD12" s="492">
        <v>12</v>
      </c>
      <c r="FE12" s="492">
        <v>17</v>
      </c>
      <c r="FF12" s="492">
        <v>9.9999999999999994E-12</v>
      </c>
      <c r="FG12" s="492"/>
      <c r="FH12" s="492"/>
      <c r="FI12" s="492"/>
      <c r="FJ12" s="492"/>
      <c r="FK12" s="492"/>
      <c r="FL12" s="492"/>
      <c r="FM12" s="492"/>
      <c r="FN12" s="493">
        <f t="shared" si="38"/>
        <v>29.000000000010001</v>
      </c>
      <c r="FO12" s="628"/>
      <c r="FP12" s="595" t="str">
        <f t="shared" si="39"/>
        <v/>
      </c>
      <c r="FQ12" s="596">
        <f t="shared" si="40"/>
        <v>1.7543859649122862</v>
      </c>
      <c r="FR12" s="498">
        <f t="shared" si="41"/>
        <v>28.5</v>
      </c>
      <c r="FS12" s="597">
        <f t="shared" si="42"/>
        <v>29</v>
      </c>
      <c r="FU12" s="498">
        <f t="shared" si="43"/>
        <v>1648.3800000000201</v>
      </c>
      <c r="FV12" s="499" t="s">
        <v>161</v>
      </c>
      <c r="FW12" s="500" t="str">
        <f t="shared" si="44"/>
        <v>OK</v>
      </c>
    </row>
    <row r="13" spans="1:179" ht="15" customHeight="1" x14ac:dyDescent="0.25">
      <c r="A13" s="634" t="s">
        <v>623</v>
      </c>
      <c r="B13" s="492">
        <v>158</v>
      </c>
      <c r="C13" s="492">
        <v>16</v>
      </c>
      <c r="D13" s="492">
        <v>65</v>
      </c>
      <c r="E13" s="492">
        <v>86</v>
      </c>
      <c r="F13" s="492">
        <v>42</v>
      </c>
      <c r="G13" s="492">
        <v>54</v>
      </c>
      <c r="H13" s="492">
        <v>64</v>
      </c>
      <c r="I13" s="492">
        <v>45</v>
      </c>
      <c r="J13" s="492">
        <v>95</v>
      </c>
      <c r="K13" s="492">
        <v>173</v>
      </c>
      <c r="L13" s="492">
        <v>105</v>
      </c>
      <c r="M13" s="492">
        <v>111</v>
      </c>
      <c r="N13" s="493">
        <f t="shared" si="26"/>
        <v>1014</v>
      </c>
      <c r="O13" s="492">
        <v>101</v>
      </c>
      <c r="P13" s="492">
        <v>144</v>
      </c>
      <c r="Q13" s="492">
        <v>112</v>
      </c>
      <c r="R13" s="492">
        <v>39</v>
      </c>
      <c r="S13" s="492">
        <v>35</v>
      </c>
      <c r="T13" s="492">
        <v>21</v>
      </c>
      <c r="U13" s="492">
        <v>19</v>
      </c>
      <c r="V13" s="492">
        <v>1</v>
      </c>
      <c r="W13" s="492">
        <v>6</v>
      </c>
      <c r="X13" s="492">
        <v>2</v>
      </c>
      <c r="Y13" s="492">
        <v>2</v>
      </c>
      <c r="Z13" s="492">
        <v>10</v>
      </c>
      <c r="AA13" s="493">
        <f t="shared" si="27"/>
        <v>492</v>
      </c>
      <c r="AB13" s="492">
        <v>14</v>
      </c>
      <c r="AC13" s="492">
        <v>16</v>
      </c>
      <c r="AD13" s="492">
        <v>33</v>
      </c>
      <c r="AE13" s="492">
        <v>43</v>
      </c>
      <c r="AF13" s="492">
        <v>48</v>
      </c>
      <c r="AG13" s="492">
        <v>12</v>
      </c>
      <c r="AH13" s="492">
        <v>14</v>
      </c>
      <c r="AI13" s="492"/>
      <c r="AJ13" s="492">
        <v>25</v>
      </c>
      <c r="AK13" s="492">
        <v>2</v>
      </c>
      <c r="AL13" s="492"/>
      <c r="AM13" s="492"/>
      <c r="AN13" s="493">
        <f t="shared" si="28"/>
        <v>207</v>
      </c>
      <c r="AO13" s="492">
        <v>4</v>
      </c>
      <c r="AP13" s="492">
        <v>2</v>
      </c>
      <c r="AQ13" s="492">
        <v>2</v>
      </c>
      <c r="AR13" s="492">
        <v>36</v>
      </c>
      <c r="AS13" s="492">
        <v>5</v>
      </c>
      <c r="AT13" s="492">
        <v>3</v>
      </c>
      <c r="AU13" s="492">
        <v>25</v>
      </c>
      <c r="AV13" s="492">
        <v>26</v>
      </c>
      <c r="AW13" s="492">
        <v>61</v>
      </c>
      <c r="AX13" s="492">
        <v>116</v>
      </c>
      <c r="AY13" s="492">
        <v>30</v>
      </c>
      <c r="AZ13" s="492">
        <v>46</v>
      </c>
      <c r="BA13" s="493">
        <f t="shared" si="29"/>
        <v>356</v>
      </c>
      <c r="BB13" s="492">
        <v>8</v>
      </c>
      <c r="BC13" s="492">
        <v>3</v>
      </c>
      <c r="BD13" s="492">
        <v>42</v>
      </c>
      <c r="BE13" s="492">
        <v>19</v>
      </c>
      <c r="BF13" s="492">
        <v>36</v>
      </c>
      <c r="BG13" s="492">
        <v>7</v>
      </c>
      <c r="BH13" s="492">
        <v>5</v>
      </c>
      <c r="BI13" s="492">
        <v>89</v>
      </c>
      <c r="BJ13" s="492">
        <v>110</v>
      </c>
      <c r="BK13" s="492">
        <v>52</v>
      </c>
      <c r="BL13" s="492">
        <v>79</v>
      </c>
      <c r="BM13" s="492">
        <v>107</v>
      </c>
      <c r="BN13" s="493">
        <f t="shared" si="30"/>
        <v>557</v>
      </c>
      <c r="BO13" s="492">
        <v>92</v>
      </c>
      <c r="BP13" s="492">
        <v>20</v>
      </c>
      <c r="BQ13" s="492">
        <v>68</v>
      </c>
      <c r="BR13" s="492">
        <v>47</v>
      </c>
      <c r="BS13" s="492">
        <v>42</v>
      </c>
      <c r="BT13" s="492">
        <v>46</v>
      </c>
      <c r="BU13" s="492">
        <v>22</v>
      </c>
      <c r="BV13" s="492">
        <v>53</v>
      </c>
      <c r="BW13" s="492">
        <v>87</v>
      </c>
      <c r="BX13" s="492">
        <v>102</v>
      </c>
      <c r="BY13" s="492">
        <v>150</v>
      </c>
      <c r="BZ13" s="492">
        <v>144</v>
      </c>
      <c r="CA13" s="493">
        <f t="shared" si="31"/>
        <v>873</v>
      </c>
      <c r="CB13" s="492">
        <v>127</v>
      </c>
      <c r="CC13" s="492">
        <v>176</v>
      </c>
      <c r="CD13" s="492">
        <v>199</v>
      </c>
      <c r="CE13" s="492">
        <v>66</v>
      </c>
      <c r="CF13" s="492">
        <v>114</v>
      </c>
      <c r="CG13" s="492">
        <v>74</v>
      </c>
      <c r="CH13" s="492">
        <v>57</v>
      </c>
      <c r="CI13" s="492">
        <v>2</v>
      </c>
      <c r="CJ13" s="492">
        <v>41</v>
      </c>
      <c r="CK13" s="492">
        <v>68</v>
      </c>
      <c r="CL13" s="492">
        <v>47</v>
      </c>
      <c r="CM13" s="492">
        <v>30</v>
      </c>
      <c r="CN13" s="493">
        <f t="shared" si="32"/>
        <v>1001</v>
      </c>
      <c r="CO13" s="492">
        <v>43</v>
      </c>
      <c r="CP13" s="492">
        <v>109</v>
      </c>
      <c r="CQ13" s="492">
        <v>115</v>
      </c>
      <c r="CR13" s="492">
        <v>117</v>
      </c>
      <c r="CS13" s="492">
        <v>105</v>
      </c>
      <c r="CT13" s="492">
        <v>78</v>
      </c>
      <c r="CU13" s="492">
        <v>6</v>
      </c>
      <c r="CV13" s="492">
        <v>100</v>
      </c>
      <c r="CW13" s="492">
        <v>62</v>
      </c>
      <c r="CX13" s="492">
        <v>56</v>
      </c>
      <c r="CY13" s="492">
        <v>26</v>
      </c>
      <c r="CZ13" s="492">
        <v>34</v>
      </c>
      <c r="DA13" s="493">
        <f t="shared" si="33"/>
        <v>851</v>
      </c>
      <c r="DB13" s="492">
        <v>29</v>
      </c>
      <c r="DC13" s="492">
        <v>110</v>
      </c>
      <c r="DD13" s="492">
        <v>45</v>
      </c>
      <c r="DE13" s="492">
        <v>120</v>
      </c>
      <c r="DF13" s="492">
        <v>47</v>
      </c>
      <c r="DG13" s="492">
        <v>33</v>
      </c>
      <c r="DH13" s="492">
        <v>27</v>
      </c>
      <c r="DI13" s="492">
        <v>46</v>
      </c>
      <c r="DJ13" s="492">
        <v>16</v>
      </c>
      <c r="DK13" s="492">
        <v>79</v>
      </c>
      <c r="DL13" s="492">
        <v>60</v>
      </c>
      <c r="DM13" s="492">
        <v>80</v>
      </c>
      <c r="DN13" s="493">
        <f t="shared" si="34"/>
        <v>692</v>
      </c>
      <c r="DO13" s="492">
        <v>79</v>
      </c>
      <c r="DP13" s="492">
        <v>90</v>
      </c>
      <c r="DQ13" s="492">
        <v>179</v>
      </c>
      <c r="DR13" s="492">
        <v>64</v>
      </c>
      <c r="DS13" s="492">
        <v>131</v>
      </c>
      <c r="DT13" s="492">
        <v>10</v>
      </c>
      <c r="DU13" s="492">
        <v>85</v>
      </c>
      <c r="DV13" s="492">
        <v>72</v>
      </c>
      <c r="DW13" s="492">
        <v>42</v>
      </c>
      <c r="DX13" s="492">
        <v>30</v>
      </c>
      <c r="DY13" s="492">
        <v>134</v>
      </c>
      <c r="DZ13" s="492"/>
      <c r="EA13" s="493">
        <f t="shared" si="35"/>
        <v>916</v>
      </c>
      <c r="EB13" s="492"/>
      <c r="EC13" s="492">
        <v>4</v>
      </c>
      <c r="ED13" s="492">
        <v>30</v>
      </c>
      <c r="EE13" s="492"/>
      <c r="EF13" s="492"/>
      <c r="EG13" s="492">
        <v>78</v>
      </c>
      <c r="EH13" s="492">
        <v>21</v>
      </c>
      <c r="EI13" s="492">
        <v>60</v>
      </c>
      <c r="EJ13" s="492">
        <v>58</v>
      </c>
      <c r="EK13" s="492">
        <v>89</v>
      </c>
      <c r="EL13" s="492">
        <v>83</v>
      </c>
      <c r="EM13" s="492">
        <v>89</v>
      </c>
      <c r="EN13" s="493">
        <f t="shared" si="36"/>
        <v>512</v>
      </c>
      <c r="EO13" s="492">
        <v>87</v>
      </c>
      <c r="EP13" s="492">
        <v>106</v>
      </c>
      <c r="EQ13" s="492">
        <v>76</v>
      </c>
      <c r="ER13" s="492">
        <v>29</v>
      </c>
      <c r="ES13" s="492">
        <v>27</v>
      </c>
      <c r="ET13" s="492">
        <v>11</v>
      </c>
      <c r="EU13" s="492">
        <v>22</v>
      </c>
      <c r="EV13" s="492">
        <v>25</v>
      </c>
      <c r="EW13" s="492">
        <v>2</v>
      </c>
      <c r="EX13" s="492">
        <v>109</v>
      </c>
      <c r="EY13" s="492">
        <v>60</v>
      </c>
      <c r="EZ13" s="492">
        <v>57</v>
      </c>
      <c r="FA13" s="493">
        <f t="shared" si="37"/>
        <v>611</v>
      </c>
      <c r="FB13" s="492">
        <v>16</v>
      </c>
      <c r="FC13" s="492">
        <v>90</v>
      </c>
      <c r="FD13" s="492">
        <v>124</v>
      </c>
      <c r="FE13" s="492">
        <v>53</v>
      </c>
      <c r="FF13" s="492">
        <v>27.000000000010001</v>
      </c>
      <c r="FG13" s="492"/>
      <c r="FH13" s="492"/>
      <c r="FI13" s="492"/>
      <c r="FJ13" s="492"/>
      <c r="FK13" s="492"/>
      <c r="FL13" s="492"/>
      <c r="FM13" s="492"/>
      <c r="FN13" s="493">
        <f t="shared" si="38"/>
        <v>310.00000000001</v>
      </c>
      <c r="FO13" s="628"/>
      <c r="FP13" s="595">
        <f t="shared" si="39"/>
        <v>82.758620689655189</v>
      </c>
      <c r="FQ13" s="596">
        <f t="shared" si="40"/>
        <v>-5.0335570469798636</v>
      </c>
      <c r="FR13" s="498">
        <f t="shared" si="41"/>
        <v>298</v>
      </c>
      <c r="FS13" s="597">
        <f t="shared" si="42"/>
        <v>283</v>
      </c>
      <c r="FU13" s="498">
        <f t="shared" si="43"/>
        <v>16784.000000000022</v>
      </c>
      <c r="FV13" s="499" t="s">
        <v>623</v>
      </c>
      <c r="FW13" s="500" t="str">
        <f t="shared" si="44"/>
        <v>OK</v>
      </c>
    </row>
    <row r="14" spans="1:179" ht="15" customHeight="1" x14ac:dyDescent="0.25">
      <c r="A14" s="634" t="s">
        <v>179</v>
      </c>
      <c r="B14" s="492"/>
      <c r="C14" s="492">
        <v>1</v>
      </c>
      <c r="D14" s="492">
        <v>4</v>
      </c>
      <c r="E14" s="492"/>
      <c r="F14" s="492">
        <v>3</v>
      </c>
      <c r="G14" s="492">
        <v>3</v>
      </c>
      <c r="H14" s="492">
        <v>3</v>
      </c>
      <c r="I14" s="492">
        <v>3</v>
      </c>
      <c r="J14" s="492">
        <v>5</v>
      </c>
      <c r="K14" s="492">
        <v>5</v>
      </c>
      <c r="L14" s="492">
        <v>5</v>
      </c>
      <c r="M14" s="492">
        <v>5</v>
      </c>
      <c r="N14" s="493">
        <f t="shared" si="26"/>
        <v>37</v>
      </c>
      <c r="O14" s="492">
        <v>5</v>
      </c>
      <c r="P14" s="492">
        <v>5</v>
      </c>
      <c r="Q14" s="492">
        <v>5</v>
      </c>
      <c r="R14" s="492">
        <v>5</v>
      </c>
      <c r="S14" s="492">
        <v>5</v>
      </c>
      <c r="T14" s="492">
        <v>9</v>
      </c>
      <c r="U14" s="492">
        <v>15</v>
      </c>
      <c r="V14" s="492"/>
      <c r="W14" s="492"/>
      <c r="X14" s="492"/>
      <c r="Y14" s="492"/>
      <c r="Z14" s="492">
        <v>10</v>
      </c>
      <c r="AA14" s="493">
        <f t="shared" si="27"/>
        <v>59</v>
      </c>
      <c r="AB14" s="492">
        <v>7</v>
      </c>
      <c r="AC14" s="492">
        <v>16</v>
      </c>
      <c r="AD14" s="492">
        <v>17</v>
      </c>
      <c r="AE14" s="492">
        <v>7</v>
      </c>
      <c r="AF14" s="492">
        <v>5</v>
      </c>
      <c r="AG14" s="492">
        <v>5</v>
      </c>
      <c r="AH14" s="492">
        <v>1</v>
      </c>
      <c r="AI14" s="492"/>
      <c r="AJ14" s="492">
        <v>4</v>
      </c>
      <c r="AK14" s="492"/>
      <c r="AL14" s="492"/>
      <c r="AM14" s="492"/>
      <c r="AN14" s="493">
        <f t="shared" si="28"/>
        <v>62</v>
      </c>
      <c r="AO14" s="492"/>
      <c r="AP14" s="492"/>
      <c r="AQ14" s="492">
        <v>1</v>
      </c>
      <c r="AR14" s="492">
        <v>2</v>
      </c>
      <c r="AS14" s="492">
        <v>2</v>
      </c>
      <c r="AT14" s="492">
        <v>6</v>
      </c>
      <c r="AU14" s="492">
        <v>7</v>
      </c>
      <c r="AV14" s="492">
        <v>29</v>
      </c>
      <c r="AW14" s="492">
        <v>31</v>
      </c>
      <c r="AX14" s="492">
        <v>5</v>
      </c>
      <c r="AY14" s="492">
        <v>35</v>
      </c>
      <c r="AZ14" s="492">
        <v>34</v>
      </c>
      <c r="BA14" s="493">
        <f t="shared" si="29"/>
        <v>152</v>
      </c>
      <c r="BB14" s="492">
        <v>13</v>
      </c>
      <c r="BC14" s="492"/>
      <c r="BD14" s="492">
        <v>18</v>
      </c>
      <c r="BE14" s="492">
        <v>8</v>
      </c>
      <c r="BF14" s="492">
        <v>31</v>
      </c>
      <c r="BG14" s="492">
        <v>8</v>
      </c>
      <c r="BH14" s="492">
        <v>9</v>
      </c>
      <c r="BI14" s="492">
        <v>3</v>
      </c>
      <c r="BJ14" s="492">
        <v>4</v>
      </c>
      <c r="BK14" s="492">
        <v>4</v>
      </c>
      <c r="BL14" s="492">
        <v>3</v>
      </c>
      <c r="BM14" s="492">
        <v>10</v>
      </c>
      <c r="BN14" s="493">
        <f t="shared" si="30"/>
        <v>111</v>
      </c>
      <c r="BO14" s="492">
        <v>13</v>
      </c>
      <c r="BP14" s="492">
        <v>14</v>
      </c>
      <c r="BQ14" s="492">
        <v>4</v>
      </c>
      <c r="BR14" s="492">
        <v>6</v>
      </c>
      <c r="BS14" s="492">
        <v>1</v>
      </c>
      <c r="BT14" s="492">
        <v>2</v>
      </c>
      <c r="BU14" s="492"/>
      <c r="BV14" s="492"/>
      <c r="BW14" s="492"/>
      <c r="BX14" s="492">
        <v>3</v>
      </c>
      <c r="BY14" s="492">
        <v>9</v>
      </c>
      <c r="BZ14" s="492">
        <v>14</v>
      </c>
      <c r="CA14" s="493">
        <f t="shared" si="31"/>
        <v>66</v>
      </c>
      <c r="CB14" s="492">
        <v>4</v>
      </c>
      <c r="CC14" s="492">
        <v>6</v>
      </c>
      <c r="CD14" s="492">
        <v>4</v>
      </c>
      <c r="CE14" s="492">
        <v>5</v>
      </c>
      <c r="CF14" s="492">
        <v>5</v>
      </c>
      <c r="CG14" s="492">
        <v>2</v>
      </c>
      <c r="CH14" s="492">
        <v>13</v>
      </c>
      <c r="CI14" s="492"/>
      <c r="CJ14" s="492">
        <v>10</v>
      </c>
      <c r="CK14" s="492">
        <v>20</v>
      </c>
      <c r="CL14" s="492">
        <v>19</v>
      </c>
      <c r="CM14" s="492">
        <v>3</v>
      </c>
      <c r="CN14" s="493">
        <f t="shared" si="32"/>
        <v>91</v>
      </c>
      <c r="CO14" s="492">
        <v>9</v>
      </c>
      <c r="CP14" s="492">
        <v>9</v>
      </c>
      <c r="CQ14" s="492">
        <v>18</v>
      </c>
      <c r="CR14" s="492">
        <v>1</v>
      </c>
      <c r="CS14" s="492">
        <v>9</v>
      </c>
      <c r="CT14" s="492">
        <v>34</v>
      </c>
      <c r="CU14" s="492">
        <v>10</v>
      </c>
      <c r="CV14" s="492">
        <v>22</v>
      </c>
      <c r="CW14" s="492">
        <v>11</v>
      </c>
      <c r="CX14" s="492">
        <v>10</v>
      </c>
      <c r="CY14" s="492">
        <v>9</v>
      </c>
      <c r="CZ14" s="492">
        <v>14</v>
      </c>
      <c r="DA14" s="493">
        <f t="shared" si="33"/>
        <v>156</v>
      </c>
      <c r="DB14" s="492">
        <v>16</v>
      </c>
      <c r="DC14" s="492">
        <v>15</v>
      </c>
      <c r="DD14" s="492">
        <v>5</v>
      </c>
      <c r="DE14" s="492">
        <v>24</v>
      </c>
      <c r="DF14" s="492">
        <v>8</v>
      </c>
      <c r="DG14" s="492">
        <v>10</v>
      </c>
      <c r="DH14" s="492"/>
      <c r="DI14" s="492"/>
      <c r="DJ14" s="492"/>
      <c r="DK14" s="492">
        <v>4</v>
      </c>
      <c r="DL14" s="492">
        <v>10</v>
      </c>
      <c r="DM14" s="492">
        <v>9</v>
      </c>
      <c r="DN14" s="493">
        <f t="shared" si="34"/>
        <v>101</v>
      </c>
      <c r="DO14" s="492"/>
      <c r="DP14" s="492"/>
      <c r="DQ14" s="492">
        <v>2</v>
      </c>
      <c r="DR14" s="492">
        <v>3.66</v>
      </c>
      <c r="DS14" s="492"/>
      <c r="DT14" s="492">
        <v>1</v>
      </c>
      <c r="DU14" s="492">
        <v>7</v>
      </c>
      <c r="DV14" s="492">
        <v>27</v>
      </c>
      <c r="DW14" s="492">
        <v>24</v>
      </c>
      <c r="DX14" s="492">
        <v>22</v>
      </c>
      <c r="DY14" s="492">
        <v>1</v>
      </c>
      <c r="DZ14" s="492"/>
      <c r="EA14" s="493">
        <f t="shared" si="35"/>
        <v>87.66</v>
      </c>
      <c r="EB14" s="492"/>
      <c r="EC14" s="492">
        <v>0.36</v>
      </c>
      <c r="ED14" s="492"/>
      <c r="EE14" s="492"/>
      <c r="EF14" s="492">
        <v>1.06</v>
      </c>
      <c r="EG14" s="492">
        <v>3</v>
      </c>
      <c r="EH14" s="492"/>
      <c r="EI14" s="492"/>
      <c r="EJ14" s="492"/>
      <c r="EK14" s="492">
        <v>15</v>
      </c>
      <c r="EL14" s="492">
        <v>6</v>
      </c>
      <c r="EM14" s="492">
        <v>30</v>
      </c>
      <c r="EN14" s="493">
        <f t="shared" si="36"/>
        <v>55.42</v>
      </c>
      <c r="EO14" s="492">
        <v>5.5</v>
      </c>
      <c r="EP14" s="492">
        <v>3</v>
      </c>
      <c r="EQ14" s="492">
        <v>9</v>
      </c>
      <c r="ER14" s="492">
        <v>0.5</v>
      </c>
      <c r="ES14" s="492"/>
      <c r="ET14" s="492">
        <v>1</v>
      </c>
      <c r="EU14" s="492"/>
      <c r="EV14" s="492"/>
      <c r="EW14" s="492">
        <v>8</v>
      </c>
      <c r="EX14" s="492">
        <v>10</v>
      </c>
      <c r="EY14" s="492">
        <v>3</v>
      </c>
      <c r="EZ14" s="492">
        <v>3</v>
      </c>
      <c r="FA14" s="493">
        <f t="shared" si="37"/>
        <v>43</v>
      </c>
      <c r="FB14" s="492">
        <v>5.5</v>
      </c>
      <c r="FC14" s="492">
        <v>13</v>
      </c>
      <c r="FD14" s="492">
        <v>19</v>
      </c>
      <c r="FE14" s="492">
        <v>22</v>
      </c>
      <c r="FF14" s="492">
        <v>5.00000000001</v>
      </c>
      <c r="FG14" s="492"/>
      <c r="FH14" s="492"/>
      <c r="FI14" s="492"/>
      <c r="FJ14" s="492"/>
      <c r="FK14" s="492"/>
      <c r="FL14" s="492"/>
      <c r="FM14" s="492"/>
      <c r="FN14" s="493">
        <f t="shared" si="38"/>
        <v>64.500000000010004</v>
      </c>
      <c r="FO14" s="628"/>
      <c r="FP14" s="595">
        <f t="shared" si="39"/>
        <v>4300</v>
      </c>
      <c r="FQ14" s="596">
        <f t="shared" si="40"/>
        <v>230.55555555555554</v>
      </c>
      <c r="FR14" s="498">
        <f t="shared" si="41"/>
        <v>18</v>
      </c>
      <c r="FS14" s="597">
        <f t="shared" si="42"/>
        <v>59.5</v>
      </c>
      <c r="FU14" s="498">
        <f t="shared" si="43"/>
        <v>2171.1600000000199</v>
      </c>
      <c r="FV14" s="499" t="s">
        <v>179</v>
      </c>
      <c r="FW14" s="500" t="str">
        <f t="shared" si="44"/>
        <v>OK</v>
      </c>
    </row>
    <row r="15" spans="1:179" ht="15" customHeight="1" x14ac:dyDescent="0.25">
      <c r="A15" s="634" t="s">
        <v>624</v>
      </c>
      <c r="B15" s="492">
        <v>58</v>
      </c>
      <c r="C15" s="492">
        <v>12</v>
      </c>
      <c r="D15" s="492"/>
      <c r="E15" s="492"/>
      <c r="F15" s="492"/>
      <c r="G15" s="492"/>
      <c r="H15" s="492"/>
      <c r="I15" s="492"/>
      <c r="J15" s="492">
        <v>86</v>
      </c>
      <c r="K15" s="492">
        <v>506</v>
      </c>
      <c r="L15" s="492">
        <v>168</v>
      </c>
      <c r="M15" s="492">
        <v>2</v>
      </c>
      <c r="N15" s="493">
        <f t="shared" si="26"/>
        <v>832</v>
      </c>
      <c r="O15" s="492"/>
      <c r="P15" s="492"/>
      <c r="Q15" s="492"/>
      <c r="R15" s="492"/>
      <c r="S15" s="492"/>
      <c r="T15" s="492"/>
      <c r="U15" s="492"/>
      <c r="V15" s="492"/>
      <c r="W15" s="492"/>
      <c r="X15" s="492">
        <v>280</v>
      </c>
      <c r="Y15" s="492">
        <v>270</v>
      </c>
      <c r="Z15" s="492">
        <v>123</v>
      </c>
      <c r="AA15" s="493">
        <f t="shared" si="27"/>
        <v>673</v>
      </c>
      <c r="AB15" s="492">
        <v>6</v>
      </c>
      <c r="AC15" s="492">
        <v>14</v>
      </c>
      <c r="AD15" s="492">
        <v>11</v>
      </c>
      <c r="AE15" s="492"/>
      <c r="AF15" s="492"/>
      <c r="AG15" s="492"/>
      <c r="AH15" s="492"/>
      <c r="AI15" s="492"/>
      <c r="AJ15" s="492">
        <v>5</v>
      </c>
      <c r="AK15" s="492">
        <v>83</v>
      </c>
      <c r="AL15" s="492">
        <v>159</v>
      </c>
      <c r="AM15" s="492">
        <v>56</v>
      </c>
      <c r="AN15" s="493">
        <f t="shared" si="28"/>
        <v>334</v>
      </c>
      <c r="AO15" s="492"/>
      <c r="AP15" s="492"/>
      <c r="AQ15" s="492"/>
      <c r="AR15" s="492"/>
      <c r="AS15" s="492"/>
      <c r="AT15" s="492"/>
      <c r="AU15" s="492"/>
      <c r="AV15" s="492"/>
      <c r="AW15" s="492">
        <v>34</v>
      </c>
      <c r="AX15" s="492">
        <v>103</v>
      </c>
      <c r="AY15" s="492">
        <v>303</v>
      </c>
      <c r="AZ15" s="492">
        <v>28</v>
      </c>
      <c r="BA15" s="493">
        <f t="shared" si="29"/>
        <v>468</v>
      </c>
      <c r="BB15" s="492"/>
      <c r="BC15" s="492"/>
      <c r="BD15" s="492"/>
      <c r="BE15" s="492"/>
      <c r="BF15" s="492"/>
      <c r="BG15" s="492"/>
      <c r="BH15" s="492"/>
      <c r="BI15" s="492"/>
      <c r="BJ15" s="492">
        <v>38</v>
      </c>
      <c r="BK15" s="492">
        <v>133</v>
      </c>
      <c r="BL15" s="492">
        <v>84</v>
      </c>
      <c r="BM15" s="492">
        <v>73</v>
      </c>
      <c r="BN15" s="493">
        <f t="shared" si="30"/>
        <v>328</v>
      </c>
      <c r="BO15" s="492"/>
      <c r="BP15" s="492"/>
      <c r="BQ15" s="492"/>
      <c r="BR15" s="492"/>
      <c r="BS15" s="492"/>
      <c r="BT15" s="492"/>
      <c r="BU15" s="492"/>
      <c r="BV15" s="492"/>
      <c r="BW15" s="492">
        <v>10</v>
      </c>
      <c r="BX15" s="492">
        <v>75</v>
      </c>
      <c r="BY15" s="492">
        <v>126</v>
      </c>
      <c r="BZ15" s="492">
        <v>168</v>
      </c>
      <c r="CA15" s="493">
        <f t="shared" si="31"/>
        <v>379</v>
      </c>
      <c r="CB15" s="492">
        <v>51</v>
      </c>
      <c r="CC15" s="492">
        <v>2</v>
      </c>
      <c r="CD15" s="492">
        <v>2</v>
      </c>
      <c r="CE15" s="492"/>
      <c r="CF15" s="492"/>
      <c r="CG15" s="492"/>
      <c r="CH15" s="492"/>
      <c r="CI15" s="492"/>
      <c r="CJ15" s="492">
        <v>48</v>
      </c>
      <c r="CK15" s="492">
        <v>183</v>
      </c>
      <c r="CL15" s="492">
        <v>117</v>
      </c>
      <c r="CM15" s="492">
        <v>67</v>
      </c>
      <c r="CN15" s="493">
        <f t="shared" si="32"/>
        <v>470</v>
      </c>
      <c r="CO15" s="492"/>
      <c r="CP15" s="492">
        <v>45</v>
      </c>
      <c r="CQ15" s="492">
        <v>35</v>
      </c>
      <c r="CR15" s="492">
        <v>50</v>
      </c>
      <c r="CS15" s="492"/>
      <c r="CT15" s="492"/>
      <c r="CU15" s="492"/>
      <c r="CV15" s="492">
        <v>39</v>
      </c>
      <c r="CW15" s="492">
        <v>61</v>
      </c>
      <c r="CX15" s="492">
        <v>169</v>
      </c>
      <c r="CY15" s="492">
        <v>104</v>
      </c>
      <c r="CZ15" s="492">
        <v>17</v>
      </c>
      <c r="DA15" s="493">
        <f t="shared" si="33"/>
        <v>520</v>
      </c>
      <c r="DB15" s="492">
        <v>3</v>
      </c>
      <c r="DC15" s="492">
        <v>23</v>
      </c>
      <c r="DD15" s="492">
        <v>5</v>
      </c>
      <c r="DE15" s="492"/>
      <c r="DF15" s="492"/>
      <c r="DG15" s="492"/>
      <c r="DH15" s="492"/>
      <c r="DI15" s="492">
        <v>15</v>
      </c>
      <c r="DJ15" s="492">
        <v>38</v>
      </c>
      <c r="DK15" s="492">
        <v>136</v>
      </c>
      <c r="DL15" s="492">
        <v>165</v>
      </c>
      <c r="DM15" s="492">
        <v>119</v>
      </c>
      <c r="DN15" s="493">
        <f t="shared" si="34"/>
        <v>504</v>
      </c>
      <c r="DO15" s="492">
        <v>3</v>
      </c>
      <c r="DP15" s="492">
        <v>4</v>
      </c>
      <c r="DQ15" s="492">
        <v>18</v>
      </c>
      <c r="DR15" s="492">
        <v>2</v>
      </c>
      <c r="DS15" s="492"/>
      <c r="DT15" s="492">
        <v>6</v>
      </c>
      <c r="DU15" s="492"/>
      <c r="DV15" s="492"/>
      <c r="DW15" s="492">
        <v>53</v>
      </c>
      <c r="DX15" s="492">
        <v>265.5</v>
      </c>
      <c r="DY15" s="492">
        <v>382.5</v>
      </c>
      <c r="DZ15" s="492">
        <v>164</v>
      </c>
      <c r="EA15" s="493">
        <f t="shared" si="35"/>
        <v>898</v>
      </c>
      <c r="EB15" s="492">
        <v>19</v>
      </c>
      <c r="EC15" s="492">
        <v>15</v>
      </c>
      <c r="ED15" s="492">
        <v>32</v>
      </c>
      <c r="EE15" s="492"/>
      <c r="EF15" s="492"/>
      <c r="EG15" s="492"/>
      <c r="EH15" s="492"/>
      <c r="EI15" s="492"/>
      <c r="EJ15" s="492">
        <v>8</v>
      </c>
      <c r="EK15" s="492">
        <v>140.5</v>
      </c>
      <c r="EL15" s="492">
        <v>214</v>
      </c>
      <c r="EM15" s="492">
        <v>121</v>
      </c>
      <c r="EN15" s="493">
        <f t="shared" si="36"/>
        <v>549.5</v>
      </c>
      <c r="EO15" s="492">
        <v>21</v>
      </c>
      <c r="EP15" s="492">
        <v>20</v>
      </c>
      <c r="EQ15" s="492">
        <v>15</v>
      </c>
      <c r="ER15" s="492"/>
      <c r="ES15" s="492"/>
      <c r="ET15" s="492"/>
      <c r="EU15" s="492"/>
      <c r="EV15" s="492"/>
      <c r="EW15" s="492">
        <v>9.5</v>
      </c>
      <c r="EX15" s="492">
        <v>184</v>
      </c>
      <c r="EY15" s="492">
        <v>161</v>
      </c>
      <c r="EZ15" s="492">
        <v>109</v>
      </c>
      <c r="FA15" s="493">
        <f t="shared" si="37"/>
        <v>519.5</v>
      </c>
      <c r="FB15" s="492">
        <v>15</v>
      </c>
      <c r="FC15" s="492">
        <v>120</v>
      </c>
      <c r="FD15" s="492">
        <v>12</v>
      </c>
      <c r="FE15" s="492">
        <v>37</v>
      </c>
      <c r="FF15" s="492">
        <v>9.9999999999999994E-12</v>
      </c>
      <c r="FG15" s="492"/>
      <c r="FH15" s="492"/>
      <c r="FI15" s="492"/>
      <c r="FJ15" s="492"/>
      <c r="FK15" s="492"/>
      <c r="FL15" s="492"/>
      <c r="FM15" s="492"/>
      <c r="FN15" s="493">
        <f t="shared" si="38"/>
        <v>184.00000000001</v>
      </c>
      <c r="FO15" s="628"/>
      <c r="FP15" s="595" t="str">
        <f t="shared" si="39"/>
        <v/>
      </c>
      <c r="FQ15" s="596">
        <f t="shared" si="40"/>
        <v>228.57142857142856</v>
      </c>
      <c r="FR15" s="498">
        <f t="shared" si="41"/>
        <v>56</v>
      </c>
      <c r="FS15" s="597">
        <f t="shared" si="42"/>
        <v>184</v>
      </c>
      <c r="FU15" s="498">
        <f t="shared" si="43"/>
        <v>13318.000000000018</v>
      </c>
      <c r="FV15" s="499" t="s">
        <v>624</v>
      </c>
      <c r="FW15" s="500" t="str">
        <f t="shared" si="44"/>
        <v>OK</v>
      </c>
    </row>
    <row r="16" spans="1:179" ht="15" customHeight="1" x14ac:dyDescent="0.25">
      <c r="A16" s="634" t="s">
        <v>625</v>
      </c>
      <c r="B16" s="492">
        <v>10</v>
      </c>
      <c r="C16" s="492">
        <v>15</v>
      </c>
      <c r="D16" s="492">
        <v>20</v>
      </c>
      <c r="E16" s="492"/>
      <c r="F16" s="492"/>
      <c r="G16" s="492"/>
      <c r="H16" s="492"/>
      <c r="I16" s="492">
        <v>5</v>
      </c>
      <c r="J16" s="492">
        <v>595</v>
      </c>
      <c r="K16" s="492">
        <v>760</v>
      </c>
      <c r="L16" s="492">
        <v>367</v>
      </c>
      <c r="M16" s="492">
        <v>65</v>
      </c>
      <c r="N16" s="493">
        <f t="shared" si="26"/>
        <v>1837</v>
      </c>
      <c r="O16" s="492">
        <v>10</v>
      </c>
      <c r="P16" s="492">
        <v>26</v>
      </c>
      <c r="Q16" s="492">
        <v>21</v>
      </c>
      <c r="R16" s="492"/>
      <c r="S16" s="492"/>
      <c r="T16" s="492"/>
      <c r="U16" s="492"/>
      <c r="V16" s="492">
        <v>126</v>
      </c>
      <c r="W16" s="492">
        <v>249</v>
      </c>
      <c r="X16" s="492">
        <v>627</v>
      </c>
      <c r="Y16" s="492">
        <v>354</v>
      </c>
      <c r="Z16" s="492">
        <v>395</v>
      </c>
      <c r="AA16" s="493">
        <f t="shared" si="27"/>
        <v>1808</v>
      </c>
      <c r="AB16" s="492">
        <v>39</v>
      </c>
      <c r="AC16" s="492">
        <v>11</v>
      </c>
      <c r="AD16" s="492">
        <v>16</v>
      </c>
      <c r="AE16" s="492"/>
      <c r="AF16" s="492"/>
      <c r="AG16" s="492"/>
      <c r="AH16" s="492"/>
      <c r="AI16" s="492"/>
      <c r="AJ16" s="492">
        <v>228</v>
      </c>
      <c r="AK16" s="492">
        <v>466</v>
      </c>
      <c r="AL16" s="492">
        <v>464</v>
      </c>
      <c r="AM16" s="492">
        <v>154</v>
      </c>
      <c r="AN16" s="493">
        <f t="shared" si="28"/>
        <v>1378</v>
      </c>
      <c r="AO16" s="492">
        <v>138</v>
      </c>
      <c r="AP16" s="492"/>
      <c r="AQ16" s="492"/>
      <c r="AR16" s="492"/>
      <c r="AS16" s="492"/>
      <c r="AT16" s="492"/>
      <c r="AU16" s="492"/>
      <c r="AV16" s="492"/>
      <c r="AW16" s="492">
        <v>240</v>
      </c>
      <c r="AX16" s="492">
        <v>570</v>
      </c>
      <c r="AY16" s="492">
        <v>504</v>
      </c>
      <c r="AZ16" s="492">
        <v>38</v>
      </c>
      <c r="BA16" s="493">
        <f t="shared" si="29"/>
        <v>1490</v>
      </c>
      <c r="BB16" s="492"/>
      <c r="BC16" s="492">
        <v>3</v>
      </c>
      <c r="BD16" s="492">
        <v>3</v>
      </c>
      <c r="BE16" s="492">
        <v>3</v>
      </c>
      <c r="BF16" s="492"/>
      <c r="BG16" s="492"/>
      <c r="BH16" s="492"/>
      <c r="BI16" s="492">
        <v>25</v>
      </c>
      <c r="BJ16" s="492">
        <v>121</v>
      </c>
      <c r="BK16" s="492">
        <v>175</v>
      </c>
      <c r="BL16" s="492">
        <v>262</v>
      </c>
      <c r="BM16" s="492">
        <v>123</v>
      </c>
      <c r="BN16" s="493">
        <f t="shared" si="30"/>
        <v>715</v>
      </c>
      <c r="BO16" s="492">
        <v>67</v>
      </c>
      <c r="BP16" s="492"/>
      <c r="BQ16" s="492"/>
      <c r="BR16" s="492"/>
      <c r="BS16" s="492"/>
      <c r="BT16" s="492"/>
      <c r="BU16" s="492"/>
      <c r="BV16" s="492">
        <v>27</v>
      </c>
      <c r="BW16" s="492">
        <v>47</v>
      </c>
      <c r="BX16" s="492">
        <v>116</v>
      </c>
      <c r="BY16" s="492">
        <v>228</v>
      </c>
      <c r="BZ16" s="492">
        <v>183</v>
      </c>
      <c r="CA16" s="493">
        <f t="shared" si="31"/>
        <v>668</v>
      </c>
      <c r="CB16" s="492">
        <v>85</v>
      </c>
      <c r="CC16" s="492">
        <v>25</v>
      </c>
      <c r="CD16" s="492">
        <v>7</v>
      </c>
      <c r="CE16" s="492">
        <v>2</v>
      </c>
      <c r="CF16" s="492">
        <v>5</v>
      </c>
      <c r="CG16" s="492"/>
      <c r="CH16" s="492"/>
      <c r="CI16" s="492"/>
      <c r="CJ16" s="492">
        <v>166</v>
      </c>
      <c r="CK16" s="492">
        <v>166</v>
      </c>
      <c r="CL16" s="492">
        <v>125</v>
      </c>
      <c r="CM16" s="492">
        <v>32</v>
      </c>
      <c r="CN16" s="493">
        <f t="shared" si="32"/>
        <v>613</v>
      </c>
      <c r="CO16" s="492">
        <v>50</v>
      </c>
      <c r="CP16" s="492">
        <v>69</v>
      </c>
      <c r="CQ16" s="492">
        <v>46</v>
      </c>
      <c r="CR16" s="492">
        <v>26</v>
      </c>
      <c r="CS16" s="492"/>
      <c r="CT16" s="492"/>
      <c r="CU16" s="492"/>
      <c r="CV16" s="492">
        <v>86</v>
      </c>
      <c r="CW16" s="492">
        <v>109</v>
      </c>
      <c r="CX16" s="492">
        <v>182</v>
      </c>
      <c r="CY16" s="492">
        <v>135</v>
      </c>
      <c r="CZ16" s="492">
        <v>49</v>
      </c>
      <c r="DA16" s="493">
        <f t="shared" si="33"/>
        <v>752</v>
      </c>
      <c r="DB16" s="492">
        <v>29</v>
      </c>
      <c r="DC16" s="492">
        <v>22</v>
      </c>
      <c r="DD16" s="492">
        <v>34</v>
      </c>
      <c r="DE16" s="492">
        <v>3</v>
      </c>
      <c r="DF16" s="492">
        <v>1</v>
      </c>
      <c r="DG16" s="492"/>
      <c r="DH16" s="492">
        <v>2</v>
      </c>
      <c r="DI16" s="492">
        <v>66</v>
      </c>
      <c r="DJ16" s="492">
        <v>87</v>
      </c>
      <c r="DK16" s="492">
        <v>109</v>
      </c>
      <c r="DL16" s="492">
        <v>132</v>
      </c>
      <c r="DM16" s="492">
        <v>88</v>
      </c>
      <c r="DN16" s="493">
        <f t="shared" si="34"/>
        <v>573</v>
      </c>
      <c r="DO16" s="492">
        <v>42</v>
      </c>
      <c r="DP16" s="492">
        <v>48</v>
      </c>
      <c r="DQ16" s="492">
        <v>60</v>
      </c>
      <c r="DR16" s="492">
        <v>31</v>
      </c>
      <c r="DS16" s="492">
        <v>8</v>
      </c>
      <c r="DT16" s="492"/>
      <c r="DU16" s="492">
        <v>6</v>
      </c>
      <c r="DV16" s="492"/>
      <c r="DW16" s="492">
        <v>137</v>
      </c>
      <c r="DX16" s="492">
        <v>140</v>
      </c>
      <c r="DY16" s="492">
        <v>221</v>
      </c>
      <c r="DZ16" s="492">
        <v>95</v>
      </c>
      <c r="EA16" s="493">
        <f t="shared" si="35"/>
        <v>788</v>
      </c>
      <c r="EB16" s="492"/>
      <c r="EC16" s="492">
        <v>33</v>
      </c>
      <c r="ED16" s="492">
        <v>74</v>
      </c>
      <c r="EE16" s="492"/>
      <c r="EF16" s="492"/>
      <c r="EG16" s="492"/>
      <c r="EH16" s="492"/>
      <c r="EI16" s="492"/>
      <c r="EJ16" s="492">
        <v>9</v>
      </c>
      <c r="EK16" s="492">
        <v>217</v>
      </c>
      <c r="EL16" s="492">
        <v>277</v>
      </c>
      <c r="EM16" s="492">
        <v>98</v>
      </c>
      <c r="EN16" s="493">
        <f t="shared" si="36"/>
        <v>708</v>
      </c>
      <c r="EO16" s="492">
        <v>160</v>
      </c>
      <c r="EP16" s="492">
        <v>137</v>
      </c>
      <c r="EQ16" s="492">
        <v>31</v>
      </c>
      <c r="ER16" s="492">
        <v>15</v>
      </c>
      <c r="ES16" s="492"/>
      <c r="ET16" s="492"/>
      <c r="EU16" s="492"/>
      <c r="EV16" s="492"/>
      <c r="EW16" s="492">
        <v>8</v>
      </c>
      <c r="EX16" s="492">
        <v>190</v>
      </c>
      <c r="EY16" s="492">
        <v>244</v>
      </c>
      <c r="EZ16" s="492">
        <v>163</v>
      </c>
      <c r="FA16" s="493">
        <f t="shared" si="37"/>
        <v>948</v>
      </c>
      <c r="FB16" s="492">
        <v>56</v>
      </c>
      <c r="FC16" s="492">
        <v>299</v>
      </c>
      <c r="FD16" s="492">
        <v>138</v>
      </c>
      <c r="FE16" s="492">
        <v>69</v>
      </c>
      <c r="FF16" s="492">
        <v>9.9999999999999994E-12</v>
      </c>
      <c r="FG16" s="492"/>
      <c r="FH16" s="492"/>
      <c r="FI16" s="492"/>
      <c r="FJ16" s="492"/>
      <c r="FK16" s="492"/>
      <c r="FL16" s="492"/>
      <c r="FM16" s="492"/>
      <c r="FN16" s="493">
        <f t="shared" si="38"/>
        <v>562.00000000001</v>
      </c>
      <c r="FO16" s="628"/>
      <c r="FP16" s="549">
        <f t="shared" si="39"/>
        <v>359.99999999999994</v>
      </c>
      <c r="FQ16" s="550">
        <f t="shared" si="40"/>
        <v>63.848396501457728</v>
      </c>
      <c r="FR16" s="551">
        <f t="shared" si="41"/>
        <v>343</v>
      </c>
      <c r="FS16" s="552">
        <f t="shared" si="42"/>
        <v>562</v>
      </c>
      <c r="FU16" s="498">
        <f t="shared" si="43"/>
        <v>25680.000000000022</v>
      </c>
      <c r="FV16" s="499" t="s">
        <v>625</v>
      </c>
      <c r="FW16" s="500" t="str">
        <f t="shared" si="44"/>
        <v>OK</v>
      </c>
    </row>
    <row r="17" spans="1:179" ht="15" customHeight="1" x14ac:dyDescent="0.25">
      <c r="A17" s="634" t="s">
        <v>626</v>
      </c>
      <c r="B17" s="492">
        <v>7</v>
      </c>
      <c r="C17" s="492">
        <v>17</v>
      </c>
      <c r="D17" s="492">
        <v>8</v>
      </c>
      <c r="E17" s="492">
        <v>13</v>
      </c>
      <c r="F17" s="492">
        <v>13</v>
      </c>
      <c r="G17" s="492">
        <v>60</v>
      </c>
      <c r="H17" s="492">
        <v>57</v>
      </c>
      <c r="I17" s="492">
        <v>51</v>
      </c>
      <c r="J17" s="492">
        <v>46</v>
      </c>
      <c r="K17" s="492">
        <v>74</v>
      </c>
      <c r="L17" s="492">
        <v>60</v>
      </c>
      <c r="M17" s="492">
        <v>52</v>
      </c>
      <c r="N17" s="493">
        <f t="shared" si="26"/>
        <v>458</v>
      </c>
      <c r="O17" s="492">
        <v>37</v>
      </c>
      <c r="P17" s="492">
        <v>43</v>
      </c>
      <c r="Q17" s="492">
        <v>54</v>
      </c>
      <c r="R17" s="492">
        <v>35</v>
      </c>
      <c r="S17" s="492">
        <v>21</v>
      </c>
      <c r="T17" s="492">
        <v>23</v>
      </c>
      <c r="U17" s="492">
        <v>19</v>
      </c>
      <c r="V17" s="492"/>
      <c r="W17" s="492">
        <v>13</v>
      </c>
      <c r="X17" s="492"/>
      <c r="Y17" s="492"/>
      <c r="Z17" s="492"/>
      <c r="AA17" s="493">
        <f t="shared" si="27"/>
        <v>245</v>
      </c>
      <c r="AB17" s="492">
        <v>3</v>
      </c>
      <c r="AC17" s="492">
        <v>7</v>
      </c>
      <c r="AD17" s="492">
        <v>18</v>
      </c>
      <c r="AE17" s="492">
        <v>11</v>
      </c>
      <c r="AF17" s="492">
        <v>4</v>
      </c>
      <c r="AG17" s="492">
        <v>3</v>
      </c>
      <c r="AH17" s="492">
        <v>2</v>
      </c>
      <c r="AI17" s="492"/>
      <c r="AJ17" s="492">
        <v>5</v>
      </c>
      <c r="AK17" s="492"/>
      <c r="AL17" s="492"/>
      <c r="AM17" s="492"/>
      <c r="AN17" s="493">
        <f t="shared" si="28"/>
        <v>53</v>
      </c>
      <c r="AO17" s="492"/>
      <c r="AP17" s="492"/>
      <c r="AQ17" s="492"/>
      <c r="AR17" s="492">
        <v>2</v>
      </c>
      <c r="AS17" s="492">
        <v>5</v>
      </c>
      <c r="AT17" s="492">
        <v>32</v>
      </c>
      <c r="AU17" s="492">
        <v>55</v>
      </c>
      <c r="AV17" s="492">
        <v>13</v>
      </c>
      <c r="AW17" s="492">
        <v>37</v>
      </c>
      <c r="AX17" s="492">
        <v>3</v>
      </c>
      <c r="AY17" s="492">
        <v>49</v>
      </c>
      <c r="AZ17" s="492">
        <v>18</v>
      </c>
      <c r="BA17" s="493">
        <f t="shared" si="29"/>
        <v>214</v>
      </c>
      <c r="BB17" s="492">
        <v>20</v>
      </c>
      <c r="BC17" s="492">
        <v>2</v>
      </c>
      <c r="BD17" s="492">
        <v>19</v>
      </c>
      <c r="BE17" s="492">
        <v>7</v>
      </c>
      <c r="BF17" s="492">
        <v>6</v>
      </c>
      <c r="BG17" s="492">
        <v>22</v>
      </c>
      <c r="BH17" s="492">
        <v>16</v>
      </c>
      <c r="BI17" s="492">
        <v>3</v>
      </c>
      <c r="BJ17" s="492">
        <v>7</v>
      </c>
      <c r="BK17" s="492">
        <v>7</v>
      </c>
      <c r="BL17" s="492">
        <v>7</v>
      </c>
      <c r="BM17" s="492">
        <v>7</v>
      </c>
      <c r="BN17" s="493">
        <f t="shared" si="30"/>
        <v>123</v>
      </c>
      <c r="BO17" s="492">
        <v>6</v>
      </c>
      <c r="BP17" s="492">
        <v>6</v>
      </c>
      <c r="BQ17" s="492">
        <v>6</v>
      </c>
      <c r="BR17" s="492">
        <v>7</v>
      </c>
      <c r="BS17" s="492">
        <v>5</v>
      </c>
      <c r="BT17" s="492"/>
      <c r="BU17" s="492">
        <v>3</v>
      </c>
      <c r="BV17" s="492">
        <v>5</v>
      </c>
      <c r="BW17" s="492">
        <v>10</v>
      </c>
      <c r="BX17" s="492">
        <v>13</v>
      </c>
      <c r="BY17" s="492">
        <v>13</v>
      </c>
      <c r="BZ17" s="492">
        <v>15</v>
      </c>
      <c r="CA17" s="493">
        <f t="shared" si="31"/>
        <v>89</v>
      </c>
      <c r="CB17" s="492">
        <v>9</v>
      </c>
      <c r="CC17" s="492">
        <v>4</v>
      </c>
      <c r="CD17" s="492">
        <v>12</v>
      </c>
      <c r="CE17" s="492">
        <v>10</v>
      </c>
      <c r="CF17" s="492">
        <v>10</v>
      </c>
      <c r="CG17" s="492">
        <v>5</v>
      </c>
      <c r="CH17" s="492">
        <v>8</v>
      </c>
      <c r="CI17" s="492"/>
      <c r="CJ17" s="492">
        <v>17</v>
      </c>
      <c r="CK17" s="492">
        <v>33</v>
      </c>
      <c r="CL17" s="492">
        <v>29</v>
      </c>
      <c r="CM17" s="492">
        <v>12</v>
      </c>
      <c r="CN17" s="493">
        <f t="shared" si="32"/>
        <v>149</v>
      </c>
      <c r="CO17" s="492">
        <v>11</v>
      </c>
      <c r="CP17" s="492">
        <v>19</v>
      </c>
      <c r="CQ17" s="492">
        <v>12</v>
      </c>
      <c r="CR17" s="492">
        <v>9</v>
      </c>
      <c r="CS17" s="492">
        <v>11</v>
      </c>
      <c r="CT17" s="492">
        <v>27</v>
      </c>
      <c r="CU17" s="492">
        <v>7</v>
      </c>
      <c r="CV17" s="492">
        <v>12</v>
      </c>
      <c r="CW17" s="492">
        <v>9.5</v>
      </c>
      <c r="CX17" s="492">
        <v>13</v>
      </c>
      <c r="CY17" s="492">
        <v>5</v>
      </c>
      <c r="CZ17" s="492">
        <v>13</v>
      </c>
      <c r="DA17" s="493">
        <f t="shared" si="33"/>
        <v>148.5</v>
      </c>
      <c r="DB17" s="492">
        <v>9</v>
      </c>
      <c r="DC17" s="492">
        <v>9</v>
      </c>
      <c r="DD17" s="492">
        <v>3.5</v>
      </c>
      <c r="DE17" s="492">
        <v>11</v>
      </c>
      <c r="DF17" s="492">
        <v>14</v>
      </c>
      <c r="DG17" s="492">
        <v>18</v>
      </c>
      <c r="DH17" s="492">
        <v>6</v>
      </c>
      <c r="DI17" s="492">
        <v>5</v>
      </c>
      <c r="DJ17" s="492">
        <v>2</v>
      </c>
      <c r="DK17" s="492">
        <v>11</v>
      </c>
      <c r="DL17" s="492">
        <v>7</v>
      </c>
      <c r="DM17" s="492">
        <v>23</v>
      </c>
      <c r="DN17" s="493">
        <f t="shared" si="34"/>
        <v>118.5</v>
      </c>
      <c r="DO17" s="492">
        <v>8</v>
      </c>
      <c r="DP17" s="492"/>
      <c r="DQ17" s="492">
        <v>3</v>
      </c>
      <c r="DR17" s="492">
        <v>12</v>
      </c>
      <c r="DS17" s="492">
        <v>15</v>
      </c>
      <c r="DT17" s="492">
        <v>6</v>
      </c>
      <c r="DU17" s="492">
        <v>31</v>
      </c>
      <c r="DV17" s="492">
        <v>38</v>
      </c>
      <c r="DW17" s="492">
        <v>28</v>
      </c>
      <c r="DX17" s="492">
        <v>21</v>
      </c>
      <c r="DY17" s="492"/>
      <c r="DZ17" s="492">
        <v>14</v>
      </c>
      <c r="EA17" s="493">
        <f t="shared" si="35"/>
        <v>176</v>
      </c>
      <c r="EB17" s="492"/>
      <c r="EC17" s="492">
        <v>1.5</v>
      </c>
      <c r="ED17" s="492">
        <v>34</v>
      </c>
      <c r="EE17" s="492">
        <v>33</v>
      </c>
      <c r="EF17" s="492">
        <v>0.89</v>
      </c>
      <c r="EG17" s="492">
        <v>0.5</v>
      </c>
      <c r="EH17" s="492">
        <v>1</v>
      </c>
      <c r="EI17" s="492">
        <v>7.5</v>
      </c>
      <c r="EJ17" s="492">
        <v>3</v>
      </c>
      <c r="EK17" s="492">
        <v>11</v>
      </c>
      <c r="EL17" s="492">
        <v>51</v>
      </c>
      <c r="EM17" s="492">
        <v>18</v>
      </c>
      <c r="EN17" s="493">
        <f t="shared" si="36"/>
        <v>161.38999999999999</v>
      </c>
      <c r="EO17" s="492">
        <v>15</v>
      </c>
      <c r="EP17" s="492">
        <v>20</v>
      </c>
      <c r="EQ17" s="492">
        <v>10</v>
      </c>
      <c r="ER17" s="492">
        <v>13</v>
      </c>
      <c r="ES17" s="492">
        <v>7</v>
      </c>
      <c r="ET17" s="492">
        <v>1</v>
      </c>
      <c r="EU17" s="492">
        <v>14</v>
      </c>
      <c r="EV17" s="492">
        <v>16</v>
      </c>
      <c r="EW17" s="492">
        <v>8</v>
      </c>
      <c r="EX17" s="492">
        <v>45</v>
      </c>
      <c r="EY17" s="492">
        <v>27</v>
      </c>
      <c r="EZ17" s="492">
        <v>36</v>
      </c>
      <c r="FA17" s="493">
        <f t="shared" si="37"/>
        <v>212</v>
      </c>
      <c r="FB17" s="492">
        <v>12</v>
      </c>
      <c r="FC17" s="492">
        <v>62</v>
      </c>
      <c r="FD17" s="492">
        <v>39</v>
      </c>
      <c r="FE17" s="492">
        <v>25</v>
      </c>
      <c r="FF17" s="492">
        <v>3.00000000001</v>
      </c>
      <c r="FG17" s="492"/>
      <c r="FH17" s="492"/>
      <c r="FI17" s="492"/>
      <c r="FJ17" s="492"/>
      <c r="FK17" s="492"/>
      <c r="FL17" s="492"/>
      <c r="FM17" s="492"/>
      <c r="FN17" s="493">
        <f t="shared" si="38"/>
        <v>141.00000000001</v>
      </c>
      <c r="FO17" s="628"/>
      <c r="FP17" s="595">
        <f t="shared" si="39"/>
        <v>92.307692307692307</v>
      </c>
      <c r="FQ17" s="596">
        <f t="shared" si="40"/>
        <v>137.93103448275863</v>
      </c>
      <c r="FR17" s="498">
        <f t="shared" si="41"/>
        <v>58</v>
      </c>
      <c r="FS17" s="597">
        <f t="shared" si="42"/>
        <v>138</v>
      </c>
      <c r="FU17" s="498">
        <f t="shared" si="43"/>
        <v>4576.7800000000198</v>
      </c>
      <c r="FV17" s="499" t="s">
        <v>626</v>
      </c>
      <c r="FW17" s="500" t="str">
        <f t="shared" si="44"/>
        <v>OK</v>
      </c>
    </row>
    <row r="18" spans="1:179" ht="15" customHeight="1" x14ac:dyDescent="0.25">
      <c r="A18" s="634" t="s">
        <v>181</v>
      </c>
      <c r="B18" s="492">
        <v>806</v>
      </c>
      <c r="C18" s="492">
        <v>1489</v>
      </c>
      <c r="D18" s="492">
        <v>1196</v>
      </c>
      <c r="E18" s="492">
        <v>1092</v>
      </c>
      <c r="F18" s="492">
        <v>1029</v>
      </c>
      <c r="G18" s="492">
        <v>747</v>
      </c>
      <c r="H18" s="492">
        <v>399</v>
      </c>
      <c r="I18" s="492">
        <v>352</v>
      </c>
      <c r="J18" s="492">
        <v>1960</v>
      </c>
      <c r="K18" s="492">
        <v>1611</v>
      </c>
      <c r="L18" s="492">
        <v>1079</v>
      </c>
      <c r="M18" s="492">
        <v>622</v>
      </c>
      <c r="N18" s="493">
        <f t="shared" si="26"/>
        <v>12382</v>
      </c>
      <c r="O18" s="492">
        <v>1315</v>
      </c>
      <c r="P18" s="492">
        <v>1659</v>
      </c>
      <c r="Q18" s="492">
        <v>1227</v>
      </c>
      <c r="R18" s="492">
        <v>914</v>
      </c>
      <c r="S18" s="492">
        <v>1176</v>
      </c>
      <c r="T18" s="492">
        <v>673</v>
      </c>
      <c r="U18" s="492">
        <v>468</v>
      </c>
      <c r="V18" s="492">
        <v>349</v>
      </c>
      <c r="W18" s="492">
        <v>522</v>
      </c>
      <c r="X18" s="492">
        <v>940</v>
      </c>
      <c r="Y18" s="492">
        <v>1344</v>
      </c>
      <c r="Z18" s="492">
        <v>1940</v>
      </c>
      <c r="AA18" s="493">
        <f t="shared" si="27"/>
        <v>12527</v>
      </c>
      <c r="AB18" s="492">
        <v>1615</v>
      </c>
      <c r="AC18" s="492">
        <v>2039</v>
      </c>
      <c r="AD18" s="492">
        <v>1400</v>
      </c>
      <c r="AE18" s="492">
        <v>926</v>
      </c>
      <c r="AF18" s="492">
        <v>685</v>
      </c>
      <c r="AG18" s="492">
        <v>508</v>
      </c>
      <c r="AH18" s="492">
        <v>381</v>
      </c>
      <c r="AI18" s="492">
        <v>166</v>
      </c>
      <c r="AJ18" s="492">
        <v>586</v>
      </c>
      <c r="AK18" s="492">
        <v>776</v>
      </c>
      <c r="AL18" s="492">
        <v>2051</v>
      </c>
      <c r="AM18" s="492">
        <v>937</v>
      </c>
      <c r="AN18" s="493">
        <f t="shared" si="28"/>
        <v>12070</v>
      </c>
      <c r="AO18" s="492">
        <v>1127</v>
      </c>
      <c r="AP18" s="492">
        <v>1728</v>
      </c>
      <c r="AQ18" s="492">
        <v>1424</v>
      </c>
      <c r="AR18" s="492">
        <v>648</v>
      </c>
      <c r="AS18" s="492">
        <v>554</v>
      </c>
      <c r="AT18" s="492">
        <v>355</v>
      </c>
      <c r="AU18" s="492">
        <v>318</v>
      </c>
      <c r="AV18" s="492">
        <v>234</v>
      </c>
      <c r="AW18" s="492">
        <v>837</v>
      </c>
      <c r="AX18" s="492">
        <v>1718</v>
      </c>
      <c r="AY18" s="492">
        <v>3691</v>
      </c>
      <c r="AZ18" s="492">
        <v>1055</v>
      </c>
      <c r="BA18" s="493">
        <f t="shared" si="29"/>
        <v>13689</v>
      </c>
      <c r="BB18" s="492">
        <v>1327</v>
      </c>
      <c r="BC18" s="492">
        <v>1796</v>
      </c>
      <c r="BD18" s="492">
        <v>1327</v>
      </c>
      <c r="BE18" s="492">
        <v>729</v>
      </c>
      <c r="BF18" s="492">
        <v>569</v>
      </c>
      <c r="BG18" s="492">
        <v>327</v>
      </c>
      <c r="BH18" s="492">
        <v>240</v>
      </c>
      <c r="BI18" s="492">
        <v>231</v>
      </c>
      <c r="BJ18" s="492">
        <v>704</v>
      </c>
      <c r="BK18" s="492">
        <v>1424</v>
      </c>
      <c r="BL18" s="492">
        <v>1948</v>
      </c>
      <c r="BM18" s="492">
        <v>1431</v>
      </c>
      <c r="BN18" s="493">
        <f t="shared" si="30"/>
        <v>12053</v>
      </c>
      <c r="BO18" s="492">
        <v>1101</v>
      </c>
      <c r="BP18" s="492">
        <v>1641</v>
      </c>
      <c r="BQ18" s="492">
        <v>838</v>
      </c>
      <c r="BR18" s="492">
        <v>648</v>
      </c>
      <c r="BS18" s="492">
        <v>478</v>
      </c>
      <c r="BT18" s="492">
        <v>302</v>
      </c>
      <c r="BU18" s="492">
        <v>189</v>
      </c>
      <c r="BV18" s="492">
        <v>472</v>
      </c>
      <c r="BW18" s="492">
        <v>661</v>
      </c>
      <c r="BX18" s="492">
        <v>1066</v>
      </c>
      <c r="BY18" s="492">
        <v>1254</v>
      </c>
      <c r="BZ18" s="492">
        <v>1083</v>
      </c>
      <c r="CA18" s="493">
        <f t="shared" si="31"/>
        <v>9733</v>
      </c>
      <c r="CB18" s="492">
        <v>1558</v>
      </c>
      <c r="CC18" s="492">
        <v>1589</v>
      </c>
      <c r="CD18" s="492">
        <v>1204</v>
      </c>
      <c r="CE18" s="492">
        <v>684</v>
      </c>
      <c r="CF18" s="492">
        <v>663</v>
      </c>
      <c r="CG18" s="492">
        <v>673</v>
      </c>
      <c r="CH18" s="492">
        <v>182</v>
      </c>
      <c r="CI18" s="492">
        <v>222</v>
      </c>
      <c r="CJ18" s="492">
        <v>1082</v>
      </c>
      <c r="CK18" s="492">
        <v>863</v>
      </c>
      <c r="CL18" s="492">
        <v>1205</v>
      </c>
      <c r="CM18" s="492">
        <v>733</v>
      </c>
      <c r="CN18" s="493">
        <f t="shared" si="32"/>
        <v>10658</v>
      </c>
      <c r="CO18" s="492">
        <v>806</v>
      </c>
      <c r="CP18" s="492">
        <v>1432</v>
      </c>
      <c r="CQ18" s="492">
        <v>1214</v>
      </c>
      <c r="CR18" s="492">
        <v>667</v>
      </c>
      <c r="CS18" s="492">
        <v>345</v>
      </c>
      <c r="CT18" s="492">
        <v>179</v>
      </c>
      <c r="CU18" s="492">
        <v>105</v>
      </c>
      <c r="CV18" s="492">
        <v>120</v>
      </c>
      <c r="CW18" s="492">
        <v>358</v>
      </c>
      <c r="CX18" s="492">
        <v>703</v>
      </c>
      <c r="CY18" s="492">
        <v>796</v>
      </c>
      <c r="CZ18" s="492">
        <v>337</v>
      </c>
      <c r="DA18" s="493">
        <f t="shared" si="33"/>
        <v>7062</v>
      </c>
      <c r="DB18" s="492">
        <v>1645</v>
      </c>
      <c r="DC18" s="492">
        <v>2284</v>
      </c>
      <c r="DD18" s="492">
        <v>1076</v>
      </c>
      <c r="DE18" s="492">
        <v>531</v>
      </c>
      <c r="DF18" s="492">
        <v>166</v>
      </c>
      <c r="DG18" s="492">
        <v>148</v>
      </c>
      <c r="DH18" s="492">
        <v>90</v>
      </c>
      <c r="DI18" s="492">
        <v>97</v>
      </c>
      <c r="DJ18" s="492">
        <v>311</v>
      </c>
      <c r="DK18" s="492">
        <v>538</v>
      </c>
      <c r="DL18" s="492">
        <v>892</v>
      </c>
      <c r="DM18" s="492">
        <v>896</v>
      </c>
      <c r="DN18" s="493">
        <f t="shared" si="34"/>
        <v>8674</v>
      </c>
      <c r="DO18" s="492">
        <v>2282</v>
      </c>
      <c r="DP18" s="492">
        <v>2486</v>
      </c>
      <c r="DQ18" s="492">
        <v>1397</v>
      </c>
      <c r="DR18" s="492">
        <v>469</v>
      </c>
      <c r="DS18" s="492">
        <v>907</v>
      </c>
      <c r="DT18" s="492">
        <v>386</v>
      </c>
      <c r="DU18" s="492">
        <v>361</v>
      </c>
      <c r="DV18" s="492">
        <v>231</v>
      </c>
      <c r="DW18" s="492">
        <v>350</v>
      </c>
      <c r="DX18" s="492">
        <v>1637</v>
      </c>
      <c r="DY18" s="492">
        <v>1302</v>
      </c>
      <c r="DZ18" s="492">
        <v>912</v>
      </c>
      <c r="EA18" s="493">
        <f t="shared" si="35"/>
        <v>12720</v>
      </c>
      <c r="EB18" s="492">
        <v>441</v>
      </c>
      <c r="EC18" s="492">
        <v>911</v>
      </c>
      <c r="ED18" s="492">
        <v>1270</v>
      </c>
      <c r="EE18" s="492">
        <v>1064</v>
      </c>
      <c r="EF18" s="492">
        <v>324</v>
      </c>
      <c r="EG18" s="492">
        <v>91</v>
      </c>
      <c r="EH18" s="492">
        <v>311</v>
      </c>
      <c r="EI18" s="492">
        <v>257</v>
      </c>
      <c r="EJ18" s="492">
        <v>296</v>
      </c>
      <c r="EK18" s="492">
        <v>1684</v>
      </c>
      <c r="EL18" s="492">
        <v>2801</v>
      </c>
      <c r="EM18" s="492">
        <v>2071</v>
      </c>
      <c r="EN18" s="493">
        <f t="shared" si="36"/>
        <v>11521</v>
      </c>
      <c r="EO18" s="492">
        <v>3121</v>
      </c>
      <c r="EP18" s="492">
        <v>3632</v>
      </c>
      <c r="EQ18" s="492">
        <v>1963</v>
      </c>
      <c r="ER18" s="492">
        <v>1101</v>
      </c>
      <c r="ES18" s="492">
        <v>209</v>
      </c>
      <c r="ET18" s="492">
        <v>109</v>
      </c>
      <c r="EU18" s="492">
        <v>165</v>
      </c>
      <c r="EV18" s="492">
        <v>151</v>
      </c>
      <c r="EW18" s="492">
        <v>313</v>
      </c>
      <c r="EX18" s="492">
        <v>1827</v>
      </c>
      <c r="EY18" s="492">
        <v>1376</v>
      </c>
      <c r="EZ18" s="492">
        <v>1084</v>
      </c>
      <c r="FA18" s="493">
        <f t="shared" si="37"/>
        <v>15051</v>
      </c>
      <c r="FB18" s="492">
        <v>648</v>
      </c>
      <c r="FC18" s="492">
        <v>3997</v>
      </c>
      <c r="FD18" s="492">
        <v>2904</v>
      </c>
      <c r="FE18" s="492">
        <v>287</v>
      </c>
      <c r="FF18" s="492">
        <v>48.000000000009997</v>
      </c>
      <c r="FG18" s="492"/>
      <c r="FH18" s="492"/>
      <c r="FI18" s="492"/>
      <c r="FJ18" s="492"/>
      <c r="FK18" s="492"/>
      <c r="FL18" s="492"/>
      <c r="FM18" s="492"/>
      <c r="FN18" s="493">
        <f t="shared" si="38"/>
        <v>7884.00000000001</v>
      </c>
      <c r="FO18" s="628"/>
      <c r="FP18" s="595">
        <f t="shared" si="39"/>
        <v>-73.932788374205273</v>
      </c>
      <c r="FQ18" s="596">
        <f t="shared" si="40"/>
        <v>-20.179280839360292</v>
      </c>
      <c r="FR18" s="498">
        <f t="shared" si="41"/>
        <v>9817</v>
      </c>
      <c r="FS18" s="597">
        <f t="shared" si="42"/>
        <v>7836</v>
      </c>
      <c r="FU18" s="498">
        <f t="shared" si="43"/>
        <v>292048</v>
      </c>
      <c r="FV18" s="499" t="s">
        <v>181</v>
      </c>
      <c r="FW18" s="500" t="str">
        <f t="shared" si="44"/>
        <v>OK</v>
      </c>
    </row>
    <row r="19" spans="1:179" ht="15" customHeight="1" x14ac:dyDescent="0.25">
      <c r="A19" s="634" t="s">
        <v>174</v>
      </c>
      <c r="B19" s="492">
        <v>5</v>
      </c>
      <c r="C19" s="492">
        <v>4</v>
      </c>
      <c r="D19" s="492">
        <v>3</v>
      </c>
      <c r="E19" s="492"/>
      <c r="F19" s="492"/>
      <c r="G19" s="492"/>
      <c r="H19" s="492"/>
      <c r="I19" s="492">
        <v>19</v>
      </c>
      <c r="J19" s="492">
        <v>28</v>
      </c>
      <c r="K19" s="492">
        <v>40</v>
      </c>
      <c r="L19" s="492">
        <v>34</v>
      </c>
      <c r="M19" s="492">
        <v>35</v>
      </c>
      <c r="N19" s="493">
        <f t="shared" si="26"/>
        <v>168</v>
      </c>
      <c r="O19" s="492">
        <v>35</v>
      </c>
      <c r="P19" s="492">
        <v>34</v>
      </c>
      <c r="Q19" s="492">
        <v>30</v>
      </c>
      <c r="R19" s="492">
        <v>26</v>
      </c>
      <c r="S19" s="492">
        <v>16</v>
      </c>
      <c r="T19" s="492">
        <v>14</v>
      </c>
      <c r="U19" s="492">
        <v>28</v>
      </c>
      <c r="V19" s="492">
        <v>3</v>
      </c>
      <c r="W19" s="492">
        <v>3</v>
      </c>
      <c r="X19" s="492">
        <v>2</v>
      </c>
      <c r="Y19" s="492">
        <v>2</v>
      </c>
      <c r="Z19" s="492">
        <v>2</v>
      </c>
      <c r="AA19" s="493">
        <f t="shared" si="27"/>
        <v>195</v>
      </c>
      <c r="AB19" s="492">
        <v>6</v>
      </c>
      <c r="AC19" s="492">
        <v>5</v>
      </c>
      <c r="AD19" s="492">
        <v>5</v>
      </c>
      <c r="AE19" s="492">
        <v>5</v>
      </c>
      <c r="AF19" s="492">
        <v>5</v>
      </c>
      <c r="AG19" s="492">
        <v>2</v>
      </c>
      <c r="AH19" s="492">
        <v>2</v>
      </c>
      <c r="AI19" s="492">
        <v>1</v>
      </c>
      <c r="AJ19" s="492">
        <v>2</v>
      </c>
      <c r="AK19" s="492">
        <v>3</v>
      </c>
      <c r="AL19" s="492">
        <v>2</v>
      </c>
      <c r="AM19" s="492">
        <v>2</v>
      </c>
      <c r="AN19" s="493">
        <f t="shared" si="28"/>
        <v>40</v>
      </c>
      <c r="AO19" s="492">
        <v>2</v>
      </c>
      <c r="AP19" s="492"/>
      <c r="AQ19" s="492">
        <v>2</v>
      </c>
      <c r="AR19" s="492"/>
      <c r="AS19" s="492">
        <v>2</v>
      </c>
      <c r="AT19" s="492">
        <v>1</v>
      </c>
      <c r="AU19" s="492">
        <v>32</v>
      </c>
      <c r="AV19" s="492">
        <v>1</v>
      </c>
      <c r="AW19" s="492">
        <v>3</v>
      </c>
      <c r="AX19" s="492">
        <v>3</v>
      </c>
      <c r="AY19" s="492">
        <v>3</v>
      </c>
      <c r="AZ19" s="492">
        <v>3</v>
      </c>
      <c r="BA19" s="493">
        <f t="shared" si="29"/>
        <v>52</v>
      </c>
      <c r="BB19" s="492">
        <v>3</v>
      </c>
      <c r="BC19" s="492"/>
      <c r="BD19" s="492">
        <v>5</v>
      </c>
      <c r="BE19" s="492">
        <v>3</v>
      </c>
      <c r="BF19" s="492">
        <v>4</v>
      </c>
      <c r="BG19" s="492">
        <v>3</v>
      </c>
      <c r="BH19" s="492">
        <v>3</v>
      </c>
      <c r="BI19" s="492">
        <v>3</v>
      </c>
      <c r="BJ19" s="492">
        <v>3</v>
      </c>
      <c r="BK19" s="492">
        <v>3</v>
      </c>
      <c r="BL19" s="492">
        <v>3</v>
      </c>
      <c r="BM19" s="492">
        <v>3</v>
      </c>
      <c r="BN19" s="493">
        <f t="shared" si="30"/>
        <v>36</v>
      </c>
      <c r="BO19" s="492">
        <v>4</v>
      </c>
      <c r="BP19" s="492">
        <v>2</v>
      </c>
      <c r="BQ19" s="492">
        <v>3</v>
      </c>
      <c r="BR19" s="492">
        <v>3</v>
      </c>
      <c r="BS19" s="492"/>
      <c r="BT19" s="492"/>
      <c r="BU19" s="492"/>
      <c r="BV19" s="492"/>
      <c r="BW19" s="492">
        <v>10</v>
      </c>
      <c r="BX19" s="492">
        <v>10</v>
      </c>
      <c r="BY19" s="492">
        <v>10</v>
      </c>
      <c r="BZ19" s="492">
        <v>14</v>
      </c>
      <c r="CA19" s="493">
        <f t="shared" si="31"/>
        <v>56</v>
      </c>
      <c r="CB19" s="492">
        <v>2</v>
      </c>
      <c r="CC19" s="492">
        <v>3</v>
      </c>
      <c r="CD19" s="492">
        <v>6</v>
      </c>
      <c r="CE19" s="492">
        <v>5</v>
      </c>
      <c r="CF19" s="492">
        <v>5</v>
      </c>
      <c r="CG19" s="492"/>
      <c r="CH19" s="492"/>
      <c r="CI19" s="492"/>
      <c r="CJ19" s="492">
        <v>7</v>
      </c>
      <c r="CK19" s="492">
        <v>23</v>
      </c>
      <c r="CL19" s="492">
        <v>13</v>
      </c>
      <c r="CM19" s="492">
        <v>2</v>
      </c>
      <c r="CN19" s="493">
        <f t="shared" si="32"/>
        <v>66</v>
      </c>
      <c r="CO19" s="492">
        <v>2</v>
      </c>
      <c r="CP19" s="492">
        <v>5</v>
      </c>
      <c r="CQ19" s="492">
        <v>6</v>
      </c>
      <c r="CR19" s="492">
        <v>1</v>
      </c>
      <c r="CS19" s="492">
        <v>7</v>
      </c>
      <c r="CT19" s="492">
        <v>1</v>
      </c>
      <c r="CU19" s="492">
        <v>1</v>
      </c>
      <c r="CV19" s="492">
        <v>2</v>
      </c>
      <c r="CW19" s="492">
        <v>5</v>
      </c>
      <c r="CX19" s="492">
        <v>3</v>
      </c>
      <c r="CY19" s="492"/>
      <c r="CZ19" s="492">
        <v>5</v>
      </c>
      <c r="DA19" s="493">
        <f t="shared" si="33"/>
        <v>38</v>
      </c>
      <c r="DB19" s="492">
        <v>1</v>
      </c>
      <c r="DC19" s="492">
        <v>1</v>
      </c>
      <c r="DD19" s="492">
        <v>2</v>
      </c>
      <c r="DE19" s="492">
        <v>18</v>
      </c>
      <c r="DF19" s="492">
        <v>17</v>
      </c>
      <c r="DG19" s="492">
        <v>6</v>
      </c>
      <c r="DH19" s="492">
        <v>4</v>
      </c>
      <c r="DI19" s="492">
        <v>3</v>
      </c>
      <c r="DJ19" s="492">
        <v>2</v>
      </c>
      <c r="DK19" s="492">
        <v>7</v>
      </c>
      <c r="DL19" s="492">
        <v>4</v>
      </c>
      <c r="DM19" s="492">
        <v>9</v>
      </c>
      <c r="DN19" s="493">
        <f t="shared" si="34"/>
        <v>74</v>
      </c>
      <c r="DO19" s="492">
        <v>3</v>
      </c>
      <c r="DP19" s="492">
        <v>4</v>
      </c>
      <c r="DQ19" s="492">
        <v>6</v>
      </c>
      <c r="DR19" s="492"/>
      <c r="DS19" s="492"/>
      <c r="DT19" s="492"/>
      <c r="DU19" s="492"/>
      <c r="DV19" s="492"/>
      <c r="DW19" s="492">
        <v>11</v>
      </c>
      <c r="DX19" s="492">
        <v>12</v>
      </c>
      <c r="DY19" s="492">
        <v>12</v>
      </c>
      <c r="DZ19" s="492">
        <v>10</v>
      </c>
      <c r="EA19" s="493">
        <f t="shared" si="35"/>
        <v>58</v>
      </c>
      <c r="EB19" s="492"/>
      <c r="EC19" s="492">
        <v>1</v>
      </c>
      <c r="ED19" s="492">
        <v>0.5</v>
      </c>
      <c r="EE19" s="492"/>
      <c r="EF19" s="492">
        <v>0.17</v>
      </c>
      <c r="EG19" s="492">
        <v>27.5</v>
      </c>
      <c r="EH19" s="492">
        <v>6.5</v>
      </c>
      <c r="EI19" s="492">
        <v>24</v>
      </c>
      <c r="EJ19" s="492">
        <v>23</v>
      </c>
      <c r="EK19" s="492">
        <v>13.5</v>
      </c>
      <c r="EL19" s="492">
        <v>17.5</v>
      </c>
      <c r="EM19" s="492">
        <v>40</v>
      </c>
      <c r="EN19" s="493">
        <f t="shared" si="36"/>
        <v>153.67000000000002</v>
      </c>
      <c r="EO19" s="492">
        <v>2</v>
      </c>
      <c r="EP19" s="492">
        <v>2</v>
      </c>
      <c r="EQ19" s="492">
        <v>9.5</v>
      </c>
      <c r="ER19" s="492">
        <v>1.5</v>
      </c>
      <c r="ES19" s="492"/>
      <c r="ET19" s="492">
        <v>2</v>
      </c>
      <c r="EU19" s="492">
        <v>0.5</v>
      </c>
      <c r="EV19" s="492">
        <v>1</v>
      </c>
      <c r="EW19" s="492">
        <v>2</v>
      </c>
      <c r="EX19" s="492">
        <v>11</v>
      </c>
      <c r="EY19" s="492">
        <v>2</v>
      </c>
      <c r="EZ19" s="492">
        <v>4</v>
      </c>
      <c r="FA19" s="493">
        <f t="shared" si="37"/>
        <v>37.5</v>
      </c>
      <c r="FB19" s="492">
        <v>10</v>
      </c>
      <c r="FC19" s="492">
        <v>1</v>
      </c>
      <c r="FD19" s="492">
        <v>21</v>
      </c>
      <c r="FE19" s="492">
        <v>6</v>
      </c>
      <c r="FF19" s="492">
        <v>9.9999999999999994E-12</v>
      </c>
      <c r="FG19" s="492"/>
      <c r="FH19" s="492"/>
      <c r="FI19" s="492"/>
      <c r="FJ19" s="492"/>
      <c r="FK19" s="492"/>
      <c r="FL19" s="492"/>
      <c r="FM19" s="492"/>
      <c r="FN19" s="493">
        <f t="shared" si="38"/>
        <v>38.000000000009997</v>
      </c>
      <c r="FO19" s="628"/>
      <c r="FP19" s="595">
        <f t="shared" si="39"/>
        <v>300</v>
      </c>
      <c r="FQ19" s="596">
        <f t="shared" si="40"/>
        <v>153.33333333333331</v>
      </c>
      <c r="FR19" s="498">
        <f t="shared" si="41"/>
        <v>15</v>
      </c>
      <c r="FS19" s="597">
        <f t="shared" si="42"/>
        <v>38</v>
      </c>
      <c r="FU19" s="498">
        <f t="shared" si="43"/>
        <v>2024.3400000000202</v>
      </c>
      <c r="FV19" s="499" t="s">
        <v>174</v>
      </c>
      <c r="FW19" s="500" t="str">
        <f t="shared" si="44"/>
        <v>OK</v>
      </c>
    </row>
    <row r="20" spans="1:179" ht="15" customHeight="1" x14ac:dyDescent="0.25">
      <c r="A20" s="634" t="s">
        <v>176</v>
      </c>
      <c r="B20" s="492"/>
      <c r="C20" s="492"/>
      <c r="D20" s="492">
        <v>2</v>
      </c>
      <c r="E20" s="492"/>
      <c r="F20" s="492"/>
      <c r="G20" s="492"/>
      <c r="H20" s="492"/>
      <c r="I20" s="492"/>
      <c r="J20" s="492"/>
      <c r="K20" s="492"/>
      <c r="L20" s="492"/>
      <c r="M20" s="492"/>
      <c r="N20" s="493">
        <f t="shared" si="26"/>
        <v>2</v>
      </c>
      <c r="O20" s="492">
        <v>1</v>
      </c>
      <c r="P20" s="492">
        <v>3</v>
      </c>
      <c r="Q20" s="492">
        <v>4</v>
      </c>
      <c r="R20" s="492">
        <v>2</v>
      </c>
      <c r="S20" s="492"/>
      <c r="T20" s="492">
        <v>3</v>
      </c>
      <c r="U20" s="492">
        <v>9</v>
      </c>
      <c r="V20" s="492">
        <v>2</v>
      </c>
      <c r="W20" s="492">
        <v>2</v>
      </c>
      <c r="X20" s="492">
        <v>3</v>
      </c>
      <c r="Y20" s="492">
        <v>2</v>
      </c>
      <c r="Z20" s="492">
        <v>2</v>
      </c>
      <c r="AA20" s="493">
        <f t="shared" si="27"/>
        <v>33</v>
      </c>
      <c r="AB20" s="492">
        <v>2</v>
      </c>
      <c r="AC20" s="492">
        <v>2</v>
      </c>
      <c r="AD20" s="492">
        <v>3</v>
      </c>
      <c r="AE20" s="492">
        <v>2</v>
      </c>
      <c r="AF20" s="492"/>
      <c r="AG20" s="492">
        <v>3</v>
      </c>
      <c r="AH20" s="492">
        <v>3</v>
      </c>
      <c r="AI20" s="492">
        <v>2</v>
      </c>
      <c r="AJ20" s="492">
        <v>2</v>
      </c>
      <c r="AK20" s="492">
        <v>4</v>
      </c>
      <c r="AL20" s="492">
        <v>3</v>
      </c>
      <c r="AM20" s="492">
        <v>2</v>
      </c>
      <c r="AN20" s="493">
        <f t="shared" si="28"/>
        <v>28</v>
      </c>
      <c r="AO20" s="492"/>
      <c r="AP20" s="492">
        <v>1</v>
      </c>
      <c r="AQ20" s="492">
        <v>3</v>
      </c>
      <c r="AR20" s="492"/>
      <c r="AS20" s="492">
        <v>8</v>
      </c>
      <c r="AT20" s="492">
        <v>2</v>
      </c>
      <c r="AU20" s="492">
        <v>3</v>
      </c>
      <c r="AV20" s="492"/>
      <c r="AW20" s="492">
        <v>6</v>
      </c>
      <c r="AX20" s="492">
        <v>3</v>
      </c>
      <c r="AY20" s="492">
        <v>3</v>
      </c>
      <c r="AZ20" s="492">
        <v>3</v>
      </c>
      <c r="BA20" s="493">
        <f t="shared" si="29"/>
        <v>32</v>
      </c>
      <c r="BB20" s="492">
        <v>3</v>
      </c>
      <c r="BC20" s="492"/>
      <c r="BD20" s="492">
        <v>3</v>
      </c>
      <c r="BE20" s="492">
        <v>2</v>
      </c>
      <c r="BF20" s="492">
        <v>4</v>
      </c>
      <c r="BG20" s="492">
        <v>2</v>
      </c>
      <c r="BH20" s="492">
        <v>3</v>
      </c>
      <c r="BI20" s="492">
        <v>3</v>
      </c>
      <c r="BJ20" s="492">
        <v>2</v>
      </c>
      <c r="BK20" s="492">
        <v>3</v>
      </c>
      <c r="BL20" s="492">
        <v>3</v>
      </c>
      <c r="BM20" s="492">
        <v>3</v>
      </c>
      <c r="BN20" s="493">
        <f t="shared" si="30"/>
        <v>31</v>
      </c>
      <c r="BO20" s="492">
        <v>3</v>
      </c>
      <c r="BP20" s="492">
        <v>4</v>
      </c>
      <c r="BQ20" s="492">
        <v>3</v>
      </c>
      <c r="BR20" s="492">
        <v>4</v>
      </c>
      <c r="BS20" s="492">
        <v>1</v>
      </c>
      <c r="BT20" s="492"/>
      <c r="BU20" s="492"/>
      <c r="BV20" s="492"/>
      <c r="BW20" s="492"/>
      <c r="BX20" s="492"/>
      <c r="BY20" s="492"/>
      <c r="BZ20" s="492">
        <v>2</v>
      </c>
      <c r="CA20" s="493">
        <f t="shared" si="31"/>
        <v>17</v>
      </c>
      <c r="CB20" s="492">
        <v>2</v>
      </c>
      <c r="CC20" s="492">
        <v>1</v>
      </c>
      <c r="CD20" s="492">
        <v>2</v>
      </c>
      <c r="CE20" s="492">
        <v>1</v>
      </c>
      <c r="CF20" s="492">
        <v>1</v>
      </c>
      <c r="CG20" s="492"/>
      <c r="CH20" s="492"/>
      <c r="CI20" s="492"/>
      <c r="CJ20" s="492"/>
      <c r="CK20" s="492">
        <v>3</v>
      </c>
      <c r="CL20" s="492"/>
      <c r="CM20" s="492"/>
      <c r="CN20" s="493">
        <f t="shared" si="32"/>
        <v>10</v>
      </c>
      <c r="CO20" s="492">
        <v>2</v>
      </c>
      <c r="CP20" s="492"/>
      <c r="CQ20" s="492">
        <v>2</v>
      </c>
      <c r="CR20" s="492"/>
      <c r="CS20" s="492"/>
      <c r="CT20" s="492"/>
      <c r="CU20" s="492"/>
      <c r="CV20" s="492">
        <v>1</v>
      </c>
      <c r="CW20" s="492"/>
      <c r="CX20" s="492"/>
      <c r="CY20" s="492"/>
      <c r="CZ20" s="492">
        <v>2</v>
      </c>
      <c r="DA20" s="493">
        <f t="shared" si="33"/>
        <v>7</v>
      </c>
      <c r="DB20" s="492"/>
      <c r="DC20" s="492"/>
      <c r="DD20" s="492">
        <v>5</v>
      </c>
      <c r="DE20" s="492">
        <v>12</v>
      </c>
      <c r="DF20" s="492">
        <v>10</v>
      </c>
      <c r="DG20" s="492">
        <v>3</v>
      </c>
      <c r="DH20" s="492"/>
      <c r="DI20" s="492"/>
      <c r="DJ20" s="492"/>
      <c r="DK20" s="492"/>
      <c r="DL20" s="492"/>
      <c r="DM20" s="492">
        <v>4</v>
      </c>
      <c r="DN20" s="493">
        <f t="shared" si="34"/>
        <v>34</v>
      </c>
      <c r="DO20" s="492"/>
      <c r="DP20" s="492"/>
      <c r="DQ20" s="492">
        <v>2</v>
      </c>
      <c r="DR20" s="492"/>
      <c r="DS20" s="492"/>
      <c r="DT20" s="492"/>
      <c r="DU20" s="492"/>
      <c r="DV20" s="492"/>
      <c r="DW20" s="492"/>
      <c r="DX20" s="492"/>
      <c r="DY20" s="492"/>
      <c r="DZ20" s="492"/>
      <c r="EA20" s="493">
        <f t="shared" si="35"/>
        <v>2</v>
      </c>
      <c r="EB20" s="492"/>
      <c r="EC20" s="492"/>
      <c r="ED20" s="492"/>
      <c r="EE20" s="492"/>
      <c r="EF20" s="492"/>
      <c r="EG20" s="492"/>
      <c r="EH20" s="492"/>
      <c r="EI20" s="492"/>
      <c r="EJ20" s="492"/>
      <c r="EK20" s="492"/>
      <c r="EL20" s="492">
        <v>13</v>
      </c>
      <c r="EM20" s="492">
        <v>12</v>
      </c>
      <c r="EN20" s="493">
        <f t="shared" si="36"/>
        <v>25</v>
      </c>
      <c r="EO20" s="492">
        <v>1</v>
      </c>
      <c r="EP20" s="492">
        <v>5</v>
      </c>
      <c r="EQ20" s="492">
        <v>3</v>
      </c>
      <c r="ER20" s="492">
        <v>1.5</v>
      </c>
      <c r="ES20" s="492"/>
      <c r="ET20" s="492"/>
      <c r="EU20" s="492">
        <v>1.5</v>
      </c>
      <c r="EV20" s="492"/>
      <c r="EW20" s="492"/>
      <c r="EX20" s="492">
        <v>3</v>
      </c>
      <c r="EY20" s="492"/>
      <c r="EZ20" s="492"/>
      <c r="FA20" s="493">
        <f t="shared" si="37"/>
        <v>15</v>
      </c>
      <c r="FB20" s="492"/>
      <c r="FC20" s="492">
        <v>2</v>
      </c>
      <c r="FD20" s="492">
        <v>16</v>
      </c>
      <c r="FE20" s="492">
        <v>1</v>
      </c>
      <c r="FF20" s="492">
        <v>6.00000000001</v>
      </c>
      <c r="FG20" s="492"/>
      <c r="FH20" s="492"/>
      <c r="FI20" s="492"/>
      <c r="FJ20" s="492"/>
      <c r="FK20" s="492"/>
      <c r="FL20" s="492"/>
      <c r="FM20" s="492"/>
      <c r="FN20" s="493">
        <f t="shared" si="38"/>
        <v>25.000000000010001</v>
      </c>
      <c r="FO20" s="628"/>
      <c r="FP20" s="595">
        <f t="shared" si="39"/>
        <v>-33.333333333333336</v>
      </c>
      <c r="FQ20" s="596">
        <f t="shared" si="40"/>
        <v>80.952380952380949</v>
      </c>
      <c r="FR20" s="498">
        <f t="shared" si="41"/>
        <v>10.5</v>
      </c>
      <c r="FS20" s="597">
        <f t="shared" si="42"/>
        <v>19</v>
      </c>
      <c r="FU20" s="498">
        <f t="shared" si="43"/>
        <v>522.00000000002001</v>
      </c>
      <c r="FV20" s="499" t="s">
        <v>176</v>
      </c>
      <c r="FW20" s="500" t="str">
        <f t="shared" si="44"/>
        <v>OK</v>
      </c>
    </row>
    <row r="21" spans="1:179" ht="15" customHeight="1" x14ac:dyDescent="0.25">
      <c r="A21" s="634" t="s">
        <v>180</v>
      </c>
      <c r="B21" s="492">
        <v>4</v>
      </c>
      <c r="C21" s="492">
        <v>2</v>
      </c>
      <c r="D21" s="492">
        <v>4</v>
      </c>
      <c r="E21" s="492">
        <v>8</v>
      </c>
      <c r="F21" s="492"/>
      <c r="G21" s="492"/>
      <c r="H21" s="492"/>
      <c r="I21" s="492"/>
      <c r="J21" s="492">
        <v>24</v>
      </c>
      <c r="K21" s="492">
        <v>76</v>
      </c>
      <c r="L21" s="492">
        <v>52</v>
      </c>
      <c r="M21" s="492">
        <v>9</v>
      </c>
      <c r="N21" s="493">
        <f t="shared" si="26"/>
        <v>179</v>
      </c>
      <c r="O21" s="492">
        <v>15</v>
      </c>
      <c r="P21" s="492">
        <v>20</v>
      </c>
      <c r="Q21" s="492"/>
      <c r="R21" s="492"/>
      <c r="S21" s="492"/>
      <c r="T21" s="492"/>
      <c r="U21" s="492"/>
      <c r="V21" s="492"/>
      <c r="W21" s="492">
        <v>5</v>
      </c>
      <c r="X21" s="492">
        <v>38</v>
      </c>
      <c r="Y21" s="492">
        <v>61</v>
      </c>
      <c r="Z21" s="492">
        <v>63</v>
      </c>
      <c r="AA21" s="493">
        <f t="shared" si="27"/>
        <v>202</v>
      </c>
      <c r="AB21" s="492">
        <v>6</v>
      </c>
      <c r="AC21" s="492">
        <v>18</v>
      </c>
      <c r="AD21" s="492">
        <v>10</v>
      </c>
      <c r="AE21" s="492">
        <v>5</v>
      </c>
      <c r="AF21" s="492"/>
      <c r="AG21" s="492"/>
      <c r="AH21" s="492"/>
      <c r="AI21" s="492"/>
      <c r="AJ21" s="492"/>
      <c r="AK21" s="492">
        <v>43</v>
      </c>
      <c r="AL21" s="492">
        <v>81</v>
      </c>
      <c r="AM21" s="492">
        <v>68</v>
      </c>
      <c r="AN21" s="493">
        <f t="shared" si="28"/>
        <v>231</v>
      </c>
      <c r="AO21" s="492">
        <v>88</v>
      </c>
      <c r="AP21" s="492"/>
      <c r="AQ21" s="492"/>
      <c r="AR21" s="492"/>
      <c r="AS21" s="492"/>
      <c r="AT21" s="492"/>
      <c r="AU21" s="492"/>
      <c r="AV21" s="492"/>
      <c r="AW21" s="492">
        <v>27</v>
      </c>
      <c r="AX21" s="492">
        <v>74</v>
      </c>
      <c r="AY21" s="492">
        <v>105</v>
      </c>
      <c r="AZ21" s="492">
        <v>26</v>
      </c>
      <c r="BA21" s="493">
        <f t="shared" si="29"/>
        <v>320</v>
      </c>
      <c r="BB21" s="492">
        <v>48</v>
      </c>
      <c r="BC21" s="492"/>
      <c r="BD21" s="492"/>
      <c r="BE21" s="492"/>
      <c r="BF21" s="492"/>
      <c r="BG21" s="492"/>
      <c r="BH21" s="492"/>
      <c r="BI21" s="492">
        <v>16</v>
      </c>
      <c r="BJ21" s="492">
        <v>38</v>
      </c>
      <c r="BK21" s="492">
        <v>47</v>
      </c>
      <c r="BL21" s="492">
        <v>89</v>
      </c>
      <c r="BM21" s="492">
        <v>68</v>
      </c>
      <c r="BN21" s="493">
        <f t="shared" si="30"/>
        <v>306</v>
      </c>
      <c r="BO21" s="492">
        <v>14</v>
      </c>
      <c r="BP21" s="492">
        <v>12</v>
      </c>
      <c r="BQ21" s="492">
        <v>12</v>
      </c>
      <c r="BR21" s="492">
        <v>2</v>
      </c>
      <c r="BS21" s="492"/>
      <c r="BT21" s="492"/>
      <c r="BU21" s="492"/>
      <c r="BV21" s="492"/>
      <c r="BW21" s="492">
        <v>2</v>
      </c>
      <c r="BX21" s="492">
        <v>14</v>
      </c>
      <c r="BY21" s="492">
        <v>28</v>
      </c>
      <c r="BZ21" s="492">
        <v>97</v>
      </c>
      <c r="CA21" s="493">
        <f t="shared" si="31"/>
        <v>181</v>
      </c>
      <c r="CB21" s="492">
        <v>26</v>
      </c>
      <c r="CC21" s="492">
        <v>27</v>
      </c>
      <c r="CD21" s="492">
        <v>18</v>
      </c>
      <c r="CE21" s="492">
        <v>19</v>
      </c>
      <c r="CF21" s="492"/>
      <c r="CG21" s="492"/>
      <c r="CH21" s="492"/>
      <c r="CI21" s="492"/>
      <c r="CJ21" s="492">
        <v>15</v>
      </c>
      <c r="CK21" s="492">
        <v>47</v>
      </c>
      <c r="CL21" s="492">
        <v>51</v>
      </c>
      <c r="CM21" s="492">
        <v>21</v>
      </c>
      <c r="CN21" s="493">
        <f t="shared" si="32"/>
        <v>224</v>
      </c>
      <c r="CO21" s="492"/>
      <c r="CP21" s="492">
        <v>21</v>
      </c>
      <c r="CQ21" s="492">
        <v>11</v>
      </c>
      <c r="CR21" s="492">
        <v>24</v>
      </c>
      <c r="CS21" s="492"/>
      <c r="CT21" s="492"/>
      <c r="CU21" s="492"/>
      <c r="CV21" s="492">
        <v>10</v>
      </c>
      <c r="CW21" s="492">
        <v>39</v>
      </c>
      <c r="CX21" s="492">
        <v>90</v>
      </c>
      <c r="CY21" s="492">
        <v>25</v>
      </c>
      <c r="CZ21" s="492">
        <v>8</v>
      </c>
      <c r="DA21" s="493">
        <f t="shared" si="33"/>
        <v>228</v>
      </c>
      <c r="DB21" s="492">
        <v>24</v>
      </c>
      <c r="DC21" s="492">
        <v>22</v>
      </c>
      <c r="DD21" s="492">
        <v>9</v>
      </c>
      <c r="DE21" s="492">
        <v>16</v>
      </c>
      <c r="DF21" s="492"/>
      <c r="DG21" s="492"/>
      <c r="DH21" s="492">
        <v>1</v>
      </c>
      <c r="DI21" s="492"/>
      <c r="DJ21" s="492">
        <v>24</v>
      </c>
      <c r="DK21" s="492">
        <v>81</v>
      </c>
      <c r="DL21" s="492">
        <v>93.5</v>
      </c>
      <c r="DM21" s="492">
        <v>57.5</v>
      </c>
      <c r="DN21" s="493">
        <f t="shared" si="34"/>
        <v>328</v>
      </c>
      <c r="DO21" s="492">
        <v>3</v>
      </c>
      <c r="DP21" s="492">
        <v>30</v>
      </c>
      <c r="DQ21" s="492">
        <v>20</v>
      </c>
      <c r="DR21" s="492">
        <v>23</v>
      </c>
      <c r="DS21" s="492">
        <v>8</v>
      </c>
      <c r="DT21" s="492">
        <v>24</v>
      </c>
      <c r="DU21" s="492">
        <v>2</v>
      </c>
      <c r="DV21" s="492"/>
      <c r="DW21" s="492">
        <v>26</v>
      </c>
      <c r="DX21" s="492">
        <v>79.5</v>
      </c>
      <c r="DY21" s="492">
        <v>130</v>
      </c>
      <c r="DZ21" s="492">
        <v>86.5</v>
      </c>
      <c r="EA21" s="493">
        <f t="shared" si="35"/>
        <v>432</v>
      </c>
      <c r="EB21" s="492">
        <v>10</v>
      </c>
      <c r="EC21" s="492">
        <v>18</v>
      </c>
      <c r="ED21" s="492">
        <v>58</v>
      </c>
      <c r="EE21" s="492"/>
      <c r="EF21" s="492"/>
      <c r="EG21" s="492">
        <v>10</v>
      </c>
      <c r="EH21" s="492"/>
      <c r="EI21" s="492"/>
      <c r="EJ21" s="492"/>
      <c r="EK21" s="492">
        <v>45</v>
      </c>
      <c r="EL21" s="492">
        <v>67</v>
      </c>
      <c r="EM21" s="492">
        <v>47</v>
      </c>
      <c r="EN21" s="493">
        <f t="shared" si="36"/>
        <v>255</v>
      </c>
      <c r="EO21" s="492">
        <v>3</v>
      </c>
      <c r="EP21" s="492"/>
      <c r="EQ21" s="492">
        <v>4</v>
      </c>
      <c r="ER21" s="492">
        <v>14</v>
      </c>
      <c r="ES21" s="492"/>
      <c r="ET21" s="492"/>
      <c r="EU21" s="492"/>
      <c r="EV21" s="492"/>
      <c r="EW21" s="492">
        <v>10</v>
      </c>
      <c r="EX21" s="492">
        <v>37</v>
      </c>
      <c r="EY21" s="492">
        <v>92</v>
      </c>
      <c r="EZ21" s="492">
        <v>64</v>
      </c>
      <c r="FA21" s="493">
        <f t="shared" si="37"/>
        <v>224</v>
      </c>
      <c r="FB21" s="492">
        <v>10</v>
      </c>
      <c r="FC21" s="492">
        <v>59</v>
      </c>
      <c r="FD21" s="492">
        <v>32</v>
      </c>
      <c r="FE21" s="492">
        <v>5.5</v>
      </c>
      <c r="FF21" s="492">
        <v>9.9999999999999994E-12</v>
      </c>
      <c r="FG21" s="492"/>
      <c r="FH21" s="492"/>
      <c r="FI21" s="492"/>
      <c r="FJ21" s="492"/>
      <c r="FK21" s="492"/>
      <c r="FL21" s="492"/>
      <c r="FM21" s="492"/>
      <c r="FN21" s="493">
        <f t="shared" si="38"/>
        <v>106.50000000001</v>
      </c>
      <c r="FO21" s="628"/>
      <c r="FP21" s="595">
        <f t="shared" si="39"/>
        <v>-60.714285714285722</v>
      </c>
      <c r="FQ21" s="596">
        <f t="shared" si="40"/>
        <v>407.14285714285711</v>
      </c>
      <c r="FR21" s="498">
        <f t="shared" si="41"/>
        <v>21</v>
      </c>
      <c r="FS21" s="597">
        <f t="shared" si="42"/>
        <v>106.5</v>
      </c>
      <c r="FU21" s="498">
        <f t="shared" si="43"/>
        <v>6433.00000000002</v>
      </c>
      <c r="FV21" s="499" t="s">
        <v>180</v>
      </c>
      <c r="FW21" s="500" t="str">
        <f t="shared" si="44"/>
        <v>OK</v>
      </c>
    </row>
    <row r="22" spans="1:179" ht="15" customHeight="1" x14ac:dyDescent="0.25">
      <c r="A22" s="634" t="s">
        <v>172</v>
      </c>
      <c r="B22" s="492">
        <v>7</v>
      </c>
      <c r="C22" s="492">
        <v>5</v>
      </c>
      <c r="D22" s="492">
        <v>2</v>
      </c>
      <c r="E22" s="492">
        <v>2</v>
      </c>
      <c r="F22" s="492">
        <v>13</v>
      </c>
      <c r="G22" s="492">
        <v>38</v>
      </c>
      <c r="H22" s="492">
        <v>38</v>
      </c>
      <c r="I22" s="492">
        <v>40</v>
      </c>
      <c r="J22" s="492">
        <v>35</v>
      </c>
      <c r="K22" s="492">
        <v>53</v>
      </c>
      <c r="L22" s="492">
        <v>33</v>
      </c>
      <c r="M22" s="492">
        <v>36</v>
      </c>
      <c r="N22" s="493">
        <f t="shared" si="26"/>
        <v>302</v>
      </c>
      <c r="O22" s="492">
        <v>37</v>
      </c>
      <c r="P22" s="492">
        <v>29</v>
      </c>
      <c r="Q22" s="492">
        <v>34</v>
      </c>
      <c r="R22" s="492">
        <v>28</v>
      </c>
      <c r="S22" s="492">
        <v>21</v>
      </c>
      <c r="T22" s="492">
        <v>17</v>
      </c>
      <c r="U22" s="492">
        <v>28</v>
      </c>
      <c r="V22" s="492"/>
      <c r="W22" s="492">
        <v>13</v>
      </c>
      <c r="X22" s="492"/>
      <c r="Y22" s="492"/>
      <c r="Z22" s="492"/>
      <c r="AA22" s="493">
        <f t="shared" si="27"/>
        <v>207</v>
      </c>
      <c r="AB22" s="492">
        <v>4</v>
      </c>
      <c r="AC22" s="492">
        <v>9</v>
      </c>
      <c r="AD22" s="492">
        <v>9</v>
      </c>
      <c r="AE22" s="492">
        <v>11</v>
      </c>
      <c r="AF22" s="492">
        <v>9</v>
      </c>
      <c r="AG22" s="492"/>
      <c r="AH22" s="492"/>
      <c r="AI22" s="492"/>
      <c r="AJ22" s="492"/>
      <c r="AK22" s="492">
        <v>1</v>
      </c>
      <c r="AL22" s="492"/>
      <c r="AM22" s="492"/>
      <c r="AN22" s="493">
        <f t="shared" si="28"/>
        <v>43</v>
      </c>
      <c r="AO22" s="492"/>
      <c r="AP22" s="492"/>
      <c r="AQ22" s="492"/>
      <c r="AR22" s="492"/>
      <c r="AS22" s="492">
        <v>1</v>
      </c>
      <c r="AT22" s="492">
        <v>6</v>
      </c>
      <c r="AU22" s="492">
        <v>41</v>
      </c>
      <c r="AV22" s="492">
        <v>5</v>
      </c>
      <c r="AW22" s="492">
        <v>49</v>
      </c>
      <c r="AX22" s="492">
        <v>48</v>
      </c>
      <c r="AY22" s="492">
        <v>47</v>
      </c>
      <c r="AZ22" s="492">
        <v>5</v>
      </c>
      <c r="BA22" s="493">
        <f t="shared" si="29"/>
        <v>202</v>
      </c>
      <c r="BB22" s="492">
        <v>5</v>
      </c>
      <c r="BC22" s="492">
        <v>3</v>
      </c>
      <c r="BD22" s="492">
        <v>5</v>
      </c>
      <c r="BE22" s="492">
        <v>8</v>
      </c>
      <c r="BF22" s="492">
        <v>5</v>
      </c>
      <c r="BG22" s="492">
        <v>4</v>
      </c>
      <c r="BH22" s="492">
        <v>4</v>
      </c>
      <c r="BI22" s="492">
        <v>4</v>
      </c>
      <c r="BJ22" s="492">
        <v>4</v>
      </c>
      <c r="BK22" s="492">
        <v>4</v>
      </c>
      <c r="BL22" s="492">
        <v>4</v>
      </c>
      <c r="BM22" s="492">
        <v>7</v>
      </c>
      <c r="BN22" s="493">
        <f t="shared" si="30"/>
        <v>57</v>
      </c>
      <c r="BO22" s="492">
        <v>4</v>
      </c>
      <c r="BP22" s="492">
        <v>3</v>
      </c>
      <c r="BQ22" s="492">
        <v>3</v>
      </c>
      <c r="BR22" s="492">
        <v>4</v>
      </c>
      <c r="BS22" s="492"/>
      <c r="BT22" s="492"/>
      <c r="BU22" s="492">
        <v>2</v>
      </c>
      <c r="BV22" s="492">
        <v>5</v>
      </c>
      <c r="BW22" s="492">
        <v>11</v>
      </c>
      <c r="BX22" s="492">
        <v>11</v>
      </c>
      <c r="BY22" s="492">
        <v>11</v>
      </c>
      <c r="BZ22" s="492">
        <v>15</v>
      </c>
      <c r="CA22" s="493">
        <f t="shared" si="31"/>
        <v>69</v>
      </c>
      <c r="CB22" s="492">
        <v>9</v>
      </c>
      <c r="CC22" s="492">
        <v>3</v>
      </c>
      <c r="CD22" s="492">
        <v>5</v>
      </c>
      <c r="CE22" s="492">
        <v>20</v>
      </c>
      <c r="CF22" s="492">
        <v>19</v>
      </c>
      <c r="CG22" s="492"/>
      <c r="CH22" s="492">
        <v>12</v>
      </c>
      <c r="CI22" s="492">
        <v>1</v>
      </c>
      <c r="CJ22" s="492">
        <v>10</v>
      </c>
      <c r="CK22" s="492">
        <v>33</v>
      </c>
      <c r="CL22" s="492">
        <v>27</v>
      </c>
      <c r="CM22" s="492">
        <v>13</v>
      </c>
      <c r="CN22" s="493">
        <f t="shared" si="32"/>
        <v>152</v>
      </c>
      <c r="CO22" s="492">
        <v>16</v>
      </c>
      <c r="CP22" s="492">
        <v>10</v>
      </c>
      <c r="CQ22" s="492">
        <v>13</v>
      </c>
      <c r="CR22" s="492">
        <v>11</v>
      </c>
      <c r="CS22" s="492">
        <v>11</v>
      </c>
      <c r="CT22" s="492">
        <v>10</v>
      </c>
      <c r="CU22" s="492">
        <v>4</v>
      </c>
      <c r="CV22" s="492">
        <v>16</v>
      </c>
      <c r="CW22" s="492">
        <v>14</v>
      </c>
      <c r="CX22" s="492">
        <v>22</v>
      </c>
      <c r="CY22" s="492">
        <v>33</v>
      </c>
      <c r="CZ22" s="492">
        <v>11</v>
      </c>
      <c r="DA22" s="493">
        <f t="shared" si="33"/>
        <v>171</v>
      </c>
      <c r="DB22" s="492">
        <v>2</v>
      </c>
      <c r="DC22" s="492">
        <v>3</v>
      </c>
      <c r="DD22" s="492">
        <v>1</v>
      </c>
      <c r="DE22" s="492">
        <v>45</v>
      </c>
      <c r="DF22" s="492">
        <v>20</v>
      </c>
      <c r="DG22" s="492">
        <v>10</v>
      </c>
      <c r="DH22" s="492">
        <v>1</v>
      </c>
      <c r="DI22" s="492"/>
      <c r="DJ22" s="492">
        <v>2</v>
      </c>
      <c r="DK22" s="492">
        <v>6</v>
      </c>
      <c r="DL22" s="492">
        <v>4</v>
      </c>
      <c r="DM22" s="492">
        <v>50</v>
      </c>
      <c r="DN22" s="493">
        <f t="shared" si="34"/>
        <v>144</v>
      </c>
      <c r="DO22" s="492">
        <v>4</v>
      </c>
      <c r="DP22" s="492">
        <v>3</v>
      </c>
      <c r="DQ22" s="492">
        <v>7</v>
      </c>
      <c r="DR22" s="492">
        <v>6</v>
      </c>
      <c r="DS22" s="492"/>
      <c r="DT22" s="492"/>
      <c r="DU22" s="492">
        <v>25</v>
      </c>
      <c r="DV22" s="492">
        <v>13</v>
      </c>
      <c r="DW22" s="492">
        <v>40</v>
      </c>
      <c r="DX22" s="492"/>
      <c r="DY22" s="492"/>
      <c r="DZ22" s="492"/>
      <c r="EA22" s="493">
        <f t="shared" si="35"/>
        <v>98</v>
      </c>
      <c r="EB22" s="492"/>
      <c r="EC22" s="492">
        <v>1</v>
      </c>
      <c r="ED22" s="492">
        <v>1.5</v>
      </c>
      <c r="EE22" s="492"/>
      <c r="EF22" s="492">
        <v>2.56</v>
      </c>
      <c r="EG22" s="492">
        <v>1</v>
      </c>
      <c r="EH22" s="492">
        <v>9.5</v>
      </c>
      <c r="EI22" s="492">
        <v>0.5</v>
      </c>
      <c r="EJ22" s="492">
        <v>1.5</v>
      </c>
      <c r="EK22" s="492">
        <v>1.5</v>
      </c>
      <c r="EL22" s="492">
        <v>27</v>
      </c>
      <c r="EM22" s="492">
        <v>29.5</v>
      </c>
      <c r="EN22" s="493">
        <f t="shared" si="36"/>
        <v>75.56</v>
      </c>
      <c r="EO22" s="492">
        <v>3</v>
      </c>
      <c r="EP22" s="492">
        <v>20</v>
      </c>
      <c r="EQ22" s="492">
        <v>13</v>
      </c>
      <c r="ER22" s="492">
        <v>10</v>
      </c>
      <c r="ES22" s="492">
        <v>6</v>
      </c>
      <c r="ET22" s="492">
        <v>7</v>
      </c>
      <c r="EU22" s="492">
        <v>8</v>
      </c>
      <c r="EV22" s="492">
        <v>8</v>
      </c>
      <c r="EW22" s="492">
        <v>1</v>
      </c>
      <c r="EX22" s="492">
        <v>20.5</v>
      </c>
      <c r="EY22" s="492">
        <v>3</v>
      </c>
      <c r="EZ22" s="492">
        <v>4.5</v>
      </c>
      <c r="FA22" s="493">
        <f t="shared" si="37"/>
        <v>104</v>
      </c>
      <c r="FB22" s="492">
        <v>4</v>
      </c>
      <c r="FC22" s="492">
        <v>10</v>
      </c>
      <c r="FD22" s="492">
        <v>20</v>
      </c>
      <c r="FE22" s="492">
        <v>14</v>
      </c>
      <c r="FF22" s="492">
        <v>14.000000000009999</v>
      </c>
      <c r="FG22" s="492"/>
      <c r="FH22" s="492"/>
      <c r="FI22" s="492"/>
      <c r="FJ22" s="492"/>
      <c r="FK22" s="492"/>
      <c r="FL22" s="492"/>
      <c r="FM22" s="492"/>
      <c r="FN22" s="493">
        <f t="shared" si="38"/>
        <v>62.000000000009997</v>
      </c>
      <c r="FO22" s="628"/>
      <c r="FP22" s="595">
        <f t="shared" si="39"/>
        <v>39.999999999999993</v>
      </c>
      <c r="FQ22" s="596">
        <f t="shared" si="40"/>
        <v>4.3478260869565188</v>
      </c>
      <c r="FR22" s="498">
        <f t="shared" si="41"/>
        <v>46</v>
      </c>
      <c r="FS22" s="597">
        <f t="shared" si="42"/>
        <v>48</v>
      </c>
      <c r="FU22" s="498">
        <f t="shared" si="43"/>
        <v>3373.1200000000199</v>
      </c>
      <c r="FV22" s="499" t="s">
        <v>172</v>
      </c>
      <c r="FW22" s="500" t="str">
        <f t="shared" si="44"/>
        <v>OK</v>
      </c>
    </row>
    <row r="23" spans="1:179" ht="15" customHeight="1" x14ac:dyDescent="0.25">
      <c r="A23" s="634" t="s">
        <v>182</v>
      </c>
      <c r="B23" s="492"/>
      <c r="C23" s="492"/>
      <c r="D23" s="492"/>
      <c r="E23" s="492">
        <v>125</v>
      </c>
      <c r="F23" s="492">
        <v>140</v>
      </c>
      <c r="G23" s="492">
        <v>185</v>
      </c>
      <c r="H23" s="492">
        <v>185</v>
      </c>
      <c r="I23" s="492">
        <v>185</v>
      </c>
      <c r="J23" s="492">
        <v>165</v>
      </c>
      <c r="K23" s="492">
        <v>250</v>
      </c>
      <c r="L23" s="492">
        <v>120</v>
      </c>
      <c r="M23" s="492">
        <v>40</v>
      </c>
      <c r="N23" s="493">
        <f t="shared" si="26"/>
        <v>1395</v>
      </c>
      <c r="O23" s="492">
        <v>40</v>
      </c>
      <c r="P23" s="492">
        <v>170</v>
      </c>
      <c r="Q23" s="492">
        <v>50</v>
      </c>
      <c r="R23" s="492">
        <v>20</v>
      </c>
      <c r="S23" s="492"/>
      <c r="T23" s="492">
        <v>428</v>
      </c>
      <c r="U23" s="492">
        <v>130</v>
      </c>
      <c r="V23" s="492">
        <v>10</v>
      </c>
      <c r="W23" s="492">
        <v>3</v>
      </c>
      <c r="X23" s="492"/>
      <c r="Y23" s="492"/>
      <c r="Z23" s="492"/>
      <c r="AA23" s="493">
        <f t="shared" si="27"/>
        <v>851</v>
      </c>
      <c r="AB23" s="492">
        <v>100</v>
      </c>
      <c r="AC23" s="492">
        <v>60</v>
      </c>
      <c r="AD23" s="492">
        <v>40</v>
      </c>
      <c r="AE23" s="492">
        <v>55</v>
      </c>
      <c r="AF23" s="492">
        <v>64</v>
      </c>
      <c r="AG23" s="492">
        <v>20</v>
      </c>
      <c r="AH23" s="492">
        <v>12</v>
      </c>
      <c r="AI23" s="492">
        <v>15</v>
      </c>
      <c r="AJ23" s="492">
        <v>65</v>
      </c>
      <c r="AK23" s="492">
        <v>12</v>
      </c>
      <c r="AL23" s="492">
        <v>8</v>
      </c>
      <c r="AM23" s="492">
        <v>3</v>
      </c>
      <c r="AN23" s="493">
        <f t="shared" si="28"/>
        <v>454</v>
      </c>
      <c r="AO23" s="492">
        <v>5</v>
      </c>
      <c r="AP23" s="492"/>
      <c r="AQ23" s="492">
        <v>15</v>
      </c>
      <c r="AR23" s="492">
        <v>8</v>
      </c>
      <c r="AS23" s="492">
        <v>15</v>
      </c>
      <c r="AT23" s="492"/>
      <c r="AU23" s="492">
        <v>80</v>
      </c>
      <c r="AV23" s="492"/>
      <c r="AW23" s="492"/>
      <c r="AX23" s="492"/>
      <c r="AY23" s="492">
        <v>5</v>
      </c>
      <c r="AZ23" s="492"/>
      <c r="BA23" s="493">
        <f t="shared" si="29"/>
        <v>128</v>
      </c>
      <c r="BB23" s="492"/>
      <c r="BC23" s="492"/>
      <c r="BD23" s="492">
        <v>10</v>
      </c>
      <c r="BE23" s="492">
        <v>15</v>
      </c>
      <c r="BF23" s="492">
        <v>20</v>
      </c>
      <c r="BG23" s="492">
        <v>12</v>
      </c>
      <c r="BH23" s="492">
        <v>12</v>
      </c>
      <c r="BI23" s="492">
        <v>15</v>
      </c>
      <c r="BJ23" s="492">
        <v>35</v>
      </c>
      <c r="BK23" s="492">
        <v>40</v>
      </c>
      <c r="BL23" s="492">
        <v>25</v>
      </c>
      <c r="BM23" s="492"/>
      <c r="BN23" s="493">
        <f t="shared" si="30"/>
        <v>184</v>
      </c>
      <c r="BO23" s="492"/>
      <c r="BP23" s="492">
        <v>25</v>
      </c>
      <c r="BQ23" s="492">
        <v>30</v>
      </c>
      <c r="BR23" s="492">
        <v>25</v>
      </c>
      <c r="BS23" s="492">
        <v>20</v>
      </c>
      <c r="BT23" s="492"/>
      <c r="BU23" s="492"/>
      <c r="BV23" s="492">
        <v>45</v>
      </c>
      <c r="BW23" s="492">
        <v>55</v>
      </c>
      <c r="BX23" s="492">
        <v>40</v>
      </c>
      <c r="BY23" s="492">
        <v>60</v>
      </c>
      <c r="BZ23" s="492">
        <v>77</v>
      </c>
      <c r="CA23" s="493">
        <f t="shared" si="31"/>
        <v>377</v>
      </c>
      <c r="CB23" s="492">
        <v>90</v>
      </c>
      <c r="CC23" s="492">
        <v>78</v>
      </c>
      <c r="CD23" s="492">
        <v>102</v>
      </c>
      <c r="CE23" s="492">
        <v>180</v>
      </c>
      <c r="CF23" s="492">
        <v>850</v>
      </c>
      <c r="CG23" s="492">
        <v>30</v>
      </c>
      <c r="CH23" s="492">
        <v>35</v>
      </c>
      <c r="CI23" s="492"/>
      <c r="CJ23" s="492">
        <v>100</v>
      </c>
      <c r="CK23" s="492">
        <v>40</v>
      </c>
      <c r="CL23" s="492">
        <v>95</v>
      </c>
      <c r="CM23" s="492">
        <v>55</v>
      </c>
      <c r="CN23" s="493">
        <f t="shared" si="32"/>
        <v>1655</v>
      </c>
      <c r="CO23" s="492">
        <v>40</v>
      </c>
      <c r="CP23" s="492">
        <v>65</v>
      </c>
      <c r="CQ23" s="492">
        <v>78</v>
      </c>
      <c r="CR23" s="492">
        <v>80</v>
      </c>
      <c r="CS23" s="492">
        <v>306</v>
      </c>
      <c r="CT23" s="492">
        <v>140</v>
      </c>
      <c r="CU23" s="492">
        <v>119</v>
      </c>
      <c r="CV23" s="492">
        <v>145</v>
      </c>
      <c r="CW23" s="492">
        <v>110</v>
      </c>
      <c r="CX23" s="492">
        <v>25</v>
      </c>
      <c r="CY23" s="492">
        <v>150</v>
      </c>
      <c r="CZ23" s="492">
        <v>50</v>
      </c>
      <c r="DA23" s="493">
        <f t="shared" si="33"/>
        <v>1308</v>
      </c>
      <c r="DB23" s="492">
        <v>55</v>
      </c>
      <c r="DC23" s="492">
        <v>95</v>
      </c>
      <c r="DD23" s="492">
        <v>35</v>
      </c>
      <c r="DE23" s="492">
        <v>490</v>
      </c>
      <c r="DF23" s="492">
        <v>16</v>
      </c>
      <c r="DG23" s="492">
        <v>47</v>
      </c>
      <c r="DH23" s="492">
        <v>23</v>
      </c>
      <c r="DI23" s="492">
        <v>222</v>
      </c>
      <c r="DJ23" s="492">
        <v>163</v>
      </c>
      <c r="DK23" s="492">
        <v>145</v>
      </c>
      <c r="DL23" s="492">
        <v>117</v>
      </c>
      <c r="DM23" s="492">
        <v>42</v>
      </c>
      <c r="DN23" s="493">
        <f t="shared" si="34"/>
        <v>1450</v>
      </c>
      <c r="DO23" s="492">
        <v>160</v>
      </c>
      <c r="DP23" s="492">
        <v>520</v>
      </c>
      <c r="DQ23" s="492">
        <v>525</v>
      </c>
      <c r="DR23" s="492"/>
      <c r="DS23" s="492"/>
      <c r="DT23" s="492">
        <v>220</v>
      </c>
      <c r="DU23" s="492"/>
      <c r="DV23" s="492">
        <v>210</v>
      </c>
      <c r="DW23" s="492"/>
      <c r="DX23" s="492">
        <v>5</v>
      </c>
      <c r="DY23" s="492"/>
      <c r="DZ23" s="492"/>
      <c r="EA23" s="493">
        <f t="shared" si="35"/>
        <v>1640</v>
      </c>
      <c r="EB23" s="492"/>
      <c r="EC23" s="492"/>
      <c r="ED23" s="492">
        <v>15</v>
      </c>
      <c r="EE23" s="492">
        <v>362</v>
      </c>
      <c r="EF23" s="492">
        <v>0.8</v>
      </c>
      <c r="EG23" s="492">
        <v>90</v>
      </c>
      <c r="EH23" s="492">
        <v>130</v>
      </c>
      <c r="EI23" s="492">
        <v>110</v>
      </c>
      <c r="EJ23" s="492">
        <v>540</v>
      </c>
      <c r="EK23" s="492">
        <v>80</v>
      </c>
      <c r="EL23" s="492">
        <v>116</v>
      </c>
      <c r="EM23" s="492">
        <v>131</v>
      </c>
      <c r="EN23" s="493">
        <f t="shared" si="36"/>
        <v>1574.8</v>
      </c>
      <c r="EO23" s="492">
        <v>80</v>
      </c>
      <c r="EP23" s="492">
        <v>138</v>
      </c>
      <c r="EQ23" s="492">
        <v>70</v>
      </c>
      <c r="ER23" s="492">
        <v>195</v>
      </c>
      <c r="ES23" s="492">
        <v>159</v>
      </c>
      <c r="ET23" s="492">
        <v>100</v>
      </c>
      <c r="EU23" s="492">
        <v>300</v>
      </c>
      <c r="EV23" s="492">
        <v>956</v>
      </c>
      <c r="EW23" s="492">
        <v>260</v>
      </c>
      <c r="EX23" s="492">
        <v>410</v>
      </c>
      <c r="EY23" s="492">
        <v>365</v>
      </c>
      <c r="EZ23" s="492">
        <v>220</v>
      </c>
      <c r="FA23" s="493">
        <f t="shared" si="37"/>
        <v>3253</v>
      </c>
      <c r="FB23" s="492">
        <v>450</v>
      </c>
      <c r="FC23" s="492">
        <v>715</v>
      </c>
      <c r="FD23" s="492">
        <v>867</v>
      </c>
      <c r="FE23" s="492">
        <v>525</v>
      </c>
      <c r="FF23" s="492">
        <v>140.00000000001</v>
      </c>
      <c r="FG23" s="492"/>
      <c r="FH23" s="492"/>
      <c r="FI23" s="492"/>
      <c r="FJ23" s="492"/>
      <c r="FK23" s="492"/>
      <c r="FL23" s="492"/>
      <c r="FM23" s="492"/>
      <c r="FN23" s="493">
        <f t="shared" si="38"/>
        <v>2697.00000000001</v>
      </c>
      <c r="FO23" s="628"/>
      <c r="FP23" s="595">
        <f t="shared" si="39"/>
        <v>169.23076923076925</v>
      </c>
      <c r="FQ23" s="596">
        <f t="shared" si="40"/>
        <v>429.39958592132507</v>
      </c>
      <c r="FR23" s="498">
        <f t="shared" si="41"/>
        <v>483</v>
      </c>
      <c r="FS23" s="597">
        <f t="shared" si="42"/>
        <v>2557</v>
      </c>
      <c r="FU23" s="498">
        <f t="shared" si="43"/>
        <v>33933.60000000002</v>
      </c>
      <c r="FV23" s="499" t="s">
        <v>182</v>
      </c>
      <c r="FW23" s="500" t="str">
        <f t="shared" si="44"/>
        <v>OK</v>
      </c>
    </row>
    <row r="24" spans="1:179" ht="15" customHeight="1" x14ac:dyDescent="0.25">
      <c r="A24" s="634" t="s">
        <v>173</v>
      </c>
      <c r="B24" s="492">
        <v>86</v>
      </c>
      <c r="C24" s="492">
        <v>79</v>
      </c>
      <c r="D24" s="492">
        <v>84</v>
      </c>
      <c r="E24" s="492">
        <v>50</v>
      </c>
      <c r="F24" s="492">
        <v>42</v>
      </c>
      <c r="G24" s="492">
        <v>57</v>
      </c>
      <c r="H24" s="492">
        <v>59</v>
      </c>
      <c r="I24" s="492">
        <v>54</v>
      </c>
      <c r="J24" s="492">
        <v>97</v>
      </c>
      <c r="K24" s="492">
        <v>134</v>
      </c>
      <c r="L24" s="492">
        <v>111</v>
      </c>
      <c r="M24" s="492">
        <v>80</v>
      </c>
      <c r="N24" s="493">
        <f t="shared" si="26"/>
        <v>933</v>
      </c>
      <c r="O24" s="492">
        <v>45</v>
      </c>
      <c r="P24" s="492">
        <v>48</v>
      </c>
      <c r="Q24" s="492">
        <v>46</v>
      </c>
      <c r="R24" s="492">
        <v>55</v>
      </c>
      <c r="S24" s="492">
        <v>24</v>
      </c>
      <c r="T24" s="492">
        <v>25</v>
      </c>
      <c r="U24" s="492">
        <v>14</v>
      </c>
      <c r="V24" s="492">
        <v>15</v>
      </c>
      <c r="W24" s="492">
        <v>20</v>
      </c>
      <c r="X24" s="492">
        <v>12</v>
      </c>
      <c r="Y24" s="492">
        <v>11</v>
      </c>
      <c r="Z24" s="492">
        <v>22</v>
      </c>
      <c r="AA24" s="493">
        <f t="shared" si="27"/>
        <v>337</v>
      </c>
      <c r="AB24" s="492">
        <v>18</v>
      </c>
      <c r="AC24" s="492">
        <v>38</v>
      </c>
      <c r="AD24" s="492">
        <v>63</v>
      </c>
      <c r="AE24" s="492">
        <v>26</v>
      </c>
      <c r="AF24" s="492">
        <v>14</v>
      </c>
      <c r="AG24" s="492">
        <v>5</v>
      </c>
      <c r="AH24" s="492">
        <v>5</v>
      </c>
      <c r="AI24" s="492"/>
      <c r="AJ24" s="492">
        <v>36</v>
      </c>
      <c r="AK24" s="492">
        <v>10</v>
      </c>
      <c r="AL24" s="492">
        <v>6</v>
      </c>
      <c r="AM24" s="492">
        <v>6</v>
      </c>
      <c r="AN24" s="493">
        <f t="shared" si="28"/>
        <v>227</v>
      </c>
      <c r="AO24" s="492">
        <v>13</v>
      </c>
      <c r="AP24" s="492"/>
      <c r="AQ24" s="492">
        <v>33</v>
      </c>
      <c r="AR24" s="492">
        <v>25</v>
      </c>
      <c r="AS24" s="492">
        <v>46</v>
      </c>
      <c r="AT24" s="492">
        <v>3</v>
      </c>
      <c r="AU24" s="492">
        <v>21</v>
      </c>
      <c r="AV24" s="492">
        <v>36</v>
      </c>
      <c r="AW24" s="492">
        <v>108</v>
      </c>
      <c r="AX24" s="492">
        <v>64</v>
      </c>
      <c r="AY24" s="492">
        <v>101</v>
      </c>
      <c r="AZ24" s="492">
        <v>32</v>
      </c>
      <c r="BA24" s="493">
        <f t="shared" si="29"/>
        <v>482</v>
      </c>
      <c r="BB24" s="492">
        <v>89</v>
      </c>
      <c r="BC24" s="492"/>
      <c r="BD24" s="492">
        <v>31</v>
      </c>
      <c r="BE24" s="492">
        <v>86</v>
      </c>
      <c r="BF24" s="492">
        <v>57</v>
      </c>
      <c r="BG24" s="492">
        <v>34</v>
      </c>
      <c r="BH24" s="492">
        <v>40</v>
      </c>
      <c r="BI24" s="492">
        <v>91</v>
      </c>
      <c r="BJ24" s="492">
        <v>67</v>
      </c>
      <c r="BK24" s="492">
        <v>19</v>
      </c>
      <c r="BL24" s="492">
        <v>119</v>
      </c>
      <c r="BM24" s="492">
        <v>42</v>
      </c>
      <c r="BN24" s="493">
        <f t="shared" si="30"/>
        <v>675</v>
      </c>
      <c r="BO24" s="492">
        <v>52</v>
      </c>
      <c r="BP24" s="492">
        <v>25</v>
      </c>
      <c r="BQ24" s="492">
        <v>24</v>
      </c>
      <c r="BR24" s="492">
        <v>45</v>
      </c>
      <c r="BS24" s="492">
        <v>26</v>
      </c>
      <c r="BT24" s="492">
        <v>23</v>
      </c>
      <c r="BU24" s="492">
        <v>38</v>
      </c>
      <c r="BV24" s="492">
        <v>63</v>
      </c>
      <c r="BW24" s="492">
        <v>68</v>
      </c>
      <c r="BX24" s="492">
        <v>105</v>
      </c>
      <c r="BY24" s="492">
        <v>188</v>
      </c>
      <c r="BZ24" s="492">
        <v>259</v>
      </c>
      <c r="CA24" s="493">
        <f t="shared" si="31"/>
        <v>916</v>
      </c>
      <c r="CB24" s="492">
        <v>193</v>
      </c>
      <c r="CC24" s="492">
        <v>180</v>
      </c>
      <c r="CD24" s="492">
        <v>182</v>
      </c>
      <c r="CE24" s="492">
        <v>171</v>
      </c>
      <c r="CF24" s="492">
        <v>208</v>
      </c>
      <c r="CG24" s="492">
        <v>130</v>
      </c>
      <c r="CH24" s="492">
        <v>17</v>
      </c>
      <c r="CI24" s="492">
        <v>44</v>
      </c>
      <c r="CJ24" s="492">
        <v>151</v>
      </c>
      <c r="CK24" s="492">
        <v>259</v>
      </c>
      <c r="CL24" s="492">
        <v>256</v>
      </c>
      <c r="CM24" s="492">
        <v>186</v>
      </c>
      <c r="CN24" s="493">
        <f t="shared" si="32"/>
        <v>1977</v>
      </c>
      <c r="CO24" s="492">
        <v>194</v>
      </c>
      <c r="CP24" s="492">
        <v>193</v>
      </c>
      <c r="CQ24" s="492">
        <v>325</v>
      </c>
      <c r="CR24" s="492">
        <v>205</v>
      </c>
      <c r="CS24" s="492">
        <v>119</v>
      </c>
      <c r="CT24" s="492">
        <v>150</v>
      </c>
      <c r="CU24" s="492">
        <v>68</v>
      </c>
      <c r="CV24" s="492">
        <v>121</v>
      </c>
      <c r="CW24" s="492">
        <v>188</v>
      </c>
      <c r="CX24" s="492">
        <v>113</v>
      </c>
      <c r="CY24" s="492">
        <v>116</v>
      </c>
      <c r="CZ24" s="492">
        <v>44</v>
      </c>
      <c r="DA24" s="493">
        <f t="shared" si="33"/>
        <v>1836</v>
      </c>
      <c r="DB24" s="492">
        <v>243</v>
      </c>
      <c r="DC24" s="492">
        <v>351</v>
      </c>
      <c r="DD24" s="492">
        <v>244</v>
      </c>
      <c r="DE24" s="492">
        <v>154</v>
      </c>
      <c r="DF24" s="492">
        <v>63</v>
      </c>
      <c r="DG24" s="492">
        <v>75</v>
      </c>
      <c r="DH24" s="492">
        <v>61</v>
      </c>
      <c r="DI24" s="492">
        <v>43</v>
      </c>
      <c r="DJ24" s="492">
        <v>148</v>
      </c>
      <c r="DK24" s="492">
        <v>229</v>
      </c>
      <c r="DL24" s="492">
        <v>198</v>
      </c>
      <c r="DM24" s="492">
        <v>157</v>
      </c>
      <c r="DN24" s="493">
        <f t="shared" si="34"/>
        <v>1966</v>
      </c>
      <c r="DO24" s="492">
        <v>209</v>
      </c>
      <c r="DP24" s="492">
        <v>206</v>
      </c>
      <c r="DQ24" s="492">
        <v>188</v>
      </c>
      <c r="DR24" s="492">
        <v>126</v>
      </c>
      <c r="DS24" s="492">
        <v>43</v>
      </c>
      <c r="DT24" s="492">
        <v>47</v>
      </c>
      <c r="DU24" s="492">
        <v>63</v>
      </c>
      <c r="DV24" s="492">
        <v>193</v>
      </c>
      <c r="DW24" s="492">
        <v>119</v>
      </c>
      <c r="DX24" s="492">
        <v>13</v>
      </c>
      <c r="DY24" s="492">
        <v>67</v>
      </c>
      <c r="DZ24" s="492">
        <v>97</v>
      </c>
      <c r="EA24" s="493">
        <f t="shared" si="35"/>
        <v>1371</v>
      </c>
      <c r="EB24" s="492">
        <v>119</v>
      </c>
      <c r="EC24" s="492">
        <v>63</v>
      </c>
      <c r="ED24" s="492">
        <v>144</v>
      </c>
      <c r="EE24" s="492">
        <v>7</v>
      </c>
      <c r="EF24" s="492"/>
      <c r="EG24" s="492">
        <v>101</v>
      </c>
      <c r="EH24" s="492">
        <v>32</v>
      </c>
      <c r="EI24" s="492">
        <v>42</v>
      </c>
      <c r="EJ24" s="492">
        <v>276</v>
      </c>
      <c r="EK24" s="492">
        <v>239</v>
      </c>
      <c r="EL24" s="492">
        <v>464</v>
      </c>
      <c r="EM24" s="492">
        <v>363</v>
      </c>
      <c r="EN24" s="493">
        <f t="shared" si="36"/>
        <v>1850</v>
      </c>
      <c r="EO24" s="492">
        <v>292</v>
      </c>
      <c r="EP24" s="492">
        <v>239</v>
      </c>
      <c r="EQ24" s="492">
        <v>172</v>
      </c>
      <c r="ER24" s="492">
        <v>103</v>
      </c>
      <c r="ES24" s="492">
        <v>36</v>
      </c>
      <c r="ET24" s="492">
        <v>18</v>
      </c>
      <c r="EU24" s="492">
        <v>39</v>
      </c>
      <c r="EV24" s="492">
        <v>19</v>
      </c>
      <c r="EW24" s="492">
        <v>56</v>
      </c>
      <c r="EX24" s="492">
        <v>264.5</v>
      </c>
      <c r="EY24" s="492">
        <v>252</v>
      </c>
      <c r="EZ24" s="492">
        <v>250</v>
      </c>
      <c r="FA24" s="493">
        <f t="shared" si="37"/>
        <v>1740.5</v>
      </c>
      <c r="FB24" s="492">
        <v>276</v>
      </c>
      <c r="FC24" s="492">
        <v>723</v>
      </c>
      <c r="FD24" s="492">
        <v>605</v>
      </c>
      <c r="FE24" s="492">
        <v>201</v>
      </c>
      <c r="FF24" s="492">
        <v>19.000000000010001</v>
      </c>
      <c r="FG24" s="492"/>
      <c r="FH24" s="492"/>
      <c r="FI24" s="492"/>
      <c r="FJ24" s="492"/>
      <c r="FK24" s="492"/>
      <c r="FL24" s="492"/>
      <c r="FM24" s="492"/>
      <c r="FN24" s="493">
        <f t="shared" si="38"/>
        <v>1824.00000000001</v>
      </c>
      <c r="FO24" s="628"/>
      <c r="FP24" s="595">
        <f t="shared" si="39"/>
        <v>95.145631067961162</v>
      </c>
      <c r="FQ24" s="596">
        <f t="shared" si="40"/>
        <v>123.9454094292804</v>
      </c>
      <c r="FR24" s="498">
        <f t="shared" si="41"/>
        <v>806</v>
      </c>
      <c r="FS24" s="597">
        <f t="shared" si="42"/>
        <v>1805</v>
      </c>
      <c r="FU24" s="498">
        <f t="shared" si="43"/>
        <v>32269.000000000022</v>
      </c>
      <c r="FV24" s="499" t="s">
        <v>173</v>
      </c>
      <c r="FW24" s="500" t="str">
        <f t="shared" si="44"/>
        <v>OK</v>
      </c>
    </row>
    <row r="25" spans="1:179" ht="15" customHeight="1" x14ac:dyDescent="0.25">
      <c r="A25" s="634" t="s">
        <v>186</v>
      </c>
      <c r="B25" s="492"/>
      <c r="C25" s="492"/>
      <c r="D25" s="492"/>
      <c r="E25" s="492"/>
      <c r="F25" s="492"/>
      <c r="G25" s="492">
        <v>10</v>
      </c>
      <c r="H25" s="492">
        <v>13</v>
      </c>
      <c r="I25" s="492">
        <v>13</v>
      </c>
      <c r="J25" s="492">
        <v>13</v>
      </c>
      <c r="K25" s="492">
        <v>28</v>
      </c>
      <c r="L25" s="492">
        <v>11</v>
      </c>
      <c r="M25" s="492">
        <v>15</v>
      </c>
      <c r="N25" s="493">
        <f t="shared" si="26"/>
        <v>103</v>
      </c>
      <c r="O25" s="492">
        <v>15</v>
      </c>
      <c r="P25" s="492">
        <v>12</v>
      </c>
      <c r="Q25" s="492">
        <v>15</v>
      </c>
      <c r="R25" s="492">
        <v>13</v>
      </c>
      <c r="S25" s="492">
        <v>16</v>
      </c>
      <c r="T25" s="492">
        <v>14</v>
      </c>
      <c r="U25" s="492">
        <v>12</v>
      </c>
      <c r="V25" s="492">
        <v>5</v>
      </c>
      <c r="W25" s="492">
        <v>16</v>
      </c>
      <c r="X25" s="492">
        <v>5</v>
      </c>
      <c r="Y25" s="492">
        <v>5</v>
      </c>
      <c r="Z25" s="492">
        <v>5</v>
      </c>
      <c r="AA25" s="493">
        <f t="shared" si="27"/>
        <v>133</v>
      </c>
      <c r="AB25" s="492">
        <v>5</v>
      </c>
      <c r="AC25" s="492">
        <v>10</v>
      </c>
      <c r="AD25" s="492">
        <v>9</v>
      </c>
      <c r="AE25" s="492">
        <v>11</v>
      </c>
      <c r="AF25" s="492">
        <v>9</v>
      </c>
      <c r="AG25" s="492">
        <v>7</v>
      </c>
      <c r="AH25" s="492">
        <v>5</v>
      </c>
      <c r="AI25" s="492">
        <v>5</v>
      </c>
      <c r="AJ25" s="492">
        <v>5</v>
      </c>
      <c r="AK25" s="492">
        <v>5</v>
      </c>
      <c r="AL25" s="492">
        <v>5</v>
      </c>
      <c r="AM25" s="492">
        <v>1</v>
      </c>
      <c r="AN25" s="493">
        <f t="shared" si="28"/>
        <v>77</v>
      </c>
      <c r="AO25" s="492">
        <v>1</v>
      </c>
      <c r="AP25" s="492"/>
      <c r="AQ25" s="492">
        <v>1</v>
      </c>
      <c r="AR25" s="492">
        <v>1</v>
      </c>
      <c r="AS25" s="492"/>
      <c r="AT25" s="492">
        <v>2</v>
      </c>
      <c r="AU25" s="492">
        <v>1</v>
      </c>
      <c r="AV25" s="492"/>
      <c r="AW25" s="492">
        <v>3</v>
      </c>
      <c r="AX25" s="492">
        <v>3</v>
      </c>
      <c r="AY25" s="492">
        <v>3</v>
      </c>
      <c r="AZ25" s="492">
        <v>3</v>
      </c>
      <c r="BA25" s="493">
        <f t="shared" si="29"/>
        <v>18</v>
      </c>
      <c r="BB25" s="492">
        <v>3</v>
      </c>
      <c r="BC25" s="492"/>
      <c r="BD25" s="492">
        <v>3</v>
      </c>
      <c r="BE25" s="492">
        <v>4</v>
      </c>
      <c r="BF25" s="492">
        <v>3</v>
      </c>
      <c r="BG25" s="492">
        <v>10</v>
      </c>
      <c r="BH25" s="492">
        <v>8</v>
      </c>
      <c r="BI25" s="492">
        <v>3</v>
      </c>
      <c r="BJ25" s="492">
        <v>3</v>
      </c>
      <c r="BK25" s="492">
        <v>3</v>
      </c>
      <c r="BL25" s="492">
        <v>3</v>
      </c>
      <c r="BM25" s="492">
        <v>3</v>
      </c>
      <c r="BN25" s="493">
        <f t="shared" si="30"/>
        <v>46</v>
      </c>
      <c r="BO25" s="492">
        <v>3</v>
      </c>
      <c r="BP25" s="492">
        <v>3</v>
      </c>
      <c r="BQ25" s="492">
        <v>3</v>
      </c>
      <c r="BR25" s="492">
        <v>3</v>
      </c>
      <c r="BS25" s="492"/>
      <c r="BT25" s="492"/>
      <c r="BU25" s="492"/>
      <c r="BV25" s="492"/>
      <c r="BW25" s="492"/>
      <c r="BX25" s="492"/>
      <c r="BY25" s="492"/>
      <c r="BZ25" s="492">
        <v>1</v>
      </c>
      <c r="CA25" s="493">
        <f t="shared" si="31"/>
        <v>13</v>
      </c>
      <c r="CB25" s="492"/>
      <c r="CC25" s="492"/>
      <c r="CD25" s="492">
        <v>8</v>
      </c>
      <c r="CE25" s="492">
        <v>5</v>
      </c>
      <c r="CF25" s="492">
        <v>5</v>
      </c>
      <c r="CG25" s="492"/>
      <c r="CH25" s="492">
        <v>1</v>
      </c>
      <c r="CI25" s="492">
        <v>1</v>
      </c>
      <c r="CJ25" s="492">
        <v>5</v>
      </c>
      <c r="CK25" s="492">
        <v>13</v>
      </c>
      <c r="CL25" s="492">
        <v>5</v>
      </c>
      <c r="CM25" s="492">
        <v>4</v>
      </c>
      <c r="CN25" s="493">
        <f t="shared" si="32"/>
        <v>47</v>
      </c>
      <c r="CO25" s="492">
        <v>3</v>
      </c>
      <c r="CP25" s="492">
        <v>3</v>
      </c>
      <c r="CQ25" s="492">
        <v>3</v>
      </c>
      <c r="CR25" s="492">
        <v>3</v>
      </c>
      <c r="CS25" s="492">
        <v>2</v>
      </c>
      <c r="CT25" s="492">
        <v>4</v>
      </c>
      <c r="CU25" s="492">
        <v>2</v>
      </c>
      <c r="CV25" s="492">
        <v>2</v>
      </c>
      <c r="CW25" s="492">
        <v>8</v>
      </c>
      <c r="CX25" s="492">
        <v>1</v>
      </c>
      <c r="CY25" s="492">
        <v>3</v>
      </c>
      <c r="CZ25" s="492"/>
      <c r="DA25" s="493">
        <f t="shared" si="33"/>
        <v>34</v>
      </c>
      <c r="DB25" s="492">
        <v>2</v>
      </c>
      <c r="DC25" s="492">
        <v>2</v>
      </c>
      <c r="DD25" s="492"/>
      <c r="DE25" s="492">
        <v>3</v>
      </c>
      <c r="DF25" s="492"/>
      <c r="DG25" s="492"/>
      <c r="DH25" s="492"/>
      <c r="DI25" s="492"/>
      <c r="DJ25" s="492"/>
      <c r="DK25" s="492">
        <v>3</v>
      </c>
      <c r="DL25" s="492">
        <v>2</v>
      </c>
      <c r="DM25" s="492">
        <v>4</v>
      </c>
      <c r="DN25" s="493">
        <f t="shared" si="34"/>
        <v>16</v>
      </c>
      <c r="DO25" s="492"/>
      <c r="DP25" s="492"/>
      <c r="DQ25" s="492">
        <v>2</v>
      </c>
      <c r="DR25" s="492"/>
      <c r="DS25" s="492"/>
      <c r="DT25" s="492"/>
      <c r="DU25" s="492">
        <v>21</v>
      </c>
      <c r="DV25" s="492">
        <v>40</v>
      </c>
      <c r="DW25" s="492"/>
      <c r="DX25" s="492"/>
      <c r="DY25" s="492"/>
      <c r="DZ25" s="492"/>
      <c r="EA25" s="493">
        <f t="shared" si="35"/>
        <v>63</v>
      </c>
      <c r="EB25" s="492"/>
      <c r="EC25" s="492"/>
      <c r="ED25" s="492"/>
      <c r="EE25" s="492"/>
      <c r="EF25" s="492">
        <v>0.52</v>
      </c>
      <c r="EG25" s="492">
        <v>0.5</v>
      </c>
      <c r="EH25" s="492">
        <v>0.5</v>
      </c>
      <c r="EI25" s="492"/>
      <c r="EJ25" s="492"/>
      <c r="EK25" s="492">
        <v>0.5</v>
      </c>
      <c r="EL25" s="492"/>
      <c r="EM25" s="492">
        <v>18</v>
      </c>
      <c r="EN25" s="493">
        <f t="shared" si="36"/>
        <v>20.02</v>
      </c>
      <c r="EO25" s="492">
        <v>1</v>
      </c>
      <c r="EP25" s="492">
        <v>1</v>
      </c>
      <c r="EQ25" s="492">
        <v>3</v>
      </c>
      <c r="ER25" s="492">
        <v>5</v>
      </c>
      <c r="ES25" s="492"/>
      <c r="ET25" s="492"/>
      <c r="EU25" s="492">
        <v>3</v>
      </c>
      <c r="EV25" s="492">
        <v>2</v>
      </c>
      <c r="EW25" s="492">
        <v>1.5</v>
      </c>
      <c r="EX25" s="492">
        <v>7</v>
      </c>
      <c r="EY25" s="492">
        <v>9</v>
      </c>
      <c r="EZ25" s="492">
        <v>8.5</v>
      </c>
      <c r="FA25" s="493">
        <f t="shared" si="37"/>
        <v>41</v>
      </c>
      <c r="FB25" s="492">
        <v>1</v>
      </c>
      <c r="FC25" s="492">
        <v>1</v>
      </c>
      <c r="FD25" s="492">
        <v>30</v>
      </c>
      <c r="FE25" s="492">
        <v>15</v>
      </c>
      <c r="FF25" s="492">
        <v>18.000000000010001</v>
      </c>
      <c r="FG25" s="492"/>
      <c r="FH25" s="492"/>
      <c r="FI25" s="492"/>
      <c r="FJ25" s="492"/>
      <c r="FK25" s="492"/>
      <c r="FL25" s="492"/>
      <c r="FM25" s="492"/>
      <c r="FN25" s="493">
        <f t="shared" si="38"/>
        <v>65.000000000010004</v>
      </c>
      <c r="FO25" s="628"/>
      <c r="FP25" s="595">
        <f t="shared" si="39"/>
        <v>200</v>
      </c>
      <c r="FQ25" s="596">
        <f t="shared" si="40"/>
        <v>370</v>
      </c>
      <c r="FR25" s="498">
        <f t="shared" si="41"/>
        <v>10</v>
      </c>
      <c r="FS25" s="597">
        <f t="shared" si="42"/>
        <v>47</v>
      </c>
      <c r="FU25" s="498">
        <f t="shared" si="43"/>
        <v>1352.04000000002</v>
      </c>
      <c r="FV25" s="499" t="s">
        <v>186</v>
      </c>
      <c r="FW25" s="500" t="str">
        <f t="shared" si="44"/>
        <v>OK</v>
      </c>
    </row>
    <row r="26" spans="1:179" ht="15" customHeight="1" x14ac:dyDescent="0.25">
      <c r="A26" s="634" t="s">
        <v>187</v>
      </c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>
        <v>6</v>
      </c>
      <c r="M26" s="492">
        <v>5</v>
      </c>
      <c r="N26" s="493">
        <f t="shared" si="26"/>
        <v>11</v>
      </c>
      <c r="O26" s="492">
        <v>1</v>
      </c>
      <c r="P26" s="492"/>
      <c r="Q26" s="492">
        <v>4</v>
      </c>
      <c r="R26" s="492">
        <v>4</v>
      </c>
      <c r="S26" s="492"/>
      <c r="T26" s="492">
        <v>1</v>
      </c>
      <c r="U26" s="492">
        <v>1</v>
      </c>
      <c r="V26" s="492">
        <v>1</v>
      </c>
      <c r="W26" s="492">
        <v>1</v>
      </c>
      <c r="X26" s="492">
        <v>1</v>
      </c>
      <c r="Y26" s="492">
        <v>1</v>
      </c>
      <c r="Z26" s="492">
        <v>1</v>
      </c>
      <c r="AA26" s="493">
        <f t="shared" si="27"/>
        <v>16</v>
      </c>
      <c r="AB26" s="492">
        <v>1</v>
      </c>
      <c r="AC26" s="492">
        <v>1</v>
      </c>
      <c r="AD26" s="492">
        <v>1</v>
      </c>
      <c r="AE26" s="492"/>
      <c r="AF26" s="492"/>
      <c r="AG26" s="492">
        <v>1</v>
      </c>
      <c r="AH26" s="492"/>
      <c r="AI26" s="492"/>
      <c r="AJ26" s="492"/>
      <c r="AK26" s="492"/>
      <c r="AL26" s="492"/>
      <c r="AM26" s="492"/>
      <c r="AN26" s="493">
        <f t="shared" si="28"/>
        <v>4</v>
      </c>
      <c r="AO26" s="492"/>
      <c r="AP26" s="492"/>
      <c r="AQ26" s="492"/>
      <c r="AR26" s="492"/>
      <c r="AS26" s="492"/>
      <c r="AT26" s="492"/>
      <c r="AU26" s="492">
        <v>1</v>
      </c>
      <c r="AV26" s="492"/>
      <c r="AW26" s="492"/>
      <c r="AX26" s="492"/>
      <c r="AY26" s="492"/>
      <c r="AZ26" s="492"/>
      <c r="BA26" s="493">
        <f t="shared" si="29"/>
        <v>1</v>
      </c>
      <c r="BB26" s="492"/>
      <c r="BC26" s="492"/>
      <c r="BD26" s="492"/>
      <c r="BE26" s="492"/>
      <c r="BF26" s="492"/>
      <c r="BG26" s="492"/>
      <c r="BH26" s="492"/>
      <c r="BI26" s="492"/>
      <c r="BJ26" s="492"/>
      <c r="BK26" s="492"/>
      <c r="BL26" s="492"/>
      <c r="BM26" s="492">
        <v>9</v>
      </c>
      <c r="BN26" s="493">
        <f t="shared" si="30"/>
        <v>9</v>
      </c>
      <c r="BO26" s="492"/>
      <c r="BP26" s="492"/>
      <c r="BQ26" s="492"/>
      <c r="BR26" s="492"/>
      <c r="BS26" s="492"/>
      <c r="BT26" s="492"/>
      <c r="BU26" s="492"/>
      <c r="BV26" s="492"/>
      <c r="BW26" s="492"/>
      <c r="BX26" s="492"/>
      <c r="BY26" s="492"/>
      <c r="BZ26" s="492"/>
      <c r="CA26" s="493">
        <f t="shared" si="31"/>
        <v>0</v>
      </c>
      <c r="CB26" s="492"/>
      <c r="CC26" s="492"/>
      <c r="CD26" s="492"/>
      <c r="CE26" s="492">
        <v>5</v>
      </c>
      <c r="CF26" s="492">
        <v>2</v>
      </c>
      <c r="CG26" s="492"/>
      <c r="CH26" s="492">
        <v>2</v>
      </c>
      <c r="CI26" s="492"/>
      <c r="CJ26" s="492">
        <v>2</v>
      </c>
      <c r="CK26" s="492">
        <v>2</v>
      </c>
      <c r="CL26" s="492">
        <v>4</v>
      </c>
      <c r="CM26" s="492">
        <v>1</v>
      </c>
      <c r="CN26" s="493">
        <f t="shared" si="32"/>
        <v>18</v>
      </c>
      <c r="CO26" s="492"/>
      <c r="CP26" s="492"/>
      <c r="CQ26" s="492"/>
      <c r="CR26" s="492"/>
      <c r="CS26" s="492"/>
      <c r="CT26" s="492"/>
      <c r="CU26" s="492"/>
      <c r="CV26" s="492"/>
      <c r="CW26" s="492"/>
      <c r="CX26" s="492"/>
      <c r="CY26" s="492"/>
      <c r="CZ26" s="492"/>
      <c r="DA26" s="493">
        <f t="shared" si="33"/>
        <v>0</v>
      </c>
      <c r="DB26" s="492"/>
      <c r="DC26" s="492"/>
      <c r="DD26" s="492"/>
      <c r="DE26" s="492"/>
      <c r="DF26" s="492">
        <v>1</v>
      </c>
      <c r="DG26" s="492"/>
      <c r="DH26" s="492"/>
      <c r="DI26" s="492"/>
      <c r="DJ26" s="492"/>
      <c r="DK26" s="492"/>
      <c r="DL26" s="492"/>
      <c r="DM26" s="492"/>
      <c r="DN26" s="493">
        <f t="shared" si="34"/>
        <v>1</v>
      </c>
      <c r="DO26" s="492"/>
      <c r="DP26" s="492"/>
      <c r="DQ26" s="492"/>
      <c r="DR26" s="492"/>
      <c r="DS26" s="492"/>
      <c r="DT26" s="492"/>
      <c r="DU26" s="492"/>
      <c r="DV26" s="492"/>
      <c r="DW26" s="492"/>
      <c r="DX26" s="492"/>
      <c r="DY26" s="492"/>
      <c r="DZ26" s="492"/>
      <c r="EA26" s="493">
        <f t="shared" si="35"/>
        <v>0</v>
      </c>
      <c r="EB26" s="492"/>
      <c r="EC26" s="492"/>
      <c r="ED26" s="492"/>
      <c r="EE26" s="492"/>
      <c r="EF26" s="492"/>
      <c r="EG26" s="492"/>
      <c r="EH26" s="492"/>
      <c r="EI26" s="492"/>
      <c r="EJ26" s="492"/>
      <c r="EK26" s="492"/>
      <c r="EL26" s="492"/>
      <c r="EM26" s="492"/>
      <c r="EN26" s="493">
        <f t="shared" si="36"/>
        <v>0</v>
      </c>
      <c r="EO26" s="492"/>
      <c r="EP26" s="492"/>
      <c r="EQ26" s="492"/>
      <c r="ER26" s="492"/>
      <c r="ES26" s="492"/>
      <c r="ET26" s="492"/>
      <c r="EU26" s="492"/>
      <c r="EV26" s="492"/>
      <c r="EW26" s="492"/>
      <c r="EX26" s="492"/>
      <c r="EY26" s="492"/>
      <c r="EZ26" s="492"/>
      <c r="FA26" s="493">
        <f t="shared" si="37"/>
        <v>0</v>
      </c>
      <c r="FB26" s="492"/>
      <c r="FC26" s="492"/>
      <c r="FD26" s="492"/>
      <c r="FE26" s="492"/>
      <c r="FF26" s="492">
        <v>9.9999999999999994E-12</v>
      </c>
      <c r="FG26" s="492"/>
      <c r="FH26" s="492"/>
      <c r="FI26" s="492"/>
      <c r="FJ26" s="492"/>
      <c r="FK26" s="492"/>
      <c r="FL26" s="492"/>
      <c r="FM26" s="492"/>
      <c r="FN26" s="493">
        <f t="shared" si="38"/>
        <v>9.9999999999999994E-12</v>
      </c>
      <c r="FO26" s="628"/>
      <c r="FP26" s="595" t="str">
        <f t="shared" si="39"/>
        <v/>
      </c>
      <c r="FQ26" s="596" t="str">
        <f t="shared" si="40"/>
        <v/>
      </c>
      <c r="FR26" s="498">
        <f t="shared" si="41"/>
        <v>0</v>
      </c>
      <c r="FS26" s="597">
        <f t="shared" si="42"/>
        <v>0</v>
      </c>
      <c r="FU26" s="498">
        <f t="shared" si="43"/>
        <v>120.00000000002001</v>
      </c>
      <c r="FV26" s="499" t="s">
        <v>187</v>
      </c>
      <c r="FW26" s="500" t="str">
        <f t="shared" si="44"/>
        <v>OK</v>
      </c>
    </row>
    <row r="27" spans="1:179" ht="15" customHeight="1" x14ac:dyDescent="0.25">
      <c r="A27" s="634" t="s">
        <v>175</v>
      </c>
      <c r="B27" s="492">
        <v>22</v>
      </c>
      <c r="C27" s="492">
        <v>15</v>
      </c>
      <c r="D27" s="492">
        <v>39</v>
      </c>
      <c r="E27" s="492">
        <v>52</v>
      </c>
      <c r="F27" s="492">
        <v>28</v>
      </c>
      <c r="G27" s="492">
        <v>63</v>
      </c>
      <c r="H27" s="492">
        <v>52</v>
      </c>
      <c r="I27" s="492">
        <v>67</v>
      </c>
      <c r="J27" s="492">
        <v>61</v>
      </c>
      <c r="K27" s="492">
        <v>76</v>
      </c>
      <c r="L27" s="492">
        <v>60</v>
      </c>
      <c r="M27" s="492">
        <v>43</v>
      </c>
      <c r="N27" s="493">
        <f t="shared" si="26"/>
        <v>578</v>
      </c>
      <c r="O27" s="492">
        <v>30</v>
      </c>
      <c r="P27" s="492">
        <v>44</v>
      </c>
      <c r="Q27" s="492">
        <v>31</v>
      </c>
      <c r="R27" s="492">
        <v>26</v>
      </c>
      <c r="S27" s="492">
        <v>26</v>
      </c>
      <c r="T27" s="492">
        <v>16</v>
      </c>
      <c r="U27" s="492">
        <v>11</v>
      </c>
      <c r="V27" s="492">
        <v>6</v>
      </c>
      <c r="W27" s="492">
        <v>5</v>
      </c>
      <c r="X27" s="492">
        <v>3</v>
      </c>
      <c r="Y27" s="492">
        <v>3</v>
      </c>
      <c r="Z27" s="492">
        <v>10</v>
      </c>
      <c r="AA27" s="493">
        <f t="shared" si="27"/>
        <v>211</v>
      </c>
      <c r="AB27" s="492">
        <v>15</v>
      </c>
      <c r="AC27" s="492">
        <v>25</v>
      </c>
      <c r="AD27" s="492">
        <v>47</v>
      </c>
      <c r="AE27" s="492">
        <v>25</v>
      </c>
      <c r="AF27" s="492">
        <v>20</v>
      </c>
      <c r="AG27" s="492">
        <v>15</v>
      </c>
      <c r="AH27" s="492">
        <v>8</v>
      </c>
      <c r="AI27" s="492">
        <v>1</v>
      </c>
      <c r="AJ27" s="492">
        <v>14</v>
      </c>
      <c r="AK27" s="492">
        <v>2</v>
      </c>
      <c r="AL27" s="492">
        <v>2</v>
      </c>
      <c r="AM27" s="492">
        <v>2</v>
      </c>
      <c r="AN27" s="493">
        <f t="shared" si="28"/>
        <v>176</v>
      </c>
      <c r="AO27" s="492">
        <v>4</v>
      </c>
      <c r="AP27" s="492"/>
      <c r="AQ27" s="492">
        <v>4</v>
      </c>
      <c r="AR27" s="492">
        <v>3</v>
      </c>
      <c r="AS27" s="492">
        <v>5</v>
      </c>
      <c r="AT27" s="492"/>
      <c r="AU27" s="492">
        <v>2</v>
      </c>
      <c r="AV27" s="492"/>
      <c r="AW27" s="492"/>
      <c r="AX27" s="492"/>
      <c r="AY27" s="492">
        <v>2</v>
      </c>
      <c r="AZ27" s="492"/>
      <c r="BA27" s="493">
        <f t="shared" si="29"/>
        <v>20</v>
      </c>
      <c r="BB27" s="492">
        <v>3</v>
      </c>
      <c r="BC27" s="492"/>
      <c r="BD27" s="492">
        <v>10</v>
      </c>
      <c r="BE27" s="492">
        <v>6</v>
      </c>
      <c r="BF27" s="492">
        <v>32</v>
      </c>
      <c r="BG27" s="492">
        <v>3</v>
      </c>
      <c r="BH27" s="492">
        <v>2</v>
      </c>
      <c r="BI27" s="492">
        <v>4</v>
      </c>
      <c r="BJ27" s="492">
        <v>25</v>
      </c>
      <c r="BK27" s="492">
        <v>25</v>
      </c>
      <c r="BL27" s="492">
        <v>27</v>
      </c>
      <c r="BM27" s="492">
        <v>36</v>
      </c>
      <c r="BN27" s="493">
        <f t="shared" si="30"/>
        <v>173</v>
      </c>
      <c r="BO27" s="492">
        <v>9</v>
      </c>
      <c r="BP27" s="492">
        <v>14</v>
      </c>
      <c r="BQ27" s="492">
        <v>9</v>
      </c>
      <c r="BR27" s="492">
        <v>17</v>
      </c>
      <c r="BS27" s="492">
        <v>4</v>
      </c>
      <c r="BT27" s="492">
        <v>1</v>
      </c>
      <c r="BU27" s="492">
        <v>4</v>
      </c>
      <c r="BV27" s="492">
        <v>31</v>
      </c>
      <c r="BW27" s="492">
        <v>19</v>
      </c>
      <c r="BX27" s="492">
        <v>28</v>
      </c>
      <c r="BY27" s="492">
        <v>33</v>
      </c>
      <c r="BZ27" s="492">
        <v>29</v>
      </c>
      <c r="CA27" s="493">
        <f t="shared" si="31"/>
        <v>198</v>
      </c>
      <c r="CB27" s="492">
        <v>23</v>
      </c>
      <c r="CC27" s="492">
        <v>16</v>
      </c>
      <c r="CD27" s="492">
        <v>6</v>
      </c>
      <c r="CE27" s="492">
        <v>35</v>
      </c>
      <c r="CF27" s="492">
        <v>28</v>
      </c>
      <c r="CG27" s="492"/>
      <c r="CH27" s="492">
        <v>2</v>
      </c>
      <c r="CI27" s="492"/>
      <c r="CJ27" s="492">
        <v>19</v>
      </c>
      <c r="CK27" s="492">
        <v>13</v>
      </c>
      <c r="CL27" s="492">
        <v>32</v>
      </c>
      <c r="CM27" s="492">
        <v>16</v>
      </c>
      <c r="CN27" s="493">
        <f t="shared" si="32"/>
        <v>190</v>
      </c>
      <c r="CO27" s="492">
        <v>11</v>
      </c>
      <c r="CP27" s="492">
        <v>20</v>
      </c>
      <c r="CQ27" s="492">
        <v>32</v>
      </c>
      <c r="CR27" s="492">
        <v>20</v>
      </c>
      <c r="CS27" s="492">
        <v>42</v>
      </c>
      <c r="CT27" s="492">
        <v>27</v>
      </c>
      <c r="CU27" s="492">
        <v>13</v>
      </c>
      <c r="CV27" s="492">
        <v>39</v>
      </c>
      <c r="CW27" s="492">
        <v>47</v>
      </c>
      <c r="CX27" s="492">
        <v>35</v>
      </c>
      <c r="CY27" s="492">
        <v>14</v>
      </c>
      <c r="CZ27" s="492">
        <v>42</v>
      </c>
      <c r="DA27" s="493">
        <f t="shared" si="33"/>
        <v>342</v>
      </c>
      <c r="DB27" s="492">
        <v>20</v>
      </c>
      <c r="DC27" s="492">
        <v>22</v>
      </c>
      <c r="DD27" s="492">
        <v>13</v>
      </c>
      <c r="DE27" s="492">
        <v>27</v>
      </c>
      <c r="DF27" s="492">
        <v>26</v>
      </c>
      <c r="DG27" s="492">
        <v>3</v>
      </c>
      <c r="DH27" s="492">
        <v>16</v>
      </c>
      <c r="DI27" s="492">
        <v>19</v>
      </c>
      <c r="DJ27" s="492">
        <v>25</v>
      </c>
      <c r="DK27" s="492">
        <v>24</v>
      </c>
      <c r="DL27" s="492">
        <v>26</v>
      </c>
      <c r="DM27" s="492">
        <v>30</v>
      </c>
      <c r="DN27" s="493">
        <f t="shared" si="34"/>
        <v>251</v>
      </c>
      <c r="DO27" s="492">
        <v>37</v>
      </c>
      <c r="DP27" s="492">
        <v>34</v>
      </c>
      <c r="DQ27" s="492">
        <v>47</v>
      </c>
      <c r="DR27" s="492">
        <v>66</v>
      </c>
      <c r="DS27" s="492">
        <v>25</v>
      </c>
      <c r="DT27" s="492">
        <v>18</v>
      </c>
      <c r="DU27" s="492">
        <v>58</v>
      </c>
      <c r="DV27" s="492">
        <v>33</v>
      </c>
      <c r="DW27" s="492">
        <v>36</v>
      </c>
      <c r="DX27" s="492">
        <v>15</v>
      </c>
      <c r="DY27" s="492">
        <v>13</v>
      </c>
      <c r="DZ27" s="492">
        <v>13</v>
      </c>
      <c r="EA27" s="493">
        <f t="shared" si="35"/>
        <v>395</v>
      </c>
      <c r="EB27" s="492"/>
      <c r="EC27" s="492">
        <v>34</v>
      </c>
      <c r="ED27" s="492">
        <v>22</v>
      </c>
      <c r="EE27" s="492"/>
      <c r="EF27" s="492"/>
      <c r="EG27" s="492">
        <v>17</v>
      </c>
      <c r="EH27" s="492">
        <v>8</v>
      </c>
      <c r="EI27" s="492">
        <v>28</v>
      </c>
      <c r="EJ27" s="492">
        <v>22</v>
      </c>
      <c r="EK27" s="492">
        <v>87</v>
      </c>
      <c r="EL27" s="492">
        <v>67</v>
      </c>
      <c r="EM27" s="492">
        <v>36</v>
      </c>
      <c r="EN27" s="493">
        <f t="shared" si="36"/>
        <v>321</v>
      </c>
      <c r="EO27" s="492">
        <v>51</v>
      </c>
      <c r="EP27" s="492">
        <v>45.53</v>
      </c>
      <c r="EQ27" s="492">
        <v>107</v>
      </c>
      <c r="ER27" s="492">
        <v>27</v>
      </c>
      <c r="ES27" s="492">
        <v>10</v>
      </c>
      <c r="ET27" s="492">
        <v>7</v>
      </c>
      <c r="EU27" s="492">
        <v>25</v>
      </c>
      <c r="EV27" s="492">
        <v>10</v>
      </c>
      <c r="EW27" s="492">
        <v>10</v>
      </c>
      <c r="EX27" s="492">
        <v>67</v>
      </c>
      <c r="EY27" s="492">
        <v>59</v>
      </c>
      <c r="EZ27" s="492">
        <v>56</v>
      </c>
      <c r="FA27" s="493">
        <f t="shared" si="37"/>
        <v>474.53</v>
      </c>
      <c r="FB27" s="492">
        <v>42</v>
      </c>
      <c r="FC27" s="492">
        <v>113</v>
      </c>
      <c r="FD27" s="492">
        <v>86</v>
      </c>
      <c r="FE27" s="492">
        <v>49</v>
      </c>
      <c r="FF27" s="492">
        <v>17.000000000010001</v>
      </c>
      <c r="FG27" s="492"/>
      <c r="FH27" s="492"/>
      <c r="FI27" s="492"/>
      <c r="FJ27" s="492"/>
      <c r="FK27" s="492"/>
      <c r="FL27" s="492"/>
      <c r="FM27" s="492"/>
      <c r="FN27" s="493">
        <f t="shared" si="38"/>
        <v>307.00000000001</v>
      </c>
      <c r="FO27" s="628"/>
      <c r="FP27" s="595">
        <f t="shared" si="39"/>
        <v>81.481481481481495</v>
      </c>
      <c r="FQ27" s="596">
        <f t="shared" si="40"/>
        <v>25.797076302433531</v>
      </c>
      <c r="FR27" s="498">
        <f t="shared" si="41"/>
        <v>230.53</v>
      </c>
      <c r="FS27" s="597">
        <f t="shared" si="42"/>
        <v>290</v>
      </c>
      <c r="FU27" s="498">
        <f t="shared" si="43"/>
        <v>7273.0600000000195</v>
      </c>
      <c r="FV27" s="499" t="s">
        <v>175</v>
      </c>
      <c r="FW27" s="500" t="str">
        <f t="shared" si="44"/>
        <v>OK</v>
      </c>
    </row>
    <row r="28" spans="1:179" ht="15" customHeight="1" x14ac:dyDescent="0.25">
      <c r="A28" s="634" t="s">
        <v>169</v>
      </c>
      <c r="B28" s="492">
        <v>384</v>
      </c>
      <c r="C28" s="492">
        <v>298</v>
      </c>
      <c r="D28" s="492">
        <v>393</v>
      </c>
      <c r="E28" s="492">
        <v>263</v>
      </c>
      <c r="F28" s="492">
        <v>409</v>
      </c>
      <c r="G28" s="492">
        <v>252</v>
      </c>
      <c r="H28" s="492">
        <v>238</v>
      </c>
      <c r="I28" s="492">
        <v>267</v>
      </c>
      <c r="J28" s="492">
        <v>283</v>
      </c>
      <c r="K28" s="492">
        <v>227</v>
      </c>
      <c r="L28" s="492">
        <v>213</v>
      </c>
      <c r="M28" s="492">
        <v>165</v>
      </c>
      <c r="N28" s="493">
        <f t="shared" si="26"/>
        <v>3392</v>
      </c>
      <c r="O28" s="492">
        <v>168</v>
      </c>
      <c r="P28" s="492">
        <v>245</v>
      </c>
      <c r="Q28" s="492">
        <v>162</v>
      </c>
      <c r="R28" s="492">
        <v>154</v>
      </c>
      <c r="S28" s="492">
        <v>152</v>
      </c>
      <c r="T28" s="492">
        <v>151</v>
      </c>
      <c r="U28" s="492">
        <v>96</v>
      </c>
      <c r="V28" s="492">
        <v>103</v>
      </c>
      <c r="W28" s="492">
        <v>130</v>
      </c>
      <c r="X28" s="492">
        <v>132</v>
      </c>
      <c r="Y28" s="492">
        <v>114</v>
      </c>
      <c r="Z28" s="492">
        <v>155</v>
      </c>
      <c r="AA28" s="493">
        <f t="shared" si="27"/>
        <v>1762</v>
      </c>
      <c r="AB28" s="492">
        <v>276</v>
      </c>
      <c r="AC28" s="492">
        <v>285</v>
      </c>
      <c r="AD28" s="492">
        <v>201</v>
      </c>
      <c r="AE28" s="492">
        <v>179</v>
      </c>
      <c r="AF28" s="492">
        <v>124</v>
      </c>
      <c r="AG28" s="492">
        <v>125</v>
      </c>
      <c r="AH28" s="492">
        <v>113</v>
      </c>
      <c r="AI28" s="492">
        <v>70</v>
      </c>
      <c r="AJ28" s="492">
        <v>98</v>
      </c>
      <c r="AK28" s="492">
        <v>99</v>
      </c>
      <c r="AL28" s="492">
        <v>151</v>
      </c>
      <c r="AM28" s="492">
        <v>127</v>
      </c>
      <c r="AN28" s="493">
        <f t="shared" si="28"/>
        <v>1848</v>
      </c>
      <c r="AO28" s="492">
        <v>152</v>
      </c>
      <c r="AP28" s="492">
        <v>213</v>
      </c>
      <c r="AQ28" s="492">
        <v>198</v>
      </c>
      <c r="AR28" s="492">
        <v>154</v>
      </c>
      <c r="AS28" s="492">
        <v>125</v>
      </c>
      <c r="AT28" s="492">
        <v>118</v>
      </c>
      <c r="AU28" s="492">
        <v>152</v>
      </c>
      <c r="AV28" s="492">
        <v>160</v>
      </c>
      <c r="AW28" s="492">
        <v>198</v>
      </c>
      <c r="AX28" s="492">
        <v>197</v>
      </c>
      <c r="AY28" s="492">
        <v>257</v>
      </c>
      <c r="AZ28" s="492">
        <v>272</v>
      </c>
      <c r="BA28" s="493">
        <f t="shared" si="29"/>
        <v>2196</v>
      </c>
      <c r="BB28" s="492">
        <v>220</v>
      </c>
      <c r="BC28" s="492">
        <v>192</v>
      </c>
      <c r="BD28" s="492">
        <v>195</v>
      </c>
      <c r="BE28" s="492">
        <v>198</v>
      </c>
      <c r="BF28" s="492">
        <v>247</v>
      </c>
      <c r="BG28" s="492">
        <v>172</v>
      </c>
      <c r="BH28" s="492">
        <v>147</v>
      </c>
      <c r="BI28" s="492">
        <v>169</v>
      </c>
      <c r="BJ28" s="492">
        <v>251</v>
      </c>
      <c r="BK28" s="492">
        <v>371</v>
      </c>
      <c r="BL28" s="492">
        <v>411</v>
      </c>
      <c r="BM28" s="492">
        <v>548</v>
      </c>
      <c r="BN28" s="493">
        <f t="shared" si="30"/>
        <v>3121</v>
      </c>
      <c r="BO28" s="492">
        <v>233</v>
      </c>
      <c r="BP28" s="492">
        <v>178</v>
      </c>
      <c r="BQ28" s="492">
        <v>251</v>
      </c>
      <c r="BR28" s="492">
        <v>573</v>
      </c>
      <c r="BS28" s="492">
        <v>182</v>
      </c>
      <c r="BT28" s="492">
        <v>178</v>
      </c>
      <c r="BU28" s="492">
        <v>78</v>
      </c>
      <c r="BV28" s="492">
        <v>136</v>
      </c>
      <c r="BW28" s="492">
        <v>266</v>
      </c>
      <c r="BX28" s="492">
        <v>308</v>
      </c>
      <c r="BY28" s="492">
        <v>339</v>
      </c>
      <c r="BZ28" s="492">
        <v>466</v>
      </c>
      <c r="CA28" s="493">
        <f t="shared" si="31"/>
        <v>3188</v>
      </c>
      <c r="CB28" s="492">
        <v>477</v>
      </c>
      <c r="CC28" s="492">
        <v>249</v>
      </c>
      <c r="CD28" s="492">
        <v>206</v>
      </c>
      <c r="CE28" s="492">
        <v>259</v>
      </c>
      <c r="CF28" s="492">
        <v>348</v>
      </c>
      <c r="CG28" s="492">
        <v>147</v>
      </c>
      <c r="CH28" s="492">
        <v>105</v>
      </c>
      <c r="CI28" s="492">
        <v>136</v>
      </c>
      <c r="CJ28" s="492">
        <v>262</v>
      </c>
      <c r="CK28" s="492">
        <v>380</v>
      </c>
      <c r="CL28" s="492">
        <v>323</v>
      </c>
      <c r="CM28" s="492">
        <v>310</v>
      </c>
      <c r="CN28" s="493">
        <f t="shared" si="32"/>
        <v>3202</v>
      </c>
      <c r="CO28" s="492">
        <v>273</v>
      </c>
      <c r="CP28" s="492">
        <v>393</v>
      </c>
      <c r="CQ28" s="492">
        <v>416</v>
      </c>
      <c r="CR28" s="492">
        <v>526</v>
      </c>
      <c r="CS28" s="492">
        <v>361</v>
      </c>
      <c r="CT28" s="492">
        <v>298</v>
      </c>
      <c r="CU28" s="492">
        <v>166</v>
      </c>
      <c r="CV28" s="492">
        <v>165</v>
      </c>
      <c r="CW28" s="492">
        <v>243</v>
      </c>
      <c r="CX28" s="492">
        <v>295</v>
      </c>
      <c r="CY28" s="492">
        <v>318</v>
      </c>
      <c r="CZ28" s="492">
        <v>229</v>
      </c>
      <c r="DA28" s="493">
        <f t="shared" si="33"/>
        <v>3683</v>
      </c>
      <c r="DB28" s="492">
        <v>221</v>
      </c>
      <c r="DC28" s="492">
        <v>247</v>
      </c>
      <c r="DD28" s="492">
        <v>308</v>
      </c>
      <c r="DE28" s="492">
        <v>273</v>
      </c>
      <c r="DF28" s="492">
        <v>121</v>
      </c>
      <c r="DG28" s="492">
        <v>60</v>
      </c>
      <c r="DH28" s="492">
        <v>149</v>
      </c>
      <c r="DI28" s="492">
        <v>162</v>
      </c>
      <c r="DJ28" s="492">
        <v>432</v>
      </c>
      <c r="DK28" s="492">
        <v>423</v>
      </c>
      <c r="DL28" s="492">
        <v>284</v>
      </c>
      <c r="DM28" s="492">
        <v>328</v>
      </c>
      <c r="DN28" s="493">
        <f t="shared" si="34"/>
        <v>3008</v>
      </c>
      <c r="DO28" s="492">
        <v>227</v>
      </c>
      <c r="DP28" s="492">
        <v>436</v>
      </c>
      <c r="DQ28" s="492">
        <v>370</v>
      </c>
      <c r="DR28" s="492">
        <v>191</v>
      </c>
      <c r="DS28" s="492">
        <v>153</v>
      </c>
      <c r="DT28" s="492">
        <v>131</v>
      </c>
      <c r="DU28" s="492">
        <v>133</v>
      </c>
      <c r="DV28" s="492">
        <v>249</v>
      </c>
      <c r="DW28" s="492">
        <v>252</v>
      </c>
      <c r="DX28" s="492">
        <v>159</v>
      </c>
      <c r="DY28" s="492">
        <v>195</v>
      </c>
      <c r="DZ28" s="492">
        <v>149</v>
      </c>
      <c r="EA28" s="493">
        <f t="shared" si="35"/>
        <v>2645</v>
      </c>
      <c r="EB28" s="492">
        <v>127</v>
      </c>
      <c r="EC28" s="492">
        <v>137</v>
      </c>
      <c r="ED28" s="492">
        <v>386</v>
      </c>
      <c r="EE28" s="492">
        <v>123</v>
      </c>
      <c r="EF28" s="492">
        <v>78</v>
      </c>
      <c r="EG28" s="492">
        <v>197</v>
      </c>
      <c r="EH28" s="492">
        <v>230</v>
      </c>
      <c r="EI28" s="492">
        <v>366.5</v>
      </c>
      <c r="EJ28" s="492">
        <v>354</v>
      </c>
      <c r="EK28" s="492">
        <v>568</v>
      </c>
      <c r="EL28" s="492">
        <v>715</v>
      </c>
      <c r="EM28" s="492">
        <v>743</v>
      </c>
      <c r="EN28" s="493">
        <f t="shared" si="36"/>
        <v>4024.5</v>
      </c>
      <c r="EO28" s="492">
        <v>310</v>
      </c>
      <c r="EP28" s="492">
        <v>341</v>
      </c>
      <c r="EQ28" s="492">
        <v>548</v>
      </c>
      <c r="ER28" s="492">
        <v>181</v>
      </c>
      <c r="ES28" s="492">
        <v>144</v>
      </c>
      <c r="ET28" s="492">
        <v>62</v>
      </c>
      <c r="EU28" s="492">
        <v>205</v>
      </c>
      <c r="EV28" s="492">
        <v>177</v>
      </c>
      <c r="EW28" s="492">
        <v>180</v>
      </c>
      <c r="EX28" s="492">
        <v>1175</v>
      </c>
      <c r="EY28" s="492">
        <v>517</v>
      </c>
      <c r="EZ28" s="492">
        <v>431</v>
      </c>
      <c r="FA28" s="493">
        <f t="shared" si="37"/>
        <v>4271</v>
      </c>
      <c r="FB28" s="492">
        <v>1855</v>
      </c>
      <c r="FC28" s="492">
        <v>2767</v>
      </c>
      <c r="FD28" s="492">
        <v>2140</v>
      </c>
      <c r="FE28" s="492">
        <v>1307</v>
      </c>
      <c r="FF28" s="492">
        <v>30.000000000010001</v>
      </c>
      <c r="FG28" s="492"/>
      <c r="FH28" s="492"/>
      <c r="FI28" s="492"/>
      <c r="FJ28" s="492"/>
      <c r="FK28" s="492"/>
      <c r="FL28" s="492"/>
      <c r="FM28" s="492"/>
      <c r="FN28" s="493">
        <f t="shared" si="38"/>
        <v>8099.00000000001</v>
      </c>
      <c r="FO28" s="628"/>
      <c r="FP28" s="595">
        <f t="shared" si="39"/>
        <v>622.09944751381215</v>
      </c>
      <c r="FQ28" s="596">
        <f t="shared" si="40"/>
        <v>484.71014492753619</v>
      </c>
      <c r="FR28" s="498">
        <f t="shared" si="41"/>
        <v>1380</v>
      </c>
      <c r="FS28" s="597">
        <f t="shared" si="42"/>
        <v>8069</v>
      </c>
      <c r="FU28" s="498">
        <f t="shared" si="43"/>
        <v>88879.000000000029</v>
      </c>
      <c r="FV28" s="499" t="s">
        <v>169</v>
      </c>
      <c r="FW28" s="500" t="str">
        <f t="shared" si="44"/>
        <v>OK</v>
      </c>
    </row>
    <row r="29" spans="1:179" ht="15" customHeight="1" x14ac:dyDescent="0.25">
      <c r="A29" s="634" t="s">
        <v>627</v>
      </c>
      <c r="B29" s="492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3">
        <f t="shared" si="26"/>
        <v>0</v>
      </c>
      <c r="O29" s="492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3">
        <f t="shared" si="27"/>
        <v>0</v>
      </c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3">
        <f t="shared" si="28"/>
        <v>0</v>
      </c>
      <c r="AO29" s="492"/>
      <c r="AP29" s="492"/>
      <c r="AQ29" s="492"/>
      <c r="AR29" s="492"/>
      <c r="AS29" s="492"/>
      <c r="AT29" s="492"/>
      <c r="AU29" s="492"/>
      <c r="AV29" s="492"/>
      <c r="AW29" s="492"/>
      <c r="AX29" s="492"/>
      <c r="AY29" s="492"/>
      <c r="AZ29" s="492"/>
      <c r="BA29" s="493">
        <f t="shared" si="29"/>
        <v>0</v>
      </c>
      <c r="BB29" s="492"/>
      <c r="BC29" s="492"/>
      <c r="BD29" s="492"/>
      <c r="BE29" s="492"/>
      <c r="BF29" s="492"/>
      <c r="BG29" s="492"/>
      <c r="BH29" s="492"/>
      <c r="BI29" s="492"/>
      <c r="BJ29" s="492"/>
      <c r="BK29" s="492"/>
      <c r="BL29" s="492"/>
      <c r="BM29" s="492"/>
      <c r="BN29" s="493">
        <f t="shared" si="30"/>
        <v>0</v>
      </c>
      <c r="BO29" s="492"/>
      <c r="BP29" s="492"/>
      <c r="BQ29" s="492"/>
      <c r="BR29" s="492"/>
      <c r="BS29" s="492"/>
      <c r="BT29" s="492"/>
      <c r="BU29" s="492"/>
      <c r="BV29" s="492"/>
      <c r="BW29" s="492"/>
      <c r="BX29" s="492"/>
      <c r="BY29" s="492"/>
      <c r="BZ29" s="492"/>
      <c r="CA29" s="493">
        <f t="shared" si="31"/>
        <v>0</v>
      </c>
      <c r="CB29" s="492"/>
      <c r="CC29" s="492"/>
      <c r="CD29" s="492"/>
      <c r="CE29" s="492"/>
      <c r="CF29" s="492"/>
      <c r="CG29" s="492"/>
      <c r="CH29" s="492"/>
      <c r="CI29" s="492"/>
      <c r="CJ29" s="492"/>
      <c r="CK29" s="492"/>
      <c r="CL29" s="492"/>
      <c r="CM29" s="492"/>
      <c r="CN29" s="493">
        <f t="shared" si="32"/>
        <v>0</v>
      </c>
      <c r="CO29" s="492"/>
      <c r="CP29" s="492"/>
      <c r="CQ29" s="492"/>
      <c r="CR29" s="492"/>
      <c r="CS29" s="492"/>
      <c r="CT29" s="492"/>
      <c r="CU29" s="492"/>
      <c r="CV29" s="492"/>
      <c r="CW29" s="492"/>
      <c r="CX29" s="492"/>
      <c r="CY29" s="492"/>
      <c r="CZ29" s="492"/>
      <c r="DA29" s="493">
        <f t="shared" si="33"/>
        <v>0</v>
      </c>
      <c r="DB29" s="492"/>
      <c r="DC29" s="492"/>
      <c r="DD29" s="492"/>
      <c r="DE29" s="492"/>
      <c r="DF29" s="492"/>
      <c r="DG29" s="492"/>
      <c r="DH29" s="492"/>
      <c r="DI29" s="492"/>
      <c r="DJ29" s="492"/>
      <c r="DK29" s="492"/>
      <c r="DL29" s="492"/>
      <c r="DM29" s="492"/>
      <c r="DN29" s="493">
        <f t="shared" si="34"/>
        <v>0</v>
      </c>
      <c r="DO29" s="492"/>
      <c r="DP29" s="492"/>
      <c r="DQ29" s="492"/>
      <c r="DR29" s="492"/>
      <c r="DS29" s="492"/>
      <c r="DT29" s="492"/>
      <c r="DU29" s="492"/>
      <c r="DV29" s="492"/>
      <c r="DW29" s="492"/>
      <c r="DX29" s="492"/>
      <c r="DY29" s="492"/>
      <c r="DZ29" s="492"/>
      <c r="EA29" s="493">
        <f t="shared" si="35"/>
        <v>0</v>
      </c>
      <c r="EB29" s="492"/>
      <c r="EC29" s="492"/>
      <c r="ED29" s="492"/>
      <c r="EE29" s="492"/>
      <c r="EF29" s="492"/>
      <c r="EG29" s="492"/>
      <c r="EH29" s="492"/>
      <c r="EI29" s="492"/>
      <c r="EJ29" s="492"/>
      <c r="EK29" s="492"/>
      <c r="EL29" s="492"/>
      <c r="EM29" s="492"/>
      <c r="EN29" s="493">
        <f t="shared" si="36"/>
        <v>0</v>
      </c>
      <c r="EO29" s="492"/>
      <c r="EP29" s="492"/>
      <c r="EQ29" s="492"/>
      <c r="ER29" s="492"/>
      <c r="ES29" s="492"/>
      <c r="ET29" s="492"/>
      <c r="EU29" s="492"/>
      <c r="EV29" s="492"/>
      <c r="EW29" s="492"/>
      <c r="EX29" s="492"/>
      <c r="EY29" s="492"/>
      <c r="EZ29" s="492"/>
      <c r="FA29" s="493">
        <f t="shared" si="37"/>
        <v>0</v>
      </c>
      <c r="FB29" s="492"/>
      <c r="FC29" s="492"/>
      <c r="FD29" s="492"/>
      <c r="FE29" s="492"/>
      <c r="FF29" s="492">
        <v>9.9999999999999994E-12</v>
      </c>
      <c r="FG29" s="492"/>
      <c r="FH29" s="492"/>
      <c r="FI29" s="492"/>
      <c r="FJ29" s="492"/>
      <c r="FK29" s="492"/>
      <c r="FL29" s="492"/>
      <c r="FM29" s="492"/>
      <c r="FN29" s="493">
        <f t="shared" si="38"/>
        <v>9.9999999999999994E-12</v>
      </c>
      <c r="FO29" s="628"/>
      <c r="FP29" s="595" t="str">
        <f t="shared" si="39"/>
        <v/>
      </c>
      <c r="FQ29" s="596" t="str">
        <f t="shared" si="40"/>
        <v/>
      </c>
      <c r="FR29" s="498">
        <f t="shared" si="41"/>
        <v>0</v>
      </c>
      <c r="FS29" s="597">
        <f t="shared" si="42"/>
        <v>0</v>
      </c>
      <c r="FU29" s="498">
        <f t="shared" si="43"/>
        <v>1.9999999999999999E-11</v>
      </c>
      <c r="FV29" s="499" t="s">
        <v>627</v>
      </c>
      <c r="FW29" s="500" t="str">
        <f t="shared" si="44"/>
        <v>OK</v>
      </c>
    </row>
    <row r="30" spans="1:179" ht="15" customHeight="1" x14ac:dyDescent="0.25">
      <c r="A30" s="634" t="s">
        <v>178</v>
      </c>
      <c r="B30" s="492">
        <v>6</v>
      </c>
      <c r="C30" s="492">
        <v>5</v>
      </c>
      <c r="D30" s="492">
        <v>2</v>
      </c>
      <c r="E30" s="492">
        <v>5</v>
      </c>
      <c r="F30" s="492">
        <v>5</v>
      </c>
      <c r="G30" s="492"/>
      <c r="H30" s="492"/>
      <c r="I30" s="492"/>
      <c r="J30" s="492">
        <v>10</v>
      </c>
      <c r="K30" s="492">
        <v>73</v>
      </c>
      <c r="L30" s="492">
        <v>34</v>
      </c>
      <c r="M30" s="492">
        <v>20</v>
      </c>
      <c r="N30" s="493">
        <f t="shared" si="26"/>
        <v>160</v>
      </c>
      <c r="O30" s="492">
        <v>12</v>
      </c>
      <c r="P30" s="492">
        <v>12</v>
      </c>
      <c r="Q30" s="492"/>
      <c r="R30" s="492"/>
      <c r="S30" s="492"/>
      <c r="T30" s="492"/>
      <c r="U30" s="492"/>
      <c r="V30" s="492"/>
      <c r="W30" s="492">
        <v>5</v>
      </c>
      <c r="X30" s="492">
        <v>47</v>
      </c>
      <c r="Y30" s="492">
        <v>54</v>
      </c>
      <c r="Z30" s="492">
        <v>54</v>
      </c>
      <c r="AA30" s="493">
        <f t="shared" si="27"/>
        <v>184</v>
      </c>
      <c r="AB30" s="492">
        <v>13</v>
      </c>
      <c r="AC30" s="492">
        <v>8</v>
      </c>
      <c r="AD30" s="492">
        <v>2</v>
      </c>
      <c r="AE30" s="492">
        <v>3</v>
      </c>
      <c r="AF30" s="492"/>
      <c r="AG30" s="492"/>
      <c r="AH30" s="492"/>
      <c r="AI30" s="492"/>
      <c r="AJ30" s="492"/>
      <c r="AK30" s="492">
        <v>45</v>
      </c>
      <c r="AL30" s="492">
        <v>33</v>
      </c>
      <c r="AM30" s="492">
        <v>17</v>
      </c>
      <c r="AN30" s="493">
        <f t="shared" si="28"/>
        <v>121</v>
      </c>
      <c r="AO30" s="492">
        <v>8</v>
      </c>
      <c r="AP30" s="492"/>
      <c r="AQ30" s="492"/>
      <c r="AR30" s="492"/>
      <c r="AS30" s="492"/>
      <c r="AT30" s="492"/>
      <c r="AU30" s="492"/>
      <c r="AV30" s="492"/>
      <c r="AW30" s="492">
        <v>38</v>
      </c>
      <c r="AX30" s="492">
        <v>54</v>
      </c>
      <c r="AY30" s="492">
        <v>46</v>
      </c>
      <c r="AZ30" s="492">
        <v>2</v>
      </c>
      <c r="BA30" s="493">
        <f t="shared" si="29"/>
        <v>148</v>
      </c>
      <c r="BB30" s="492">
        <v>2</v>
      </c>
      <c r="BC30" s="492"/>
      <c r="BD30" s="492">
        <v>2</v>
      </c>
      <c r="BE30" s="492">
        <v>1</v>
      </c>
      <c r="BF30" s="492">
        <v>2</v>
      </c>
      <c r="BG30" s="492"/>
      <c r="BH30" s="492"/>
      <c r="BI30" s="492"/>
      <c r="BJ30" s="492">
        <v>24</v>
      </c>
      <c r="BK30" s="492">
        <v>88</v>
      </c>
      <c r="BL30" s="492">
        <v>49</v>
      </c>
      <c r="BM30" s="492">
        <v>32</v>
      </c>
      <c r="BN30" s="493">
        <f t="shared" si="30"/>
        <v>200</v>
      </c>
      <c r="BO30" s="492">
        <v>6</v>
      </c>
      <c r="BP30" s="492">
        <v>6</v>
      </c>
      <c r="BQ30" s="492"/>
      <c r="BR30" s="492"/>
      <c r="BS30" s="492"/>
      <c r="BT30" s="492"/>
      <c r="BU30" s="492"/>
      <c r="BV30" s="492"/>
      <c r="BW30" s="492">
        <v>10</v>
      </c>
      <c r="BX30" s="492">
        <v>30</v>
      </c>
      <c r="BY30" s="492">
        <v>79</v>
      </c>
      <c r="BZ30" s="492">
        <v>99</v>
      </c>
      <c r="CA30" s="493">
        <f t="shared" si="31"/>
        <v>230</v>
      </c>
      <c r="CB30" s="492">
        <v>18</v>
      </c>
      <c r="CC30" s="492">
        <v>8</v>
      </c>
      <c r="CD30" s="492">
        <v>2</v>
      </c>
      <c r="CE30" s="492">
        <v>2</v>
      </c>
      <c r="CF30" s="492"/>
      <c r="CG30" s="492"/>
      <c r="CH30" s="492"/>
      <c r="CI30" s="492"/>
      <c r="CJ30" s="492">
        <v>29</v>
      </c>
      <c r="CK30" s="492">
        <v>133</v>
      </c>
      <c r="CL30" s="492">
        <v>81</v>
      </c>
      <c r="CM30" s="492">
        <v>23</v>
      </c>
      <c r="CN30" s="493">
        <f t="shared" si="32"/>
        <v>296</v>
      </c>
      <c r="CO30" s="492">
        <v>1</v>
      </c>
      <c r="CP30" s="492">
        <v>10</v>
      </c>
      <c r="CQ30" s="492">
        <v>5</v>
      </c>
      <c r="CR30" s="492">
        <v>6</v>
      </c>
      <c r="CS30" s="492"/>
      <c r="CT30" s="492"/>
      <c r="CU30" s="492"/>
      <c r="CV30" s="492"/>
      <c r="CW30" s="492">
        <v>24</v>
      </c>
      <c r="CX30" s="492">
        <v>140</v>
      </c>
      <c r="CY30" s="492">
        <v>77</v>
      </c>
      <c r="CZ30" s="492">
        <v>43</v>
      </c>
      <c r="DA30" s="493">
        <f t="shared" si="33"/>
        <v>306</v>
      </c>
      <c r="DB30" s="492">
        <v>37</v>
      </c>
      <c r="DC30" s="492">
        <v>11</v>
      </c>
      <c r="DD30" s="492"/>
      <c r="DE30" s="492">
        <v>5</v>
      </c>
      <c r="DF30" s="492"/>
      <c r="DG30" s="492"/>
      <c r="DH30" s="492"/>
      <c r="DI30" s="492"/>
      <c r="DJ30" s="492">
        <v>15</v>
      </c>
      <c r="DK30" s="492">
        <v>65</v>
      </c>
      <c r="DL30" s="492">
        <v>58</v>
      </c>
      <c r="DM30" s="492">
        <v>32</v>
      </c>
      <c r="DN30" s="493">
        <f t="shared" si="34"/>
        <v>223</v>
      </c>
      <c r="DO30" s="492">
        <v>9</v>
      </c>
      <c r="DP30" s="492">
        <v>20</v>
      </c>
      <c r="DQ30" s="492">
        <v>13</v>
      </c>
      <c r="DR30" s="492">
        <v>6</v>
      </c>
      <c r="DS30" s="492"/>
      <c r="DT30" s="492"/>
      <c r="DU30" s="492"/>
      <c r="DV30" s="492"/>
      <c r="DW30" s="492">
        <v>16</v>
      </c>
      <c r="DX30" s="492">
        <v>60</v>
      </c>
      <c r="DY30" s="492">
        <v>65</v>
      </c>
      <c r="DZ30" s="492">
        <v>16</v>
      </c>
      <c r="EA30" s="493">
        <f t="shared" si="35"/>
        <v>205</v>
      </c>
      <c r="EB30" s="492">
        <v>0.5</v>
      </c>
      <c r="EC30" s="492">
        <v>5</v>
      </c>
      <c r="ED30" s="492">
        <v>14</v>
      </c>
      <c r="EE30" s="492"/>
      <c r="EF30" s="492"/>
      <c r="EG30" s="492"/>
      <c r="EH30" s="492"/>
      <c r="EI30" s="492"/>
      <c r="EJ30" s="492">
        <v>3</v>
      </c>
      <c r="EK30" s="492">
        <v>150</v>
      </c>
      <c r="EL30" s="492">
        <v>151</v>
      </c>
      <c r="EM30" s="492">
        <v>46</v>
      </c>
      <c r="EN30" s="493">
        <f t="shared" si="36"/>
        <v>369.5</v>
      </c>
      <c r="EO30" s="492">
        <v>48</v>
      </c>
      <c r="EP30" s="492">
        <v>35</v>
      </c>
      <c r="EQ30" s="492">
        <v>8</v>
      </c>
      <c r="ER30" s="492"/>
      <c r="ES30" s="492"/>
      <c r="ET30" s="492"/>
      <c r="EU30" s="492"/>
      <c r="EV30" s="492"/>
      <c r="EW30" s="492">
        <v>1.5</v>
      </c>
      <c r="EX30" s="492">
        <v>94</v>
      </c>
      <c r="EY30" s="492">
        <v>97</v>
      </c>
      <c r="EZ30" s="492">
        <v>68</v>
      </c>
      <c r="FA30" s="493">
        <f t="shared" si="37"/>
        <v>351.5</v>
      </c>
      <c r="FB30" s="492">
        <v>14</v>
      </c>
      <c r="FC30" s="492">
        <v>69</v>
      </c>
      <c r="FD30" s="492"/>
      <c r="FE30" s="492"/>
      <c r="FF30" s="492">
        <v>9.9999999999999994E-12</v>
      </c>
      <c r="FG30" s="492"/>
      <c r="FH30" s="492"/>
      <c r="FI30" s="492"/>
      <c r="FJ30" s="492"/>
      <c r="FK30" s="492"/>
      <c r="FL30" s="492"/>
      <c r="FM30" s="492"/>
      <c r="FN30" s="493">
        <f t="shared" si="38"/>
        <v>83.000000000010004</v>
      </c>
      <c r="FO30" s="628"/>
      <c r="FP30" s="595" t="str">
        <f t="shared" si="39"/>
        <v/>
      </c>
      <c r="FQ30" s="596">
        <f t="shared" si="40"/>
        <v>-8.7912087912087937</v>
      </c>
      <c r="FR30" s="498">
        <f t="shared" si="41"/>
        <v>91</v>
      </c>
      <c r="FS30" s="597">
        <f t="shared" si="42"/>
        <v>83</v>
      </c>
      <c r="FU30" s="498">
        <f t="shared" si="43"/>
        <v>5754.00000000002</v>
      </c>
      <c r="FV30" s="499" t="s">
        <v>178</v>
      </c>
      <c r="FW30" s="500" t="str">
        <f t="shared" si="44"/>
        <v>OK</v>
      </c>
    </row>
    <row r="31" spans="1:179" ht="15" customHeight="1" x14ac:dyDescent="0.25">
      <c r="A31" s="634" t="s">
        <v>177</v>
      </c>
      <c r="B31" s="492">
        <v>5</v>
      </c>
      <c r="C31" s="492">
        <v>2</v>
      </c>
      <c r="D31" s="492">
        <v>6</v>
      </c>
      <c r="E31" s="492"/>
      <c r="F31" s="492"/>
      <c r="G31" s="492"/>
      <c r="H31" s="492"/>
      <c r="I31" s="492"/>
      <c r="J31" s="492">
        <v>12</v>
      </c>
      <c r="K31" s="492">
        <v>43</v>
      </c>
      <c r="L31" s="492">
        <v>25</v>
      </c>
      <c r="M31" s="492">
        <v>13</v>
      </c>
      <c r="N31" s="493">
        <f t="shared" si="26"/>
        <v>106</v>
      </c>
      <c r="O31" s="492">
        <v>9</v>
      </c>
      <c r="P31" s="492">
        <v>9</v>
      </c>
      <c r="Q31" s="492"/>
      <c r="R31" s="492"/>
      <c r="S31" s="492"/>
      <c r="T31" s="492"/>
      <c r="U31" s="492"/>
      <c r="V31" s="492">
        <v>1</v>
      </c>
      <c r="W31" s="492">
        <v>2</v>
      </c>
      <c r="X31" s="492">
        <v>8</v>
      </c>
      <c r="Y31" s="492">
        <v>12</v>
      </c>
      <c r="Z31" s="492">
        <v>16</v>
      </c>
      <c r="AA31" s="493">
        <f t="shared" si="27"/>
        <v>57</v>
      </c>
      <c r="AB31" s="492">
        <v>12</v>
      </c>
      <c r="AC31" s="492">
        <v>8</v>
      </c>
      <c r="AD31" s="492">
        <v>6</v>
      </c>
      <c r="AE31" s="492">
        <v>3</v>
      </c>
      <c r="AF31" s="492"/>
      <c r="AG31" s="492"/>
      <c r="AH31" s="492"/>
      <c r="AI31" s="492"/>
      <c r="AJ31" s="492">
        <v>2</v>
      </c>
      <c r="AK31" s="492">
        <v>12</v>
      </c>
      <c r="AL31" s="492">
        <v>23</v>
      </c>
      <c r="AM31" s="492">
        <v>5</v>
      </c>
      <c r="AN31" s="493">
        <f t="shared" si="28"/>
        <v>71</v>
      </c>
      <c r="AO31" s="492"/>
      <c r="AP31" s="492"/>
      <c r="AQ31" s="492"/>
      <c r="AR31" s="492"/>
      <c r="AS31" s="492"/>
      <c r="AT31" s="492"/>
      <c r="AU31" s="492"/>
      <c r="AV31" s="492"/>
      <c r="AW31" s="492"/>
      <c r="AX31" s="492">
        <v>12</v>
      </c>
      <c r="AY31" s="492">
        <v>23</v>
      </c>
      <c r="AZ31" s="492">
        <v>3</v>
      </c>
      <c r="BA31" s="493">
        <f t="shared" si="29"/>
        <v>38</v>
      </c>
      <c r="BB31" s="492"/>
      <c r="BC31" s="492"/>
      <c r="BD31" s="492"/>
      <c r="BE31" s="492"/>
      <c r="BF31" s="492"/>
      <c r="BG31" s="492"/>
      <c r="BH31" s="492"/>
      <c r="BI31" s="492"/>
      <c r="BJ31" s="492">
        <v>5</v>
      </c>
      <c r="BK31" s="492">
        <v>11</v>
      </c>
      <c r="BL31" s="492">
        <v>11</v>
      </c>
      <c r="BM31" s="492">
        <v>4</v>
      </c>
      <c r="BN31" s="493">
        <f t="shared" si="30"/>
        <v>31</v>
      </c>
      <c r="BO31" s="492"/>
      <c r="BP31" s="492"/>
      <c r="BQ31" s="492"/>
      <c r="BR31" s="492"/>
      <c r="BS31" s="492"/>
      <c r="BT31" s="492"/>
      <c r="BU31" s="492">
        <v>1</v>
      </c>
      <c r="BV31" s="492">
        <v>1</v>
      </c>
      <c r="BW31" s="492">
        <v>1</v>
      </c>
      <c r="BX31" s="492">
        <v>8</v>
      </c>
      <c r="BY31" s="492">
        <v>9</v>
      </c>
      <c r="BZ31" s="492">
        <v>8</v>
      </c>
      <c r="CA31" s="493">
        <f t="shared" si="31"/>
        <v>28</v>
      </c>
      <c r="CB31" s="492">
        <v>5</v>
      </c>
      <c r="CC31" s="492">
        <v>3</v>
      </c>
      <c r="CD31" s="492">
        <v>2</v>
      </c>
      <c r="CE31" s="492">
        <v>2</v>
      </c>
      <c r="CF31" s="492">
        <v>2</v>
      </c>
      <c r="CG31" s="492"/>
      <c r="CH31" s="492"/>
      <c r="CI31" s="492"/>
      <c r="CJ31" s="492">
        <v>4</v>
      </c>
      <c r="CK31" s="492">
        <v>29</v>
      </c>
      <c r="CL31" s="492">
        <v>15</v>
      </c>
      <c r="CM31" s="492">
        <v>12</v>
      </c>
      <c r="CN31" s="493">
        <f t="shared" si="32"/>
        <v>74</v>
      </c>
      <c r="CO31" s="492">
        <v>1</v>
      </c>
      <c r="CP31" s="492">
        <v>10</v>
      </c>
      <c r="CQ31" s="492">
        <v>2</v>
      </c>
      <c r="CR31" s="492">
        <v>3</v>
      </c>
      <c r="CS31" s="492"/>
      <c r="CT31" s="492"/>
      <c r="CU31" s="492"/>
      <c r="CV31" s="492">
        <v>2</v>
      </c>
      <c r="CW31" s="492">
        <v>4</v>
      </c>
      <c r="CX31" s="492">
        <v>10</v>
      </c>
      <c r="CY31" s="492">
        <v>11</v>
      </c>
      <c r="CZ31" s="492">
        <v>12</v>
      </c>
      <c r="DA31" s="493">
        <f t="shared" si="33"/>
        <v>55</v>
      </c>
      <c r="DB31" s="492">
        <v>8</v>
      </c>
      <c r="DC31" s="492">
        <v>4</v>
      </c>
      <c r="DD31" s="492">
        <v>1</v>
      </c>
      <c r="DE31" s="492">
        <v>7</v>
      </c>
      <c r="DF31" s="492"/>
      <c r="DG31" s="492"/>
      <c r="DH31" s="492"/>
      <c r="DI31" s="492"/>
      <c r="DJ31" s="492">
        <v>1</v>
      </c>
      <c r="DK31" s="492">
        <v>7</v>
      </c>
      <c r="DL31" s="492">
        <v>17</v>
      </c>
      <c r="DM31" s="492">
        <v>11</v>
      </c>
      <c r="DN31" s="493">
        <f t="shared" si="34"/>
        <v>56</v>
      </c>
      <c r="DO31" s="492">
        <v>6</v>
      </c>
      <c r="DP31" s="492">
        <v>8</v>
      </c>
      <c r="DQ31" s="492">
        <v>8.5</v>
      </c>
      <c r="DR31" s="492">
        <v>7</v>
      </c>
      <c r="DS31" s="492"/>
      <c r="DT31" s="492">
        <v>2</v>
      </c>
      <c r="DU31" s="492"/>
      <c r="DV31" s="492"/>
      <c r="DW31" s="492">
        <v>4</v>
      </c>
      <c r="DX31" s="492">
        <v>13</v>
      </c>
      <c r="DY31" s="492">
        <v>32</v>
      </c>
      <c r="DZ31" s="492">
        <v>1</v>
      </c>
      <c r="EA31" s="493">
        <f t="shared" si="35"/>
        <v>81.5</v>
      </c>
      <c r="EB31" s="492">
        <v>5</v>
      </c>
      <c r="EC31" s="492">
        <v>1</v>
      </c>
      <c r="ED31" s="492">
        <v>9</v>
      </c>
      <c r="EE31" s="492"/>
      <c r="EF31" s="492"/>
      <c r="EG31" s="492"/>
      <c r="EH31" s="492"/>
      <c r="EI31" s="492"/>
      <c r="EJ31" s="492">
        <v>0.5</v>
      </c>
      <c r="EK31" s="492">
        <v>58</v>
      </c>
      <c r="EL31" s="492">
        <v>51</v>
      </c>
      <c r="EM31" s="492">
        <v>19</v>
      </c>
      <c r="EN31" s="493">
        <f t="shared" si="36"/>
        <v>143.5</v>
      </c>
      <c r="EO31" s="492">
        <v>27.5</v>
      </c>
      <c r="EP31" s="492">
        <v>24</v>
      </c>
      <c r="EQ31" s="492">
        <v>13</v>
      </c>
      <c r="ER31" s="492"/>
      <c r="ES31" s="492">
        <v>1</v>
      </c>
      <c r="ET31" s="492"/>
      <c r="EU31" s="492">
        <v>3</v>
      </c>
      <c r="EV31" s="492">
        <v>2</v>
      </c>
      <c r="EW31" s="492">
        <v>7</v>
      </c>
      <c r="EX31" s="492">
        <v>58</v>
      </c>
      <c r="EY31" s="492">
        <v>43</v>
      </c>
      <c r="EZ31" s="492">
        <v>40</v>
      </c>
      <c r="FA31" s="493">
        <f t="shared" si="37"/>
        <v>218.5</v>
      </c>
      <c r="FB31" s="492">
        <v>14</v>
      </c>
      <c r="FC31" s="492">
        <v>41</v>
      </c>
      <c r="FD31" s="492">
        <v>22</v>
      </c>
      <c r="FE31" s="492">
        <v>7</v>
      </c>
      <c r="FF31" s="492">
        <v>9.9999999999999994E-12</v>
      </c>
      <c r="FG31" s="492"/>
      <c r="FH31" s="492"/>
      <c r="FI31" s="492"/>
      <c r="FJ31" s="492"/>
      <c r="FK31" s="492"/>
      <c r="FL31" s="492"/>
      <c r="FM31" s="492"/>
      <c r="FN31" s="493">
        <f t="shared" si="38"/>
        <v>84.000000000010004</v>
      </c>
      <c r="FO31" s="628"/>
      <c r="FP31" s="595" t="str">
        <f t="shared" si="39"/>
        <v/>
      </c>
      <c r="FQ31" s="596">
        <f t="shared" si="40"/>
        <v>30.232558139534895</v>
      </c>
      <c r="FR31" s="498">
        <f t="shared" si="41"/>
        <v>64.5</v>
      </c>
      <c r="FS31" s="597">
        <f t="shared" si="42"/>
        <v>84</v>
      </c>
      <c r="FU31" s="498">
        <f t="shared" si="43"/>
        <v>2087.00000000002</v>
      </c>
      <c r="FV31" s="499" t="s">
        <v>177</v>
      </c>
      <c r="FW31" s="500" t="str">
        <f t="shared" si="44"/>
        <v>OK</v>
      </c>
    </row>
    <row r="32" spans="1:179" ht="15" customHeight="1" x14ac:dyDescent="0.25">
      <c r="A32" s="634" t="s">
        <v>170</v>
      </c>
      <c r="B32" s="492">
        <v>761</v>
      </c>
      <c r="C32" s="492">
        <v>830</v>
      </c>
      <c r="D32" s="492">
        <v>1002</v>
      </c>
      <c r="E32" s="492">
        <v>1233</v>
      </c>
      <c r="F32" s="492">
        <v>1413</v>
      </c>
      <c r="G32" s="492">
        <v>1015</v>
      </c>
      <c r="H32" s="492">
        <v>597</v>
      </c>
      <c r="I32" s="492">
        <v>782</v>
      </c>
      <c r="J32" s="492">
        <v>1436</v>
      </c>
      <c r="K32" s="492">
        <v>1194</v>
      </c>
      <c r="L32" s="492">
        <v>910</v>
      </c>
      <c r="M32" s="492">
        <v>812</v>
      </c>
      <c r="N32" s="493">
        <f t="shared" si="26"/>
        <v>11985</v>
      </c>
      <c r="O32" s="492">
        <v>920</v>
      </c>
      <c r="P32" s="492">
        <v>986</v>
      </c>
      <c r="Q32" s="492">
        <v>973</v>
      </c>
      <c r="R32" s="492">
        <v>902</v>
      </c>
      <c r="S32" s="492">
        <v>919</v>
      </c>
      <c r="T32" s="492">
        <v>921</v>
      </c>
      <c r="U32" s="492">
        <v>620</v>
      </c>
      <c r="V32" s="492">
        <v>524</v>
      </c>
      <c r="W32" s="492">
        <v>547</v>
      </c>
      <c r="X32" s="492">
        <v>840</v>
      </c>
      <c r="Y32" s="492">
        <v>1035</v>
      </c>
      <c r="Z32" s="492">
        <v>965</v>
      </c>
      <c r="AA32" s="493">
        <f t="shared" si="27"/>
        <v>10152</v>
      </c>
      <c r="AB32" s="492">
        <v>1030</v>
      </c>
      <c r="AC32" s="492">
        <v>1265</v>
      </c>
      <c r="AD32" s="492">
        <v>885</v>
      </c>
      <c r="AE32" s="492">
        <v>723</v>
      </c>
      <c r="AF32" s="492">
        <v>770</v>
      </c>
      <c r="AG32" s="492">
        <v>475</v>
      </c>
      <c r="AH32" s="492">
        <v>629</v>
      </c>
      <c r="AI32" s="492">
        <v>405</v>
      </c>
      <c r="AJ32" s="492">
        <v>508</v>
      </c>
      <c r="AK32" s="492">
        <v>648</v>
      </c>
      <c r="AL32" s="492">
        <v>958</v>
      </c>
      <c r="AM32" s="492">
        <v>802</v>
      </c>
      <c r="AN32" s="493">
        <f t="shared" si="28"/>
        <v>9098</v>
      </c>
      <c r="AO32" s="492">
        <v>536</v>
      </c>
      <c r="AP32" s="492">
        <v>767</v>
      </c>
      <c r="AQ32" s="492">
        <v>781</v>
      </c>
      <c r="AR32" s="492">
        <v>413</v>
      </c>
      <c r="AS32" s="492">
        <v>503</v>
      </c>
      <c r="AT32" s="492">
        <v>406</v>
      </c>
      <c r="AU32" s="492">
        <v>382</v>
      </c>
      <c r="AV32" s="492">
        <v>414</v>
      </c>
      <c r="AW32" s="492">
        <v>562</v>
      </c>
      <c r="AX32" s="492">
        <v>911</v>
      </c>
      <c r="AY32" s="492">
        <v>1193</v>
      </c>
      <c r="AZ32" s="492">
        <v>845</v>
      </c>
      <c r="BA32" s="493">
        <f t="shared" si="29"/>
        <v>7713</v>
      </c>
      <c r="BB32" s="492">
        <v>712</v>
      </c>
      <c r="BC32" s="492">
        <v>667</v>
      </c>
      <c r="BD32" s="492">
        <v>605</v>
      </c>
      <c r="BE32" s="492">
        <v>607</v>
      </c>
      <c r="BF32" s="492">
        <v>453</v>
      </c>
      <c r="BG32" s="492">
        <v>565</v>
      </c>
      <c r="BH32" s="492">
        <v>374</v>
      </c>
      <c r="BI32" s="492">
        <v>471</v>
      </c>
      <c r="BJ32" s="492">
        <v>565</v>
      </c>
      <c r="BK32" s="492">
        <v>770</v>
      </c>
      <c r="BL32" s="492">
        <v>867</v>
      </c>
      <c r="BM32" s="492">
        <v>810</v>
      </c>
      <c r="BN32" s="493">
        <f t="shared" si="30"/>
        <v>7466</v>
      </c>
      <c r="BO32" s="492">
        <v>706</v>
      </c>
      <c r="BP32" s="492">
        <v>649</v>
      </c>
      <c r="BQ32" s="492">
        <v>574</v>
      </c>
      <c r="BR32" s="492">
        <v>469</v>
      </c>
      <c r="BS32" s="492">
        <v>413</v>
      </c>
      <c r="BT32" s="492">
        <v>572</v>
      </c>
      <c r="BU32" s="492">
        <v>519</v>
      </c>
      <c r="BV32" s="492">
        <v>620</v>
      </c>
      <c r="BW32" s="492">
        <v>626</v>
      </c>
      <c r="BX32" s="492">
        <v>739</v>
      </c>
      <c r="BY32" s="492">
        <v>775</v>
      </c>
      <c r="BZ32" s="492">
        <v>824</v>
      </c>
      <c r="CA32" s="493">
        <f t="shared" si="31"/>
        <v>7486</v>
      </c>
      <c r="CB32" s="492">
        <v>927</v>
      </c>
      <c r="CC32" s="492">
        <v>979</v>
      </c>
      <c r="CD32" s="492">
        <v>747</v>
      </c>
      <c r="CE32" s="492">
        <v>576</v>
      </c>
      <c r="CF32" s="492">
        <v>530</v>
      </c>
      <c r="CG32" s="492">
        <v>509</v>
      </c>
      <c r="CH32" s="492">
        <v>435</v>
      </c>
      <c r="CI32" s="492">
        <v>470</v>
      </c>
      <c r="CJ32" s="492">
        <v>615</v>
      </c>
      <c r="CK32" s="492">
        <v>835</v>
      </c>
      <c r="CL32" s="492">
        <v>671</v>
      </c>
      <c r="CM32" s="492">
        <v>631</v>
      </c>
      <c r="CN32" s="493">
        <f t="shared" si="32"/>
        <v>7925</v>
      </c>
      <c r="CO32" s="492">
        <v>892</v>
      </c>
      <c r="CP32" s="492">
        <v>836</v>
      </c>
      <c r="CQ32" s="492">
        <v>1024</v>
      </c>
      <c r="CR32" s="492">
        <v>708</v>
      </c>
      <c r="CS32" s="492">
        <v>563</v>
      </c>
      <c r="CT32" s="492">
        <v>417</v>
      </c>
      <c r="CU32" s="492">
        <v>279</v>
      </c>
      <c r="CV32" s="492">
        <v>570</v>
      </c>
      <c r="CW32" s="492">
        <v>564</v>
      </c>
      <c r="CX32" s="492">
        <v>678</v>
      </c>
      <c r="CY32" s="492">
        <v>646</v>
      </c>
      <c r="CZ32" s="492">
        <v>571</v>
      </c>
      <c r="DA32" s="493">
        <f t="shared" si="33"/>
        <v>7748</v>
      </c>
      <c r="DB32" s="492">
        <v>1271</v>
      </c>
      <c r="DC32" s="492">
        <v>1861</v>
      </c>
      <c r="DD32" s="492">
        <v>1154</v>
      </c>
      <c r="DE32" s="492">
        <v>766</v>
      </c>
      <c r="DF32" s="492">
        <v>505</v>
      </c>
      <c r="DG32" s="492">
        <v>216</v>
      </c>
      <c r="DH32" s="492">
        <v>317</v>
      </c>
      <c r="DI32" s="492">
        <v>275</v>
      </c>
      <c r="DJ32" s="492">
        <v>342</v>
      </c>
      <c r="DK32" s="492">
        <v>542</v>
      </c>
      <c r="DL32" s="492">
        <v>643</v>
      </c>
      <c r="DM32" s="492">
        <v>754</v>
      </c>
      <c r="DN32" s="493">
        <f t="shared" si="34"/>
        <v>8646</v>
      </c>
      <c r="DO32" s="492">
        <v>2532</v>
      </c>
      <c r="DP32" s="492">
        <v>1892</v>
      </c>
      <c r="DQ32" s="492">
        <v>1407</v>
      </c>
      <c r="DR32" s="492">
        <v>551</v>
      </c>
      <c r="DS32" s="492">
        <v>404</v>
      </c>
      <c r="DT32" s="492">
        <v>505</v>
      </c>
      <c r="DU32" s="492">
        <v>334</v>
      </c>
      <c r="DV32" s="492">
        <v>537</v>
      </c>
      <c r="DW32" s="492">
        <v>586</v>
      </c>
      <c r="DX32" s="492">
        <v>750</v>
      </c>
      <c r="DY32" s="492">
        <v>753</v>
      </c>
      <c r="DZ32" s="492">
        <v>839</v>
      </c>
      <c r="EA32" s="493">
        <f t="shared" si="35"/>
        <v>11090</v>
      </c>
      <c r="EB32" s="492">
        <v>236</v>
      </c>
      <c r="EC32" s="492">
        <v>518</v>
      </c>
      <c r="ED32" s="492">
        <v>490</v>
      </c>
      <c r="EE32" s="492">
        <v>378</v>
      </c>
      <c r="EF32" s="492">
        <v>440</v>
      </c>
      <c r="EG32" s="492">
        <v>288</v>
      </c>
      <c r="EH32" s="492">
        <v>239</v>
      </c>
      <c r="EI32" s="492">
        <v>729</v>
      </c>
      <c r="EJ32" s="492">
        <v>367</v>
      </c>
      <c r="EK32" s="492">
        <v>846</v>
      </c>
      <c r="EL32" s="492">
        <v>1011</v>
      </c>
      <c r="EM32" s="492">
        <v>696</v>
      </c>
      <c r="EN32" s="493">
        <f t="shared" si="36"/>
        <v>6238</v>
      </c>
      <c r="EO32" s="492">
        <v>2996</v>
      </c>
      <c r="EP32" s="492">
        <v>3724</v>
      </c>
      <c r="EQ32" s="492">
        <v>1755</v>
      </c>
      <c r="ER32" s="492">
        <v>995</v>
      </c>
      <c r="ES32" s="492">
        <v>223</v>
      </c>
      <c r="ET32" s="492">
        <v>203</v>
      </c>
      <c r="EU32" s="492">
        <v>440</v>
      </c>
      <c r="EV32" s="492">
        <v>207</v>
      </c>
      <c r="EW32" s="492">
        <v>285</v>
      </c>
      <c r="EX32" s="492">
        <v>1085</v>
      </c>
      <c r="EY32" s="492">
        <v>775</v>
      </c>
      <c r="EZ32" s="492">
        <v>789</v>
      </c>
      <c r="FA32" s="493">
        <f t="shared" si="37"/>
        <v>13477</v>
      </c>
      <c r="FB32" s="492">
        <v>1352</v>
      </c>
      <c r="FC32" s="492">
        <v>2105</v>
      </c>
      <c r="FD32" s="492">
        <v>1316</v>
      </c>
      <c r="FE32" s="492">
        <v>398</v>
      </c>
      <c r="FF32" s="492">
        <v>315.00000000001</v>
      </c>
      <c r="FG32" s="492"/>
      <c r="FH32" s="492"/>
      <c r="FI32" s="492"/>
      <c r="FJ32" s="492"/>
      <c r="FK32" s="492"/>
      <c r="FL32" s="492"/>
      <c r="FM32" s="492"/>
      <c r="FN32" s="493">
        <f t="shared" si="38"/>
        <v>5486.00000000001</v>
      </c>
      <c r="FO32" s="628"/>
      <c r="FP32" s="595">
        <f t="shared" si="39"/>
        <v>-60</v>
      </c>
      <c r="FQ32" s="596">
        <f t="shared" si="40"/>
        <v>-45.395987328405496</v>
      </c>
      <c r="FR32" s="498">
        <f t="shared" si="41"/>
        <v>9470</v>
      </c>
      <c r="FS32" s="597">
        <f t="shared" si="42"/>
        <v>5171</v>
      </c>
      <c r="FU32" s="498">
        <f t="shared" si="43"/>
        <v>229020</v>
      </c>
      <c r="FV32" s="499" t="s">
        <v>170</v>
      </c>
      <c r="FW32" s="500" t="str">
        <f t="shared" si="44"/>
        <v>OK</v>
      </c>
    </row>
    <row r="33" spans="1:179" ht="15" customHeight="1" x14ac:dyDescent="0.25">
      <c r="A33" s="634" t="s">
        <v>643</v>
      </c>
      <c r="B33" s="492"/>
      <c r="C33" s="492">
        <v>1</v>
      </c>
      <c r="D33" s="492">
        <v>1</v>
      </c>
      <c r="E33" s="492">
        <v>64</v>
      </c>
      <c r="F33" s="492">
        <v>5</v>
      </c>
      <c r="G33" s="492"/>
      <c r="H33" s="492">
        <v>3</v>
      </c>
      <c r="I33" s="492"/>
      <c r="J33" s="492"/>
      <c r="K33" s="492"/>
      <c r="L33" s="492"/>
      <c r="M33" s="492"/>
      <c r="N33" s="493">
        <f t="shared" si="26"/>
        <v>74</v>
      </c>
      <c r="O33" s="492"/>
      <c r="P33" s="492">
        <v>8</v>
      </c>
      <c r="Q33" s="492"/>
      <c r="R33" s="492"/>
      <c r="S33" s="492"/>
      <c r="T33" s="492">
        <v>8</v>
      </c>
      <c r="U33" s="492">
        <v>5</v>
      </c>
      <c r="V33" s="492">
        <v>8</v>
      </c>
      <c r="W33" s="492"/>
      <c r="X33" s="492">
        <v>8</v>
      </c>
      <c r="Y33" s="492">
        <v>8</v>
      </c>
      <c r="Z33" s="492">
        <v>8</v>
      </c>
      <c r="AA33" s="493">
        <f t="shared" si="27"/>
        <v>53</v>
      </c>
      <c r="AB33" s="492">
        <v>8</v>
      </c>
      <c r="AC33" s="492">
        <v>18</v>
      </c>
      <c r="AD33" s="492">
        <v>15</v>
      </c>
      <c r="AE33" s="492">
        <v>17</v>
      </c>
      <c r="AF33" s="492">
        <v>18</v>
      </c>
      <c r="AG33" s="492">
        <v>16</v>
      </c>
      <c r="AH33" s="492">
        <v>8</v>
      </c>
      <c r="AI33" s="492">
        <v>8</v>
      </c>
      <c r="AJ33" s="492">
        <v>8</v>
      </c>
      <c r="AK33" s="492">
        <v>8</v>
      </c>
      <c r="AL33" s="492">
        <v>8</v>
      </c>
      <c r="AM33" s="492">
        <v>8</v>
      </c>
      <c r="AN33" s="493">
        <f t="shared" si="28"/>
        <v>140</v>
      </c>
      <c r="AO33" s="492">
        <v>8</v>
      </c>
      <c r="AP33" s="492">
        <v>1</v>
      </c>
      <c r="AQ33" s="492">
        <v>9</v>
      </c>
      <c r="AR33" s="492">
        <v>9</v>
      </c>
      <c r="AS33" s="492">
        <v>4</v>
      </c>
      <c r="AT33" s="492"/>
      <c r="AU33" s="492"/>
      <c r="AV33" s="492"/>
      <c r="AW33" s="492"/>
      <c r="AX33" s="492"/>
      <c r="AY33" s="492"/>
      <c r="AZ33" s="492"/>
      <c r="BA33" s="493">
        <f t="shared" si="29"/>
        <v>31</v>
      </c>
      <c r="BB33" s="492"/>
      <c r="BC33" s="492">
        <v>1</v>
      </c>
      <c r="BD33" s="492">
        <v>1</v>
      </c>
      <c r="BE33" s="492">
        <v>7</v>
      </c>
      <c r="BF33" s="492"/>
      <c r="BG33" s="492"/>
      <c r="BH33" s="492">
        <v>6</v>
      </c>
      <c r="BI33" s="492">
        <v>5</v>
      </c>
      <c r="BJ33" s="492">
        <v>2</v>
      </c>
      <c r="BK33" s="492"/>
      <c r="BL33" s="492"/>
      <c r="BM33" s="492"/>
      <c r="BN33" s="493">
        <f t="shared" si="30"/>
        <v>22</v>
      </c>
      <c r="BO33" s="492">
        <v>1</v>
      </c>
      <c r="BP33" s="492"/>
      <c r="BQ33" s="492"/>
      <c r="BR33" s="492">
        <v>1</v>
      </c>
      <c r="BS33" s="492"/>
      <c r="BT33" s="492"/>
      <c r="BU33" s="492">
        <v>1</v>
      </c>
      <c r="BV33" s="492"/>
      <c r="BW33" s="492">
        <v>8</v>
      </c>
      <c r="BX33" s="492">
        <v>3</v>
      </c>
      <c r="BY33" s="492">
        <v>1</v>
      </c>
      <c r="BZ33" s="492">
        <v>2</v>
      </c>
      <c r="CA33" s="493">
        <f t="shared" si="31"/>
        <v>17</v>
      </c>
      <c r="CB33" s="492">
        <v>1</v>
      </c>
      <c r="CC33" s="492">
        <v>2</v>
      </c>
      <c r="CD33" s="492">
        <v>4</v>
      </c>
      <c r="CE33" s="492">
        <v>4</v>
      </c>
      <c r="CF33" s="492">
        <v>11</v>
      </c>
      <c r="CG33" s="492">
        <v>12</v>
      </c>
      <c r="CH33" s="492">
        <v>8</v>
      </c>
      <c r="CI33" s="492"/>
      <c r="CJ33" s="492">
        <v>6</v>
      </c>
      <c r="CK33" s="492">
        <v>26</v>
      </c>
      <c r="CL33" s="492">
        <v>26</v>
      </c>
      <c r="CM33" s="492">
        <v>10</v>
      </c>
      <c r="CN33" s="493">
        <f t="shared" si="32"/>
        <v>110</v>
      </c>
      <c r="CO33" s="492">
        <v>22</v>
      </c>
      <c r="CP33" s="492">
        <v>23</v>
      </c>
      <c r="CQ33" s="492">
        <v>10</v>
      </c>
      <c r="CR33" s="492">
        <v>1</v>
      </c>
      <c r="CS33" s="492">
        <v>3.68</v>
      </c>
      <c r="CT33" s="492">
        <v>14</v>
      </c>
      <c r="CU33" s="492">
        <v>2</v>
      </c>
      <c r="CV33" s="492">
        <v>4</v>
      </c>
      <c r="CW33" s="492">
        <v>3</v>
      </c>
      <c r="CX33" s="492">
        <v>4</v>
      </c>
      <c r="CY33" s="492">
        <v>6.62</v>
      </c>
      <c r="CZ33" s="492">
        <v>10</v>
      </c>
      <c r="DA33" s="493">
        <f t="shared" si="33"/>
        <v>103.30000000000001</v>
      </c>
      <c r="DB33" s="492"/>
      <c r="DC33" s="492">
        <v>1</v>
      </c>
      <c r="DD33" s="492">
        <v>2</v>
      </c>
      <c r="DE33" s="492">
        <v>37</v>
      </c>
      <c r="DF33" s="492">
        <v>2</v>
      </c>
      <c r="DG33" s="492">
        <v>1</v>
      </c>
      <c r="DH33" s="492">
        <v>2</v>
      </c>
      <c r="DI33" s="492"/>
      <c r="DJ33" s="492"/>
      <c r="DK33" s="492">
        <v>4</v>
      </c>
      <c r="DL33" s="492">
        <v>4</v>
      </c>
      <c r="DM33" s="492">
        <v>17</v>
      </c>
      <c r="DN33" s="493">
        <f t="shared" si="34"/>
        <v>70</v>
      </c>
      <c r="DO33" s="492">
        <v>3</v>
      </c>
      <c r="DP33" s="492"/>
      <c r="DQ33" s="492">
        <v>7</v>
      </c>
      <c r="DR33" s="492">
        <v>14</v>
      </c>
      <c r="DS33" s="492">
        <v>0.32</v>
      </c>
      <c r="DT33" s="492">
        <v>3</v>
      </c>
      <c r="DU33" s="492">
        <v>2</v>
      </c>
      <c r="DV33" s="492">
        <v>15</v>
      </c>
      <c r="DW33" s="492">
        <v>31</v>
      </c>
      <c r="DX33" s="492"/>
      <c r="DY33" s="492">
        <v>7</v>
      </c>
      <c r="DZ33" s="492"/>
      <c r="EA33" s="493">
        <f t="shared" si="35"/>
        <v>82.32</v>
      </c>
      <c r="EB33" s="492"/>
      <c r="EC33" s="492"/>
      <c r="ED33" s="492">
        <v>1.54</v>
      </c>
      <c r="EE33" s="492"/>
      <c r="EF33" s="492">
        <v>0.62</v>
      </c>
      <c r="EG33" s="492"/>
      <c r="EH33" s="492"/>
      <c r="EI33" s="492"/>
      <c r="EJ33" s="492"/>
      <c r="EK33" s="492"/>
      <c r="EL33" s="492"/>
      <c r="EM33" s="492">
        <v>53</v>
      </c>
      <c r="EN33" s="493">
        <f t="shared" si="36"/>
        <v>55.16</v>
      </c>
      <c r="EO33" s="492"/>
      <c r="EP33" s="492">
        <v>3</v>
      </c>
      <c r="EQ33" s="492">
        <v>1</v>
      </c>
      <c r="ER33" s="492">
        <v>1</v>
      </c>
      <c r="ES33" s="492"/>
      <c r="ET33" s="492"/>
      <c r="EU33" s="492">
        <v>4</v>
      </c>
      <c r="EV33" s="492">
        <v>8</v>
      </c>
      <c r="EW33" s="492">
        <v>6</v>
      </c>
      <c r="EX33" s="492">
        <v>33</v>
      </c>
      <c r="EY33" s="492">
        <v>2</v>
      </c>
      <c r="EZ33" s="492">
        <v>4</v>
      </c>
      <c r="FA33" s="493">
        <f t="shared" si="37"/>
        <v>62</v>
      </c>
      <c r="FB33" s="492">
        <v>8</v>
      </c>
      <c r="FC33" s="492">
        <v>4</v>
      </c>
      <c r="FD33" s="492">
        <v>30</v>
      </c>
      <c r="FE33" s="492">
        <v>20</v>
      </c>
      <c r="FF33" s="492">
        <v>9.9999999999999994E-12</v>
      </c>
      <c r="FG33" s="492"/>
      <c r="FH33" s="492"/>
      <c r="FI33" s="492"/>
      <c r="FJ33" s="492"/>
      <c r="FK33" s="492"/>
      <c r="FL33" s="492"/>
      <c r="FM33" s="492"/>
      <c r="FN33" s="493">
        <f t="shared" si="38"/>
        <v>62.000000000009997</v>
      </c>
      <c r="FO33" s="628"/>
      <c r="FP33" s="595">
        <f t="shared" si="39"/>
        <v>1900</v>
      </c>
      <c r="FQ33" s="596">
        <f t="shared" si="40"/>
        <v>1140</v>
      </c>
      <c r="FR33" s="498">
        <f t="shared" si="41"/>
        <v>5</v>
      </c>
      <c r="FS33" s="597">
        <f t="shared" si="42"/>
        <v>62</v>
      </c>
      <c r="FU33" s="498">
        <f t="shared" si="43"/>
        <v>1763.5600000000197</v>
      </c>
      <c r="FV33" s="499" t="s">
        <v>643</v>
      </c>
      <c r="FW33" s="500" t="str">
        <f t="shared" si="44"/>
        <v>OK</v>
      </c>
    </row>
    <row r="34" spans="1:179" s="625" customFormat="1" ht="15" customHeight="1" x14ac:dyDescent="0.25">
      <c r="A34" s="635" t="s">
        <v>646</v>
      </c>
      <c r="B34" s="557">
        <v>148</v>
      </c>
      <c r="C34" s="557">
        <v>177</v>
      </c>
      <c r="D34" s="557">
        <v>152</v>
      </c>
      <c r="E34" s="557">
        <v>104</v>
      </c>
      <c r="F34" s="557">
        <v>103</v>
      </c>
      <c r="G34" s="557">
        <v>194</v>
      </c>
      <c r="H34" s="557">
        <v>186</v>
      </c>
      <c r="I34" s="557">
        <v>186</v>
      </c>
      <c r="J34" s="557">
        <v>374</v>
      </c>
      <c r="K34" s="557">
        <v>689</v>
      </c>
      <c r="L34" s="557">
        <v>471</v>
      </c>
      <c r="M34" s="557">
        <v>270</v>
      </c>
      <c r="N34" s="516">
        <f t="shared" ref="N34" si="45">SUM(B34:M34)</f>
        <v>3054</v>
      </c>
      <c r="O34" s="557">
        <v>223</v>
      </c>
      <c r="P34" s="557">
        <v>298</v>
      </c>
      <c r="Q34" s="557">
        <v>232</v>
      </c>
      <c r="R34" s="557">
        <v>161</v>
      </c>
      <c r="S34" s="557">
        <v>109</v>
      </c>
      <c r="T34" s="557">
        <v>263</v>
      </c>
      <c r="U34" s="557">
        <v>320</v>
      </c>
      <c r="V34" s="557">
        <v>248</v>
      </c>
      <c r="W34" s="557">
        <v>135</v>
      </c>
      <c r="X34" s="557">
        <v>194</v>
      </c>
      <c r="Y34" s="557">
        <v>267</v>
      </c>
      <c r="Z34" s="557">
        <v>240</v>
      </c>
      <c r="AA34" s="516">
        <f t="shared" ref="AA34" si="46">SUM(O34:Z34)</f>
        <v>2690</v>
      </c>
      <c r="AB34" s="557">
        <v>208</v>
      </c>
      <c r="AC34" s="557">
        <v>204</v>
      </c>
      <c r="AD34" s="557">
        <v>179</v>
      </c>
      <c r="AE34" s="557">
        <v>143</v>
      </c>
      <c r="AF34" s="557">
        <v>100</v>
      </c>
      <c r="AG34" s="557">
        <v>103</v>
      </c>
      <c r="AH34" s="557">
        <v>133</v>
      </c>
      <c r="AI34" s="557">
        <v>108</v>
      </c>
      <c r="AJ34" s="557">
        <v>145</v>
      </c>
      <c r="AK34" s="557">
        <v>144</v>
      </c>
      <c r="AL34" s="557">
        <v>234</v>
      </c>
      <c r="AM34" s="557">
        <v>161</v>
      </c>
      <c r="AN34" s="516">
        <f t="shared" ref="AN34" si="47">SUM(AB34:AM34)</f>
        <v>1862</v>
      </c>
      <c r="AO34" s="557">
        <v>79</v>
      </c>
      <c r="AP34" s="557">
        <v>39</v>
      </c>
      <c r="AQ34" s="557">
        <v>79</v>
      </c>
      <c r="AR34" s="557">
        <v>106</v>
      </c>
      <c r="AS34" s="557">
        <v>117</v>
      </c>
      <c r="AT34" s="557">
        <v>95</v>
      </c>
      <c r="AU34" s="557">
        <v>93</v>
      </c>
      <c r="AV34" s="557">
        <v>92</v>
      </c>
      <c r="AW34" s="557">
        <v>221</v>
      </c>
      <c r="AX34" s="557">
        <v>288</v>
      </c>
      <c r="AY34" s="557">
        <v>283</v>
      </c>
      <c r="AZ34" s="557">
        <v>76</v>
      </c>
      <c r="BA34" s="516">
        <f t="shared" ref="BA34" si="48">SUM(AO34:AZ34)</f>
        <v>1568</v>
      </c>
      <c r="BB34" s="557">
        <v>57</v>
      </c>
      <c r="BC34" s="557">
        <v>80</v>
      </c>
      <c r="BD34" s="557">
        <v>311</v>
      </c>
      <c r="BE34" s="557">
        <v>223</v>
      </c>
      <c r="BF34" s="557">
        <v>176</v>
      </c>
      <c r="BG34" s="557">
        <v>171</v>
      </c>
      <c r="BH34" s="557">
        <v>59</v>
      </c>
      <c r="BI34" s="557">
        <v>124</v>
      </c>
      <c r="BJ34" s="557">
        <v>214</v>
      </c>
      <c r="BK34" s="557">
        <v>248</v>
      </c>
      <c r="BL34" s="557">
        <v>257</v>
      </c>
      <c r="BM34" s="557">
        <v>194</v>
      </c>
      <c r="BN34" s="516">
        <f t="shared" ref="BN34" si="49">SUM(BB34:BM34)</f>
        <v>2114</v>
      </c>
      <c r="BO34" s="557">
        <v>169</v>
      </c>
      <c r="BP34" s="557">
        <v>203</v>
      </c>
      <c r="BQ34" s="557">
        <v>189</v>
      </c>
      <c r="BR34" s="557">
        <v>165</v>
      </c>
      <c r="BS34" s="557">
        <v>115</v>
      </c>
      <c r="BT34" s="557">
        <v>68</v>
      </c>
      <c r="BU34" s="557">
        <v>76</v>
      </c>
      <c r="BV34" s="557">
        <v>168</v>
      </c>
      <c r="BW34" s="557">
        <v>224</v>
      </c>
      <c r="BX34" s="557">
        <v>221</v>
      </c>
      <c r="BY34" s="557">
        <v>202</v>
      </c>
      <c r="BZ34" s="557">
        <v>208</v>
      </c>
      <c r="CA34" s="516">
        <f t="shared" ref="CA34" si="50">SUM(BO34:BZ34)</f>
        <v>2008</v>
      </c>
      <c r="CB34" s="557">
        <v>170</v>
      </c>
      <c r="CC34" s="557">
        <v>219</v>
      </c>
      <c r="CD34" s="557">
        <v>261</v>
      </c>
      <c r="CE34" s="557">
        <v>217</v>
      </c>
      <c r="CF34" s="557">
        <v>154</v>
      </c>
      <c r="CG34" s="557">
        <v>112</v>
      </c>
      <c r="CH34" s="557">
        <v>96</v>
      </c>
      <c r="CI34" s="557">
        <v>149</v>
      </c>
      <c r="CJ34" s="557">
        <v>382</v>
      </c>
      <c r="CK34" s="557">
        <v>541</v>
      </c>
      <c r="CL34" s="557">
        <v>285</v>
      </c>
      <c r="CM34" s="557">
        <v>79</v>
      </c>
      <c r="CN34" s="516">
        <f t="shared" ref="CN34" si="51">SUM(CB34:CM34)</f>
        <v>2665</v>
      </c>
      <c r="CO34" s="557">
        <v>65</v>
      </c>
      <c r="CP34" s="557">
        <v>148</v>
      </c>
      <c r="CQ34" s="557">
        <v>267.5</v>
      </c>
      <c r="CR34" s="557">
        <v>285.5</v>
      </c>
      <c r="CS34" s="557">
        <v>230</v>
      </c>
      <c r="CT34" s="557">
        <v>152</v>
      </c>
      <c r="CU34" s="557">
        <v>55</v>
      </c>
      <c r="CV34" s="557">
        <v>117</v>
      </c>
      <c r="CW34" s="557">
        <v>171</v>
      </c>
      <c r="CX34" s="557">
        <v>384.5</v>
      </c>
      <c r="CY34" s="557">
        <v>215</v>
      </c>
      <c r="CZ34" s="557">
        <v>144</v>
      </c>
      <c r="DA34" s="516">
        <f t="shared" ref="DA34" si="52">SUM(CO34:CZ34)</f>
        <v>2234.5</v>
      </c>
      <c r="DB34" s="557">
        <v>511</v>
      </c>
      <c r="DC34" s="557">
        <v>418</v>
      </c>
      <c r="DD34" s="557">
        <v>275.5</v>
      </c>
      <c r="DE34" s="557">
        <v>471</v>
      </c>
      <c r="DF34" s="557">
        <v>122.5</v>
      </c>
      <c r="DG34" s="557">
        <v>72</v>
      </c>
      <c r="DH34" s="557">
        <v>40</v>
      </c>
      <c r="DI34" s="557">
        <v>40</v>
      </c>
      <c r="DJ34" s="557">
        <v>109</v>
      </c>
      <c r="DK34" s="557">
        <v>303</v>
      </c>
      <c r="DL34" s="557">
        <v>298</v>
      </c>
      <c r="DM34" s="557">
        <v>217</v>
      </c>
      <c r="DN34" s="516">
        <f t="shared" ref="DN34" si="53">SUM(DB34:DM34)</f>
        <v>2877</v>
      </c>
      <c r="DO34" s="557">
        <v>87.5</v>
      </c>
      <c r="DP34" s="557">
        <v>242</v>
      </c>
      <c r="DQ34" s="557">
        <v>228.9</v>
      </c>
      <c r="DR34" s="557">
        <v>441</v>
      </c>
      <c r="DS34" s="557">
        <v>53.989999999999995</v>
      </c>
      <c r="DT34" s="557">
        <v>47.85</v>
      </c>
      <c r="DU34" s="557">
        <v>54</v>
      </c>
      <c r="DV34" s="557">
        <v>79</v>
      </c>
      <c r="DW34" s="557">
        <v>176</v>
      </c>
      <c r="DX34" s="557">
        <v>379.56</v>
      </c>
      <c r="DY34" s="557">
        <v>395.5</v>
      </c>
      <c r="DZ34" s="557">
        <v>240</v>
      </c>
      <c r="EA34" s="516">
        <f t="shared" ref="EA34" si="54">SUM(DO34:DZ34)</f>
        <v>2425.2999999999997</v>
      </c>
      <c r="EB34" s="557">
        <v>50</v>
      </c>
      <c r="EC34" s="557">
        <v>134</v>
      </c>
      <c r="ED34" s="557">
        <v>932</v>
      </c>
      <c r="EE34" s="557">
        <v>4</v>
      </c>
      <c r="EF34" s="557">
        <v>12.26</v>
      </c>
      <c r="EG34" s="557">
        <v>43</v>
      </c>
      <c r="EH34" s="557">
        <v>68.5</v>
      </c>
      <c r="EI34" s="557">
        <v>89.5</v>
      </c>
      <c r="EJ34" s="557">
        <v>174.5</v>
      </c>
      <c r="EK34" s="557">
        <v>596</v>
      </c>
      <c r="EL34" s="557">
        <v>832</v>
      </c>
      <c r="EM34" s="557">
        <v>610.5</v>
      </c>
      <c r="EN34" s="516">
        <f t="shared" ref="EN34" si="55">SUM(EB34:EM34)</f>
        <v>3546.26</v>
      </c>
      <c r="EO34" s="557">
        <v>325</v>
      </c>
      <c r="EP34" s="557">
        <v>488.5</v>
      </c>
      <c r="EQ34" s="557">
        <v>413.5</v>
      </c>
      <c r="ER34" s="557">
        <v>180.75</v>
      </c>
      <c r="ES34" s="557">
        <v>74</v>
      </c>
      <c r="ET34" s="557">
        <v>6</v>
      </c>
      <c r="EU34" s="557">
        <v>32.5</v>
      </c>
      <c r="EV34" s="557">
        <v>68.5</v>
      </c>
      <c r="EW34" s="557">
        <v>91</v>
      </c>
      <c r="EX34" s="557">
        <v>2092</v>
      </c>
      <c r="EY34" s="557">
        <v>698.5</v>
      </c>
      <c r="EZ34" s="557">
        <v>635.5</v>
      </c>
      <c r="FA34" s="516">
        <f t="shared" ref="FA34" si="56">SUM(EO34:EZ34)</f>
        <v>5105.75</v>
      </c>
      <c r="FB34" s="557" cm="1">
        <f t="array" ref="FB34">(SUMPRODUCT((UCA.SIEMBRASOTROS.NAME=$A34)*(UCA.SIEMBRASOTROS.DATE=FB$5)*(UCA.SIEMBRASOTROS.VAL)))</f>
        <v>0</v>
      </c>
      <c r="FC34" s="557" cm="1">
        <f t="array" ref="FC34">(SUMPRODUCT((UCA.SIEMBRASOTROS.NAME=$A34)*(UCA.SIEMBRASOTROS.DATE=FC$5)*(UCA.SIEMBRASOTROS.VAL)))</f>
        <v>0</v>
      </c>
      <c r="FD34" s="557" cm="1">
        <f t="array" ref="FD34">(SUMPRODUCT((UCA.SIEMBRASOTROS.NAME=$A34)*(UCA.SIEMBRASOTROS.DATE=FD$5)*(UCA.SIEMBRASOTROS.VAL)))</f>
        <v>0</v>
      </c>
      <c r="FE34" s="557" cm="1">
        <f t="array" ref="FE34">(SUMPRODUCT((UCA.SIEMBRASOTROS.NAME=$A34)*(UCA.SIEMBRASOTROS.DATE=FE$5)*(UCA.SIEMBRASOTROS.VAL)))</f>
        <v>0</v>
      </c>
      <c r="FF34" s="557" cm="1">
        <f t="array" ref="FF34">(SUMPRODUCT((UCA.SIEMBRASOTROS.NAME=$A34)*(UCA.SIEMBRASOTROS.DATE=FF$5)*(UCA.SIEMBRASOTROS.VAL)))</f>
        <v>0</v>
      </c>
      <c r="FG34" s="557" cm="1">
        <f t="array" ref="FG34">(SUMPRODUCT((UCA.SIEMBRASOTROS.NAME=$A34)*(UCA.SIEMBRASOTROS.DATE=FG$5)*(UCA.SIEMBRASOTROS.VAL)))</f>
        <v>0</v>
      </c>
      <c r="FH34" s="557" cm="1">
        <f t="array" ref="FH34">(SUMPRODUCT((UCA.SIEMBRASOTROS.NAME=$A34)*(UCA.SIEMBRASOTROS.DATE=FH$5)*(UCA.SIEMBRASOTROS.VAL)))</f>
        <v>0</v>
      </c>
      <c r="FI34" s="557" cm="1">
        <f t="array" ref="FI34">(SUMPRODUCT((UCA.SIEMBRASOTROS.NAME=$A34)*(UCA.SIEMBRASOTROS.DATE=FI$5)*(UCA.SIEMBRASOTROS.VAL)))</f>
        <v>0</v>
      </c>
      <c r="FJ34" s="557" cm="1">
        <f t="array" ref="FJ34">(SUMPRODUCT((UCA.SIEMBRASOTROS.NAME=$A34)*(UCA.SIEMBRASOTROS.DATE=FJ$5)*(UCA.SIEMBRASOTROS.VAL)))</f>
        <v>0</v>
      </c>
      <c r="FK34" s="557" cm="1">
        <f t="array" ref="FK34">(SUMPRODUCT((UCA.SIEMBRASOTROS.NAME=$A34)*(UCA.SIEMBRASOTROS.DATE=FK$5)*(UCA.SIEMBRASOTROS.VAL)))</f>
        <v>0</v>
      </c>
      <c r="FL34" s="557" cm="1">
        <f t="array" ref="FL34">(SUMPRODUCT((UCA.SIEMBRASOTROS.NAME=$A34)*(UCA.SIEMBRASOTROS.DATE=FL$5)*(UCA.SIEMBRASOTROS.VAL)))</f>
        <v>0</v>
      </c>
      <c r="FM34" s="557" cm="1">
        <f t="array" ref="FM34">(SUMPRODUCT((UCA.SIEMBRASOTROS.NAME=$A34)*(UCA.SIEMBRASOTROS.DATE=FM$5)*(UCA.SIEMBRASOTROS.VAL)))</f>
        <v>0</v>
      </c>
      <c r="FN34" s="516">
        <f t="shared" ref="FN34" si="57">SUM(FB34:FM34)</f>
        <v>0</v>
      </c>
      <c r="FO34" s="636"/>
      <c r="FP34" s="518">
        <f t="shared" si="39"/>
        <v>-100</v>
      </c>
      <c r="FQ34" s="519">
        <f t="shared" ref="FQ34" si="58">IFERROR(((FS34/FR34)-1)*100,"")</f>
        <v>-100</v>
      </c>
      <c r="FR34" s="520">
        <f t="shared" si="41"/>
        <v>1407.75</v>
      </c>
      <c r="FS34" s="521">
        <f t="shared" si="42"/>
        <v>0</v>
      </c>
      <c r="FU34" s="520"/>
      <c r="FV34" s="522"/>
      <c r="FW34" s="523"/>
    </row>
    <row r="35" spans="1:179" ht="15" customHeight="1" x14ac:dyDescent="0.25">
      <c r="A35" s="637"/>
      <c r="B35" s="613"/>
      <c r="C35" s="613"/>
      <c r="D35" s="613"/>
      <c r="E35" s="613"/>
      <c r="F35" s="613"/>
      <c r="G35" s="613"/>
      <c r="H35" s="613"/>
      <c r="I35" s="613"/>
      <c r="J35" s="613"/>
      <c r="K35" s="613"/>
      <c r="L35" s="613"/>
      <c r="M35" s="613"/>
      <c r="N35" s="577"/>
      <c r="O35" s="613"/>
      <c r="P35" s="613"/>
      <c r="Q35" s="613"/>
      <c r="R35" s="613"/>
      <c r="S35" s="613"/>
      <c r="T35" s="613"/>
      <c r="U35" s="613"/>
      <c r="V35" s="613"/>
      <c r="W35" s="613"/>
      <c r="X35" s="613"/>
      <c r="Y35" s="613"/>
      <c r="Z35" s="613"/>
      <c r="AA35" s="577"/>
      <c r="AB35" s="613"/>
      <c r="AC35" s="613"/>
      <c r="AD35" s="613"/>
      <c r="AE35" s="613"/>
      <c r="AF35" s="613"/>
      <c r="AG35" s="613"/>
      <c r="AH35" s="613"/>
      <c r="AI35" s="613"/>
      <c r="AJ35" s="613"/>
      <c r="AK35" s="613"/>
      <c r="AL35" s="613"/>
      <c r="AM35" s="613"/>
      <c r="AN35" s="577"/>
      <c r="AO35" s="613"/>
      <c r="AP35" s="613"/>
      <c r="AQ35" s="613"/>
      <c r="AR35" s="613"/>
      <c r="AS35" s="613"/>
      <c r="AT35" s="613"/>
      <c r="AU35" s="613"/>
      <c r="AV35" s="613"/>
      <c r="AW35" s="613"/>
      <c r="AX35" s="613"/>
      <c r="AY35" s="613"/>
      <c r="AZ35" s="613"/>
      <c r="BA35" s="577"/>
      <c r="BB35" s="613"/>
      <c r="BC35" s="613"/>
      <c r="BD35" s="613"/>
      <c r="BE35" s="613"/>
      <c r="BF35" s="613"/>
      <c r="BG35" s="613"/>
      <c r="BH35" s="613"/>
      <c r="BI35" s="613"/>
      <c r="BJ35" s="613"/>
      <c r="BK35" s="613"/>
      <c r="BL35" s="613"/>
      <c r="BM35" s="613"/>
      <c r="BN35" s="577"/>
      <c r="BO35" s="613"/>
      <c r="BP35" s="613"/>
      <c r="BQ35" s="613"/>
      <c r="BR35" s="613"/>
      <c r="BS35" s="613"/>
      <c r="BT35" s="613"/>
      <c r="BU35" s="613"/>
      <c r="BV35" s="613"/>
      <c r="BW35" s="613"/>
      <c r="BX35" s="613"/>
      <c r="BY35" s="613"/>
      <c r="BZ35" s="613"/>
      <c r="CA35" s="577"/>
      <c r="CB35" s="613"/>
      <c r="CC35" s="613"/>
      <c r="CD35" s="613"/>
      <c r="CE35" s="613"/>
      <c r="CF35" s="613"/>
      <c r="CG35" s="613"/>
      <c r="CH35" s="613"/>
      <c r="CI35" s="613"/>
      <c r="CJ35" s="613"/>
      <c r="CK35" s="613"/>
      <c r="CL35" s="613"/>
      <c r="CM35" s="613"/>
      <c r="CN35" s="577"/>
      <c r="CO35" s="613"/>
      <c r="CP35" s="613"/>
      <c r="CQ35" s="613"/>
      <c r="CR35" s="613"/>
      <c r="CS35" s="613"/>
      <c r="CT35" s="613"/>
      <c r="CU35" s="613"/>
      <c r="CV35" s="613"/>
      <c r="CW35" s="613"/>
      <c r="CX35" s="613"/>
      <c r="CY35" s="613"/>
      <c r="CZ35" s="613"/>
      <c r="DA35" s="577"/>
      <c r="DB35" s="613"/>
      <c r="DC35" s="613"/>
      <c r="DD35" s="613"/>
      <c r="DE35" s="613"/>
      <c r="DF35" s="613"/>
      <c r="DG35" s="613"/>
      <c r="DH35" s="613"/>
      <c r="DI35" s="613"/>
      <c r="DJ35" s="613"/>
      <c r="DK35" s="613"/>
      <c r="DL35" s="613"/>
      <c r="DM35" s="613"/>
      <c r="DN35" s="577"/>
      <c r="DO35" s="613"/>
      <c r="DP35" s="613"/>
      <c r="DQ35" s="613"/>
      <c r="DR35" s="613"/>
      <c r="DS35" s="613"/>
      <c r="DT35" s="613"/>
      <c r="DU35" s="613"/>
      <c r="DV35" s="613"/>
      <c r="DW35" s="613"/>
      <c r="DX35" s="613"/>
      <c r="DY35" s="613"/>
      <c r="DZ35" s="613"/>
      <c r="EA35" s="577"/>
      <c r="EB35" s="613"/>
      <c r="EC35" s="613"/>
      <c r="ED35" s="613"/>
      <c r="EE35" s="613"/>
      <c r="EF35" s="613"/>
      <c r="EG35" s="613"/>
      <c r="EH35" s="613"/>
      <c r="EI35" s="613"/>
      <c r="EJ35" s="613"/>
      <c r="EK35" s="613"/>
      <c r="EL35" s="613"/>
      <c r="EM35" s="613"/>
      <c r="EN35" s="577"/>
      <c r="EO35" s="613"/>
      <c r="EP35" s="613"/>
      <c r="EQ35" s="613"/>
      <c r="ER35" s="613"/>
      <c r="ES35" s="613"/>
      <c r="ET35" s="613"/>
      <c r="EU35" s="613"/>
      <c r="EV35" s="613"/>
      <c r="EW35" s="613"/>
      <c r="EX35" s="613"/>
      <c r="EY35" s="613"/>
      <c r="EZ35" s="613"/>
      <c r="FA35" s="577"/>
      <c r="FB35" s="613"/>
      <c r="FC35" s="613"/>
      <c r="FD35" s="613"/>
      <c r="FE35" s="613"/>
      <c r="FF35" s="613"/>
      <c r="FG35" s="613"/>
      <c r="FH35" s="613"/>
      <c r="FI35" s="613"/>
      <c r="FJ35" s="613"/>
      <c r="FK35" s="613"/>
      <c r="FL35" s="613"/>
      <c r="FM35" s="613"/>
      <c r="FN35" s="577"/>
      <c r="FO35" s="628"/>
      <c r="FP35" s="638"/>
      <c r="FQ35" s="639"/>
      <c r="FR35" s="640"/>
      <c r="FS35" s="641"/>
      <c r="FU35" s="642"/>
      <c r="FV35" s="643"/>
      <c r="FW35" s="644"/>
    </row>
    <row r="36" spans="1:179" ht="15" customHeight="1" x14ac:dyDescent="0.25">
      <c r="A36" s="586" t="s">
        <v>267</v>
      </c>
      <c r="FP36"/>
      <c r="FQ36"/>
      <c r="FR36"/>
      <c r="FS36"/>
      <c r="FT36"/>
      <c r="FU36"/>
      <c r="FV36"/>
      <c r="FW36"/>
    </row>
    <row r="37" spans="1:179" ht="15" customHeight="1" x14ac:dyDescent="0.25">
      <c r="A37" s="586" t="s">
        <v>162</v>
      </c>
      <c r="FP37"/>
      <c r="FQ37"/>
      <c r="FR37"/>
      <c r="FS37"/>
      <c r="FT37"/>
      <c r="FU37"/>
      <c r="FV37"/>
      <c r="FW37"/>
    </row>
    <row r="38" spans="1:179" ht="15" customHeight="1" x14ac:dyDescent="0.25">
      <c r="FP38"/>
      <c r="FQ38"/>
      <c r="FR38"/>
      <c r="FS38"/>
      <c r="FT38"/>
      <c r="FU38"/>
      <c r="FV38"/>
      <c r="FW38"/>
    </row>
    <row r="39" spans="1:179" ht="15" customHeight="1" x14ac:dyDescent="0.25">
      <c r="FP39"/>
      <c r="FQ39"/>
      <c r="FR39"/>
      <c r="FS39"/>
      <c r="FT39"/>
    </row>
    <row r="40" spans="1:179" ht="15" customHeight="1" x14ac:dyDescent="0.25">
      <c r="FP40"/>
      <c r="FQ40"/>
      <c r="FR40"/>
      <c r="FS40"/>
      <c r="FT40"/>
    </row>
    <row r="41" spans="1:179" ht="15" customHeight="1" x14ac:dyDescent="0.25">
      <c r="FP41"/>
      <c r="FQ41"/>
      <c r="FR41"/>
      <c r="FS41"/>
      <c r="FT41"/>
    </row>
    <row r="42" spans="1:179" ht="15" customHeight="1" x14ac:dyDescent="0.25">
      <c r="FP42"/>
      <c r="FQ42"/>
      <c r="FR42"/>
      <c r="FS42"/>
      <c r="FT42"/>
    </row>
    <row r="43" spans="1:179" ht="15" customHeight="1" x14ac:dyDescent="0.25">
      <c r="FP43"/>
      <c r="FQ43"/>
      <c r="FR43"/>
      <c r="FS43"/>
      <c r="FT43"/>
    </row>
    <row r="44" spans="1:179" ht="15" customHeight="1" x14ac:dyDescent="0.25">
      <c r="FP44"/>
      <c r="FQ44"/>
      <c r="FR44"/>
      <c r="FS44"/>
      <c r="FT44"/>
    </row>
  </sheetData>
  <sortState xmlns:xlrd2="http://schemas.microsoft.com/office/spreadsheetml/2017/richdata2" ref="A9:FW33">
    <sortCondition ref="A33"/>
  </sortState>
  <phoneticPr fontId="11" type="noConversion"/>
  <conditionalFormatting sqref="A1:A1048576">
    <cfRule type="duplicateValues" dxfId="7" priority="1"/>
  </conditionalFormatting>
  <printOptions horizontalCentered="1" verticalCentered="1"/>
  <pageMargins left="0.74803149606299213" right="0.74803149606299213" top="0.6692913385826772" bottom="0.98425196850393704" header="0" footer="0"/>
  <pageSetup paperSize="9" scale="10" orientation="landscape" r:id="rId1"/>
  <headerFooter alignWithMargins="0"/>
  <colBreaks count="1" manualBreakCount="1">
    <brk id="144" max="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249977111117893"/>
  </sheetPr>
  <dimension ref="A1:FW77"/>
  <sheetViews>
    <sheetView showGridLines="0" view="pageBreakPreview" zoomScaleSheetLayoutView="100" workbookViewId="0">
      <pane xSplit="1" topLeftCell="FA1" activePane="topRight" state="frozen"/>
      <selection activeCell="DO55" sqref="DO55:EP55"/>
      <selection pane="topRight" activeCell="FB34" sqref="FB34"/>
    </sheetView>
  </sheetViews>
  <sheetFormatPr baseColWidth="10" defaultColWidth="9.7109375" defaultRowHeight="15" customHeight="1" x14ac:dyDescent="0.25"/>
  <cols>
    <col min="1" max="1" width="20.7109375" customWidth="1"/>
    <col min="178" max="178" width="15.140625" bestFit="1" customWidth="1"/>
  </cols>
  <sheetData>
    <row r="1" spans="1:179" ht="15" customHeight="1" x14ac:dyDescent="0.25">
      <c r="A1" s="646" t="s">
        <v>191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427"/>
      <c r="BH1" s="427"/>
      <c r="BI1" s="427"/>
      <c r="BJ1" s="427"/>
      <c r="BK1" s="427"/>
      <c r="BL1" s="427"/>
      <c r="BM1" s="427"/>
      <c r="BN1" s="427"/>
      <c r="BO1" s="427"/>
      <c r="BP1" s="427"/>
      <c r="BQ1" s="427"/>
      <c r="BR1" s="427"/>
      <c r="BS1" s="427"/>
      <c r="BT1" s="427"/>
      <c r="BU1" s="427"/>
      <c r="BV1" s="427"/>
      <c r="BW1" s="427"/>
      <c r="BX1" s="427"/>
      <c r="BY1" s="427"/>
      <c r="BZ1" s="427"/>
      <c r="CA1" s="427"/>
      <c r="CB1" s="427"/>
      <c r="CC1" s="427"/>
      <c r="CD1" s="427"/>
      <c r="CE1" s="427"/>
      <c r="CF1" s="427"/>
      <c r="CG1" s="427"/>
      <c r="CH1" s="427"/>
      <c r="CI1" s="427"/>
      <c r="CJ1" s="427"/>
      <c r="CK1" s="427"/>
      <c r="CL1" s="427"/>
      <c r="CM1" s="427"/>
      <c r="CN1" s="427"/>
      <c r="CO1" s="427"/>
      <c r="CP1" s="427"/>
      <c r="CQ1" s="427"/>
      <c r="CR1" s="427"/>
      <c r="CS1" s="427"/>
      <c r="CT1" s="427"/>
      <c r="CU1" s="427"/>
      <c r="CV1" s="427"/>
      <c r="CW1" s="427"/>
      <c r="CX1" s="427"/>
      <c r="CY1" s="427"/>
      <c r="CZ1" s="427"/>
      <c r="DA1" s="427"/>
      <c r="DB1" s="427"/>
      <c r="DC1" s="427"/>
      <c r="DD1" s="427"/>
      <c r="DE1" s="427"/>
      <c r="DF1" s="427"/>
      <c r="DG1" s="427"/>
      <c r="DH1" s="427"/>
      <c r="DI1" s="427"/>
      <c r="DJ1" s="427"/>
      <c r="DK1" s="427"/>
      <c r="DL1" s="427"/>
      <c r="DM1" s="427"/>
      <c r="DN1" s="427"/>
      <c r="DO1" s="427"/>
      <c r="DP1" s="427"/>
      <c r="DQ1" s="427"/>
      <c r="DR1" s="427"/>
      <c r="DS1" s="427"/>
      <c r="DT1" s="427"/>
      <c r="DU1" s="427"/>
      <c r="DV1" s="427"/>
      <c r="DW1" s="427"/>
      <c r="DX1" s="427"/>
      <c r="DY1" s="427"/>
      <c r="DZ1" s="427"/>
      <c r="EA1" s="427"/>
      <c r="EB1" s="427"/>
      <c r="EC1" s="427"/>
      <c r="ED1" s="427"/>
      <c r="EE1" s="427"/>
      <c r="EF1" s="427"/>
      <c r="EG1" s="427"/>
      <c r="EH1" s="427"/>
      <c r="EI1" s="427"/>
      <c r="EJ1" s="427"/>
      <c r="EK1" s="427"/>
      <c r="EL1" s="427"/>
      <c r="EM1" s="427"/>
      <c r="EN1" s="427"/>
      <c r="EO1" s="427"/>
      <c r="EP1" s="427"/>
      <c r="EQ1" s="427"/>
      <c r="ER1" s="427"/>
      <c r="ES1" s="427"/>
      <c r="ET1" s="427"/>
      <c r="EU1" s="427"/>
      <c r="EV1" s="427"/>
      <c r="EW1" s="427"/>
      <c r="EX1" s="427"/>
      <c r="EY1" s="427"/>
      <c r="EZ1" s="427"/>
      <c r="FA1" s="427"/>
      <c r="FB1" s="427"/>
      <c r="FC1" s="427"/>
      <c r="FD1" s="427"/>
      <c r="FE1" s="427"/>
      <c r="FF1" s="427"/>
      <c r="FG1" s="427"/>
      <c r="FH1" s="427"/>
      <c r="FI1" s="427"/>
      <c r="FJ1" s="427"/>
      <c r="FK1" s="427"/>
      <c r="FL1" s="427"/>
      <c r="FM1" s="427"/>
      <c r="FN1" s="427"/>
    </row>
    <row r="2" spans="1:179" ht="15" customHeight="1" x14ac:dyDescent="0.25">
      <c r="A2" s="646" t="s">
        <v>607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  <c r="BI2" s="427"/>
      <c r="BJ2" s="427"/>
      <c r="BK2" s="427"/>
      <c r="BL2" s="427"/>
      <c r="BM2" s="427"/>
      <c r="BN2" s="427"/>
      <c r="BO2" s="427"/>
      <c r="BP2" s="427"/>
      <c r="BQ2" s="427"/>
      <c r="BR2" s="427"/>
      <c r="BS2" s="427"/>
      <c r="BT2" s="427"/>
      <c r="BU2" s="427"/>
      <c r="BV2" s="427"/>
      <c r="BW2" s="427"/>
      <c r="BX2" s="427"/>
      <c r="BY2" s="427"/>
      <c r="BZ2" s="427"/>
      <c r="CA2" s="427"/>
      <c r="CB2" s="427"/>
      <c r="CC2" s="427"/>
      <c r="CD2" s="427"/>
      <c r="CE2" s="427"/>
      <c r="CF2" s="427"/>
      <c r="CG2" s="427"/>
      <c r="CH2" s="427"/>
      <c r="CI2" s="427"/>
      <c r="CJ2" s="427"/>
      <c r="CK2" s="427"/>
      <c r="CL2" s="427"/>
      <c r="CM2" s="427"/>
      <c r="CN2" s="427"/>
      <c r="CO2" s="427"/>
      <c r="CP2" s="427"/>
      <c r="CQ2" s="427"/>
      <c r="CR2" s="427"/>
      <c r="CS2" s="427"/>
      <c r="CT2" s="427"/>
      <c r="CU2" s="427"/>
      <c r="CV2" s="427"/>
      <c r="CW2" s="427"/>
      <c r="CX2" s="427"/>
      <c r="CY2" s="427"/>
      <c r="CZ2" s="427"/>
      <c r="DA2" s="427"/>
      <c r="DB2" s="427"/>
      <c r="DC2" s="427"/>
      <c r="DD2" s="427"/>
      <c r="DE2" s="427"/>
      <c r="DF2" s="427"/>
      <c r="DG2" s="427"/>
      <c r="DH2" s="427"/>
      <c r="DI2" s="427"/>
      <c r="DJ2" s="427"/>
      <c r="DK2" s="427"/>
      <c r="DL2" s="427"/>
      <c r="DM2" s="427"/>
      <c r="DN2" s="427"/>
      <c r="DO2" s="427"/>
      <c r="DP2" s="427"/>
      <c r="DQ2" s="427"/>
      <c r="DR2" s="427"/>
      <c r="DS2" s="427"/>
      <c r="DT2" s="427"/>
      <c r="DU2" s="427"/>
      <c r="DV2" s="427"/>
      <c r="DW2" s="427"/>
      <c r="DX2" s="427"/>
      <c r="DY2" s="427"/>
      <c r="DZ2" s="427"/>
      <c r="EA2" s="427"/>
      <c r="EB2" s="427"/>
      <c r="EC2" s="427"/>
      <c r="ED2" s="427"/>
      <c r="EE2" s="427"/>
      <c r="EF2" s="427"/>
      <c r="EG2" s="427"/>
      <c r="EH2" s="427"/>
      <c r="EI2" s="427"/>
      <c r="EJ2" s="427"/>
      <c r="EK2" s="427"/>
      <c r="EL2" s="427"/>
      <c r="EM2" s="427"/>
      <c r="EN2" s="427"/>
      <c r="EO2" s="427"/>
      <c r="EP2" s="427"/>
      <c r="EQ2" s="427"/>
      <c r="ER2" s="427"/>
      <c r="ES2" s="427"/>
      <c r="ET2" s="427"/>
      <c r="EU2" s="427"/>
      <c r="EV2" s="427"/>
      <c r="EW2" s="427"/>
      <c r="EX2" s="427"/>
      <c r="EY2" s="427"/>
      <c r="EZ2" s="427"/>
      <c r="FA2" s="427"/>
      <c r="FB2" s="427"/>
      <c r="FC2" s="427"/>
      <c r="FD2" s="427"/>
      <c r="FE2" s="427"/>
      <c r="FF2" s="427"/>
      <c r="FG2" s="427"/>
      <c r="FH2" s="427"/>
      <c r="FI2" s="427"/>
      <c r="FJ2" s="427"/>
      <c r="FK2" s="427"/>
      <c r="FL2" s="427"/>
      <c r="FM2" s="427"/>
      <c r="FN2" s="427"/>
    </row>
    <row r="3" spans="1:179" ht="15" customHeight="1" x14ac:dyDescent="0.25">
      <c r="A3" s="776" t="s">
        <v>90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7"/>
      <c r="AN3" s="427"/>
      <c r="AO3" s="427"/>
      <c r="AP3" s="427"/>
      <c r="AQ3" s="427"/>
      <c r="AR3" s="427"/>
      <c r="AS3" s="427"/>
      <c r="AT3" s="427"/>
      <c r="AU3" s="427"/>
      <c r="AV3" s="427"/>
      <c r="AW3" s="427"/>
      <c r="AX3" s="427"/>
      <c r="AY3" s="427"/>
      <c r="AZ3" s="427"/>
      <c r="BA3" s="427"/>
      <c r="BB3" s="427"/>
      <c r="BC3" s="427"/>
      <c r="BD3" s="427"/>
      <c r="BE3" s="427"/>
      <c r="BF3" s="427"/>
      <c r="BG3" s="427"/>
      <c r="BH3" s="427"/>
      <c r="BI3" s="427"/>
      <c r="BJ3" s="427"/>
      <c r="BK3" s="427"/>
      <c r="BL3" s="427"/>
      <c r="BM3" s="427"/>
      <c r="BN3" s="427"/>
      <c r="BO3" s="427"/>
      <c r="BP3" s="427"/>
      <c r="BQ3" s="427"/>
      <c r="BR3" s="427"/>
      <c r="BS3" s="427"/>
      <c r="BT3" s="427"/>
      <c r="BU3" s="427"/>
      <c r="BV3" s="427"/>
      <c r="BW3" s="427"/>
      <c r="BX3" s="427"/>
      <c r="BY3" s="427"/>
      <c r="BZ3" s="427"/>
      <c r="CA3" s="427"/>
      <c r="CB3" s="427"/>
      <c r="CC3" s="427"/>
      <c r="CD3" s="427"/>
      <c r="CE3" s="427"/>
      <c r="CF3" s="427"/>
      <c r="CG3" s="427"/>
      <c r="CH3" s="427"/>
      <c r="CI3" s="427"/>
      <c r="CJ3" s="427"/>
      <c r="CK3" s="427"/>
      <c r="CL3" s="427"/>
      <c r="CM3" s="427"/>
      <c r="CN3" s="427"/>
      <c r="CO3" s="427"/>
      <c r="CP3" s="427"/>
      <c r="CQ3" s="427"/>
      <c r="CR3" s="427"/>
      <c r="CS3" s="427"/>
      <c r="CT3" s="427"/>
      <c r="CU3" s="427"/>
      <c r="CV3" s="427"/>
      <c r="CW3" s="427"/>
      <c r="CX3" s="427"/>
      <c r="CY3" s="427"/>
      <c r="CZ3" s="427"/>
      <c r="DA3" s="427"/>
      <c r="DB3" s="427"/>
      <c r="DC3" s="427"/>
      <c r="DD3" s="427"/>
      <c r="DE3" s="427"/>
      <c r="DF3" s="427"/>
      <c r="DG3" s="427"/>
      <c r="DH3" s="427"/>
      <c r="DI3" s="427"/>
      <c r="DJ3" s="427"/>
      <c r="DK3" s="427"/>
      <c r="DL3" s="427"/>
      <c r="DM3" s="427"/>
      <c r="DN3" s="427"/>
      <c r="DO3" s="427"/>
      <c r="DP3" s="427"/>
      <c r="DQ3" s="427"/>
      <c r="DR3" s="427"/>
      <c r="DS3" s="427"/>
      <c r="DT3" s="427"/>
      <c r="DU3" s="427"/>
      <c r="DV3" s="427"/>
      <c r="DW3" s="427"/>
      <c r="DX3" s="427"/>
      <c r="DY3" s="427"/>
      <c r="DZ3" s="427"/>
      <c r="EA3" s="427"/>
      <c r="EB3" s="427"/>
      <c r="EC3" s="427"/>
      <c r="ED3" s="427"/>
      <c r="EE3" s="427"/>
      <c r="EF3" s="427"/>
      <c r="EG3" s="427"/>
      <c r="EH3" s="427"/>
      <c r="EI3" s="427"/>
      <c r="EJ3" s="427"/>
      <c r="EK3" s="427"/>
      <c r="EL3" s="427"/>
      <c r="EM3" s="427"/>
      <c r="EN3" s="427"/>
      <c r="EO3" s="427"/>
      <c r="EP3" s="427"/>
      <c r="EQ3" s="427"/>
      <c r="ER3" s="427"/>
      <c r="ES3" s="427"/>
      <c r="ET3" s="427"/>
      <c r="EU3" s="427"/>
      <c r="EV3" s="427"/>
      <c r="EW3" s="427"/>
      <c r="EX3" s="427"/>
      <c r="EY3" s="427"/>
      <c r="EZ3" s="427"/>
      <c r="FA3" s="427"/>
      <c r="FB3" s="427"/>
      <c r="FC3" s="427"/>
      <c r="FD3" s="427"/>
      <c r="FE3" s="427"/>
      <c r="FF3" s="427"/>
      <c r="FG3" s="427"/>
      <c r="FH3" s="427"/>
      <c r="FI3" s="427"/>
      <c r="FJ3" s="427"/>
      <c r="FK3" s="427"/>
      <c r="FL3" s="427"/>
      <c r="FM3" s="427"/>
      <c r="FN3" s="427"/>
    </row>
    <row r="4" spans="1:179" ht="15" customHeight="1" x14ac:dyDescent="0.25">
      <c r="A4" s="647"/>
      <c r="B4" s="474" t="str">
        <f t="shared" ref="B4" si="0">CONCATENATE("CAMPAÑA ",(YEAR(B5)),"-",(YEAR(M5)))</f>
        <v>CAMPAÑA 2014-2015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474" t="str">
        <f t="shared" ref="O4" si="1">CONCATENATE("CAMPAÑA ",(YEAR(O5)),"-",(YEAR(Z5)))</f>
        <v>CAMPAÑA 2015-2016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474" t="str">
        <f t="shared" ref="AB4" si="2">CONCATENATE("CAMPAÑA ",(YEAR(AB5)),"-",(YEAR(AM5)))</f>
        <v>CAMPAÑA 2016-2017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474" t="str">
        <f t="shared" ref="AO4" si="3">CONCATENATE("CAMPAÑA ",(YEAR(AO5)),"-",(YEAR(AZ5)))</f>
        <v>CAMPAÑA 2017-2018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474" t="str">
        <f t="shared" ref="BB4" si="4">CONCATENATE("CAMPAÑA ",(YEAR(BB5)),"-",(YEAR(BM5)))</f>
        <v>CAMPAÑA 2018-2019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474" t="str">
        <f t="shared" ref="BO4" si="5">CONCATENATE("CAMPAÑA ",(YEAR(BO5)),"-",(YEAR(BZ5)))</f>
        <v>CAMPAÑA 2019-2020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474" t="str">
        <f t="shared" ref="CB4" si="6">CONCATENATE("CAMPAÑA ",(YEAR(CB5)),"-",(YEAR(CM5)))</f>
        <v>CAMPAÑA 2020-2021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474" t="str">
        <f t="shared" ref="CO4" si="7">CONCATENATE("CAMPAÑA ",(YEAR(CO5)),"-",(YEAR(CZ5)))</f>
        <v>CAMPAÑA 2021-2022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474" t="str">
        <f t="shared" ref="DB4" si="8">CONCATENATE("CAMPAÑA ",(YEAR(DB5)),"-",(YEAR(DM5)))</f>
        <v>CAMPAÑA 2022-2023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474" t="str">
        <f t="shared" ref="DO4" si="9">CONCATENATE("CAMPAÑA ",(YEAR(DO5)),"-",(YEAR(DZ5)))</f>
        <v>CAMPAÑA 2023-2024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474" t="str">
        <f t="shared" ref="EB4" si="10">CONCATENATE("CAMPAÑA ",(YEAR(EB5)),"-",(YEAR(EM5)))</f>
        <v>CAMPAÑA 2024-2025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 t="str">
        <f>CONCATENATE("CAMPAÑA ",(YEAR(EO5)),"-",(YEAR(EZ5)))</f>
        <v>CAMPAÑA 2025-2026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B4" s="474" t="str">
        <f>CONCATENATE("CAMPAÑA ",(YEAR(FB5)),"-",(YEAR(FM5)))</f>
        <v>CAMPAÑA 2026-2027</v>
      </c>
      <c r="FC4" s="474"/>
      <c r="FD4" s="474"/>
      <c r="FE4" s="474"/>
      <c r="FF4" s="474"/>
      <c r="FG4" s="474"/>
      <c r="FH4" s="474"/>
      <c r="FI4" s="474"/>
      <c r="FJ4" s="474"/>
      <c r="FK4" s="474"/>
      <c r="FL4" s="474"/>
      <c r="FM4" s="474"/>
      <c r="FN4" s="475" t="s">
        <v>83</v>
      </c>
      <c r="FP4" s="476" t="str">
        <f>CONCATENATE("Var.% ",YEAR(FP5),"/",YEAR(FP5)-1)</f>
        <v>Var.% 2025/2024</v>
      </c>
      <c r="FQ4" s="477"/>
      <c r="FR4" s="478">
        <f>FS4-1</f>
        <v>2024</v>
      </c>
      <c r="FS4" s="478">
        <f>YEAR(FP5)</f>
        <v>2025</v>
      </c>
      <c r="FT4" s="648"/>
      <c r="FU4" s="479" t="s">
        <v>620</v>
      </c>
      <c r="FV4" s="480"/>
      <c r="FW4" s="481"/>
    </row>
    <row r="5" spans="1:179" ht="15" customHeight="1" x14ac:dyDescent="0.25">
      <c r="A5" s="649"/>
      <c r="B5" s="483">
        <v>41852</v>
      </c>
      <c r="C5" s="483">
        <v>41883</v>
      </c>
      <c r="D5" s="483">
        <v>41913</v>
      </c>
      <c r="E5" s="483">
        <v>41944</v>
      </c>
      <c r="F5" s="483">
        <v>41974</v>
      </c>
      <c r="G5" s="483">
        <v>42005</v>
      </c>
      <c r="H5" s="483">
        <v>42036</v>
      </c>
      <c r="I5" s="483">
        <v>42064</v>
      </c>
      <c r="J5" s="483">
        <v>42095</v>
      </c>
      <c r="K5" s="483">
        <v>42125</v>
      </c>
      <c r="L5" s="483">
        <v>42156</v>
      </c>
      <c r="M5" s="483">
        <v>42186</v>
      </c>
      <c r="N5" s="484">
        <f>YEAR(M5)</f>
        <v>2015</v>
      </c>
      <c r="O5" s="483">
        <v>42217</v>
      </c>
      <c r="P5" s="483">
        <v>42248</v>
      </c>
      <c r="Q5" s="483">
        <v>42278</v>
      </c>
      <c r="R5" s="483">
        <v>42309</v>
      </c>
      <c r="S5" s="483">
        <v>42339</v>
      </c>
      <c r="T5" s="483">
        <v>42370</v>
      </c>
      <c r="U5" s="483">
        <v>42401</v>
      </c>
      <c r="V5" s="483">
        <v>42430</v>
      </c>
      <c r="W5" s="483">
        <v>42461</v>
      </c>
      <c r="X5" s="483">
        <v>42491</v>
      </c>
      <c r="Y5" s="483">
        <v>42522</v>
      </c>
      <c r="Z5" s="483">
        <v>42552</v>
      </c>
      <c r="AA5" s="484">
        <f>YEAR(Z5)</f>
        <v>2016</v>
      </c>
      <c r="AB5" s="483">
        <v>42583</v>
      </c>
      <c r="AC5" s="483">
        <v>42614</v>
      </c>
      <c r="AD5" s="483">
        <v>42644</v>
      </c>
      <c r="AE5" s="483">
        <v>42675</v>
      </c>
      <c r="AF5" s="483">
        <v>42705</v>
      </c>
      <c r="AG5" s="483">
        <v>42736</v>
      </c>
      <c r="AH5" s="483">
        <v>42767</v>
      </c>
      <c r="AI5" s="483">
        <v>42795</v>
      </c>
      <c r="AJ5" s="483">
        <v>42826</v>
      </c>
      <c r="AK5" s="483">
        <v>42856</v>
      </c>
      <c r="AL5" s="483">
        <v>42887</v>
      </c>
      <c r="AM5" s="483">
        <v>42917</v>
      </c>
      <c r="AN5" s="484">
        <f>YEAR(AM5)</f>
        <v>2017</v>
      </c>
      <c r="AO5" s="483">
        <v>42948</v>
      </c>
      <c r="AP5" s="483">
        <v>42979</v>
      </c>
      <c r="AQ5" s="483">
        <v>43009</v>
      </c>
      <c r="AR5" s="483">
        <v>43040</v>
      </c>
      <c r="AS5" s="483">
        <v>43070</v>
      </c>
      <c r="AT5" s="483">
        <v>43101</v>
      </c>
      <c r="AU5" s="483">
        <v>43132</v>
      </c>
      <c r="AV5" s="483">
        <v>43160</v>
      </c>
      <c r="AW5" s="483">
        <v>43191</v>
      </c>
      <c r="AX5" s="483">
        <v>43221</v>
      </c>
      <c r="AY5" s="483">
        <v>43252</v>
      </c>
      <c r="AZ5" s="483">
        <v>43282</v>
      </c>
      <c r="BA5" s="484">
        <f>YEAR(AZ5)</f>
        <v>2018</v>
      </c>
      <c r="BB5" s="483">
        <v>43313</v>
      </c>
      <c r="BC5" s="483">
        <v>43344</v>
      </c>
      <c r="BD5" s="483">
        <v>43374</v>
      </c>
      <c r="BE5" s="483">
        <v>43405</v>
      </c>
      <c r="BF5" s="483">
        <v>43435</v>
      </c>
      <c r="BG5" s="483">
        <v>43466</v>
      </c>
      <c r="BH5" s="483">
        <v>43497</v>
      </c>
      <c r="BI5" s="483">
        <v>43525</v>
      </c>
      <c r="BJ5" s="483">
        <v>43556</v>
      </c>
      <c r="BK5" s="483">
        <v>43586</v>
      </c>
      <c r="BL5" s="483">
        <v>43617</v>
      </c>
      <c r="BM5" s="483">
        <v>43647</v>
      </c>
      <c r="BN5" s="484">
        <f>YEAR(BM5)</f>
        <v>2019</v>
      </c>
      <c r="BO5" s="483">
        <v>43678</v>
      </c>
      <c r="BP5" s="483">
        <v>43709</v>
      </c>
      <c r="BQ5" s="483">
        <v>43739</v>
      </c>
      <c r="BR5" s="483">
        <v>43770</v>
      </c>
      <c r="BS5" s="483">
        <v>43800</v>
      </c>
      <c r="BT5" s="483">
        <v>43831</v>
      </c>
      <c r="BU5" s="483">
        <v>43862</v>
      </c>
      <c r="BV5" s="483">
        <v>43891</v>
      </c>
      <c r="BW5" s="483">
        <v>43922</v>
      </c>
      <c r="BX5" s="483">
        <v>43952</v>
      </c>
      <c r="BY5" s="483">
        <v>43983</v>
      </c>
      <c r="BZ5" s="483">
        <v>44013</v>
      </c>
      <c r="CA5" s="484">
        <f>YEAR(BZ5)</f>
        <v>2020</v>
      </c>
      <c r="CB5" s="483">
        <v>44044</v>
      </c>
      <c r="CC5" s="483">
        <v>44075</v>
      </c>
      <c r="CD5" s="483">
        <v>44105</v>
      </c>
      <c r="CE5" s="483">
        <v>44136</v>
      </c>
      <c r="CF5" s="483">
        <v>44166</v>
      </c>
      <c r="CG5" s="483">
        <v>44197</v>
      </c>
      <c r="CH5" s="483">
        <v>44228</v>
      </c>
      <c r="CI5" s="483">
        <v>44256</v>
      </c>
      <c r="CJ5" s="483">
        <v>44287</v>
      </c>
      <c r="CK5" s="483">
        <v>44317</v>
      </c>
      <c r="CL5" s="483">
        <v>44348</v>
      </c>
      <c r="CM5" s="483">
        <v>44378</v>
      </c>
      <c r="CN5" s="484">
        <f>YEAR(CM5)</f>
        <v>2021</v>
      </c>
      <c r="CO5" s="483">
        <v>44409</v>
      </c>
      <c r="CP5" s="483">
        <v>44440</v>
      </c>
      <c r="CQ5" s="483">
        <v>44470</v>
      </c>
      <c r="CR5" s="483">
        <v>44501</v>
      </c>
      <c r="CS5" s="483">
        <v>44531</v>
      </c>
      <c r="CT5" s="483">
        <v>44562</v>
      </c>
      <c r="CU5" s="483">
        <v>44593</v>
      </c>
      <c r="CV5" s="483">
        <v>44621</v>
      </c>
      <c r="CW5" s="483">
        <v>44652</v>
      </c>
      <c r="CX5" s="483">
        <v>44682</v>
      </c>
      <c r="CY5" s="483">
        <v>44713</v>
      </c>
      <c r="CZ5" s="483">
        <v>44743</v>
      </c>
      <c r="DA5" s="484">
        <f>YEAR(CZ5)</f>
        <v>2022</v>
      </c>
      <c r="DB5" s="483">
        <v>44774</v>
      </c>
      <c r="DC5" s="483">
        <v>44805</v>
      </c>
      <c r="DD5" s="483">
        <v>44835</v>
      </c>
      <c r="DE5" s="483">
        <v>44866</v>
      </c>
      <c r="DF5" s="483">
        <v>44896</v>
      </c>
      <c r="DG5" s="483">
        <v>44927</v>
      </c>
      <c r="DH5" s="483">
        <v>44958</v>
      </c>
      <c r="DI5" s="483">
        <v>44986</v>
      </c>
      <c r="DJ5" s="483">
        <v>45017</v>
      </c>
      <c r="DK5" s="483">
        <v>45047</v>
      </c>
      <c r="DL5" s="483">
        <v>45078</v>
      </c>
      <c r="DM5" s="483">
        <v>45108</v>
      </c>
      <c r="DN5" s="484">
        <f>YEAR(DM5)</f>
        <v>2023</v>
      </c>
      <c r="DO5" s="483">
        <v>45139</v>
      </c>
      <c r="DP5" s="483">
        <v>45170</v>
      </c>
      <c r="DQ5" s="483">
        <v>45200</v>
      </c>
      <c r="DR5" s="483">
        <v>45231</v>
      </c>
      <c r="DS5" s="483">
        <v>45261</v>
      </c>
      <c r="DT5" s="483">
        <v>45292</v>
      </c>
      <c r="DU5" s="483">
        <v>45323</v>
      </c>
      <c r="DV5" s="483">
        <v>45352</v>
      </c>
      <c r="DW5" s="483">
        <v>45383</v>
      </c>
      <c r="DX5" s="483">
        <v>45413</v>
      </c>
      <c r="DY5" s="483">
        <v>45444</v>
      </c>
      <c r="DZ5" s="483">
        <v>45474</v>
      </c>
      <c r="EA5" s="484">
        <f>YEAR(DZ5)</f>
        <v>2024</v>
      </c>
      <c r="EB5" s="483">
        <v>45505</v>
      </c>
      <c r="EC5" s="483">
        <v>45536</v>
      </c>
      <c r="ED5" s="483">
        <v>45566</v>
      </c>
      <c r="EE5" s="483">
        <v>45597</v>
      </c>
      <c r="EF5" s="483">
        <v>45627</v>
      </c>
      <c r="EG5" s="483">
        <v>45658</v>
      </c>
      <c r="EH5" s="483">
        <v>45689</v>
      </c>
      <c r="EI5" s="483">
        <v>45717</v>
      </c>
      <c r="EJ5" s="483">
        <v>45748</v>
      </c>
      <c r="EK5" s="483">
        <v>45778</v>
      </c>
      <c r="EL5" s="483">
        <v>45809</v>
      </c>
      <c r="EM5" s="483">
        <v>45839</v>
      </c>
      <c r="EN5" s="484">
        <f>YEAR(EM5)</f>
        <v>2025</v>
      </c>
      <c r="EO5" s="483">
        <v>45870</v>
      </c>
      <c r="EP5" s="483">
        <v>45901</v>
      </c>
      <c r="EQ5" s="483">
        <v>45931</v>
      </c>
      <c r="ER5" s="483">
        <v>45962</v>
      </c>
      <c r="ES5" s="483">
        <v>45992</v>
      </c>
      <c r="ET5" s="483">
        <v>46023</v>
      </c>
      <c r="EU5" s="483">
        <v>46054</v>
      </c>
      <c r="EV5" s="483">
        <v>46082</v>
      </c>
      <c r="EW5" s="483">
        <v>46113</v>
      </c>
      <c r="EX5" s="483">
        <v>46143</v>
      </c>
      <c r="EY5" s="483">
        <v>46174</v>
      </c>
      <c r="EZ5" s="483">
        <v>46204</v>
      </c>
      <c r="FA5" s="484">
        <f>YEAR(EZ5)</f>
        <v>2026</v>
      </c>
      <c r="FB5" s="483">
        <v>46235</v>
      </c>
      <c r="FC5" s="483">
        <v>46266</v>
      </c>
      <c r="FD5" s="483">
        <v>46296</v>
      </c>
      <c r="FE5" s="483">
        <v>46327</v>
      </c>
      <c r="FF5" s="483">
        <v>46357</v>
      </c>
      <c r="FG5" s="483">
        <v>46388</v>
      </c>
      <c r="FH5" s="483">
        <v>46419</v>
      </c>
      <c r="FI5" s="483">
        <v>46447</v>
      </c>
      <c r="FJ5" s="483">
        <v>46478</v>
      </c>
      <c r="FK5" s="483">
        <v>46508</v>
      </c>
      <c r="FL5" s="483">
        <v>46539</v>
      </c>
      <c r="FM5" s="483">
        <v>46569</v>
      </c>
      <c r="FN5" s="484">
        <f>YEAR(FM5)</f>
        <v>2027</v>
      </c>
      <c r="FP5" s="485">
        <f>ER5</f>
        <v>45962</v>
      </c>
      <c r="FQ5" s="486" t="str">
        <f>CONCATENATE("Ago.-",TEXT(FP5,"MMM."))</f>
        <v>Ago.-Nov.</v>
      </c>
      <c r="FR5" s="487" t="str">
        <f>FQ5</f>
        <v>Ago.-Nov.</v>
      </c>
      <c r="FS5" s="487" t="str">
        <f>FQ5</f>
        <v>Ago.-Nov.</v>
      </c>
      <c r="FT5" s="648"/>
      <c r="FU5" s="488" t="s">
        <v>621</v>
      </c>
      <c r="FV5" s="489"/>
      <c r="FW5" s="490"/>
    </row>
    <row r="6" spans="1:179" ht="15" customHeight="1" x14ac:dyDescent="0.25">
      <c r="A6" s="650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492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492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492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B6" s="492"/>
      <c r="FC6" s="492"/>
      <c r="FD6" s="492"/>
      <c r="FE6" s="492"/>
      <c r="FF6" s="492"/>
      <c r="FG6" s="492"/>
      <c r="FH6" s="492"/>
      <c r="FI6" s="492"/>
      <c r="FJ6" s="492"/>
      <c r="FK6" s="492"/>
      <c r="FL6" s="492"/>
      <c r="FM6" s="492"/>
      <c r="FN6" s="493"/>
      <c r="FP6" s="494"/>
      <c r="FQ6" s="495"/>
      <c r="FR6" s="496"/>
      <c r="FS6" s="497"/>
      <c r="FT6" s="648"/>
      <c r="FU6" s="498"/>
      <c r="FV6" s="499"/>
      <c r="FW6" s="500"/>
    </row>
    <row r="7" spans="1:179" ht="15" customHeight="1" x14ac:dyDescent="0.25">
      <c r="A7" s="651" t="s">
        <v>188</v>
      </c>
      <c r="B7" s="541">
        <f t="shared" ref="B7:BM7" si="11">SUM(B9:B49)</f>
        <v>226</v>
      </c>
      <c r="C7" s="541">
        <f t="shared" si="11"/>
        <v>301</v>
      </c>
      <c r="D7" s="541">
        <f t="shared" si="11"/>
        <v>266</v>
      </c>
      <c r="E7" s="541">
        <f t="shared" si="11"/>
        <v>164</v>
      </c>
      <c r="F7" s="541">
        <f t="shared" si="11"/>
        <v>111</v>
      </c>
      <c r="G7" s="541">
        <f t="shared" si="11"/>
        <v>266</v>
      </c>
      <c r="H7" s="541">
        <f t="shared" si="11"/>
        <v>323</v>
      </c>
      <c r="I7" s="541">
        <f t="shared" si="11"/>
        <v>249</v>
      </c>
      <c r="J7" s="541">
        <f t="shared" si="11"/>
        <v>135</v>
      </c>
      <c r="K7" s="541">
        <f t="shared" si="11"/>
        <v>215</v>
      </c>
      <c r="L7" s="541">
        <f t="shared" si="11"/>
        <v>267</v>
      </c>
      <c r="M7" s="541">
        <f t="shared" si="11"/>
        <v>246</v>
      </c>
      <c r="N7" s="542">
        <f>SUM(B7:M7)</f>
        <v>2769</v>
      </c>
      <c r="O7" s="541">
        <f t="shared" ref="O7" si="12">SUM(O9:O49)</f>
        <v>230</v>
      </c>
      <c r="P7" s="541">
        <f t="shared" si="11"/>
        <v>205</v>
      </c>
      <c r="Q7" s="541">
        <f t="shared" si="11"/>
        <v>191</v>
      </c>
      <c r="R7" s="541">
        <f t="shared" si="11"/>
        <v>152</v>
      </c>
      <c r="S7" s="541">
        <f t="shared" si="11"/>
        <v>108</v>
      </c>
      <c r="T7" s="541">
        <f t="shared" si="11"/>
        <v>112</v>
      </c>
      <c r="U7" s="541">
        <f t="shared" si="11"/>
        <v>141</v>
      </c>
      <c r="V7" s="541">
        <f t="shared" si="11"/>
        <v>121</v>
      </c>
      <c r="W7" s="541">
        <f t="shared" si="11"/>
        <v>165</v>
      </c>
      <c r="X7" s="541">
        <f t="shared" si="11"/>
        <v>147</v>
      </c>
      <c r="Y7" s="541">
        <f t="shared" si="11"/>
        <v>234</v>
      </c>
      <c r="Z7" s="541">
        <f t="shared" si="11"/>
        <v>161</v>
      </c>
      <c r="AA7" s="542">
        <f>SUM(O7:Z7)</f>
        <v>1967</v>
      </c>
      <c r="AB7" s="541">
        <f t="shared" ref="AB7" si="13">SUM(AB9:AB49)</f>
        <v>79</v>
      </c>
      <c r="AC7" s="541">
        <f t="shared" si="11"/>
        <v>39</v>
      </c>
      <c r="AD7" s="541">
        <f t="shared" si="11"/>
        <v>79</v>
      </c>
      <c r="AE7" s="541">
        <f t="shared" si="11"/>
        <v>106</v>
      </c>
      <c r="AF7" s="541">
        <f t="shared" si="11"/>
        <v>117</v>
      </c>
      <c r="AG7" s="541">
        <f t="shared" si="11"/>
        <v>95</v>
      </c>
      <c r="AH7" s="541">
        <f t="shared" si="11"/>
        <v>93</v>
      </c>
      <c r="AI7" s="541">
        <f t="shared" si="11"/>
        <v>101</v>
      </c>
      <c r="AJ7" s="541">
        <f t="shared" si="11"/>
        <v>236</v>
      </c>
      <c r="AK7" s="541">
        <f t="shared" si="11"/>
        <v>311</v>
      </c>
      <c r="AL7" s="541">
        <f t="shared" si="11"/>
        <v>297</v>
      </c>
      <c r="AM7" s="541">
        <f t="shared" si="11"/>
        <v>77</v>
      </c>
      <c r="AN7" s="542">
        <f>SUM(AB7:AM7)</f>
        <v>1630</v>
      </c>
      <c r="AO7" s="541">
        <f t="shared" ref="AO7" si="14">SUM(AO9:AO49)</f>
        <v>63</v>
      </c>
      <c r="AP7" s="541">
        <f t="shared" si="11"/>
        <v>80</v>
      </c>
      <c r="AQ7" s="541">
        <f t="shared" si="11"/>
        <v>315</v>
      </c>
      <c r="AR7" s="541">
        <f t="shared" si="11"/>
        <v>224</v>
      </c>
      <c r="AS7" s="541">
        <f t="shared" si="11"/>
        <v>179</v>
      </c>
      <c r="AT7" s="541">
        <f t="shared" si="11"/>
        <v>175</v>
      </c>
      <c r="AU7" s="541">
        <f t="shared" si="11"/>
        <v>62</v>
      </c>
      <c r="AV7" s="541">
        <f t="shared" si="11"/>
        <v>133</v>
      </c>
      <c r="AW7" s="541">
        <f t="shared" si="11"/>
        <v>297</v>
      </c>
      <c r="AX7" s="541">
        <f t="shared" si="11"/>
        <v>367</v>
      </c>
      <c r="AY7" s="541">
        <f t="shared" si="11"/>
        <v>268</v>
      </c>
      <c r="AZ7" s="541">
        <f t="shared" si="11"/>
        <v>201</v>
      </c>
      <c r="BA7" s="542">
        <f>SUM(AO7:AZ7)</f>
        <v>2364</v>
      </c>
      <c r="BB7" s="541">
        <f t="shared" ref="BB7" si="15">SUM(BB9:BB49)</f>
        <v>267</v>
      </c>
      <c r="BC7" s="541">
        <f t="shared" si="11"/>
        <v>206</v>
      </c>
      <c r="BD7" s="541">
        <f t="shared" si="11"/>
        <v>192</v>
      </c>
      <c r="BE7" s="541">
        <f t="shared" si="11"/>
        <v>168</v>
      </c>
      <c r="BF7" s="541">
        <f t="shared" si="11"/>
        <v>115</v>
      </c>
      <c r="BG7" s="541">
        <f t="shared" si="11"/>
        <v>69</v>
      </c>
      <c r="BH7" s="541">
        <f t="shared" si="11"/>
        <v>78</v>
      </c>
      <c r="BI7" s="541">
        <f t="shared" si="11"/>
        <v>168</v>
      </c>
      <c r="BJ7" s="541">
        <f t="shared" si="11"/>
        <v>253</v>
      </c>
      <c r="BK7" s="541">
        <f t="shared" si="11"/>
        <v>260</v>
      </c>
      <c r="BL7" s="541">
        <f t="shared" si="11"/>
        <v>243</v>
      </c>
      <c r="BM7" s="541">
        <f t="shared" si="11"/>
        <v>243</v>
      </c>
      <c r="BN7" s="542">
        <f>SUM(BB7:BM7)</f>
        <v>2262</v>
      </c>
      <c r="BO7" s="541">
        <f t="shared" ref="BO7:DZ7" si="16">SUM(BO9:BO49)</f>
        <v>197</v>
      </c>
      <c r="BP7" s="541">
        <f t="shared" si="16"/>
        <v>219</v>
      </c>
      <c r="BQ7" s="541">
        <f t="shared" si="16"/>
        <v>261</v>
      </c>
      <c r="BR7" s="541">
        <f t="shared" si="16"/>
        <v>217</v>
      </c>
      <c r="BS7" s="541">
        <f t="shared" si="16"/>
        <v>167</v>
      </c>
      <c r="BT7" s="541">
        <f t="shared" si="16"/>
        <v>112</v>
      </c>
      <c r="BU7" s="541">
        <f t="shared" si="16"/>
        <v>96</v>
      </c>
      <c r="BV7" s="541">
        <f t="shared" si="16"/>
        <v>150</v>
      </c>
      <c r="BW7" s="541">
        <f t="shared" si="16"/>
        <v>394</v>
      </c>
      <c r="BX7" s="541">
        <f t="shared" si="16"/>
        <v>551</v>
      </c>
      <c r="BY7" s="541">
        <f t="shared" si="16"/>
        <v>292</v>
      </c>
      <c r="BZ7" s="541">
        <f t="shared" si="16"/>
        <v>84</v>
      </c>
      <c r="CA7" s="542">
        <f>SUM(BO7:BZ7)</f>
        <v>2740</v>
      </c>
      <c r="CB7" s="541">
        <f t="shared" ref="CB7" si="17">SUM(CB9:CB49)</f>
        <v>95</v>
      </c>
      <c r="CC7" s="541">
        <f t="shared" si="16"/>
        <v>256</v>
      </c>
      <c r="CD7" s="541">
        <f t="shared" si="16"/>
        <v>292.5</v>
      </c>
      <c r="CE7" s="541">
        <f t="shared" si="16"/>
        <v>428.5</v>
      </c>
      <c r="CF7" s="541">
        <f t="shared" si="16"/>
        <v>230</v>
      </c>
      <c r="CG7" s="541">
        <f t="shared" si="16"/>
        <v>152</v>
      </c>
      <c r="CH7" s="541">
        <f t="shared" si="16"/>
        <v>55</v>
      </c>
      <c r="CI7" s="541">
        <f t="shared" si="16"/>
        <v>157</v>
      </c>
      <c r="CJ7" s="541">
        <f t="shared" si="16"/>
        <v>173</v>
      </c>
      <c r="CK7" s="541">
        <f t="shared" si="16"/>
        <v>398.5</v>
      </c>
      <c r="CL7" s="541">
        <f t="shared" si="16"/>
        <v>220</v>
      </c>
      <c r="CM7" s="541">
        <f t="shared" si="16"/>
        <v>145</v>
      </c>
      <c r="CN7" s="542">
        <f>SUM(CB7:CM7)</f>
        <v>2602.5</v>
      </c>
      <c r="CO7" s="541">
        <f t="shared" ref="CO7" si="18">SUM(CO9:CO49)</f>
        <v>551</v>
      </c>
      <c r="CP7" s="541">
        <f t="shared" si="16"/>
        <v>478</v>
      </c>
      <c r="CQ7" s="541">
        <f t="shared" si="16"/>
        <v>275.5</v>
      </c>
      <c r="CR7" s="541">
        <f t="shared" si="16"/>
        <v>471</v>
      </c>
      <c r="CS7" s="541">
        <f t="shared" si="16"/>
        <v>122.5</v>
      </c>
      <c r="CT7" s="541">
        <f t="shared" si="16"/>
        <v>72</v>
      </c>
      <c r="CU7" s="541">
        <f t="shared" si="16"/>
        <v>40</v>
      </c>
      <c r="CV7" s="541">
        <f t="shared" si="16"/>
        <v>40</v>
      </c>
      <c r="CW7" s="541">
        <f t="shared" si="16"/>
        <v>110</v>
      </c>
      <c r="CX7" s="541">
        <f t="shared" si="16"/>
        <v>351</v>
      </c>
      <c r="CY7" s="541">
        <f t="shared" si="16"/>
        <v>349</v>
      </c>
      <c r="CZ7" s="541">
        <f t="shared" si="16"/>
        <v>242</v>
      </c>
      <c r="DA7" s="542">
        <f>SUM(CO7:CZ7)</f>
        <v>3102</v>
      </c>
      <c r="DB7" s="541">
        <f t="shared" ref="DB7" si="19">SUM(DB9:DB49)</f>
        <v>125.5</v>
      </c>
      <c r="DC7" s="541">
        <f t="shared" si="16"/>
        <v>270</v>
      </c>
      <c r="DD7" s="541">
        <f t="shared" si="16"/>
        <v>242.9</v>
      </c>
      <c r="DE7" s="541">
        <f t="shared" si="16"/>
        <v>441</v>
      </c>
      <c r="DF7" s="541">
        <f t="shared" si="16"/>
        <v>53.989999999999995</v>
      </c>
      <c r="DG7" s="541">
        <f t="shared" si="16"/>
        <v>47.85</v>
      </c>
      <c r="DH7" s="541">
        <f t="shared" si="16"/>
        <v>54</v>
      </c>
      <c r="DI7" s="541">
        <f t="shared" si="16"/>
        <v>79</v>
      </c>
      <c r="DJ7" s="541">
        <f t="shared" si="16"/>
        <v>176</v>
      </c>
      <c r="DK7" s="541">
        <f t="shared" si="16"/>
        <v>407.56</v>
      </c>
      <c r="DL7" s="541">
        <f t="shared" si="16"/>
        <v>426.5</v>
      </c>
      <c r="DM7" s="541">
        <f t="shared" si="16"/>
        <v>273</v>
      </c>
      <c r="DN7" s="542">
        <f>SUM(DB7:DM7)</f>
        <v>2597.3000000000002</v>
      </c>
      <c r="DO7" s="541">
        <f t="shared" ref="DO7" si="20">SUM(DO9:DO49)</f>
        <v>50</v>
      </c>
      <c r="DP7" s="541">
        <f t="shared" si="16"/>
        <v>149</v>
      </c>
      <c r="DQ7" s="541">
        <f t="shared" si="16"/>
        <v>932</v>
      </c>
      <c r="DR7" s="541">
        <f t="shared" si="16"/>
        <v>4</v>
      </c>
      <c r="DS7" s="541">
        <f t="shared" si="16"/>
        <v>12.26</v>
      </c>
      <c r="DT7" s="541">
        <f t="shared" si="16"/>
        <v>43</v>
      </c>
      <c r="DU7" s="541">
        <f t="shared" si="16"/>
        <v>68.5</v>
      </c>
      <c r="DV7" s="541">
        <f t="shared" si="16"/>
        <v>89.5</v>
      </c>
      <c r="DW7" s="541">
        <f t="shared" si="16"/>
        <v>174.5</v>
      </c>
      <c r="DX7" s="541">
        <f t="shared" si="16"/>
        <v>664</v>
      </c>
      <c r="DY7" s="541">
        <f t="shared" si="16"/>
        <v>890</v>
      </c>
      <c r="DZ7" s="541">
        <f t="shared" si="16"/>
        <v>631.5</v>
      </c>
      <c r="EA7" s="542">
        <f>SUM(DO7:DZ7)</f>
        <v>3708.26</v>
      </c>
      <c r="EB7" s="541">
        <f t="shared" ref="EB7:EZ7" si="21">SUM(EB9:EB49)</f>
        <v>343</v>
      </c>
      <c r="EC7" s="541">
        <f t="shared" si="21"/>
        <v>541.5</v>
      </c>
      <c r="ED7" s="541">
        <f t="shared" si="21"/>
        <v>443.5</v>
      </c>
      <c r="EE7" s="541">
        <f t="shared" si="21"/>
        <v>180.75</v>
      </c>
      <c r="EF7" s="541">
        <f t="shared" si="21"/>
        <v>74</v>
      </c>
      <c r="EG7" s="541">
        <f t="shared" si="21"/>
        <v>6</v>
      </c>
      <c r="EH7" s="541">
        <f t="shared" si="21"/>
        <v>32.5</v>
      </c>
      <c r="EI7" s="541">
        <f t="shared" si="21"/>
        <v>68.5</v>
      </c>
      <c r="EJ7" s="541">
        <f t="shared" si="21"/>
        <v>95</v>
      </c>
      <c r="EK7" s="541">
        <f t="shared" si="21"/>
        <v>2133</v>
      </c>
      <c r="EL7" s="541">
        <f t="shared" si="21"/>
        <v>754.5</v>
      </c>
      <c r="EM7" s="541">
        <f t="shared" si="21"/>
        <v>651.5</v>
      </c>
      <c r="EN7" s="542">
        <f>SUM(EB7:EM7)</f>
        <v>5323.75</v>
      </c>
      <c r="EO7" s="541">
        <f t="shared" ref="EO7" si="22">SUM(EO9:EO49)</f>
        <v>442.5</v>
      </c>
      <c r="EP7" s="541">
        <f t="shared" si="21"/>
        <v>1052</v>
      </c>
      <c r="EQ7" s="541">
        <f t="shared" si="21"/>
        <v>755</v>
      </c>
      <c r="ER7" s="541">
        <f t="shared" si="21"/>
        <v>290.65999999999997</v>
      </c>
      <c r="ES7" s="541">
        <f t="shared" si="21"/>
        <v>0</v>
      </c>
      <c r="ET7" s="541">
        <f t="shared" si="21"/>
        <v>0</v>
      </c>
      <c r="EU7" s="541">
        <f t="shared" si="21"/>
        <v>0</v>
      </c>
      <c r="EV7" s="541">
        <f t="shared" si="21"/>
        <v>0</v>
      </c>
      <c r="EW7" s="541">
        <f t="shared" si="21"/>
        <v>0</v>
      </c>
      <c r="EX7" s="541">
        <f t="shared" si="21"/>
        <v>0</v>
      </c>
      <c r="EY7" s="541">
        <f t="shared" si="21"/>
        <v>0</v>
      </c>
      <c r="EZ7" s="541">
        <f t="shared" si="21"/>
        <v>0</v>
      </c>
      <c r="FA7" s="542">
        <f>SUM(EO7:EZ7)</f>
        <v>2540.16</v>
      </c>
      <c r="FB7" s="541">
        <f>SUM(FB9:FB49)</f>
        <v>0</v>
      </c>
      <c r="FC7" s="541">
        <f t="shared" ref="FC7:FM7" si="23">SUM(FC9:FC49)</f>
        <v>0</v>
      </c>
      <c r="FD7" s="541">
        <f t="shared" si="23"/>
        <v>0</v>
      </c>
      <c r="FE7" s="541">
        <f t="shared" si="23"/>
        <v>0</v>
      </c>
      <c r="FF7" s="541">
        <f t="shared" si="23"/>
        <v>0</v>
      </c>
      <c r="FG7" s="541">
        <f t="shared" si="23"/>
        <v>0</v>
      </c>
      <c r="FH7" s="541">
        <f t="shared" si="23"/>
        <v>0</v>
      </c>
      <c r="FI7" s="541">
        <f t="shared" si="23"/>
        <v>0</v>
      </c>
      <c r="FJ7" s="541">
        <f t="shared" si="23"/>
        <v>0</v>
      </c>
      <c r="FK7" s="541">
        <f t="shared" si="23"/>
        <v>0</v>
      </c>
      <c r="FL7" s="541">
        <f t="shared" si="23"/>
        <v>0</v>
      </c>
      <c r="FM7" s="541">
        <f t="shared" si="23"/>
        <v>0</v>
      </c>
      <c r="FN7" s="542">
        <f>SUM(FB7:FM7)</f>
        <v>0</v>
      </c>
      <c r="FO7" s="652"/>
      <c r="FP7" s="544">
        <f>IFERROR(((
_xlfn.XLOOKUP((DATE(YEAR($FP$5),MONTH($FP$5),1)),UCA.SIEMBRASOTROS.DATE,$B7:$FN7) /
_xlfn.XLOOKUP((DATE(YEAR($FP$5)-1,MONTH($FP$5),1)),UCA.SIEMBRASOTROS.DATE,$B7:$FN7)
)-1)*100,"")</f>
        <v>60.807745504840916</v>
      </c>
      <c r="FQ7" s="545">
        <f>IFERROR(((FS7/FR7)-1)*100,"")</f>
        <v>68.361888980944485</v>
      </c>
      <c r="FR7" s="546">
        <f>SUMIFS(
  $B7:$FN7,
  UCA.SIEMBRASOTROS.DATE,"&gt;="&amp;DATE(IF(MONTH($FP$5)&gt;=8,YEAR($FP$5)-1,YEAR($FP$5)-2),8,1),
  UCA.SIEMBRASOTROS.DATE,"&lt;="&amp;DATE(YEAR($FP$5)-1,MONTH($FP$5),1)
)</f>
        <v>1508.75</v>
      </c>
      <c r="FS7" s="547">
        <f>SUMIFS(
  $B7:$FN7,
  UCA.SIEMBRASOTROS.DATE,"&gt;="&amp;DATE(IF(MONTH($FP$5)&gt;=8,YEAR($FP$5),YEAR($FP$5)-1),8,1),
  UCA.SIEMBRASOTROS.DATE,"&lt;="&amp;DATE(YEAR($FP$5),MONTH($FP$5),1)
)</f>
        <v>2540.16</v>
      </c>
      <c r="FT7" s="426"/>
      <c r="FU7" s="520"/>
      <c r="FV7" s="522"/>
      <c r="FW7" s="523"/>
    </row>
    <row r="8" spans="1:179" ht="15" customHeight="1" x14ac:dyDescent="0.25">
      <c r="A8" s="650"/>
      <c r="B8" s="633"/>
      <c r="C8" s="633"/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493"/>
      <c r="O8" s="633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493"/>
      <c r="AB8" s="633"/>
      <c r="AC8" s="633"/>
      <c r="AD8" s="633"/>
      <c r="AE8" s="633"/>
      <c r="AF8" s="633"/>
      <c r="AG8" s="633"/>
      <c r="AH8" s="633"/>
      <c r="AI8" s="633"/>
      <c r="AJ8" s="633"/>
      <c r="AK8" s="633"/>
      <c r="AL8" s="633"/>
      <c r="AM8" s="633"/>
      <c r="AN8" s="493"/>
      <c r="AO8" s="633"/>
      <c r="AP8" s="633"/>
      <c r="AQ8" s="633"/>
      <c r="AR8" s="633"/>
      <c r="AS8" s="633"/>
      <c r="AT8" s="633"/>
      <c r="AU8" s="633"/>
      <c r="AV8" s="633"/>
      <c r="AW8" s="633"/>
      <c r="AX8" s="633"/>
      <c r="AY8" s="633"/>
      <c r="AZ8" s="633"/>
      <c r="BA8" s="493"/>
      <c r="BB8" s="633"/>
      <c r="BC8" s="633"/>
      <c r="BD8" s="633"/>
      <c r="BE8" s="633"/>
      <c r="BF8" s="633"/>
      <c r="BG8" s="633"/>
      <c r="BH8" s="633"/>
      <c r="BI8" s="633"/>
      <c r="BJ8" s="633"/>
      <c r="BK8" s="633"/>
      <c r="BL8" s="633"/>
      <c r="BM8" s="633"/>
      <c r="BN8" s="493"/>
      <c r="BO8" s="633"/>
      <c r="BP8" s="633"/>
      <c r="BQ8" s="633"/>
      <c r="BR8" s="633"/>
      <c r="BS8" s="633"/>
      <c r="BT8" s="633"/>
      <c r="BU8" s="633"/>
      <c r="BV8" s="633"/>
      <c r="BW8" s="633"/>
      <c r="BX8" s="633"/>
      <c r="BY8" s="633"/>
      <c r="BZ8" s="633"/>
      <c r="CA8" s="493"/>
      <c r="CB8" s="633"/>
      <c r="CC8" s="633"/>
      <c r="CD8" s="633"/>
      <c r="CE8" s="633"/>
      <c r="CF8" s="633"/>
      <c r="CG8" s="633"/>
      <c r="CH8" s="633"/>
      <c r="CI8" s="633"/>
      <c r="CJ8" s="633"/>
      <c r="CK8" s="633"/>
      <c r="CL8" s="633"/>
      <c r="CM8" s="633"/>
      <c r="CN8" s="493"/>
      <c r="CO8" s="633"/>
      <c r="CP8" s="633"/>
      <c r="CQ8" s="633"/>
      <c r="CR8" s="633"/>
      <c r="CS8" s="633"/>
      <c r="CT8" s="633"/>
      <c r="CU8" s="633"/>
      <c r="CV8" s="633"/>
      <c r="CW8" s="633"/>
      <c r="CX8" s="633"/>
      <c r="CY8" s="633"/>
      <c r="CZ8" s="633"/>
      <c r="DA8" s="493"/>
      <c r="DB8" s="633"/>
      <c r="DC8" s="633"/>
      <c r="DD8" s="633"/>
      <c r="DE8" s="633"/>
      <c r="DF8" s="633"/>
      <c r="DG8" s="633"/>
      <c r="DH8" s="633"/>
      <c r="DI8" s="633"/>
      <c r="DJ8" s="633"/>
      <c r="DK8" s="633"/>
      <c r="DL8" s="633"/>
      <c r="DM8" s="633"/>
      <c r="DN8" s="493"/>
      <c r="DO8" s="633"/>
      <c r="DP8" s="633"/>
      <c r="DQ8" s="633"/>
      <c r="DR8" s="633"/>
      <c r="DS8" s="633"/>
      <c r="DT8" s="633"/>
      <c r="DU8" s="633"/>
      <c r="DV8" s="633"/>
      <c r="DW8" s="633"/>
      <c r="DX8" s="633"/>
      <c r="DY8" s="633"/>
      <c r="DZ8" s="633"/>
      <c r="EA8" s="493"/>
      <c r="EB8" s="633"/>
      <c r="EC8" s="633"/>
      <c r="ED8" s="633"/>
      <c r="EE8" s="633"/>
      <c r="EF8" s="633"/>
      <c r="EG8" s="633"/>
      <c r="EH8" s="633"/>
      <c r="EI8" s="633"/>
      <c r="EJ8" s="633"/>
      <c r="EK8" s="633"/>
      <c r="EL8" s="633"/>
      <c r="EM8" s="633"/>
      <c r="EN8" s="493"/>
      <c r="EO8" s="633"/>
      <c r="EP8" s="633"/>
      <c r="EQ8" s="633"/>
      <c r="ER8" s="633"/>
      <c r="ES8" s="633"/>
      <c r="ET8" s="633"/>
      <c r="EU8" s="633"/>
      <c r="EV8" s="633"/>
      <c r="EW8" s="633"/>
      <c r="EX8" s="633"/>
      <c r="EY8" s="633"/>
      <c r="EZ8" s="633"/>
      <c r="FA8" s="493"/>
      <c r="FB8" s="633"/>
      <c r="FC8" s="633"/>
      <c r="FD8" s="633"/>
      <c r="FE8" s="633"/>
      <c r="FF8" s="633"/>
      <c r="FG8" s="633"/>
      <c r="FH8" s="633"/>
      <c r="FI8" s="633"/>
      <c r="FJ8" s="633"/>
      <c r="FK8" s="633"/>
      <c r="FL8" s="633"/>
      <c r="FM8" s="633"/>
      <c r="FN8" s="493"/>
      <c r="FO8" s="652"/>
      <c r="FP8" s="549"/>
      <c r="FQ8" s="550"/>
      <c r="FR8" s="551"/>
      <c r="FS8" s="552"/>
      <c r="FT8" s="426"/>
      <c r="FU8" s="498"/>
      <c r="FV8" s="499"/>
      <c r="FW8" s="500"/>
    </row>
    <row r="9" spans="1:179" ht="15" customHeight="1" x14ac:dyDescent="0.25">
      <c r="A9" s="653" t="s">
        <v>106</v>
      </c>
      <c r="B9" s="492"/>
      <c r="C9" s="492">
        <v>3</v>
      </c>
      <c r="D9" s="492"/>
      <c r="E9" s="492"/>
      <c r="F9" s="492"/>
      <c r="G9" s="492">
        <v>10</v>
      </c>
      <c r="H9" s="492">
        <v>3</v>
      </c>
      <c r="I9" s="492">
        <v>2</v>
      </c>
      <c r="J9" s="492">
        <v>5</v>
      </c>
      <c r="K9" s="492">
        <v>2</v>
      </c>
      <c r="L9" s="492">
        <v>2</v>
      </c>
      <c r="M9" s="492">
        <v>2</v>
      </c>
      <c r="N9" s="493">
        <f t="shared" ref="N9:N49" si="24">SUM(B9:M9)</f>
        <v>29</v>
      </c>
      <c r="O9" s="492">
        <v>2</v>
      </c>
      <c r="P9" s="492">
        <v>3</v>
      </c>
      <c r="Q9" s="492">
        <v>4</v>
      </c>
      <c r="R9" s="492">
        <v>2</v>
      </c>
      <c r="S9" s="492">
        <v>1</v>
      </c>
      <c r="T9" s="492">
        <v>2</v>
      </c>
      <c r="U9" s="492">
        <v>2</v>
      </c>
      <c r="V9" s="492">
        <v>2</v>
      </c>
      <c r="W9" s="492">
        <v>2</v>
      </c>
      <c r="X9" s="492">
        <v>2</v>
      </c>
      <c r="Y9" s="492">
        <v>2</v>
      </c>
      <c r="Z9" s="492">
        <v>2</v>
      </c>
      <c r="AA9" s="493">
        <f t="shared" ref="AA9:AA49" si="25">SUM(O9:Z9)</f>
        <v>26</v>
      </c>
      <c r="AB9" s="492">
        <v>2</v>
      </c>
      <c r="AC9" s="492"/>
      <c r="AD9" s="492">
        <v>2</v>
      </c>
      <c r="AE9" s="492">
        <v>4</v>
      </c>
      <c r="AF9" s="492">
        <v>3</v>
      </c>
      <c r="AG9" s="492"/>
      <c r="AH9" s="492"/>
      <c r="AI9" s="492"/>
      <c r="AJ9" s="492"/>
      <c r="AK9" s="492">
        <v>6</v>
      </c>
      <c r="AL9" s="492">
        <v>1</v>
      </c>
      <c r="AM9" s="492">
        <v>1</v>
      </c>
      <c r="AN9" s="493">
        <f t="shared" ref="AN9:AN49" si="26">SUM(AB9:AM9)</f>
        <v>19</v>
      </c>
      <c r="AO9" s="492">
        <v>1</v>
      </c>
      <c r="AP9" s="492"/>
      <c r="AQ9" s="492">
        <v>1</v>
      </c>
      <c r="AR9" s="492">
        <v>1</v>
      </c>
      <c r="AS9" s="492">
        <v>1</v>
      </c>
      <c r="AT9" s="492">
        <v>2</v>
      </c>
      <c r="AU9" s="492">
        <v>1</v>
      </c>
      <c r="AV9" s="492">
        <v>1</v>
      </c>
      <c r="AW9" s="492">
        <v>3</v>
      </c>
      <c r="AX9" s="492">
        <v>1</v>
      </c>
      <c r="AY9" s="492">
        <v>1</v>
      </c>
      <c r="AZ9" s="492"/>
      <c r="BA9" s="493">
        <f t="shared" ref="BA9:BA49" si="27">SUM(AO9:AZ9)</f>
        <v>13</v>
      </c>
      <c r="BB9" s="492">
        <v>1</v>
      </c>
      <c r="BC9" s="492">
        <v>3</v>
      </c>
      <c r="BD9" s="492">
        <v>1</v>
      </c>
      <c r="BE9" s="492">
        <v>2</v>
      </c>
      <c r="BF9" s="492">
        <v>1</v>
      </c>
      <c r="BG9" s="492"/>
      <c r="BH9" s="492">
        <v>1</v>
      </c>
      <c r="BI9" s="492"/>
      <c r="BJ9" s="492">
        <v>4</v>
      </c>
      <c r="BK9" s="492"/>
      <c r="BL9" s="492"/>
      <c r="BM9" s="492">
        <v>1</v>
      </c>
      <c r="BN9" s="493">
        <f t="shared" ref="BN9:BN49" si="28">SUM(BB9:BM9)</f>
        <v>14</v>
      </c>
      <c r="BO9" s="492">
        <v>2</v>
      </c>
      <c r="BP9" s="492">
        <v>21</v>
      </c>
      <c r="BQ9" s="492">
        <v>10</v>
      </c>
      <c r="BR9" s="492">
        <v>2</v>
      </c>
      <c r="BS9" s="492"/>
      <c r="BT9" s="492">
        <v>2</v>
      </c>
      <c r="BU9" s="492"/>
      <c r="BV9" s="492">
        <v>2</v>
      </c>
      <c r="BW9" s="492">
        <v>5</v>
      </c>
      <c r="BX9" s="492">
        <v>2</v>
      </c>
      <c r="BY9" s="492"/>
      <c r="BZ9" s="492"/>
      <c r="CA9" s="493">
        <f t="shared" ref="CA9:CA49" si="29">SUM(BO9:BZ9)</f>
        <v>46</v>
      </c>
      <c r="CB9" s="492"/>
      <c r="CC9" s="492"/>
      <c r="CD9" s="492"/>
      <c r="CE9" s="492">
        <v>16</v>
      </c>
      <c r="CF9" s="492"/>
      <c r="CG9" s="492"/>
      <c r="CH9" s="492"/>
      <c r="CI9" s="492"/>
      <c r="CJ9" s="492"/>
      <c r="CK9" s="492"/>
      <c r="CL9" s="492"/>
      <c r="CM9" s="492"/>
      <c r="CN9" s="493">
        <f t="shared" ref="CN9:CN49" si="30">SUM(CB9:CM9)</f>
        <v>16</v>
      </c>
      <c r="CO9" s="492"/>
      <c r="CP9" s="492">
        <v>1</v>
      </c>
      <c r="CQ9" s="492"/>
      <c r="CR9" s="492"/>
      <c r="CS9" s="492"/>
      <c r="CT9" s="492"/>
      <c r="CU9" s="492">
        <v>2</v>
      </c>
      <c r="CV9" s="492">
        <v>1</v>
      </c>
      <c r="CW9" s="492"/>
      <c r="CX9" s="492">
        <v>1</v>
      </c>
      <c r="CY9" s="492"/>
      <c r="CZ9" s="492">
        <v>9</v>
      </c>
      <c r="DA9" s="493">
        <f t="shared" ref="DA9:DA49" si="31">SUM(CO9:CZ9)</f>
        <v>14</v>
      </c>
      <c r="DB9" s="492"/>
      <c r="DC9" s="492"/>
      <c r="DD9" s="492">
        <v>1</v>
      </c>
      <c r="DE9" s="492">
        <v>2</v>
      </c>
      <c r="DF9" s="492">
        <v>2</v>
      </c>
      <c r="DG9" s="492">
        <v>1</v>
      </c>
      <c r="DH9" s="492"/>
      <c r="DI9" s="492"/>
      <c r="DJ9" s="492"/>
      <c r="DK9" s="492"/>
      <c r="DL9" s="492"/>
      <c r="DM9" s="492"/>
      <c r="DN9" s="493">
        <f t="shared" ref="DN9:DN49" si="32">SUM(DB9:DM9)</f>
        <v>6</v>
      </c>
      <c r="DO9" s="492"/>
      <c r="DP9" s="492"/>
      <c r="DQ9" s="492"/>
      <c r="DR9" s="492"/>
      <c r="DS9" s="492"/>
      <c r="DT9" s="492"/>
      <c r="DU9" s="492"/>
      <c r="DV9" s="492">
        <v>12</v>
      </c>
      <c r="DW9" s="492"/>
      <c r="DX9" s="492"/>
      <c r="DY9" s="492">
        <v>6</v>
      </c>
      <c r="DZ9" s="492">
        <v>1</v>
      </c>
      <c r="EA9" s="493">
        <f t="shared" ref="EA9:EA49" si="33">SUM(DO9:DZ9)</f>
        <v>19</v>
      </c>
      <c r="EB9" s="492"/>
      <c r="EC9" s="492"/>
      <c r="ED9" s="492"/>
      <c r="EE9" s="492"/>
      <c r="EF9" s="492"/>
      <c r="EG9" s="492">
        <v>1</v>
      </c>
      <c r="EH9" s="492"/>
      <c r="EI9" s="492"/>
      <c r="EJ9" s="492"/>
      <c r="EK9" s="492">
        <v>4</v>
      </c>
      <c r="EL9" s="492">
        <v>1</v>
      </c>
      <c r="EM9" s="492">
        <v>1</v>
      </c>
      <c r="EN9" s="493">
        <f t="shared" ref="EN9:EN49" si="34">SUM(EB9:EM9)</f>
        <v>7</v>
      </c>
      <c r="EO9" s="492">
        <v>3</v>
      </c>
      <c r="EP9" s="492">
        <v>2</v>
      </c>
      <c r="EQ9" s="492">
        <v>5</v>
      </c>
      <c r="ER9" s="492">
        <v>4</v>
      </c>
      <c r="ES9" s="492"/>
      <c r="ET9" s="492"/>
      <c r="EU9" s="492"/>
      <c r="EV9" s="492"/>
      <c r="EW9" s="492"/>
      <c r="EX9" s="492"/>
      <c r="EY9" s="492"/>
      <c r="EZ9" s="492"/>
      <c r="FA9" s="493">
        <f t="shared" ref="FA9:FA49" si="35">SUM(EO9:EZ9)</f>
        <v>14</v>
      </c>
      <c r="FB9" s="492"/>
      <c r="FC9" s="492"/>
      <c r="FD9" s="492"/>
      <c r="FE9" s="492"/>
      <c r="FF9" s="492"/>
      <c r="FG9" s="492"/>
      <c r="FH9" s="492"/>
      <c r="FI9" s="492"/>
      <c r="FJ9" s="492"/>
      <c r="FK9" s="492"/>
      <c r="FL9" s="492"/>
      <c r="FM9" s="492"/>
      <c r="FN9" s="493">
        <f t="shared" ref="FN9:FN49" si="36">SUM(FB9:FM9)</f>
        <v>0</v>
      </c>
      <c r="FP9" s="549" t="str">
        <f t="shared" ref="FP9:FP49" si="37">IFERROR(((
_xlfn.XLOOKUP((DATE(YEAR($FP$5),MONTH($FP$5),1)),UCA.SIEMBRASOTROS.DATE,$B9:$FN9) /
_xlfn.XLOOKUP((DATE(YEAR($FP$5)-1,MONTH($FP$5),1)),UCA.SIEMBRASOTROS.DATE,$B9:$FN9)
)-1)*100,"")</f>
        <v/>
      </c>
      <c r="FQ9" s="550" t="str">
        <f t="shared" ref="FQ9:FQ49" si="38">IFERROR(((FS9/FR9)-1)*100,"")</f>
        <v/>
      </c>
      <c r="FR9" s="551">
        <f t="shared" ref="FR9:FR49" si="39">SUMIFS(
  $B9:$FN9,
  UCA.SIEMBRASOTROS.DATE,"&gt;="&amp;DATE(IF(MONTH($FP$5)&gt;=8,YEAR($FP$5)-1,YEAR($FP$5)-2),8,1),
  UCA.SIEMBRASOTROS.DATE,"&lt;="&amp;DATE(YEAR($FP$5)-1,MONTH($FP$5),1)
)</f>
        <v>0</v>
      </c>
      <c r="FS9" s="552">
        <f t="shared" ref="FS9:FS49" si="40">SUMIFS(
  $B9:$FN9,
  UCA.SIEMBRASOTROS.DATE,"&gt;="&amp;DATE(IF(MONTH($FP$5)&gt;=8,YEAR($FP$5),YEAR($FP$5)-1),8,1),
  UCA.SIEMBRASOTROS.DATE,"&lt;="&amp;DATE(YEAR($FP$5),MONTH($FP$5),1)
)</f>
        <v>14</v>
      </c>
      <c r="FT9" s="648"/>
      <c r="FU9" s="551">
        <f t="shared" ref="FU9:FU49" si="41">SUM(B9:FN9)</f>
        <v>446</v>
      </c>
      <c r="FV9" s="553" t="s">
        <v>106</v>
      </c>
      <c r="FW9" s="554" t="str">
        <f t="shared" ref="FW9:FW49" si="42">IF(EXACT(A9,FV9)=TRUE,"OK","VER")</f>
        <v>OK</v>
      </c>
    </row>
    <row r="10" spans="1:179" ht="15" customHeight="1" x14ac:dyDescent="0.25">
      <c r="A10" s="653" t="s">
        <v>107</v>
      </c>
      <c r="B10" s="492">
        <v>10</v>
      </c>
      <c r="C10" s="492"/>
      <c r="D10" s="492">
        <v>6</v>
      </c>
      <c r="E10" s="492"/>
      <c r="F10" s="492"/>
      <c r="G10" s="492">
        <v>3</v>
      </c>
      <c r="H10" s="492">
        <v>3</v>
      </c>
      <c r="I10" s="492"/>
      <c r="J10" s="492">
        <v>5</v>
      </c>
      <c r="K10" s="492">
        <v>25</v>
      </c>
      <c r="L10" s="492">
        <v>28</v>
      </c>
      <c r="M10" s="492">
        <v>12</v>
      </c>
      <c r="N10" s="493">
        <f t="shared" si="24"/>
        <v>92</v>
      </c>
      <c r="O10" s="492">
        <v>11</v>
      </c>
      <c r="P10" s="492">
        <v>8</v>
      </c>
      <c r="Q10" s="492">
        <v>5</v>
      </c>
      <c r="R10" s="492">
        <v>2</v>
      </c>
      <c r="S10" s="492"/>
      <c r="T10" s="492"/>
      <c r="U10" s="492">
        <v>6</v>
      </c>
      <c r="V10" s="492"/>
      <c r="W10" s="492">
        <v>1</v>
      </c>
      <c r="X10" s="492">
        <v>14</v>
      </c>
      <c r="Y10" s="492">
        <v>14</v>
      </c>
      <c r="Z10" s="492">
        <v>3</v>
      </c>
      <c r="AA10" s="493">
        <f t="shared" si="25"/>
        <v>64</v>
      </c>
      <c r="AB10" s="492"/>
      <c r="AC10" s="492">
        <v>2</v>
      </c>
      <c r="AD10" s="492">
        <v>2</v>
      </c>
      <c r="AE10" s="492">
        <v>2</v>
      </c>
      <c r="AF10" s="492"/>
      <c r="AG10" s="492"/>
      <c r="AH10" s="492"/>
      <c r="AI10" s="492"/>
      <c r="AJ10" s="492">
        <v>25</v>
      </c>
      <c r="AK10" s="492">
        <v>21</v>
      </c>
      <c r="AL10" s="492">
        <v>12</v>
      </c>
      <c r="AM10" s="492">
        <v>2</v>
      </c>
      <c r="AN10" s="493">
        <f t="shared" si="26"/>
        <v>66</v>
      </c>
      <c r="AO10" s="492"/>
      <c r="AP10" s="492"/>
      <c r="AQ10" s="492">
        <v>2</v>
      </c>
      <c r="AR10" s="492"/>
      <c r="AS10" s="492"/>
      <c r="AT10" s="492"/>
      <c r="AU10" s="492">
        <v>6</v>
      </c>
      <c r="AV10" s="492">
        <v>7</v>
      </c>
      <c r="AW10" s="492">
        <v>8</v>
      </c>
      <c r="AX10" s="492">
        <v>17</v>
      </c>
      <c r="AY10" s="492">
        <v>9</v>
      </c>
      <c r="AZ10" s="492">
        <v>2</v>
      </c>
      <c r="BA10" s="493">
        <f t="shared" si="27"/>
        <v>51</v>
      </c>
      <c r="BB10" s="492">
        <v>2</v>
      </c>
      <c r="BC10" s="492">
        <v>1</v>
      </c>
      <c r="BD10" s="492">
        <v>1</v>
      </c>
      <c r="BE10" s="492"/>
      <c r="BF10" s="492"/>
      <c r="BG10" s="492"/>
      <c r="BH10" s="492">
        <v>3</v>
      </c>
      <c r="BI10" s="492">
        <v>2</v>
      </c>
      <c r="BJ10" s="492">
        <v>2</v>
      </c>
      <c r="BK10" s="492">
        <v>1</v>
      </c>
      <c r="BL10" s="492">
        <v>1</v>
      </c>
      <c r="BM10" s="492">
        <v>1</v>
      </c>
      <c r="BN10" s="493">
        <f t="shared" si="28"/>
        <v>14</v>
      </c>
      <c r="BO10" s="492"/>
      <c r="BP10" s="492">
        <v>2</v>
      </c>
      <c r="BQ10" s="492">
        <v>2</v>
      </c>
      <c r="BR10" s="492">
        <v>1</v>
      </c>
      <c r="BS10" s="492">
        <v>1</v>
      </c>
      <c r="BT10" s="492"/>
      <c r="BU10" s="492"/>
      <c r="BV10" s="492"/>
      <c r="BW10" s="492">
        <v>8</v>
      </c>
      <c r="BX10" s="492">
        <v>24</v>
      </c>
      <c r="BY10" s="492">
        <v>26</v>
      </c>
      <c r="BZ10" s="492">
        <v>4</v>
      </c>
      <c r="CA10" s="493">
        <f t="shared" si="29"/>
        <v>68</v>
      </c>
      <c r="CB10" s="492">
        <v>2</v>
      </c>
      <c r="CC10" s="492">
        <v>3</v>
      </c>
      <c r="CD10" s="492">
        <v>2</v>
      </c>
      <c r="CE10" s="492"/>
      <c r="CF10" s="492"/>
      <c r="CG10" s="492"/>
      <c r="CH10" s="492"/>
      <c r="CI10" s="492"/>
      <c r="CJ10" s="492">
        <v>3</v>
      </c>
      <c r="CK10" s="492">
        <v>37</v>
      </c>
      <c r="CL10" s="492">
        <v>30</v>
      </c>
      <c r="CM10" s="492">
        <v>15</v>
      </c>
      <c r="CN10" s="493">
        <f t="shared" si="30"/>
        <v>92</v>
      </c>
      <c r="CO10" s="492">
        <v>2</v>
      </c>
      <c r="CP10" s="492">
        <v>2</v>
      </c>
      <c r="CQ10" s="492"/>
      <c r="CR10" s="492"/>
      <c r="CS10" s="492">
        <v>2</v>
      </c>
      <c r="CT10" s="492">
        <v>2</v>
      </c>
      <c r="CU10" s="492">
        <v>2</v>
      </c>
      <c r="CV10" s="492">
        <v>1</v>
      </c>
      <c r="CW10" s="492">
        <v>4</v>
      </c>
      <c r="CX10" s="492">
        <v>66</v>
      </c>
      <c r="CY10" s="492">
        <v>77</v>
      </c>
      <c r="CZ10" s="492">
        <v>52</v>
      </c>
      <c r="DA10" s="493">
        <f t="shared" si="31"/>
        <v>210</v>
      </c>
      <c r="DB10" s="492">
        <v>10</v>
      </c>
      <c r="DC10" s="492">
        <v>1</v>
      </c>
      <c r="DD10" s="492">
        <v>16.5</v>
      </c>
      <c r="DE10" s="492">
        <v>6</v>
      </c>
      <c r="DF10" s="492">
        <v>19</v>
      </c>
      <c r="DG10" s="492">
        <v>12</v>
      </c>
      <c r="DH10" s="492">
        <v>13</v>
      </c>
      <c r="DI10" s="492">
        <v>29</v>
      </c>
      <c r="DJ10" s="492">
        <v>31</v>
      </c>
      <c r="DK10" s="492">
        <v>41.5</v>
      </c>
      <c r="DL10" s="492">
        <v>51</v>
      </c>
      <c r="DM10" s="492">
        <v>15</v>
      </c>
      <c r="DN10" s="493">
        <f t="shared" si="32"/>
        <v>245</v>
      </c>
      <c r="DO10" s="492">
        <v>1.5</v>
      </c>
      <c r="DP10" s="492">
        <v>4.5</v>
      </c>
      <c r="DQ10" s="492">
        <v>19.5</v>
      </c>
      <c r="DR10" s="492">
        <v>2</v>
      </c>
      <c r="DS10" s="492">
        <v>1</v>
      </c>
      <c r="DT10" s="492">
        <v>3</v>
      </c>
      <c r="DU10" s="492">
        <v>2</v>
      </c>
      <c r="DV10" s="492">
        <v>7.5</v>
      </c>
      <c r="DW10" s="492">
        <v>17.5</v>
      </c>
      <c r="DX10" s="492">
        <v>87</v>
      </c>
      <c r="DY10" s="492">
        <v>79</v>
      </c>
      <c r="DZ10" s="492">
        <v>39.5</v>
      </c>
      <c r="EA10" s="493">
        <f t="shared" si="33"/>
        <v>264</v>
      </c>
      <c r="EB10" s="492">
        <v>22.5</v>
      </c>
      <c r="EC10" s="492">
        <v>20</v>
      </c>
      <c r="ED10" s="492">
        <v>20.5</v>
      </c>
      <c r="EE10" s="492">
        <v>3</v>
      </c>
      <c r="EF10" s="492">
        <v>3</v>
      </c>
      <c r="EG10" s="492">
        <v>1</v>
      </c>
      <c r="EH10" s="492">
        <v>3</v>
      </c>
      <c r="EI10" s="492">
        <v>12</v>
      </c>
      <c r="EJ10" s="492">
        <v>4</v>
      </c>
      <c r="EK10" s="492">
        <v>63.5</v>
      </c>
      <c r="EL10" s="492">
        <v>83</v>
      </c>
      <c r="EM10" s="492">
        <v>65</v>
      </c>
      <c r="EN10" s="493">
        <f t="shared" si="34"/>
        <v>300.5</v>
      </c>
      <c r="EO10" s="492">
        <v>31</v>
      </c>
      <c r="EP10" s="492">
        <v>46</v>
      </c>
      <c r="EQ10" s="492">
        <v>36</v>
      </c>
      <c r="ER10" s="492">
        <v>24</v>
      </c>
      <c r="ES10" s="492"/>
      <c r="ET10" s="492"/>
      <c r="EU10" s="492"/>
      <c r="EV10" s="492"/>
      <c r="EW10" s="492"/>
      <c r="EX10" s="492"/>
      <c r="EY10" s="492"/>
      <c r="EZ10" s="492"/>
      <c r="FA10" s="493">
        <f t="shared" si="35"/>
        <v>137</v>
      </c>
      <c r="FB10" s="492"/>
      <c r="FC10" s="492"/>
      <c r="FD10" s="492"/>
      <c r="FE10" s="492"/>
      <c r="FF10" s="492"/>
      <c r="FG10" s="492"/>
      <c r="FH10" s="492"/>
      <c r="FI10" s="492"/>
      <c r="FJ10" s="492"/>
      <c r="FK10" s="492"/>
      <c r="FL10" s="492"/>
      <c r="FM10" s="492"/>
      <c r="FN10" s="493">
        <f t="shared" si="36"/>
        <v>0</v>
      </c>
      <c r="FP10" s="595">
        <f t="shared" si="37"/>
        <v>700</v>
      </c>
      <c r="FQ10" s="596">
        <f t="shared" si="38"/>
        <v>107.57575757575756</v>
      </c>
      <c r="FR10" s="498">
        <f t="shared" si="39"/>
        <v>66</v>
      </c>
      <c r="FS10" s="597">
        <f t="shared" si="40"/>
        <v>137</v>
      </c>
      <c r="FT10" s="648"/>
      <c r="FU10" s="551">
        <f t="shared" si="41"/>
        <v>3207</v>
      </c>
      <c r="FV10" s="553" t="s">
        <v>107</v>
      </c>
      <c r="FW10" s="554" t="str">
        <f t="shared" si="42"/>
        <v>OK</v>
      </c>
    </row>
    <row r="11" spans="1:179" ht="15" customHeight="1" x14ac:dyDescent="0.25">
      <c r="A11" s="653" t="s">
        <v>109</v>
      </c>
      <c r="B11" s="492">
        <v>3</v>
      </c>
      <c r="C11" s="492">
        <v>3</v>
      </c>
      <c r="D11" s="492">
        <v>34</v>
      </c>
      <c r="E11" s="492">
        <v>3</v>
      </c>
      <c r="F11" s="492">
        <v>2</v>
      </c>
      <c r="G11" s="492">
        <v>3</v>
      </c>
      <c r="H11" s="492">
        <v>3</v>
      </c>
      <c r="I11" s="492">
        <v>1</v>
      </c>
      <c r="J11" s="492"/>
      <c r="K11" s="492">
        <v>21</v>
      </c>
      <c r="L11" s="492"/>
      <c r="M11" s="492">
        <v>6</v>
      </c>
      <c r="N11" s="493">
        <f t="shared" si="24"/>
        <v>79</v>
      </c>
      <c r="O11" s="492">
        <v>22</v>
      </c>
      <c r="P11" s="492">
        <v>1</v>
      </c>
      <c r="Q11" s="492">
        <v>12</v>
      </c>
      <c r="R11" s="492">
        <v>9</v>
      </c>
      <c r="S11" s="492">
        <v>8</v>
      </c>
      <c r="T11" s="492">
        <v>9</v>
      </c>
      <c r="U11" s="492">
        <v>8</v>
      </c>
      <c r="V11" s="492">
        <v>13</v>
      </c>
      <c r="W11" s="492">
        <v>20</v>
      </c>
      <c r="X11" s="492">
        <v>3</v>
      </c>
      <c r="Y11" s="492"/>
      <c r="Z11" s="492"/>
      <c r="AA11" s="493">
        <f t="shared" si="25"/>
        <v>105</v>
      </c>
      <c r="AB11" s="492"/>
      <c r="AC11" s="492"/>
      <c r="AD11" s="492"/>
      <c r="AE11" s="492"/>
      <c r="AF11" s="492"/>
      <c r="AG11" s="492"/>
      <c r="AH11" s="492"/>
      <c r="AI11" s="492">
        <v>9</v>
      </c>
      <c r="AJ11" s="492">
        <v>15</v>
      </c>
      <c r="AK11" s="492">
        <v>23</v>
      </c>
      <c r="AL11" s="492">
        <v>14</v>
      </c>
      <c r="AM11" s="492">
        <v>1</v>
      </c>
      <c r="AN11" s="493">
        <f t="shared" si="26"/>
        <v>62</v>
      </c>
      <c r="AO11" s="492">
        <v>6</v>
      </c>
      <c r="AP11" s="492"/>
      <c r="AQ11" s="492">
        <v>4</v>
      </c>
      <c r="AR11" s="492">
        <v>1</v>
      </c>
      <c r="AS11" s="492">
        <v>3</v>
      </c>
      <c r="AT11" s="492">
        <v>4</v>
      </c>
      <c r="AU11" s="492">
        <v>3</v>
      </c>
      <c r="AV11" s="492">
        <v>9</v>
      </c>
      <c r="AW11" s="492">
        <v>83</v>
      </c>
      <c r="AX11" s="492">
        <v>119</v>
      </c>
      <c r="AY11" s="492">
        <v>11</v>
      </c>
      <c r="AZ11" s="492">
        <v>7</v>
      </c>
      <c r="BA11" s="493">
        <f t="shared" si="27"/>
        <v>250</v>
      </c>
      <c r="BB11" s="492">
        <v>98</v>
      </c>
      <c r="BC11" s="492">
        <v>3</v>
      </c>
      <c r="BD11" s="492">
        <v>3</v>
      </c>
      <c r="BE11" s="492">
        <v>3</v>
      </c>
      <c r="BF11" s="492"/>
      <c r="BG11" s="492">
        <v>1</v>
      </c>
      <c r="BH11" s="492">
        <v>2</v>
      </c>
      <c r="BI11" s="492"/>
      <c r="BJ11" s="492">
        <v>29</v>
      </c>
      <c r="BK11" s="492">
        <v>39</v>
      </c>
      <c r="BL11" s="492">
        <v>41</v>
      </c>
      <c r="BM11" s="492">
        <v>35</v>
      </c>
      <c r="BN11" s="493">
        <f t="shared" si="28"/>
        <v>254</v>
      </c>
      <c r="BO11" s="492">
        <v>27</v>
      </c>
      <c r="BP11" s="492"/>
      <c r="BQ11" s="492"/>
      <c r="BR11" s="492"/>
      <c r="BS11" s="492">
        <v>13</v>
      </c>
      <c r="BT11" s="492"/>
      <c r="BU11" s="492"/>
      <c r="BV11" s="492">
        <v>1</v>
      </c>
      <c r="BW11" s="492">
        <v>12</v>
      </c>
      <c r="BX11" s="492">
        <v>10</v>
      </c>
      <c r="BY11" s="492">
        <v>7</v>
      </c>
      <c r="BZ11" s="492">
        <v>5</v>
      </c>
      <c r="CA11" s="493">
        <f t="shared" si="29"/>
        <v>75</v>
      </c>
      <c r="CB11" s="492">
        <v>30</v>
      </c>
      <c r="CC11" s="492">
        <v>108</v>
      </c>
      <c r="CD11" s="492">
        <v>25</v>
      </c>
      <c r="CE11" s="492">
        <v>143</v>
      </c>
      <c r="CF11" s="492"/>
      <c r="CG11" s="492"/>
      <c r="CH11" s="492"/>
      <c r="CI11" s="492">
        <v>40</v>
      </c>
      <c r="CJ11" s="492">
        <v>2</v>
      </c>
      <c r="CK11" s="492">
        <v>14</v>
      </c>
      <c r="CL11" s="492">
        <v>5</v>
      </c>
      <c r="CM11" s="492">
        <v>1</v>
      </c>
      <c r="CN11" s="493">
        <f t="shared" si="30"/>
        <v>368</v>
      </c>
      <c r="CO11" s="492">
        <v>40</v>
      </c>
      <c r="CP11" s="492">
        <v>60</v>
      </c>
      <c r="CQ11" s="492"/>
      <c r="CR11" s="492"/>
      <c r="CS11" s="492"/>
      <c r="CT11" s="492"/>
      <c r="CU11" s="492"/>
      <c r="CV11" s="492"/>
      <c r="CW11" s="492">
        <v>1</v>
      </c>
      <c r="CX11" s="492">
        <v>48</v>
      </c>
      <c r="CY11" s="492">
        <v>51</v>
      </c>
      <c r="CZ11" s="492">
        <v>25</v>
      </c>
      <c r="DA11" s="493">
        <f t="shared" si="31"/>
        <v>225</v>
      </c>
      <c r="DB11" s="492">
        <v>38</v>
      </c>
      <c r="DC11" s="492">
        <v>28</v>
      </c>
      <c r="DD11" s="492">
        <v>14</v>
      </c>
      <c r="DE11" s="492"/>
      <c r="DF11" s="492"/>
      <c r="DG11" s="492"/>
      <c r="DH11" s="492"/>
      <c r="DI11" s="492"/>
      <c r="DJ11" s="492"/>
      <c r="DK11" s="492">
        <v>28</v>
      </c>
      <c r="DL11" s="492">
        <v>31</v>
      </c>
      <c r="DM11" s="492">
        <v>33</v>
      </c>
      <c r="DN11" s="493">
        <f t="shared" si="32"/>
        <v>172</v>
      </c>
      <c r="DO11" s="492"/>
      <c r="DP11" s="492">
        <v>15</v>
      </c>
      <c r="DQ11" s="492"/>
      <c r="DR11" s="492"/>
      <c r="DS11" s="492"/>
      <c r="DT11" s="492"/>
      <c r="DU11" s="492"/>
      <c r="DV11" s="492"/>
      <c r="DW11" s="492"/>
      <c r="DX11" s="492">
        <v>68</v>
      </c>
      <c r="DY11" s="492">
        <v>58</v>
      </c>
      <c r="DZ11" s="492">
        <v>21</v>
      </c>
      <c r="EA11" s="493">
        <f t="shared" si="33"/>
        <v>162</v>
      </c>
      <c r="EB11" s="492">
        <v>18</v>
      </c>
      <c r="EC11" s="492">
        <v>53</v>
      </c>
      <c r="ED11" s="492">
        <v>30</v>
      </c>
      <c r="EE11" s="492"/>
      <c r="EF11" s="492"/>
      <c r="EG11" s="492"/>
      <c r="EH11" s="492"/>
      <c r="EI11" s="492"/>
      <c r="EJ11" s="492">
        <v>4</v>
      </c>
      <c r="EK11" s="492">
        <v>41</v>
      </c>
      <c r="EL11" s="492">
        <v>56</v>
      </c>
      <c r="EM11" s="492">
        <v>16</v>
      </c>
      <c r="EN11" s="493">
        <f t="shared" si="34"/>
        <v>218</v>
      </c>
      <c r="EO11" s="492">
        <v>5</v>
      </c>
      <c r="EP11" s="492">
        <v>80</v>
      </c>
      <c r="EQ11" s="492">
        <v>7</v>
      </c>
      <c r="ER11" s="492">
        <v>2</v>
      </c>
      <c r="ES11" s="492"/>
      <c r="ET11" s="492"/>
      <c r="EU11" s="492"/>
      <c r="EV11" s="492"/>
      <c r="EW11" s="492"/>
      <c r="EX11" s="492"/>
      <c r="EY11" s="492"/>
      <c r="EZ11" s="492"/>
      <c r="FA11" s="493">
        <f t="shared" si="35"/>
        <v>94</v>
      </c>
      <c r="FB11" s="492"/>
      <c r="FC11" s="492"/>
      <c r="FD11" s="492"/>
      <c r="FE11" s="492"/>
      <c r="FF11" s="492"/>
      <c r="FG11" s="492"/>
      <c r="FH11" s="492"/>
      <c r="FI11" s="492"/>
      <c r="FJ11" s="492"/>
      <c r="FK11" s="492"/>
      <c r="FL11" s="492"/>
      <c r="FM11" s="492"/>
      <c r="FN11" s="493">
        <f t="shared" si="36"/>
        <v>0</v>
      </c>
      <c r="FP11" s="595" t="str">
        <f t="shared" si="37"/>
        <v/>
      </c>
      <c r="FQ11" s="596">
        <f t="shared" si="38"/>
        <v>-6.9306930693069262</v>
      </c>
      <c r="FR11" s="498">
        <f t="shared" si="39"/>
        <v>101</v>
      </c>
      <c r="FS11" s="597">
        <f t="shared" si="40"/>
        <v>94</v>
      </c>
      <c r="FT11" s="648"/>
      <c r="FU11" s="551">
        <f t="shared" si="41"/>
        <v>4128</v>
      </c>
      <c r="FV11" s="553" t="s">
        <v>109</v>
      </c>
      <c r="FW11" s="554" t="str">
        <f t="shared" si="42"/>
        <v>OK</v>
      </c>
    </row>
    <row r="12" spans="1:179" ht="15" customHeight="1" x14ac:dyDescent="0.25">
      <c r="A12" s="653" t="s">
        <v>110</v>
      </c>
      <c r="B12" s="492">
        <v>7</v>
      </c>
      <c r="C12" s="492">
        <v>6</v>
      </c>
      <c r="D12" s="492">
        <v>6</v>
      </c>
      <c r="E12" s="492">
        <v>5</v>
      </c>
      <c r="F12" s="492">
        <v>7</v>
      </c>
      <c r="G12" s="492">
        <v>5</v>
      </c>
      <c r="H12" s="492">
        <v>8</v>
      </c>
      <c r="I12" s="492"/>
      <c r="J12" s="492"/>
      <c r="K12" s="492"/>
      <c r="L12" s="492"/>
      <c r="M12" s="492"/>
      <c r="N12" s="493">
        <f t="shared" si="24"/>
        <v>44</v>
      </c>
      <c r="O12" s="492"/>
      <c r="P12" s="492"/>
      <c r="Q12" s="492">
        <v>1</v>
      </c>
      <c r="R12" s="492">
        <v>1</v>
      </c>
      <c r="S12" s="492">
        <v>1</v>
      </c>
      <c r="T12" s="492">
        <v>1</v>
      </c>
      <c r="U12" s="492"/>
      <c r="V12" s="492"/>
      <c r="W12" s="492"/>
      <c r="X12" s="492"/>
      <c r="Y12" s="492"/>
      <c r="Z12" s="492"/>
      <c r="AA12" s="493">
        <f t="shared" si="25"/>
        <v>4</v>
      </c>
      <c r="AB12" s="492"/>
      <c r="AC12" s="492"/>
      <c r="AD12" s="492">
        <v>1</v>
      </c>
      <c r="AE12" s="492">
        <v>4</v>
      </c>
      <c r="AF12" s="492">
        <v>6</v>
      </c>
      <c r="AG12" s="492">
        <v>2</v>
      </c>
      <c r="AH12" s="492">
        <v>5</v>
      </c>
      <c r="AI12" s="492">
        <v>2</v>
      </c>
      <c r="AJ12" s="492">
        <v>16</v>
      </c>
      <c r="AK12" s="492">
        <v>22</v>
      </c>
      <c r="AL12" s="492">
        <v>4</v>
      </c>
      <c r="AM12" s="492">
        <v>2</v>
      </c>
      <c r="AN12" s="493">
        <f t="shared" si="26"/>
        <v>64</v>
      </c>
      <c r="AO12" s="492">
        <v>2</v>
      </c>
      <c r="AP12" s="492"/>
      <c r="AQ12" s="492">
        <v>3</v>
      </c>
      <c r="AR12" s="492">
        <v>3</v>
      </c>
      <c r="AS12" s="492">
        <v>2</v>
      </c>
      <c r="AT12" s="492">
        <v>4</v>
      </c>
      <c r="AU12" s="492">
        <v>2</v>
      </c>
      <c r="AV12" s="492">
        <v>2</v>
      </c>
      <c r="AW12" s="492">
        <v>2</v>
      </c>
      <c r="AX12" s="492">
        <v>2</v>
      </c>
      <c r="AY12" s="492">
        <v>2</v>
      </c>
      <c r="AZ12" s="492">
        <v>2</v>
      </c>
      <c r="BA12" s="493">
        <f t="shared" si="27"/>
        <v>26</v>
      </c>
      <c r="BB12" s="492">
        <v>2</v>
      </c>
      <c r="BC12" s="492">
        <v>1</v>
      </c>
      <c r="BD12" s="492">
        <v>2</v>
      </c>
      <c r="BE12" s="492">
        <v>2</v>
      </c>
      <c r="BF12" s="492"/>
      <c r="BG12" s="492"/>
      <c r="BH12" s="492"/>
      <c r="BI12" s="492">
        <v>3</v>
      </c>
      <c r="BJ12" s="492">
        <v>5</v>
      </c>
      <c r="BK12" s="492">
        <v>3</v>
      </c>
      <c r="BL12" s="492">
        <v>1</v>
      </c>
      <c r="BM12" s="492">
        <v>2</v>
      </c>
      <c r="BN12" s="493">
        <f t="shared" si="28"/>
        <v>21</v>
      </c>
      <c r="BO12" s="492">
        <v>2</v>
      </c>
      <c r="BP12" s="492">
        <v>2</v>
      </c>
      <c r="BQ12" s="492">
        <v>1</v>
      </c>
      <c r="BR12" s="492">
        <v>1</v>
      </c>
      <c r="BS12" s="492">
        <v>1</v>
      </c>
      <c r="BT12" s="492">
        <v>1</v>
      </c>
      <c r="BU12" s="492">
        <v>1</v>
      </c>
      <c r="BV12" s="492">
        <v>1</v>
      </c>
      <c r="BW12" s="492">
        <v>12</v>
      </c>
      <c r="BX12" s="492">
        <v>25</v>
      </c>
      <c r="BY12" s="492">
        <v>1</v>
      </c>
      <c r="BZ12" s="492">
        <v>1</v>
      </c>
      <c r="CA12" s="493">
        <f t="shared" si="29"/>
        <v>49</v>
      </c>
      <c r="CB12" s="492"/>
      <c r="CC12" s="492"/>
      <c r="CD12" s="492">
        <v>1</v>
      </c>
      <c r="CE12" s="492">
        <v>0.5</v>
      </c>
      <c r="CF12" s="492"/>
      <c r="CG12" s="492">
        <v>1</v>
      </c>
      <c r="CH12" s="492"/>
      <c r="CI12" s="492">
        <v>1</v>
      </c>
      <c r="CJ12" s="492">
        <v>1</v>
      </c>
      <c r="CK12" s="492">
        <v>1</v>
      </c>
      <c r="CL12" s="492"/>
      <c r="CM12" s="492"/>
      <c r="CN12" s="493">
        <f t="shared" si="30"/>
        <v>5.5</v>
      </c>
      <c r="CO12" s="492"/>
      <c r="CP12" s="492"/>
      <c r="CQ12" s="492"/>
      <c r="CR12" s="492">
        <v>14</v>
      </c>
      <c r="CS12" s="492">
        <v>5.5</v>
      </c>
      <c r="CT12" s="492">
        <v>2</v>
      </c>
      <c r="CU12" s="492"/>
      <c r="CV12" s="492"/>
      <c r="CW12" s="492"/>
      <c r="CX12" s="492">
        <v>4</v>
      </c>
      <c r="CY12" s="492">
        <v>1</v>
      </c>
      <c r="CZ12" s="492">
        <v>1</v>
      </c>
      <c r="DA12" s="493">
        <f t="shared" si="31"/>
        <v>27.5</v>
      </c>
      <c r="DB12" s="492">
        <v>2</v>
      </c>
      <c r="DC12" s="492"/>
      <c r="DD12" s="492"/>
      <c r="DE12" s="492"/>
      <c r="DF12" s="492"/>
      <c r="DG12" s="492"/>
      <c r="DH12" s="492"/>
      <c r="DI12" s="492">
        <v>6</v>
      </c>
      <c r="DJ12" s="492"/>
      <c r="DK12" s="492"/>
      <c r="DL12" s="492"/>
      <c r="DM12" s="492"/>
      <c r="DN12" s="493">
        <f t="shared" si="32"/>
        <v>8</v>
      </c>
      <c r="DO12" s="492"/>
      <c r="DP12" s="492"/>
      <c r="DQ12" s="492"/>
      <c r="DR12" s="492"/>
      <c r="DS12" s="492">
        <v>0.94</v>
      </c>
      <c r="DT12" s="492"/>
      <c r="DU12" s="492"/>
      <c r="DV12" s="492"/>
      <c r="DW12" s="492"/>
      <c r="DX12" s="492"/>
      <c r="DY12" s="492"/>
      <c r="DZ12" s="492">
        <v>6</v>
      </c>
      <c r="EA12" s="493">
        <f t="shared" si="33"/>
        <v>6.9399999999999995</v>
      </c>
      <c r="EB12" s="492">
        <v>1</v>
      </c>
      <c r="EC12" s="492">
        <v>0.5</v>
      </c>
      <c r="ED12" s="492">
        <v>5</v>
      </c>
      <c r="EE12" s="492">
        <v>2</v>
      </c>
      <c r="EF12" s="492">
        <v>1</v>
      </c>
      <c r="EG12" s="492"/>
      <c r="EH12" s="492"/>
      <c r="EI12" s="492">
        <v>1</v>
      </c>
      <c r="EJ12" s="492">
        <v>1.5</v>
      </c>
      <c r="EK12" s="492">
        <v>11.5</v>
      </c>
      <c r="EL12" s="492">
        <v>1</v>
      </c>
      <c r="EM12" s="492">
        <v>1</v>
      </c>
      <c r="EN12" s="493">
        <f t="shared" si="34"/>
        <v>25.5</v>
      </c>
      <c r="EO12" s="492">
        <v>12</v>
      </c>
      <c r="EP12" s="492">
        <v>12</v>
      </c>
      <c r="EQ12" s="492">
        <v>15</v>
      </c>
      <c r="ER12" s="492">
        <v>4</v>
      </c>
      <c r="ES12" s="492"/>
      <c r="ET12" s="492"/>
      <c r="EU12" s="492"/>
      <c r="EV12" s="492"/>
      <c r="EW12" s="492"/>
      <c r="EX12" s="492"/>
      <c r="EY12" s="492"/>
      <c r="EZ12" s="492"/>
      <c r="FA12" s="493">
        <f t="shared" si="35"/>
        <v>43</v>
      </c>
      <c r="FB12" s="492"/>
      <c r="FC12" s="492"/>
      <c r="FD12" s="492"/>
      <c r="FE12" s="492"/>
      <c r="FF12" s="492"/>
      <c r="FG12" s="492"/>
      <c r="FH12" s="492"/>
      <c r="FI12" s="492"/>
      <c r="FJ12" s="492"/>
      <c r="FK12" s="492"/>
      <c r="FL12" s="492"/>
      <c r="FM12" s="492"/>
      <c r="FN12" s="493">
        <f t="shared" si="36"/>
        <v>0</v>
      </c>
      <c r="FP12" s="654">
        <f t="shared" si="37"/>
        <v>100</v>
      </c>
      <c r="FQ12" s="655">
        <f t="shared" si="38"/>
        <v>405.88235294117646</v>
      </c>
      <c r="FR12" s="656">
        <f t="shared" si="39"/>
        <v>8.5</v>
      </c>
      <c r="FS12" s="657">
        <f t="shared" si="40"/>
        <v>43</v>
      </c>
      <c r="FT12" s="648"/>
      <c r="FU12" s="551">
        <f t="shared" si="41"/>
        <v>648.88</v>
      </c>
      <c r="FV12" s="553" t="s">
        <v>110</v>
      </c>
      <c r="FW12" s="554" t="str">
        <f t="shared" si="42"/>
        <v>OK</v>
      </c>
    </row>
    <row r="13" spans="1:179" ht="15" customHeight="1" x14ac:dyDescent="0.25">
      <c r="A13" s="653" t="s">
        <v>112</v>
      </c>
      <c r="B13" s="492">
        <v>3</v>
      </c>
      <c r="C13" s="492">
        <v>5</v>
      </c>
      <c r="D13" s="492">
        <v>6</v>
      </c>
      <c r="E13" s="492">
        <v>3</v>
      </c>
      <c r="F13" s="492">
        <v>1</v>
      </c>
      <c r="G13" s="492">
        <v>8</v>
      </c>
      <c r="H13" s="492">
        <v>4</v>
      </c>
      <c r="I13" s="492"/>
      <c r="J13" s="492"/>
      <c r="K13" s="492"/>
      <c r="L13" s="492"/>
      <c r="M13" s="492"/>
      <c r="N13" s="493">
        <f t="shared" si="24"/>
        <v>30</v>
      </c>
      <c r="O13" s="492"/>
      <c r="P13" s="492"/>
      <c r="Q13" s="492">
        <v>1</v>
      </c>
      <c r="R13" s="492">
        <v>1</v>
      </c>
      <c r="S13" s="492">
        <v>1</v>
      </c>
      <c r="T13" s="492">
        <v>1</v>
      </c>
      <c r="U13" s="492"/>
      <c r="V13" s="492"/>
      <c r="W13" s="492"/>
      <c r="X13" s="492"/>
      <c r="Y13" s="492"/>
      <c r="Z13" s="492"/>
      <c r="AA13" s="493">
        <f t="shared" si="25"/>
        <v>4</v>
      </c>
      <c r="AB13" s="492"/>
      <c r="AC13" s="492"/>
      <c r="AD13" s="492"/>
      <c r="AE13" s="492">
        <v>1</v>
      </c>
      <c r="AF13" s="492">
        <v>8</v>
      </c>
      <c r="AG13" s="492">
        <v>5</v>
      </c>
      <c r="AH13" s="492">
        <v>4</v>
      </c>
      <c r="AI13" s="492">
        <v>7</v>
      </c>
      <c r="AJ13" s="492">
        <v>7</v>
      </c>
      <c r="AK13" s="492">
        <v>3</v>
      </c>
      <c r="AL13" s="492">
        <v>3</v>
      </c>
      <c r="AM13" s="492">
        <v>3</v>
      </c>
      <c r="AN13" s="493">
        <f t="shared" si="26"/>
        <v>41</v>
      </c>
      <c r="AO13" s="492">
        <v>3</v>
      </c>
      <c r="AP13" s="492"/>
      <c r="AQ13" s="492">
        <v>3</v>
      </c>
      <c r="AR13" s="492">
        <v>7</v>
      </c>
      <c r="AS13" s="492">
        <v>4</v>
      </c>
      <c r="AT13" s="492">
        <v>3</v>
      </c>
      <c r="AU13" s="492">
        <v>3</v>
      </c>
      <c r="AV13" s="492">
        <v>3</v>
      </c>
      <c r="AW13" s="492">
        <v>3</v>
      </c>
      <c r="AX13" s="492">
        <v>3</v>
      </c>
      <c r="AY13" s="492">
        <v>3</v>
      </c>
      <c r="AZ13" s="492">
        <v>3</v>
      </c>
      <c r="BA13" s="493">
        <f t="shared" si="27"/>
        <v>38</v>
      </c>
      <c r="BB13" s="492">
        <v>6</v>
      </c>
      <c r="BC13" s="492">
        <v>3</v>
      </c>
      <c r="BD13" s="492">
        <v>4</v>
      </c>
      <c r="BE13" s="492">
        <v>3</v>
      </c>
      <c r="BF13" s="492"/>
      <c r="BG13" s="492">
        <v>1</v>
      </c>
      <c r="BH13" s="492"/>
      <c r="BI13" s="492"/>
      <c r="BJ13" s="492">
        <v>5</v>
      </c>
      <c r="BK13" s="492">
        <v>3</v>
      </c>
      <c r="BL13" s="492">
        <v>1</v>
      </c>
      <c r="BM13" s="492">
        <v>3</v>
      </c>
      <c r="BN13" s="493">
        <f t="shared" si="28"/>
        <v>29</v>
      </c>
      <c r="BO13" s="492">
        <v>3</v>
      </c>
      <c r="BP13" s="492"/>
      <c r="BQ13" s="492"/>
      <c r="BR13" s="492">
        <v>1</v>
      </c>
      <c r="BS13" s="492"/>
      <c r="BT13" s="492"/>
      <c r="BU13" s="492"/>
      <c r="BV13" s="492"/>
      <c r="BW13" s="492">
        <v>7</v>
      </c>
      <c r="BX13" s="492">
        <v>17</v>
      </c>
      <c r="BY13" s="492">
        <v>6</v>
      </c>
      <c r="BZ13" s="492">
        <v>1</v>
      </c>
      <c r="CA13" s="493">
        <f t="shared" si="29"/>
        <v>35</v>
      </c>
      <c r="CB13" s="492"/>
      <c r="CC13" s="492"/>
      <c r="CD13" s="492"/>
      <c r="CE13" s="492"/>
      <c r="CF13" s="492"/>
      <c r="CG13" s="492"/>
      <c r="CH13" s="492"/>
      <c r="CI13" s="492">
        <v>6</v>
      </c>
      <c r="CJ13" s="492"/>
      <c r="CK13" s="492">
        <v>3</v>
      </c>
      <c r="CL13" s="492">
        <v>2</v>
      </c>
      <c r="CM13" s="492">
        <v>2</v>
      </c>
      <c r="CN13" s="493">
        <f t="shared" si="30"/>
        <v>13</v>
      </c>
      <c r="CO13" s="492"/>
      <c r="CP13" s="492"/>
      <c r="CQ13" s="492">
        <v>2</v>
      </c>
      <c r="CR13" s="492">
        <v>14</v>
      </c>
      <c r="CS13" s="492">
        <v>4</v>
      </c>
      <c r="CT13" s="492"/>
      <c r="CU13" s="492"/>
      <c r="CV13" s="492"/>
      <c r="CW13" s="492"/>
      <c r="CX13" s="492">
        <v>1</v>
      </c>
      <c r="CY13" s="492">
        <v>1</v>
      </c>
      <c r="CZ13" s="492"/>
      <c r="DA13" s="493">
        <f t="shared" si="31"/>
        <v>22</v>
      </c>
      <c r="DB13" s="492"/>
      <c r="DC13" s="492"/>
      <c r="DD13" s="492">
        <v>3</v>
      </c>
      <c r="DE13" s="492"/>
      <c r="DF13" s="492"/>
      <c r="DG13" s="492"/>
      <c r="DH13" s="492"/>
      <c r="DI13" s="492"/>
      <c r="DJ13" s="492"/>
      <c r="DK13" s="492"/>
      <c r="DL13" s="492"/>
      <c r="DM13" s="492"/>
      <c r="DN13" s="493">
        <f t="shared" si="32"/>
        <v>3</v>
      </c>
      <c r="DO13" s="492">
        <v>1</v>
      </c>
      <c r="DP13" s="492"/>
      <c r="DQ13" s="492"/>
      <c r="DR13" s="492"/>
      <c r="DS13" s="492"/>
      <c r="DT13" s="492"/>
      <c r="DU13" s="492"/>
      <c r="DV13" s="492"/>
      <c r="DW13" s="492"/>
      <c r="DX13" s="492"/>
      <c r="DY13" s="492"/>
      <c r="DZ13" s="492">
        <v>12</v>
      </c>
      <c r="EA13" s="493">
        <f t="shared" si="33"/>
        <v>13</v>
      </c>
      <c r="EB13" s="492">
        <v>1</v>
      </c>
      <c r="EC13" s="492"/>
      <c r="ED13" s="492">
        <v>1.5</v>
      </c>
      <c r="EE13" s="492"/>
      <c r="EF13" s="492"/>
      <c r="EG13" s="492"/>
      <c r="EH13" s="492"/>
      <c r="EI13" s="492">
        <v>5</v>
      </c>
      <c r="EJ13" s="492">
        <v>3.5</v>
      </c>
      <c r="EK13" s="492">
        <v>11.5</v>
      </c>
      <c r="EL13" s="492"/>
      <c r="EM13" s="492">
        <v>19.5</v>
      </c>
      <c r="EN13" s="493">
        <f t="shared" si="34"/>
        <v>42</v>
      </c>
      <c r="EO13" s="492">
        <v>0.5</v>
      </c>
      <c r="EP13" s="492">
        <v>10</v>
      </c>
      <c r="EQ13" s="492">
        <v>20</v>
      </c>
      <c r="ER13" s="492">
        <v>7</v>
      </c>
      <c r="ES13" s="492"/>
      <c r="ET13" s="492"/>
      <c r="EU13" s="492"/>
      <c r="EV13" s="492"/>
      <c r="EW13" s="492"/>
      <c r="EX13" s="492"/>
      <c r="EY13" s="492"/>
      <c r="EZ13" s="492"/>
      <c r="FA13" s="493">
        <f t="shared" si="35"/>
        <v>37.5</v>
      </c>
      <c r="FB13" s="492"/>
      <c r="FC13" s="492"/>
      <c r="FD13" s="492"/>
      <c r="FE13" s="492"/>
      <c r="FF13" s="492"/>
      <c r="FG13" s="492"/>
      <c r="FH13" s="492"/>
      <c r="FI13" s="492"/>
      <c r="FJ13" s="492"/>
      <c r="FK13" s="492"/>
      <c r="FL13" s="492"/>
      <c r="FM13" s="492"/>
      <c r="FN13" s="493">
        <f t="shared" si="36"/>
        <v>0</v>
      </c>
      <c r="FP13" s="595" t="str">
        <f t="shared" si="37"/>
        <v/>
      </c>
      <c r="FQ13" s="596">
        <f t="shared" si="38"/>
        <v>1400</v>
      </c>
      <c r="FR13" s="498">
        <f t="shared" si="39"/>
        <v>2.5</v>
      </c>
      <c r="FS13" s="597">
        <f t="shared" si="40"/>
        <v>37.5</v>
      </c>
      <c r="FT13" s="648"/>
      <c r="FU13" s="551">
        <f t="shared" si="41"/>
        <v>615</v>
      </c>
      <c r="FV13" s="553" t="s">
        <v>112</v>
      </c>
      <c r="FW13" s="554" t="str">
        <f t="shared" si="42"/>
        <v>OK</v>
      </c>
    </row>
    <row r="14" spans="1:179" ht="15" customHeight="1" x14ac:dyDescent="0.25">
      <c r="A14" s="653" t="s">
        <v>113</v>
      </c>
      <c r="B14" s="492">
        <v>11</v>
      </c>
      <c r="C14" s="492">
        <v>17</v>
      </c>
      <c r="D14" s="492">
        <v>11</v>
      </c>
      <c r="E14" s="492">
        <v>10</v>
      </c>
      <c r="F14" s="492">
        <v>1</v>
      </c>
      <c r="G14" s="492">
        <v>3</v>
      </c>
      <c r="H14" s="492">
        <v>8</v>
      </c>
      <c r="I14" s="492">
        <v>5</v>
      </c>
      <c r="J14" s="492">
        <v>10</v>
      </c>
      <c r="K14" s="492">
        <v>7</v>
      </c>
      <c r="L14" s="492">
        <v>8</v>
      </c>
      <c r="M14" s="492">
        <v>8</v>
      </c>
      <c r="N14" s="493">
        <f t="shared" si="24"/>
        <v>99</v>
      </c>
      <c r="O14" s="492">
        <v>14</v>
      </c>
      <c r="P14" s="492">
        <v>7</v>
      </c>
      <c r="Q14" s="492">
        <v>7</v>
      </c>
      <c r="R14" s="492">
        <v>3</v>
      </c>
      <c r="S14" s="492">
        <v>1</v>
      </c>
      <c r="T14" s="492">
        <v>1</v>
      </c>
      <c r="U14" s="492">
        <v>2</v>
      </c>
      <c r="V14" s="492">
        <v>4</v>
      </c>
      <c r="W14" s="492">
        <v>5</v>
      </c>
      <c r="X14" s="492">
        <v>2</v>
      </c>
      <c r="Y14" s="492">
        <v>14</v>
      </c>
      <c r="Z14" s="492">
        <v>4</v>
      </c>
      <c r="AA14" s="493">
        <f t="shared" si="25"/>
        <v>64</v>
      </c>
      <c r="AB14" s="492">
        <v>10</v>
      </c>
      <c r="AC14" s="492">
        <v>4</v>
      </c>
      <c r="AD14" s="492">
        <v>8</v>
      </c>
      <c r="AE14" s="492">
        <v>7</v>
      </c>
      <c r="AF14" s="492">
        <v>8</v>
      </c>
      <c r="AG14" s="492">
        <v>10</v>
      </c>
      <c r="AH14" s="492">
        <v>11</v>
      </c>
      <c r="AI14" s="492">
        <v>17</v>
      </c>
      <c r="AJ14" s="492">
        <v>9</v>
      </c>
      <c r="AK14" s="492">
        <v>16</v>
      </c>
      <c r="AL14" s="492">
        <v>11</v>
      </c>
      <c r="AM14" s="492">
        <v>8</v>
      </c>
      <c r="AN14" s="493">
        <f t="shared" si="26"/>
        <v>119</v>
      </c>
      <c r="AO14" s="492">
        <v>5</v>
      </c>
      <c r="AP14" s="492">
        <v>1</v>
      </c>
      <c r="AQ14" s="492">
        <v>9</v>
      </c>
      <c r="AR14" s="492">
        <v>10</v>
      </c>
      <c r="AS14" s="492">
        <v>5</v>
      </c>
      <c r="AT14" s="492">
        <v>3</v>
      </c>
      <c r="AU14" s="492"/>
      <c r="AV14" s="492"/>
      <c r="AW14" s="492">
        <v>17</v>
      </c>
      <c r="AX14" s="492">
        <v>13</v>
      </c>
      <c r="AY14" s="492">
        <v>13</v>
      </c>
      <c r="AZ14" s="492">
        <v>10</v>
      </c>
      <c r="BA14" s="493">
        <f t="shared" si="27"/>
        <v>86</v>
      </c>
      <c r="BB14" s="492">
        <v>4</v>
      </c>
      <c r="BC14" s="492">
        <v>8</v>
      </c>
      <c r="BD14" s="492">
        <v>4</v>
      </c>
      <c r="BE14" s="492">
        <v>3</v>
      </c>
      <c r="BF14" s="492">
        <v>4</v>
      </c>
      <c r="BG14" s="492">
        <v>8</v>
      </c>
      <c r="BH14" s="492">
        <v>6</v>
      </c>
      <c r="BI14" s="492">
        <v>7</v>
      </c>
      <c r="BJ14" s="492">
        <v>15</v>
      </c>
      <c r="BK14" s="492">
        <v>7</v>
      </c>
      <c r="BL14" s="492">
        <v>5</v>
      </c>
      <c r="BM14" s="492">
        <v>7</v>
      </c>
      <c r="BN14" s="493">
        <f t="shared" si="28"/>
        <v>78</v>
      </c>
      <c r="BO14" s="492">
        <v>9</v>
      </c>
      <c r="BP14" s="492">
        <v>9</v>
      </c>
      <c r="BQ14" s="492">
        <v>10</v>
      </c>
      <c r="BR14" s="492">
        <v>6</v>
      </c>
      <c r="BS14" s="492">
        <v>6</v>
      </c>
      <c r="BT14" s="492"/>
      <c r="BU14" s="492">
        <v>1</v>
      </c>
      <c r="BV14" s="492">
        <v>4</v>
      </c>
      <c r="BW14" s="492">
        <v>13</v>
      </c>
      <c r="BX14" s="492">
        <v>9</v>
      </c>
      <c r="BY14" s="492">
        <v>5</v>
      </c>
      <c r="BZ14" s="492">
        <v>1</v>
      </c>
      <c r="CA14" s="493">
        <f t="shared" si="29"/>
        <v>73</v>
      </c>
      <c r="CB14" s="492"/>
      <c r="CC14" s="492">
        <v>9</v>
      </c>
      <c r="CD14" s="492">
        <v>10</v>
      </c>
      <c r="CE14" s="492">
        <v>3</v>
      </c>
      <c r="CF14" s="492">
        <v>2</v>
      </c>
      <c r="CG14" s="492"/>
      <c r="CH14" s="492"/>
      <c r="CI14" s="492">
        <v>12</v>
      </c>
      <c r="CJ14" s="492">
        <v>15</v>
      </c>
      <c r="CK14" s="492">
        <v>13</v>
      </c>
      <c r="CL14" s="492">
        <v>5</v>
      </c>
      <c r="CM14" s="492">
        <v>1</v>
      </c>
      <c r="CN14" s="493">
        <f t="shared" si="30"/>
        <v>70</v>
      </c>
      <c r="CO14" s="492">
        <v>9</v>
      </c>
      <c r="CP14" s="492">
        <v>22</v>
      </c>
      <c r="CQ14" s="492">
        <v>8</v>
      </c>
      <c r="CR14" s="492">
        <v>5</v>
      </c>
      <c r="CS14" s="492"/>
      <c r="CT14" s="492">
        <v>1</v>
      </c>
      <c r="CU14" s="492">
        <v>1</v>
      </c>
      <c r="CV14" s="492"/>
      <c r="CW14" s="492">
        <v>2</v>
      </c>
      <c r="CX14" s="492">
        <v>8</v>
      </c>
      <c r="CY14" s="492">
        <v>3</v>
      </c>
      <c r="CZ14" s="492">
        <v>2.5</v>
      </c>
      <c r="DA14" s="493">
        <f t="shared" si="31"/>
        <v>61.5</v>
      </c>
      <c r="DB14" s="492">
        <v>0.5</v>
      </c>
      <c r="DC14" s="492">
        <v>20</v>
      </c>
      <c r="DD14" s="492">
        <v>22.5</v>
      </c>
      <c r="DE14" s="492">
        <v>13</v>
      </c>
      <c r="DF14" s="492">
        <v>8</v>
      </c>
      <c r="DG14" s="492">
        <v>2</v>
      </c>
      <c r="DH14" s="492">
        <v>10</v>
      </c>
      <c r="DI14" s="492">
        <v>3</v>
      </c>
      <c r="DJ14" s="492">
        <v>7</v>
      </c>
      <c r="DK14" s="492">
        <v>16.5</v>
      </c>
      <c r="DL14" s="492">
        <v>6</v>
      </c>
      <c r="DM14" s="492"/>
      <c r="DN14" s="493">
        <f t="shared" si="32"/>
        <v>108.5</v>
      </c>
      <c r="DO14" s="492">
        <v>8</v>
      </c>
      <c r="DP14" s="492"/>
      <c r="DQ14" s="492">
        <v>29</v>
      </c>
      <c r="DR14" s="492">
        <v>1</v>
      </c>
      <c r="DS14" s="492">
        <v>1</v>
      </c>
      <c r="DT14" s="492">
        <v>7</v>
      </c>
      <c r="DU14" s="492"/>
      <c r="DV14" s="492"/>
      <c r="DW14" s="492"/>
      <c r="DX14" s="492">
        <v>17</v>
      </c>
      <c r="DY14" s="492">
        <v>10</v>
      </c>
      <c r="DZ14" s="492">
        <v>17</v>
      </c>
      <c r="EA14" s="493">
        <f t="shared" si="33"/>
        <v>90</v>
      </c>
      <c r="EB14" s="492">
        <v>23</v>
      </c>
      <c r="EC14" s="492">
        <v>12</v>
      </c>
      <c r="ED14" s="492">
        <v>1</v>
      </c>
      <c r="EE14" s="492">
        <v>6.5</v>
      </c>
      <c r="EF14" s="492">
        <v>1</v>
      </c>
      <c r="EG14" s="492">
        <v>1</v>
      </c>
      <c r="EH14" s="492">
        <v>1.5</v>
      </c>
      <c r="EI14" s="492">
        <v>0.5</v>
      </c>
      <c r="EJ14" s="492">
        <v>3</v>
      </c>
      <c r="EK14" s="492">
        <v>10</v>
      </c>
      <c r="EL14" s="492">
        <v>5</v>
      </c>
      <c r="EM14" s="492">
        <v>13</v>
      </c>
      <c r="EN14" s="493">
        <f t="shared" si="34"/>
        <v>77.5</v>
      </c>
      <c r="EO14" s="492">
        <v>4</v>
      </c>
      <c r="EP14" s="492">
        <v>24</v>
      </c>
      <c r="EQ14" s="492">
        <v>19</v>
      </c>
      <c r="ER14" s="492">
        <v>16</v>
      </c>
      <c r="ES14" s="492"/>
      <c r="ET14" s="492"/>
      <c r="EU14" s="492"/>
      <c r="EV14" s="492"/>
      <c r="EW14" s="492"/>
      <c r="EX14" s="492"/>
      <c r="EY14" s="492"/>
      <c r="EZ14" s="492"/>
      <c r="FA14" s="493">
        <f t="shared" si="35"/>
        <v>63</v>
      </c>
      <c r="FB14" s="492"/>
      <c r="FC14" s="492"/>
      <c r="FD14" s="492"/>
      <c r="FE14" s="492"/>
      <c r="FF14" s="492"/>
      <c r="FG14" s="492"/>
      <c r="FH14" s="492"/>
      <c r="FI14" s="492"/>
      <c r="FJ14" s="492"/>
      <c r="FK14" s="492"/>
      <c r="FL14" s="492"/>
      <c r="FM14" s="492"/>
      <c r="FN14" s="493">
        <f t="shared" si="36"/>
        <v>0</v>
      </c>
      <c r="FP14" s="595">
        <f t="shared" si="37"/>
        <v>146.15384615384616</v>
      </c>
      <c r="FQ14" s="596">
        <f t="shared" si="38"/>
        <v>48.235294117647065</v>
      </c>
      <c r="FR14" s="498">
        <f t="shared" si="39"/>
        <v>42.5</v>
      </c>
      <c r="FS14" s="597">
        <f t="shared" si="40"/>
        <v>63</v>
      </c>
      <c r="FT14" s="648"/>
      <c r="FU14" s="551">
        <f t="shared" si="41"/>
        <v>1979</v>
      </c>
      <c r="FV14" s="553" t="s">
        <v>113</v>
      </c>
      <c r="FW14" s="554" t="str">
        <f t="shared" si="42"/>
        <v>OK</v>
      </c>
    </row>
    <row r="15" spans="1:179" ht="15" customHeight="1" x14ac:dyDescent="0.25">
      <c r="A15" s="653" t="s">
        <v>115</v>
      </c>
      <c r="B15" s="492">
        <v>18</v>
      </c>
      <c r="C15" s="492">
        <v>25</v>
      </c>
      <c r="D15" s="492">
        <v>25</v>
      </c>
      <c r="E15" s="492">
        <v>17</v>
      </c>
      <c r="F15" s="492">
        <v>13</v>
      </c>
      <c r="G15" s="492">
        <v>23</v>
      </c>
      <c r="H15" s="492">
        <v>21</v>
      </c>
      <c r="I15" s="492">
        <v>7</v>
      </c>
      <c r="J15" s="492">
        <v>5</v>
      </c>
      <c r="K15" s="492">
        <v>7</v>
      </c>
      <c r="L15" s="492">
        <v>5</v>
      </c>
      <c r="M15" s="492">
        <v>10</v>
      </c>
      <c r="N15" s="493">
        <f t="shared" si="24"/>
        <v>176</v>
      </c>
      <c r="O15" s="492">
        <v>31</v>
      </c>
      <c r="P15" s="492">
        <v>19</v>
      </c>
      <c r="Q15" s="492">
        <v>25</v>
      </c>
      <c r="R15" s="492">
        <v>17</v>
      </c>
      <c r="S15" s="492">
        <v>14</v>
      </c>
      <c r="T15" s="492">
        <v>19</v>
      </c>
      <c r="U15" s="492">
        <v>30</v>
      </c>
      <c r="V15" s="492">
        <v>15</v>
      </c>
      <c r="W15" s="492">
        <v>16</v>
      </c>
      <c r="X15" s="492">
        <v>11</v>
      </c>
      <c r="Y15" s="492">
        <v>7</v>
      </c>
      <c r="Z15" s="492">
        <v>6</v>
      </c>
      <c r="AA15" s="493">
        <f t="shared" si="25"/>
        <v>210</v>
      </c>
      <c r="AB15" s="492">
        <v>6</v>
      </c>
      <c r="AC15" s="492"/>
      <c r="AD15" s="492">
        <v>10</v>
      </c>
      <c r="AE15" s="492">
        <v>15</v>
      </c>
      <c r="AF15" s="492">
        <v>11</v>
      </c>
      <c r="AG15" s="492">
        <v>5</v>
      </c>
      <c r="AH15" s="492">
        <v>3</v>
      </c>
      <c r="AI15" s="492">
        <v>7</v>
      </c>
      <c r="AJ15" s="492">
        <v>17</v>
      </c>
      <c r="AK15" s="492">
        <v>5</v>
      </c>
      <c r="AL15" s="492">
        <v>6</v>
      </c>
      <c r="AM15" s="492">
        <v>11</v>
      </c>
      <c r="AN15" s="493">
        <f t="shared" si="26"/>
        <v>96</v>
      </c>
      <c r="AO15" s="492">
        <v>7</v>
      </c>
      <c r="AP15" s="492"/>
      <c r="AQ15" s="492">
        <v>10</v>
      </c>
      <c r="AR15" s="492">
        <v>11</v>
      </c>
      <c r="AS15" s="492">
        <v>7</v>
      </c>
      <c r="AT15" s="492">
        <v>4</v>
      </c>
      <c r="AU15" s="492">
        <v>4</v>
      </c>
      <c r="AV15" s="492">
        <v>10</v>
      </c>
      <c r="AW15" s="492">
        <v>11</v>
      </c>
      <c r="AX15" s="492">
        <v>19</v>
      </c>
      <c r="AY15" s="492">
        <v>16</v>
      </c>
      <c r="AZ15" s="492"/>
      <c r="BA15" s="493">
        <f t="shared" si="27"/>
        <v>99</v>
      </c>
      <c r="BB15" s="492">
        <v>8</v>
      </c>
      <c r="BC15" s="492">
        <v>11</v>
      </c>
      <c r="BD15" s="492"/>
      <c r="BE15" s="492">
        <v>4</v>
      </c>
      <c r="BF15" s="492">
        <v>1</v>
      </c>
      <c r="BG15" s="492"/>
      <c r="BH15" s="492"/>
      <c r="BI15" s="492">
        <v>10</v>
      </c>
      <c r="BJ15" s="492">
        <v>23</v>
      </c>
      <c r="BK15" s="492">
        <v>23</v>
      </c>
      <c r="BL15" s="492">
        <v>10</v>
      </c>
      <c r="BM15" s="492">
        <v>15</v>
      </c>
      <c r="BN15" s="493">
        <f t="shared" si="28"/>
        <v>105</v>
      </c>
      <c r="BO15" s="492">
        <v>19</v>
      </c>
      <c r="BP15" s="492">
        <v>11</v>
      </c>
      <c r="BQ15" s="492">
        <v>14</v>
      </c>
      <c r="BR15" s="492">
        <v>5</v>
      </c>
      <c r="BS15" s="492">
        <v>1</v>
      </c>
      <c r="BT15" s="492"/>
      <c r="BU15" s="492">
        <v>2</v>
      </c>
      <c r="BV15" s="492">
        <v>8</v>
      </c>
      <c r="BW15" s="492">
        <v>30</v>
      </c>
      <c r="BX15" s="492">
        <v>33</v>
      </c>
      <c r="BY15" s="492">
        <v>21</v>
      </c>
      <c r="BZ15" s="492">
        <v>17</v>
      </c>
      <c r="CA15" s="493">
        <f t="shared" si="29"/>
        <v>161</v>
      </c>
      <c r="CB15" s="492">
        <v>15</v>
      </c>
      <c r="CC15" s="492">
        <v>25</v>
      </c>
      <c r="CD15" s="492">
        <v>50</v>
      </c>
      <c r="CE15" s="492">
        <v>54</v>
      </c>
      <c r="CF15" s="492">
        <v>46.5</v>
      </c>
      <c r="CG15" s="492"/>
      <c r="CH15" s="492"/>
      <c r="CI15" s="492">
        <v>5</v>
      </c>
      <c r="CJ15" s="492">
        <v>32</v>
      </c>
      <c r="CK15" s="492">
        <v>12</v>
      </c>
      <c r="CL15" s="492">
        <v>5</v>
      </c>
      <c r="CM15" s="492">
        <v>7</v>
      </c>
      <c r="CN15" s="493">
        <f t="shared" si="30"/>
        <v>251.5</v>
      </c>
      <c r="CO15" s="492">
        <v>85</v>
      </c>
      <c r="CP15" s="492">
        <v>40</v>
      </c>
      <c r="CQ15" s="492">
        <v>59</v>
      </c>
      <c r="CR15" s="492">
        <v>40</v>
      </c>
      <c r="CS15" s="492">
        <v>10</v>
      </c>
      <c r="CT15" s="492">
        <v>5</v>
      </c>
      <c r="CU15" s="492">
        <v>6</v>
      </c>
      <c r="CV15" s="492">
        <v>5</v>
      </c>
      <c r="CW15" s="492">
        <v>6</v>
      </c>
      <c r="CX15" s="492">
        <v>10</v>
      </c>
      <c r="CY15" s="492">
        <v>5</v>
      </c>
      <c r="CZ15" s="492">
        <v>15</v>
      </c>
      <c r="DA15" s="493">
        <f t="shared" si="31"/>
        <v>286</v>
      </c>
      <c r="DB15" s="492">
        <v>9</v>
      </c>
      <c r="DC15" s="492">
        <v>25</v>
      </c>
      <c r="DD15" s="492">
        <v>37.9</v>
      </c>
      <c r="DE15" s="492">
        <v>27</v>
      </c>
      <c r="DF15" s="492">
        <v>2</v>
      </c>
      <c r="DG15" s="492">
        <v>3</v>
      </c>
      <c r="DH15" s="492"/>
      <c r="DI15" s="492">
        <v>7</v>
      </c>
      <c r="DJ15" s="492">
        <v>8</v>
      </c>
      <c r="DK15" s="492">
        <v>47.95</v>
      </c>
      <c r="DL15" s="492">
        <v>40</v>
      </c>
      <c r="DM15" s="492">
        <v>23</v>
      </c>
      <c r="DN15" s="493">
        <f t="shared" si="32"/>
        <v>229.85000000000002</v>
      </c>
      <c r="DO15" s="492"/>
      <c r="DP15" s="492">
        <v>22</v>
      </c>
      <c r="DQ15" s="492">
        <v>155</v>
      </c>
      <c r="DR15" s="492"/>
      <c r="DS15" s="492">
        <v>2</v>
      </c>
      <c r="DT15" s="492"/>
      <c r="DU15" s="492">
        <v>8</v>
      </c>
      <c r="DV15" s="492">
        <v>14</v>
      </c>
      <c r="DW15" s="492">
        <v>32</v>
      </c>
      <c r="DX15" s="492">
        <v>72</v>
      </c>
      <c r="DY15" s="492">
        <v>123</v>
      </c>
      <c r="DZ15" s="492">
        <v>61</v>
      </c>
      <c r="EA15" s="493">
        <f t="shared" si="33"/>
        <v>489</v>
      </c>
      <c r="EB15" s="492">
        <v>22</v>
      </c>
      <c r="EC15" s="492">
        <v>44</v>
      </c>
      <c r="ED15" s="492">
        <v>43</v>
      </c>
      <c r="EE15" s="492">
        <v>16</v>
      </c>
      <c r="EF15" s="492">
        <v>2</v>
      </c>
      <c r="EG15" s="492">
        <v>2</v>
      </c>
      <c r="EH15" s="492">
        <v>1</v>
      </c>
      <c r="EI15" s="492"/>
      <c r="EJ15" s="492">
        <v>34</v>
      </c>
      <c r="EK15" s="492">
        <v>176</v>
      </c>
      <c r="EL15" s="492">
        <v>176</v>
      </c>
      <c r="EM15" s="492">
        <v>137</v>
      </c>
      <c r="EN15" s="493">
        <f t="shared" si="34"/>
        <v>653</v>
      </c>
      <c r="EO15" s="492">
        <v>86</v>
      </c>
      <c r="EP15" s="492">
        <v>168</v>
      </c>
      <c r="EQ15" s="492">
        <v>150</v>
      </c>
      <c r="ER15" s="492">
        <v>31.5</v>
      </c>
      <c r="ES15" s="492"/>
      <c r="ET15" s="492"/>
      <c r="EU15" s="492"/>
      <c r="EV15" s="492"/>
      <c r="EW15" s="492"/>
      <c r="EX15" s="492"/>
      <c r="EY15" s="492"/>
      <c r="EZ15" s="492"/>
      <c r="FA15" s="493">
        <f t="shared" si="35"/>
        <v>435.5</v>
      </c>
      <c r="FB15" s="492"/>
      <c r="FC15" s="492"/>
      <c r="FD15" s="492"/>
      <c r="FE15" s="492"/>
      <c r="FF15" s="492"/>
      <c r="FG15" s="492"/>
      <c r="FH15" s="492"/>
      <c r="FI15" s="492"/>
      <c r="FJ15" s="492"/>
      <c r="FK15" s="492"/>
      <c r="FL15" s="492"/>
      <c r="FM15" s="492"/>
      <c r="FN15" s="493">
        <f t="shared" si="36"/>
        <v>0</v>
      </c>
      <c r="FP15" s="595">
        <f t="shared" si="37"/>
        <v>96.875</v>
      </c>
      <c r="FQ15" s="596">
        <f t="shared" si="38"/>
        <v>248.4</v>
      </c>
      <c r="FR15" s="498">
        <f t="shared" si="39"/>
        <v>125</v>
      </c>
      <c r="FS15" s="597">
        <f t="shared" si="40"/>
        <v>435.5</v>
      </c>
      <c r="FT15" s="648"/>
      <c r="FU15" s="551">
        <f t="shared" si="41"/>
        <v>6383.7</v>
      </c>
      <c r="FV15" s="553" t="s">
        <v>115</v>
      </c>
      <c r="FW15" s="554" t="str">
        <f t="shared" si="42"/>
        <v>OK</v>
      </c>
    </row>
    <row r="16" spans="1:179" ht="15" customHeight="1" x14ac:dyDescent="0.25">
      <c r="A16" s="653" t="s">
        <v>637</v>
      </c>
      <c r="B16" s="492">
        <v>4</v>
      </c>
      <c r="C16" s="492">
        <v>4</v>
      </c>
      <c r="D16" s="492"/>
      <c r="E16" s="492"/>
      <c r="F16" s="492"/>
      <c r="G16" s="492"/>
      <c r="H16" s="492"/>
      <c r="I16" s="492"/>
      <c r="J16" s="492"/>
      <c r="K16" s="492">
        <v>3</v>
      </c>
      <c r="L16" s="492">
        <v>9</v>
      </c>
      <c r="M16" s="492">
        <v>11</v>
      </c>
      <c r="N16" s="493">
        <f t="shared" si="24"/>
        <v>31</v>
      </c>
      <c r="O16" s="492">
        <v>5</v>
      </c>
      <c r="P16" s="492"/>
      <c r="Q16" s="492">
        <v>3</v>
      </c>
      <c r="R16" s="492">
        <v>1</v>
      </c>
      <c r="S16" s="492">
        <v>1</v>
      </c>
      <c r="T16" s="492"/>
      <c r="U16" s="492"/>
      <c r="V16" s="492"/>
      <c r="W16" s="492"/>
      <c r="X16" s="492"/>
      <c r="Y16" s="492"/>
      <c r="Z16" s="492"/>
      <c r="AA16" s="493">
        <f t="shared" si="25"/>
        <v>10</v>
      </c>
      <c r="AB16" s="492"/>
      <c r="AC16" s="492"/>
      <c r="AD16" s="492"/>
      <c r="AE16" s="492"/>
      <c r="AF16" s="492"/>
      <c r="AG16" s="492"/>
      <c r="AH16" s="492"/>
      <c r="AI16" s="492"/>
      <c r="AJ16" s="492">
        <v>6</v>
      </c>
      <c r="AK16" s="492">
        <v>2</v>
      </c>
      <c r="AL16" s="492">
        <v>11</v>
      </c>
      <c r="AM16" s="492">
        <v>5</v>
      </c>
      <c r="AN16" s="493">
        <f t="shared" si="26"/>
        <v>24</v>
      </c>
      <c r="AO16" s="492"/>
      <c r="AP16" s="492"/>
      <c r="AQ16" s="492"/>
      <c r="AR16" s="492"/>
      <c r="AS16" s="492"/>
      <c r="AT16" s="492"/>
      <c r="AU16" s="492"/>
      <c r="AV16" s="492"/>
      <c r="AW16" s="492">
        <v>2</v>
      </c>
      <c r="AX16" s="492">
        <v>1</v>
      </c>
      <c r="AY16" s="492">
        <v>2</v>
      </c>
      <c r="AZ16" s="492">
        <v>1</v>
      </c>
      <c r="BA16" s="493">
        <f t="shared" si="27"/>
        <v>6</v>
      </c>
      <c r="BB16" s="492">
        <v>1</v>
      </c>
      <c r="BC16" s="492"/>
      <c r="BD16" s="492"/>
      <c r="BE16" s="492"/>
      <c r="BF16" s="492"/>
      <c r="BG16" s="492"/>
      <c r="BH16" s="492"/>
      <c r="BI16" s="492"/>
      <c r="BJ16" s="492"/>
      <c r="BK16" s="492"/>
      <c r="BL16" s="492"/>
      <c r="BM16" s="492"/>
      <c r="BN16" s="493">
        <f t="shared" si="28"/>
        <v>1</v>
      </c>
      <c r="BO16" s="492">
        <v>2</v>
      </c>
      <c r="BP16" s="492">
        <v>2</v>
      </c>
      <c r="BQ16" s="492">
        <v>2</v>
      </c>
      <c r="BR16" s="492">
        <v>1</v>
      </c>
      <c r="BS16" s="492"/>
      <c r="BT16" s="492"/>
      <c r="BU16" s="492"/>
      <c r="BV16" s="492"/>
      <c r="BW16" s="492">
        <v>2</v>
      </c>
      <c r="BX16" s="492">
        <v>3</v>
      </c>
      <c r="BY16" s="492">
        <v>3</v>
      </c>
      <c r="BZ16" s="492"/>
      <c r="CA16" s="493">
        <f t="shared" si="29"/>
        <v>15</v>
      </c>
      <c r="CB16" s="492"/>
      <c r="CC16" s="492"/>
      <c r="CD16" s="492"/>
      <c r="CE16" s="492"/>
      <c r="CF16" s="492"/>
      <c r="CG16" s="492"/>
      <c r="CH16" s="492"/>
      <c r="CI16" s="492"/>
      <c r="CJ16" s="492">
        <v>1</v>
      </c>
      <c r="CK16" s="492">
        <v>4</v>
      </c>
      <c r="CL16" s="492">
        <v>1</v>
      </c>
      <c r="CM16" s="492"/>
      <c r="CN16" s="493">
        <f t="shared" si="30"/>
        <v>6</v>
      </c>
      <c r="CO16" s="492">
        <v>2</v>
      </c>
      <c r="CP16" s="492"/>
      <c r="CQ16" s="492"/>
      <c r="CR16" s="492"/>
      <c r="CS16" s="492"/>
      <c r="CT16" s="492"/>
      <c r="CU16" s="492"/>
      <c r="CV16" s="492"/>
      <c r="CW16" s="492">
        <v>1</v>
      </c>
      <c r="CX16" s="492">
        <v>1</v>
      </c>
      <c r="CY16" s="492"/>
      <c r="CZ16" s="492"/>
      <c r="DA16" s="493">
        <f t="shared" si="31"/>
        <v>4</v>
      </c>
      <c r="DB16" s="492"/>
      <c r="DC16" s="492">
        <v>1</v>
      </c>
      <c r="DD16" s="492"/>
      <c r="DE16" s="492"/>
      <c r="DF16" s="492"/>
      <c r="DG16" s="492"/>
      <c r="DH16" s="492"/>
      <c r="DI16" s="492"/>
      <c r="DJ16" s="492"/>
      <c r="DK16" s="492"/>
      <c r="DL16" s="492"/>
      <c r="DM16" s="492"/>
      <c r="DN16" s="493">
        <f t="shared" si="32"/>
        <v>1</v>
      </c>
      <c r="DO16" s="492"/>
      <c r="DP16" s="492"/>
      <c r="DQ16" s="492"/>
      <c r="DR16" s="492"/>
      <c r="DS16" s="492"/>
      <c r="DT16" s="492"/>
      <c r="DU16" s="492"/>
      <c r="DV16" s="492"/>
      <c r="DW16" s="492">
        <v>1</v>
      </c>
      <c r="DX16" s="492">
        <v>2</v>
      </c>
      <c r="DY16" s="492">
        <v>1</v>
      </c>
      <c r="DZ16" s="492">
        <v>8</v>
      </c>
      <c r="EA16" s="493">
        <f t="shared" si="33"/>
        <v>12</v>
      </c>
      <c r="EB16" s="492">
        <v>13</v>
      </c>
      <c r="EC16" s="492">
        <v>5</v>
      </c>
      <c r="ED16" s="492">
        <v>2</v>
      </c>
      <c r="EE16" s="492"/>
      <c r="EF16" s="492"/>
      <c r="EG16" s="492"/>
      <c r="EH16" s="492"/>
      <c r="EI16" s="492">
        <v>1</v>
      </c>
      <c r="EJ16" s="492">
        <v>3.5</v>
      </c>
      <c r="EK16" s="492">
        <v>8.5</v>
      </c>
      <c r="EL16" s="492">
        <v>12</v>
      </c>
      <c r="EM16" s="492">
        <v>15</v>
      </c>
      <c r="EN16" s="493">
        <f t="shared" si="34"/>
        <v>60</v>
      </c>
      <c r="EO16" s="492"/>
      <c r="EP16" s="492">
        <v>6</v>
      </c>
      <c r="EQ16" s="492">
        <v>5</v>
      </c>
      <c r="ER16" s="492">
        <v>2</v>
      </c>
      <c r="ES16" s="492"/>
      <c r="ET16" s="492"/>
      <c r="EU16" s="492"/>
      <c r="EV16" s="492"/>
      <c r="EW16" s="492"/>
      <c r="EX16" s="492"/>
      <c r="EY16" s="492"/>
      <c r="EZ16" s="492"/>
      <c r="FA16" s="493">
        <f t="shared" si="35"/>
        <v>13</v>
      </c>
      <c r="FB16" s="492"/>
      <c r="FC16" s="492"/>
      <c r="FD16" s="492"/>
      <c r="FE16" s="492"/>
      <c r="FF16" s="492"/>
      <c r="FG16" s="492"/>
      <c r="FH16" s="492"/>
      <c r="FI16" s="492"/>
      <c r="FJ16" s="492"/>
      <c r="FK16" s="492"/>
      <c r="FL16" s="492"/>
      <c r="FM16" s="492"/>
      <c r="FN16" s="493">
        <f t="shared" si="36"/>
        <v>0</v>
      </c>
      <c r="FP16" s="595" t="str">
        <f t="shared" si="37"/>
        <v/>
      </c>
      <c r="FQ16" s="596">
        <f t="shared" si="38"/>
        <v>-35</v>
      </c>
      <c r="FR16" s="498">
        <f t="shared" si="39"/>
        <v>20</v>
      </c>
      <c r="FS16" s="597">
        <f t="shared" si="40"/>
        <v>13</v>
      </c>
      <c r="FT16" s="648"/>
      <c r="FU16" s="551">
        <f t="shared" si="41"/>
        <v>366</v>
      </c>
      <c r="FV16" s="553" t="s">
        <v>637</v>
      </c>
      <c r="FW16" s="554" t="str">
        <f t="shared" si="42"/>
        <v>OK</v>
      </c>
    </row>
    <row r="17" spans="1:179" ht="15" customHeight="1" x14ac:dyDescent="0.25">
      <c r="A17" s="653" t="s">
        <v>118</v>
      </c>
      <c r="B17" s="492">
        <v>6</v>
      </c>
      <c r="C17" s="492">
        <v>19</v>
      </c>
      <c r="D17" s="492">
        <v>22</v>
      </c>
      <c r="E17" s="492">
        <v>8</v>
      </c>
      <c r="F17" s="492">
        <v>5</v>
      </c>
      <c r="G17" s="492">
        <v>30</v>
      </c>
      <c r="H17" s="492">
        <v>28</v>
      </c>
      <c r="I17" s="492">
        <v>34</v>
      </c>
      <c r="J17" s="492">
        <v>23</v>
      </c>
      <c r="K17" s="492">
        <v>31</v>
      </c>
      <c r="L17" s="492">
        <v>38</v>
      </c>
      <c r="M17" s="492">
        <v>29</v>
      </c>
      <c r="N17" s="493">
        <f t="shared" si="24"/>
        <v>273</v>
      </c>
      <c r="O17" s="492">
        <v>24</v>
      </c>
      <c r="P17" s="492">
        <v>31</v>
      </c>
      <c r="Q17" s="492">
        <v>23</v>
      </c>
      <c r="R17" s="492">
        <v>4</v>
      </c>
      <c r="S17" s="492">
        <v>19</v>
      </c>
      <c r="T17" s="492">
        <v>25</v>
      </c>
      <c r="U17" s="492">
        <v>33</v>
      </c>
      <c r="V17" s="492">
        <v>51</v>
      </c>
      <c r="W17" s="492">
        <v>39</v>
      </c>
      <c r="X17" s="492">
        <v>38</v>
      </c>
      <c r="Y17" s="492">
        <v>39</v>
      </c>
      <c r="Z17" s="492">
        <v>11</v>
      </c>
      <c r="AA17" s="493">
        <f t="shared" si="25"/>
        <v>337</v>
      </c>
      <c r="AB17" s="492"/>
      <c r="AC17" s="492"/>
      <c r="AD17" s="492">
        <v>5</v>
      </c>
      <c r="AE17" s="492">
        <v>8</v>
      </c>
      <c r="AF17" s="492"/>
      <c r="AG17" s="492">
        <v>13</v>
      </c>
      <c r="AH17" s="492">
        <v>19</v>
      </c>
      <c r="AI17" s="492">
        <v>34</v>
      </c>
      <c r="AJ17" s="492">
        <v>39</v>
      </c>
      <c r="AK17" s="492">
        <v>40</v>
      </c>
      <c r="AL17" s="492">
        <v>31</v>
      </c>
      <c r="AM17" s="492"/>
      <c r="AN17" s="493">
        <f t="shared" si="26"/>
        <v>189</v>
      </c>
      <c r="AO17" s="492">
        <v>8</v>
      </c>
      <c r="AP17" s="492">
        <v>1</v>
      </c>
      <c r="AQ17" s="492">
        <v>10</v>
      </c>
      <c r="AR17" s="492">
        <v>1</v>
      </c>
      <c r="AS17" s="492">
        <v>1</v>
      </c>
      <c r="AT17" s="492">
        <v>11</v>
      </c>
      <c r="AU17" s="492">
        <v>16</v>
      </c>
      <c r="AV17" s="492">
        <v>40</v>
      </c>
      <c r="AW17" s="492">
        <v>44</v>
      </c>
      <c r="AX17" s="492">
        <v>48</v>
      </c>
      <c r="AY17" s="492">
        <v>43</v>
      </c>
      <c r="AZ17" s="492">
        <v>5</v>
      </c>
      <c r="BA17" s="493">
        <f t="shared" si="27"/>
        <v>228</v>
      </c>
      <c r="BB17" s="492">
        <v>1</v>
      </c>
      <c r="BC17" s="492">
        <v>5</v>
      </c>
      <c r="BD17" s="492">
        <v>6</v>
      </c>
      <c r="BE17" s="492">
        <v>8</v>
      </c>
      <c r="BF17" s="492">
        <v>3</v>
      </c>
      <c r="BG17" s="492"/>
      <c r="BH17" s="492">
        <v>20</v>
      </c>
      <c r="BI17" s="492">
        <v>45</v>
      </c>
      <c r="BJ17" s="492">
        <v>55</v>
      </c>
      <c r="BK17" s="492">
        <v>61</v>
      </c>
      <c r="BL17" s="492">
        <v>46</v>
      </c>
      <c r="BM17" s="492">
        <v>10</v>
      </c>
      <c r="BN17" s="493">
        <f t="shared" si="28"/>
        <v>260</v>
      </c>
      <c r="BO17" s="492">
        <v>7</v>
      </c>
      <c r="BP17" s="492">
        <v>7</v>
      </c>
      <c r="BQ17" s="492">
        <v>7</v>
      </c>
      <c r="BR17" s="492">
        <v>13</v>
      </c>
      <c r="BS17" s="492">
        <v>8</v>
      </c>
      <c r="BT17" s="492">
        <v>4</v>
      </c>
      <c r="BU17" s="492">
        <v>23</v>
      </c>
      <c r="BV17" s="492">
        <v>38</v>
      </c>
      <c r="BW17" s="492">
        <v>68</v>
      </c>
      <c r="BX17" s="492">
        <v>46</v>
      </c>
      <c r="BY17" s="492">
        <v>21</v>
      </c>
      <c r="BZ17" s="492">
        <v>5</v>
      </c>
      <c r="CA17" s="493">
        <f t="shared" si="29"/>
        <v>247</v>
      </c>
      <c r="CB17" s="492">
        <v>23</v>
      </c>
      <c r="CC17" s="492">
        <v>43</v>
      </c>
      <c r="CD17" s="492">
        <v>47</v>
      </c>
      <c r="CE17" s="492">
        <v>53</v>
      </c>
      <c r="CF17" s="492">
        <v>5</v>
      </c>
      <c r="CG17" s="492"/>
      <c r="CH17" s="492"/>
      <c r="CI17" s="492"/>
      <c r="CJ17" s="492">
        <v>50</v>
      </c>
      <c r="CK17" s="492">
        <v>76</v>
      </c>
      <c r="CL17" s="492">
        <v>38</v>
      </c>
      <c r="CM17" s="492">
        <v>9</v>
      </c>
      <c r="CN17" s="493">
        <f t="shared" si="30"/>
        <v>344</v>
      </c>
      <c r="CO17" s="492">
        <v>5</v>
      </c>
      <c r="CP17" s="492">
        <v>41</v>
      </c>
      <c r="CQ17" s="492">
        <v>24</v>
      </c>
      <c r="CR17" s="492">
        <v>8</v>
      </c>
      <c r="CS17" s="492">
        <v>4</v>
      </c>
      <c r="CT17" s="492"/>
      <c r="CU17" s="492">
        <v>2</v>
      </c>
      <c r="CV17" s="492">
        <v>5</v>
      </c>
      <c r="CW17" s="492">
        <v>54</v>
      </c>
      <c r="CX17" s="492">
        <v>65</v>
      </c>
      <c r="CY17" s="492">
        <v>72</v>
      </c>
      <c r="CZ17" s="492">
        <v>19</v>
      </c>
      <c r="DA17" s="493">
        <f t="shared" si="31"/>
        <v>299</v>
      </c>
      <c r="DB17" s="492">
        <v>16</v>
      </c>
      <c r="DC17" s="492">
        <v>29</v>
      </c>
      <c r="DD17" s="492">
        <v>23</v>
      </c>
      <c r="DE17" s="492"/>
      <c r="DF17" s="492"/>
      <c r="DG17" s="492"/>
      <c r="DH17" s="492"/>
      <c r="DI17" s="492"/>
      <c r="DJ17" s="492">
        <v>6</v>
      </c>
      <c r="DK17" s="492">
        <v>72</v>
      </c>
      <c r="DL17" s="492">
        <v>89</v>
      </c>
      <c r="DM17" s="492">
        <v>42</v>
      </c>
      <c r="DN17" s="493">
        <f t="shared" si="32"/>
        <v>277</v>
      </c>
      <c r="DO17" s="492"/>
      <c r="DP17" s="492">
        <v>14</v>
      </c>
      <c r="DQ17" s="492">
        <v>58</v>
      </c>
      <c r="DR17" s="492"/>
      <c r="DS17" s="492"/>
      <c r="DT17" s="492"/>
      <c r="DU17" s="492"/>
      <c r="DV17" s="492">
        <v>6</v>
      </c>
      <c r="DW17" s="492">
        <v>4</v>
      </c>
      <c r="DX17" s="492">
        <v>87</v>
      </c>
      <c r="DY17" s="492">
        <v>102</v>
      </c>
      <c r="DZ17" s="492">
        <v>44</v>
      </c>
      <c r="EA17" s="493">
        <f t="shared" si="33"/>
        <v>315</v>
      </c>
      <c r="EB17" s="492">
        <v>39</v>
      </c>
      <c r="EC17" s="492">
        <v>49</v>
      </c>
      <c r="ED17" s="492">
        <v>35</v>
      </c>
      <c r="EE17" s="492">
        <v>15</v>
      </c>
      <c r="EF17" s="492">
        <v>1</v>
      </c>
      <c r="EG17" s="492"/>
      <c r="EH17" s="492"/>
      <c r="EI17" s="492"/>
      <c r="EJ17" s="492">
        <v>6</v>
      </c>
      <c r="EK17" s="492">
        <v>59</v>
      </c>
      <c r="EL17" s="492">
        <v>88</v>
      </c>
      <c r="EM17" s="492">
        <v>72</v>
      </c>
      <c r="EN17" s="493">
        <f t="shared" si="34"/>
        <v>364</v>
      </c>
      <c r="EO17" s="492">
        <v>27</v>
      </c>
      <c r="EP17" s="492">
        <v>189</v>
      </c>
      <c r="EQ17" s="492">
        <v>34</v>
      </c>
      <c r="ER17" s="492">
        <v>16</v>
      </c>
      <c r="ES17" s="492"/>
      <c r="ET17" s="492"/>
      <c r="EU17" s="492"/>
      <c r="EV17" s="492"/>
      <c r="EW17" s="492"/>
      <c r="EX17" s="492"/>
      <c r="EY17" s="492"/>
      <c r="EZ17" s="492"/>
      <c r="FA17" s="493">
        <f t="shared" si="35"/>
        <v>266</v>
      </c>
      <c r="FB17" s="492"/>
      <c r="FC17" s="492"/>
      <c r="FD17" s="492"/>
      <c r="FE17" s="492"/>
      <c r="FF17" s="492"/>
      <c r="FG17" s="492"/>
      <c r="FH17" s="492"/>
      <c r="FI17" s="492"/>
      <c r="FJ17" s="492"/>
      <c r="FK17" s="492"/>
      <c r="FL17" s="492"/>
      <c r="FM17" s="492"/>
      <c r="FN17" s="493">
        <f t="shared" si="36"/>
        <v>0</v>
      </c>
      <c r="FP17" s="595">
        <f t="shared" si="37"/>
        <v>6.6666666666666652</v>
      </c>
      <c r="FQ17" s="596">
        <f t="shared" si="38"/>
        <v>92.753623188405783</v>
      </c>
      <c r="FR17" s="498">
        <f t="shared" si="39"/>
        <v>138</v>
      </c>
      <c r="FS17" s="597">
        <f t="shared" si="40"/>
        <v>266</v>
      </c>
      <c r="FT17" s="648"/>
      <c r="FU17" s="551">
        <f t="shared" si="41"/>
        <v>6798</v>
      </c>
      <c r="FV17" s="553" t="s">
        <v>118</v>
      </c>
      <c r="FW17" s="554" t="str">
        <f t="shared" si="42"/>
        <v>OK</v>
      </c>
    </row>
    <row r="18" spans="1:179" ht="15" customHeight="1" x14ac:dyDescent="0.25">
      <c r="A18" s="653" t="s">
        <v>119</v>
      </c>
      <c r="B18" s="492"/>
      <c r="C18" s="492">
        <v>4</v>
      </c>
      <c r="D18" s="492">
        <v>4</v>
      </c>
      <c r="E18" s="492">
        <v>4</v>
      </c>
      <c r="F18" s="492">
        <v>4</v>
      </c>
      <c r="G18" s="492">
        <v>5</v>
      </c>
      <c r="H18" s="492">
        <v>4</v>
      </c>
      <c r="I18" s="492">
        <v>4</v>
      </c>
      <c r="J18" s="492">
        <v>4</v>
      </c>
      <c r="K18" s="492">
        <v>4</v>
      </c>
      <c r="L18" s="492">
        <v>5</v>
      </c>
      <c r="M18" s="492">
        <v>9</v>
      </c>
      <c r="N18" s="493">
        <f t="shared" si="24"/>
        <v>51</v>
      </c>
      <c r="O18" s="492">
        <v>14</v>
      </c>
      <c r="P18" s="492">
        <v>9</v>
      </c>
      <c r="Q18" s="492">
        <v>9</v>
      </c>
      <c r="R18" s="492">
        <v>9</v>
      </c>
      <c r="S18" s="492">
        <v>4</v>
      </c>
      <c r="T18" s="492">
        <v>4</v>
      </c>
      <c r="U18" s="492">
        <v>5</v>
      </c>
      <c r="V18" s="492">
        <v>4</v>
      </c>
      <c r="W18" s="492">
        <v>11</v>
      </c>
      <c r="X18" s="492">
        <v>4</v>
      </c>
      <c r="Y18" s="492">
        <v>4</v>
      </c>
      <c r="Z18" s="492">
        <v>4</v>
      </c>
      <c r="AA18" s="493">
        <f t="shared" si="25"/>
        <v>81</v>
      </c>
      <c r="AB18" s="492">
        <v>4</v>
      </c>
      <c r="AC18" s="492"/>
      <c r="AD18" s="492">
        <v>6</v>
      </c>
      <c r="AE18" s="492">
        <v>11</v>
      </c>
      <c r="AF18" s="492">
        <v>1</v>
      </c>
      <c r="AG18" s="492"/>
      <c r="AH18" s="492">
        <v>2</v>
      </c>
      <c r="AI18" s="492"/>
      <c r="AJ18" s="492">
        <v>2</v>
      </c>
      <c r="AK18" s="492">
        <v>2</v>
      </c>
      <c r="AL18" s="492">
        <v>2</v>
      </c>
      <c r="AM18" s="492">
        <v>2</v>
      </c>
      <c r="AN18" s="493">
        <f t="shared" si="26"/>
        <v>32</v>
      </c>
      <c r="AO18" s="492">
        <v>2</v>
      </c>
      <c r="AP18" s="492">
        <v>3</v>
      </c>
      <c r="AQ18" s="492">
        <v>2</v>
      </c>
      <c r="AR18" s="492">
        <v>7</v>
      </c>
      <c r="AS18" s="492">
        <v>2</v>
      </c>
      <c r="AT18" s="492">
        <v>2</v>
      </c>
      <c r="AU18" s="492">
        <v>2</v>
      </c>
      <c r="AV18" s="492">
        <v>2</v>
      </c>
      <c r="AW18" s="492">
        <v>8</v>
      </c>
      <c r="AX18" s="492">
        <v>2</v>
      </c>
      <c r="AY18" s="492">
        <v>3</v>
      </c>
      <c r="AZ18" s="492">
        <v>2</v>
      </c>
      <c r="BA18" s="493">
        <f t="shared" si="27"/>
        <v>37</v>
      </c>
      <c r="BB18" s="492">
        <v>4</v>
      </c>
      <c r="BC18" s="492">
        <v>4</v>
      </c>
      <c r="BD18" s="492">
        <v>3</v>
      </c>
      <c r="BE18" s="492">
        <v>2</v>
      </c>
      <c r="BF18" s="492"/>
      <c r="BG18" s="492"/>
      <c r="BH18" s="492">
        <v>2</v>
      </c>
      <c r="BI18" s="492">
        <v>3</v>
      </c>
      <c r="BJ18" s="492">
        <v>3</v>
      </c>
      <c r="BK18" s="492">
        <v>3</v>
      </c>
      <c r="BL18" s="492">
        <v>1</v>
      </c>
      <c r="BM18" s="492">
        <v>1</v>
      </c>
      <c r="BN18" s="493">
        <f t="shared" si="28"/>
        <v>26</v>
      </c>
      <c r="BO18" s="492">
        <v>1</v>
      </c>
      <c r="BP18" s="492">
        <v>3</v>
      </c>
      <c r="BQ18" s="492">
        <v>51</v>
      </c>
      <c r="BR18" s="492">
        <v>2</v>
      </c>
      <c r="BS18" s="492">
        <v>3</v>
      </c>
      <c r="BT18" s="492"/>
      <c r="BU18" s="492">
        <v>2</v>
      </c>
      <c r="BV18" s="492">
        <v>2</v>
      </c>
      <c r="BW18" s="492">
        <v>4</v>
      </c>
      <c r="BX18" s="492">
        <v>15</v>
      </c>
      <c r="BY18" s="492">
        <v>5</v>
      </c>
      <c r="BZ18" s="492">
        <v>2</v>
      </c>
      <c r="CA18" s="493">
        <f t="shared" si="29"/>
        <v>90</v>
      </c>
      <c r="CB18" s="492"/>
      <c r="CC18" s="492">
        <v>2</v>
      </c>
      <c r="CD18" s="492">
        <v>2</v>
      </c>
      <c r="CE18" s="492">
        <v>1</v>
      </c>
      <c r="CF18" s="492">
        <v>3</v>
      </c>
      <c r="CG18" s="492"/>
      <c r="CH18" s="492"/>
      <c r="CI18" s="492">
        <v>1</v>
      </c>
      <c r="CJ18" s="492"/>
      <c r="CK18" s="492"/>
      <c r="CL18" s="492">
        <v>1</v>
      </c>
      <c r="CM18" s="492">
        <v>1</v>
      </c>
      <c r="CN18" s="493">
        <f t="shared" si="30"/>
        <v>11</v>
      </c>
      <c r="CO18" s="492">
        <v>19</v>
      </c>
      <c r="CP18" s="492">
        <v>14</v>
      </c>
      <c r="CQ18" s="492">
        <v>7</v>
      </c>
      <c r="CR18" s="492">
        <v>53</v>
      </c>
      <c r="CS18" s="492">
        <v>11</v>
      </c>
      <c r="CT18" s="492">
        <v>3</v>
      </c>
      <c r="CU18" s="492">
        <v>9</v>
      </c>
      <c r="CV18" s="492"/>
      <c r="CW18" s="492"/>
      <c r="CX18" s="492"/>
      <c r="CY18" s="492"/>
      <c r="CZ18" s="492">
        <v>1</v>
      </c>
      <c r="DA18" s="493">
        <f t="shared" si="31"/>
        <v>117</v>
      </c>
      <c r="DB18" s="492">
        <v>1</v>
      </c>
      <c r="DC18" s="492"/>
      <c r="DD18" s="492"/>
      <c r="DE18" s="492"/>
      <c r="DF18" s="492"/>
      <c r="DG18" s="492"/>
      <c r="DH18" s="492"/>
      <c r="DI18" s="492"/>
      <c r="DJ18" s="492"/>
      <c r="DK18" s="492"/>
      <c r="DL18" s="492"/>
      <c r="DM18" s="492"/>
      <c r="DN18" s="493">
        <f t="shared" si="32"/>
        <v>1</v>
      </c>
      <c r="DO18" s="492"/>
      <c r="DP18" s="492"/>
      <c r="DQ18" s="492">
        <v>70</v>
      </c>
      <c r="DR18" s="492"/>
      <c r="DS18" s="492"/>
      <c r="DT18" s="492"/>
      <c r="DU18" s="492"/>
      <c r="DV18" s="492"/>
      <c r="DW18" s="492"/>
      <c r="DX18" s="492"/>
      <c r="DY18" s="492"/>
      <c r="DZ18" s="492">
        <v>5</v>
      </c>
      <c r="EA18" s="493">
        <f t="shared" si="33"/>
        <v>75</v>
      </c>
      <c r="EB18" s="492"/>
      <c r="EC18" s="492"/>
      <c r="ED18" s="492">
        <v>8</v>
      </c>
      <c r="EE18" s="492">
        <v>4</v>
      </c>
      <c r="EF18" s="492">
        <v>4</v>
      </c>
      <c r="EG18" s="492"/>
      <c r="EH18" s="492"/>
      <c r="EI18" s="492"/>
      <c r="EJ18" s="492"/>
      <c r="EK18" s="492">
        <v>9</v>
      </c>
      <c r="EL18" s="492"/>
      <c r="EM18" s="492">
        <v>2</v>
      </c>
      <c r="EN18" s="493">
        <f t="shared" si="34"/>
        <v>27</v>
      </c>
      <c r="EO18" s="492">
        <v>3</v>
      </c>
      <c r="EP18" s="492">
        <v>14</v>
      </c>
      <c r="EQ18" s="492">
        <v>4</v>
      </c>
      <c r="ER18" s="492">
        <v>2</v>
      </c>
      <c r="ES18" s="492"/>
      <c r="ET18" s="492"/>
      <c r="EU18" s="492"/>
      <c r="EV18" s="492"/>
      <c r="EW18" s="492"/>
      <c r="EX18" s="492"/>
      <c r="EY18" s="492"/>
      <c r="EZ18" s="492"/>
      <c r="FA18" s="493">
        <f t="shared" si="35"/>
        <v>23</v>
      </c>
      <c r="FB18" s="492"/>
      <c r="FC18" s="492"/>
      <c r="FD18" s="492"/>
      <c r="FE18" s="492"/>
      <c r="FF18" s="492"/>
      <c r="FG18" s="492"/>
      <c r="FH18" s="492"/>
      <c r="FI18" s="492"/>
      <c r="FJ18" s="492"/>
      <c r="FK18" s="492"/>
      <c r="FL18" s="492"/>
      <c r="FM18" s="492"/>
      <c r="FN18" s="493">
        <f t="shared" si="36"/>
        <v>0</v>
      </c>
      <c r="FP18" s="595">
        <f t="shared" si="37"/>
        <v>-50</v>
      </c>
      <c r="FQ18" s="596">
        <f t="shared" si="38"/>
        <v>91.666666666666671</v>
      </c>
      <c r="FR18" s="498">
        <f t="shared" si="39"/>
        <v>12</v>
      </c>
      <c r="FS18" s="597">
        <f t="shared" si="40"/>
        <v>23</v>
      </c>
      <c r="FT18" s="648"/>
      <c r="FU18" s="551">
        <f t="shared" si="41"/>
        <v>1142</v>
      </c>
      <c r="FV18" s="553" t="s">
        <v>119</v>
      </c>
      <c r="FW18" s="554" t="str">
        <f t="shared" si="42"/>
        <v>OK</v>
      </c>
    </row>
    <row r="19" spans="1:179" ht="15" customHeight="1" x14ac:dyDescent="0.25">
      <c r="A19" s="653" t="s">
        <v>120</v>
      </c>
      <c r="B19" s="492">
        <v>7</v>
      </c>
      <c r="C19" s="492">
        <v>2</v>
      </c>
      <c r="D19" s="492">
        <v>10</v>
      </c>
      <c r="E19" s="492">
        <v>5</v>
      </c>
      <c r="F19" s="492">
        <v>4</v>
      </c>
      <c r="G19" s="492">
        <v>2</v>
      </c>
      <c r="H19" s="492">
        <v>23</v>
      </c>
      <c r="I19" s="492">
        <v>2</v>
      </c>
      <c r="J19" s="492">
        <v>2</v>
      </c>
      <c r="K19" s="492">
        <v>2</v>
      </c>
      <c r="L19" s="492">
        <v>3</v>
      </c>
      <c r="M19" s="492">
        <v>2</v>
      </c>
      <c r="N19" s="493">
        <f t="shared" si="24"/>
        <v>64</v>
      </c>
      <c r="O19" s="492">
        <v>2</v>
      </c>
      <c r="P19" s="492">
        <v>5</v>
      </c>
      <c r="Q19" s="492">
        <v>5</v>
      </c>
      <c r="R19" s="492">
        <v>2</v>
      </c>
      <c r="S19" s="492">
        <v>2</v>
      </c>
      <c r="T19" s="492">
        <v>3</v>
      </c>
      <c r="U19" s="492">
        <v>2</v>
      </c>
      <c r="V19" s="492">
        <v>2</v>
      </c>
      <c r="W19" s="492">
        <v>2</v>
      </c>
      <c r="X19" s="492">
        <v>4</v>
      </c>
      <c r="Y19" s="492">
        <v>2</v>
      </c>
      <c r="Z19" s="492">
        <v>2</v>
      </c>
      <c r="AA19" s="493">
        <f t="shared" si="25"/>
        <v>33</v>
      </c>
      <c r="AB19" s="492">
        <v>5</v>
      </c>
      <c r="AC19" s="492"/>
      <c r="AD19" s="492">
        <v>5</v>
      </c>
      <c r="AE19" s="492">
        <v>2</v>
      </c>
      <c r="AF19" s="492">
        <v>4</v>
      </c>
      <c r="AG19" s="492">
        <v>4</v>
      </c>
      <c r="AH19" s="492">
        <v>2</v>
      </c>
      <c r="AI19" s="492">
        <v>1</v>
      </c>
      <c r="AJ19" s="492">
        <v>2</v>
      </c>
      <c r="AK19" s="492">
        <v>2</v>
      </c>
      <c r="AL19" s="492">
        <v>2</v>
      </c>
      <c r="AM19" s="492">
        <v>2</v>
      </c>
      <c r="AN19" s="493">
        <f t="shared" si="26"/>
        <v>31</v>
      </c>
      <c r="AO19" s="492">
        <v>2</v>
      </c>
      <c r="AP19" s="492">
        <v>1</v>
      </c>
      <c r="AQ19" s="492">
        <v>4</v>
      </c>
      <c r="AR19" s="492">
        <v>5</v>
      </c>
      <c r="AS19" s="492">
        <v>6</v>
      </c>
      <c r="AT19" s="492">
        <v>2</v>
      </c>
      <c r="AU19" s="492">
        <v>2</v>
      </c>
      <c r="AV19" s="492">
        <v>3</v>
      </c>
      <c r="AW19" s="492">
        <v>2</v>
      </c>
      <c r="AX19" s="492">
        <v>2</v>
      </c>
      <c r="AY19" s="492">
        <v>2</v>
      </c>
      <c r="AZ19" s="492">
        <v>2</v>
      </c>
      <c r="BA19" s="493">
        <f t="shared" si="27"/>
        <v>33</v>
      </c>
      <c r="BB19" s="492">
        <v>3</v>
      </c>
      <c r="BC19" s="492">
        <v>3</v>
      </c>
      <c r="BD19" s="492">
        <v>2</v>
      </c>
      <c r="BE19" s="492">
        <v>3</v>
      </c>
      <c r="BF19" s="492"/>
      <c r="BG19" s="492"/>
      <c r="BH19" s="492"/>
      <c r="BI19" s="492"/>
      <c r="BJ19" s="492"/>
      <c r="BK19" s="492"/>
      <c r="BL19" s="492"/>
      <c r="BM19" s="492"/>
      <c r="BN19" s="493">
        <f t="shared" si="28"/>
        <v>11</v>
      </c>
      <c r="BO19" s="492"/>
      <c r="BP19" s="492"/>
      <c r="BQ19" s="492">
        <v>1</v>
      </c>
      <c r="BR19" s="492">
        <v>1</v>
      </c>
      <c r="BS19" s="492"/>
      <c r="BT19" s="492"/>
      <c r="BU19" s="492">
        <v>2</v>
      </c>
      <c r="BV19" s="492"/>
      <c r="BW19" s="492">
        <v>15</v>
      </c>
      <c r="BX19" s="492">
        <v>17</v>
      </c>
      <c r="BY19" s="492">
        <v>6</v>
      </c>
      <c r="BZ19" s="492"/>
      <c r="CA19" s="493">
        <f t="shared" si="29"/>
        <v>42</v>
      </c>
      <c r="CB19" s="492"/>
      <c r="CC19" s="492">
        <v>2</v>
      </c>
      <c r="CD19" s="492">
        <v>1</v>
      </c>
      <c r="CE19" s="492"/>
      <c r="CF19" s="492"/>
      <c r="CG19" s="492">
        <v>1</v>
      </c>
      <c r="CH19" s="492">
        <v>3</v>
      </c>
      <c r="CI19" s="492"/>
      <c r="CJ19" s="492"/>
      <c r="CK19" s="492">
        <v>2</v>
      </c>
      <c r="CL19" s="492">
        <v>1</v>
      </c>
      <c r="CM19" s="492"/>
      <c r="CN19" s="493">
        <f t="shared" si="30"/>
        <v>10</v>
      </c>
      <c r="CO19" s="492">
        <v>9</v>
      </c>
      <c r="CP19" s="492">
        <v>8</v>
      </c>
      <c r="CQ19" s="492">
        <v>1</v>
      </c>
      <c r="CR19" s="492">
        <v>10</v>
      </c>
      <c r="CS19" s="492">
        <v>5</v>
      </c>
      <c r="CT19" s="492">
        <v>1</v>
      </c>
      <c r="CU19" s="492"/>
      <c r="CV19" s="492"/>
      <c r="CW19" s="492"/>
      <c r="CX19" s="492">
        <v>1</v>
      </c>
      <c r="CY19" s="492"/>
      <c r="CZ19" s="492">
        <v>4</v>
      </c>
      <c r="DA19" s="493">
        <f t="shared" si="31"/>
        <v>39</v>
      </c>
      <c r="DB19" s="492"/>
      <c r="DC19" s="492"/>
      <c r="DD19" s="492"/>
      <c r="DE19" s="492"/>
      <c r="DF19" s="492"/>
      <c r="DG19" s="492"/>
      <c r="DH19" s="492"/>
      <c r="DI19" s="492"/>
      <c r="DJ19" s="492"/>
      <c r="DK19" s="492"/>
      <c r="DL19" s="492"/>
      <c r="DM19" s="492"/>
      <c r="DN19" s="493">
        <f t="shared" si="32"/>
        <v>0</v>
      </c>
      <c r="DO19" s="492"/>
      <c r="DP19" s="492"/>
      <c r="DQ19" s="492"/>
      <c r="DR19" s="492"/>
      <c r="DS19" s="492"/>
      <c r="DT19" s="492"/>
      <c r="DU19" s="492"/>
      <c r="DV19" s="492"/>
      <c r="DW19" s="492"/>
      <c r="DX19" s="492"/>
      <c r="DY19" s="492">
        <v>2</v>
      </c>
      <c r="DZ19" s="492">
        <v>7.5</v>
      </c>
      <c r="EA19" s="493">
        <f t="shared" si="33"/>
        <v>9.5</v>
      </c>
      <c r="EB19" s="492">
        <v>0.5</v>
      </c>
      <c r="EC19" s="492">
        <v>3</v>
      </c>
      <c r="ED19" s="492">
        <v>1.5</v>
      </c>
      <c r="EE19" s="492">
        <v>2.5</v>
      </c>
      <c r="EF19" s="492"/>
      <c r="EG19" s="492"/>
      <c r="EH19" s="492">
        <v>2.5</v>
      </c>
      <c r="EI19" s="492">
        <v>2</v>
      </c>
      <c r="EJ19" s="492"/>
      <c r="EK19" s="492">
        <v>11</v>
      </c>
      <c r="EL19" s="492">
        <v>2</v>
      </c>
      <c r="EM19" s="492">
        <v>2.5</v>
      </c>
      <c r="EN19" s="493">
        <f t="shared" si="34"/>
        <v>27.5</v>
      </c>
      <c r="EO19" s="492"/>
      <c r="EP19" s="492"/>
      <c r="EQ19" s="492">
        <v>8</v>
      </c>
      <c r="ER19" s="492">
        <v>10</v>
      </c>
      <c r="ES19" s="492"/>
      <c r="ET19" s="492"/>
      <c r="EU19" s="492"/>
      <c r="EV19" s="492"/>
      <c r="EW19" s="492"/>
      <c r="EX19" s="492"/>
      <c r="EY19" s="492"/>
      <c r="EZ19" s="492"/>
      <c r="FA19" s="493">
        <f t="shared" si="35"/>
        <v>18</v>
      </c>
      <c r="FB19" s="492"/>
      <c r="FC19" s="492"/>
      <c r="FD19" s="492"/>
      <c r="FE19" s="492"/>
      <c r="FF19" s="492"/>
      <c r="FG19" s="492"/>
      <c r="FH19" s="492"/>
      <c r="FI19" s="492"/>
      <c r="FJ19" s="492"/>
      <c r="FK19" s="492"/>
      <c r="FL19" s="492"/>
      <c r="FM19" s="492"/>
      <c r="FN19" s="493">
        <f t="shared" si="36"/>
        <v>0</v>
      </c>
      <c r="FP19" s="595">
        <f t="shared" si="37"/>
        <v>300</v>
      </c>
      <c r="FQ19" s="596">
        <f t="shared" si="38"/>
        <v>140</v>
      </c>
      <c r="FR19" s="498">
        <f t="shared" si="39"/>
        <v>7.5</v>
      </c>
      <c r="FS19" s="597">
        <f t="shared" si="40"/>
        <v>18</v>
      </c>
      <c r="FT19" s="648"/>
      <c r="FU19" s="551">
        <f t="shared" si="41"/>
        <v>636</v>
      </c>
      <c r="FV19" s="553" t="s">
        <v>120</v>
      </c>
      <c r="FW19" s="554" t="str">
        <f t="shared" si="42"/>
        <v>OK</v>
      </c>
    </row>
    <row r="20" spans="1:179" ht="15" customHeight="1" x14ac:dyDescent="0.25">
      <c r="A20" s="653" t="s">
        <v>121</v>
      </c>
      <c r="B20" s="492"/>
      <c r="C20" s="492">
        <v>3</v>
      </c>
      <c r="D20" s="492">
        <v>3</v>
      </c>
      <c r="E20" s="492"/>
      <c r="F20" s="492">
        <v>2</v>
      </c>
      <c r="G20" s="492">
        <v>13</v>
      </c>
      <c r="H20" s="492">
        <v>15</v>
      </c>
      <c r="I20" s="492">
        <v>2</v>
      </c>
      <c r="J20" s="492">
        <v>2</v>
      </c>
      <c r="K20" s="492">
        <v>2</v>
      </c>
      <c r="L20" s="492">
        <v>2</v>
      </c>
      <c r="M20" s="492">
        <v>2</v>
      </c>
      <c r="N20" s="493">
        <f t="shared" si="24"/>
        <v>46</v>
      </c>
      <c r="O20" s="492">
        <v>3</v>
      </c>
      <c r="P20" s="492">
        <v>2</v>
      </c>
      <c r="Q20" s="492">
        <v>3</v>
      </c>
      <c r="R20" s="492">
        <v>7</v>
      </c>
      <c r="S20" s="492">
        <v>4</v>
      </c>
      <c r="T20" s="492">
        <v>2</v>
      </c>
      <c r="U20" s="492"/>
      <c r="V20" s="492">
        <v>3</v>
      </c>
      <c r="W20" s="492">
        <v>7</v>
      </c>
      <c r="X20" s="492">
        <v>2</v>
      </c>
      <c r="Y20" s="492">
        <v>5</v>
      </c>
      <c r="Z20" s="492">
        <v>7</v>
      </c>
      <c r="AA20" s="493">
        <f t="shared" si="25"/>
        <v>45</v>
      </c>
      <c r="AB20" s="492">
        <v>7</v>
      </c>
      <c r="AC20" s="492">
        <v>6</v>
      </c>
      <c r="AD20" s="492">
        <v>6</v>
      </c>
      <c r="AE20" s="492">
        <v>7</v>
      </c>
      <c r="AF20" s="492">
        <v>10</v>
      </c>
      <c r="AG20" s="492">
        <v>8</v>
      </c>
      <c r="AH20" s="492">
        <v>8</v>
      </c>
      <c r="AI20" s="492">
        <v>2</v>
      </c>
      <c r="AJ20" s="492"/>
      <c r="AK20" s="492"/>
      <c r="AL20" s="492"/>
      <c r="AM20" s="492"/>
      <c r="AN20" s="493">
        <f t="shared" si="26"/>
        <v>54</v>
      </c>
      <c r="AO20" s="492">
        <v>2</v>
      </c>
      <c r="AP20" s="492">
        <v>2</v>
      </c>
      <c r="AQ20" s="492">
        <v>4</v>
      </c>
      <c r="AR20" s="492">
        <v>5</v>
      </c>
      <c r="AS20" s="492">
        <v>1</v>
      </c>
      <c r="AT20" s="492"/>
      <c r="AU20" s="492"/>
      <c r="AV20" s="492">
        <v>2</v>
      </c>
      <c r="AW20" s="492">
        <v>1</v>
      </c>
      <c r="AX20" s="492"/>
      <c r="AY20" s="492"/>
      <c r="AZ20" s="492"/>
      <c r="BA20" s="493">
        <f t="shared" si="27"/>
        <v>17</v>
      </c>
      <c r="BB20" s="492"/>
      <c r="BC20" s="492"/>
      <c r="BD20" s="492"/>
      <c r="BE20" s="492"/>
      <c r="BF20" s="492">
        <v>1</v>
      </c>
      <c r="BG20" s="492">
        <v>1</v>
      </c>
      <c r="BH20" s="492"/>
      <c r="BI20" s="492"/>
      <c r="BJ20" s="492"/>
      <c r="BK20" s="492"/>
      <c r="BL20" s="492"/>
      <c r="BM20" s="492"/>
      <c r="BN20" s="493">
        <f t="shared" si="28"/>
        <v>2</v>
      </c>
      <c r="BO20" s="492"/>
      <c r="BP20" s="492"/>
      <c r="BQ20" s="492"/>
      <c r="BR20" s="492"/>
      <c r="BS20" s="492"/>
      <c r="BT20" s="492">
        <v>5</v>
      </c>
      <c r="BU20" s="492">
        <v>2</v>
      </c>
      <c r="BV20" s="492">
        <v>2</v>
      </c>
      <c r="BW20" s="492">
        <v>6</v>
      </c>
      <c r="BX20" s="492">
        <v>21</v>
      </c>
      <c r="BY20" s="492">
        <v>2</v>
      </c>
      <c r="BZ20" s="492">
        <v>1</v>
      </c>
      <c r="CA20" s="493">
        <f t="shared" si="29"/>
        <v>39</v>
      </c>
      <c r="CB20" s="492"/>
      <c r="CC20" s="492"/>
      <c r="CD20" s="492"/>
      <c r="CE20" s="492">
        <v>3</v>
      </c>
      <c r="CF20" s="492"/>
      <c r="CG20" s="492">
        <v>5</v>
      </c>
      <c r="CH20" s="492"/>
      <c r="CI20" s="492"/>
      <c r="CJ20" s="492"/>
      <c r="CK20" s="492"/>
      <c r="CL20" s="492"/>
      <c r="CM20" s="492"/>
      <c r="CN20" s="493">
        <f t="shared" si="30"/>
        <v>8</v>
      </c>
      <c r="CO20" s="492"/>
      <c r="CP20" s="492"/>
      <c r="CQ20" s="492">
        <v>2</v>
      </c>
      <c r="CR20" s="492">
        <v>14</v>
      </c>
      <c r="CS20" s="492">
        <v>7</v>
      </c>
      <c r="CT20" s="492">
        <v>4</v>
      </c>
      <c r="CU20" s="492"/>
      <c r="CV20" s="492"/>
      <c r="CW20" s="492"/>
      <c r="CX20" s="492"/>
      <c r="CY20" s="492"/>
      <c r="CZ20" s="492">
        <v>3</v>
      </c>
      <c r="DA20" s="493">
        <f t="shared" si="31"/>
        <v>30</v>
      </c>
      <c r="DB20" s="492"/>
      <c r="DC20" s="492"/>
      <c r="DD20" s="492"/>
      <c r="DE20" s="492"/>
      <c r="DF20" s="492">
        <v>0.99</v>
      </c>
      <c r="DG20" s="492"/>
      <c r="DH20" s="492"/>
      <c r="DI20" s="492"/>
      <c r="DJ20" s="492"/>
      <c r="DK20" s="492"/>
      <c r="DL20" s="492"/>
      <c r="DM20" s="492"/>
      <c r="DN20" s="493">
        <f t="shared" si="32"/>
        <v>0.99</v>
      </c>
      <c r="DO20" s="492"/>
      <c r="DP20" s="492"/>
      <c r="DQ20" s="492"/>
      <c r="DR20" s="492"/>
      <c r="DS20" s="492"/>
      <c r="DT20" s="492"/>
      <c r="DU20" s="492"/>
      <c r="DV20" s="492"/>
      <c r="DW20" s="492"/>
      <c r="DX20" s="492"/>
      <c r="DY20" s="492"/>
      <c r="DZ20" s="492">
        <v>14.5</v>
      </c>
      <c r="EA20" s="493">
        <f t="shared" si="33"/>
        <v>14.5</v>
      </c>
      <c r="EB20" s="492">
        <v>1.5</v>
      </c>
      <c r="EC20" s="492"/>
      <c r="ED20" s="492">
        <v>1</v>
      </c>
      <c r="EE20" s="492">
        <v>2</v>
      </c>
      <c r="EF20" s="492"/>
      <c r="EG20" s="492"/>
      <c r="EH20" s="492">
        <v>2</v>
      </c>
      <c r="EI20" s="492">
        <v>5</v>
      </c>
      <c r="EJ20" s="492">
        <v>2.5</v>
      </c>
      <c r="EK20" s="492">
        <v>23.5</v>
      </c>
      <c r="EL20" s="492">
        <v>4</v>
      </c>
      <c r="EM20" s="492">
        <v>5</v>
      </c>
      <c r="EN20" s="493">
        <f t="shared" si="34"/>
        <v>46.5</v>
      </c>
      <c r="EO20" s="492">
        <v>3</v>
      </c>
      <c r="EP20" s="492">
        <v>3</v>
      </c>
      <c r="EQ20" s="492">
        <v>12</v>
      </c>
      <c r="ER20" s="492">
        <v>3.66</v>
      </c>
      <c r="ES20" s="492"/>
      <c r="ET20" s="492"/>
      <c r="EU20" s="492"/>
      <c r="EV20" s="492"/>
      <c r="EW20" s="492"/>
      <c r="EX20" s="492"/>
      <c r="EY20" s="492"/>
      <c r="EZ20" s="492"/>
      <c r="FA20" s="493">
        <f t="shared" si="35"/>
        <v>21.66</v>
      </c>
      <c r="FB20" s="492"/>
      <c r="FC20" s="492"/>
      <c r="FD20" s="492"/>
      <c r="FE20" s="492"/>
      <c r="FF20" s="492"/>
      <c r="FG20" s="492"/>
      <c r="FH20" s="492"/>
      <c r="FI20" s="492"/>
      <c r="FJ20" s="492"/>
      <c r="FK20" s="492"/>
      <c r="FL20" s="492"/>
      <c r="FM20" s="492"/>
      <c r="FN20" s="493">
        <f t="shared" si="36"/>
        <v>0</v>
      </c>
      <c r="FP20" s="595">
        <f t="shared" si="37"/>
        <v>83</v>
      </c>
      <c r="FQ20" s="596">
        <f t="shared" si="38"/>
        <v>381.33333333333337</v>
      </c>
      <c r="FR20" s="498">
        <f t="shared" si="39"/>
        <v>4.5</v>
      </c>
      <c r="FS20" s="597">
        <f t="shared" si="40"/>
        <v>21.66</v>
      </c>
      <c r="FT20" s="648"/>
      <c r="FU20" s="551">
        <f t="shared" si="41"/>
        <v>649.29999999999995</v>
      </c>
      <c r="FV20" s="553" t="s">
        <v>121</v>
      </c>
      <c r="FW20" s="554" t="str">
        <f t="shared" si="42"/>
        <v>OK</v>
      </c>
    </row>
    <row r="21" spans="1:179" ht="15" customHeight="1" x14ac:dyDescent="0.25">
      <c r="A21" s="653" t="s">
        <v>124</v>
      </c>
      <c r="B21" s="492">
        <v>4</v>
      </c>
      <c r="C21" s="492">
        <v>5</v>
      </c>
      <c r="D21" s="492"/>
      <c r="E21" s="492"/>
      <c r="F21" s="492"/>
      <c r="G21" s="492"/>
      <c r="H21" s="492"/>
      <c r="I21" s="492"/>
      <c r="J21" s="492"/>
      <c r="K21" s="492"/>
      <c r="L21" s="492">
        <v>8</v>
      </c>
      <c r="M21" s="492">
        <v>6</v>
      </c>
      <c r="N21" s="493">
        <f t="shared" si="24"/>
        <v>23</v>
      </c>
      <c r="O21" s="492">
        <v>4</v>
      </c>
      <c r="P21" s="492">
        <v>4</v>
      </c>
      <c r="Q21" s="492">
        <v>2</v>
      </c>
      <c r="R21" s="492">
        <v>1</v>
      </c>
      <c r="S21" s="492"/>
      <c r="T21" s="492"/>
      <c r="U21" s="492"/>
      <c r="V21" s="492"/>
      <c r="W21" s="492"/>
      <c r="X21" s="492"/>
      <c r="Y21" s="492">
        <v>3</v>
      </c>
      <c r="Z21" s="492">
        <v>2</v>
      </c>
      <c r="AA21" s="493">
        <f t="shared" si="25"/>
        <v>16</v>
      </c>
      <c r="AB21" s="492"/>
      <c r="AC21" s="492"/>
      <c r="AD21" s="492"/>
      <c r="AE21" s="492"/>
      <c r="AF21" s="492"/>
      <c r="AG21" s="492"/>
      <c r="AH21" s="492"/>
      <c r="AI21" s="492"/>
      <c r="AJ21" s="492"/>
      <c r="AK21" s="492">
        <v>6</v>
      </c>
      <c r="AL21" s="492">
        <v>4</v>
      </c>
      <c r="AM21" s="492">
        <v>1</v>
      </c>
      <c r="AN21" s="493">
        <f t="shared" si="26"/>
        <v>11</v>
      </c>
      <c r="AO21" s="492"/>
      <c r="AP21" s="492"/>
      <c r="AQ21" s="492"/>
      <c r="AR21" s="492"/>
      <c r="AS21" s="492"/>
      <c r="AT21" s="492"/>
      <c r="AU21" s="492"/>
      <c r="AV21" s="492"/>
      <c r="AW21" s="492">
        <v>1</v>
      </c>
      <c r="AX21" s="492">
        <v>1</v>
      </c>
      <c r="AY21" s="492">
        <v>6</v>
      </c>
      <c r="AZ21" s="492">
        <v>3</v>
      </c>
      <c r="BA21" s="493">
        <f t="shared" si="27"/>
        <v>11</v>
      </c>
      <c r="BB21" s="492"/>
      <c r="BC21" s="492"/>
      <c r="BD21" s="492"/>
      <c r="BE21" s="492"/>
      <c r="BF21" s="492"/>
      <c r="BG21" s="492"/>
      <c r="BH21" s="492"/>
      <c r="BI21" s="492"/>
      <c r="BJ21" s="492">
        <v>1</v>
      </c>
      <c r="BK21" s="492">
        <v>1</v>
      </c>
      <c r="BL21" s="492">
        <v>3</v>
      </c>
      <c r="BM21" s="492">
        <v>4</v>
      </c>
      <c r="BN21" s="493">
        <f t="shared" si="28"/>
        <v>9</v>
      </c>
      <c r="BO21" s="492">
        <v>4</v>
      </c>
      <c r="BP21" s="492">
        <v>2</v>
      </c>
      <c r="BQ21" s="492">
        <v>2</v>
      </c>
      <c r="BR21" s="492"/>
      <c r="BS21" s="492"/>
      <c r="BT21" s="492"/>
      <c r="BU21" s="492"/>
      <c r="BV21" s="492"/>
      <c r="BW21" s="492">
        <v>4</v>
      </c>
      <c r="BX21" s="492">
        <v>10</v>
      </c>
      <c r="BY21" s="492"/>
      <c r="BZ21" s="492"/>
      <c r="CA21" s="493">
        <f t="shared" si="29"/>
        <v>22</v>
      </c>
      <c r="CB21" s="492"/>
      <c r="CC21" s="492"/>
      <c r="CD21" s="492"/>
      <c r="CE21" s="492">
        <v>1</v>
      </c>
      <c r="CF21" s="492"/>
      <c r="CG21" s="492"/>
      <c r="CH21" s="492"/>
      <c r="CI21" s="492"/>
      <c r="CJ21" s="492">
        <v>1</v>
      </c>
      <c r="CK21" s="492">
        <v>5</v>
      </c>
      <c r="CL21" s="492">
        <v>4</v>
      </c>
      <c r="CM21" s="492">
        <v>3</v>
      </c>
      <c r="CN21" s="493">
        <f t="shared" si="30"/>
        <v>14</v>
      </c>
      <c r="CO21" s="492">
        <v>1</v>
      </c>
      <c r="CP21" s="492"/>
      <c r="CQ21" s="492">
        <v>2</v>
      </c>
      <c r="CR21" s="492"/>
      <c r="CS21" s="492"/>
      <c r="CT21" s="492">
        <v>2</v>
      </c>
      <c r="CU21" s="492"/>
      <c r="CV21" s="492"/>
      <c r="CW21" s="492">
        <v>1</v>
      </c>
      <c r="CX21" s="492">
        <v>2</v>
      </c>
      <c r="CY21" s="492">
        <v>2</v>
      </c>
      <c r="CZ21" s="492"/>
      <c r="DA21" s="493">
        <f t="shared" si="31"/>
        <v>10</v>
      </c>
      <c r="DB21" s="492"/>
      <c r="DC21" s="492"/>
      <c r="DD21" s="492"/>
      <c r="DE21" s="492">
        <v>1</v>
      </c>
      <c r="DF21" s="492"/>
      <c r="DG21" s="492"/>
      <c r="DH21" s="492"/>
      <c r="DI21" s="492"/>
      <c r="DJ21" s="492"/>
      <c r="DK21" s="492"/>
      <c r="DL21" s="492"/>
      <c r="DM21" s="492"/>
      <c r="DN21" s="493">
        <f t="shared" si="32"/>
        <v>1</v>
      </c>
      <c r="DO21" s="492"/>
      <c r="DP21" s="492"/>
      <c r="DQ21" s="492"/>
      <c r="DR21" s="492"/>
      <c r="DS21" s="492"/>
      <c r="DT21" s="492"/>
      <c r="DU21" s="492"/>
      <c r="DV21" s="492"/>
      <c r="DW21" s="492"/>
      <c r="DX21" s="492"/>
      <c r="DY21" s="492">
        <v>8</v>
      </c>
      <c r="DZ21" s="492">
        <v>3</v>
      </c>
      <c r="EA21" s="493">
        <f t="shared" si="33"/>
        <v>11</v>
      </c>
      <c r="EB21" s="492">
        <v>2</v>
      </c>
      <c r="EC21" s="492">
        <v>1</v>
      </c>
      <c r="ED21" s="492"/>
      <c r="EE21" s="492"/>
      <c r="EF21" s="492"/>
      <c r="EG21" s="492"/>
      <c r="EH21" s="492">
        <v>2</v>
      </c>
      <c r="EI21" s="492">
        <v>1</v>
      </c>
      <c r="EJ21" s="492">
        <v>2</v>
      </c>
      <c r="EK21" s="492">
        <v>5</v>
      </c>
      <c r="EL21" s="492">
        <v>3</v>
      </c>
      <c r="EM21" s="492">
        <v>2</v>
      </c>
      <c r="EN21" s="493">
        <f t="shared" si="34"/>
        <v>18</v>
      </c>
      <c r="EO21" s="492">
        <v>3</v>
      </c>
      <c r="EP21" s="492">
        <v>1</v>
      </c>
      <c r="EQ21" s="492">
        <v>3</v>
      </c>
      <c r="ER21" s="492"/>
      <c r="ES21" s="492"/>
      <c r="ET21" s="492"/>
      <c r="EU21" s="492"/>
      <c r="EV21" s="492"/>
      <c r="EW21" s="492"/>
      <c r="EX21" s="492"/>
      <c r="EY21" s="492"/>
      <c r="EZ21" s="492"/>
      <c r="FA21" s="493">
        <f t="shared" si="35"/>
        <v>7</v>
      </c>
      <c r="FB21" s="492"/>
      <c r="FC21" s="492"/>
      <c r="FD21" s="492"/>
      <c r="FE21" s="492"/>
      <c r="FF21" s="492"/>
      <c r="FG21" s="492"/>
      <c r="FH21" s="492"/>
      <c r="FI21" s="492"/>
      <c r="FJ21" s="492"/>
      <c r="FK21" s="492"/>
      <c r="FL21" s="492"/>
      <c r="FM21" s="492"/>
      <c r="FN21" s="493">
        <f t="shared" si="36"/>
        <v>0</v>
      </c>
      <c r="FP21" s="595" t="str">
        <f t="shared" si="37"/>
        <v/>
      </c>
      <c r="FQ21" s="596">
        <f t="shared" si="38"/>
        <v>133.33333333333334</v>
      </c>
      <c r="FR21" s="498">
        <f t="shared" si="39"/>
        <v>3</v>
      </c>
      <c r="FS21" s="597">
        <f t="shared" si="40"/>
        <v>7</v>
      </c>
      <c r="FT21" s="648"/>
      <c r="FU21" s="551">
        <f t="shared" si="41"/>
        <v>306</v>
      </c>
      <c r="FV21" s="553" t="s">
        <v>124</v>
      </c>
      <c r="FW21" s="554" t="str">
        <f t="shared" si="42"/>
        <v>OK</v>
      </c>
    </row>
    <row r="22" spans="1:179" ht="15" customHeight="1" x14ac:dyDescent="0.25">
      <c r="A22" s="653" t="s">
        <v>125</v>
      </c>
      <c r="B22" s="492"/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/>
      <c r="N22" s="493">
        <f t="shared" si="24"/>
        <v>0</v>
      </c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3">
        <f t="shared" si="25"/>
        <v>0</v>
      </c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492"/>
      <c r="AM22" s="492"/>
      <c r="AN22" s="493">
        <f t="shared" si="26"/>
        <v>0</v>
      </c>
      <c r="AO22" s="492"/>
      <c r="AP22" s="492"/>
      <c r="AQ22" s="492"/>
      <c r="AR22" s="492"/>
      <c r="AS22" s="492"/>
      <c r="AT22" s="492"/>
      <c r="AU22" s="492"/>
      <c r="AV22" s="492"/>
      <c r="AW22" s="492"/>
      <c r="AX22" s="492"/>
      <c r="AY22" s="492"/>
      <c r="AZ22" s="492"/>
      <c r="BA22" s="493">
        <f t="shared" si="27"/>
        <v>0</v>
      </c>
      <c r="BB22" s="492"/>
      <c r="BC22" s="492"/>
      <c r="BD22" s="492"/>
      <c r="BE22" s="492"/>
      <c r="BF22" s="492"/>
      <c r="BG22" s="492"/>
      <c r="BH22" s="492"/>
      <c r="BI22" s="492"/>
      <c r="BJ22" s="492"/>
      <c r="BK22" s="492"/>
      <c r="BL22" s="492"/>
      <c r="BM22" s="492"/>
      <c r="BN22" s="493">
        <f t="shared" si="28"/>
        <v>0</v>
      </c>
      <c r="BO22" s="492"/>
      <c r="BP22" s="492"/>
      <c r="BQ22" s="492"/>
      <c r="BR22" s="492"/>
      <c r="BS22" s="492"/>
      <c r="BT22" s="492"/>
      <c r="BU22" s="492"/>
      <c r="BV22" s="492"/>
      <c r="BW22" s="492"/>
      <c r="BX22" s="492"/>
      <c r="BY22" s="492"/>
      <c r="BZ22" s="492"/>
      <c r="CA22" s="493">
        <f t="shared" si="29"/>
        <v>0</v>
      </c>
      <c r="CB22" s="492"/>
      <c r="CC22" s="492"/>
      <c r="CD22" s="492"/>
      <c r="CE22" s="492"/>
      <c r="CF22" s="492"/>
      <c r="CG22" s="492"/>
      <c r="CH22" s="492"/>
      <c r="CI22" s="492"/>
      <c r="CJ22" s="492"/>
      <c r="CK22" s="492"/>
      <c r="CL22" s="492"/>
      <c r="CM22" s="492"/>
      <c r="CN22" s="493">
        <f t="shared" si="30"/>
        <v>0</v>
      </c>
      <c r="CO22" s="492"/>
      <c r="CP22" s="492"/>
      <c r="CQ22" s="492"/>
      <c r="CR22" s="492"/>
      <c r="CS22" s="492"/>
      <c r="CT22" s="492"/>
      <c r="CU22" s="492"/>
      <c r="CV22" s="492"/>
      <c r="CW22" s="492"/>
      <c r="CX22" s="492"/>
      <c r="CY22" s="492"/>
      <c r="CZ22" s="492"/>
      <c r="DA22" s="493">
        <f t="shared" si="31"/>
        <v>0</v>
      </c>
      <c r="DB22" s="492"/>
      <c r="DC22" s="492"/>
      <c r="DD22" s="492"/>
      <c r="DE22" s="492"/>
      <c r="DF22" s="492"/>
      <c r="DG22" s="492"/>
      <c r="DH22" s="492"/>
      <c r="DI22" s="492"/>
      <c r="DJ22" s="492"/>
      <c r="DK22" s="492"/>
      <c r="DL22" s="492"/>
      <c r="DM22" s="492"/>
      <c r="DN22" s="493">
        <f t="shared" si="32"/>
        <v>0</v>
      </c>
      <c r="DO22" s="492"/>
      <c r="DP22" s="492"/>
      <c r="DQ22" s="492"/>
      <c r="DR22" s="492"/>
      <c r="DS22" s="492"/>
      <c r="DT22" s="492"/>
      <c r="DU22" s="492"/>
      <c r="DV22" s="492"/>
      <c r="DW22" s="492"/>
      <c r="DX22" s="492"/>
      <c r="DY22" s="492"/>
      <c r="DZ22" s="492"/>
      <c r="EA22" s="493">
        <f t="shared" si="33"/>
        <v>0</v>
      </c>
      <c r="EB22" s="492"/>
      <c r="EC22" s="492"/>
      <c r="ED22" s="492"/>
      <c r="EE22" s="492"/>
      <c r="EF22" s="492"/>
      <c r="EG22" s="492"/>
      <c r="EH22" s="492"/>
      <c r="EI22" s="492"/>
      <c r="EJ22" s="492"/>
      <c r="EK22" s="492"/>
      <c r="EL22" s="492"/>
      <c r="EM22" s="492"/>
      <c r="EN22" s="493">
        <f t="shared" si="34"/>
        <v>0</v>
      </c>
      <c r="EO22" s="492"/>
      <c r="EP22" s="492"/>
      <c r="EQ22" s="492"/>
      <c r="ER22" s="492"/>
      <c r="ES22" s="492"/>
      <c r="ET22" s="492"/>
      <c r="EU22" s="492"/>
      <c r="EV22" s="492"/>
      <c r="EW22" s="492"/>
      <c r="EX22" s="492"/>
      <c r="EY22" s="492"/>
      <c r="EZ22" s="492"/>
      <c r="FA22" s="493">
        <f t="shared" si="35"/>
        <v>0</v>
      </c>
      <c r="FB22" s="492"/>
      <c r="FC22" s="492"/>
      <c r="FD22" s="492"/>
      <c r="FE22" s="492"/>
      <c r="FF22" s="492"/>
      <c r="FG22" s="492"/>
      <c r="FH22" s="492"/>
      <c r="FI22" s="492"/>
      <c r="FJ22" s="492"/>
      <c r="FK22" s="492"/>
      <c r="FL22" s="492"/>
      <c r="FM22" s="492"/>
      <c r="FN22" s="493">
        <f t="shared" si="36"/>
        <v>0</v>
      </c>
      <c r="FP22" s="595" t="str">
        <f t="shared" si="37"/>
        <v/>
      </c>
      <c r="FQ22" s="596" t="str">
        <f t="shared" si="38"/>
        <v/>
      </c>
      <c r="FR22" s="498">
        <f t="shared" si="39"/>
        <v>0</v>
      </c>
      <c r="FS22" s="597">
        <f t="shared" si="40"/>
        <v>0</v>
      </c>
      <c r="FT22" s="648"/>
      <c r="FU22" s="551">
        <f t="shared" si="41"/>
        <v>0</v>
      </c>
      <c r="FV22" s="553" t="s">
        <v>125</v>
      </c>
      <c r="FW22" s="554" t="str">
        <f t="shared" si="42"/>
        <v>OK</v>
      </c>
    </row>
    <row r="23" spans="1:179" ht="15" customHeight="1" x14ac:dyDescent="0.25">
      <c r="A23" s="653" t="s">
        <v>638</v>
      </c>
      <c r="B23" s="492"/>
      <c r="C23" s="492"/>
      <c r="D23" s="492"/>
      <c r="E23" s="492"/>
      <c r="F23" s="492"/>
      <c r="G23" s="492"/>
      <c r="H23" s="492"/>
      <c r="I23" s="492"/>
      <c r="J23" s="492"/>
      <c r="K23" s="492"/>
      <c r="L23" s="492"/>
      <c r="M23" s="492">
        <v>5</v>
      </c>
      <c r="N23" s="493">
        <f t="shared" si="24"/>
        <v>5</v>
      </c>
      <c r="O23" s="492">
        <v>5</v>
      </c>
      <c r="P23" s="492">
        <v>4</v>
      </c>
      <c r="Q23" s="492"/>
      <c r="R23" s="492"/>
      <c r="S23" s="492"/>
      <c r="T23" s="492"/>
      <c r="U23" s="492">
        <v>8</v>
      </c>
      <c r="V23" s="492"/>
      <c r="W23" s="492"/>
      <c r="X23" s="492"/>
      <c r="Y23" s="492"/>
      <c r="Z23" s="492"/>
      <c r="AA23" s="493">
        <f t="shared" si="25"/>
        <v>17</v>
      </c>
      <c r="AB23" s="492"/>
      <c r="AC23" s="492"/>
      <c r="AD23" s="492"/>
      <c r="AE23" s="492">
        <v>4</v>
      </c>
      <c r="AF23" s="492"/>
      <c r="AG23" s="492"/>
      <c r="AH23" s="492"/>
      <c r="AI23" s="492"/>
      <c r="AJ23" s="492"/>
      <c r="AK23" s="492"/>
      <c r="AL23" s="492"/>
      <c r="AM23" s="492"/>
      <c r="AN23" s="493">
        <f t="shared" si="26"/>
        <v>4</v>
      </c>
      <c r="AO23" s="492"/>
      <c r="AP23" s="492"/>
      <c r="AQ23" s="492"/>
      <c r="AR23" s="492">
        <v>1</v>
      </c>
      <c r="AS23" s="492"/>
      <c r="AT23" s="492"/>
      <c r="AU23" s="492"/>
      <c r="AV23" s="492"/>
      <c r="AW23" s="492">
        <v>1</v>
      </c>
      <c r="AX23" s="492"/>
      <c r="AY23" s="492"/>
      <c r="AZ23" s="492"/>
      <c r="BA23" s="493">
        <f t="shared" si="27"/>
        <v>2</v>
      </c>
      <c r="BB23" s="492"/>
      <c r="BC23" s="492"/>
      <c r="BD23" s="492"/>
      <c r="BE23" s="492"/>
      <c r="BF23" s="492"/>
      <c r="BG23" s="492"/>
      <c r="BH23" s="492">
        <v>1</v>
      </c>
      <c r="BI23" s="492">
        <v>3</v>
      </c>
      <c r="BJ23" s="492">
        <v>3</v>
      </c>
      <c r="BK23" s="492"/>
      <c r="BL23" s="492">
        <v>2</v>
      </c>
      <c r="BM23" s="492">
        <v>2</v>
      </c>
      <c r="BN23" s="493">
        <f t="shared" si="28"/>
        <v>11</v>
      </c>
      <c r="BO23" s="492">
        <v>2</v>
      </c>
      <c r="BP23" s="492">
        <v>3</v>
      </c>
      <c r="BQ23" s="492"/>
      <c r="BR23" s="492">
        <v>4</v>
      </c>
      <c r="BS23" s="492">
        <v>4</v>
      </c>
      <c r="BT23" s="492">
        <v>3</v>
      </c>
      <c r="BU23" s="492"/>
      <c r="BV23" s="492"/>
      <c r="BW23" s="492">
        <v>1</v>
      </c>
      <c r="BX23" s="492">
        <v>7</v>
      </c>
      <c r="BY23" s="492">
        <v>5</v>
      </c>
      <c r="BZ23" s="492"/>
      <c r="CA23" s="493">
        <f t="shared" si="29"/>
        <v>29</v>
      </c>
      <c r="CB23" s="492"/>
      <c r="CC23" s="492"/>
      <c r="CD23" s="492"/>
      <c r="CE23" s="492"/>
      <c r="CF23" s="492"/>
      <c r="CG23" s="492"/>
      <c r="CH23" s="492"/>
      <c r="CI23" s="492"/>
      <c r="CJ23" s="492">
        <v>2</v>
      </c>
      <c r="CK23" s="492">
        <v>2</v>
      </c>
      <c r="CL23" s="492"/>
      <c r="CM23" s="492">
        <v>2</v>
      </c>
      <c r="CN23" s="493">
        <f t="shared" si="30"/>
        <v>6</v>
      </c>
      <c r="CO23" s="492"/>
      <c r="CP23" s="492"/>
      <c r="CQ23" s="492"/>
      <c r="CR23" s="492"/>
      <c r="CS23" s="492"/>
      <c r="CT23" s="492"/>
      <c r="CU23" s="492">
        <v>3</v>
      </c>
      <c r="CV23" s="492"/>
      <c r="CW23" s="492"/>
      <c r="CX23" s="492">
        <v>4</v>
      </c>
      <c r="CY23" s="492">
        <v>1</v>
      </c>
      <c r="CZ23" s="492">
        <v>1</v>
      </c>
      <c r="DA23" s="493">
        <f t="shared" si="31"/>
        <v>9</v>
      </c>
      <c r="DB23" s="492"/>
      <c r="DC23" s="492"/>
      <c r="DD23" s="492"/>
      <c r="DE23" s="492"/>
      <c r="DF23" s="492"/>
      <c r="DG23" s="492">
        <v>9.85</v>
      </c>
      <c r="DH23" s="492"/>
      <c r="DI23" s="492"/>
      <c r="DJ23" s="492"/>
      <c r="DK23" s="492">
        <v>0.11</v>
      </c>
      <c r="DL23" s="492"/>
      <c r="DM23" s="492"/>
      <c r="DN23" s="493">
        <f t="shared" si="32"/>
        <v>9.9599999999999991</v>
      </c>
      <c r="DO23" s="492"/>
      <c r="DP23" s="492"/>
      <c r="DQ23" s="492"/>
      <c r="DR23" s="492"/>
      <c r="DS23" s="492">
        <v>1.81</v>
      </c>
      <c r="DT23" s="492"/>
      <c r="DU23" s="492"/>
      <c r="DV23" s="492"/>
      <c r="DW23" s="492"/>
      <c r="DX23" s="492"/>
      <c r="DY23" s="492"/>
      <c r="DZ23" s="492"/>
      <c r="EA23" s="493">
        <f t="shared" si="33"/>
        <v>1.81</v>
      </c>
      <c r="EB23" s="492"/>
      <c r="EC23" s="492"/>
      <c r="ED23" s="492"/>
      <c r="EE23" s="492"/>
      <c r="EF23" s="492"/>
      <c r="EG23" s="492"/>
      <c r="EH23" s="492"/>
      <c r="EI23" s="492"/>
      <c r="EJ23" s="492"/>
      <c r="EK23" s="492">
        <v>4</v>
      </c>
      <c r="EL23" s="492"/>
      <c r="EM23" s="492"/>
      <c r="EN23" s="493">
        <f t="shared" si="34"/>
        <v>4</v>
      </c>
      <c r="EO23" s="492">
        <v>1</v>
      </c>
      <c r="EP23" s="492">
        <v>6</v>
      </c>
      <c r="EQ23" s="492">
        <v>12</v>
      </c>
      <c r="ER23" s="492">
        <v>5</v>
      </c>
      <c r="ES23" s="492"/>
      <c r="ET23" s="492"/>
      <c r="EU23" s="492"/>
      <c r="EV23" s="492"/>
      <c r="EW23" s="492"/>
      <c r="EX23" s="492"/>
      <c r="EY23" s="492"/>
      <c r="EZ23" s="492"/>
      <c r="FA23" s="493">
        <f t="shared" si="35"/>
        <v>24</v>
      </c>
      <c r="FB23" s="492"/>
      <c r="FC23" s="492"/>
      <c r="FD23" s="492"/>
      <c r="FE23" s="492"/>
      <c r="FF23" s="492"/>
      <c r="FG23" s="492"/>
      <c r="FH23" s="492"/>
      <c r="FI23" s="492"/>
      <c r="FJ23" s="492"/>
      <c r="FK23" s="492"/>
      <c r="FL23" s="492"/>
      <c r="FM23" s="492"/>
      <c r="FN23" s="493">
        <f t="shared" si="36"/>
        <v>0</v>
      </c>
      <c r="FP23" s="595" t="str">
        <f t="shared" si="37"/>
        <v/>
      </c>
      <c r="FQ23" s="596" t="str">
        <f t="shared" si="38"/>
        <v/>
      </c>
      <c r="FR23" s="498">
        <f t="shared" si="39"/>
        <v>0</v>
      </c>
      <c r="FS23" s="597">
        <f t="shared" si="40"/>
        <v>24</v>
      </c>
      <c r="FT23" s="648"/>
      <c r="FU23" s="551">
        <f t="shared" si="41"/>
        <v>245.54000000000002</v>
      </c>
      <c r="FV23" s="553" t="s">
        <v>638</v>
      </c>
      <c r="FW23" s="554" t="str">
        <f t="shared" si="42"/>
        <v>OK</v>
      </c>
    </row>
    <row r="24" spans="1:179" ht="15" customHeight="1" x14ac:dyDescent="0.25">
      <c r="A24" s="653" t="s">
        <v>126</v>
      </c>
      <c r="B24" s="492">
        <v>5</v>
      </c>
      <c r="C24" s="492">
        <v>9</v>
      </c>
      <c r="D24" s="492">
        <v>10</v>
      </c>
      <c r="E24" s="492">
        <v>5</v>
      </c>
      <c r="F24" s="492">
        <v>4</v>
      </c>
      <c r="G24" s="492">
        <v>7</v>
      </c>
      <c r="H24" s="492">
        <v>20</v>
      </c>
      <c r="I24" s="492">
        <v>3</v>
      </c>
      <c r="J24" s="492">
        <v>3</v>
      </c>
      <c r="K24" s="492">
        <v>2</v>
      </c>
      <c r="L24" s="492">
        <v>2</v>
      </c>
      <c r="M24" s="492">
        <v>3</v>
      </c>
      <c r="N24" s="493">
        <f t="shared" si="24"/>
        <v>73</v>
      </c>
      <c r="O24" s="492">
        <v>3</v>
      </c>
      <c r="P24" s="492">
        <v>3</v>
      </c>
      <c r="Q24" s="492">
        <v>3</v>
      </c>
      <c r="R24" s="492">
        <v>4</v>
      </c>
      <c r="S24" s="492">
        <v>3</v>
      </c>
      <c r="T24" s="492">
        <v>3</v>
      </c>
      <c r="U24" s="492">
        <v>2</v>
      </c>
      <c r="V24" s="492">
        <v>3</v>
      </c>
      <c r="W24" s="492">
        <v>2</v>
      </c>
      <c r="X24" s="492">
        <v>2</v>
      </c>
      <c r="Y24" s="492">
        <v>4</v>
      </c>
      <c r="Z24" s="492">
        <v>3</v>
      </c>
      <c r="AA24" s="493">
        <f t="shared" si="25"/>
        <v>35</v>
      </c>
      <c r="AB24" s="492"/>
      <c r="AC24" s="492"/>
      <c r="AD24" s="492">
        <v>2</v>
      </c>
      <c r="AE24" s="492">
        <v>2</v>
      </c>
      <c r="AF24" s="492">
        <v>5</v>
      </c>
      <c r="AG24" s="492">
        <v>2</v>
      </c>
      <c r="AH24" s="492">
        <v>3</v>
      </c>
      <c r="AI24" s="492"/>
      <c r="AJ24" s="492">
        <v>1</v>
      </c>
      <c r="AK24" s="492"/>
      <c r="AL24" s="492">
        <v>2</v>
      </c>
      <c r="AM24" s="492"/>
      <c r="AN24" s="493">
        <f t="shared" si="26"/>
        <v>17</v>
      </c>
      <c r="AO24" s="492"/>
      <c r="AP24" s="492"/>
      <c r="AQ24" s="492"/>
      <c r="AR24" s="492">
        <v>3</v>
      </c>
      <c r="AS24" s="492">
        <v>1</v>
      </c>
      <c r="AT24" s="492"/>
      <c r="AU24" s="492"/>
      <c r="AV24" s="492"/>
      <c r="AW24" s="492"/>
      <c r="AX24" s="492"/>
      <c r="AY24" s="492"/>
      <c r="AZ24" s="492"/>
      <c r="BA24" s="493">
        <f t="shared" si="27"/>
        <v>4</v>
      </c>
      <c r="BB24" s="492"/>
      <c r="BC24" s="492">
        <v>1</v>
      </c>
      <c r="BD24" s="492"/>
      <c r="BE24" s="492"/>
      <c r="BF24" s="492">
        <v>1</v>
      </c>
      <c r="BG24" s="492"/>
      <c r="BH24" s="492"/>
      <c r="BI24" s="492"/>
      <c r="BJ24" s="492"/>
      <c r="BK24" s="492"/>
      <c r="BL24" s="492"/>
      <c r="BM24" s="492">
        <v>3</v>
      </c>
      <c r="BN24" s="493">
        <f t="shared" si="28"/>
        <v>5</v>
      </c>
      <c r="BO24" s="492">
        <v>1</v>
      </c>
      <c r="BP24" s="492">
        <v>1</v>
      </c>
      <c r="BQ24" s="492">
        <v>1</v>
      </c>
      <c r="BR24" s="492">
        <v>1</v>
      </c>
      <c r="BS24" s="492">
        <v>1</v>
      </c>
      <c r="BT24" s="492">
        <v>4</v>
      </c>
      <c r="BU24" s="492"/>
      <c r="BV24" s="492"/>
      <c r="BW24" s="492">
        <v>7</v>
      </c>
      <c r="BX24" s="492">
        <v>13</v>
      </c>
      <c r="BY24" s="492">
        <v>7</v>
      </c>
      <c r="BZ24" s="492"/>
      <c r="CA24" s="493">
        <f t="shared" si="29"/>
        <v>36</v>
      </c>
      <c r="CB24" s="492"/>
      <c r="CC24" s="492"/>
      <c r="CD24" s="492"/>
      <c r="CE24" s="492"/>
      <c r="CF24" s="492">
        <v>1</v>
      </c>
      <c r="CG24" s="492"/>
      <c r="CH24" s="492"/>
      <c r="CI24" s="492"/>
      <c r="CJ24" s="492"/>
      <c r="CK24" s="492"/>
      <c r="CL24" s="492"/>
      <c r="CM24" s="492"/>
      <c r="CN24" s="493">
        <f t="shared" si="30"/>
        <v>1</v>
      </c>
      <c r="CO24" s="492"/>
      <c r="CP24" s="492"/>
      <c r="CQ24" s="492">
        <v>1</v>
      </c>
      <c r="CR24" s="492">
        <v>12</v>
      </c>
      <c r="CS24" s="492">
        <v>6</v>
      </c>
      <c r="CT24" s="492"/>
      <c r="CU24" s="492"/>
      <c r="CV24" s="492">
        <v>4</v>
      </c>
      <c r="CW24" s="492"/>
      <c r="CX24" s="492"/>
      <c r="CY24" s="492">
        <v>1</v>
      </c>
      <c r="CZ24" s="492">
        <v>3</v>
      </c>
      <c r="DA24" s="493">
        <f t="shared" si="31"/>
        <v>27</v>
      </c>
      <c r="DB24" s="492"/>
      <c r="DC24" s="492"/>
      <c r="DD24" s="492"/>
      <c r="DE24" s="492"/>
      <c r="DF24" s="492"/>
      <c r="DG24" s="492"/>
      <c r="DH24" s="492"/>
      <c r="DI24" s="492"/>
      <c r="DJ24" s="492"/>
      <c r="DK24" s="492"/>
      <c r="DL24" s="492"/>
      <c r="DM24" s="492"/>
      <c r="DN24" s="493">
        <f t="shared" si="32"/>
        <v>0</v>
      </c>
      <c r="DO24" s="492"/>
      <c r="DP24" s="492"/>
      <c r="DQ24" s="492"/>
      <c r="DR24" s="492"/>
      <c r="DS24" s="492"/>
      <c r="DT24" s="492"/>
      <c r="DU24" s="492"/>
      <c r="DV24" s="492"/>
      <c r="DW24" s="492"/>
      <c r="DX24" s="492"/>
      <c r="DY24" s="492">
        <v>2</v>
      </c>
      <c r="DZ24" s="492">
        <v>21.5</v>
      </c>
      <c r="EA24" s="493">
        <f t="shared" si="33"/>
        <v>23.5</v>
      </c>
      <c r="EB24" s="492">
        <v>1</v>
      </c>
      <c r="EC24" s="492">
        <v>7</v>
      </c>
      <c r="ED24" s="492">
        <v>3</v>
      </c>
      <c r="EE24" s="492">
        <v>2</v>
      </c>
      <c r="EF24" s="492">
        <v>12</v>
      </c>
      <c r="EG24" s="492"/>
      <c r="EH24" s="492">
        <v>1</v>
      </c>
      <c r="EI24" s="492">
        <v>1</v>
      </c>
      <c r="EJ24" s="492"/>
      <c r="EK24" s="492">
        <v>5</v>
      </c>
      <c r="EL24" s="492"/>
      <c r="EM24" s="492">
        <v>2</v>
      </c>
      <c r="EN24" s="493">
        <f t="shared" si="34"/>
        <v>34</v>
      </c>
      <c r="EO24" s="492">
        <v>0.5</v>
      </c>
      <c r="EP24" s="492"/>
      <c r="EQ24" s="492">
        <v>13</v>
      </c>
      <c r="ER24" s="492">
        <v>3</v>
      </c>
      <c r="ES24" s="492"/>
      <c r="ET24" s="492"/>
      <c r="EU24" s="492"/>
      <c r="EV24" s="492"/>
      <c r="EW24" s="492"/>
      <c r="EX24" s="492"/>
      <c r="EY24" s="492"/>
      <c r="EZ24" s="492"/>
      <c r="FA24" s="493">
        <f t="shared" si="35"/>
        <v>16.5</v>
      </c>
      <c r="FB24" s="492"/>
      <c r="FC24" s="492"/>
      <c r="FD24" s="492"/>
      <c r="FE24" s="492"/>
      <c r="FF24" s="492"/>
      <c r="FG24" s="492"/>
      <c r="FH24" s="492"/>
      <c r="FI24" s="492"/>
      <c r="FJ24" s="492"/>
      <c r="FK24" s="492"/>
      <c r="FL24" s="492"/>
      <c r="FM24" s="492"/>
      <c r="FN24" s="493">
        <f t="shared" si="36"/>
        <v>0</v>
      </c>
      <c r="FP24" s="595">
        <f t="shared" si="37"/>
        <v>50</v>
      </c>
      <c r="FQ24" s="596">
        <f t="shared" si="38"/>
        <v>26.923076923076916</v>
      </c>
      <c r="FR24" s="498">
        <f t="shared" si="39"/>
        <v>13</v>
      </c>
      <c r="FS24" s="597">
        <f t="shared" si="40"/>
        <v>16.5</v>
      </c>
      <c r="FT24" s="648"/>
      <c r="FU24" s="551">
        <f t="shared" si="41"/>
        <v>544</v>
      </c>
      <c r="FV24" s="553" t="s">
        <v>126</v>
      </c>
      <c r="FW24" s="554" t="str">
        <f t="shared" si="42"/>
        <v>OK</v>
      </c>
    </row>
    <row r="25" spans="1:179" ht="15" customHeight="1" x14ac:dyDescent="0.25">
      <c r="A25" s="650" t="s">
        <v>127</v>
      </c>
      <c r="B25" s="492"/>
      <c r="C25" s="492"/>
      <c r="D25" s="492"/>
      <c r="E25" s="492"/>
      <c r="F25" s="492"/>
      <c r="G25" s="492"/>
      <c r="H25" s="492"/>
      <c r="I25" s="492"/>
      <c r="J25" s="492">
        <v>4</v>
      </c>
      <c r="K25" s="492">
        <v>32</v>
      </c>
      <c r="L25" s="492">
        <v>24</v>
      </c>
      <c r="M25" s="492">
        <v>19</v>
      </c>
      <c r="N25" s="493">
        <f t="shared" si="24"/>
        <v>79</v>
      </c>
      <c r="O25" s="492">
        <v>4</v>
      </c>
      <c r="P25" s="492">
        <v>2</v>
      </c>
      <c r="Q25" s="492">
        <v>2</v>
      </c>
      <c r="R25" s="492">
        <v>2</v>
      </c>
      <c r="S25" s="492"/>
      <c r="T25" s="492"/>
      <c r="U25" s="492"/>
      <c r="V25" s="492"/>
      <c r="W25" s="492"/>
      <c r="X25" s="492">
        <v>27</v>
      </c>
      <c r="Y25" s="492">
        <v>26</v>
      </c>
      <c r="Z25" s="492">
        <v>20</v>
      </c>
      <c r="AA25" s="493">
        <f t="shared" si="25"/>
        <v>83</v>
      </c>
      <c r="AB25" s="492">
        <v>3</v>
      </c>
      <c r="AC25" s="492"/>
      <c r="AD25" s="492"/>
      <c r="AE25" s="492"/>
      <c r="AF25" s="492"/>
      <c r="AG25" s="492"/>
      <c r="AH25" s="492"/>
      <c r="AI25" s="492"/>
      <c r="AJ25" s="492"/>
      <c r="AK25" s="492">
        <v>25</v>
      </c>
      <c r="AL25" s="492">
        <v>27</v>
      </c>
      <c r="AM25" s="492">
        <v>1</v>
      </c>
      <c r="AN25" s="493">
        <f t="shared" si="26"/>
        <v>56</v>
      </c>
      <c r="AO25" s="492"/>
      <c r="AP25" s="492"/>
      <c r="AQ25" s="492"/>
      <c r="AR25" s="492"/>
      <c r="AS25" s="492"/>
      <c r="AT25" s="492"/>
      <c r="AU25" s="492"/>
      <c r="AV25" s="492">
        <v>5</v>
      </c>
      <c r="AW25" s="492">
        <v>13</v>
      </c>
      <c r="AX25" s="492">
        <v>24</v>
      </c>
      <c r="AY25" s="492">
        <v>24</v>
      </c>
      <c r="AZ25" s="492"/>
      <c r="BA25" s="493">
        <f t="shared" si="27"/>
        <v>66</v>
      </c>
      <c r="BB25" s="492"/>
      <c r="BC25" s="492"/>
      <c r="BD25" s="492"/>
      <c r="BE25" s="492"/>
      <c r="BF25" s="492"/>
      <c r="BG25" s="492"/>
      <c r="BH25" s="492"/>
      <c r="BI25" s="492"/>
      <c r="BJ25" s="492">
        <v>2</v>
      </c>
      <c r="BK25" s="492">
        <v>2</v>
      </c>
      <c r="BL25" s="492">
        <v>6</v>
      </c>
      <c r="BM25" s="492">
        <v>11</v>
      </c>
      <c r="BN25" s="493">
        <f t="shared" si="28"/>
        <v>21</v>
      </c>
      <c r="BO25" s="492">
        <v>1</v>
      </c>
      <c r="BP25" s="492">
        <v>1</v>
      </c>
      <c r="BQ25" s="492">
        <v>1</v>
      </c>
      <c r="BR25" s="492"/>
      <c r="BS25" s="492"/>
      <c r="BT25" s="492"/>
      <c r="BU25" s="492"/>
      <c r="BV25" s="492"/>
      <c r="BW25" s="492">
        <v>30</v>
      </c>
      <c r="BX25" s="492">
        <v>40</v>
      </c>
      <c r="BY25" s="492">
        <v>15</v>
      </c>
      <c r="BZ25" s="492"/>
      <c r="CA25" s="493">
        <f t="shared" si="29"/>
        <v>88</v>
      </c>
      <c r="CB25" s="492"/>
      <c r="CC25" s="492"/>
      <c r="CD25" s="492"/>
      <c r="CE25" s="492"/>
      <c r="CF25" s="492"/>
      <c r="CG25" s="492"/>
      <c r="CH25" s="492"/>
      <c r="CI25" s="492"/>
      <c r="CJ25" s="492">
        <v>3</v>
      </c>
      <c r="CK25" s="492">
        <v>28</v>
      </c>
      <c r="CL25" s="492">
        <v>16</v>
      </c>
      <c r="CM25" s="492">
        <v>2</v>
      </c>
      <c r="CN25" s="493">
        <f t="shared" si="30"/>
        <v>49</v>
      </c>
      <c r="CO25" s="492">
        <v>1</v>
      </c>
      <c r="CP25" s="492">
        <v>2</v>
      </c>
      <c r="CQ25" s="492"/>
      <c r="CR25" s="492"/>
      <c r="CS25" s="492"/>
      <c r="CT25" s="492"/>
      <c r="CU25" s="492"/>
      <c r="CV25" s="492"/>
      <c r="CW25" s="492">
        <v>4</v>
      </c>
      <c r="CX25" s="492">
        <v>16</v>
      </c>
      <c r="CY25" s="492">
        <v>16</v>
      </c>
      <c r="CZ25" s="492">
        <v>4</v>
      </c>
      <c r="DA25" s="493">
        <f t="shared" si="31"/>
        <v>43</v>
      </c>
      <c r="DB25" s="492"/>
      <c r="DC25" s="492"/>
      <c r="DD25" s="492"/>
      <c r="DE25" s="492"/>
      <c r="DF25" s="492"/>
      <c r="DG25" s="492"/>
      <c r="DH25" s="492"/>
      <c r="DI25" s="492"/>
      <c r="DJ25" s="492"/>
      <c r="DK25" s="492">
        <v>26</v>
      </c>
      <c r="DL25" s="492">
        <v>35</v>
      </c>
      <c r="DM25" s="492">
        <v>21</v>
      </c>
      <c r="DN25" s="493">
        <f t="shared" si="32"/>
        <v>82</v>
      </c>
      <c r="DO25" s="492"/>
      <c r="DP25" s="492"/>
      <c r="DQ25" s="492"/>
      <c r="DR25" s="492"/>
      <c r="DS25" s="492"/>
      <c r="DT25" s="492"/>
      <c r="DU25" s="492"/>
      <c r="DV25" s="492"/>
      <c r="DW25" s="492"/>
      <c r="DX25" s="492">
        <v>4</v>
      </c>
      <c r="DY25" s="492">
        <v>59</v>
      </c>
      <c r="DZ25" s="492">
        <v>13</v>
      </c>
      <c r="EA25" s="493">
        <f t="shared" si="33"/>
        <v>76</v>
      </c>
      <c r="EB25" s="492">
        <v>10</v>
      </c>
      <c r="EC25" s="492"/>
      <c r="ED25" s="492">
        <v>2</v>
      </c>
      <c r="EE25" s="492"/>
      <c r="EF25" s="492"/>
      <c r="EG25" s="492"/>
      <c r="EH25" s="492"/>
      <c r="EI25" s="492"/>
      <c r="EJ25" s="492"/>
      <c r="EK25" s="492">
        <v>13</v>
      </c>
      <c r="EL25" s="492">
        <v>32</v>
      </c>
      <c r="EM25" s="492">
        <v>25</v>
      </c>
      <c r="EN25" s="493">
        <f t="shared" si="34"/>
        <v>82</v>
      </c>
      <c r="EO25" s="492">
        <v>8</v>
      </c>
      <c r="EP25" s="492">
        <v>10</v>
      </c>
      <c r="EQ25" s="492">
        <v>1</v>
      </c>
      <c r="ER25" s="492"/>
      <c r="ES25" s="492"/>
      <c r="ET25" s="492"/>
      <c r="EU25" s="492"/>
      <c r="EV25" s="492"/>
      <c r="EW25" s="492"/>
      <c r="EX25" s="492"/>
      <c r="EY25" s="492"/>
      <c r="EZ25" s="492"/>
      <c r="FA25" s="493">
        <f t="shared" si="35"/>
        <v>19</v>
      </c>
      <c r="FB25" s="492"/>
      <c r="FC25" s="492"/>
      <c r="FD25" s="492"/>
      <c r="FE25" s="492"/>
      <c r="FF25" s="492"/>
      <c r="FG25" s="492"/>
      <c r="FH25" s="492"/>
      <c r="FI25" s="492"/>
      <c r="FJ25" s="492"/>
      <c r="FK25" s="492"/>
      <c r="FL25" s="492"/>
      <c r="FM25" s="492"/>
      <c r="FN25" s="493">
        <f t="shared" si="36"/>
        <v>0</v>
      </c>
      <c r="FP25" s="595" t="str">
        <f t="shared" si="37"/>
        <v/>
      </c>
      <c r="FQ25" s="596">
        <f t="shared" si="38"/>
        <v>58.333333333333329</v>
      </c>
      <c r="FR25" s="498">
        <f t="shared" si="39"/>
        <v>12</v>
      </c>
      <c r="FS25" s="597">
        <f t="shared" si="40"/>
        <v>19</v>
      </c>
      <c r="FT25" s="648"/>
      <c r="FU25" s="551">
        <f t="shared" si="41"/>
        <v>1488</v>
      </c>
      <c r="FV25" s="553" t="s">
        <v>127</v>
      </c>
      <c r="FW25" s="554" t="str">
        <f t="shared" si="42"/>
        <v>OK</v>
      </c>
    </row>
    <row r="26" spans="1:179" ht="15" customHeight="1" x14ac:dyDescent="0.25">
      <c r="A26" s="650" t="s">
        <v>128</v>
      </c>
      <c r="B26" s="492">
        <v>62</v>
      </c>
      <c r="C26" s="492">
        <v>86</v>
      </c>
      <c r="D26" s="492">
        <v>60</v>
      </c>
      <c r="E26" s="492">
        <v>54</v>
      </c>
      <c r="F26" s="492">
        <v>31</v>
      </c>
      <c r="G26" s="492">
        <v>61</v>
      </c>
      <c r="H26" s="492">
        <v>51</v>
      </c>
      <c r="I26" s="492">
        <v>21</v>
      </c>
      <c r="J26" s="492">
        <v>16</v>
      </c>
      <c r="K26" s="492">
        <v>17</v>
      </c>
      <c r="L26" s="492">
        <v>11</v>
      </c>
      <c r="M26" s="492">
        <v>8</v>
      </c>
      <c r="N26" s="493">
        <f t="shared" si="24"/>
        <v>478</v>
      </c>
      <c r="O26" s="492">
        <v>8</v>
      </c>
      <c r="P26" s="492">
        <v>23</v>
      </c>
      <c r="Q26" s="492">
        <v>16</v>
      </c>
      <c r="R26" s="492">
        <v>17</v>
      </c>
      <c r="S26" s="492">
        <v>12</v>
      </c>
      <c r="T26" s="492">
        <v>10</v>
      </c>
      <c r="U26" s="492">
        <v>9</v>
      </c>
      <c r="V26" s="492">
        <v>5</v>
      </c>
      <c r="W26" s="492">
        <v>14</v>
      </c>
      <c r="X26" s="492">
        <v>5</v>
      </c>
      <c r="Y26" s="492">
        <v>5</v>
      </c>
      <c r="Z26" s="492">
        <v>4</v>
      </c>
      <c r="AA26" s="493">
        <f t="shared" si="25"/>
        <v>128</v>
      </c>
      <c r="AB26" s="492">
        <v>4</v>
      </c>
      <c r="AC26" s="492">
        <v>1</v>
      </c>
      <c r="AD26" s="492">
        <v>4</v>
      </c>
      <c r="AE26" s="492">
        <v>5</v>
      </c>
      <c r="AF26" s="492">
        <v>1</v>
      </c>
      <c r="AG26" s="492">
        <v>4</v>
      </c>
      <c r="AH26" s="492">
        <v>4</v>
      </c>
      <c r="AI26" s="492"/>
      <c r="AJ26" s="492">
        <v>16</v>
      </c>
      <c r="AK26" s="492">
        <v>12</v>
      </c>
      <c r="AL26" s="492">
        <v>20</v>
      </c>
      <c r="AM26" s="492"/>
      <c r="AN26" s="493">
        <f t="shared" si="26"/>
        <v>71</v>
      </c>
      <c r="AO26" s="492"/>
      <c r="AP26" s="492">
        <v>3</v>
      </c>
      <c r="AQ26" s="492"/>
      <c r="AR26" s="492"/>
      <c r="AS26" s="492">
        <v>40</v>
      </c>
      <c r="AT26" s="492"/>
      <c r="AU26" s="492"/>
      <c r="AV26" s="492"/>
      <c r="AW26" s="492"/>
      <c r="AX26" s="492">
        <v>2</v>
      </c>
      <c r="AY26" s="492"/>
      <c r="AZ26" s="492"/>
      <c r="BA26" s="493">
        <f t="shared" si="27"/>
        <v>45</v>
      </c>
      <c r="BB26" s="492"/>
      <c r="BC26" s="492"/>
      <c r="BD26" s="492"/>
      <c r="BE26" s="492"/>
      <c r="BF26" s="492"/>
      <c r="BG26" s="492"/>
      <c r="BH26" s="492"/>
      <c r="BI26" s="492"/>
      <c r="BJ26" s="492">
        <v>1</v>
      </c>
      <c r="BK26" s="492"/>
      <c r="BL26" s="492"/>
      <c r="BM26" s="492">
        <v>2</v>
      </c>
      <c r="BN26" s="493">
        <f t="shared" si="28"/>
        <v>3</v>
      </c>
      <c r="BO26" s="492">
        <v>12</v>
      </c>
      <c r="BP26" s="492">
        <v>6</v>
      </c>
      <c r="BQ26" s="492">
        <v>13</v>
      </c>
      <c r="BR26" s="492">
        <v>9</v>
      </c>
      <c r="BS26" s="492">
        <v>19</v>
      </c>
      <c r="BT26" s="492">
        <v>10</v>
      </c>
      <c r="BU26" s="492">
        <v>15</v>
      </c>
      <c r="BV26" s="492">
        <v>1</v>
      </c>
      <c r="BW26" s="492">
        <v>13</v>
      </c>
      <c r="BX26" s="492">
        <v>20</v>
      </c>
      <c r="BY26" s="492">
        <v>21</v>
      </c>
      <c r="BZ26" s="492">
        <v>10</v>
      </c>
      <c r="CA26" s="493">
        <f t="shared" si="29"/>
        <v>149</v>
      </c>
      <c r="CB26" s="492">
        <v>8</v>
      </c>
      <c r="CC26" s="492">
        <v>3</v>
      </c>
      <c r="CD26" s="492">
        <v>15</v>
      </c>
      <c r="CE26" s="492">
        <v>3</v>
      </c>
      <c r="CF26" s="492">
        <v>6.5</v>
      </c>
      <c r="CG26" s="492">
        <v>7</v>
      </c>
      <c r="CH26" s="492"/>
      <c r="CI26" s="492">
        <v>10</v>
      </c>
      <c r="CJ26" s="492">
        <v>6</v>
      </c>
      <c r="CK26" s="492"/>
      <c r="CL26" s="492">
        <v>1</v>
      </c>
      <c r="CM26" s="492">
        <v>6</v>
      </c>
      <c r="CN26" s="493">
        <f t="shared" si="30"/>
        <v>65.5</v>
      </c>
      <c r="CO26" s="492">
        <v>77</v>
      </c>
      <c r="CP26" s="492">
        <v>54</v>
      </c>
      <c r="CQ26" s="492">
        <v>58.5</v>
      </c>
      <c r="CR26" s="492">
        <v>19</v>
      </c>
      <c r="CS26" s="492">
        <v>11</v>
      </c>
      <c r="CT26" s="492">
        <v>5</v>
      </c>
      <c r="CU26" s="492">
        <v>1</v>
      </c>
      <c r="CV26" s="492">
        <v>1</v>
      </c>
      <c r="CW26" s="492"/>
      <c r="CX26" s="492">
        <v>2</v>
      </c>
      <c r="CY26" s="492">
        <v>6</v>
      </c>
      <c r="CZ26" s="492">
        <v>3</v>
      </c>
      <c r="DA26" s="493">
        <f t="shared" si="31"/>
        <v>237.5</v>
      </c>
      <c r="DB26" s="492"/>
      <c r="DC26" s="492"/>
      <c r="DD26" s="492"/>
      <c r="DE26" s="492">
        <v>3</v>
      </c>
      <c r="DF26" s="492">
        <v>12</v>
      </c>
      <c r="DG26" s="492">
        <v>10</v>
      </c>
      <c r="DH26" s="492">
        <v>15</v>
      </c>
      <c r="DI26" s="492">
        <v>16</v>
      </c>
      <c r="DJ26" s="492">
        <v>62</v>
      </c>
      <c r="DK26" s="492">
        <v>15</v>
      </c>
      <c r="DL26" s="492"/>
      <c r="DM26" s="492"/>
      <c r="DN26" s="493">
        <f t="shared" si="32"/>
        <v>133</v>
      </c>
      <c r="DO26" s="492"/>
      <c r="DP26" s="492">
        <v>3</v>
      </c>
      <c r="DQ26" s="492">
        <v>1.5</v>
      </c>
      <c r="DR26" s="492"/>
      <c r="DS26" s="492">
        <v>1.5</v>
      </c>
      <c r="DT26" s="492">
        <v>2</v>
      </c>
      <c r="DU26" s="492">
        <v>8.5</v>
      </c>
      <c r="DV26" s="492">
        <v>3</v>
      </c>
      <c r="DW26" s="492">
        <v>3.5</v>
      </c>
      <c r="DX26" s="492">
        <v>21</v>
      </c>
      <c r="DY26" s="492">
        <v>35</v>
      </c>
      <c r="DZ26" s="492">
        <v>31</v>
      </c>
      <c r="EA26" s="493">
        <f t="shared" si="33"/>
        <v>110</v>
      </c>
      <c r="EB26" s="492">
        <v>14</v>
      </c>
      <c r="EC26" s="492">
        <v>14</v>
      </c>
      <c r="ED26" s="492">
        <v>8</v>
      </c>
      <c r="EE26" s="492">
        <v>10</v>
      </c>
      <c r="EF26" s="492">
        <v>4</v>
      </c>
      <c r="EG26" s="492">
        <v>1</v>
      </c>
      <c r="EH26" s="492">
        <v>6.5</v>
      </c>
      <c r="EI26" s="492">
        <v>5</v>
      </c>
      <c r="EJ26" s="492">
        <v>2</v>
      </c>
      <c r="EK26" s="492">
        <v>47</v>
      </c>
      <c r="EL26" s="492">
        <v>24</v>
      </c>
      <c r="EM26" s="492">
        <v>31</v>
      </c>
      <c r="EN26" s="493">
        <f t="shared" si="34"/>
        <v>166.5</v>
      </c>
      <c r="EO26" s="492">
        <v>10.5</v>
      </c>
      <c r="EP26" s="492">
        <v>13</v>
      </c>
      <c r="EQ26" s="492">
        <v>22</v>
      </c>
      <c r="ER26" s="492">
        <v>15</v>
      </c>
      <c r="ES26" s="492"/>
      <c r="ET26" s="492"/>
      <c r="EU26" s="492"/>
      <c r="EV26" s="492"/>
      <c r="EW26" s="492"/>
      <c r="EX26" s="492"/>
      <c r="EY26" s="492"/>
      <c r="EZ26" s="492"/>
      <c r="FA26" s="493">
        <f t="shared" si="35"/>
        <v>60.5</v>
      </c>
      <c r="FB26" s="492"/>
      <c r="FC26" s="492"/>
      <c r="FD26" s="492"/>
      <c r="FE26" s="492"/>
      <c r="FF26" s="492"/>
      <c r="FG26" s="492"/>
      <c r="FH26" s="492"/>
      <c r="FI26" s="492"/>
      <c r="FJ26" s="492"/>
      <c r="FK26" s="492"/>
      <c r="FL26" s="492"/>
      <c r="FM26" s="492"/>
      <c r="FN26" s="493">
        <f t="shared" si="36"/>
        <v>0</v>
      </c>
      <c r="FP26" s="595">
        <f t="shared" si="37"/>
        <v>50</v>
      </c>
      <c r="FQ26" s="596">
        <f t="shared" si="38"/>
        <v>31.521739130434788</v>
      </c>
      <c r="FR26" s="498">
        <f t="shared" si="39"/>
        <v>46</v>
      </c>
      <c r="FS26" s="597">
        <f t="shared" si="40"/>
        <v>60.5</v>
      </c>
      <c r="FT26" s="648"/>
      <c r="FU26" s="551">
        <f t="shared" si="41"/>
        <v>3294</v>
      </c>
      <c r="FV26" s="553" t="s">
        <v>128</v>
      </c>
      <c r="FW26" s="554" t="str">
        <f t="shared" si="42"/>
        <v>OK</v>
      </c>
    </row>
    <row r="27" spans="1:179" ht="15" customHeight="1" x14ac:dyDescent="0.25">
      <c r="A27" s="650" t="s">
        <v>639</v>
      </c>
      <c r="B27" s="492"/>
      <c r="C27" s="492">
        <v>2</v>
      </c>
      <c r="D27" s="492"/>
      <c r="E27" s="492"/>
      <c r="F27" s="492"/>
      <c r="G27" s="492">
        <v>2</v>
      </c>
      <c r="H27" s="492">
        <v>8</v>
      </c>
      <c r="I27" s="492">
        <v>3</v>
      </c>
      <c r="J27" s="492">
        <v>2</v>
      </c>
      <c r="K27" s="492">
        <v>2</v>
      </c>
      <c r="L27" s="492">
        <v>2</v>
      </c>
      <c r="M27" s="492">
        <v>5</v>
      </c>
      <c r="N27" s="493">
        <f t="shared" si="24"/>
        <v>26</v>
      </c>
      <c r="O27" s="492">
        <v>2</v>
      </c>
      <c r="P27" s="492">
        <v>2</v>
      </c>
      <c r="Q27" s="492">
        <v>2</v>
      </c>
      <c r="R27" s="492">
        <v>5</v>
      </c>
      <c r="S27" s="492">
        <v>2</v>
      </c>
      <c r="T27" s="492">
        <v>2</v>
      </c>
      <c r="U27" s="492">
        <v>1</v>
      </c>
      <c r="V27" s="492">
        <v>1</v>
      </c>
      <c r="W27" s="492">
        <v>1</v>
      </c>
      <c r="X27" s="492">
        <v>2</v>
      </c>
      <c r="Y27" s="492">
        <v>2</v>
      </c>
      <c r="Z27" s="492">
        <v>2</v>
      </c>
      <c r="AA27" s="493">
        <f t="shared" si="25"/>
        <v>24</v>
      </c>
      <c r="AB27" s="492">
        <v>1</v>
      </c>
      <c r="AC27" s="492">
        <v>2</v>
      </c>
      <c r="AD27" s="492">
        <v>3</v>
      </c>
      <c r="AE27" s="492">
        <v>2</v>
      </c>
      <c r="AF27" s="492">
        <v>10</v>
      </c>
      <c r="AG27" s="492">
        <v>4</v>
      </c>
      <c r="AH27" s="492">
        <v>10</v>
      </c>
      <c r="AI27" s="492"/>
      <c r="AJ27" s="492">
        <v>2</v>
      </c>
      <c r="AK27" s="492">
        <v>2</v>
      </c>
      <c r="AL27" s="492">
        <v>2</v>
      </c>
      <c r="AM27" s="492">
        <v>2</v>
      </c>
      <c r="AN27" s="493">
        <f t="shared" si="26"/>
        <v>40</v>
      </c>
      <c r="AO27" s="492">
        <v>2</v>
      </c>
      <c r="AP27" s="492"/>
      <c r="AQ27" s="492">
        <v>2</v>
      </c>
      <c r="AR27" s="492">
        <v>7</v>
      </c>
      <c r="AS27" s="492">
        <v>5</v>
      </c>
      <c r="AT27" s="492">
        <v>2</v>
      </c>
      <c r="AU27" s="492">
        <v>2</v>
      </c>
      <c r="AV27" s="492">
        <v>3</v>
      </c>
      <c r="AW27" s="492">
        <v>2</v>
      </c>
      <c r="AX27" s="492">
        <v>2</v>
      </c>
      <c r="AY27" s="492">
        <v>3</v>
      </c>
      <c r="AZ27" s="492">
        <v>2</v>
      </c>
      <c r="BA27" s="493">
        <f t="shared" si="27"/>
        <v>32</v>
      </c>
      <c r="BB27" s="492">
        <v>2</v>
      </c>
      <c r="BC27" s="492">
        <v>1</v>
      </c>
      <c r="BD27" s="492">
        <v>2</v>
      </c>
      <c r="BE27" s="492">
        <v>2</v>
      </c>
      <c r="BF27" s="492"/>
      <c r="BG27" s="492"/>
      <c r="BH27" s="492"/>
      <c r="BI27" s="492"/>
      <c r="BJ27" s="492"/>
      <c r="BK27" s="492"/>
      <c r="BL27" s="492"/>
      <c r="BM27" s="492">
        <v>1</v>
      </c>
      <c r="BN27" s="493">
        <f t="shared" si="28"/>
        <v>8</v>
      </c>
      <c r="BO27" s="492">
        <v>4</v>
      </c>
      <c r="BP27" s="492">
        <v>4</v>
      </c>
      <c r="BQ27" s="492">
        <v>4</v>
      </c>
      <c r="BR27" s="492">
        <v>4</v>
      </c>
      <c r="BS27" s="492">
        <v>4</v>
      </c>
      <c r="BT27" s="492"/>
      <c r="BU27" s="492"/>
      <c r="BV27" s="492"/>
      <c r="BW27" s="492">
        <v>4</v>
      </c>
      <c r="BX27" s="492">
        <v>11</v>
      </c>
      <c r="BY27" s="492">
        <v>4</v>
      </c>
      <c r="BZ27" s="492">
        <v>3</v>
      </c>
      <c r="CA27" s="493">
        <f t="shared" si="29"/>
        <v>42</v>
      </c>
      <c r="CB27" s="492"/>
      <c r="CC27" s="492"/>
      <c r="CD27" s="492"/>
      <c r="CE27" s="492"/>
      <c r="CF27" s="492"/>
      <c r="CG27" s="492"/>
      <c r="CH27" s="492"/>
      <c r="CI27" s="492"/>
      <c r="CJ27" s="492"/>
      <c r="CK27" s="492">
        <v>1</v>
      </c>
      <c r="CL27" s="492"/>
      <c r="CM27" s="492"/>
      <c r="CN27" s="493">
        <f t="shared" si="30"/>
        <v>1</v>
      </c>
      <c r="CO27" s="492"/>
      <c r="CP27" s="492"/>
      <c r="CQ27" s="492"/>
      <c r="CR27" s="492">
        <v>15</v>
      </c>
      <c r="CS27" s="492">
        <v>9</v>
      </c>
      <c r="CT27" s="492">
        <v>1</v>
      </c>
      <c r="CU27" s="492"/>
      <c r="CV27" s="492"/>
      <c r="CW27" s="492"/>
      <c r="CX27" s="492"/>
      <c r="CY27" s="492"/>
      <c r="CZ27" s="492">
        <v>4</v>
      </c>
      <c r="DA27" s="493">
        <f t="shared" si="31"/>
        <v>29</v>
      </c>
      <c r="DB27" s="492"/>
      <c r="DC27" s="492"/>
      <c r="DD27" s="492"/>
      <c r="DE27" s="492"/>
      <c r="DF27" s="492"/>
      <c r="DG27" s="492"/>
      <c r="DH27" s="492"/>
      <c r="DI27" s="492"/>
      <c r="DJ27" s="492"/>
      <c r="DK27" s="492"/>
      <c r="DL27" s="492"/>
      <c r="DM27" s="492"/>
      <c r="DN27" s="493">
        <f t="shared" si="32"/>
        <v>0</v>
      </c>
      <c r="DO27" s="492"/>
      <c r="DP27" s="492"/>
      <c r="DQ27" s="492"/>
      <c r="DR27" s="492"/>
      <c r="DS27" s="492">
        <v>0.77</v>
      </c>
      <c r="DT27" s="492"/>
      <c r="DU27" s="492"/>
      <c r="DV27" s="492"/>
      <c r="DW27" s="492">
        <v>3</v>
      </c>
      <c r="DX27" s="492">
        <v>7</v>
      </c>
      <c r="DY27" s="492">
        <v>5</v>
      </c>
      <c r="DZ27" s="492">
        <v>12</v>
      </c>
      <c r="EA27" s="493">
        <f t="shared" si="33"/>
        <v>27.77</v>
      </c>
      <c r="EB27" s="492">
        <v>2</v>
      </c>
      <c r="EC27" s="492">
        <v>5</v>
      </c>
      <c r="ED27" s="492">
        <v>4</v>
      </c>
      <c r="EE27" s="492">
        <v>2</v>
      </c>
      <c r="EF27" s="492"/>
      <c r="EG27" s="492"/>
      <c r="EH27" s="492"/>
      <c r="EI27" s="492">
        <v>4</v>
      </c>
      <c r="EJ27" s="492"/>
      <c r="EK27" s="492">
        <v>11</v>
      </c>
      <c r="EL27" s="492">
        <v>5</v>
      </c>
      <c r="EM27" s="492">
        <v>7</v>
      </c>
      <c r="EN27" s="493">
        <f t="shared" si="34"/>
        <v>40</v>
      </c>
      <c r="EO27" s="492"/>
      <c r="EP27" s="492">
        <v>10</v>
      </c>
      <c r="EQ27" s="492">
        <v>15</v>
      </c>
      <c r="ER27" s="492">
        <v>7</v>
      </c>
      <c r="ES27" s="492"/>
      <c r="ET27" s="492"/>
      <c r="EU27" s="492"/>
      <c r="EV27" s="492"/>
      <c r="EW27" s="492"/>
      <c r="EX27" s="492"/>
      <c r="EY27" s="492"/>
      <c r="EZ27" s="492"/>
      <c r="FA27" s="493">
        <f t="shared" si="35"/>
        <v>32</v>
      </c>
      <c r="FB27" s="492"/>
      <c r="FC27" s="492"/>
      <c r="FD27" s="492"/>
      <c r="FE27" s="492"/>
      <c r="FF27" s="492"/>
      <c r="FG27" s="492"/>
      <c r="FH27" s="492"/>
      <c r="FI27" s="492"/>
      <c r="FJ27" s="492"/>
      <c r="FK27" s="492"/>
      <c r="FL27" s="492"/>
      <c r="FM27" s="492"/>
      <c r="FN27" s="493">
        <f t="shared" si="36"/>
        <v>0</v>
      </c>
      <c r="FP27" s="595">
        <f t="shared" si="37"/>
        <v>250</v>
      </c>
      <c r="FQ27" s="596">
        <f t="shared" si="38"/>
        <v>146.15384615384616</v>
      </c>
      <c r="FR27" s="498">
        <f t="shared" si="39"/>
        <v>13</v>
      </c>
      <c r="FS27" s="597">
        <f t="shared" si="40"/>
        <v>32</v>
      </c>
      <c r="FT27" s="648"/>
      <c r="FU27" s="551">
        <f t="shared" si="41"/>
        <v>603.54</v>
      </c>
      <c r="FV27" s="553" t="s">
        <v>639</v>
      </c>
      <c r="FW27" s="554" t="str">
        <f t="shared" si="42"/>
        <v>OK</v>
      </c>
    </row>
    <row r="28" spans="1:179" ht="15" customHeight="1" x14ac:dyDescent="0.25">
      <c r="A28" s="650" t="s">
        <v>129</v>
      </c>
      <c r="B28" s="492">
        <v>11</v>
      </c>
      <c r="C28" s="492">
        <v>9</v>
      </c>
      <c r="D28" s="492">
        <v>4</v>
      </c>
      <c r="E28" s="492">
        <v>4</v>
      </c>
      <c r="F28" s="492">
        <v>2</v>
      </c>
      <c r="G28" s="492">
        <v>6</v>
      </c>
      <c r="H28" s="492">
        <v>3</v>
      </c>
      <c r="I28" s="492"/>
      <c r="J28" s="492">
        <v>5</v>
      </c>
      <c r="K28" s="492">
        <v>15</v>
      </c>
      <c r="L28" s="492">
        <v>25</v>
      </c>
      <c r="M28" s="492">
        <v>28</v>
      </c>
      <c r="N28" s="493">
        <f t="shared" si="24"/>
        <v>112</v>
      </c>
      <c r="O28" s="492">
        <v>11</v>
      </c>
      <c r="P28" s="492">
        <v>7</v>
      </c>
      <c r="Q28" s="492">
        <v>8</v>
      </c>
      <c r="R28" s="492">
        <v>5</v>
      </c>
      <c r="S28" s="492"/>
      <c r="T28" s="492"/>
      <c r="U28" s="492">
        <v>2</v>
      </c>
      <c r="V28" s="492"/>
      <c r="W28" s="492">
        <v>3</v>
      </c>
      <c r="X28" s="492">
        <v>10</v>
      </c>
      <c r="Y28" s="492">
        <v>25</v>
      </c>
      <c r="Z28" s="492">
        <v>7</v>
      </c>
      <c r="AA28" s="493">
        <f t="shared" si="25"/>
        <v>78</v>
      </c>
      <c r="AB28" s="492">
        <v>1</v>
      </c>
      <c r="AC28" s="492"/>
      <c r="AD28" s="492"/>
      <c r="AE28" s="492"/>
      <c r="AF28" s="492"/>
      <c r="AG28" s="492"/>
      <c r="AH28" s="492"/>
      <c r="AI28" s="492"/>
      <c r="AJ28" s="492">
        <v>11</v>
      </c>
      <c r="AK28" s="492">
        <v>25</v>
      </c>
      <c r="AL28" s="492">
        <v>22</v>
      </c>
      <c r="AM28" s="492">
        <v>5</v>
      </c>
      <c r="AN28" s="493">
        <f t="shared" si="26"/>
        <v>64</v>
      </c>
      <c r="AO28" s="492"/>
      <c r="AP28" s="492"/>
      <c r="AQ28" s="492"/>
      <c r="AR28" s="492"/>
      <c r="AS28" s="492"/>
      <c r="AT28" s="492"/>
      <c r="AU28" s="492"/>
      <c r="AV28" s="492">
        <v>22</v>
      </c>
      <c r="AW28" s="492">
        <v>21</v>
      </c>
      <c r="AX28" s="492">
        <v>26</v>
      </c>
      <c r="AY28" s="492">
        <v>22</v>
      </c>
      <c r="AZ28" s="492">
        <v>13</v>
      </c>
      <c r="BA28" s="493">
        <f t="shared" si="27"/>
        <v>104</v>
      </c>
      <c r="BB28" s="492">
        <v>4</v>
      </c>
      <c r="BC28" s="492">
        <v>4</v>
      </c>
      <c r="BD28" s="492">
        <v>4</v>
      </c>
      <c r="BE28" s="492">
        <v>4</v>
      </c>
      <c r="BF28" s="492"/>
      <c r="BG28" s="492"/>
      <c r="BH28" s="492">
        <v>3</v>
      </c>
      <c r="BI28" s="492">
        <v>2</v>
      </c>
      <c r="BJ28" s="492">
        <v>4</v>
      </c>
      <c r="BK28" s="492">
        <v>8</v>
      </c>
      <c r="BL28" s="492">
        <v>19</v>
      </c>
      <c r="BM28" s="492">
        <v>10</v>
      </c>
      <c r="BN28" s="493">
        <f t="shared" si="28"/>
        <v>62</v>
      </c>
      <c r="BO28" s="492">
        <v>2</v>
      </c>
      <c r="BP28" s="492">
        <v>3</v>
      </c>
      <c r="BQ28" s="492">
        <v>2</v>
      </c>
      <c r="BR28" s="492"/>
      <c r="BS28" s="492">
        <v>2</v>
      </c>
      <c r="BT28" s="492">
        <v>1</v>
      </c>
      <c r="BU28" s="492"/>
      <c r="BV28" s="492"/>
      <c r="BW28" s="492">
        <v>15</v>
      </c>
      <c r="BX28" s="492">
        <v>31</v>
      </c>
      <c r="BY28" s="492">
        <v>17</v>
      </c>
      <c r="BZ28" s="492">
        <v>5</v>
      </c>
      <c r="CA28" s="493">
        <f t="shared" si="29"/>
        <v>78</v>
      </c>
      <c r="CB28" s="492"/>
      <c r="CC28" s="492">
        <v>5</v>
      </c>
      <c r="CD28" s="492">
        <v>4</v>
      </c>
      <c r="CE28" s="492">
        <v>4</v>
      </c>
      <c r="CF28" s="492"/>
      <c r="CG28" s="492">
        <v>1</v>
      </c>
      <c r="CH28" s="492"/>
      <c r="CI28" s="492">
        <v>9</v>
      </c>
      <c r="CJ28" s="492">
        <v>9</v>
      </c>
      <c r="CK28" s="492">
        <v>43</v>
      </c>
      <c r="CL28" s="492">
        <v>27</v>
      </c>
      <c r="CM28" s="492">
        <v>23</v>
      </c>
      <c r="CN28" s="493">
        <f t="shared" si="30"/>
        <v>125</v>
      </c>
      <c r="CO28" s="492">
        <v>2</v>
      </c>
      <c r="CP28" s="492"/>
      <c r="CQ28" s="492">
        <v>3</v>
      </c>
      <c r="CR28" s="492">
        <v>11</v>
      </c>
      <c r="CS28" s="492"/>
      <c r="CT28" s="492"/>
      <c r="CU28" s="492">
        <v>1</v>
      </c>
      <c r="CV28" s="492">
        <v>10</v>
      </c>
      <c r="CW28" s="492">
        <v>11</v>
      </c>
      <c r="CX28" s="492">
        <v>26</v>
      </c>
      <c r="CY28" s="492">
        <v>34</v>
      </c>
      <c r="CZ28" s="492">
        <v>32</v>
      </c>
      <c r="DA28" s="493">
        <f t="shared" si="31"/>
        <v>130</v>
      </c>
      <c r="DB28" s="492">
        <v>9</v>
      </c>
      <c r="DC28" s="492">
        <v>22</v>
      </c>
      <c r="DD28" s="492">
        <v>16</v>
      </c>
      <c r="DE28" s="492">
        <v>11</v>
      </c>
      <c r="DF28" s="492">
        <v>7</v>
      </c>
      <c r="DG28" s="492">
        <v>2</v>
      </c>
      <c r="DH28" s="492">
        <v>3</v>
      </c>
      <c r="DI28" s="492"/>
      <c r="DJ28" s="492">
        <v>13</v>
      </c>
      <c r="DK28" s="492">
        <v>28</v>
      </c>
      <c r="DL28" s="492">
        <v>58</v>
      </c>
      <c r="DM28" s="492">
        <v>31</v>
      </c>
      <c r="DN28" s="493">
        <f t="shared" si="32"/>
        <v>200</v>
      </c>
      <c r="DO28" s="492">
        <v>10.5</v>
      </c>
      <c r="DP28" s="492">
        <v>30</v>
      </c>
      <c r="DQ28" s="492">
        <v>30</v>
      </c>
      <c r="DR28" s="492"/>
      <c r="DS28" s="492">
        <v>2</v>
      </c>
      <c r="DT28" s="492">
        <v>3</v>
      </c>
      <c r="DU28" s="492">
        <v>4</v>
      </c>
      <c r="DV28" s="492">
        <v>5</v>
      </c>
      <c r="DW28" s="492">
        <v>24</v>
      </c>
      <c r="DX28" s="492">
        <v>62</v>
      </c>
      <c r="DY28" s="492">
        <v>80</v>
      </c>
      <c r="DZ28" s="492">
        <v>43</v>
      </c>
      <c r="EA28" s="493">
        <f t="shared" si="33"/>
        <v>293.5</v>
      </c>
      <c r="EB28" s="492">
        <v>41</v>
      </c>
      <c r="EC28" s="492">
        <v>27</v>
      </c>
      <c r="ED28" s="492">
        <v>23</v>
      </c>
      <c r="EE28" s="492">
        <v>1</v>
      </c>
      <c r="EF28" s="492"/>
      <c r="EG28" s="492"/>
      <c r="EH28" s="492">
        <v>5</v>
      </c>
      <c r="EI28" s="492">
        <v>5</v>
      </c>
      <c r="EJ28" s="492">
        <v>6.5</v>
      </c>
      <c r="EK28" s="492">
        <v>45</v>
      </c>
      <c r="EL28" s="492">
        <v>41</v>
      </c>
      <c r="EM28" s="492">
        <v>36</v>
      </c>
      <c r="EN28" s="493">
        <f t="shared" si="34"/>
        <v>230.5</v>
      </c>
      <c r="EO28" s="492">
        <v>36</v>
      </c>
      <c r="EP28" s="492">
        <v>34</v>
      </c>
      <c r="EQ28" s="492">
        <v>25</v>
      </c>
      <c r="ER28" s="492">
        <v>1</v>
      </c>
      <c r="ES28" s="492"/>
      <c r="ET28" s="492"/>
      <c r="EU28" s="492"/>
      <c r="EV28" s="492"/>
      <c r="EW28" s="492"/>
      <c r="EX28" s="492"/>
      <c r="EY28" s="492"/>
      <c r="EZ28" s="492"/>
      <c r="FA28" s="493">
        <f t="shared" si="35"/>
        <v>96</v>
      </c>
      <c r="FB28" s="492"/>
      <c r="FC28" s="492"/>
      <c r="FD28" s="492"/>
      <c r="FE28" s="492"/>
      <c r="FF28" s="492"/>
      <c r="FG28" s="492"/>
      <c r="FH28" s="492"/>
      <c r="FI28" s="492"/>
      <c r="FJ28" s="492"/>
      <c r="FK28" s="492"/>
      <c r="FL28" s="492"/>
      <c r="FM28" s="492"/>
      <c r="FN28" s="493">
        <f t="shared" si="36"/>
        <v>0</v>
      </c>
      <c r="FP28" s="595">
        <f t="shared" si="37"/>
        <v>0</v>
      </c>
      <c r="FQ28" s="596">
        <f t="shared" si="38"/>
        <v>4.3478260869565188</v>
      </c>
      <c r="FR28" s="498">
        <f t="shared" si="39"/>
        <v>92</v>
      </c>
      <c r="FS28" s="597">
        <f t="shared" si="40"/>
        <v>96</v>
      </c>
      <c r="FT28" s="648"/>
      <c r="FU28" s="551">
        <f t="shared" si="41"/>
        <v>3146</v>
      </c>
      <c r="FV28" s="553" t="s">
        <v>129</v>
      </c>
      <c r="FW28" s="554" t="str">
        <f t="shared" si="42"/>
        <v>OK</v>
      </c>
    </row>
    <row r="29" spans="1:179" ht="15" customHeight="1" x14ac:dyDescent="0.25">
      <c r="A29" s="650" t="s">
        <v>130</v>
      </c>
      <c r="B29" s="492"/>
      <c r="C29" s="492"/>
      <c r="D29" s="492"/>
      <c r="E29" s="492"/>
      <c r="F29" s="492"/>
      <c r="G29" s="492">
        <v>5</v>
      </c>
      <c r="H29" s="492">
        <v>8</v>
      </c>
      <c r="I29" s="492"/>
      <c r="J29" s="492"/>
      <c r="K29" s="492"/>
      <c r="L29" s="492"/>
      <c r="M29" s="492"/>
      <c r="N29" s="493">
        <f t="shared" si="24"/>
        <v>13</v>
      </c>
      <c r="O29" s="492"/>
      <c r="P29" s="492">
        <v>5</v>
      </c>
      <c r="Q29" s="492">
        <v>8</v>
      </c>
      <c r="R29" s="492"/>
      <c r="S29" s="492">
        <v>5</v>
      </c>
      <c r="T29" s="492">
        <v>3</v>
      </c>
      <c r="U29" s="492"/>
      <c r="V29" s="492"/>
      <c r="W29" s="492"/>
      <c r="X29" s="492"/>
      <c r="Y29" s="492"/>
      <c r="Z29" s="492"/>
      <c r="AA29" s="493">
        <f t="shared" si="25"/>
        <v>21</v>
      </c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3">
        <f t="shared" si="26"/>
        <v>0</v>
      </c>
      <c r="AO29" s="492"/>
      <c r="AP29" s="492"/>
      <c r="AQ29" s="492"/>
      <c r="AR29" s="492"/>
      <c r="AS29" s="492"/>
      <c r="AT29" s="492"/>
      <c r="AU29" s="492"/>
      <c r="AV29" s="492"/>
      <c r="AW29" s="492"/>
      <c r="AX29" s="492"/>
      <c r="AY29" s="492"/>
      <c r="AZ29" s="492"/>
      <c r="BA29" s="493">
        <f t="shared" si="27"/>
        <v>0</v>
      </c>
      <c r="BB29" s="492"/>
      <c r="BC29" s="492"/>
      <c r="BD29" s="492"/>
      <c r="BE29" s="492"/>
      <c r="BF29" s="492"/>
      <c r="BG29" s="492"/>
      <c r="BH29" s="492"/>
      <c r="BI29" s="492"/>
      <c r="BJ29" s="492"/>
      <c r="BK29" s="492"/>
      <c r="BL29" s="492"/>
      <c r="BM29" s="492">
        <v>1</v>
      </c>
      <c r="BN29" s="493">
        <f t="shared" si="28"/>
        <v>1</v>
      </c>
      <c r="BO29" s="492"/>
      <c r="BP29" s="492"/>
      <c r="BQ29" s="492">
        <v>2</v>
      </c>
      <c r="BR29" s="492"/>
      <c r="BS29" s="492"/>
      <c r="BT29" s="492"/>
      <c r="BU29" s="492">
        <v>1</v>
      </c>
      <c r="BV29" s="492"/>
      <c r="BW29" s="492"/>
      <c r="BX29" s="492">
        <v>2</v>
      </c>
      <c r="BY29" s="492">
        <v>2</v>
      </c>
      <c r="BZ29" s="492"/>
      <c r="CA29" s="493">
        <f t="shared" si="29"/>
        <v>7</v>
      </c>
      <c r="CB29" s="492">
        <v>1</v>
      </c>
      <c r="CC29" s="492">
        <v>3</v>
      </c>
      <c r="CD29" s="492">
        <v>4</v>
      </c>
      <c r="CE29" s="492"/>
      <c r="CF29" s="492">
        <v>3</v>
      </c>
      <c r="CG29" s="492"/>
      <c r="CH29" s="492"/>
      <c r="CI29" s="492">
        <v>3</v>
      </c>
      <c r="CJ29" s="492">
        <v>2</v>
      </c>
      <c r="CK29" s="492">
        <v>1</v>
      </c>
      <c r="CL29" s="492">
        <v>2</v>
      </c>
      <c r="CM29" s="492">
        <v>2</v>
      </c>
      <c r="CN29" s="493">
        <f t="shared" si="30"/>
        <v>21</v>
      </c>
      <c r="CO29" s="492">
        <v>1</v>
      </c>
      <c r="CP29" s="492">
        <v>1</v>
      </c>
      <c r="CQ29" s="492">
        <v>2</v>
      </c>
      <c r="CR29" s="492">
        <v>4</v>
      </c>
      <c r="CS29" s="492">
        <v>3</v>
      </c>
      <c r="CT29" s="492">
        <v>4</v>
      </c>
      <c r="CU29" s="492"/>
      <c r="CV29" s="492"/>
      <c r="CW29" s="492"/>
      <c r="CX29" s="492">
        <v>4</v>
      </c>
      <c r="CY29" s="492"/>
      <c r="CZ29" s="492"/>
      <c r="DA29" s="493">
        <f t="shared" si="31"/>
        <v>19</v>
      </c>
      <c r="DB29" s="492">
        <v>3</v>
      </c>
      <c r="DC29" s="492"/>
      <c r="DD29" s="492">
        <v>4</v>
      </c>
      <c r="DE29" s="492"/>
      <c r="DF29" s="492"/>
      <c r="DG29" s="492"/>
      <c r="DH29" s="492"/>
      <c r="DI29" s="492"/>
      <c r="DJ29" s="492"/>
      <c r="DK29" s="492"/>
      <c r="DL29" s="492"/>
      <c r="DM29" s="492"/>
      <c r="DN29" s="493">
        <f t="shared" si="32"/>
        <v>7</v>
      </c>
      <c r="DO29" s="492"/>
      <c r="DP29" s="492"/>
      <c r="DQ29" s="492"/>
      <c r="DR29" s="492"/>
      <c r="DS29" s="492"/>
      <c r="DT29" s="492"/>
      <c r="DU29" s="492"/>
      <c r="DV29" s="492"/>
      <c r="DW29" s="492"/>
      <c r="DX29" s="492"/>
      <c r="DY29" s="492"/>
      <c r="DZ29" s="492"/>
      <c r="EA29" s="493">
        <f t="shared" si="33"/>
        <v>0</v>
      </c>
      <c r="EB29" s="492"/>
      <c r="EC29" s="492">
        <v>2</v>
      </c>
      <c r="ED29" s="492"/>
      <c r="EE29" s="492"/>
      <c r="EF29" s="492"/>
      <c r="EG29" s="492"/>
      <c r="EH29" s="492"/>
      <c r="EI29" s="492"/>
      <c r="EJ29" s="492"/>
      <c r="EK29" s="492">
        <v>1</v>
      </c>
      <c r="EL29" s="492"/>
      <c r="EM29" s="492"/>
      <c r="EN29" s="493">
        <f t="shared" si="34"/>
        <v>3</v>
      </c>
      <c r="EO29" s="492"/>
      <c r="EP29" s="492">
        <v>1</v>
      </c>
      <c r="EQ29" s="492">
        <v>22</v>
      </c>
      <c r="ER29" s="492">
        <v>6</v>
      </c>
      <c r="ES29" s="492"/>
      <c r="ET29" s="492"/>
      <c r="EU29" s="492"/>
      <c r="EV29" s="492"/>
      <c r="EW29" s="492"/>
      <c r="EX29" s="492"/>
      <c r="EY29" s="492"/>
      <c r="EZ29" s="492"/>
      <c r="FA29" s="493">
        <f t="shared" si="35"/>
        <v>29</v>
      </c>
      <c r="FB29" s="492"/>
      <c r="FC29" s="492"/>
      <c r="FD29" s="492"/>
      <c r="FE29" s="492"/>
      <c r="FF29" s="492"/>
      <c r="FG29" s="492"/>
      <c r="FH29" s="492"/>
      <c r="FI29" s="492"/>
      <c r="FJ29" s="492"/>
      <c r="FK29" s="492"/>
      <c r="FL29" s="492"/>
      <c r="FM29" s="492"/>
      <c r="FN29" s="493">
        <f t="shared" si="36"/>
        <v>0</v>
      </c>
      <c r="FP29" s="595" t="str">
        <f t="shared" si="37"/>
        <v/>
      </c>
      <c r="FQ29" s="596">
        <f t="shared" si="38"/>
        <v>1350</v>
      </c>
      <c r="FR29" s="498">
        <f t="shared" si="39"/>
        <v>2</v>
      </c>
      <c r="FS29" s="597">
        <f t="shared" si="40"/>
        <v>29</v>
      </c>
      <c r="FT29" s="648"/>
      <c r="FU29" s="551">
        <f t="shared" si="41"/>
        <v>242</v>
      </c>
      <c r="FV29" s="553" t="s">
        <v>130</v>
      </c>
      <c r="FW29" s="554" t="str">
        <f t="shared" si="42"/>
        <v>OK</v>
      </c>
    </row>
    <row r="30" spans="1:179" ht="15" customHeight="1" x14ac:dyDescent="0.25">
      <c r="A30" s="653" t="s">
        <v>131</v>
      </c>
      <c r="B30" s="492">
        <v>7</v>
      </c>
      <c r="C30" s="492">
        <v>9</v>
      </c>
      <c r="D30" s="492">
        <v>13</v>
      </c>
      <c r="E30" s="492">
        <v>6</v>
      </c>
      <c r="F30" s="492">
        <v>7</v>
      </c>
      <c r="G30" s="492">
        <v>6</v>
      </c>
      <c r="H30" s="492">
        <v>14</v>
      </c>
      <c r="I30" s="492">
        <v>7</v>
      </c>
      <c r="J30" s="492">
        <v>8</v>
      </c>
      <c r="K30" s="492">
        <v>3</v>
      </c>
      <c r="L30" s="492">
        <v>6</v>
      </c>
      <c r="M30" s="492">
        <v>12</v>
      </c>
      <c r="N30" s="493">
        <f t="shared" si="24"/>
        <v>98</v>
      </c>
      <c r="O30" s="492">
        <v>12</v>
      </c>
      <c r="P30" s="492">
        <v>10</v>
      </c>
      <c r="Q30" s="492">
        <v>6</v>
      </c>
      <c r="R30" s="492">
        <v>5</v>
      </c>
      <c r="S30" s="492">
        <v>1</v>
      </c>
      <c r="T30" s="492"/>
      <c r="U30" s="492"/>
      <c r="V30" s="492">
        <v>2</v>
      </c>
      <c r="W30" s="492">
        <v>7</v>
      </c>
      <c r="X30" s="492">
        <v>1</v>
      </c>
      <c r="Y30" s="492">
        <v>9</v>
      </c>
      <c r="Z30" s="492">
        <v>3</v>
      </c>
      <c r="AA30" s="493">
        <f t="shared" si="25"/>
        <v>56</v>
      </c>
      <c r="AB30" s="492">
        <v>7</v>
      </c>
      <c r="AC30" s="492">
        <v>6</v>
      </c>
      <c r="AD30" s="492">
        <v>1</v>
      </c>
      <c r="AE30" s="492">
        <v>7</v>
      </c>
      <c r="AF30" s="492">
        <v>4</v>
      </c>
      <c r="AG30" s="492">
        <v>9</v>
      </c>
      <c r="AH30" s="492">
        <v>1</v>
      </c>
      <c r="AI30" s="492">
        <v>2</v>
      </c>
      <c r="AJ30" s="492">
        <v>18</v>
      </c>
      <c r="AK30" s="492">
        <v>14</v>
      </c>
      <c r="AL30" s="492">
        <v>14</v>
      </c>
      <c r="AM30" s="492">
        <v>4</v>
      </c>
      <c r="AN30" s="493">
        <f t="shared" si="26"/>
        <v>87</v>
      </c>
      <c r="AO30" s="492">
        <v>3</v>
      </c>
      <c r="AP30" s="492">
        <v>2</v>
      </c>
      <c r="AQ30" s="492">
        <v>6</v>
      </c>
      <c r="AR30" s="492">
        <v>15</v>
      </c>
      <c r="AS30" s="492">
        <v>5</v>
      </c>
      <c r="AT30" s="492">
        <v>2</v>
      </c>
      <c r="AU30" s="492">
        <v>2</v>
      </c>
      <c r="AV30" s="492">
        <v>2</v>
      </c>
      <c r="AW30" s="492">
        <v>12</v>
      </c>
      <c r="AX30" s="492">
        <v>9</v>
      </c>
      <c r="AY30" s="492">
        <v>18</v>
      </c>
      <c r="AZ30" s="492">
        <v>7</v>
      </c>
      <c r="BA30" s="493">
        <f t="shared" si="27"/>
        <v>83</v>
      </c>
      <c r="BB30" s="492">
        <v>4</v>
      </c>
      <c r="BC30" s="492">
        <v>14</v>
      </c>
      <c r="BD30" s="492">
        <v>3</v>
      </c>
      <c r="BE30" s="492">
        <v>7</v>
      </c>
      <c r="BF30" s="492">
        <v>3</v>
      </c>
      <c r="BG30" s="492">
        <v>3</v>
      </c>
      <c r="BH30" s="492">
        <v>4</v>
      </c>
      <c r="BI30" s="492">
        <v>3</v>
      </c>
      <c r="BJ30" s="492">
        <v>8</v>
      </c>
      <c r="BK30" s="492">
        <v>10</v>
      </c>
      <c r="BL30" s="492">
        <v>6</v>
      </c>
      <c r="BM30" s="492">
        <v>6</v>
      </c>
      <c r="BN30" s="493">
        <f t="shared" si="28"/>
        <v>71</v>
      </c>
      <c r="BO30" s="492">
        <v>3</v>
      </c>
      <c r="BP30" s="492">
        <v>7</v>
      </c>
      <c r="BQ30" s="492">
        <v>11</v>
      </c>
      <c r="BR30" s="492">
        <v>6</v>
      </c>
      <c r="BS30" s="492">
        <v>4</v>
      </c>
      <c r="BT30" s="492">
        <v>4</v>
      </c>
      <c r="BU30" s="492"/>
      <c r="BV30" s="492">
        <v>2</v>
      </c>
      <c r="BW30" s="492">
        <v>18</v>
      </c>
      <c r="BX30" s="492">
        <v>6</v>
      </c>
      <c r="BY30" s="492">
        <v>4</v>
      </c>
      <c r="BZ30" s="492">
        <v>1</v>
      </c>
      <c r="CA30" s="493">
        <f t="shared" si="29"/>
        <v>66</v>
      </c>
      <c r="CB30" s="492"/>
      <c r="CC30" s="492">
        <v>18</v>
      </c>
      <c r="CD30" s="492">
        <v>10.5</v>
      </c>
      <c r="CE30" s="492">
        <v>9</v>
      </c>
      <c r="CF30" s="492">
        <v>5</v>
      </c>
      <c r="CG30" s="492">
        <v>6</v>
      </c>
      <c r="CH30" s="492">
        <v>2</v>
      </c>
      <c r="CI30" s="492">
        <v>18</v>
      </c>
      <c r="CJ30" s="492">
        <v>11</v>
      </c>
      <c r="CK30" s="492">
        <v>11</v>
      </c>
      <c r="CL30" s="492">
        <v>1</v>
      </c>
      <c r="CM30" s="492">
        <v>4</v>
      </c>
      <c r="CN30" s="493">
        <f t="shared" si="30"/>
        <v>95.5</v>
      </c>
      <c r="CO30" s="492">
        <v>18</v>
      </c>
      <c r="CP30" s="492">
        <v>17</v>
      </c>
      <c r="CQ30" s="492">
        <v>6</v>
      </c>
      <c r="CR30" s="492">
        <v>24</v>
      </c>
      <c r="CS30" s="492"/>
      <c r="CT30" s="492">
        <v>3</v>
      </c>
      <c r="CU30" s="492"/>
      <c r="CV30" s="492"/>
      <c r="CW30" s="492">
        <v>3</v>
      </c>
      <c r="CX30" s="492">
        <v>9</v>
      </c>
      <c r="CY30" s="492">
        <v>5</v>
      </c>
      <c r="CZ30" s="492">
        <v>2</v>
      </c>
      <c r="DA30" s="493">
        <f t="shared" si="31"/>
        <v>87</v>
      </c>
      <c r="DB30" s="492">
        <v>11</v>
      </c>
      <c r="DC30" s="492">
        <v>22</v>
      </c>
      <c r="DD30" s="492">
        <v>17</v>
      </c>
      <c r="DE30" s="492"/>
      <c r="DF30" s="492"/>
      <c r="DG30" s="492"/>
      <c r="DH30" s="492"/>
      <c r="DI30" s="492"/>
      <c r="DJ30" s="492">
        <v>2</v>
      </c>
      <c r="DK30" s="492">
        <v>16</v>
      </c>
      <c r="DL30" s="492"/>
      <c r="DM30" s="492">
        <v>15</v>
      </c>
      <c r="DN30" s="493">
        <f t="shared" si="32"/>
        <v>83</v>
      </c>
      <c r="DO30" s="492"/>
      <c r="DP30" s="492">
        <v>13</v>
      </c>
      <c r="DQ30" s="492">
        <v>25</v>
      </c>
      <c r="DR30" s="492"/>
      <c r="DS30" s="492"/>
      <c r="DT30" s="492">
        <v>20</v>
      </c>
      <c r="DU30" s="492">
        <v>8</v>
      </c>
      <c r="DV30" s="492">
        <v>22</v>
      </c>
      <c r="DW30" s="492">
        <v>17</v>
      </c>
      <c r="DX30" s="492">
        <v>37</v>
      </c>
      <c r="DY30" s="492">
        <v>43</v>
      </c>
      <c r="DZ30" s="492">
        <v>16</v>
      </c>
      <c r="EA30" s="493">
        <f t="shared" si="33"/>
        <v>201</v>
      </c>
      <c r="EB30" s="492">
        <v>27</v>
      </c>
      <c r="EC30" s="492">
        <v>28</v>
      </c>
      <c r="ED30" s="492">
        <v>16</v>
      </c>
      <c r="EE30" s="492">
        <v>5</v>
      </c>
      <c r="EF30" s="492">
        <v>3</v>
      </c>
      <c r="EG30" s="492"/>
      <c r="EH30" s="492"/>
      <c r="EI30" s="492"/>
      <c r="EJ30" s="492"/>
      <c r="EK30" s="492">
        <v>22</v>
      </c>
      <c r="EL30" s="492">
        <v>12</v>
      </c>
      <c r="EM30" s="492">
        <v>28</v>
      </c>
      <c r="EN30" s="493">
        <f t="shared" si="34"/>
        <v>141</v>
      </c>
      <c r="EO30" s="492">
        <v>21</v>
      </c>
      <c r="EP30" s="492">
        <v>67</v>
      </c>
      <c r="EQ30" s="492">
        <v>27</v>
      </c>
      <c r="ER30" s="492">
        <v>11</v>
      </c>
      <c r="ES30" s="492"/>
      <c r="ET30" s="492"/>
      <c r="EU30" s="492"/>
      <c r="EV30" s="492"/>
      <c r="EW30" s="492"/>
      <c r="EX30" s="492"/>
      <c r="EY30" s="492"/>
      <c r="EZ30" s="492"/>
      <c r="FA30" s="493">
        <f t="shared" si="35"/>
        <v>126</v>
      </c>
      <c r="FB30" s="492"/>
      <c r="FC30" s="492"/>
      <c r="FD30" s="492"/>
      <c r="FE30" s="492"/>
      <c r="FF30" s="492"/>
      <c r="FG30" s="492"/>
      <c r="FH30" s="492"/>
      <c r="FI30" s="492"/>
      <c r="FJ30" s="492"/>
      <c r="FK30" s="492"/>
      <c r="FL30" s="492"/>
      <c r="FM30" s="492"/>
      <c r="FN30" s="493">
        <f t="shared" si="36"/>
        <v>0</v>
      </c>
      <c r="FP30" s="654">
        <f t="shared" si="37"/>
        <v>120.00000000000001</v>
      </c>
      <c r="FQ30" s="655">
        <f t="shared" si="38"/>
        <v>65.789473684210535</v>
      </c>
      <c r="FR30" s="656">
        <f t="shared" si="39"/>
        <v>76</v>
      </c>
      <c r="FS30" s="657">
        <f t="shared" si="40"/>
        <v>126</v>
      </c>
      <c r="FT30" s="648"/>
      <c r="FU30" s="551">
        <f t="shared" si="41"/>
        <v>2389</v>
      </c>
      <c r="FV30" s="553" t="s">
        <v>131</v>
      </c>
      <c r="FW30" s="554" t="str">
        <f t="shared" si="42"/>
        <v>OK</v>
      </c>
    </row>
    <row r="31" spans="1:179" ht="15" customHeight="1" x14ac:dyDescent="0.25">
      <c r="A31" s="653" t="s">
        <v>641</v>
      </c>
      <c r="B31" s="492">
        <v>13</v>
      </c>
      <c r="C31" s="492">
        <v>20</v>
      </c>
      <c r="D31" s="492">
        <v>12</v>
      </c>
      <c r="E31" s="492">
        <v>5</v>
      </c>
      <c r="F31" s="492">
        <v>8</v>
      </c>
      <c r="G31" s="492">
        <v>6</v>
      </c>
      <c r="H31" s="492">
        <v>13</v>
      </c>
      <c r="I31" s="492">
        <v>2</v>
      </c>
      <c r="J31" s="492">
        <v>6</v>
      </c>
      <c r="K31" s="492">
        <v>3</v>
      </c>
      <c r="L31" s="492">
        <v>10</v>
      </c>
      <c r="M31" s="492">
        <v>18</v>
      </c>
      <c r="N31" s="493">
        <f t="shared" si="24"/>
        <v>116</v>
      </c>
      <c r="O31" s="492">
        <v>11</v>
      </c>
      <c r="P31" s="492">
        <v>14</v>
      </c>
      <c r="Q31" s="492">
        <v>6</v>
      </c>
      <c r="R31" s="492">
        <v>10</v>
      </c>
      <c r="S31" s="492">
        <v>4</v>
      </c>
      <c r="T31" s="492">
        <v>2</v>
      </c>
      <c r="U31" s="492">
        <v>3</v>
      </c>
      <c r="V31" s="492">
        <v>6</v>
      </c>
      <c r="W31" s="492">
        <v>7</v>
      </c>
      <c r="X31" s="492">
        <v>6</v>
      </c>
      <c r="Y31" s="492">
        <v>31</v>
      </c>
      <c r="Z31" s="492">
        <v>59</v>
      </c>
      <c r="AA31" s="493">
        <f t="shared" si="25"/>
        <v>159</v>
      </c>
      <c r="AB31" s="492">
        <v>11</v>
      </c>
      <c r="AC31" s="492">
        <v>3</v>
      </c>
      <c r="AD31" s="492">
        <v>3</v>
      </c>
      <c r="AE31" s="492">
        <v>6</v>
      </c>
      <c r="AF31" s="492">
        <v>9</v>
      </c>
      <c r="AG31" s="492">
        <v>10</v>
      </c>
      <c r="AH31" s="492">
        <v>3</v>
      </c>
      <c r="AI31" s="492">
        <v>3</v>
      </c>
      <c r="AJ31" s="492">
        <v>5</v>
      </c>
      <c r="AK31" s="492">
        <v>13</v>
      </c>
      <c r="AL31" s="492">
        <v>14</v>
      </c>
      <c r="AM31" s="492">
        <v>3</v>
      </c>
      <c r="AN31" s="493">
        <f t="shared" si="26"/>
        <v>83</v>
      </c>
      <c r="AO31" s="492">
        <v>2</v>
      </c>
      <c r="AP31" s="492">
        <v>1</v>
      </c>
      <c r="AQ31" s="492">
        <v>6</v>
      </c>
      <c r="AR31" s="492">
        <v>11</v>
      </c>
      <c r="AS31" s="492">
        <v>5</v>
      </c>
      <c r="AT31" s="492">
        <v>1</v>
      </c>
      <c r="AU31" s="492">
        <v>2</v>
      </c>
      <c r="AV31" s="492">
        <v>1</v>
      </c>
      <c r="AW31" s="492">
        <v>13</v>
      </c>
      <c r="AX31" s="492">
        <v>11</v>
      </c>
      <c r="AY31" s="492">
        <v>15</v>
      </c>
      <c r="AZ31" s="492">
        <v>8</v>
      </c>
      <c r="BA31" s="493">
        <f t="shared" si="27"/>
        <v>76</v>
      </c>
      <c r="BB31" s="492">
        <v>4</v>
      </c>
      <c r="BC31" s="492">
        <v>11</v>
      </c>
      <c r="BD31" s="492">
        <v>4</v>
      </c>
      <c r="BE31" s="492">
        <v>7</v>
      </c>
      <c r="BF31" s="492">
        <v>4</v>
      </c>
      <c r="BG31" s="492">
        <v>2</v>
      </c>
      <c r="BH31" s="492">
        <v>3</v>
      </c>
      <c r="BI31" s="492">
        <v>4</v>
      </c>
      <c r="BJ31" s="492">
        <v>12</v>
      </c>
      <c r="BK31" s="492">
        <v>11</v>
      </c>
      <c r="BL31" s="492">
        <v>8</v>
      </c>
      <c r="BM31" s="492">
        <v>8</v>
      </c>
      <c r="BN31" s="493">
        <f t="shared" si="28"/>
        <v>78</v>
      </c>
      <c r="BO31" s="492">
        <v>6</v>
      </c>
      <c r="BP31" s="492">
        <v>11</v>
      </c>
      <c r="BQ31" s="492">
        <v>15</v>
      </c>
      <c r="BR31" s="492">
        <v>6</v>
      </c>
      <c r="BS31" s="492">
        <v>8</v>
      </c>
      <c r="BT31" s="492">
        <v>3</v>
      </c>
      <c r="BU31" s="492">
        <v>2</v>
      </c>
      <c r="BV31" s="492"/>
      <c r="BW31" s="492">
        <v>17</v>
      </c>
      <c r="BX31" s="492">
        <v>9</v>
      </c>
      <c r="BY31" s="492">
        <v>6</v>
      </c>
      <c r="BZ31" s="492">
        <v>1</v>
      </c>
      <c r="CA31" s="493">
        <f t="shared" si="29"/>
        <v>84</v>
      </c>
      <c r="CB31" s="492">
        <v>1</v>
      </c>
      <c r="CC31" s="492">
        <v>15</v>
      </c>
      <c r="CD31" s="492">
        <v>6</v>
      </c>
      <c r="CE31" s="492">
        <v>8</v>
      </c>
      <c r="CF31" s="492">
        <v>3</v>
      </c>
      <c r="CG31" s="492">
        <v>5</v>
      </c>
      <c r="CH31" s="492">
        <v>2</v>
      </c>
      <c r="CI31" s="492">
        <v>6</v>
      </c>
      <c r="CJ31" s="492">
        <v>1</v>
      </c>
      <c r="CK31" s="492">
        <v>13</v>
      </c>
      <c r="CL31" s="492"/>
      <c r="CM31" s="492">
        <v>2</v>
      </c>
      <c r="CN31" s="493">
        <f t="shared" si="30"/>
        <v>62</v>
      </c>
      <c r="CO31" s="492">
        <v>16</v>
      </c>
      <c r="CP31" s="492">
        <v>17</v>
      </c>
      <c r="CQ31" s="492">
        <v>5</v>
      </c>
      <c r="CR31" s="492">
        <v>7</v>
      </c>
      <c r="CS31" s="492"/>
      <c r="CT31" s="492">
        <v>1</v>
      </c>
      <c r="CU31" s="492">
        <v>1</v>
      </c>
      <c r="CV31" s="492"/>
      <c r="CW31" s="492">
        <v>2</v>
      </c>
      <c r="CX31" s="492">
        <v>10</v>
      </c>
      <c r="CY31" s="492">
        <v>7</v>
      </c>
      <c r="CZ31" s="492">
        <v>4</v>
      </c>
      <c r="DA31" s="493">
        <f t="shared" si="31"/>
        <v>70</v>
      </c>
      <c r="DB31" s="492"/>
      <c r="DC31" s="492">
        <v>6</v>
      </c>
      <c r="DD31" s="492">
        <v>15</v>
      </c>
      <c r="DE31" s="492">
        <v>12</v>
      </c>
      <c r="DF31" s="492"/>
      <c r="DG31" s="492"/>
      <c r="DH31" s="492"/>
      <c r="DI31" s="492"/>
      <c r="DJ31" s="492">
        <v>2</v>
      </c>
      <c r="DK31" s="492">
        <v>8</v>
      </c>
      <c r="DL31" s="492">
        <v>2</v>
      </c>
      <c r="DM31" s="492"/>
      <c r="DN31" s="493">
        <f t="shared" si="32"/>
        <v>45</v>
      </c>
      <c r="DO31" s="492"/>
      <c r="DP31" s="492"/>
      <c r="DQ31" s="492">
        <v>18</v>
      </c>
      <c r="DR31" s="492"/>
      <c r="DS31" s="492"/>
      <c r="DT31" s="492"/>
      <c r="DU31" s="492">
        <v>1</v>
      </c>
      <c r="DV31" s="492"/>
      <c r="DW31" s="492"/>
      <c r="DX31" s="492">
        <v>6</v>
      </c>
      <c r="DY31" s="492">
        <v>24</v>
      </c>
      <c r="DZ31" s="492">
        <v>11</v>
      </c>
      <c r="EA31" s="493">
        <f t="shared" si="33"/>
        <v>60</v>
      </c>
      <c r="EB31" s="492">
        <v>7</v>
      </c>
      <c r="EC31" s="492">
        <v>14</v>
      </c>
      <c r="ED31" s="492">
        <v>10</v>
      </c>
      <c r="EE31" s="492">
        <v>8</v>
      </c>
      <c r="EF31" s="492">
        <v>4</v>
      </c>
      <c r="EG31" s="492"/>
      <c r="EH31" s="492"/>
      <c r="EI31" s="492">
        <v>1</v>
      </c>
      <c r="EJ31" s="492"/>
      <c r="EK31" s="492">
        <v>11</v>
      </c>
      <c r="EL31" s="492">
        <v>15</v>
      </c>
      <c r="EM31" s="492">
        <v>17</v>
      </c>
      <c r="EN31" s="493">
        <f t="shared" si="34"/>
        <v>87</v>
      </c>
      <c r="EO31" s="492">
        <v>9</v>
      </c>
      <c r="EP31" s="492">
        <v>58</v>
      </c>
      <c r="EQ31" s="492">
        <v>18</v>
      </c>
      <c r="ER31" s="492">
        <v>10</v>
      </c>
      <c r="ES31" s="492"/>
      <c r="ET31" s="492"/>
      <c r="EU31" s="492"/>
      <c r="EV31" s="492"/>
      <c r="EW31" s="492"/>
      <c r="EX31" s="492"/>
      <c r="EY31" s="492"/>
      <c r="EZ31" s="492"/>
      <c r="FA31" s="493">
        <f t="shared" si="35"/>
        <v>95</v>
      </c>
      <c r="FB31" s="492"/>
      <c r="FC31" s="492"/>
      <c r="FD31" s="492"/>
      <c r="FE31" s="492"/>
      <c r="FF31" s="492"/>
      <c r="FG31" s="492"/>
      <c r="FH31" s="492"/>
      <c r="FI31" s="492"/>
      <c r="FJ31" s="492"/>
      <c r="FK31" s="492"/>
      <c r="FL31" s="492"/>
      <c r="FM31" s="492"/>
      <c r="FN31" s="493">
        <f t="shared" si="36"/>
        <v>0</v>
      </c>
      <c r="FP31" s="654">
        <f t="shared" si="37"/>
        <v>25</v>
      </c>
      <c r="FQ31" s="655">
        <f t="shared" si="38"/>
        <v>143.58974358974356</v>
      </c>
      <c r="FR31" s="656">
        <f t="shared" si="39"/>
        <v>39</v>
      </c>
      <c r="FS31" s="657">
        <f t="shared" si="40"/>
        <v>95</v>
      </c>
      <c r="FT31" s="648"/>
      <c r="FU31" s="551">
        <f t="shared" si="41"/>
        <v>2030</v>
      </c>
      <c r="FV31" s="553" t="s">
        <v>641</v>
      </c>
      <c r="FW31" s="554" t="str">
        <f t="shared" si="42"/>
        <v>OK</v>
      </c>
    </row>
    <row r="32" spans="1:179" ht="15" customHeight="1" x14ac:dyDescent="0.25">
      <c r="A32" s="653" t="s">
        <v>132</v>
      </c>
      <c r="B32" s="492"/>
      <c r="C32" s="492"/>
      <c r="D32" s="492"/>
      <c r="E32" s="492"/>
      <c r="F32" s="492"/>
      <c r="G32" s="492"/>
      <c r="H32" s="492"/>
      <c r="I32" s="492"/>
      <c r="J32" s="492"/>
      <c r="K32" s="492"/>
      <c r="L32" s="492">
        <v>14</v>
      </c>
      <c r="M32" s="492">
        <v>9</v>
      </c>
      <c r="N32" s="493">
        <f t="shared" si="24"/>
        <v>23</v>
      </c>
      <c r="O32" s="492">
        <v>2</v>
      </c>
      <c r="P32" s="492"/>
      <c r="Q32" s="492">
        <v>5</v>
      </c>
      <c r="R32" s="492">
        <v>5</v>
      </c>
      <c r="S32" s="492"/>
      <c r="T32" s="492"/>
      <c r="U32" s="492"/>
      <c r="V32" s="492"/>
      <c r="W32" s="492"/>
      <c r="X32" s="492"/>
      <c r="Y32" s="492">
        <v>2</v>
      </c>
      <c r="Z32" s="492">
        <v>2</v>
      </c>
      <c r="AA32" s="493">
        <f t="shared" si="25"/>
        <v>16</v>
      </c>
      <c r="AB32" s="492"/>
      <c r="AC32" s="492"/>
      <c r="AD32" s="492"/>
      <c r="AE32" s="492"/>
      <c r="AF32" s="492"/>
      <c r="AG32" s="492"/>
      <c r="AH32" s="492"/>
      <c r="AI32" s="492"/>
      <c r="AJ32" s="492"/>
      <c r="AK32" s="492">
        <v>23</v>
      </c>
      <c r="AL32" s="492">
        <v>30</v>
      </c>
      <c r="AM32" s="492"/>
      <c r="AN32" s="493">
        <f t="shared" si="26"/>
        <v>53</v>
      </c>
      <c r="AO32" s="492"/>
      <c r="AP32" s="492"/>
      <c r="AQ32" s="492"/>
      <c r="AR32" s="492"/>
      <c r="AS32" s="492"/>
      <c r="AT32" s="492"/>
      <c r="AU32" s="492"/>
      <c r="AV32" s="492"/>
      <c r="AW32" s="492">
        <v>7</v>
      </c>
      <c r="AX32" s="492">
        <v>10</v>
      </c>
      <c r="AY32" s="492">
        <v>13</v>
      </c>
      <c r="AZ32" s="492"/>
      <c r="BA32" s="493">
        <f t="shared" si="27"/>
        <v>30</v>
      </c>
      <c r="BB32" s="492"/>
      <c r="BC32" s="492"/>
      <c r="BD32" s="492"/>
      <c r="BE32" s="492"/>
      <c r="BF32" s="492"/>
      <c r="BG32" s="492"/>
      <c r="BH32" s="492"/>
      <c r="BI32" s="492"/>
      <c r="BJ32" s="492">
        <v>2</v>
      </c>
      <c r="BK32" s="492">
        <v>7</v>
      </c>
      <c r="BL32" s="492">
        <v>13</v>
      </c>
      <c r="BM32" s="492">
        <v>21</v>
      </c>
      <c r="BN32" s="493">
        <f t="shared" si="28"/>
        <v>43</v>
      </c>
      <c r="BO32" s="492">
        <v>13</v>
      </c>
      <c r="BP32" s="492">
        <v>9</v>
      </c>
      <c r="BQ32" s="492">
        <v>2</v>
      </c>
      <c r="BR32" s="492"/>
      <c r="BS32" s="492">
        <v>2</v>
      </c>
      <c r="BT32" s="492"/>
      <c r="BU32" s="492"/>
      <c r="BV32" s="492"/>
      <c r="BW32" s="492">
        <v>3</v>
      </c>
      <c r="BX32" s="492">
        <v>15</v>
      </c>
      <c r="BY32" s="492">
        <v>8</v>
      </c>
      <c r="BZ32" s="492"/>
      <c r="CA32" s="493">
        <f t="shared" si="29"/>
        <v>52</v>
      </c>
      <c r="CB32" s="492"/>
      <c r="CC32" s="492">
        <v>6</v>
      </c>
      <c r="CD32" s="492">
        <v>1</v>
      </c>
      <c r="CE32" s="492">
        <v>6</v>
      </c>
      <c r="CF32" s="492">
        <v>6</v>
      </c>
      <c r="CG32" s="492">
        <v>7</v>
      </c>
      <c r="CH32" s="492"/>
      <c r="CI32" s="492">
        <v>6</v>
      </c>
      <c r="CJ32" s="492">
        <v>8</v>
      </c>
      <c r="CK32" s="492">
        <v>30</v>
      </c>
      <c r="CL32" s="492">
        <v>40</v>
      </c>
      <c r="CM32" s="492">
        <v>9</v>
      </c>
      <c r="CN32" s="493">
        <f t="shared" si="30"/>
        <v>119</v>
      </c>
      <c r="CO32" s="492">
        <v>8</v>
      </c>
      <c r="CP32" s="492">
        <v>4</v>
      </c>
      <c r="CQ32" s="492">
        <v>2</v>
      </c>
      <c r="CR32" s="492">
        <v>7</v>
      </c>
      <c r="CS32" s="492"/>
      <c r="CT32" s="492"/>
      <c r="CU32" s="492"/>
      <c r="CV32" s="492"/>
      <c r="CW32" s="492">
        <v>3</v>
      </c>
      <c r="CX32" s="492">
        <v>10</v>
      </c>
      <c r="CY32" s="492">
        <v>19</v>
      </c>
      <c r="CZ32" s="492">
        <v>8</v>
      </c>
      <c r="DA32" s="493">
        <f t="shared" si="31"/>
        <v>61</v>
      </c>
      <c r="DB32" s="492">
        <v>16</v>
      </c>
      <c r="DC32" s="492">
        <v>22</v>
      </c>
      <c r="DD32" s="492">
        <v>10</v>
      </c>
      <c r="DE32" s="492">
        <v>333</v>
      </c>
      <c r="DF32" s="492"/>
      <c r="DG32" s="492"/>
      <c r="DH32" s="492"/>
      <c r="DI32" s="492"/>
      <c r="DJ32" s="492">
        <v>21</v>
      </c>
      <c r="DK32" s="492">
        <v>73</v>
      </c>
      <c r="DL32" s="492">
        <v>75</v>
      </c>
      <c r="DM32" s="492">
        <v>67</v>
      </c>
      <c r="DN32" s="493">
        <f t="shared" si="32"/>
        <v>617</v>
      </c>
      <c r="DO32" s="492"/>
      <c r="DP32" s="492"/>
      <c r="DQ32" s="492"/>
      <c r="DR32" s="492"/>
      <c r="DS32" s="492"/>
      <c r="DT32" s="492"/>
      <c r="DU32" s="492"/>
      <c r="DV32" s="492"/>
      <c r="DW32" s="492">
        <v>54</v>
      </c>
      <c r="DX32" s="492">
        <v>58</v>
      </c>
      <c r="DY32" s="492">
        <v>39</v>
      </c>
      <c r="DZ32" s="492">
        <v>18</v>
      </c>
      <c r="EA32" s="493">
        <f t="shared" si="33"/>
        <v>169</v>
      </c>
      <c r="EB32" s="492">
        <v>22</v>
      </c>
      <c r="EC32" s="492">
        <v>18</v>
      </c>
      <c r="ED32" s="492">
        <v>13</v>
      </c>
      <c r="EE32" s="492">
        <v>2</v>
      </c>
      <c r="EF32" s="492"/>
      <c r="EG32" s="492"/>
      <c r="EH32" s="492"/>
      <c r="EI32" s="492"/>
      <c r="EJ32" s="492"/>
      <c r="EK32" s="492">
        <v>1262</v>
      </c>
      <c r="EL32" s="492">
        <v>46</v>
      </c>
      <c r="EM32" s="492">
        <v>17</v>
      </c>
      <c r="EN32" s="493">
        <f t="shared" si="34"/>
        <v>1380</v>
      </c>
      <c r="EO32" s="492">
        <v>7</v>
      </c>
      <c r="EP32" s="492">
        <v>12</v>
      </c>
      <c r="EQ32" s="492">
        <v>8</v>
      </c>
      <c r="ER32" s="492">
        <v>9</v>
      </c>
      <c r="ES32" s="492"/>
      <c r="ET32" s="492"/>
      <c r="EU32" s="492"/>
      <c r="EV32" s="492"/>
      <c r="EW32" s="492"/>
      <c r="EX32" s="492"/>
      <c r="EY32" s="492"/>
      <c r="EZ32" s="492"/>
      <c r="FA32" s="493">
        <f t="shared" si="35"/>
        <v>36</v>
      </c>
      <c r="FB32" s="492"/>
      <c r="FC32" s="492"/>
      <c r="FD32" s="492"/>
      <c r="FE32" s="492"/>
      <c r="FF32" s="492"/>
      <c r="FG32" s="492"/>
      <c r="FH32" s="492"/>
      <c r="FI32" s="492"/>
      <c r="FJ32" s="492"/>
      <c r="FK32" s="492"/>
      <c r="FL32" s="492"/>
      <c r="FM32" s="492"/>
      <c r="FN32" s="493">
        <f t="shared" si="36"/>
        <v>0</v>
      </c>
      <c r="FP32" s="654">
        <f t="shared" si="37"/>
        <v>350</v>
      </c>
      <c r="FQ32" s="655">
        <f t="shared" si="38"/>
        <v>-34.545454545454547</v>
      </c>
      <c r="FR32" s="656">
        <f t="shared" si="39"/>
        <v>55</v>
      </c>
      <c r="FS32" s="657">
        <f t="shared" si="40"/>
        <v>36</v>
      </c>
      <c r="FT32" s="648"/>
      <c r="FU32" s="551">
        <f t="shared" si="41"/>
        <v>5198</v>
      </c>
      <c r="FV32" s="553" t="s">
        <v>132</v>
      </c>
      <c r="FW32" s="554" t="str">
        <f t="shared" si="42"/>
        <v>OK</v>
      </c>
    </row>
    <row r="33" spans="1:179" ht="15" customHeight="1" x14ac:dyDescent="0.25">
      <c r="A33" s="653" t="s">
        <v>133</v>
      </c>
      <c r="B33" s="492">
        <v>18</v>
      </c>
      <c r="C33" s="492">
        <v>16</v>
      </c>
      <c r="D33" s="492">
        <v>16</v>
      </c>
      <c r="E33" s="492">
        <v>18</v>
      </c>
      <c r="F33" s="492">
        <v>9</v>
      </c>
      <c r="G33" s="492">
        <v>10</v>
      </c>
      <c r="H33" s="492">
        <v>28</v>
      </c>
      <c r="I33" s="492"/>
      <c r="J33" s="492"/>
      <c r="K33" s="492"/>
      <c r="L33" s="492"/>
      <c r="M33" s="492"/>
      <c r="N33" s="493">
        <f t="shared" si="24"/>
        <v>115</v>
      </c>
      <c r="O33" s="492">
        <v>3</v>
      </c>
      <c r="P33" s="492">
        <v>3</v>
      </c>
      <c r="Q33" s="492">
        <v>1</v>
      </c>
      <c r="R33" s="492">
        <v>4</v>
      </c>
      <c r="S33" s="492">
        <v>2</v>
      </c>
      <c r="T33" s="492">
        <v>5</v>
      </c>
      <c r="U33" s="492">
        <v>2</v>
      </c>
      <c r="V33" s="492"/>
      <c r="W33" s="492"/>
      <c r="X33" s="492"/>
      <c r="Y33" s="492">
        <v>2</v>
      </c>
      <c r="Z33" s="492"/>
      <c r="AA33" s="493">
        <f t="shared" si="25"/>
        <v>22</v>
      </c>
      <c r="AB33" s="492"/>
      <c r="AC33" s="492"/>
      <c r="AD33" s="492">
        <v>2</v>
      </c>
      <c r="AE33" s="492">
        <v>2</v>
      </c>
      <c r="AF33" s="492">
        <v>2</v>
      </c>
      <c r="AG33" s="492">
        <v>2</v>
      </c>
      <c r="AH33" s="492">
        <v>4</v>
      </c>
      <c r="AI33" s="492"/>
      <c r="AJ33" s="492">
        <v>3</v>
      </c>
      <c r="AK33" s="492">
        <v>3</v>
      </c>
      <c r="AL33" s="492">
        <v>3</v>
      </c>
      <c r="AM33" s="492">
        <v>3</v>
      </c>
      <c r="AN33" s="493">
        <f t="shared" si="26"/>
        <v>24</v>
      </c>
      <c r="AO33" s="492">
        <v>3</v>
      </c>
      <c r="AP33" s="492"/>
      <c r="AQ33" s="492">
        <v>3</v>
      </c>
      <c r="AR33" s="492">
        <v>3</v>
      </c>
      <c r="AS33" s="492">
        <v>3</v>
      </c>
      <c r="AT33" s="492">
        <v>3</v>
      </c>
      <c r="AU33" s="492">
        <v>3</v>
      </c>
      <c r="AV33" s="492">
        <v>3</v>
      </c>
      <c r="AW33" s="492">
        <v>4</v>
      </c>
      <c r="AX33" s="492">
        <v>3</v>
      </c>
      <c r="AY33" s="492">
        <v>3</v>
      </c>
      <c r="AZ33" s="492">
        <v>3</v>
      </c>
      <c r="BA33" s="493">
        <f t="shared" si="27"/>
        <v>34</v>
      </c>
      <c r="BB33" s="492">
        <v>3</v>
      </c>
      <c r="BC33" s="492">
        <v>3</v>
      </c>
      <c r="BD33" s="492">
        <v>3</v>
      </c>
      <c r="BE33" s="492">
        <v>3</v>
      </c>
      <c r="BF33" s="492">
        <v>1</v>
      </c>
      <c r="BG33" s="492"/>
      <c r="BH33" s="492"/>
      <c r="BI33" s="492"/>
      <c r="BJ33" s="492">
        <v>5</v>
      </c>
      <c r="BK33" s="492">
        <v>5</v>
      </c>
      <c r="BL33" s="492">
        <v>5</v>
      </c>
      <c r="BM33" s="492">
        <v>8</v>
      </c>
      <c r="BN33" s="493">
        <f t="shared" si="28"/>
        <v>36</v>
      </c>
      <c r="BO33" s="492">
        <v>1</v>
      </c>
      <c r="BP33" s="492">
        <v>3</v>
      </c>
      <c r="BQ33" s="492">
        <v>7</v>
      </c>
      <c r="BR33" s="492">
        <v>4</v>
      </c>
      <c r="BS33" s="492">
        <v>4</v>
      </c>
      <c r="BT33" s="492"/>
      <c r="BU33" s="492">
        <v>1</v>
      </c>
      <c r="BV33" s="492"/>
      <c r="BW33" s="492">
        <v>2</v>
      </c>
      <c r="BX33" s="492">
        <v>6</v>
      </c>
      <c r="BY33" s="492">
        <v>5</v>
      </c>
      <c r="BZ33" s="492">
        <v>1</v>
      </c>
      <c r="CA33" s="493">
        <f t="shared" si="29"/>
        <v>34</v>
      </c>
      <c r="CB33" s="492">
        <v>3</v>
      </c>
      <c r="CC33" s="492">
        <v>2</v>
      </c>
      <c r="CD33" s="492">
        <v>3</v>
      </c>
      <c r="CE33" s="492"/>
      <c r="CF33" s="492"/>
      <c r="CG33" s="492"/>
      <c r="CH33" s="492"/>
      <c r="CI33" s="492">
        <v>5</v>
      </c>
      <c r="CJ33" s="492">
        <v>4</v>
      </c>
      <c r="CK33" s="492">
        <v>3</v>
      </c>
      <c r="CL33" s="492"/>
      <c r="CM33" s="492">
        <v>2</v>
      </c>
      <c r="CN33" s="493">
        <f t="shared" si="30"/>
        <v>22</v>
      </c>
      <c r="CO33" s="492">
        <v>56</v>
      </c>
      <c r="CP33" s="492">
        <v>13</v>
      </c>
      <c r="CQ33" s="492">
        <v>1</v>
      </c>
      <c r="CR33" s="492">
        <v>41</v>
      </c>
      <c r="CS33" s="492">
        <v>4</v>
      </c>
      <c r="CT33" s="492"/>
      <c r="CU33" s="492">
        <v>2</v>
      </c>
      <c r="CV33" s="492"/>
      <c r="CW33" s="492"/>
      <c r="CX33" s="492"/>
      <c r="CY33" s="492"/>
      <c r="CZ33" s="492"/>
      <c r="DA33" s="493">
        <f t="shared" si="31"/>
        <v>117</v>
      </c>
      <c r="DB33" s="492">
        <v>5</v>
      </c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/>
      <c r="DN33" s="493">
        <f t="shared" si="32"/>
        <v>5</v>
      </c>
      <c r="DO33" s="492"/>
      <c r="DP33" s="492">
        <v>14</v>
      </c>
      <c r="DQ33" s="492">
        <v>16</v>
      </c>
      <c r="DR33" s="492"/>
      <c r="DS33" s="492"/>
      <c r="DT33" s="492"/>
      <c r="DU33" s="492"/>
      <c r="DV33" s="492"/>
      <c r="DW33" s="492"/>
      <c r="DX33" s="492"/>
      <c r="DY33" s="492"/>
      <c r="DZ33" s="492">
        <v>11</v>
      </c>
      <c r="EA33" s="493">
        <f t="shared" si="33"/>
        <v>41</v>
      </c>
      <c r="EB33" s="492">
        <v>3</v>
      </c>
      <c r="EC33" s="492">
        <v>2</v>
      </c>
      <c r="ED33" s="492"/>
      <c r="EE33" s="492"/>
      <c r="EF33" s="492"/>
      <c r="EG33" s="492"/>
      <c r="EH33" s="492"/>
      <c r="EI33" s="492"/>
      <c r="EJ33" s="492"/>
      <c r="EK33" s="492">
        <v>8</v>
      </c>
      <c r="EL33" s="492"/>
      <c r="EM33" s="492"/>
      <c r="EN33" s="493">
        <f t="shared" si="34"/>
        <v>13</v>
      </c>
      <c r="EO33" s="492"/>
      <c r="EP33" s="492"/>
      <c r="EQ33" s="492">
        <v>4</v>
      </c>
      <c r="ER33" s="492">
        <v>1</v>
      </c>
      <c r="ES33" s="492"/>
      <c r="ET33" s="492"/>
      <c r="EU33" s="492"/>
      <c r="EV33" s="492"/>
      <c r="EW33" s="492"/>
      <c r="EX33" s="492"/>
      <c r="EY33" s="492"/>
      <c r="EZ33" s="492"/>
      <c r="FA33" s="493">
        <f t="shared" si="35"/>
        <v>5</v>
      </c>
      <c r="FB33" s="492"/>
      <c r="FC33" s="492"/>
      <c r="FD33" s="492"/>
      <c r="FE33" s="492"/>
      <c r="FF33" s="492"/>
      <c r="FG33" s="492"/>
      <c r="FH33" s="492"/>
      <c r="FI33" s="492"/>
      <c r="FJ33" s="492"/>
      <c r="FK33" s="492"/>
      <c r="FL33" s="492"/>
      <c r="FM33" s="492"/>
      <c r="FN33" s="493">
        <f t="shared" si="36"/>
        <v>0</v>
      </c>
      <c r="FP33" s="658" t="str">
        <f t="shared" si="37"/>
        <v/>
      </c>
      <c r="FQ33" s="659">
        <f t="shared" si="38"/>
        <v>0</v>
      </c>
      <c r="FR33" s="660">
        <f t="shared" si="39"/>
        <v>5</v>
      </c>
      <c r="FS33" s="661">
        <f t="shared" si="40"/>
        <v>5</v>
      </c>
      <c r="FT33" s="648"/>
      <c r="FU33" s="551">
        <f t="shared" si="41"/>
        <v>936</v>
      </c>
      <c r="FV33" s="553" t="s">
        <v>133</v>
      </c>
      <c r="FW33" s="554" t="str">
        <f t="shared" si="42"/>
        <v>OK</v>
      </c>
    </row>
    <row r="34" spans="1:179" ht="15" customHeight="1" x14ac:dyDescent="0.25">
      <c r="A34" s="653" t="s">
        <v>351</v>
      </c>
      <c r="B34" s="492">
        <v>3</v>
      </c>
      <c r="C34" s="492">
        <v>8</v>
      </c>
      <c r="D34" s="492">
        <v>3</v>
      </c>
      <c r="E34" s="492">
        <v>3</v>
      </c>
      <c r="F34" s="492">
        <v>2</v>
      </c>
      <c r="G34" s="492">
        <v>19</v>
      </c>
      <c r="H34" s="492">
        <v>11</v>
      </c>
      <c r="I34" s="492">
        <v>4</v>
      </c>
      <c r="J34" s="492">
        <v>5</v>
      </c>
      <c r="K34" s="492">
        <v>5</v>
      </c>
      <c r="L34" s="492">
        <v>4</v>
      </c>
      <c r="M34" s="492">
        <v>5</v>
      </c>
      <c r="N34" s="493">
        <f t="shared" si="24"/>
        <v>72</v>
      </c>
      <c r="O34" s="492">
        <v>4</v>
      </c>
      <c r="P34" s="492">
        <v>6</v>
      </c>
      <c r="Q34" s="492">
        <v>4</v>
      </c>
      <c r="R34" s="492">
        <v>4</v>
      </c>
      <c r="S34" s="492">
        <v>5</v>
      </c>
      <c r="T34" s="492">
        <v>4</v>
      </c>
      <c r="U34" s="492">
        <v>9</v>
      </c>
      <c r="V34" s="492">
        <v>4</v>
      </c>
      <c r="W34" s="492">
        <v>11</v>
      </c>
      <c r="X34" s="492">
        <v>4</v>
      </c>
      <c r="Y34" s="492">
        <v>6</v>
      </c>
      <c r="Z34" s="492">
        <v>5</v>
      </c>
      <c r="AA34" s="493">
        <f t="shared" si="25"/>
        <v>66</v>
      </c>
      <c r="AB34" s="492">
        <v>5</v>
      </c>
      <c r="AC34" s="492"/>
      <c r="AD34" s="492">
        <v>4</v>
      </c>
      <c r="AE34" s="492">
        <v>4</v>
      </c>
      <c r="AF34" s="492">
        <v>9</v>
      </c>
      <c r="AG34" s="492">
        <v>2</v>
      </c>
      <c r="AH34" s="492">
        <v>1</v>
      </c>
      <c r="AI34" s="492"/>
      <c r="AJ34" s="492">
        <v>14</v>
      </c>
      <c r="AK34" s="492">
        <v>12</v>
      </c>
      <c r="AL34" s="492">
        <v>2</v>
      </c>
      <c r="AM34" s="492">
        <v>1</v>
      </c>
      <c r="AN34" s="493">
        <f t="shared" si="26"/>
        <v>54</v>
      </c>
      <c r="AO34" s="492">
        <v>2</v>
      </c>
      <c r="AP34" s="492"/>
      <c r="AQ34" s="492">
        <v>2</v>
      </c>
      <c r="AR34" s="492">
        <v>6</v>
      </c>
      <c r="AS34" s="492">
        <v>3</v>
      </c>
      <c r="AT34" s="492">
        <v>2</v>
      </c>
      <c r="AU34" s="492">
        <v>2</v>
      </c>
      <c r="AV34" s="492">
        <v>2</v>
      </c>
      <c r="AW34" s="492">
        <v>3</v>
      </c>
      <c r="AX34" s="492">
        <v>2</v>
      </c>
      <c r="AY34" s="492">
        <v>2</v>
      </c>
      <c r="AZ34" s="492">
        <v>2</v>
      </c>
      <c r="BA34" s="493">
        <f t="shared" si="27"/>
        <v>28</v>
      </c>
      <c r="BB34" s="492">
        <v>2</v>
      </c>
      <c r="BC34" s="492">
        <v>2</v>
      </c>
      <c r="BD34" s="492">
        <v>2</v>
      </c>
      <c r="BE34" s="492">
        <v>3</v>
      </c>
      <c r="BF34" s="492">
        <v>1</v>
      </c>
      <c r="BG34" s="492"/>
      <c r="BH34" s="492"/>
      <c r="BI34" s="492"/>
      <c r="BJ34" s="492"/>
      <c r="BK34" s="492"/>
      <c r="BL34" s="492"/>
      <c r="BM34" s="492"/>
      <c r="BN34" s="493">
        <f t="shared" si="28"/>
        <v>10</v>
      </c>
      <c r="BO34" s="492"/>
      <c r="BP34" s="492"/>
      <c r="BQ34" s="492">
        <v>2</v>
      </c>
      <c r="BR34" s="492"/>
      <c r="BS34" s="492"/>
      <c r="BT34" s="492"/>
      <c r="BU34" s="492">
        <v>2</v>
      </c>
      <c r="BV34" s="492"/>
      <c r="BW34" s="492">
        <v>5</v>
      </c>
      <c r="BX34" s="492">
        <v>17</v>
      </c>
      <c r="BY34" s="492">
        <v>4</v>
      </c>
      <c r="BZ34" s="492">
        <v>2</v>
      </c>
      <c r="CA34" s="493">
        <f t="shared" si="29"/>
        <v>32</v>
      </c>
      <c r="CB34" s="492">
        <v>1</v>
      </c>
      <c r="CC34" s="492"/>
      <c r="CD34" s="492"/>
      <c r="CE34" s="492"/>
      <c r="CF34" s="492"/>
      <c r="CG34" s="492">
        <v>2</v>
      </c>
      <c r="CH34" s="492"/>
      <c r="CI34" s="492">
        <v>1</v>
      </c>
      <c r="CJ34" s="492">
        <v>2</v>
      </c>
      <c r="CK34" s="492">
        <v>1</v>
      </c>
      <c r="CL34" s="492"/>
      <c r="CM34" s="492"/>
      <c r="CN34" s="493">
        <f t="shared" si="30"/>
        <v>7</v>
      </c>
      <c r="CO34" s="492"/>
      <c r="CP34" s="492"/>
      <c r="CQ34" s="492">
        <v>2</v>
      </c>
      <c r="CR34" s="492">
        <v>11</v>
      </c>
      <c r="CS34" s="492">
        <v>2</v>
      </c>
      <c r="CT34" s="492"/>
      <c r="CU34" s="492"/>
      <c r="CV34" s="492"/>
      <c r="CW34" s="492"/>
      <c r="CX34" s="492">
        <v>3</v>
      </c>
      <c r="CY34" s="492"/>
      <c r="CZ34" s="492">
        <v>1</v>
      </c>
      <c r="DA34" s="493">
        <f t="shared" si="31"/>
        <v>19</v>
      </c>
      <c r="DB34" s="492"/>
      <c r="DC34" s="492"/>
      <c r="DD34" s="492"/>
      <c r="DE34" s="492"/>
      <c r="DF34" s="492"/>
      <c r="DG34" s="492"/>
      <c r="DH34" s="492"/>
      <c r="DI34" s="492">
        <v>5</v>
      </c>
      <c r="DJ34" s="492"/>
      <c r="DK34" s="492"/>
      <c r="DL34" s="492"/>
      <c r="DM34" s="492"/>
      <c r="DN34" s="493">
        <f t="shared" si="32"/>
        <v>5</v>
      </c>
      <c r="DO34" s="492"/>
      <c r="DP34" s="492">
        <v>4</v>
      </c>
      <c r="DQ34" s="492">
        <v>2</v>
      </c>
      <c r="DR34" s="492"/>
      <c r="DS34" s="492">
        <v>1.19</v>
      </c>
      <c r="DT34" s="492"/>
      <c r="DU34" s="492"/>
      <c r="DV34" s="492"/>
      <c r="DW34" s="492"/>
      <c r="DX34" s="492"/>
      <c r="DY34" s="492"/>
      <c r="DZ34" s="492">
        <v>11</v>
      </c>
      <c r="EA34" s="493">
        <f t="shared" si="33"/>
        <v>18.189999999999998</v>
      </c>
      <c r="EB34" s="492"/>
      <c r="EC34" s="492">
        <v>1</v>
      </c>
      <c r="ED34" s="492">
        <v>2</v>
      </c>
      <c r="EE34" s="492"/>
      <c r="EF34" s="492">
        <v>1</v>
      </c>
      <c r="EG34" s="492"/>
      <c r="EH34" s="492"/>
      <c r="EI34" s="492">
        <v>3</v>
      </c>
      <c r="EJ34" s="492"/>
      <c r="EK34" s="492">
        <v>11</v>
      </c>
      <c r="EL34" s="492"/>
      <c r="EM34" s="492"/>
      <c r="EN34" s="493">
        <f t="shared" si="34"/>
        <v>18</v>
      </c>
      <c r="EO34" s="492"/>
      <c r="EP34" s="492"/>
      <c r="EQ34" s="492">
        <v>8</v>
      </c>
      <c r="ER34" s="492">
        <v>2</v>
      </c>
      <c r="ES34" s="492"/>
      <c r="ET34" s="492"/>
      <c r="EU34" s="492"/>
      <c r="EV34" s="492"/>
      <c r="EW34" s="492"/>
      <c r="EX34" s="492"/>
      <c r="EY34" s="492"/>
      <c r="EZ34" s="492"/>
      <c r="FA34" s="493">
        <f t="shared" si="35"/>
        <v>10</v>
      </c>
      <c r="FB34" s="492"/>
      <c r="FC34" s="492"/>
      <c r="FD34" s="492"/>
      <c r="FE34" s="492"/>
      <c r="FF34" s="492"/>
      <c r="FG34" s="492"/>
      <c r="FH34" s="492"/>
      <c r="FI34" s="492"/>
      <c r="FJ34" s="492"/>
      <c r="FK34" s="492"/>
      <c r="FL34" s="492"/>
      <c r="FM34" s="492"/>
      <c r="FN34" s="493">
        <f t="shared" si="36"/>
        <v>0</v>
      </c>
      <c r="FP34" s="654" t="str">
        <f t="shared" si="37"/>
        <v/>
      </c>
      <c r="FQ34" s="655">
        <f t="shared" si="38"/>
        <v>233.33333333333334</v>
      </c>
      <c r="FR34" s="656">
        <f t="shared" si="39"/>
        <v>3</v>
      </c>
      <c r="FS34" s="657">
        <f t="shared" si="40"/>
        <v>10</v>
      </c>
      <c r="FT34" s="648"/>
      <c r="FU34" s="551">
        <f t="shared" si="41"/>
        <v>678.38000000000011</v>
      </c>
      <c r="FV34" s="553" t="s">
        <v>351</v>
      </c>
      <c r="FW34" s="554" t="str">
        <f t="shared" si="42"/>
        <v>OK</v>
      </c>
    </row>
    <row r="35" spans="1:179" ht="15" customHeight="1" x14ac:dyDescent="0.25">
      <c r="A35" s="653" t="s">
        <v>134</v>
      </c>
      <c r="B35" s="492"/>
      <c r="C35" s="492">
        <v>4</v>
      </c>
      <c r="D35" s="492"/>
      <c r="E35" s="492"/>
      <c r="F35" s="492"/>
      <c r="G35" s="492">
        <v>4</v>
      </c>
      <c r="H35" s="492">
        <v>4</v>
      </c>
      <c r="I35" s="492"/>
      <c r="J35" s="492"/>
      <c r="K35" s="492"/>
      <c r="L35" s="492"/>
      <c r="M35" s="492"/>
      <c r="N35" s="493">
        <f t="shared" si="24"/>
        <v>12</v>
      </c>
      <c r="O35" s="492"/>
      <c r="P35" s="492"/>
      <c r="Q35" s="492"/>
      <c r="R35" s="492"/>
      <c r="S35" s="492"/>
      <c r="T35" s="492"/>
      <c r="U35" s="492"/>
      <c r="V35" s="492"/>
      <c r="W35" s="492"/>
      <c r="X35" s="492"/>
      <c r="Y35" s="492"/>
      <c r="Z35" s="492"/>
      <c r="AA35" s="493">
        <f t="shared" si="25"/>
        <v>0</v>
      </c>
      <c r="AB35" s="492"/>
      <c r="AC35" s="492"/>
      <c r="AD35" s="492"/>
      <c r="AE35" s="492"/>
      <c r="AF35" s="492"/>
      <c r="AG35" s="492"/>
      <c r="AH35" s="492"/>
      <c r="AI35" s="492"/>
      <c r="AJ35" s="492"/>
      <c r="AK35" s="492"/>
      <c r="AL35" s="492"/>
      <c r="AM35" s="492"/>
      <c r="AN35" s="493">
        <f t="shared" si="26"/>
        <v>0</v>
      </c>
      <c r="AO35" s="492"/>
      <c r="AP35" s="492"/>
      <c r="AQ35" s="492"/>
      <c r="AR35" s="492"/>
      <c r="AS35" s="492"/>
      <c r="AT35" s="492"/>
      <c r="AU35" s="492"/>
      <c r="AV35" s="492"/>
      <c r="AW35" s="492"/>
      <c r="AX35" s="492"/>
      <c r="AY35" s="492"/>
      <c r="AZ35" s="492"/>
      <c r="BA35" s="493">
        <f t="shared" si="27"/>
        <v>0</v>
      </c>
      <c r="BB35" s="492"/>
      <c r="BC35" s="492"/>
      <c r="BD35" s="492"/>
      <c r="BE35" s="492"/>
      <c r="BF35" s="492"/>
      <c r="BG35" s="492"/>
      <c r="BH35" s="492"/>
      <c r="BI35" s="492"/>
      <c r="BJ35" s="492"/>
      <c r="BK35" s="492"/>
      <c r="BL35" s="492"/>
      <c r="BM35" s="492"/>
      <c r="BN35" s="493">
        <f t="shared" si="28"/>
        <v>0</v>
      </c>
      <c r="BO35" s="492"/>
      <c r="BP35" s="492"/>
      <c r="BQ35" s="492"/>
      <c r="BR35" s="492"/>
      <c r="BS35" s="492"/>
      <c r="BT35" s="492"/>
      <c r="BU35" s="492"/>
      <c r="BV35" s="492"/>
      <c r="BW35" s="492"/>
      <c r="BX35" s="492"/>
      <c r="BY35" s="492">
        <v>2</v>
      </c>
      <c r="BZ35" s="492"/>
      <c r="CA35" s="493">
        <f t="shared" si="29"/>
        <v>2</v>
      </c>
      <c r="CB35" s="492"/>
      <c r="CC35" s="492"/>
      <c r="CD35" s="492"/>
      <c r="CE35" s="492"/>
      <c r="CF35" s="492"/>
      <c r="CG35" s="492"/>
      <c r="CH35" s="492"/>
      <c r="CI35" s="492"/>
      <c r="CJ35" s="492"/>
      <c r="CK35" s="492"/>
      <c r="CL35" s="492"/>
      <c r="CM35" s="492"/>
      <c r="CN35" s="493">
        <f t="shared" si="30"/>
        <v>0</v>
      </c>
      <c r="CO35" s="492"/>
      <c r="CP35" s="492"/>
      <c r="CQ35" s="492"/>
      <c r="CR35" s="492"/>
      <c r="CS35" s="492"/>
      <c r="CT35" s="492"/>
      <c r="CU35" s="492"/>
      <c r="CV35" s="492"/>
      <c r="CW35" s="492"/>
      <c r="CX35" s="492"/>
      <c r="CY35" s="492"/>
      <c r="CZ35" s="492"/>
      <c r="DA35" s="493">
        <f t="shared" si="31"/>
        <v>0</v>
      </c>
      <c r="DB35" s="492"/>
      <c r="DC35" s="492"/>
      <c r="DD35" s="492"/>
      <c r="DE35" s="492"/>
      <c r="DF35" s="492"/>
      <c r="DG35" s="492"/>
      <c r="DH35" s="492"/>
      <c r="DI35" s="492"/>
      <c r="DJ35" s="492"/>
      <c r="DK35" s="492"/>
      <c r="DL35" s="492"/>
      <c r="DM35" s="492"/>
      <c r="DN35" s="493">
        <f t="shared" si="32"/>
        <v>0</v>
      </c>
      <c r="DO35" s="492"/>
      <c r="DP35" s="492">
        <v>5</v>
      </c>
      <c r="DQ35" s="492">
        <v>2</v>
      </c>
      <c r="DR35" s="492"/>
      <c r="DS35" s="492"/>
      <c r="DT35" s="492"/>
      <c r="DU35" s="492"/>
      <c r="DV35" s="492"/>
      <c r="DW35" s="492"/>
      <c r="DX35" s="492"/>
      <c r="DY35" s="492"/>
      <c r="DZ35" s="492">
        <v>2</v>
      </c>
      <c r="EA35" s="493">
        <f t="shared" si="33"/>
        <v>9</v>
      </c>
      <c r="EB35" s="492"/>
      <c r="EC35" s="492"/>
      <c r="ED35" s="492"/>
      <c r="EE35" s="492"/>
      <c r="EF35" s="492"/>
      <c r="EG35" s="492"/>
      <c r="EH35" s="492"/>
      <c r="EI35" s="492"/>
      <c r="EJ35" s="492"/>
      <c r="EK35" s="492"/>
      <c r="EL35" s="492"/>
      <c r="EM35" s="492"/>
      <c r="EN35" s="493">
        <f t="shared" si="34"/>
        <v>0</v>
      </c>
      <c r="EO35" s="492">
        <v>3</v>
      </c>
      <c r="EP35" s="492"/>
      <c r="EQ35" s="492"/>
      <c r="ER35" s="492"/>
      <c r="ES35" s="492"/>
      <c r="ET35" s="492"/>
      <c r="EU35" s="492"/>
      <c r="EV35" s="492"/>
      <c r="EW35" s="492"/>
      <c r="EX35" s="492"/>
      <c r="EY35" s="492"/>
      <c r="EZ35" s="492"/>
      <c r="FA35" s="493">
        <f t="shared" si="35"/>
        <v>3</v>
      </c>
      <c r="FB35" s="492"/>
      <c r="FC35" s="492"/>
      <c r="FD35" s="492"/>
      <c r="FE35" s="492"/>
      <c r="FF35" s="492"/>
      <c r="FG35" s="492"/>
      <c r="FH35" s="492"/>
      <c r="FI35" s="492"/>
      <c r="FJ35" s="492"/>
      <c r="FK35" s="492"/>
      <c r="FL35" s="492"/>
      <c r="FM35" s="492"/>
      <c r="FN35" s="493">
        <f t="shared" si="36"/>
        <v>0</v>
      </c>
      <c r="FP35" s="654" t="str">
        <f t="shared" si="37"/>
        <v/>
      </c>
      <c r="FQ35" s="655" t="str">
        <f t="shared" si="38"/>
        <v/>
      </c>
      <c r="FR35" s="656">
        <f t="shared" si="39"/>
        <v>0</v>
      </c>
      <c r="FS35" s="657">
        <f t="shared" si="40"/>
        <v>3</v>
      </c>
      <c r="FT35" s="648"/>
      <c r="FU35" s="551">
        <f t="shared" si="41"/>
        <v>52</v>
      </c>
      <c r="FV35" s="553" t="s">
        <v>134</v>
      </c>
      <c r="FW35" s="554" t="str">
        <f t="shared" si="42"/>
        <v>OK</v>
      </c>
    </row>
    <row r="36" spans="1:179" ht="15" customHeight="1" x14ac:dyDescent="0.25">
      <c r="A36" s="653" t="s">
        <v>136</v>
      </c>
      <c r="B36" s="492">
        <v>4</v>
      </c>
      <c r="C36" s="492">
        <v>3</v>
      </c>
      <c r="D36" s="492"/>
      <c r="E36" s="492"/>
      <c r="F36" s="492"/>
      <c r="G36" s="492"/>
      <c r="H36" s="492"/>
      <c r="I36" s="492">
        <v>2</v>
      </c>
      <c r="J36" s="492">
        <v>2</v>
      </c>
      <c r="K36" s="492">
        <v>4</v>
      </c>
      <c r="L36" s="492">
        <v>10</v>
      </c>
      <c r="M36" s="492">
        <v>11</v>
      </c>
      <c r="N36" s="493">
        <f t="shared" si="24"/>
        <v>36</v>
      </c>
      <c r="O36" s="492">
        <v>5</v>
      </c>
      <c r="P36" s="492">
        <v>5</v>
      </c>
      <c r="Q36" s="492">
        <v>1</v>
      </c>
      <c r="R36" s="492">
        <v>1</v>
      </c>
      <c r="S36" s="492"/>
      <c r="T36" s="492"/>
      <c r="U36" s="492"/>
      <c r="V36" s="492"/>
      <c r="W36" s="492"/>
      <c r="X36" s="492">
        <v>1</v>
      </c>
      <c r="Y36" s="492">
        <v>2</v>
      </c>
      <c r="Z36" s="492">
        <v>1</v>
      </c>
      <c r="AA36" s="493">
        <f t="shared" si="25"/>
        <v>16</v>
      </c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3">
        <f t="shared" si="26"/>
        <v>0</v>
      </c>
      <c r="AO36" s="492"/>
      <c r="AP36" s="492"/>
      <c r="AQ36" s="492"/>
      <c r="AR36" s="492"/>
      <c r="AS36" s="492"/>
      <c r="AT36" s="492"/>
      <c r="AU36" s="492"/>
      <c r="AV36" s="492"/>
      <c r="AW36" s="492">
        <v>2</v>
      </c>
      <c r="AX36" s="492">
        <v>4</v>
      </c>
      <c r="AY36" s="492">
        <v>3</v>
      </c>
      <c r="AZ36" s="492">
        <v>1</v>
      </c>
      <c r="BA36" s="493">
        <f t="shared" si="27"/>
        <v>10</v>
      </c>
      <c r="BB36" s="492"/>
      <c r="BC36" s="492"/>
      <c r="BD36" s="492"/>
      <c r="BE36" s="492"/>
      <c r="BF36" s="492"/>
      <c r="BG36" s="492"/>
      <c r="BH36" s="492">
        <v>1</v>
      </c>
      <c r="BI36" s="492">
        <v>1</v>
      </c>
      <c r="BJ36" s="492">
        <v>2</v>
      </c>
      <c r="BK36" s="492">
        <v>2</v>
      </c>
      <c r="BL36" s="492">
        <v>3</v>
      </c>
      <c r="BM36" s="492">
        <v>3</v>
      </c>
      <c r="BN36" s="493">
        <f t="shared" si="28"/>
        <v>12</v>
      </c>
      <c r="BO36" s="492">
        <v>2</v>
      </c>
      <c r="BP36" s="492"/>
      <c r="BQ36" s="492"/>
      <c r="BR36" s="492"/>
      <c r="BS36" s="492"/>
      <c r="BT36" s="492"/>
      <c r="BU36" s="492"/>
      <c r="BV36" s="492"/>
      <c r="BW36" s="492">
        <v>1</v>
      </c>
      <c r="BX36" s="492">
        <v>7</v>
      </c>
      <c r="BY36" s="492">
        <v>7</v>
      </c>
      <c r="BZ36" s="492"/>
      <c r="CA36" s="493">
        <f t="shared" si="29"/>
        <v>17</v>
      </c>
      <c r="CB36" s="492"/>
      <c r="CC36" s="492"/>
      <c r="CD36" s="492"/>
      <c r="CE36" s="492"/>
      <c r="CF36" s="492"/>
      <c r="CG36" s="492"/>
      <c r="CH36" s="492"/>
      <c r="CI36" s="492"/>
      <c r="CJ36" s="492">
        <v>3</v>
      </c>
      <c r="CK36" s="492">
        <v>5</v>
      </c>
      <c r="CL36" s="492">
        <v>3</v>
      </c>
      <c r="CM36" s="492"/>
      <c r="CN36" s="493">
        <f t="shared" si="30"/>
        <v>11</v>
      </c>
      <c r="CO36" s="492">
        <v>1</v>
      </c>
      <c r="CP36" s="492">
        <v>1</v>
      </c>
      <c r="CQ36" s="492"/>
      <c r="CR36" s="492"/>
      <c r="CS36" s="492">
        <v>5</v>
      </c>
      <c r="CT36" s="492"/>
      <c r="CU36" s="492"/>
      <c r="CV36" s="492"/>
      <c r="CW36" s="492">
        <v>3</v>
      </c>
      <c r="CX36" s="492">
        <v>6</v>
      </c>
      <c r="CY36" s="492">
        <v>3</v>
      </c>
      <c r="CZ36" s="492">
        <v>2</v>
      </c>
      <c r="DA36" s="493">
        <f t="shared" si="31"/>
        <v>21</v>
      </c>
      <c r="DB36" s="492"/>
      <c r="DC36" s="492"/>
      <c r="DD36" s="492"/>
      <c r="DE36" s="492"/>
      <c r="DF36" s="492"/>
      <c r="DG36" s="492"/>
      <c r="DH36" s="492"/>
      <c r="DI36" s="492"/>
      <c r="DJ36" s="492"/>
      <c r="DK36" s="492">
        <v>1.5</v>
      </c>
      <c r="DL36" s="492">
        <v>0.5</v>
      </c>
      <c r="DM36" s="492"/>
      <c r="DN36" s="493">
        <f t="shared" si="32"/>
        <v>2</v>
      </c>
      <c r="DO36" s="492">
        <v>4</v>
      </c>
      <c r="DP36" s="492"/>
      <c r="DQ36" s="492"/>
      <c r="DR36" s="492"/>
      <c r="DS36" s="492"/>
      <c r="DT36" s="492"/>
      <c r="DU36" s="492"/>
      <c r="DV36" s="492"/>
      <c r="DW36" s="492">
        <v>0.5</v>
      </c>
      <c r="DX36" s="492">
        <v>5</v>
      </c>
      <c r="DY36" s="492">
        <v>3</v>
      </c>
      <c r="DZ36" s="492">
        <v>4</v>
      </c>
      <c r="EA36" s="493">
        <f t="shared" si="33"/>
        <v>16.5</v>
      </c>
      <c r="EB36" s="492">
        <v>3</v>
      </c>
      <c r="EC36" s="492">
        <v>2</v>
      </c>
      <c r="ED36" s="492">
        <v>1</v>
      </c>
      <c r="EE36" s="492"/>
      <c r="EF36" s="492"/>
      <c r="EG36" s="492"/>
      <c r="EH36" s="492">
        <v>2</v>
      </c>
      <c r="EI36" s="492">
        <v>4</v>
      </c>
      <c r="EJ36" s="492">
        <v>3</v>
      </c>
      <c r="EK36" s="492">
        <v>16.5</v>
      </c>
      <c r="EL36" s="492">
        <v>13.5</v>
      </c>
      <c r="EM36" s="492">
        <v>2</v>
      </c>
      <c r="EN36" s="493">
        <f t="shared" si="34"/>
        <v>47</v>
      </c>
      <c r="EO36" s="492">
        <v>4</v>
      </c>
      <c r="EP36" s="492">
        <v>3</v>
      </c>
      <c r="EQ36" s="492">
        <v>6</v>
      </c>
      <c r="ER36" s="492">
        <v>6</v>
      </c>
      <c r="ES36" s="492"/>
      <c r="ET36" s="492"/>
      <c r="EU36" s="492"/>
      <c r="EV36" s="492"/>
      <c r="EW36" s="492"/>
      <c r="EX36" s="492"/>
      <c r="EY36" s="492"/>
      <c r="EZ36" s="492"/>
      <c r="FA36" s="493">
        <f t="shared" si="35"/>
        <v>19</v>
      </c>
      <c r="FB36" s="492"/>
      <c r="FC36" s="492"/>
      <c r="FD36" s="492"/>
      <c r="FE36" s="492"/>
      <c r="FF36" s="492"/>
      <c r="FG36" s="492"/>
      <c r="FH36" s="492"/>
      <c r="FI36" s="492"/>
      <c r="FJ36" s="492"/>
      <c r="FK36" s="492"/>
      <c r="FL36" s="492"/>
      <c r="FM36" s="492"/>
      <c r="FN36" s="493">
        <f t="shared" si="36"/>
        <v>0</v>
      </c>
      <c r="FP36" s="654" t="str">
        <f t="shared" si="37"/>
        <v/>
      </c>
      <c r="FQ36" s="655">
        <f t="shared" si="38"/>
        <v>216.66666666666666</v>
      </c>
      <c r="FR36" s="656">
        <f t="shared" si="39"/>
        <v>6</v>
      </c>
      <c r="FS36" s="657">
        <f t="shared" si="40"/>
        <v>19</v>
      </c>
      <c r="FT36" s="648"/>
      <c r="FU36" s="551">
        <f t="shared" si="41"/>
        <v>415</v>
      </c>
      <c r="FV36" s="553" t="s">
        <v>136</v>
      </c>
      <c r="FW36" s="554" t="str">
        <f t="shared" si="42"/>
        <v>OK</v>
      </c>
    </row>
    <row r="37" spans="1:179" ht="15" customHeight="1" x14ac:dyDescent="0.25">
      <c r="A37" s="653" t="s">
        <v>137</v>
      </c>
      <c r="B37" s="492"/>
      <c r="C37" s="492">
        <v>1</v>
      </c>
      <c r="D37" s="492"/>
      <c r="E37" s="492"/>
      <c r="F37" s="492"/>
      <c r="G37" s="492">
        <v>8</v>
      </c>
      <c r="H37" s="492">
        <v>8</v>
      </c>
      <c r="I37" s="492">
        <v>5</v>
      </c>
      <c r="J37" s="492">
        <v>1</v>
      </c>
      <c r="K37" s="492">
        <v>6</v>
      </c>
      <c r="L37" s="492">
        <v>6</v>
      </c>
      <c r="M37" s="492">
        <v>1</v>
      </c>
      <c r="N37" s="493">
        <f t="shared" si="24"/>
        <v>36</v>
      </c>
      <c r="O37" s="492">
        <v>2</v>
      </c>
      <c r="P37" s="492">
        <v>2</v>
      </c>
      <c r="Q37" s="492">
        <v>2</v>
      </c>
      <c r="R37" s="492">
        <v>1</v>
      </c>
      <c r="S37" s="492">
        <v>1</v>
      </c>
      <c r="T37" s="492">
        <v>1</v>
      </c>
      <c r="U37" s="492">
        <v>1</v>
      </c>
      <c r="V37" s="492">
        <v>1</v>
      </c>
      <c r="W37" s="492">
        <v>1</v>
      </c>
      <c r="X37" s="492">
        <v>1</v>
      </c>
      <c r="Y37" s="492"/>
      <c r="Z37" s="492">
        <v>1</v>
      </c>
      <c r="AA37" s="493">
        <f t="shared" si="25"/>
        <v>14</v>
      </c>
      <c r="AB37" s="492">
        <v>1</v>
      </c>
      <c r="AC37" s="492"/>
      <c r="AD37" s="492">
        <v>1</v>
      </c>
      <c r="AE37" s="492">
        <v>1</v>
      </c>
      <c r="AF37" s="492">
        <v>6</v>
      </c>
      <c r="AG37" s="492"/>
      <c r="AH37" s="492">
        <v>3</v>
      </c>
      <c r="AI37" s="492">
        <v>9</v>
      </c>
      <c r="AJ37" s="492">
        <v>9</v>
      </c>
      <c r="AK37" s="492">
        <v>9</v>
      </c>
      <c r="AL37" s="492">
        <v>12</v>
      </c>
      <c r="AM37" s="492">
        <v>9</v>
      </c>
      <c r="AN37" s="493">
        <f t="shared" si="26"/>
        <v>60</v>
      </c>
      <c r="AO37" s="492">
        <v>9</v>
      </c>
      <c r="AP37" s="492"/>
      <c r="AQ37" s="492">
        <v>11</v>
      </c>
      <c r="AR37" s="492">
        <v>6</v>
      </c>
      <c r="AS37" s="492">
        <v>10</v>
      </c>
      <c r="AT37" s="492">
        <v>11</v>
      </c>
      <c r="AU37" s="492"/>
      <c r="AV37" s="492">
        <v>6</v>
      </c>
      <c r="AW37" s="492">
        <v>9</v>
      </c>
      <c r="AX37" s="492"/>
      <c r="AY37" s="492"/>
      <c r="AZ37" s="492">
        <v>7</v>
      </c>
      <c r="BA37" s="493">
        <f t="shared" si="27"/>
        <v>69</v>
      </c>
      <c r="BB37" s="492"/>
      <c r="BC37" s="492"/>
      <c r="BD37" s="492"/>
      <c r="BE37" s="492"/>
      <c r="BF37" s="492"/>
      <c r="BG37" s="492"/>
      <c r="BH37" s="492"/>
      <c r="BI37" s="492"/>
      <c r="BJ37" s="492">
        <v>1</v>
      </c>
      <c r="BK37" s="492"/>
      <c r="BL37" s="492"/>
      <c r="BM37" s="492"/>
      <c r="BN37" s="493">
        <f t="shared" si="28"/>
        <v>1</v>
      </c>
      <c r="BO37" s="492"/>
      <c r="BP37" s="492"/>
      <c r="BQ37" s="492">
        <v>2</v>
      </c>
      <c r="BR37" s="492">
        <v>2</v>
      </c>
      <c r="BS37" s="492">
        <v>2</v>
      </c>
      <c r="BT37" s="492">
        <v>1</v>
      </c>
      <c r="BU37" s="492"/>
      <c r="BV37" s="492"/>
      <c r="BW37" s="492">
        <v>5</v>
      </c>
      <c r="BX37" s="492">
        <v>14</v>
      </c>
      <c r="BY37" s="492">
        <v>14</v>
      </c>
      <c r="BZ37" s="492"/>
      <c r="CA37" s="493">
        <f t="shared" si="29"/>
        <v>40</v>
      </c>
      <c r="CB37" s="492"/>
      <c r="CC37" s="492"/>
      <c r="CD37" s="492"/>
      <c r="CE37" s="492"/>
      <c r="CF37" s="492"/>
      <c r="CG37" s="492"/>
      <c r="CH37" s="492"/>
      <c r="CI37" s="492">
        <v>1</v>
      </c>
      <c r="CJ37" s="492"/>
      <c r="CK37" s="492"/>
      <c r="CL37" s="492"/>
      <c r="CM37" s="492"/>
      <c r="CN37" s="493">
        <f t="shared" si="30"/>
        <v>1</v>
      </c>
      <c r="CO37" s="492"/>
      <c r="CP37" s="492"/>
      <c r="CQ37" s="492">
        <v>1</v>
      </c>
      <c r="CR37" s="492">
        <v>20</v>
      </c>
      <c r="CS37" s="492"/>
      <c r="CT37" s="492"/>
      <c r="CU37" s="492"/>
      <c r="CV37" s="492"/>
      <c r="CW37" s="492"/>
      <c r="CX37" s="492">
        <v>1</v>
      </c>
      <c r="CY37" s="492"/>
      <c r="CZ37" s="492">
        <v>2</v>
      </c>
      <c r="DA37" s="493">
        <f t="shared" si="31"/>
        <v>24</v>
      </c>
      <c r="DB37" s="492"/>
      <c r="DC37" s="492"/>
      <c r="DD37" s="492"/>
      <c r="DE37" s="492"/>
      <c r="DF37" s="492"/>
      <c r="DG37" s="492"/>
      <c r="DH37" s="492"/>
      <c r="DI37" s="492"/>
      <c r="DJ37" s="492"/>
      <c r="DK37" s="492"/>
      <c r="DL37" s="492"/>
      <c r="DM37" s="492"/>
      <c r="DN37" s="493">
        <f t="shared" si="32"/>
        <v>0</v>
      </c>
      <c r="DO37" s="492"/>
      <c r="DP37" s="492"/>
      <c r="DQ37" s="492"/>
      <c r="DR37" s="492"/>
      <c r="DS37" s="492"/>
      <c r="DT37" s="492"/>
      <c r="DU37" s="492"/>
      <c r="DV37" s="492"/>
      <c r="DW37" s="492"/>
      <c r="DX37" s="492"/>
      <c r="DY37" s="492"/>
      <c r="DZ37" s="492"/>
      <c r="EA37" s="493">
        <f t="shared" si="33"/>
        <v>0</v>
      </c>
      <c r="EB37" s="492">
        <v>2</v>
      </c>
      <c r="EC37" s="492"/>
      <c r="ED37" s="492"/>
      <c r="EE37" s="492"/>
      <c r="EF37" s="492"/>
      <c r="EG37" s="492"/>
      <c r="EH37" s="492"/>
      <c r="EI37" s="492"/>
      <c r="EJ37" s="492"/>
      <c r="EK37" s="492">
        <v>7</v>
      </c>
      <c r="EL37" s="492">
        <v>3</v>
      </c>
      <c r="EM37" s="492">
        <v>3</v>
      </c>
      <c r="EN37" s="493">
        <f t="shared" si="34"/>
        <v>15</v>
      </c>
      <c r="EO37" s="492">
        <v>4</v>
      </c>
      <c r="EP37" s="492">
        <v>3</v>
      </c>
      <c r="EQ37" s="492">
        <v>24</v>
      </c>
      <c r="ER37" s="492">
        <v>11</v>
      </c>
      <c r="ES37" s="492"/>
      <c r="ET37" s="492"/>
      <c r="EU37" s="492"/>
      <c r="EV37" s="492"/>
      <c r="EW37" s="492"/>
      <c r="EX37" s="492"/>
      <c r="EY37" s="492"/>
      <c r="EZ37" s="492"/>
      <c r="FA37" s="493">
        <f t="shared" si="35"/>
        <v>42</v>
      </c>
      <c r="FB37" s="492"/>
      <c r="FC37" s="492"/>
      <c r="FD37" s="492"/>
      <c r="FE37" s="492"/>
      <c r="FF37" s="492"/>
      <c r="FG37" s="492"/>
      <c r="FH37" s="492"/>
      <c r="FI37" s="492"/>
      <c r="FJ37" s="492"/>
      <c r="FK37" s="492"/>
      <c r="FL37" s="492"/>
      <c r="FM37" s="492"/>
      <c r="FN37" s="493">
        <f t="shared" si="36"/>
        <v>0</v>
      </c>
      <c r="FP37" s="654" t="str">
        <f t="shared" si="37"/>
        <v/>
      </c>
      <c r="FQ37" s="655">
        <f t="shared" si="38"/>
        <v>2000</v>
      </c>
      <c r="FR37" s="656">
        <f t="shared" si="39"/>
        <v>2</v>
      </c>
      <c r="FS37" s="657">
        <f t="shared" si="40"/>
        <v>42</v>
      </c>
      <c r="FT37" s="648"/>
      <c r="FU37" s="551">
        <f t="shared" si="41"/>
        <v>604</v>
      </c>
      <c r="FV37" s="553" t="s">
        <v>137</v>
      </c>
      <c r="FW37" s="554" t="str">
        <f t="shared" si="42"/>
        <v>OK</v>
      </c>
    </row>
    <row r="38" spans="1:179" ht="15" customHeight="1" x14ac:dyDescent="0.25">
      <c r="A38" s="664" t="s">
        <v>108</v>
      </c>
      <c r="B38" s="492"/>
      <c r="C38" s="492"/>
      <c r="D38" s="492"/>
      <c r="E38" s="492"/>
      <c r="F38" s="492"/>
      <c r="G38" s="492"/>
      <c r="H38" s="492"/>
      <c r="I38" s="492"/>
      <c r="J38" s="492"/>
      <c r="K38" s="492"/>
      <c r="L38" s="492">
        <v>8</v>
      </c>
      <c r="M38" s="492"/>
      <c r="N38" s="493">
        <f t="shared" si="24"/>
        <v>8</v>
      </c>
      <c r="O38" s="492">
        <v>6</v>
      </c>
      <c r="P38" s="492">
        <v>2</v>
      </c>
      <c r="Q38" s="492">
        <v>1</v>
      </c>
      <c r="R38" s="492">
        <v>1</v>
      </c>
      <c r="S38" s="492"/>
      <c r="T38" s="492"/>
      <c r="U38" s="492"/>
      <c r="V38" s="492"/>
      <c r="W38" s="492"/>
      <c r="X38" s="492"/>
      <c r="Y38" s="492"/>
      <c r="Z38" s="492"/>
      <c r="AA38" s="493">
        <f t="shared" si="25"/>
        <v>10</v>
      </c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>
        <v>6</v>
      </c>
      <c r="AM38" s="492"/>
      <c r="AN38" s="493">
        <f t="shared" si="26"/>
        <v>6</v>
      </c>
      <c r="AO38" s="492"/>
      <c r="AP38" s="492"/>
      <c r="AQ38" s="492"/>
      <c r="AR38" s="492"/>
      <c r="AS38" s="492"/>
      <c r="AT38" s="492"/>
      <c r="AU38" s="492"/>
      <c r="AV38" s="492"/>
      <c r="AW38" s="492"/>
      <c r="AX38" s="492"/>
      <c r="AY38" s="492"/>
      <c r="AZ38" s="492"/>
      <c r="BA38" s="493">
        <f t="shared" si="27"/>
        <v>0</v>
      </c>
      <c r="BB38" s="492"/>
      <c r="BC38" s="492"/>
      <c r="BD38" s="492"/>
      <c r="BE38" s="492"/>
      <c r="BF38" s="492"/>
      <c r="BG38" s="492"/>
      <c r="BH38" s="492"/>
      <c r="BI38" s="492"/>
      <c r="BJ38" s="492"/>
      <c r="BK38" s="492"/>
      <c r="BL38" s="492">
        <v>2</v>
      </c>
      <c r="BM38" s="492"/>
      <c r="BN38" s="493">
        <f t="shared" si="28"/>
        <v>2</v>
      </c>
      <c r="BO38" s="492"/>
      <c r="BP38" s="492"/>
      <c r="BQ38" s="492"/>
      <c r="BR38" s="492"/>
      <c r="BS38" s="492"/>
      <c r="BT38" s="492"/>
      <c r="BU38" s="492"/>
      <c r="BV38" s="492"/>
      <c r="BW38" s="492"/>
      <c r="BX38" s="492"/>
      <c r="BY38" s="492"/>
      <c r="BZ38" s="492"/>
      <c r="CA38" s="493">
        <f t="shared" si="29"/>
        <v>0</v>
      </c>
      <c r="CB38" s="492"/>
      <c r="CC38" s="492"/>
      <c r="CD38" s="492"/>
      <c r="CE38" s="492"/>
      <c r="CF38" s="492"/>
      <c r="CG38" s="492"/>
      <c r="CH38" s="492"/>
      <c r="CI38" s="492"/>
      <c r="CJ38" s="492"/>
      <c r="CK38" s="492"/>
      <c r="CL38" s="492"/>
      <c r="CM38" s="492"/>
      <c r="CN38" s="493">
        <f t="shared" si="30"/>
        <v>0</v>
      </c>
      <c r="CO38" s="492"/>
      <c r="CP38" s="492"/>
      <c r="CQ38" s="492"/>
      <c r="CR38" s="492"/>
      <c r="CS38" s="492"/>
      <c r="CT38" s="492"/>
      <c r="CU38" s="492"/>
      <c r="CV38" s="492"/>
      <c r="CW38" s="492">
        <v>4</v>
      </c>
      <c r="CX38" s="492"/>
      <c r="CY38" s="492"/>
      <c r="CZ38" s="492"/>
      <c r="DA38" s="493">
        <f t="shared" si="31"/>
        <v>4</v>
      </c>
      <c r="DB38" s="492"/>
      <c r="DC38" s="492"/>
      <c r="DD38" s="492"/>
      <c r="DE38" s="492"/>
      <c r="DF38" s="492"/>
      <c r="DG38" s="492"/>
      <c r="DH38" s="492"/>
      <c r="DI38" s="492"/>
      <c r="DJ38" s="492"/>
      <c r="DK38" s="492"/>
      <c r="DL38" s="492"/>
      <c r="DM38" s="492"/>
      <c r="DN38" s="493">
        <f t="shared" si="32"/>
        <v>0</v>
      </c>
      <c r="DO38" s="492"/>
      <c r="DP38" s="492"/>
      <c r="DQ38" s="492"/>
      <c r="DR38" s="492"/>
      <c r="DS38" s="492"/>
      <c r="DT38" s="492"/>
      <c r="DU38" s="492"/>
      <c r="DV38" s="492"/>
      <c r="DW38" s="492"/>
      <c r="DX38" s="492">
        <v>12</v>
      </c>
      <c r="DY38" s="492"/>
      <c r="DZ38" s="492"/>
      <c r="EA38" s="493">
        <f t="shared" si="33"/>
        <v>12</v>
      </c>
      <c r="EB38" s="492"/>
      <c r="EC38" s="492"/>
      <c r="ED38" s="492"/>
      <c r="EE38" s="492"/>
      <c r="EF38" s="492"/>
      <c r="EG38" s="492"/>
      <c r="EH38" s="492"/>
      <c r="EI38" s="492"/>
      <c r="EJ38" s="492">
        <v>1</v>
      </c>
      <c r="EK38" s="492">
        <v>10</v>
      </c>
      <c r="EL38" s="492">
        <v>6</v>
      </c>
      <c r="EM38" s="492"/>
      <c r="EN38" s="493">
        <f t="shared" si="34"/>
        <v>17</v>
      </c>
      <c r="EO38" s="492"/>
      <c r="EP38" s="492"/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3">
        <f t="shared" si="35"/>
        <v>0</v>
      </c>
      <c r="FB38" s="492"/>
      <c r="FC38" s="492"/>
      <c r="FD38" s="492"/>
      <c r="FE38" s="492"/>
      <c r="FF38" s="492"/>
      <c r="FG38" s="492"/>
      <c r="FH38" s="492"/>
      <c r="FI38" s="492"/>
      <c r="FJ38" s="492"/>
      <c r="FK38" s="492"/>
      <c r="FL38" s="492"/>
      <c r="FM38" s="492"/>
      <c r="FN38" s="493">
        <f t="shared" si="36"/>
        <v>0</v>
      </c>
      <c r="FP38" s="654" t="str">
        <f t="shared" si="37"/>
        <v/>
      </c>
      <c r="FQ38" s="655" t="str">
        <f t="shared" si="38"/>
        <v/>
      </c>
      <c r="FR38" s="656">
        <f t="shared" si="39"/>
        <v>0</v>
      </c>
      <c r="FS38" s="657">
        <f t="shared" si="40"/>
        <v>0</v>
      </c>
      <c r="FT38" s="648"/>
      <c r="FU38" s="551">
        <f t="shared" si="41"/>
        <v>118</v>
      </c>
      <c r="FV38" s="553" t="s">
        <v>108</v>
      </c>
      <c r="FW38" s="554" t="str">
        <f t="shared" si="42"/>
        <v>OK</v>
      </c>
    </row>
    <row r="39" spans="1:179" ht="15" customHeight="1" x14ac:dyDescent="0.25">
      <c r="A39" s="664" t="s">
        <v>640</v>
      </c>
      <c r="B39" s="492">
        <v>1</v>
      </c>
      <c r="C39" s="492">
        <v>2</v>
      </c>
      <c r="D39" s="492">
        <v>2</v>
      </c>
      <c r="E39" s="492">
        <v>1</v>
      </c>
      <c r="F39" s="492">
        <v>1</v>
      </c>
      <c r="G39" s="492"/>
      <c r="H39" s="492"/>
      <c r="I39" s="492">
        <v>130</v>
      </c>
      <c r="J39" s="492"/>
      <c r="K39" s="492"/>
      <c r="L39" s="492"/>
      <c r="M39" s="492"/>
      <c r="N39" s="493">
        <f t="shared" si="24"/>
        <v>137</v>
      </c>
      <c r="O39" s="492"/>
      <c r="P39" s="492"/>
      <c r="Q39" s="492">
        <v>1</v>
      </c>
      <c r="R39" s="492">
        <v>1</v>
      </c>
      <c r="S39" s="492">
        <v>1</v>
      </c>
      <c r="T39" s="492"/>
      <c r="U39" s="492"/>
      <c r="V39" s="492"/>
      <c r="W39" s="492"/>
      <c r="X39" s="492"/>
      <c r="Y39" s="492"/>
      <c r="Z39" s="492"/>
      <c r="AA39" s="493">
        <f t="shared" si="25"/>
        <v>3</v>
      </c>
      <c r="AB39" s="492"/>
      <c r="AC39" s="492"/>
      <c r="AD39" s="492"/>
      <c r="AE39" s="492"/>
      <c r="AF39" s="492">
        <v>5</v>
      </c>
      <c r="AG39" s="492">
        <v>4</v>
      </c>
      <c r="AH39" s="492"/>
      <c r="AI39" s="492"/>
      <c r="AJ39" s="492"/>
      <c r="AK39" s="492"/>
      <c r="AL39" s="492">
        <v>3</v>
      </c>
      <c r="AM39" s="492"/>
      <c r="AN39" s="493">
        <f t="shared" si="26"/>
        <v>12</v>
      </c>
      <c r="AO39" s="492"/>
      <c r="AP39" s="492"/>
      <c r="AQ39" s="492"/>
      <c r="AR39" s="492">
        <v>2</v>
      </c>
      <c r="AS39" s="492">
        <v>2</v>
      </c>
      <c r="AT39" s="492"/>
      <c r="AU39" s="492"/>
      <c r="AV39" s="492"/>
      <c r="AW39" s="492"/>
      <c r="AX39" s="492"/>
      <c r="AY39" s="492"/>
      <c r="AZ39" s="492"/>
      <c r="BA39" s="493">
        <f t="shared" si="27"/>
        <v>4</v>
      </c>
      <c r="BB39" s="492">
        <v>3</v>
      </c>
      <c r="BC39" s="492"/>
      <c r="BD39" s="492"/>
      <c r="BE39" s="492"/>
      <c r="BF39" s="492">
        <v>1</v>
      </c>
      <c r="BG39" s="492"/>
      <c r="BH39" s="492"/>
      <c r="BI39" s="492"/>
      <c r="BJ39" s="492"/>
      <c r="BK39" s="492"/>
      <c r="BL39" s="492"/>
      <c r="BM39" s="492">
        <v>2</v>
      </c>
      <c r="BN39" s="493">
        <f t="shared" si="28"/>
        <v>6</v>
      </c>
      <c r="BO39" s="492"/>
      <c r="BP39" s="492"/>
      <c r="BQ39" s="492">
        <v>1</v>
      </c>
      <c r="BR39" s="492">
        <v>1</v>
      </c>
      <c r="BS39" s="492"/>
      <c r="BT39" s="492"/>
      <c r="BU39" s="492"/>
      <c r="BV39" s="492">
        <v>1</v>
      </c>
      <c r="BW39" s="492">
        <v>7</v>
      </c>
      <c r="BX39" s="492">
        <v>14</v>
      </c>
      <c r="BY39" s="492">
        <v>2</v>
      </c>
      <c r="BZ39" s="492">
        <v>1</v>
      </c>
      <c r="CA39" s="493">
        <f t="shared" si="29"/>
        <v>27</v>
      </c>
      <c r="CB39" s="492"/>
      <c r="CC39" s="492"/>
      <c r="CD39" s="492">
        <v>1</v>
      </c>
      <c r="CE39" s="492"/>
      <c r="CF39" s="492"/>
      <c r="CG39" s="492">
        <v>1</v>
      </c>
      <c r="CH39" s="492"/>
      <c r="CI39" s="492"/>
      <c r="CJ39" s="492"/>
      <c r="CK39" s="492">
        <v>3</v>
      </c>
      <c r="CL39" s="492"/>
      <c r="CM39" s="492"/>
      <c r="CN39" s="493">
        <f t="shared" si="30"/>
        <v>5</v>
      </c>
      <c r="CO39" s="492"/>
      <c r="CP39" s="492"/>
      <c r="CQ39" s="492"/>
      <c r="CR39" s="492">
        <v>18</v>
      </c>
      <c r="CS39" s="492">
        <v>11</v>
      </c>
      <c r="CT39" s="492">
        <v>4</v>
      </c>
      <c r="CU39" s="492"/>
      <c r="CV39" s="492"/>
      <c r="CW39" s="492"/>
      <c r="CX39" s="492">
        <v>3</v>
      </c>
      <c r="CY39" s="492"/>
      <c r="CZ39" s="492">
        <v>7</v>
      </c>
      <c r="DA39" s="493">
        <f t="shared" si="31"/>
        <v>43</v>
      </c>
      <c r="DB39" s="492"/>
      <c r="DC39" s="492"/>
      <c r="DD39" s="492"/>
      <c r="DE39" s="492"/>
      <c r="DF39" s="492"/>
      <c r="DG39" s="492"/>
      <c r="DH39" s="492"/>
      <c r="DI39" s="492"/>
      <c r="DJ39" s="492"/>
      <c r="DK39" s="492"/>
      <c r="DL39" s="492"/>
      <c r="DM39" s="492"/>
      <c r="DN39" s="493">
        <f t="shared" si="32"/>
        <v>0</v>
      </c>
      <c r="DO39" s="492"/>
      <c r="DP39" s="492"/>
      <c r="DQ39" s="492"/>
      <c r="DR39" s="492"/>
      <c r="DS39" s="492">
        <v>0.05</v>
      </c>
      <c r="DT39" s="492"/>
      <c r="DU39" s="492"/>
      <c r="DV39" s="492">
        <v>8</v>
      </c>
      <c r="DW39" s="492"/>
      <c r="DX39" s="492">
        <v>7</v>
      </c>
      <c r="DY39" s="492"/>
      <c r="DZ39" s="492">
        <v>7</v>
      </c>
      <c r="EA39" s="493">
        <f t="shared" si="33"/>
        <v>22.05</v>
      </c>
      <c r="EB39" s="492">
        <v>1</v>
      </c>
      <c r="EC39" s="492"/>
      <c r="ED39" s="492">
        <v>5</v>
      </c>
      <c r="EE39" s="492">
        <v>1</v>
      </c>
      <c r="EF39" s="492">
        <v>2</v>
      </c>
      <c r="EG39" s="492"/>
      <c r="EH39" s="492"/>
      <c r="EI39" s="492">
        <v>2</v>
      </c>
      <c r="EJ39" s="492">
        <v>2</v>
      </c>
      <c r="EK39" s="492">
        <v>6</v>
      </c>
      <c r="EL39" s="492"/>
      <c r="EM39" s="492">
        <v>1</v>
      </c>
      <c r="EN39" s="493">
        <f t="shared" si="34"/>
        <v>20</v>
      </c>
      <c r="EO39" s="492"/>
      <c r="EP39" s="492">
        <v>2</v>
      </c>
      <c r="EQ39" s="492">
        <v>18</v>
      </c>
      <c r="ER39" s="492">
        <v>8</v>
      </c>
      <c r="ES39" s="492"/>
      <c r="ET39" s="492"/>
      <c r="EU39" s="492"/>
      <c r="EV39" s="492"/>
      <c r="EW39" s="492"/>
      <c r="EX39" s="492"/>
      <c r="EY39" s="492"/>
      <c r="EZ39" s="492"/>
      <c r="FA39" s="493">
        <f t="shared" si="35"/>
        <v>28</v>
      </c>
      <c r="FB39" s="492"/>
      <c r="FC39" s="492"/>
      <c r="FD39" s="492"/>
      <c r="FE39" s="492"/>
      <c r="FF39" s="492"/>
      <c r="FG39" s="492"/>
      <c r="FH39" s="492"/>
      <c r="FI39" s="492"/>
      <c r="FJ39" s="492"/>
      <c r="FK39" s="492"/>
      <c r="FL39" s="492"/>
      <c r="FM39" s="492"/>
      <c r="FN39" s="493">
        <f t="shared" si="36"/>
        <v>0</v>
      </c>
      <c r="FP39" s="654">
        <f t="shared" si="37"/>
        <v>700</v>
      </c>
      <c r="FQ39" s="655">
        <f t="shared" si="38"/>
        <v>300</v>
      </c>
      <c r="FR39" s="656">
        <f t="shared" si="39"/>
        <v>7</v>
      </c>
      <c r="FS39" s="657">
        <f t="shared" si="40"/>
        <v>28</v>
      </c>
      <c r="FT39" s="648"/>
      <c r="FU39" s="551">
        <f t="shared" si="41"/>
        <v>614.1</v>
      </c>
      <c r="FV39" s="553" t="s">
        <v>640</v>
      </c>
      <c r="FW39" s="554" t="str">
        <f t="shared" si="42"/>
        <v>OK</v>
      </c>
    </row>
    <row r="40" spans="1:179" ht="15" customHeight="1" x14ac:dyDescent="0.25">
      <c r="A40" s="664" t="s">
        <v>111</v>
      </c>
      <c r="B40" s="492">
        <v>4</v>
      </c>
      <c r="C40" s="492">
        <v>6</v>
      </c>
      <c r="D40" s="492">
        <v>5</v>
      </c>
      <c r="E40" s="492">
        <v>5</v>
      </c>
      <c r="F40" s="492"/>
      <c r="G40" s="492">
        <v>3</v>
      </c>
      <c r="H40" s="492">
        <v>3</v>
      </c>
      <c r="I40" s="492">
        <v>1</v>
      </c>
      <c r="J40" s="492">
        <v>5</v>
      </c>
      <c r="K40" s="492">
        <v>3</v>
      </c>
      <c r="L40" s="492">
        <v>2</v>
      </c>
      <c r="M40" s="492">
        <v>4</v>
      </c>
      <c r="N40" s="493">
        <f t="shared" si="24"/>
        <v>41</v>
      </c>
      <c r="O40" s="492">
        <v>2</v>
      </c>
      <c r="P40" s="492">
        <v>4</v>
      </c>
      <c r="Q40" s="492">
        <v>4</v>
      </c>
      <c r="R40" s="492">
        <v>6</v>
      </c>
      <c r="S40" s="492">
        <v>3</v>
      </c>
      <c r="T40" s="492">
        <v>1</v>
      </c>
      <c r="U40" s="492">
        <v>1</v>
      </c>
      <c r="V40" s="492">
        <v>2</v>
      </c>
      <c r="W40" s="492">
        <v>1</v>
      </c>
      <c r="X40" s="492">
        <v>1</v>
      </c>
      <c r="Y40" s="492">
        <v>1</v>
      </c>
      <c r="Z40" s="492">
        <v>1</v>
      </c>
      <c r="AA40" s="493">
        <f t="shared" si="25"/>
        <v>27</v>
      </c>
      <c r="AB40" s="492">
        <v>1</v>
      </c>
      <c r="AC40" s="492">
        <v>2</v>
      </c>
      <c r="AD40" s="492"/>
      <c r="AE40" s="492">
        <v>1</v>
      </c>
      <c r="AF40" s="492">
        <v>2</v>
      </c>
      <c r="AG40" s="492">
        <v>1</v>
      </c>
      <c r="AH40" s="492">
        <v>2</v>
      </c>
      <c r="AI40" s="492">
        <v>2</v>
      </c>
      <c r="AJ40" s="492">
        <v>3</v>
      </c>
      <c r="AK40" s="492">
        <v>3</v>
      </c>
      <c r="AL40" s="492">
        <v>2</v>
      </c>
      <c r="AM40" s="492">
        <v>2</v>
      </c>
      <c r="AN40" s="493">
        <f t="shared" si="26"/>
        <v>21</v>
      </c>
      <c r="AO40" s="492">
        <v>3</v>
      </c>
      <c r="AP40" s="492">
        <v>2</v>
      </c>
      <c r="AQ40" s="492">
        <v>5</v>
      </c>
      <c r="AR40" s="492">
        <v>1</v>
      </c>
      <c r="AS40" s="492"/>
      <c r="AT40" s="492">
        <v>1</v>
      </c>
      <c r="AU40" s="492">
        <v>1</v>
      </c>
      <c r="AV40" s="492">
        <v>1</v>
      </c>
      <c r="AW40" s="492">
        <v>1</v>
      </c>
      <c r="AX40" s="492">
        <v>5</v>
      </c>
      <c r="AY40" s="492">
        <v>6</v>
      </c>
      <c r="AZ40" s="492">
        <v>6</v>
      </c>
      <c r="BA40" s="493">
        <f t="shared" si="27"/>
        <v>32</v>
      </c>
      <c r="BB40" s="492">
        <v>5</v>
      </c>
      <c r="BC40" s="492">
        <v>4</v>
      </c>
      <c r="BD40" s="492">
        <v>4</v>
      </c>
      <c r="BE40" s="492">
        <v>3</v>
      </c>
      <c r="BF40" s="492">
        <v>2</v>
      </c>
      <c r="BG40" s="492">
        <v>2</v>
      </c>
      <c r="BH40" s="492">
        <v>3</v>
      </c>
      <c r="BI40" s="492">
        <v>3</v>
      </c>
      <c r="BJ40" s="492">
        <v>3</v>
      </c>
      <c r="BK40" s="492">
        <v>6</v>
      </c>
      <c r="BL40" s="492">
        <v>8</v>
      </c>
      <c r="BM40" s="492">
        <v>6</v>
      </c>
      <c r="BN40" s="493">
        <f t="shared" si="28"/>
        <v>49</v>
      </c>
      <c r="BO40" s="492">
        <v>7</v>
      </c>
      <c r="BP40" s="492">
        <v>7</v>
      </c>
      <c r="BQ40" s="492">
        <v>9</v>
      </c>
      <c r="BR40" s="492">
        <v>7</v>
      </c>
      <c r="BS40" s="492">
        <v>5</v>
      </c>
      <c r="BT40" s="492">
        <v>1</v>
      </c>
      <c r="BU40" s="492">
        <v>2</v>
      </c>
      <c r="BV40" s="492"/>
      <c r="BW40" s="492">
        <v>8</v>
      </c>
      <c r="BX40" s="492">
        <v>3</v>
      </c>
      <c r="BY40" s="492">
        <v>2</v>
      </c>
      <c r="BZ40" s="492">
        <v>1</v>
      </c>
      <c r="CA40" s="493">
        <f t="shared" si="29"/>
        <v>52</v>
      </c>
      <c r="CB40" s="492"/>
      <c r="CC40" s="492">
        <v>1</v>
      </c>
      <c r="CD40" s="492">
        <v>3</v>
      </c>
      <c r="CE40" s="492"/>
      <c r="CF40" s="492"/>
      <c r="CG40" s="492"/>
      <c r="CH40" s="492"/>
      <c r="CI40" s="492"/>
      <c r="CJ40" s="492">
        <v>1</v>
      </c>
      <c r="CK40" s="492">
        <v>4</v>
      </c>
      <c r="CL40" s="492">
        <v>1</v>
      </c>
      <c r="CM40" s="492">
        <v>1</v>
      </c>
      <c r="CN40" s="493">
        <f t="shared" si="30"/>
        <v>11</v>
      </c>
      <c r="CO40" s="492">
        <v>8</v>
      </c>
      <c r="CP40" s="492">
        <v>4</v>
      </c>
      <c r="CQ40" s="492">
        <v>2</v>
      </c>
      <c r="CR40" s="492">
        <v>5</v>
      </c>
      <c r="CS40" s="492">
        <v>1</v>
      </c>
      <c r="CT40" s="492"/>
      <c r="CU40" s="492"/>
      <c r="CV40" s="492"/>
      <c r="CW40" s="492">
        <v>1</v>
      </c>
      <c r="CX40" s="492">
        <v>1</v>
      </c>
      <c r="CY40" s="492">
        <v>4</v>
      </c>
      <c r="CZ40" s="492">
        <v>1</v>
      </c>
      <c r="DA40" s="493">
        <f t="shared" si="31"/>
        <v>27</v>
      </c>
      <c r="DB40" s="492"/>
      <c r="DC40" s="492"/>
      <c r="DD40" s="492">
        <v>3</v>
      </c>
      <c r="DE40" s="492">
        <v>1</v>
      </c>
      <c r="DF40" s="492"/>
      <c r="DG40" s="492"/>
      <c r="DH40" s="492"/>
      <c r="DI40" s="492"/>
      <c r="DJ40" s="492">
        <v>1</v>
      </c>
      <c r="DK40" s="492">
        <v>3</v>
      </c>
      <c r="DL40" s="492">
        <v>3</v>
      </c>
      <c r="DM40" s="492">
        <v>1</v>
      </c>
      <c r="DN40" s="493">
        <f t="shared" si="32"/>
        <v>12</v>
      </c>
      <c r="DO40" s="492"/>
      <c r="DP40" s="492"/>
      <c r="DQ40" s="492"/>
      <c r="DR40" s="492">
        <v>1</v>
      </c>
      <c r="DS40" s="492"/>
      <c r="DT40" s="492">
        <v>2</v>
      </c>
      <c r="DU40" s="492"/>
      <c r="DV40" s="492"/>
      <c r="DW40" s="492"/>
      <c r="DX40" s="492"/>
      <c r="DY40" s="492">
        <v>1</v>
      </c>
      <c r="DZ40" s="492">
        <v>3</v>
      </c>
      <c r="EA40" s="493">
        <f t="shared" si="33"/>
        <v>7</v>
      </c>
      <c r="EB40" s="492"/>
      <c r="EC40" s="492"/>
      <c r="ED40" s="492">
        <v>2</v>
      </c>
      <c r="EE40" s="492"/>
      <c r="EF40" s="492">
        <v>2</v>
      </c>
      <c r="EG40" s="492"/>
      <c r="EH40" s="492">
        <v>1</v>
      </c>
      <c r="EI40" s="492"/>
      <c r="EJ40" s="492"/>
      <c r="EK40" s="492">
        <v>8</v>
      </c>
      <c r="EL40" s="492"/>
      <c r="EM40" s="492"/>
      <c r="EN40" s="493">
        <f t="shared" si="34"/>
        <v>13</v>
      </c>
      <c r="EO40" s="492"/>
      <c r="EP40" s="492"/>
      <c r="EQ40" s="492"/>
      <c r="ER40" s="492"/>
      <c r="ES40" s="492"/>
      <c r="ET40" s="492"/>
      <c r="EU40" s="492"/>
      <c r="EV40" s="492"/>
      <c r="EW40" s="492"/>
      <c r="EX40" s="492"/>
      <c r="EY40" s="492"/>
      <c r="EZ40" s="492"/>
      <c r="FA40" s="493">
        <f t="shared" si="35"/>
        <v>0</v>
      </c>
      <c r="FB40" s="492"/>
      <c r="FC40" s="492"/>
      <c r="FD40" s="492"/>
      <c r="FE40" s="492"/>
      <c r="FF40" s="492"/>
      <c r="FG40" s="492"/>
      <c r="FH40" s="492"/>
      <c r="FI40" s="492"/>
      <c r="FJ40" s="492"/>
      <c r="FK40" s="492"/>
      <c r="FL40" s="492"/>
      <c r="FM40" s="492"/>
      <c r="FN40" s="493">
        <f t="shared" si="36"/>
        <v>0</v>
      </c>
      <c r="FP40" s="654" t="str">
        <f t="shared" si="37"/>
        <v/>
      </c>
      <c r="FQ40" s="655">
        <f t="shared" si="38"/>
        <v>-100</v>
      </c>
      <c r="FR40" s="656">
        <f t="shared" si="39"/>
        <v>2</v>
      </c>
      <c r="FS40" s="657">
        <f t="shared" si="40"/>
        <v>0</v>
      </c>
      <c r="FT40" s="648"/>
      <c r="FU40" s="551">
        <f t="shared" si="41"/>
        <v>584</v>
      </c>
      <c r="FV40" s="553" t="s">
        <v>111</v>
      </c>
      <c r="FW40" s="554" t="str">
        <f t="shared" si="42"/>
        <v>OK</v>
      </c>
    </row>
    <row r="41" spans="1:179" ht="15" customHeight="1" x14ac:dyDescent="0.25">
      <c r="A41" s="664" t="s">
        <v>114</v>
      </c>
      <c r="B41" s="492"/>
      <c r="C41" s="492"/>
      <c r="D41" s="492"/>
      <c r="E41" s="492"/>
      <c r="F41" s="492"/>
      <c r="G41" s="492"/>
      <c r="H41" s="492"/>
      <c r="I41" s="492"/>
      <c r="J41" s="492"/>
      <c r="K41" s="492"/>
      <c r="L41" s="492"/>
      <c r="M41" s="492"/>
      <c r="N41" s="493">
        <f t="shared" si="24"/>
        <v>0</v>
      </c>
      <c r="O41" s="492"/>
      <c r="P41" s="492"/>
      <c r="Q41" s="492"/>
      <c r="R41" s="492"/>
      <c r="S41" s="492"/>
      <c r="T41" s="492"/>
      <c r="U41" s="492"/>
      <c r="V41" s="492"/>
      <c r="W41" s="492"/>
      <c r="X41" s="492"/>
      <c r="Y41" s="492"/>
      <c r="Z41" s="492"/>
      <c r="AA41" s="493">
        <f t="shared" si="25"/>
        <v>0</v>
      </c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3">
        <f t="shared" si="26"/>
        <v>0</v>
      </c>
      <c r="AO41" s="492"/>
      <c r="AP41" s="492"/>
      <c r="AQ41" s="492"/>
      <c r="AR41" s="492"/>
      <c r="AS41" s="492"/>
      <c r="AT41" s="492"/>
      <c r="AU41" s="492"/>
      <c r="AV41" s="492"/>
      <c r="AW41" s="492"/>
      <c r="AX41" s="492"/>
      <c r="AY41" s="492"/>
      <c r="AZ41" s="492"/>
      <c r="BA41" s="493">
        <f t="shared" si="27"/>
        <v>0</v>
      </c>
      <c r="BB41" s="492"/>
      <c r="BC41" s="492"/>
      <c r="BD41" s="492"/>
      <c r="BE41" s="492"/>
      <c r="BF41" s="492"/>
      <c r="BG41" s="492"/>
      <c r="BH41" s="492"/>
      <c r="BI41" s="492"/>
      <c r="BJ41" s="492"/>
      <c r="BK41" s="492"/>
      <c r="BL41" s="492"/>
      <c r="BM41" s="492"/>
      <c r="BN41" s="493">
        <f t="shared" si="28"/>
        <v>0</v>
      </c>
      <c r="BO41" s="492"/>
      <c r="BP41" s="492"/>
      <c r="BQ41" s="492"/>
      <c r="BR41" s="492"/>
      <c r="BS41" s="492"/>
      <c r="BT41" s="492"/>
      <c r="BU41" s="492"/>
      <c r="BV41" s="492"/>
      <c r="BW41" s="492"/>
      <c r="BX41" s="492"/>
      <c r="BY41" s="492"/>
      <c r="BZ41" s="492"/>
      <c r="CA41" s="493">
        <f t="shared" si="29"/>
        <v>0</v>
      </c>
      <c r="CB41" s="492"/>
      <c r="CC41" s="492"/>
      <c r="CD41" s="492"/>
      <c r="CE41" s="492"/>
      <c r="CF41" s="492"/>
      <c r="CG41" s="492"/>
      <c r="CH41" s="492"/>
      <c r="CI41" s="492"/>
      <c r="CJ41" s="492"/>
      <c r="CK41" s="492"/>
      <c r="CL41" s="492"/>
      <c r="CM41" s="492"/>
      <c r="CN41" s="493">
        <f t="shared" si="30"/>
        <v>0</v>
      </c>
      <c r="CO41" s="492"/>
      <c r="CP41" s="492"/>
      <c r="CQ41" s="492"/>
      <c r="CR41" s="492"/>
      <c r="CS41" s="492"/>
      <c r="CT41" s="492"/>
      <c r="CU41" s="492"/>
      <c r="CV41" s="492"/>
      <c r="CW41" s="492"/>
      <c r="CX41" s="492"/>
      <c r="CY41" s="492"/>
      <c r="CZ41" s="492"/>
      <c r="DA41" s="493">
        <f t="shared" si="31"/>
        <v>0</v>
      </c>
      <c r="DB41" s="492"/>
      <c r="DC41" s="492"/>
      <c r="DD41" s="492"/>
      <c r="DE41" s="492"/>
      <c r="DF41" s="492"/>
      <c r="DG41" s="492"/>
      <c r="DH41" s="492"/>
      <c r="DI41" s="492"/>
      <c r="DJ41" s="492"/>
      <c r="DK41" s="492"/>
      <c r="DL41" s="492"/>
      <c r="DM41" s="492"/>
      <c r="DN41" s="493">
        <f t="shared" si="32"/>
        <v>0</v>
      </c>
      <c r="DO41" s="492"/>
      <c r="DP41" s="492"/>
      <c r="DQ41" s="492"/>
      <c r="DR41" s="492"/>
      <c r="DS41" s="492"/>
      <c r="DT41" s="492"/>
      <c r="DU41" s="492"/>
      <c r="DV41" s="492"/>
      <c r="DW41" s="492"/>
      <c r="DX41" s="492"/>
      <c r="DY41" s="492"/>
      <c r="DZ41" s="492"/>
      <c r="EA41" s="493">
        <f t="shared" si="33"/>
        <v>0</v>
      </c>
      <c r="EB41" s="492"/>
      <c r="EC41" s="492"/>
      <c r="ED41" s="492"/>
      <c r="EE41" s="492"/>
      <c r="EF41" s="492"/>
      <c r="EG41" s="492"/>
      <c r="EH41" s="492"/>
      <c r="EI41" s="492"/>
      <c r="EJ41" s="492"/>
      <c r="EK41" s="492"/>
      <c r="EL41" s="492"/>
      <c r="EM41" s="492"/>
      <c r="EN41" s="493">
        <f t="shared" si="34"/>
        <v>0</v>
      </c>
      <c r="EO41" s="492"/>
      <c r="EP41" s="492"/>
      <c r="EQ41" s="492"/>
      <c r="ER41" s="492"/>
      <c r="ES41" s="492"/>
      <c r="ET41" s="492"/>
      <c r="EU41" s="492"/>
      <c r="EV41" s="492"/>
      <c r="EW41" s="492"/>
      <c r="EX41" s="492"/>
      <c r="EY41" s="492"/>
      <c r="EZ41" s="492"/>
      <c r="FA41" s="493">
        <f t="shared" si="35"/>
        <v>0</v>
      </c>
      <c r="FB41" s="492"/>
      <c r="FC41" s="492"/>
      <c r="FD41" s="492"/>
      <c r="FE41" s="492"/>
      <c r="FF41" s="492"/>
      <c r="FG41" s="492"/>
      <c r="FH41" s="492"/>
      <c r="FI41" s="492"/>
      <c r="FJ41" s="492"/>
      <c r="FK41" s="492"/>
      <c r="FL41" s="492"/>
      <c r="FM41" s="492"/>
      <c r="FN41" s="493">
        <f t="shared" si="36"/>
        <v>0</v>
      </c>
      <c r="FP41" s="654" t="str">
        <f t="shared" si="37"/>
        <v/>
      </c>
      <c r="FQ41" s="655" t="str">
        <f t="shared" si="38"/>
        <v/>
      </c>
      <c r="FR41" s="656">
        <f t="shared" si="39"/>
        <v>0</v>
      </c>
      <c r="FS41" s="657">
        <f t="shared" si="40"/>
        <v>0</v>
      </c>
      <c r="FT41" s="648"/>
      <c r="FU41" s="551">
        <f t="shared" si="41"/>
        <v>0</v>
      </c>
      <c r="FV41" s="553" t="s">
        <v>114</v>
      </c>
      <c r="FW41" s="554" t="str">
        <f t="shared" si="42"/>
        <v>OK</v>
      </c>
    </row>
    <row r="42" spans="1:179" ht="15" customHeight="1" x14ac:dyDescent="0.25">
      <c r="A42" s="664" t="s">
        <v>116</v>
      </c>
      <c r="B42" s="492"/>
      <c r="C42" s="492"/>
      <c r="D42" s="492"/>
      <c r="E42" s="492"/>
      <c r="F42" s="492"/>
      <c r="G42" s="492"/>
      <c r="H42" s="492">
        <v>10</v>
      </c>
      <c r="I42" s="492"/>
      <c r="J42" s="492">
        <v>2</v>
      </c>
      <c r="K42" s="492"/>
      <c r="L42" s="492"/>
      <c r="M42" s="492"/>
      <c r="N42" s="493">
        <f t="shared" si="24"/>
        <v>12</v>
      </c>
      <c r="O42" s="492"/>
      <c r="P42" s="492"/>
      <c r="Q42" s="492">
        <v>1</v>
      </c>
      <c r="R42" s="492">
        <v>7</v>
      </c>
      <c r="S42" s="492">
        <v>5</v>
      </c>
      <c r="T42" s="492"/>
      <c r="U42" s="492"/>
      <c r="V42" s="492"/>
      <c r="W42" s="492"/>
      <c r="X42" s="492"/>
      <c r="Y42" s="492"/>
      <c r="Z42" s="492"/>
      <c r="AA42" s="493">
        <f t="shared" si="25"/>
        <v>13</v>
      </c>
      <c r="AB42" s="492"/>
      <c r="AC42" s="492"/>
      <c r="AD42" s="492">
        <v>6</v>
      </c>
      <c r="AE42" s="492">
        <v>3</v>
      </c>
      <c r="AF42" s="492">
        <v>5</v>
      </c>
      <c r="AG42" s="492">
        <v>1</v>
      </c>
      <c r="AH42" s="492"/>
      <c r="AI42" s="492"/>
      <c r="AJ42" s="492"/>
      <c r="AK42" s="492"/>
      <c r="AL42" s="492"/>
      <c r="AM42" s="492"/>
      <c r="AN42" s="493">
        <f t="shared" si="26"/>
        <v>15</v>
      </c>
      <c r="AO42" s="492"/>
      <c r="AP42" s="492"/>
      <c r="AQ42" s="492">
        <v>6</v>
      </c>
      <c r="AR42" s="492">
        <v>2</v>
      </c>
      <c r="AS42" s="492">
        <v>1</v>
      </c>
      <c r="AT42" s="492"/>
      <c r="AU42" s="492"/>
      <c r="AV42" s="492">
        <v>2</v>
      </c>
      <c r="AW42" s="492">
        <v>2</v>
      </c>
      <c r="AX42" s="492">
        <v>1</v>
      </c>
      <c r="AY42" s="492">
        <v>1</v>
      </c>
      <c r="AZ42" s="492"/>
      <c r="BA42" s="493">
        <f t="shared" si="27"/>
        <v>15</v>
      </c>
      <c r="BB42" s="492"/>
      <c r="BC42" s="492"/>
      <c r="BD42" s="492">
        <v>4</v>
      </c>
      <c r="BE42" s="492"/>
      <c r="BF42" s="492"/>
      <c r="BG42" s="492"/>
      <c r="BH42" s="492"/>
      <c r="BI42" s="492"/>
      <c r="BJ42" s="492"/>
      <c r="BK42" s="492"/>
      <c r="BL42" s="492"/>
      <c r="BM42" s="492"/>
      <c r="BN42" s="493">
        <f t="shared" si="28"/>
        <v>4</v>
      </c>
      <c r="BO42" s="492"/>
      <c r="BP42" s="492"/>
      <c r="BQ42" s="492">
        <v>2</v>
      </c>
      <c r="BR42" s="492">
        <v>1</v>
      </c>
      <c r="BS42" s="492"/>
      <c r="BT42" s="492"/>
      <c r="BU42" s="492"/>
      <c r="BV42" s="492"/>
      <c r="BW42" s="492">
        <v>2</v>
      </c>
      <c r="BX42" s="492">
        <v>6</v>
      </c>
      <c r="BY42" s="492">
        <v>4</v>
      </c>
      <c r="BZ42" s="492">
        <v>1</v>
      </c>
      <c r="CA42" s="493">
        <f t="shared" si="29"/>
        <v>16</v>
      </c>
      <c r="CB42" s="492"/>
      <c r="CC42" s="492"/>
      <c r="CD42" s="492"/>
      <c r="CE42" s="492"/>
      <c r="CF42" s="492"/>
      <c r="CG42" s="492"/>
      <c r="CH42" s="492"/>
      <c r="CI42" s="492"/>
      <c r="CJ42" s="492"/>
      <c r="CK42" s="492">
        <v>1</v>
      </c>
      <c r="CL42" s="492"/>
      <c r="CM42" s="492"/>
      <c r="CN42" s="493">
        <f t="shared" si="30"/>
        <v>1</v>
      </c>
      <c r="CO42" s="492"/>
      <c r="CP42" s="492">
        <v>1</v>
      </c>
      <c r="CQ42" s="492">
        <v>1</v>
      </c>
      <c r="CR42" s="492">
        <v>4</v>
      </c>
      <c r="CS42" s="492">
        <v>1</v>
      </c>
      <c r="CT42" s="492"/>
      <c r="CU42" s="492"/>
      <c r="CV42" s="492"/>
      <c r="CW42" s="492"/>
      <c r="CX42" s="492">
        <v>1</v>
      </c>
      <c r="CY42" s="492">
        <v>2</v>
      </c>
      <c r="CZ42" s="492">
        <v>1</v>
      </c>
      <c r="DA42" s="493">
        <f t="shared" si="31"/>
        <v>11</v>
      </c>
      <c r="DB42" s="492"/>
      <c r="DC42" s="492"/>
      <c r="DD42" s="492"/>
      <c r="DE42" s="492"/>
      <c r="DF42" s="492"/>
      <c r="DG42" s="492"/>
      <c r="DH42" s="492"/>
      <c r="DI42" s="492"/>
      <c r="DJ42" s="492"/>
      <c r="DK42" s="492">
        <v>2</v>
      </c>
      <c r="DL42" s="492"/>
      <c r="DM42" s="492"/>
      <c r="DN42" s="493">
        <f t="shared" si="32"/>
        <v>2</v>
      </c>
      <c r="DO42" s="492"/>
      <c r="DP42" s="492"/>
      <c r="DQ42" s="492"/>
      <c r="DR42" s="492"/>
      <c r="DS42" s="492"/>
      <c r="DT42" s="492"/>
      <c r="DU42" s="492"/>
      <c r="DV42" s="492"/>
      <c r="DW42" s="492"/>
      <c r="DX42" s="492"/>
      <c r="DY42" s="492"/>
      <c r="DZ42" s="492">
        <v>7.5</v>
      </c>
      <c r="EA42" s="493">
        <f t="shared" si="33"/>
        <v>7.5</v>
      </c>
      <c r="EB42" s="492">
        <v>0.5</v>
      </c>
      <c r="EC42" s="492"/>
      <c r="ED42" s="492">
        <v>0.5</v>
      </c>
      <c r="EE42" s="492">
        <v>3</v>
      </c>
      <c r="EF42" s="492"/>
      <c r="EG42" s="492"/>
      <c r="EH42" s="492"/>
      <c r="EI42" s="492">
        <v>2</v>
      </c>
      <c r="EJ42" s="492">
        <v>0.5</v>
      </c>
      <c r="EK42" s="492">
        <v>2</v>
      </c>
      <c r="EL42" s="492">
        <v>0.5</v>
      </c>
      <c r="EM42" s="492">
        <v>0.5</v>
      </c>
      <c r="EN42" s="493">
        <f t="shared" si="34"/>
        <v>9.5</v>
      </c>
      <c r="EO42" s="492">
        <v>11</v>
      </c>
      <c r="EP42" s="492"/>
      <c r="EQ42" s="492">
        <v>6</v>
      </c>
      <c r="ER42" s="492">
        <v>2.5</v>
      </c>
      <c r="ES42" s="492"/>
      <c r="ET42" s="492"/>
      <c r="EU42" s="492"/>
      <c r="EV42" s="492"/>
      <c r="EW42" s="492"/>
      <c r="EX42" s="492"/>
      <c r="EY42" s="492"/>
      <c r="EZ42" s="492"/>
      <c r="FA42" s="493">
        <f t="shared" si="35"/>
        <v>19.5</v>
      </c>
      <c r="FB42" s="492"/>
      <c r="FC42" s="492"/>
      <c r="FD42" s="492"/>
      <c r="FE42" s="492"/>
      <c r="FF42" s="492"/>
      <c r="FG42" s="492"/>
      <c r="FH42" s="492"/>
      <c r="FI42" s="492"/>
      <c r="FJ42" s="492"/>
      <c r="FK42" s="492"/>
      <c r="FL42" s="492"/>
      <c r="FM42" s="492"/>
      <c r="FN42" s="493">
        <f t="shared" si="36"/>
        <v>0</v>
      </c>
      <c r="FP42" s="654">
        <f t="shared" si="37"/>
        <v>-16.666666666666664</v>
      </c>
      <c r="FQ42" s="655">
        <f t="shared" si="38"/>
        <v>387.5</v>
      </c>
      <c r="FR42" s="656">
        <f t="shared" si="39"/>
        <v>4</v>
      </c>
      <c r="FS42" s="657">
        <f t="shared" si="40"/>
        <v>19.5</v>
      </c>
      <c r="FT42" s="648"/>
      <c r="FU42" s="551">
        <f t="shared" si="41"/>
        <v>251</v>
      </c>
      <c r="FV42" s="553" t="s">
        <v>116</v>
      </c>
      <c r="FW42" s="554" t="str">
        <f t="shared" si="42"/>
        <v>OK</v>
      </c>
    </row>
    <row r="43" spans="1:179" ht="15" customHeight="1" x14ac:dyDescent="0.25">
      <c r="A43" s="664" t="s">
        <v>117</v>
      </c>
      <c r="B43" s="492">
        <v>8</v>
      </c>
      <c r="C43" s="492">
        <v>10</v>
      </c>
      <c r="D43" s="492">
        <v>8</v>
      </c>
      <c r="E43" s="492">
        <v>2</v>
      </c>
      <c r="F43" s="492"/>
      <c r="G43" s="492">
        <v>5</v>
      </c>
      <c r="H43" s="492">
        <v>4</v>
      </c>
      <c r="I43" s="492">
        <v>4</v>
      </c>
      <c r="J43" s="492">
        <v>7</v>
      </c>
      <c r="K43" s="492">
        <v>12</v>
      </c>
      <c r="L43" s="492">
        <v>23</v>
      </c>
      <c r="M43" s="492">
        <v>16</v>
      </c>
      <c r="N43" s="493">
        <f t="shared" si="24"/>
        <v>99</v>
      </c>
      <c r="O43" s="492">
        <v>11</v>
      </c>
      <c r="P43" s="492">
        <v>5</v>
      </c>
      <c r="Q43" s="492">
        <v>8</v>
      </c>
      <c r="R43" s="492">
        <v>6</v>
      </c>
      <c r="S43" s="492">
        <v>3</v>
      </c>
      <c r="T43" s="492">
        <v>2</v>
      </c>
      <c r="U43" s="492"/>
      <c r="V43" s="492"/>
      <c r="W43" s="492">
        <v>4</v>
      </c>
      <c r="X43" s="492">
        <v>4</v>
      </c>
      <c r="Y43" s="492">
        <v>14</v>
      </c>
      <c r="Z43" s="492">
        <v>2</v>
      </c>
      <c r="AA43" s="493">
        <f t="shared" si="25"/>
        <v>59</v>
      </c>
      <c r="AB43" s="492"/>
      <c r="AC43" s="492">
        <v>4</v>
      </c>
      <c r="AD43" s="492"/>
      <c r="AE43" s="492"/>
      <c r="AF43" s="492"/>
      <c r="AG43" s="492"/>
      <c r="AH43" s="492"/>
      <c r="AI43" s="492"/>
      <c r="AJ43" s="492">
        <v>16</v>
      </c>
      <c r="AK43" s="492">
        <v>21</v>
      </c>
      <c r="AL43" s="492">
        <v>24</v>
      </c>
      <c r="AM43" s="492">
        <v>9</v>
      </c>
      <c r="AN43" s="493">
        <f t="shared" si="26"/>
        <v>74</v>
      </c>
      <c r="AO43" s="492">
        <v>1</v>
      </c>
      <c r="AP43" s="492">
        <v>1</v>
      </c>
      <c r="AQ43" s="492">
        <v>1</v>
      </c>
      <c r="AR43" s="492">
        <v>1</v>
      </c>
      <c r="AS43" s="492">
        <v>1</v>
      </c>
      <c r="AT43" s="492">
        <v>1</v>
      </c>
      <c r="AU43" s="492">
        <v>1</v>
      </c>
      <c r="AV43" s="492">
        <v>7</v>
      </c>
      <c r="AW43" s="492">
        <v>12</v>
      </c>
      <c r="AX43" s="492">
        <v>21</v>
      </c>
      <c r="AY43" s="492">
        <v>11</v>
      </c>
      <c r="AZ43" s="492">
        <v>8</v>
      </c>
      <c r="BA43" s="493">
        <f t="shared" si="27"/>
        <v>66</v>
      </c>
      <c r="BB43" s="492">
        <v>4</v>
      </c>
      <c r="BC43" s="492">
        <v>2</v>
      </c>
      <c r="BD43" s="492">
        <v>1</v>
      </c>
      <c r="BE43" s="492">
        <v>2</v>
      </c>
      <c r="BF43" s="492">
        <v>1</v>
      </c>
      <c r="BG43" s="492"/>
      <c r="BH43" s="492">
        <v>1</v>
      </c>
      <c r="BI43" s="492">
        <v>1</v>
      </c>
      <c r="BJ43" s="492">
        <v>6</v>
      </c>
      <c r="BK43" s="492">
        <v>7</v>
      </c>
      <c r="BL43" s="492">
        <v>5</v>
      </c>
      <c r="BM43" s="492">
        <v>4</v>
      </c>
      <c r="BN43" s="493">
        <f t="shared" si="28"/>
        <v>34</v>
      </c>
      <c r="BO43" s="492">
        <v>8</v>
      </c>
      <c r="BP43" s="492">
        <v>7</v>
      </c>
      <c r="BQ43" s="492">
        <v>7</v>
      </c>
      <c r="BR43" s="492">
        <v>4</v>
      </c>
      <c r="BS43" s="492">
        <v>3</v>
      </c>
      <c r="BT43" s="492">
        <v>1</v>
      </c>
      <c r="BU43" s="492"/>
      <c r="BV43" s="492">
        <v>2</v>
      </c>
      <c r="BW43" s="492">
        <v>9</v>
      </c>
      <c r="BX43" s="492">
        <v>18</v>
      </c>
      <c r="BY43" s="492">
        <v>14</v>
      </c>
      <c r="BZ43" s="492">
        <v>4</v>
      </c>
      <c r="CA43" s="493">
        <f t="shared" si="29"/>
        <v>77</v>
      </c>
      <c r="CB43" s="492"/>
      <c r="CC43" s="492">
        <v>4</v>
      </c>
      <c r="CD43" s="492">
        <v>2</v>
      </c>
      <c r="CE43" s="492">
        <v>2</v>
      </c>
      <c r="CF43" s="492">
        <v>3</v>
      </c>
      <c r="CG43" s="492"/>
      <c r="CH43" s="492"/>
      <c r="CI43" s="492"/>
      <c r="CJ43" s="492">
        <v>8</v>
      </c>
      <c r="CK43" s="492">
        <v>23</v>
      </c>
      <c r="CL43" s="492">
        <v>27</v>
      </c>
      <c r="CM43" s="492">
        <v>23</v>
      </c>
      <c r="CN43" s="493">
        <f t="shared" si="30"/>
        <v>92</v>
      </c>
      <c r="CO43" s="492">
        <v>7</v>
      </c>
      <c r="CP43" s="492">
        <v>2</v>
      </c>
      <c r="CQ43" s="492">
        <v>7</v>
      </c>
      <c r="CR43" s="492">
        <v>9</v>
      </c>
      <c r="CS43" s="492"/>
      <c r="CT43" s="492">
        <v>3</v>
      </c>
      <c r="CU43" s="492"/>
      <c r="CV43" s="492">
        <v>2</v>
      </c>
      <c r="CW43" s="492">
        <v>8</v>
      </c>
      <c r="CX43" s="492">
        <v>14</v>
      </c>
      <c r="CY43" s="492">
        <v>16</v>
      </c>
      <c r="CZ43" s="492">
        <v>13</v>
      </c>
      <c r="DA43" s="493">
        <f t="shared" si="31"/>
        <v>81</v>
      </c>
      <c r="DB43" s="492">
        <v>1</v>
      </c>
      <c r="DC43" s="492">
        <v>1</v>
      </c>
      <c r="DD43" s="492">
        <v>18</v>
      </c>
      <c r="DE43" s="492">
        <v>12</v>
      </c>
      <c r="DF43" s="492"/>
      <c r="DG43" s="492">
        <v>6</v>
      </c>
      <c r="DH43" s="492">
        <v>13</v>
      </c>
      <c r="DI43" s="492">
        <v>13</v>
      </c>
      <c r="DJ43" s="492">
        <v>23</v>
      </c>
      <c r="DK43" s="492">
        <v>28</v>
      </c>
      <c r="DL43" s="492">
        <v>33</v>
      </c>
      <c r="DM43" s="492">
        <v>25</v>
      </c>
      <c r="DN43" s="493">
        <f t="shared" si="32"/>
        <v>173</v>
      </c>
      <c r="DO43" s="492">
        <v>25</v>
      </c>
      <c r="DP43" s="492">
        <v>18.5</v>
      </c>
      <c r="DQ43" s="492">
        <v>23</v>
      </c>
      <c r="DR43" s="492"/>
      <c r="DS43" s="492"/>
      <c r="DT43" s="492">
        <v>1</v>
      </c>
      <c r="DU43" s="492">
        <v>2</v>
      </c>
      <c r="DV43" s="492">
        <v>3</v>
      </c>
      <c r="DW43" s="492">
        <v>18</v>
      </c>
      <c r="DX43" s="492">
        <v>91</v>
      </c>
      <c r="DY43" s="492">
        <v>82</v>
      </c>
      <c r="DZ43" s="492">
        <v>53</v>
      </c>
      <c r="EA43" s="493">
        <f t="shared" si="33"/>
        <v>316.5</v>
      </c>
      <c r="EB43" s="492">
        <v>40.5</v>
      </c>
      <c r="EC43" s="492">
        <v>43</v>
      </c>
      <c r="ED43" s="492">
        <v>29.5</v>
      </c>
      <c r="EE43" s="492">
        <v>21</v>
      </c>
      <c r="EF43" s="492">
        <v>3</v>
      </c>
      <c r="EG43" s="492"/>
      <c r="EH43" s="492">
        <v>2</v>
      </c>
      <c r="EI43" s="492">
        <v>4</v>
      </c>
      <c r="EJ43" s="492">
        <v>11</v>
      </c>
      <c r="EK43" s="492">
        <v>83</v>
      </c>
      <c r="EL43" s="492">
        <v>76.5</v>
      </c>
      <c r="EM43" s="492">
        <v>79</v>
      </c>
      <c r="EN43" s="493">
        <f t="shared" si="34"/>
        <v>392.5</v>
      </c>
      <c r="EO43" s="492">
        <v>35</v>
      </c>
      <c r="EP43" s="492">
        <v>62</v>
      </c>
      <c r="EQ43" s="492">
        <v>44</v>
      </c>
      <c r="ER43" s="492">
        <v>29</v>
      </c>
      <c r="ES43" s="492"/>
      <c r="ET43" s="492"/>
      <c r="EU43" s="492"/>
      <c r="EV43" s="492"/>
      <c r="EW43" s="492"/>
      <c r="EX43" s="492"/>
      <c r="EY43" s="492"/>
      <c r="EZ43" s="492"/>
      <c r="FA43" s="493">
        <f t="shared" si="35"/>
        <v>170</v>
      </c>
      <c r="FB43" s="492"/>
      <c r="FC43" s="492"/>
      <c r="FD43" s="492"/>
      <c r="FE43" s="492"/>
      <c r="FF43" s="492"/>
      <c r="FG43" s="492"/>
      <c r="FH43" s="492"/>
      <c r="FI43" s="492"/>
      <c r="FJ43" s="492"/>
      <c r="FK43" s="492"/>
      <c r="FL43" s="492"/>
      <c r="FM43" s="492"/>
      <c r="FN43" s="493">
        <f t="shared" si="36"/>
        <v>0</v>
      </c>
      <c r="FP43" s="654">
        <f t="shared" si="37"/>
        <v>38.095238095238095</v>
      </c>
      <c r="FQ43" s="655">
        <f t="shared" si="38"/>
        <v>26.865671641791057</v>
      </c>
      <c r="FR43" s="656">
        <f t="shared" si="39"/>
        <v>134</v>
      </c>
      <c r="FS43" s="657">
        <f t="shared" si="40"/>
        <v>170</v>
      </c>
      <c r="FT43" s="648"/>
      <c r="FU43" s="551">
        <f t="shared" si="41"/>
        <v>3268</v>
      </c>
      <c r="FV43" s="553" t="s">
        <v>117</v>
      </c>
      <c r="FW43" s="554" t="str">
        <f t="shared" si="42"/>
        <v>OK</v>
      </c>
    </row>
    <row r="44" spans="1:179" ht="15" customHeight="1" x14ac:dyDescent="0.25">
      <c r="A44" s="664" t="s">
        <v>122</v>
      </c>
      <c r="B44" s="492">
        <v>6</v>
      </c>
      <c r="C44" s="492"/>
      <c r="D44" s="492">
        <v>1</v>
      </c>
      <c r="E44" s="492"/>
      <c r="F44" s="492">
        <v>3</v>
      </c>
      <c r="G44" s="492">
        <v>3</v>
      </c>
      <c r="H44" s="492">
        <v>5</v>
      </c>
      <c r="I44" s="492">
        <v>5</v>
      </c>
      <c r="J44" s="492">
        <v>4</v>
      </c>
      <c r="K44" s="492">
        <v>3</v>
      </c>
      <c r="L44" s="492">
        <v>6</v>
      </c>
      <c r="M44" s="492">
        <v>1</v>
      </c>
      <c r="N44" s="493">
        <f t="shared" si="24"/>
        <v>37</v>
      </c>
      <c r="O44" s="492">
        <v>2</v>
      </c>
      <c r="P44" s="492">
        <v>4</v>
      </c>
      <c r="Q44" s="492"/>
      <c r="R44" s="492">
        <v>5</v>
      </c>
      <c r="S44" s="492">
        <v>1</v>
      </c>
      <c r="T44" s="492">
        <v>1</v>
      </c>
      <c r="U44" s="492">
        <v>1</v>
      </c>
      <c r="V44" s="492"/>
      <c r="W44" s="492">
        <v>1</v>
      </c>
      <c r="X44" s="492"/>
      <c r="Y44" s="492"/>
      <c r="Z44" s="492">
        <v>1</v>
      </c>
      <c r="AA44" s="493">
        <f t="shared" si="25"/>
        <v>16</v>
      </c>
      <c r="AB44" s="492"/>
      <c r="AC44" s="492">
        <v>1</v>
      </c>
      <c r="AD44" s="492">
        <v>1</v>
      </c>
      <c r="AE44" s="492">
        <v>2</v>
      </c>
      <c r="AF44" s="492">
        <v>4</v>
      </c>
      <c r="AG44" s="492">
        <v>4</v>
      </c>
      <c r="AH44" s="492">
        <v>1</v>
      </c>
      <c r="AI44" s="492"/>
      <c r="AJ44" s="492"/>
      <c r="AK44" s="492">
        <v>1</v>
      </c>
      <c r="AL44" s="492"/>
      <c r="AM44" s="492"/>
      <c r="AN44" s="493">
        <f t="shared" si="26"/>
        <v>14</v>
      </c>
      <c r="AO44" s="492"/>
      <c r="AP44" s="492"/>
      <c r="AQ44" s="492"/>
      <c r="AR44" s="492">
        <v>2</v>
      </c>
      <c r="AS44" s="492">
        <v>1</v>
      </c>
      <c r="AT44" s="492">
        <v>1</v>
      </c>
      <c r="AU44" s="492">
        <v>1</v>
      </c>
      <c r="AV44" s="492"/>
      <c r="AW44" s="492">
        <v>3</v>
      </c>
      <c r="AX44" s="492">
        <v>9</v>
      </c>
      <c r="AY44" s="492">
        <v>8</v>
      </c>
      <c r="AZ44" s="492">
        <v>7</v>
      </c>
      <c r="BA44" s="493">
        <f t="shared" si="27"/>
        <v>32</v>
      </c>
      <c r="BB44" s="492">
        <v>6</v>
      </c>
      <c r="BC44" s="492">
        <v>5</v>
      </c>
      <c r="BD44" s="492">
        <v>5</v>
      </c>
      <c r="BE44" s="492">
        <v>6</v>
      </c>
      <c r="BF44" s="492">
        <v>4</v>
      </c>
      <c r="BG44" s="492">
        <v>5</v>
      </c>
      <c r="BH44" s="492">
        <v>5</v>
      </c>
      <c r="BI44" s="492">
        <v>5</v>
      </c>
      <c r="BJ44" s="492">
        <v>6</v>
      </c>
      <c r="BK44" s="492">
        <v>3</v>
      </c>
      <c r="BL44" s="492">
        <v>3</v>
      </c>
      <c r="BM44" s="492">
        <v>6</v>
      </c>
      <c r="BN44" s="493">
        <f t="shared" si="28"/>
        <v>59</v>
      </c>
      <c r="BO44" s="492">
        <v>5</v>
      </c>
      <c r="BP44" s="492">
        <v>5</v>
      </c>
      <c r="BQ44" s="492">
        <v>5</v>
      </c>
      <c r="BR44" s="492">
        <v>3</v>
      </c>
      <c r="BS44" s="492">
        <v>3</v>
      </c>
      <c r="BT44" s="492">
        <v>3</v>
      </c>
      <c r="BU44" s="492"/>
      <c r="BV44" s="492"/>
      <c r="BW44" s="492">
        <v>4</v>
      </c>
      <c r="BX44" s="492">
        <v>4</v>
      </c>
      <c r="BY44" s="492">
        <v>1</v>
      </c>
      <c r="BZ44" s="492">
        <v>1</v>
      </c>
      <c r="CA44" s="493">
        <f t="shared" si="29"/>
        <v>34</v>
      </c>
      <c r="CB44" s="492"/>
      <c r="CC44" s="492"/>
      <c r="CD44" s="492"/>
      <c r="CE44" s="492"/>
      <c r="CF44" s="492"/>
      <c r="CG44" s="492"/>
      <c r="CH44" s="492"/>
      <c r="CI44" s="492">
        <v>10</v>
      </c>
      <c r="CJ44" s="492">
        <v>3</v>
      </c>
      <c r="CK44" s="492">
        <v>8.5</v>
      </c>
      <c r="CL44" s="492">
        <v>2</v>
      </c>
      <c r="CM44" s="492">
        <v>1</v>
      </c>
      <c r="CN44" s="493">
        <f t="shared" si="30"/>
        <v>24.5</v>
      </c>
      <c r="CO44" s="492">
        <v>2</v>
      </c>
      <c r="CP44" s="492">
        <v>1</v>
      </c>
      <c r="CQ44" s="492">
        <v>5</v>
      </c>
      <c r="CR44" s="492">
        <v>2</v>
      </c>
      <c r="CS44" s="492">
        <v>4</v>
      </c>
      <c r="CT44" s="492"/>
      <c r="CU44" s="492"/>
      <c r="CV44" s="492"/>
      <c r="CW44" s="492">
        <v>1</v>
      </c>
      <c r="CX44" s="492">
        <v>1</v>
      </c>
      <c r="CY44" s="492">
        <v>1</v>
      </c>
      <c r="CZ44" s="492"/>
      <c r="DA44" s="493">
        <f t="shared" si="31"/>
        <v>17</v>
      </c>
      <c r="DB44" s="492"/>
      <c r="DC44" s="492"/>
      <c r="DD44" s="492">
        <v>1</v>
      </c>
      <c r="DE44" s="492"/>
      <c r="DF44" s="492"/>
      <c r="DG44" s="492">
        <v>1</v>
      </c>
      <c r="DH44" s="492"/>
      <c r="DI44" s="492"/>
      <c r="DJ44" s="492"/>
      <c r="DK44" s="492">
        <v>1</v>
      </c>
      <c r="DL44" s="492"/>
      <c r="DM44" s="492"/>
      <c r="DN44" s="493">
        <f t="shared" si="32"/>
        <v>3</v>
      </c>
      <c r="DO44" s="492"/>
      <c r="DP44" s="492"/>
      <c r="DQ44" s="492"/>
      <c r="DR44" s="492"/>
      <c r="DS44" s="492"/>
      <c r="DT44" s="492"/>
      <c r="DU44" s="492"/>
      <c r="DV44" s="492"/>
      <c r="DW44" s="492"/>
      <c r="DX44" s="492">
        <v>2</v>
      </c>
      <c r="DY44" s="492">
        <v>7</v>
      </c>
      <c r="DZ44" s="492">
        <v>1</v>
      </c>
      <c r="EA44" s="493">
        <f t="shared" si="33"/>
        <v>10</v>
      </c>
      <c r="EB44" s="492">
        <v>1</v>
      </c>
      <c r="EC44" s="492"/>
      <c r="ED44" s="492"/>
      <c r="EE44" s="492"/>
      <c r="EF44" s="492"/>
      <c r="EG44" s="492"/>
      <c r="EH44" s="492"/>
      <c r="EI44" s="492">
        <v>1</v>
      </c>
      <c r="EJ44" s="492">
        <v>1</v>
      </c>
      <c r="EK44" s="492">
        <v>4</v>
      </c>
      <c r="EL44" s="492">
        <v>3</v>
      </c>
      <c r="EM44" s="492">
        <v>1</v>
      </c>
      <c r="EN44" s="493">
        <f t="shared" si="34"/>
        <v>11</v>
      </c>
      <c r="EO44" s="492">
        <v>1</v>
      </c>
      <c r="EP44" s="492"/>
      <c r="EQ44" s="492"/>
      <c r="ER44" s="492"/>
      <c r="ES44" s="492"/>
      <c r="ET44" s="492"/>
      <c r="EU44" s="492"/>
      <c r="EV44" s="492"/>
      <c r="EW44" s="492"/>
      <c r="EX44" s="492"/>
      <c r="EY44" s="492"/>
      <c r="EZ44" s="492"/>
      <c r="FA44" s="493">
        <f t="shared" si="35"/>
        <v>1</v>
      </c>
      <c r="FB44" s="492"/>
      <c r="FC44" s="492"/>
      <c r="FD44" s="492"/>
      <c r="FE44" s="492"/>
      <c r="FF44" s="492"/>
      <c r="FG44" s="492"/>
      <c r="FH44" s="492"/>
      <c r="FI44" s="492"/>
      <c r="FJ44" s="492"/>
      <c r="FK44" s="492"/>
      <c r="FL44" s="492"/>
      <c r="FM44" s="492"/>
      <c r="FN44" s="493">
        <f t="shared" si="36"/>
        <v>0</v>
      </c>
      <c r="FP44" s="654" t="str">
        <f t="shared" si="37"/>
        <v/>
      </c>
      <c r="FQ44" s="655">
        <f t="shared" si="38"/>
        <v>0</v>
      </c>
      <c r="FR44" s="656">
        <f t="shared" si="39"/>
        <v>1</v>
      </c>
      <c r="FS44" s="657">
        <f t="shared" si="40"/>
        <v>1</v>
      </c>
      <c r="FT44" s="648"/>
      <c r="FU44" s="551">
        <f t="shared" si="41"/>
        <v>517</v>
      </c>
      <c r="FV44" s="553" t="s">
        <v>122</v>
      </c>
      <c r="FW44" s="554" t="str">
        <f t="shared" si="42"/>
        <v>OK</v>
      </c>
    </row>
    <row r="45" spans="1:179" ht="15" customHeight="1" x14ac:dyDescent="0.25">
      <c r="A45" s="664" t="s">
        <v>123</v>
      </c>
      <c r="B45" s="492"/>
      <c r="C45" s="492"/>
      <c r="D45" s="492"/>
      <c r="E45" s="492"/>
      <c r="F45" s="492"/>
      <c r="G45" s="492"/>
      <c r="H45" s="492"/>
      <c r="I45" s="492"/>
      <c r="J45" s="492"/>
      <c r="K45" s="492"/>
      <c r="L45" s="492"/>
      <c r="M45" s="492"/>
      <c r="N45" s="493">
        <f t="shared" si="24"/>
        <v>0</v>
      </c>
      <c r="O45" s="492"/>
      <c r="P45" s="492"/>
      <c r="Q45" s="492"/>
      <c r="R45" s="492"/>
      <c r="S45" s="492"/>
      <c r="T45" s="492"/>
      <c r="U45" s="492"/>
      <c r="V45" s="492"/>
      <c r="W45" s="492"/>
      <c r="X45" s="492"/>
      <c r="Y45" s="492"/>
      <c r="Z45" s="492"/>
      <c r="AA45" s="493">
        <f t="shared" si="25"/>
        <v>0</v>
      </c>
      <c r="AB45" s="492"/>
      <c r="AC45" s="492"/>
      <c r="AD45" s="492"/>
      <c r="AE45" s="492"/>
      <c r="AF45" s="492"/>
      <c r="AG45" s="492"/>
      <c r="AH45" s="492"/>
      <c r="AI45" s="492"/>
      <c r="AJ45" s="492"/>
      <c r="AK45" s="492"/>
      <c r="AL45" s="492"/>
      <c r="AM45" s="492"/>
      <c r="AN45" s="493">
        <f t="shared" si="26"/>
        <v>0</v>
      </c>
      <c r="AO45" s="492"/>
      <c r="AP45" s="492"/>
      <c r="AQ45" s="492"/>
      <c r="AR45" s="492"/>
      <c r="AS45" s="492"/>
      <c r="AT45" s="492"/>
      <c r="AU45" s="492"/>
      <c r="AV45" s="492"/>
      <c r="AW45" s="492"/>
      <c r="AX45" s="492"/>
      <c r="AY45" s="492"/>
      <c r="AZ45" s="492"/>
      <c r="BA45" s="493">
        <f t="shared" si="27"/>
        <v>0</v>
      </c>
      <c r="BB45" s="492"/>
      <c r="BC45" s="492"/>
      <c r="BD45" s="492"/>
      <c r="BE45" s="492"/>
      <c r="BF45" s="492"/>
      <c r="BG45" s="492"/>
      <c r="BH45" s="492"/>
      <c r="BI45" s="492"/>
      <c r="BJ45" s="492"/>
      <c r="BK45" s="492"/>
      <c r="BL45" s="492"/>
      <c r="BM45" s="492"/>
      <c r="BN45" s="493">
        <f t="shared" si="28"/>
        <v>0</v>
      </c>
      <c r="BO45" s="492"/>
      <c r="BP45" s="492"/>
      <c r="BQ45" s="492"/>
      <c r="BR45" s="492"/>
      <c r="BS45" s="492"/>
      <c r="BT45" s="492"/>
      <c r="BU45" s="492"/>
      <c r="BV45" s="492"/>
      <c r="BW45" s="492"/>
      <c r="BX45" s="492"/>
      <c r="BY45" s="492"/>
      <c r="BZ45" s="492"/>
      <c r="CA45" s="493">
        <f t="shared" si="29"/>
        <v>0</v>
      </c>
      <c r="CB45" s="492"/>
      <c r="CC45" s="492"/>
      <c r="CD45" s="492"/>
      <c r="CE45" s="492"/>
      <c r="CF45" s="492"/>
      <c r="CG45" s="492"/>
      <c r="CH45" s="492"/>
      <c r="CI45" s="492"/>
      <c r="CJ45" s="492"/>
      <c r="CK45" s="492"/>
      <c r="CL45" s="492"/>
      <c r="CM45" s="492"/>
      <c r="CN45" s="493">
        <f t="shared" si="30"/>
        <v>0</v>
      </c>
      <c r="CO45" s="492"/>
      <c r="CP45" s="492"/>
      <c r="CQ45" s="492"/>
      <c r="CR45" s="492"/>
      <c r="CS45" s="492"/>
      <c r="CT45" s="492"/>
      <c r="CU45" s="492"/>
      <c r="CV45" s="492"/>
      <c r="CW45" s="492"/>
      <c r="CX45" s="492"/>
      <c r="CY45" s="492"/>
      <c r="CZ45" s="492"/>
      <c r="DA45" s="493">
        <f t="shared" si="31"/>
        <v>0</v>
      </c>
      <c r="DB45" s="492"/>
      <c r="DC45" s="492"/>
      <c r="DD45" s="492"/>
      <c r="DE45" s="492"/>
      <c r="DF45" s="492"/>
      <c r="DG45" s="492"/>
      <c r="DH45" s="492"/>
      <c r="DI45" s="492"/>
      <c r="DJ45" s="492"/>
      <c r="DK45" s="492"/>
      <c r="DL45" s="492"/>
      <c r="DM45" s="492"/>
      <c r="DN45" s="493">
        <f t="shared" si="32"/>
        <v>0</v>
      </c>
      <c r="DO45" s="492"/>
      <c r="DP45" s="492"/>
      <c r="DQ45" s="492"/>
      <c r="DR45" s="492"/>
      <c r="DS45" s="492"/>
      <c r="DT45" s="492"/>
      <c r="DU45" s="492"/>
      <c r="DV45" s="492"/>
      <c r="DW45" s="492"/>
      <c r="DX45" s="492"/>
      <c r="DY45" s="492"/>
      <c r="DZ45" s="492"/>
      <c r="EA45" s="493">
        <f t="shared" si="33"/>
        <v>0</v>
      </c>
      <c r="EB45" s="492"/>
      <c r="EC45" s="492"/>
      <c r="ED45" s="492"/>
      <c r="EE45" s="492"/>
      <c r="EF45" s="492"/>
      <c r="EG45" s="492"/>
      <c r="EH45" s="492"/>
      <c r="EI45" s="492"/>
      <c r="EJ45" s="492"/>
      <c r="EK45" s="492"/>
      <c r="EL45" s="492"/>
      <c r="EM45" s="492"/>
      <c r="EN45" s="493">
        <f t="shared" si="34"/>
        <v>0</v>
      </c>
      <c r="EO45" s="492"/>
      <c r="EP45" s="492"/>
      <c r="EQ45" s="492"/>
      <c r="ER45" s="492"/>
      <c r="ES45" s="492"/>
      <c r="ET45" s="492"/>
      <c r="EU45" s="492"/>
      <c r="EV45" s="492"/>
      <c r="EW45" s="492"/>
      <c r="EX45" s="492"/>
      <c r="EY45" s="492"/>
      <c r="EZ45" s="492"/>
      <c r="FA45" s="493">
        <f t="shared" si="35"/>
        <v>0</v>
      </c>
      <c r="FB45" s="492"/>
      <c r="FC45" s="492"/>
      <c r="FD45" s="492"/>
      <c r="FE45" s="492"/>
      <c r="FF45" s="492"/>
      <c r="FG45" s="492"/>
      <c r="FH45" s="492"/>
      <c r="FI45" s="492"/>
      <c r="FJ45" s="492"/>
      <c r="FK45" s="492"/>
      <c r="FL45" s="492"/>
      <c r="FM45" s="492"/>
      <c r="FN45" s="493">
        <f t="shared" si="36"/>
        <v>0</v>
      </c>
      <c r="FP45" s="654" t="str">
        <f t="shared" si="37"/>
        <v/>
      </c>
      <c r="FQ45" s="655" t="str">
        <f t="shared" si="38"/>
        <v/>
      </c>
      <c r="FR45" s="656">
        <f t="shared" si="39"/>
        <v>0</v>
      </c>
      <c r="FS45" s="657">
        <f t="shared" si="40"/>
        <v>0</v>
      </c>
      <c r="FT45" s="648"/>
      <c r="FU45" s="551">
        <f t="shared" si="41"/>
        <v>0</v>
      </c>
      <c r="FV45" s="553" t="s">
        <v>123</v>
      </c>
      <c r="FW45" s="554" t="str">
        <f t="shared" si="42"/>
        <v>OK</v>
      </c>
    </row>
    <row r="46" spans="1:179" ht="15" customHeight="1" x14ac:dyDescent="0.25">
      <c r="A46" s="664" t="s">
        <v>644</v>
      </c>
      <c r="B46" s="492">
        <v>9</v>
      </c>
      <c r="C46" s="492">
        <v>16</v>
      </c>
      <c r="D46" s="492">
        <v>3</v>
      </c>
      <c r="E46" s="492">
        <v>4</v>
      </c>
      <c r="F46" s="492">
        <v>3</v>
      </c>
      <c r="G46" s="492">
        <v>7</v>
      </c>
      <c r="H46" s="492">
        <v>9</v>
      </c>
      <c r="I46" s="492">
        <v>4</v>
      </c>
      <c r="J46" s="492">
        <v>8</v>
      </c>
      <c r="K46" s="492">
        <v>3</v>
      </c>
      <c r="L46" s="492">
        <v>4</v>
      </c>
      <c r="M46" s="492">
        <v>3</v>
      </c>
      <c r="N46" s="493">
        <f t="shared" si="24"/>
        <v>73</v>
      </c>
      <c r="O46" s="492">
        <v>4</v>
      </c>
      <c r="P46" s="492">
        <v>9</v>
      </c>
      <c r="Q46" s="492">
        <v>3</v>
      </c>
      <c r="R46" s="492">
        <v>3</v>
      </c>
      <c r="S46" s="492">
        <v>3</v>
      </c>
      <c r="T46" s="492">
        <v>6</v>
      </c>
      <c r="U46" s="492">
        <v>3</v>
      </c>
      <c r="V46" s="492">
        <v>2</v>
      </c>
      <c r="W46" s="492">
        <v>2</v>
      </c>
      <c r="X46" s="492">
        <v>2</v>
      </c>
      <c r="Y46" s="492">
        <v>6</v>
      </c>
      <c r="Z46" s="492">
        <v>3</v>
      </c>
      <c r="AA46" s="493">
        <f t="shared" si="25"/>
        <v>46</v>
      </c>
      <c r="AB46" s="492">
        <v>4</v>
      </c>
      <c r="AC46" s="492"/>
      <c r="AD46" s="492"/>
      <c r="AE46" s="492">
        <v>4</v>
      </c>
      <c r="AF46" s="492">
        <v>1</v>
      </c>
      <c r="AG46" s="492"/>
      <c r="AH46" s="492"/>
      <c r="AI46" s="492"/>
      <c r="AJ46" s="492"/>
      <c r="AK46" s="492"/>
      <c r="AL46" s="492"/>
      <c r="AM46" s="492"/>
      <c r="AN46" s="493">
        <f t="shared" si="26"/>
        <v>9</v>
      </c>
      <c r="AO46" s="492"/>
      <c r="AP46" s="492"/>
      <c r="AQ46" s="492"/>
      <c r="AR46" s="492"/>
      <c r="AS46" s="492"/>
      <c r="AT46" s="492"/>
      <c r="AU46" s="492"/>
      <c r="AV46" s="492"/>
      <c r="AW46" s="492">
        <v>5</v>
      </c>
      <c r="AX46" s="492">
        <v>2</v>
      </c>
      <c r="AY46" s="492">
        <v>2</v>
      </c>
      <c r="AZ46" s="492">
        <v>2</v>
      </c>
      <c r="BA46" s="493">
        <f t="shared" si="27"/>
        <v>11</v>
      </c>
      <c r="BB46" s="492"/>
      <c r="BC46" s="492">
        <v>2</v>
      </c>
      <c r="BD46" s="492">
        <v>2</v>
      </c>
      <c r="BE46" s="492"/>
      <c r="BF46" s="492">
        <v>1</v>
      </c>
      <c r="BG46" s="492"/>
      <c r="BH46" s="492"/>
      <c r="BI46" s="492">
        <v>1</v>
      </c>
      <c r="BJ46" s="492">
        <v>3</v>
      </c>
      <c r="BK46" s="492">
        <v>1</v>
      </c>
      <c r="BL46" s="492">
        <v>1</v>
      </c>
      <c r="BM46" s="492">
        <v>13</v>
      </c>
      <c r="BN46" s="493">
        <f t="shared" si="28"/>
        <v>24</v>
      </c>
      <c r="BO46" s="492">
        <v>1</v>
      </c>
      <c r="BP46" s="492">
        <v>1</v>
      </c>
      <c r="BQ46" s="492">
        <v>1</v>
      </c>
      <c r="BR46" s="492">
        <v>1</v>
      </c>
      <c r="BS46" s="492">
        <v>1</v>
      </c>
      <c r="BT46" s="492"/>
      <c r="BU46" s="492"/>
      <c r="BV46" s="492">
        <v>1</v>
      </c>
      <c r="BW46" s="492">
        <v>6</v>
      </c>
      <c r="BX46" s="492">
        <v>7</v>
      </c>
      <c r="BY46" s="492">
        <v>4</v>
      </c>
      <c r="BZ46" s="492">
        <v>1</v>
      </c>
      <c r="CA46" s="493">
        <f t="shared" si="29"/>
        <v>24</v>
      </c>
      <c r="CB46" s="492"/>
      <c r="CC46" s="492"/>
      <c r="CD46" s="492"/>
      <c r="CE46" s="492"/>
      <c r="CF46" s="492"/>
      <c r="CG46" s="492"/>
      <c r="CH46" s="492"/>
      <c r="CI46" s="492">
        <v>3</v>
      </c>
      <c r="CJ46" s="492">
        <v>1</v>
      </c>
      <c r="CK46" s="492">
        <v>3</v>
      </c>
      <c r="CL46" s="492">
        <v>2</v>
      </c>
      <c r="CM46" s="492">
        <v>2</v>
      </c>
      <c r="CN46" s="493">
        <f t="shared" si="30"/>
        <v>11</v>
      </c>
      <c r="CO46" s="492">
        <v>5</v>
      </c>
      <c r="CP46" s="492">
        <v>3</v>
      </c>
      <c r="CQ46" s="492"/>
      <c r="CR46" s="492">
        <v>10</v>
      </c>
      <c r="CS46" s="492"/>
      <c r="CT46" s="492"/>
      <c r="CU46" s="492"/>
      <c r="CV46" s="492">
        <v>1</v>
      </c>
      <c r="CW46" s="492">
        <v>1</v>
      </c>
      <c r="CX46" s="492">
        <v>2</v>
      </c>
      <c r="CY46" s="492"/>
      <c r="CZ46" s="492">
        <v>4.5</v>
      </c>
      <c r="DA46" s="493">
        <f t="shared" si="31"/>
        <v>26.5</v>
      </c>
      <c r="DB46" s="492"/>
      <c r="DC46" s="492">
        <v>20</v>
      </c>
      <c r="DD46" s="492">
        <v>21</v>
      </c>
      <c r="DE46" s="492"/>
      <c r="DF46" s="492"/>
      <c r="DG46" s="492">
        <v>1</v>
      </c>
      <c r="DH46" s="492"/>
      <c r="DI46" s="492"/>
      <c r="DJ46" s="492"/>
      <c r="DK46" s="492"/>
      <c r="DL46" s="492"/>
      <c r="DM46" s="492"/>
      <c r="DN46" s="493">
        <f t="shared" si="32"/>
        <v>42</v>
      </c>
      <c r="DO46" s="492"/>
      <c r="DP46" s="492">
        <v>6</v>
      </c>
      <c r="DQ46" s="492">
        <v>12</v>
      </c>
      <c r="DR46" s="492"/>
      <c r="DS46" s="492"/>
      <c r="DT46" s="492"/>
      <c r="DU46" s="492"/>
      <c r="DV46" s="492"/>
      <c r="DW46" s="492"/>
      <c r="DX46" s="492"/>
      <c r="DY46" s="492">
        <v>9</v>
      </c>
      <c r="DZ46" s="492">
        <v>3</v>
      </c>
      <c r="EA46" s="493">
        <f t="shared" si="33"/>
        <v>30</v>
      </c>
      <c r="EB46" s="492">
        <v>1.5</v>
      </c>
      <c r="EC46" s="492">
        <v>50</v>
      </c>
      <c r="ED46" s="492">
        <v>2</v>
      </c>
      <c r="EE46" s="492"/>
      <c r="EF46" s="492"/>
      <c r="EG46" s="492"/>
      <c r="EH46" s="492">
        <v>3</v>
      </c>
      <c r="EI46" s="492">
        <v>4</v>
      </c>
      <c r="EJ46" s="492">
        <v>2</v>
      </c>
      <c r="EK46" s="492">
        <v>10</v>
      </c>
      <c r="EL46" s="492">
        <v>9</v>
      </c>
      <c r="EM46" s="492">
        <v>8</v>
      </c>
      <c r="EN46" s="493">
        <f t="shared" si="34"/>
        <v>89.5</v>
      </c>
      <c r="EO46" s="492">
        <v>5</v>
      </c>
      <c r="EP46" s="492">
        <v>4</v>
      </c>
      <c r="EQ46" s="492">
        <v>9</v>
      </c>
      <c r="ER46" s="492"/>
      <c r="ES46" s="492"/>
      <c r="ET46" s="492"/>
      <c r="EU46" s="492"/>
      <c r="EV46" s="492"/>
      <c r="EW46" s="492"/>
      <c r="EX46" s="492"/>
      <c r="EY46" s="492"/>
      <c r="EZ46" s="492"/>
      <c r="FA46" s="493">
        <f t="shared" si="35"/>
        <v>18</v>
      </c>
      <c r="FB46" s="492"/>
      <c r="FC46" s="492"/>
      <c r="FD46" s="492"/>
      <c r="FE46" s="492"/>
      <c r="FF46" s="492"/>
      <c r="FG46" s="492"/>
      <c r="FH46" s="492"/>
      <c r="FI46" s="492"/>
      <c r="FJ46" s="492"/>
      <c r="FK46" s="492"/>
      <c r="FL46" s="492"/>
      <c r="FM46" s="492"/>
      <c r="FN46" s="493">
        <f t="shared" si="36"/>
        <v>0</v>
      </c>
      <c r="FP46" s="654" t="str">
        <f t="shared" si="37"/>
        <v/>
      </c>
      <c r="FQ46" s="655">
        <f t="shared" si="38"/>
        <v>-66.355140186915889</v>
      </c>
      <c r="FR46" s="656">
        <f t="shared" si="39"/>
        <v>53.5</v>
      </c>
      <c r="FS46" s="657">
        <f t="shared" si="40"/>
        <v>18</v>
      </c>
      <c r="FT46" s="648"/>
      <c r="FU46" s="551">
        <f t="shared" si="41"/>
        <v>808</v>
      </c>
      <c r="FV46" s="553" t="s">
        <v>644</v>
      </c>
      <c r="FW46" s="554" t="str">
        <f t="shared" si="42"/>
        <v>OK</v>
      </c>
    </row>
    <row r="47" spans="1:179" ht="15" customHeight="1" x14ac:dyDescent="0.25">
      <c r="A47" s="664" t="s">
        <v>135</v>
      </c>
      <c r="B47" s="492">
        <v>2</v>
      </c>
      <c r="C47" s="492">
        <v>4</v>
      </c>
      <c r="D47" s="492">
        <v>2</v>
      </c>
      <c r="E47" s="492">
        <v>2</v>
      </c>
      <c r="F47" s="492">
        <v>2</v>
      </c>
      <c r="G47" s="492">
        <v>9</v>
      </c>
      <c r="H47" s="492">
        <v>4</v>
      </c>
      <c r="I47" s="492">
        <v>1</v>
      </c>
      <c r="J47" s="492">
        <v>1</v>
      </c>
      <c r="K47" s="492">
        <v>1</v>
      </c>
      <c r="L47" s="492">
        <v>2</v>
      </c>
      <c r="M47" s="492">
        <v>1</v>
      </c>
      <c r="N47" s="493">
        <f t="shared" si="24"/>
        <v>31</v>
      </c>
      <c r="O47" s="492">
        <v>1</v>
      </c>
      <c r="P47" s="492">
        <v>6</v>
      </c>
      <c r="Q47" s="492">
        <v>9</v>
      </c>
      <c r="R47" s="492">
        <v>1</v>
      </c>
      <c r="S47" s="492">
        <v>1</v>
      </c>
      <c r="T47" s="492">
        <v>5</v>
      </c>
      <c r="U47" s="492">
        <v>11</v>
      </c>
      <c r="V47" s="492">
        <v>1</v>
      </c>
      <c r="W47" s="492">
        <v>8</v>
      </c>
      <c r="X47" s="492">
        <v>1</v>
      </c>
      <c r="Y47" s="492">
        <v>9</v>
      </c>
      <c r="Z47" s="492">
        <v>6</v>
      </c>
      <c r="AA47" s="493">
        <f t="shared" si="25"/>
        <v>59</v>
      </c>
      <c r="AB47" s="492">
        <v>7</v>
      </c>
      <c r="AC47" s="492">
        <v>8</v>
      </c>
      <c r="AD47" s="492">
        <v>7</v>
      </c>
      <c r="AE47" s="492">
        <v>2</v>
      </c>
      <c r="AF47" s="492">
        <v>3</v>
      </c>
      <c r="AG47" s="492">
        <v>5</v>
      </c>
      <c r="AH47" s="492">
        <v>7</v>
      </c>
      <c r="AI47" s="492">
        <v>6</v>
      </c>
      <c r="AJ47" s="492"/>
      <c r="AK47" s="492"/>
      <c r="AL47" s="492"/>
      <c r="AM47" s="492"/>
      <c r="AN47" s="493">
        <f t="shared" si="26"/>
        <v>45</v>
      </c>
      <c r="AO47" s="492"/>
      <c r="AP47" s="492"/>
      <c r="AQ47" s="492">
        <v>1</v>
      </c>
      <c r="AR47" s="492">
        <v>3</v>
      </c>
      <c r="AS47" s="492"/>
      <c r="AT47" s="492">
        <v>4</v>
      </c>
      <c r="AU47" s="492"/>
      <c r="AV47" s="492"/>
      <c r="AW47" s="492"/>
      <c r="AX47" s="492"/>
      <c r="AY47" s="492">
        <v>1</v>
      </c>
      <c r="AZ47" s="492"/>
      <c r="BA47" s="493">
        <f t="shared" si="27"/>
        <v>9</v>
      </c>
      <c r="BB47" s="492"/>
      <c r="BC47" s="492"/>
      <c r="BD47" s="492"/>
      <c r="BE47" s="492">
        <v>4</v>
      </c>
      <c r="BF47" s="492"/>
      <c r="BG47" s="492"/>
      <c r="BH47" s="492"/>
      <c r="BI47" s="492"/>
      <c r="BJ47" s="492"/>
      <c r="BK47" s="492"/>
      <c r="BL47" s="492"/>
      <c r="BM47" s="492"/>
      <c r="BN47" s="493">
        <f t="shared" si="28"/>
        <v>4</v>
      </c>
      <c r="BO47" s="492"/>
      <c r="BP47" s="492"/>
      <c r="BQ47" s="492"/>
      <c r="BR47" s="492">
        <v>2</v>
      </c>
      <c r="BS47" s="492"/>
      <c r="BT47" s="492">
        <v>2</v>
      </c>
      <c r="BU47" s="492"/>
      <c r="BV47" s="492"/>
      <c r="BW47" s="492">
        <v>3</v>
      </c>
      <c r="BX47" s="492">
        <v>17</v>
      </c>
      <c r="BY47" s="492">
        <v>8</v>
      </c>
      <c r="BZ47" s="492"/>
      <c r="CA47" s="493">
        <f t="shared" si="29"/>
        <v>32</v>
      </c>
      <c r="CB47" s="492"/>
      <c r="CC47" s="492"/>
      <c r="CD47" s="492"/>
      <c r="CE47" s="492"/>
      <c r="CF47" s="492">
        <v>2</v>
      </c>
      <c r="CG47" s="492"/>
      <c r="CH47" s="492"/>
      <c r="CI47" s="492"/>
      <c r="CJ47" s="492"/>
      <c r="CK47" s="492">
        <v>2</v>
      </c>
      <c r="CL47" s="492"/>
      <c r="CM47" s="492"/>
      <c r="CN47" s="493">
        <f t="shared" si="30"/>
        <v>4</v>
      </c>
      <c r="CO47" s="492"/>
      <c r="CP47" s="492"/>
      <c r="CQ47" s="492">
        <v>2</v>
      </c>
      <c r="CR47" s="492">
        <v>24</v>
      </c>
      <c r="CS47" s="492">
        <v>2</v>
      </c>
      <c r="CT47" s="492"/>
      <c r="CU47" s="492"/>
      <c r="CV47" s="492"/>
      <c r="CW47" s="492"/>
      <c r="CX47" s="492">
        <v>1</v>
      </c>
      <c r="CY47" s="492"/>
      <c r="CZ47" s="492">
        <v>6</v>
      </c>
      <c r="DA47" s="493">
        <f t="shared" si="31"/>
        <v>35</v>
      </c>
      <c r="DB47" s="492"/>
      <c r="DC47" s="492"/>
      <c r="DD47" s="492"/>
      <c r="DE47" s="492"/>
      <c r="DF47" s="492"/>
      <c r="DG47" s="492"/>
      <c r="DH47" s="492"/>
      <c r="DI47" s="492"/>
      <c r="DJ47" s="492"/>
      <c r="DK47" s="492"/>
      <c r="DL47" s="492">
        <v>3</v>
      </c>
      <c r="DM47" s="492"/>
      <c r="DN47" s="493">
        <f t="shared" si="32"/>
        <v>3</v>
      </c>
      <c r="DO47" s="492"/>
      <c r="DP47" s="492"/>
      <c r="DQ47" s="492"/>
      <c r="DR47" s="492"/>
      <c r="DS47" s="492"/>
      <c r="DT47" s="492"/>
      <c r="DU47" s="492">
        <v>30</v>
      </c>
      <c r="DV47" s="492"/>
      <c r="DW47" s="492"/>
      <c r="DX47" s="492"/>
      <c r="DY47" s="492"/>
      <c r="DZ47" s="492">
        <v>14</v>
      </c>
      <c r="EA47" s="493">
        <f t="shared" si="33"/>
        <v>44</v>
      </c>
      <c r="EB47" s="492">
        <v>3</v>
      </c>
      <c r="EC47" s="492">
        <v>3</v>
      </c>
      <c r="ED47" s="492">
        <v>2</v>
      </c>
      <c r="EE47" s="492">
        <v>1.75</v>
      </c>
      <c r="EF47" s="492"/>
      <c r="EG47" s="492"/>
      <c r="EH47" s="492"/>
      <c r="EI47" s="492">
        <v>2</v>
      </c>
      <c r="EJ47" s="492"/>
      <c r="EK47" s="492">
        <v>16</v>
      </c>
      <c r="EL47" s="492">
        <v>13</v>
      </c>
      <c r="EM47" s="492">
        <v>13</v>
      </c>
      <c r="EN47" s="493">
        <f t="shared" si="34"/>
        <v>53.75</v>
      </c>
      <c r="EO47" s="492"/>
      <c r="EP47" s="492"/>
      <c r="EQ47" s="492">
        <v>13</v>
      </c>
      <c r="ER47" s="492">
        <v>4</v>
      </c>
      <c r="ES47" s="492"/>
      <c r="ET47" s="492"/>
      <c r="EU47" s="492"/>
      <c r="EV47" s="492"/>
      <c r="EW47" s="492"/>
      <c r="EX47" s="492"/>
      <c r="EY47" s="492"/>
      <c r="EZ47" s="492"/>
      <c r="FA47" s="493">
        <f t="shared" si="35"/>
        <v>17</v>
      </c>
      <c r="FB47" s="492"/>
      <c r="FC47" s="492"/>
      <c r="FD47" s="492"/>
      <c r="FE47" s="492"/>
      <c r="FF47" s="492"/>
      <c r="FG47" s="492"/>
      <c r="FH47" s="492"/>
      <c r="FI47" s="492"/>
      <c r="FJ47" s="492"/>
      <c r="FK47" s="492"/>
      <c r="FL47" s="492"/>
      <c r="FM47" s="492"/>
      <c r="FN47" s="493">
        <f t="shared" si="36"/>
        <v>0</v>
      </c>
      <c r="FP47" s="654">
        <f t="shared" si="37"/>
        <v>128.57142857142856</v>
      </c>
      <c r="FQ47" s="655">
        <f t="shared" si="38"/>
        <v>74.358974358974365</v>
      </c>
      <c r="FR47" s="656">
        <f t="shared" si="39"/>
        <v>9.75</v>
      </c>
      <c r="FS47" s="657">
        <f t="shared" si="40"/>
        <v>17</v>
      </c>
      <c r="FT47" s="648"/>
      <c r="FU47" s="551">
        <f t="shared" si="41"/>
        <v>673.5</v>
      </c>
      <c r="FV47" s="553" t="s">
        <v>135</v>
      </c>
      <c r="FW47" s="554" t="str">
        <f t="shared" si="42"/>
        <v>OK</v>
      </c>
    </row>
    <row r="48" spans="1:179" ht="15" customHeight="1" x14ac:dyDescent="0.25">
      <c r="A48" s="664" t="s">
        <v>642</v>
      </c>
      <c r="B48" s="492"/>
      <c r="C48" s="492"/>
      <c r="D48" s="492"/>
      <c r="E48" s="492"/>
      <c r="F48" s="492"/>
      <c r="G48" s="492"/>
      <c r="H48" s="492"/>
      <c r="I48" s="492"/>
      <c r="J48" s="492"/>
      <c r="K48" s="492"/>
      <c r="L48" s="492"/>
      <c r="M48" s="492"/>
      <c r="N48" s="493">
        <f t="shared" si="24"/>
        <v>0</v>
      </c>
      <c r="O48" s="492"/>
      <c r="P48" s="492"/>
      <c r="Q48" s="492"/>
      <c r="R48" s="492"/>
      <c r="S48" s="492"/>
      <c r="T48" s="492"/>
      <c r="U48" s="492"/>
      <c r="V48" s="492"/>
      <c r="W48" s="492"/>
      <c r="X48" s="492"/>
      <c r="Y48" s="492"/>
      <c r="Z48" s="492"/>
      <c r="AA48" s="493">
        <f t="shared" si="25"/>
        <v>0</v>
      </c>
      <c r="AB48" s="492"/>
      <c r="AC48" s="492"/>
      <c r="AD48" s="492"/>
      <c r="AE48" s="492"/>
      <c r="AF48" s="492"/>
      <c r="AG48" s="492"/>
      <c r="AH48" s="492"/>
      <c r="AI48" s="492"/>
      <c r="AJ48" s="492"/>
      <c r="AK48" s="492"/>
      <c r="AL48" s="492"/>
      <c r="AM48" s="492"/>
      <c r="AN48" s="493">
        <f t="shared" si="26"/>
        <v>0</v>
      </c>
      <c r="AO48" s="492"/>
      <c r="AP48" s="492"/>
      <c r="AQ48" s="492"/>
      <c r="AR48" s="492"/>
      <c r="AS48" s="492"/>
      <c r="AT48" s="492"/>
      <c r="AU48" s="492"/>
      <c r="AV48" s="492"/>
      <c r="AW48" s="492"/>
      <c r="AX48" s="492"/>
      <c r="AY48" s="492"/>
      <c r="AZ48" s="492"/>
      <c r="BA48" s="493">
        <f t="shared" si="27"/>
        <v>0</v>
      </c>
      <c r="BB48" s="492"/>
      <c r="BC48" s="492"/>
      <c r="BD48" s="492"/>
      <c r="BE48" s="492"/>
      <c r="BF48" s="492"/>
      <c r="BG48" s="492"/>
      <c r="BH48" s="492"/>
      <c r="BI48" s="492"/>
      <c r="BJ48" s="492"/>
      <c r="BK48" s="492"/>
      <c r="BL48" s="492"/>
      <c r="BM48" s="492"/>
      <c r="BN48" s="493">
        <f t="shared" si="28"/>
        <v>0</v>
      </c>
      <c r="BO48" s="492"/>
      <c r="BP48" s="492"/>
      <c r="BQ48" s="492"/>
      <c r="BR48" s="492"/>
      <c r="BS48" s="492"/>
      <c r="BT48" s="492"/>
      <c r="BU48" s="492"/>
      <c r="BV48" s="492"/>
      <c r="BW48" s="492"/>
      <c r="BX48" s="492"/>
      <c r="BY48" s="492"/>
      <c r="BZ48" s="492"/>
      <c r="CA48" s="493">
        <f t="shared" si="29"/>
        <v>0</v>
      </c>
      <c r="CB48" s="492"/>
      <c r="CC48" s="492"/>
      <c r="CD48" s="492"/>
      <c r="CE48" s="492"/>
      <c r="CF48" s="492"/>
      <c r="CG48" s="492"/>
      <c r="CH48" s="492"/>
      <c r="CI48" s="492"/>
      <c r="CJ48" s="492"/>
      <c r="CK48" s="492"/>
      <c r="CL48" s="492"/>
      <c r="CM48" s="492"/>
      <c r="CN48" s="493">
        <f t="shared" si="30"/>
        <v>0</v>
      </c>
      <c r="CO48" s="492"/>
      <c r="CP48" s="492"/>
      <c r="CQ48" s="492"/>
      <c r="CR48" s="492"/>
      <c r="CS48" s="492"/>
      <c r="CT48" s="492"/>
      <c r="CU48" s="492"/>
      <c r="CV48" s="492"/>
      <c r="CW48" s="492"/>
      <c r="CX48" s="492"/>
      <c r="CY48" s="492"/>
      <c r="CZ48" s="492"/>
      <c r="DA48" s="493">
        <f t="shared" si="31"/>
        <v>0</v>
      </c>
      <c r="DB48" s="492"/>
      <c r="DC48" s="492"/>
      <c r="DD48" s="492"/>
      <c r="DE48" s="492"/>
      <c r="DF48" s="492"/>
      <c r="DG48" s="492"/>
      <c r="DH48" s="492"/>
      <c r="DI48" s="492"/>
      <c r="DJ48" s="492"/>
      <c r="DK48" s="492"/>
      <c r="DL48" s="492"/>
      <c r="DM48" s="492"/>
      <c r="DN48" s="493">
        <f t="shared" si="32"/>
        <v>0</v>
      </c>
      <c r="DO48" s="492"/>
      <c r="DP48" s="492"/>
      <c r="DQ48" s="492"/>
      <c r="DR48" s="492"/>
      <c r="DS48" s="492"/>
      <c r="DT48" s="492"/>
      <c r="DU48" s="492"/>
      <c r="DV48" s="492"/>
      <c r="DW48" s="492"/>
      <c r="DX48" s="492"/>
      <c r="DY48" s="492"/>
      <c r="DZ48" s="492"/>
      <c r="EA48" s="493">
        <f t="shared" si="33"/>
        <v>0</v>
      </c>
      <c r="EB48" s="492"/>
      <c r="EC48" s="492"/>
      <c r="ED48" s="492"/>
      <c r="EE48" s="492"/>
      <c r="EF48" s="492"/>
      <c r="EG48" s="492"/>
      <c r="EH48" s="492"/>
      <c r="EI48" s="492"/>
      <c r="EJ48" s="492"/>
      <c r="EK48" s="492"/>
      <c r="EL48" s="492"/>
      <c r="EM48" s="492"/>
      <c r="EN48" s="493">
        <f t="shared" si="34"/>
        <v>0</v>
      </c>
      <c r="EO48" s="492"/>
      <c r="EP48" s="492"/>
      <c r="EQ48" s="492"/>
      <c r="ER48" s="492"/>
      <c r="ES48" s="492"/>
      <c r="ET48" s="492"/>
      <c r="EU48" s="492"/>
      <c r="EV48" s="492"/>
      <c r="EW48" s="492"/>
      <c r="EX48" s="492"/>
      <c r="EY48" s="492"/>
      <c r="EZ48" s="492"/>
      <c r="FA48" s="493">
        <f t="shared" si="35"/>
        <v>0</v>
      </c>
      <c r="FB48" s="492"/>
      <c r="FC48" s="492"/>
      <c r="FD48" s="492"/>
      <c r="FE48" s="492"/>
      <c r="FF48" s="492"/>
      <c r="FG48" s="492"/>
      <c r="FH48" s="492"/>
      <c r="FI48" s="492"/>
      <c r="FJ48" s="492"/>
      <c r="FK48" s="492"/>
      <c r="FL48" s="492"/>
      <c r="FM48" s="492"/>
      <c r="FN48" s="493">
        <f t="shared" si="36"/>
        <v>0</v>
      </c>
      <c r="FP48" s="654" t="str">
        <f t="shared" si="37"/>
        <v/>
      </c>
      <c r="FQ48" s="655" t="str">
        <f t="shared" si="38"/>
        <v/>
      </c>
      <c r="FR48" s="656">
        <f t="shared" si="39"/>
        <v>0</v>
      </c>
      <c r="FS48" s="657">
        <f t="shared" si="40"/>
        <v>0</v>
      </c>
      <c r="FT48" s="648"/>
      <c r="FU48" s="551">
        <f t="shared" si="41"/>
        <v>0</v>
      </c>
      <c r="FV48" s="553" t="s">
        <v>642</v>
      </c>
      <c r="FW48" s="554" t="str">
        <f t="shared" si="42"/>
        <v>OK</v>
      </c>
    </row>
    <row r="49" spans="1:179" ht="15" customHeight="1" x14ac:dyDescent="0.25">
      <c r="A49" s="664" t="s">
        <v>645</v>
      </c>
      <c r="B49" s="492"/>
      <c r="C49" s="492"/>
      <c r="D49" s="492"/>
      <c r="E49" s="492"/>
      <c r="F49" s="492"/>
      <c r="G49" s="492"/>
      <c r="H49" s="492"/>
      <c r="I49" s="492"/>
      <c r="J49" s="492"/>
      <c r="K49" s="492"/>
      <c r="L49" s="492"/>
      <c r="M49" s="492"/>
      <c r="N49" s="493">
        <f t="shared" si="24"/>
        <v>0</v>
      </c>
      <c r="O49" s="492"/>
      <c r="P49" s="492"/>
      <c r="Q49" s="492"/>
      <c r="R49" s="492"/>
      <c r="S49" s="492"/>
      <c r="T49" s="492"/>
      <c r="U49" s="492"/>
      <c r="V49" s="492"/>
      <c r="W49" s="492"/>
      <c r="X49" s="492"/>
      <c r="Y49" s="492"/>
      <c r="Z49" s="492"/>
      <c r="AA49" s="493">
        <f t="shared" si="25"/>
        <v>0</v>
      </c>
      <c r="AB49" s="492"/>
      <c r="AC49" s="492"/>
      <c r="AD49" s="492"/>
      <c r="AE49" s="492"/>
      <c r="AF49" s="492"/>
      <c r="AG49" s="492"/>
      <c r="AH49" s="492"/>
      <c r="AI49" s="492"/>
      <c r="AJ49" s="492"/>
      <c r="AK49" s="492"/>
      <c r="AL49" s="492">
        <v>13</v>
      </c>
      <c r="AM49" s="492"/>
      <c r="AN49" s="493">
        <f t="shared" si="26"/>
        <v>13</v>
      </c>
      <c r="AO49" s="492"/>
      <c r="AP49" s="492">
        <v>63</v>
      </c>
      <c r="AQ49" s="492">
        <v>220</v>
      </c>
      <c r="AR49" s="492">
        <v>110</v>
      </c>
      <c r="AS49" s="492">
        <v>70</v>
      </c>
      <c r="AT49" s="492">
        <v>112</v>
      </c>
      <c r="AU49" s="492">
        <v>9</v>
      </c>
      <c r="AV49" s="492"/>
      <c r="AW49" s="492">
        <v>2</v>
      </c>
      <c r="AX49" s="492">
        <v>8</v>
      </c>
      <c r="AY49" s="492">
        <v>25</v>
      </c>
      <c r="AZ49" s="492">
        <v>98</v>
      </c>
      <c r="BA49" s="493">
        <f t="shared" si="27"/>
        <v>717</v>
      </c>
      <c r="BB49" s="492">
        <v>100</v>
      </c>
      <c r="BC49" s="492">
        <v>115</v>
      </c>
      <c r="BD49" s="492">
        <v>132</v>
      </c>
      <c r="BE49" s="492">
        <v>97</v>
      </c>
      <c r="BF49" s="492">
        <v>86</v>
      </c>
      <c r="BG49" s="492">
        <v>46</v>
      </c>
      <c r="BH49" s="492">
        <v>23</v>
      </c>
      <c r="BI49" s="492">
        <v>75</v>
      </c>
      <c r="BJ49" s="492">
        <v>53</v>
      </c>
      <c r="BK49" s="492">
        <v>57</v>
      </c>
      <c r="BL49" s="492">
        <v>53</v>
      </c>
      <c r="BM49" s="492">
        <v>57</v>
      </c>
      <c r="BN49" s="493">
        <f t="shared" si="28"/>
        <v>894</v>
      </c>
      <c r="BO49" s="492">
        <v>53</v>
      </c>
      <c r="BP49" s="492">
        <v>92</v>
      </c>
      <c r="BQ49" s="492">
        <v>74</v>
      </c>
      <c r="BR49" s="492">
        <v>129</v>
      </c>
      <c r="BS49" s="492">
        <v>72</v>
      </c>
      <c r="BT49" s="492">
        <v>67</v>
      </c>
      <c r="BU49" s="492">
        <v>40</v>
      </c>
      <c r="BV49" s="492">
        <v>85</v>
      </c>
      <c r="BW49" s="492">
        <v>48</v>
      </c>
      <c r="BX49" s="492">
        <v>52</v>
      </c>
      <c r="BY49" s="492">
        <v>33</v>
      </c>
      <c r="BZ49" s="492">
        <v>15</v>
      </c>
      <c r="CA49" s="493">
        <f t="shared" si="29"/>
        <v>760</v>
      </c>
      <c r="CB49" s="492">
        <v>11</v>
      </c>
      <c r="CC49" s="492">
        <v>7</v>
      </c>
      <c r="CD49" s="492">
        <v>105</v>
      </c>
      <c r="CE49" s="492">
        <v>122</v>
      </c>
      <c r="CF49" s="492">
        <v>144</v>
      </c>
      <c r="CG49" s="492">
        <v>116</v>
      </c>
      <c r="CH49" s="492">
        <v>48</v>
      </c>
      <c r="CI49" s="492">
        <v>20</v>
      </c>
      <c r="CJ49" s="492">
        <v>4</v>
      </c>
      <c r="CK49" s="492">
        <v>49</v>
      </c>
      <c r="CL49" s="492">
        <v>6</v>
      </c>
      <c r="CM49" s="492">
        <v>27</v>
      </c>
      <c r="CN49" s="493">
        <f t="shared" si="30"/>
        <v>659</v>
      </c>
      <c r="CO49" s="492">
        <v>177</v>
      </c>
      <c r="CP49" s="492">
        <v>170</v>
      </c>
      <c r="CQ49" s="492">
        <v>72</v>
      </c>
      <c r="CR49" s="492">
        <v>70</v>
      </c>
      <c r="CS49" s="492">
        <v>15</v>
      </c>
      <c r="CT49" s="492">
        <v>31</v>
      </c>
      <c r="CU49" s="492">
        <v>10</v>
      </c>
      <c r="CV49" s="492">
        <v>10</v>
      </c>
      <c r="CW49" s="492"/>
      <c r="CX49" s="492">
        <v>30</v>
      </c>
      <c r="CY49" s="492">
        <v>22</v>
      </c>
      <c r="CZ49" s="492">
        <v>12</v>
      </c>
      <c r="DA49" s="493">
        <f t="shared" si="31"/>
        <v>619</v>
      </c>
      <c r="DB49" s="492">
        <v>4</v>
      </c>
      <c r="DC49" s="492">
        <v>73</v>
      </c>
      <c r="DD49" s="492">
        <v>20</v>
      </c>
      <c r="DE49" s="492">
        <v>20</v>
      </c>
      <c r="DF49" s="492">
        <v>3</v>
      </c>
      <c r="DG49" s="492"/>
      <c r="DH49" s="492"/>
      <c r="DI49" s="492"/>
      <c r="DJ49" s="492"/>
      <c r="DK49" s="492"/>
      <c r="DL49" s="492"/>
      <c r="DM49" s="492"/>
      <c r="DN49" s="493">
        <f t="shared" si="32"/>
        <v>120</v>
      </c>
      <c r="DO49" s="492"/>
      <c r="DP49" s="492"/>
      <c r="DQ49" s="492">
        <v>471</v>
      </c>
      <c r="DR49" s="492"/>
      <c r="DS49" s="492"/>
      <c r="DT49" s="492">
        <v>5</v>
      </c>
      <c r="DU49" s="492">
        <v>5</v>
      </c>
      <c r="DV49" s="492">
        <v>9</v>
      </c>
      <c r="DW49" s="492"/>
      <c r="DX49" s="492">
        <v>19</v>
      </c>
      <c r="DY49" s="492">
        <v>112</v>
      </c>
      <c r="DZ49" s="492">
        <v>110</v>
      </c>
      <c r="EA49" s="493">
        <f t="shared" si="33"/>
        <v>731</v>
      </c>
      <c r="EB49" s="492">
        <v>20</v>
      </c>
      <c r="EC49" s="492">
        <v>138</v>
      </c>
      <c r="ED49" s="492">
        <v>172</v>
      </c>
      <c r="EE49" s="492">
        <v>73</v>
      </c>
      <c r="EF49" s="492">
        <v>31</v>
      </c>
      <c r="EG49" s="492"/>
      <c r="EH49" s="492"/>
      <c r="EI49" s="492">
        <v>3</v>
      </c>
      <c r="EJ49" s="492">
        <v>2</v>
      </c>
      <c r="EK49" s="492">
        <v>97</v>
      </c>
      <c r="EL49" s="492">
        <v>24</v>
      </c>
      <c r="EM49" s="492">
        <v>30</v>
      </c>
      <c r="EN49" s="493">
        <f t="shared" si="34"/>
        <v>590</v>
      </c>
      <c r="EO49" s="492">
        <v>109</v>
      </c>
      <c r="EP49" s="492">
        <v>212</v>
      </c>
      <c r="EQ49" s="492">
        <v>142</v>
      </c>
      <c r="ER49" s="492">
        <v>38</v>
      </c>
      <c r="ES49" s="492"/>
      <c r="ET49" s="492"/>
      <c r="EU49" s="492"/>
      <c r="EV49" s="492"/>
      <c r="EW49" s="492"/>
      <c r="EX49" s="492"/>
      <c r="EY49" s="492"/>
      <c r="EZ49" s="492"/>
      <c r="FA49" s="493">
        <f t="shared" si="35"/>
        <v>501</v>
      </c>
      <c r="FB49" s="492"/>
      <c r="FC49" s="492"/>
      <c r="FD49" s="492"/>
      <c r="FE49" s="492"/>
      <c r="FF49" s="492"/>
      <c r="FG49" s="492"/>
      <c r="FH49" s="492"/>
      <c r="FI49" s="492"/>
      <c r="FJ49" s="492"/>
      <c r="FK49" s="492"/>
      <c r="FL49" s="492"/>
      <c r="FM49" s="492"/>
      <c r="FN49" s="493">
        <f t="shared" si="36"/>
        <v>0</v>
      </c>
      <c r="FP49" s="654">
        <f t="shared" si="37"/>
        <v>-47.945205479452056</v>
      </c>
      <c r="FQ49" s="655">
        <f t="shared" si="38"/>
        <v>24.317617866004969</v>
      </c>
      <c r="FR49" s="656">
        <f t="shared" si="39"/>
        <v>403</v>
      </c>
      <c r="FS49" s="657">
        <f t="shared" si="40"/>
        <v>501</v>
      </c>
      <c r="FT49" s="648"/>
      <c r="FU49" s="551">
        <f t="shared" si="41"/>
        <v>11208</v>
      </c>
      <c r="FV49" s="553" t="s">
        <v>645</v>
      </c>
      <c r="FW49" s="554" t="str">
        <f t="shared" si="42"/>
        <v>OK</v>
      </c>
    </row>
    <row r="50" spans="1:179" ht="15" customHeight="1" x14ac:dyDescent="0.25">
      <c r="A50" s="662"/>
      <c r="B50" s="576"/>
      <c r="C50" s="576"/>
      <c r="D50" s="576"/>
      <c r="E50" s="576"/>
      <c r="F50" s="576"/>
      <c r="G50" s="576"/>
      <c r="H50" s="576"/>
      <c r="I50" s="576"/>
      <c r="J50" s="576"/>
      <c r="K50" s="576"/>
      <c r="L50" s="576"/>
      <c r="M50" s="576"/>
      <c r="N50" s="577"/>
      <c r="O50" s="576"/>
      <c r="P50" s="576"/>
      <c r="Q50" s="576"/>
      <c r="R50" s="576"/>
      <c r="S50" s="576"/>
      <c r="T50" s="576"/>
      <c r="U50" s="576"/>
      <c r="V50" s="576"/>
      <c r="W50" s="576"/>
      <c r="X50" s="576"/>
      <c r="Y50" s="576"/>
      <c r="Z50" s="576"/>
      <c r="AA50" s="577"/>
      <c r="AB50" s="576"/>
      <c r="AC50" s="576"/>
      <c r="AD50" s="576"/>
      <c r="AE50" s="576"/>
      <c r="AF50" s="576"/>
      <c r="AG50" s="576"/>
      <c r="AH50" s="576"/>
      <c r="AI50" s="576"/>
      <c r="AJ50" s="576"/>
      <c r="AK50" s="576"/>
      <c r="AL50" s="576"/>
      <c r="AM50" s="576"/>
      <c r="AN50" s="577"/>
      <c r="AO50" s="576"/>
      <c r="AP50" s="576"/>
      <c r="AQ50" s="576"/>
      <c r="AR50" s="576"/>
      <c r="AS50" s="576"/>
      <c r="AT50" s="576"/>
      <c r="AU50" s="576"/>
      <c r="AV50" s="576"/>
      <c r="AW50" s="576"/>
      <c r="AX50" s="576"/>
      <c r="AY50" s="576"/>
      <c r="AZ50" s="576"/>
      <c r="BA50" s="577"/>
      <c r="BB50" s="576"/>
      <c r="BC50" s="576"/>
      <c r="BD50" s="576"/>
      <c r="BE50" s="576"/>
      <c r="BF50" s="576"/>
      <c r="BG50" s="576"/>
      <c r="BH50" s="576"/>
      <c r="BI50" s="576"/>
      <c r="BJ50" s="576"/>
      <c r="BK50" s="576"/>
      <c r="BL50" s="576"/>
      <c r="BM50" s="576"/>
      <c r="BN50" s="577"/>
      <c r="BO50" s="576"/>
      <c r="BP50" s="576"/>
      <c r="BQ50" s="576"/>
      <c r="BR50" s="576"/>
      <c r="BS50" s="576"/>
      <c r="BT50" s="576"/>
      <c r="BU50" s="576"/>
      <c r="BV50" s="576"/>
      <c r="BW50" s="576"/>
      <c r="BX50" s="576"/>
      <c r="BY50" s="576"/>
      <c r="BZ50" s="576"/>
      <c r="CA50" s="577"/>
      <c r="CB50" s="576"/>
      <c r="CC50" s="576"/>
      <c r="CD50" s="576"/>
      <c r="CE50" s="576"/>
      <c r="CF50" s="576"/>
      <c r="CG50" s="576"/>
      <c r="CH50" s="576"/>
      <c r="CI50" s="576"/>
      <c r="CJ50" s="576"/>
      <c r="CK50" s="576"/>
      <c r="CL50" s="576"/>
      <c r="CM50" s="576"/>
      <c r="CN50" s="577"/>
      <c r="CO50" s="576"/>
      <c r="CP50" s="576"/>
      <c r="CQ50" s="576"/>
      <c r="CR50" s="576"/>
      <c r="CS50" s="576"/>
      <c r="CT50" s="576"/>
      <c r="CU50" s="576"/>
      <c r="CV50" s="576"/>
      <c r="CW50" s="576"/>
      <c r="CX50" s="576"/>
      <c r="CY50" s="576"/>
      <c r="CZ50" s="576"/>
      <c r="DA50" s="577"/>
      <c r="DB50" s="576"/>
      <c r="DC50" s="576"/>
      <c r="DD50" s="576"/>
      <c r="DE50" s="576"/>
      <c r="DF50" s="576"/>
      <c r="DG50" s="576"/>
      <c r="DH50" s="576"/>
      <c r="DI50" s="576"/>
      <c r="DJ50" s="576"/>
      <c r="DK50" s="576"/>
      <c r="DL50" s="576"/>
      <c r="DM50" s="576"/>
      <c r="DN50" s="577"/>
      <c r="DO50" s="576"/>
      <c r="DP50" s="576"/>
      <c r="DQ50" s="576"/>
      <c r="DR50" s="576"/>
      <c r="DS50" s="576"/>
      <c r="DT50" s="576"/>
      <c r="DU50" s="576"/>
      <c r="DV50" s="576"/>
      <c r="DW50" s="576"/>
      <c r="DX50" s="576"/>
      <c r="DY50" s="576"/>
      <c r="DZ50" s="576"/>
      <c r="EA50" s="577"/>
      <c r="EB50" s="576"/>
      <c r="EC50" s="576"/>
      <c r="ED50" s="576"/>
      <c r="EE50" s="576"/>
      <c r="EF50" s="576"/>
      <c r="EG50" s="576"/>
      <c r="EH50" s="576"/>
      <c r="EI50" s="576"/>
      <c r="EJ50" s="576"/>
      <c r="EK50" s="576"/>
      <c r="EL50" s="576"/>
      <c r="EM50" s="576"/>
      <c r="EN50" s="577"/>
      <c r="EO50" s="576"/>
      <c r="EP50" s="576"/>
      <c r="EQ50" s="576"/>
      <c r="ER50" s="576"/>
      <c r="ES50" s="576"/>
      <c r="ET50" s="576"/>
      <c r="EU50" s="576"/>
      <c r="EV50" s="576"/>
      <c r="EW50" s="576"/>
      <c r="EX50" s="576"/>
      <c r="EY50" s="576"/>
      <c r="EZ50" s="576"/>
      <c r="FA50" s="577"/>
      <c r="FB50" s="576"/>
      <c r="FC50" s="576"/>
      <c r="FD50" s="576"/>
      <c r="FE50" s="576"/>
      <c r="FF50" s="576"/>
      <c r="FG50" s="576"/>
      <c r="FH50" s="576"/>
      <c r="FI50" s="576"/>
      <c r="FJ50" s="576"/>
      <c r="FK50" s="576"/>
      <c r="FL50" s="576"/>
      <c r="FM50" s="576"/>
      <c r="FN50" s="577"/>
      <c r="FP50" s="614"/>
      <c r="FQ50" s="615"/>
      <c r="FR50" s="616"/>
      <c r="FS50" s="617"/>
      <c r="FT50" s="648"/>
      <c r="FU50" s="618"/>
      <c r="FV50" s="619"/>
      <c r="FW50" s="620"/>
    </row>
    <row r="51" spans="1:179" ht="15" customHeight="1" x14ac:dyDescent="0.25">
      <c r="A51" s="663" t="s">
        <v>189</v>
      </c>
    </row>
    <row r="52" spans="1:179" ht="15" customHeight="1" x14ac:dyDescent="0.25">
      <c r="A52" s="587" t="s">
        <v>162</v>
      </c>
    </row>
    <row r="54" spans="1:179" ht="13.9" customHeight="1" x14ac:dyDescent="0.25"/>
    <row r="55" spans="1:179" ht="13.9" customHeight="1" x14ac:dyDescent="0.25"/>
    <row r="56" spans="1:179" ht="13.9" customHeight="1" x14ac:dyDescent="0.25"/>
    <row r="57" spans="1:179" ht="13.9" customHeight="1" x14ac:dyDescent="0.25"/>
    <row r="58" spans="1:179" ht="13.9" customHeight="1" x14ac:dyDescent="0.25"/>
    <row r="59" spans="1:179" ht="13.9" customHeight="1" x14ac:dyDescent="0.25"/>
    <row r="60" spans="1:179" ht="13.9" customHeight="1" x14ac:dyDescent="0.25"/>
    <row r="61" spans="1:179" ht="13.9" customHeight="1" x14ac:dyDescent="0.25"/>
    <row r="62" spans="1:179" ht="13.9" customHeight="1" x14ac:dyDescent="0.25"/>
    <row r="63" spans="1:179" ht="13.9" customHeight="1" x14ac:dyDescent="0.25"/>
    <row r="64" spans="1:179" ht="13.9" customHeight="1" x14ac:dyDescent="0.25"/>
    <row r="65" ht="13.9" customHeight="1" x14ac:dyDescent="0.25"/>
    <row r="66" ht="13.9" customHeight="1" x14ac:dyDescent="0.25"/>
    <row r="67" ht="13.9" customHeight="1" x14ac:dyDescent="0.25"/>
    <row r="68" ht="13.9" customHeight="1" x14ac:dyDescent="0.25"/>
    <row r="69" ht="13.9" customHeight="1" x14ac:dyDescent="0.25"/>
    <row r="70" ht="13.9" customHeight="1" x14ac:dyDescent="0.25"/>
    <row r="71" ht="13.9" customHeight="1" x14ac:dyDescent="0.25"/>
    <row r="72" ht="13.9" customHeight="1" x14ac:dyDescent="0.25"/>
    <row r="73" ht="13.9" customHeight="1" x14ac:dyDescent="0.25"/>
    <row r="74" ht="13.9" customHeight="1" x14ac:dyDescent="0.25"/>
    <row r="75" ht="13.9" customHeight="1" x14ac:dyDescent="0.25"/>
    <row r="76" ht="13.9" customHeight="1" x14ac:dyDescent="0.25"/>
    <row r="77" ht="13.9" customHeight="1" x14ac:dyDescent="0.25"/>
  </sheetData>
  <sortState xmlns:xlrd2="http://schemas.microsoft.com/office/spreadsheetml/2017/richdata2" ref="A9:FW49">
    <sortCondition descending="1" sortBy="cellColor" ref="A9:A49" dxfId="13"/>
    <sortCondition ref="A9:A49"/>
  </sortState>
  <phoneticPr fontId="11" type="noConversion"/>
  <conditionalFormatting sqref="A1:A1048576">
    <cfRule type="duplicateValues" dxfId="6" priority="1"/>
  </conditionalFormatting>
  <printOptions horizontalCentered="1" verticalCentered="1"/>
  <pageMargins left="0.74803149606299213" right="0.74803149606299213" top="0.35433070866141736" bottom="0.31496062992125984" header="0" footer="0"/>
  <pageSetup paperSize="9" scale="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-0.249977111117893"/>
  </sheetPr>
  <dimension ref="A1:FJ37"/>
  <sheetViews>
    <sheetView showGridLines="0" view="pageBreakPreview" zoomScaleNormal="75" zoomScaleSheetLayoutView="100" workbookViewId="0">
      <pane xSplit="1" topLeftCell="EM1" activePane="topRight" state="frozen"/>
      <selection activeCell="DO55" sqref="DO55:EP55"/>
      <selection pane="topRight" activeCell="A3" sqref="A3"/>
    </sheetView>
  </sheetViews>
  <sheetFormatPr baseColWidth="10" defaultColWidth="9.7109375" defaultRowHeight="15" customHeight="1" x14ac:dyDescent="0.25"/>
  <cols>
    <col min="1" max="1" width="20.7109375" customWidth="1"/>
    <col min="158" max="158" width="9.7109375" customWidth="1"/>
  </cols>
  <sheetData>
    <row r="1" spans="1:166" ht="15" customHeight="1" x14ac:dyDescent="0.25">
      <c r="A1" s="646" t="s">
        <v>168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  <c r="AK1" s="427"/>
      <c r="AL1" s="427"/>
      <c r="AM1" s="427"/>
      <c r="AN1" s="427"/>
      <c r="AO1" s="427"/>
      <c r="AP1" s="427"/>
      <c r="AQ1" s="427"/>
      <c r="AR1" s="427"/>
      <c r="AS1" s="427"/>
      <c r="AT1" s="427"/>
      <c r="AU1" s="427"/>
      <c r="AV1" s="427"/>
      <c r="AW1" s="427"/>
      <c r="AX1" s="427"/>
      <c r="AY1" s="427"/>
      <c r="AZ1" s="427"/>
      <c r="BA1" s="427"/>
      <c r="BB1" s="427"/>
      <c r="BC1" s="427"/>
      <c r="BD1" s="427"/>
      <c r="BE1" s="427"/>
      <c r="BF1" s="427"/>
      <c r="BG1" s="427"/>
      <c r="BH1" s="427"/>
      <c r="BI1" s="427"/>
      <c r="BJ1" s="427"/>
      <c r="BK1" s="427"/>
      <c r="BL1" s="427"/>
      <c r="BM1" s="427"/>
      <c r="BN1" s="427"/>
      <c r="BO1" s="427"/>
      <c r="BP1" s="427"/>
      <c r="BQ1" s="427"/>
      <c r="BR1" s="427"/>
      <c r="BS1" s="427"/>
      <c r="BT1" s="427"/>
      <c r="BU1" s="427"/>
      <c r="BV1" s="427"/>
      <c r="BW1" s="427"/>
      <c r="BX1" s="427"/>
      <c r="BY1" s="427"/>
      <c r="BZ1" s="427"/>
      <c r="CA1" s="427"/>
      <c r="CB1" s="427"/>
      <c r="CC1" s="427"/>
      <c r="CD1" s="427"/>
      <c r="CE1" s="427"/>
      <c r="CF1" s="427"/>
      <c r="CG1" s="427"/>
      <c r="CH1" s="427"/>
      <c r="CI1" s="427"/>
      <c r="CJ1" s="427"/>
      <c r="CK1" s="427"/>
      <c r="CL1" s="427"/>
      <c r="CM1" s="427"/>
      <c r="CN1" s="427"/>
      <c r="CO1" s="427"/>
      <c r="CP1" s="427"/>
      <c r="CQ1" s="427"/>
      <c r="CR1" s="427"/>
      <c r="CS1" s="427"/>
      <c r="CT1" s="427"/>
      <c r="CU1" s="427"/>
      <c r="CV1" s="427"/>
      <c r="CW1" s="427"/>
      <c r="CX1" s="427"/>
      <c r="CY1" s="427"/>
      <c r="CZ1" s="427"/>
      <c r="DA1" s="427"/>
      <c r="DB1" s="427"/>
      <c r="DC1" s="427"/>
      <c r="DD1" s="427"/>
      <c r="DE1" s="427"/>
      <c r="DF1" s="427"/>
      <c r="DG1" s="427"/>
      <c r="DH1" s="427"/>
      <c r="DI1" s="427"/>
      <c r="DJ1" s="427"/>
      <c r="DK1" s="427"/>
      <c r="DL1" s="427"/>
      <c r="DM1" s="427"/>
      <c r="DN1" s="427"/>
      <c r="DO1" s="427"/>
      <c r="DP1" s="427"/>
      <c r="DQ1" s="427"/>
      <c r="DR1" s="427"/>
      <c r="DS1" s="427"/>
      <c r="DT1" s="427"/>
      <c r="DU1" s="427"/>
      <c r="DV1" s="427"/>
      <c r="DW1" s="427"/>
      <c r="DX1" s="427"/>
      <c r="DY1" s="427"/>
      <c r="DZ1" s="427"/>
      <c r="EA1" s="427"/>
      <c r="EB1" s="427"/>
      <c r="EC1" s="427"/>
      <c r="ED1" s="427"/>
      <c r="EE1" s="427"/>
      <c r="EF1" s="427"/>
      <c r="EG1" s="427"/>
      <c r="EH1" s="427"/>
      <c r="EI1" s="427"/>
      <c r="EJ1" s="427"/>
      <c r="EK1" s="427"/>
      <c r="EL1" s="427"/>
      <c r="EM1" s="427"/>
      <c r="EN1" s="427"/>
      <c r="EO1" s="427"/>
      <c r="EP1" s="427"/>
      <c r="EQ1" s="427"/>
      <c r="ER1" s="427"/>
      <c r="ES1" s="427"/>
      <c r="ET1" s="427"/>
      <c r="EU1" s="427"/>
      <c r="EV1" s="427"/>
      <c r="EW1" s="427"/>
      <c r="EX1" s="427"/>
      <c r="EY1" s="427"/>
      <c r="EZ1" s="427"/>
      <c r="FA1" s="427"/>
    </row>
    <row r="2" spans="1:166" ht="15" customHeight="1" x14ac:dyDescent="0.25">
      <c r="A2" s="646" t="s">
        <v>352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7"/>
      <c r="AK2" s="427"/>
      <c r="AL2" s="427"/>
      <c r="AM2" s="427"/>
      <c r="AN2" s="427"/>
      <c r="AO2" s="427"/>
      <c r="AP2" s="427"/>
      <c r="AQ2" s="427"/>
      <c r="AR2" s="427"/>
      <c r="AS2" s="427"/>
      <c r="AT2" s="427"/>
      <c r="AU2" s="427"/>
      <c r="AV2" s="427"/>
      <c r="AW2" s="427"/>
      <c r="AX2" s="427"/>
      <c r="AY2" s="427"/>
      <c r="AZ2" s="427"/>
      <c r="BA2" s="427"/>
      <c r="BB2" s="427"/>
      <c r="BC2" s="427"/>
      <c r="BD2" s="427"/>
      <c r="BE2" s="427"/>
      <c r="BF2" s="427"/>
      <c r="BG2" s="427"/>
      <c r="BH2" s="427"/>
      <c r="BI2" s="427"/>
      <c r="BJ2" s="427"/>
      <c r="BK2" s="427"/>
      <c r="BL2" s="427"/>
      <c r="BM2" s="427"/>
      <c r="BN2" s="427"/>
      <c r="BO2" s="427"/>
      <c r="BP2" s="427"/>
      <c r="BQ2" s="427"/>
      <c r="BR2" s="427"/>
      <c r="BS2" s="427"/>
      <c r="BT2" s="427"/>
      <c r="BU2" s="427"/>
      <c r="BV2" s="427"/>
      <c r="BW2" s="427"/>
      <c r="BX2" s="427"/>
      <c r="BY2" s="427"/>
      <c r="BZ2" s="427"/>
      <c r="CA2" s="427"/>
      <c r="CB2" s="427"/>
      <c r="CC2" s="427"/>
      <c r="CD2" s="427"/>
      <c r="CE2" s="427"/>
      <c r="CF2" s="427"/>
      <c r="CG2" s="427"/>
      <c r="CH2" s="427"/>
      <c r="CI2" s="427"/>
      <c r="CJ2" s="427"/>
      <c r="CK2" s="427"/>
      <c r="CL2" s="427"/>
      <c r="CM2" s="427"/>
      <c r="CN2" s="427"/>
      <c r="CO2" s="427"/>
      <c r="CP2" s="427"/>
      <c r="CQ2" s="427"/>
      <c r="CR2" s="427"/>
      <c r="CS2" s="427"/>
      <c r="CT2" s="427"/>
      <c r="CU2" s="427"/>
      <c r="CV2" s="427"/>
      <c r="CW2" s="427"/>
      <c r="CX2" s="427"/>
      <c r="CY2" s="427"/>
      <c r="CZ2" s="427"/>
      <c r="DA2" s="427"/>
      <c r="DB2" s="427"/>
      <c r="DC2" s="427"/>
      <c r="DD2" s="427"/>
      <c r="DE2" s="427"/>
      <c r="DF2" s="427"/>
      <c r="DG2" s="427"/>
      <c r="DH2" s="427"/>
      <c r="DI2" s="427"/>
      <c r="DJ2" s="427"/>
      <c r="DK2" s="427"/>
      <c r="DL2" s="427"/>
      <c r="DM2" s="427"/>
      <c r="DN2" s="427"/>
      <c r="DO2" s="427"/>
      <c r="DP2" s="427"/>
      <c r="DQ2" s="427"/>
      <c r="DR2" s="427"/>
      <c r="DS2" s="427"/>
      <c r="DT2" s="427"/>
      <c r="DU2" s="427"/>
      <c r="DV2" s="427"/>
      <c r="DW2" s="427"/>
      <c r="DX2" s="427"/>
      <c r="DY2" s="427"/>
      <c r="DZ2" s="427"/>
      <c r="EA2" s="427"/>
      <c r="EB2" s="427"/>
      <c r="EC2" s="427"/>
      <c r="ED2" s="427"/>
      <c r="EE2" s="427"/>
      <c r="EF2" s="427"/>
      <c r="EG2" s="427"/>
      <c r="EH2" s="427"/>
      <c r="EI2" s="427"/>
      <c r="EJ2" s="427"/>
      <c r="EK2" s="427"/>
      <c r="EL2" s="427"/>
      <c r="EM2" s="427"/>
      <c r="EN2" s="427"/>
      <c r="EO2" s="427"/>
      <c r="EP2" s="427"/>
      <c r="EQ2" s="427"/>
      <c r="ER2" s="427"/>
      <c r="ES2" s="427"/>
      <c r="ET2" s="427"/>
      <c r="EU2" s="427"/>
      <c r="EV2" s="427"/>
      <c r="EW2" s="427"/>
      <c r="EX2" s="427"/>
      <c r="EY2" s="427"/>
      <c r="EZ2" s="427"/>
      <c r="FA2" s="427"/>
    </row>
    <row r="3" spans="1:166" ht="15" customHeight="1" x14ac:dyDescent="0.25">
      <c r="A3" s="776" t="s">
        <v>90</v>
      </c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7"/>
      <c r="AN3" s="427"/>
      <c r="AO3" s="427"/>
      <c r="AP3" s="427"/>
      <c r="AQ3" s="427"/>
      <c r="AR3" s="427"/>
      <c r="AS3" s="427"/>
      <c r="AT3" s="427"/>
      <c r="AU3" s="427"/>
      <c r="AV3" s="427"/>
      <c r="AW3" s="427"/>
      <c r="AX3" s="427"/>
      <c r="AY3" s="427"/>
      <c r="AZ3" s="427"/>
      <c r="BA3" s="427"/>
      <c r="BB3" s="427"/>
      <c r="BC3" s="427"/>
      <c r="BD3" s="427"/>
      <c r="BE3" s="427"/>
      <c r="BF3" s="427"/>
      <c r="BG3" s="427"/>
      <c r="BH3" s="427"/>
      <c r="BI3" s="427"/>
      <c r="BJ3" s="427"/>
      <c r="BK3" s="427"/>
      <c r="BL3" s="427"/>
      <c r="BM3" s="427"/>
      <c r="BN3" s="427"/>
      <c r="BO3" s="427"/>
      <c r="BP3" s="427"/>
      <c r="BQ3" s="427"/>
      <c r="BR3" s="427"/>
      <c r="BS3" s="427"/>
      <c r="BT3" s="427"/>
      <c r="BU3" s="427"/>
      <c r="BV3" s="427"/>
      <c r="BW3" s="427"/>
      <c r="BX3" s="427"/>
      <c r="BY3" s="427"/>
      <c r="BZ3" s="427"/>
      <c r="CA3" s="427"/>
      <c r="CB3" s="427"/>
      <c r="CC3" s="427"/>
      <c r="CD3" s="427"/>
      <c r="CE3" s="427"/>
      <c r="CF3" s="427"/>
      <c r="CG3" s="427"/>
      <c r="CH3" s="427"/>
      <c r="CI3" s="427"/>
      <c r="CJ3" s="427"/>
      <c r="CK3" s="427"/>
      <c r="CL3" s="427"/>
      <c r="CM3" s="427"/>
      <c r="CN3" s="427"/>
      <c r="CO3" s="427"/>
      <c r="CP3" s="427"/>
      <c r="CQ3" s="427"/>
      <c r="CR3" s="427"/>
      <c r="CS3" s="427"/>
      <c r="CT3" s="427"/>
      <c r="CU3" s="427"/>
      <c r="CV3" s="427"/>
      <c r="CW3" s="427"/>
      <c r="CX3" s="427"/>
      <c r="CY3" s="427"/>
      <c r="CZ3" s="427"/>
      <c r="DA3" s="427"/>
      <c r="DB3" s="427"/>
      <c r="DC3" s="427"/>
      <c r="DD3" s="427"/>
      <c r="DE3" s="427"/>
      <c r="DF3" s="427"/>
      <c r="DG3" s="427"/>
      <c r="DH3" s="427"/>
      <c r="DI3" s="427"/>
      <c r="DJ3" s="427"/>
      <c r="DK3" s="427"/>
      <c r="DL3" s="427"/>
      <c r="DM3" s="427"/>
      <c r="DN3" s="427"/>
      <c r="DO3" s="427"/>
      <c r="DP3" s="427"/>
      <c r="DQ3" s="427"/>
      <c r="DR3" s="427"/>
      <c r="DS3" s="427"/>
      <c r="DT3" s="427"/>
      <c r="DU3" s="427"/>
      <c r="DV3" s="427"/>
      <c r="DW3" s="427"/>
      <c r="DX3" s="427"/>
      <c r="DY3" s="427"/>
      <c r="DZ3" s="427"/>
      <c r="EA3" s="427"/>
      <c r="EB3" s="427"/>
      <c r="EC3" s="427"/>
      <c r="ED3" s="427"/>
      <c r="EE3" s="427"/>
      <c r="EF3" s="427"/>
      <c r="EG3" s="427"/>
      <c r="EH3" s="427"/>
      <c r="EI3" s="427"/>
      <c r="EJ3" s="427"/>
      <c r="EK3" s="427"/>
      <c r="EL3" s="427"/>
      <c r="EM3" s="427"/>
      <c r="EN3" s="427"/>
      <c r="EO3" s="427"/>
      <c r="EP3" s="427"/>
      <c r="EQ3" s="427"/>
      <c r="ER3" s="427"/>
      <c r="ES3" s="427"/>
      <c r="ET3" s="427"/>
      <c r="EU3" s="427"/>
      <c r="EV3" s="427"/>
      <c r="EW3" s="427"/>
      <c r="EX3" s="427"/>
      <c r="EY3" s="427"/>
      <c r="EZ3" s="427"/>
      <c r="FA3" s="427"/>
    </row>
    <row r="4" spans="1:166" ht="15" customHeight="1" x14ac:dyDescent="0.25">
      <c r="A4" s="647"/>
      <c r="B4" s="474">
        <f t="shared" ref="B4" si="0">YEAR(B5)</f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474">
        <f t="shared" ref="O4" si="1">YEAR(O5)</f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474">
        <f t="shared" ref="AB4" si="2">YEAR(AB5)</f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474">
        <f t="shared" ref="AO4" si="3">YEAR(AO5)</f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474">
        <f t="shared" ref="BB4" si="4">YEAR(BB5)</f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474">
        <f t="shared" ref="BO4" si="5">YEAR(BO5)</f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474">
        <f t="shared" ref="CB4" si="6">YEAR(CB5)</f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474">
        <f t="shared" ref="CO4" si="7">YEAR(CO5)</f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474">
        <f t="shared" ref="DB4" si="8">YEAR(DB5)</f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474">
        <f t="shared" ref="DO4" si="9">YEAR(DO5)</f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474">
        <f>YEAR(EB5)</f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>
        <f>YEAR(EO5)</f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C4" s="476" t="str">
        <f>CONCATENATE("Var.% ",FF4,"/",FF4-1)</f>
        <v>Var.% 2024/2023</v>
      </c>
      <c r="FD4" s="477"/>
      <c r="FE4" s="478">
        <f>FF4-1</f>
        <v>2023</v>
      </c>
      <c r="FF4" s="478">
        <f>YEAR(FC5)</f>
        <v>2024</v>
      </c>
      <c r="FG4" s="648"/>
      <c r="FH4" s="479" t="s">
        <v>620</v>
      </c>
      <c r="FI4" s="480"/>
      <c r="FJ4" s="481"/>
    </row>
    <row r="5" spans="1:166" ht="15" customHeight="1" x14ac:dyDescent="0.25">
      <c r="A5" s="649"/>
      <c r="B5" s="483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 t="shared" ref="N5" si="10">YEAR(M5)</f>
        <v>2015</v>
      </c>
      <c r="O5" s="483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 t="shared" ref="AA5" si="11">YEAR(Z5)</f>
        <v>2016</v>
      </c>
      <c r="AB5" s="483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 t="shared" ref="AN5" si="12">YEAR(AM5)</f>
        <v>2017</v>
      </c>
      <c r="AO5" s="483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 t="shared" ref="BA5" si="13">YEAR(AZ5)</f>
        <v>2018</v>
      </c>
      <c r="BB5" s="483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 t="shared" ref="BN5" si="14">YEAR(BM5)</f>
        <v>2019</v>
      </c>
      <c r="BO5" s="483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 t="shared" ref="CA5" si="15">YEAR(BZ5)</f>
        <v>2020</v>
      </c>
      <c r="CB5" s="483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 t="shared" ref="CN5" si="16">YEAR(CM5)</f>
        <v>2021</v>
      </c>
      <c r="CO5" s="483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 t="shared" ref="DA5" si="17">YEAR(CZ5)</f>
        <v>2022</v>
      </c>
      <c r="DB5" s="483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 t="shared" ref="DN5" si="18">YEAR(DM5)</f>
        <v>2023</v>
      </c>
      <c r="DO5" s="483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 t="shared" ref="EA5" si="19">YEAR(DZ5)</f>
        <v>2024</v>
      </c>
      <c r="EB5" s="483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483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C5" s="485">
        <f>DY5</f>
        <v>45597</v>
      </c>
      <c r="FD5" s="486" t="str">
        <f>CONCATENATE("Ene.-",TEXT(FC5,"MMM."))</f>
        <v>Ene.-Nov.</v>
      </c>
      <c r="FE5" s="487" t="str">
        <f>FD5</f>
        <v>Ene.-Nov.</v>
      </c>
      <c r="FF5" s="487" t="str">
        <f>FD5</f>
        <v>Ene.-Nov.</v>
      </c>
      <c r="FG5" s="648"/>
      <c r="FH5" s="488" t="s">
        <v>621</v>
      </c>
      <c r="FI5" s="489"/>
      <c r="FJ5" s="490"/>
    </row>
    <row r="6" spans="1:166" ht="15" customHeight="1" x14ac:dyDescent="0.25">
      <c r="A6" s="650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492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492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492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C6" s="494"/>
      <c r="FD6" s="495"/>
      <c r="FE6" s="496"/>
      <c r="FF6" s="497"/>
      <c r="FG6" s="648"/>
      <c r="FH6" s="498"/>
      <c r="FI6" s="499"/>
      <c r="FJ6" s="500"/>
    </row>
    <row r="7" spans="1:166" ht="15" customHeight="1" x14ac:dyDescent="0.25">
      <c r="A7" s="651" t="s">
        <v>0</v>
      </c>
      <c r="B7" s="541">
        <f t="shared" ref="B7:BM7" si="20">SUM(B9:B34)</f>
        <v>3944</v>
      </c>
      <c r="C7" s="541">
        <f t="shared" si="20"/>
        <v>3103</v>
      </c>
      <c r="D7" s="541">
        <f t="shared" si="20"/>
        <v>2520</v>
      </c>
      <c r="E7" s="541">
        <f t="shared" si="20"/>
        <v>2699</v>
      </c>
      <c r="F7" s="541">
        <f t="shared" si="20"/>
        <v>2087</v>
      </c>
      <c r="G7" s="541">
        <f t="shared" si="20"/>
        <v>2267</v>
      </c>
      <c r="H7" s="541">
        <f t="shared" si="20"/>
        <v>1697</v>
      </c>
      <c r="I7" s="541">
        <f t="shared" si="20"/>
        <v>2976</v>
      </c>
      <c r="J7" s="541">
        <f t="shared" si="20"/>
        <v>4519</v>
      </c>
      <c r="K7" s="541">
        <f t="shared" si="20"/>
        <v>4261</v>
      </c>
      <c r="L7" s="541">
        <f t="shared" si="20"/>
        <v>3812</v>
      </c>
      <c r="M7" s="541">
        <f t="shared" si="20"/>
        <v>62775</v>
      </c>
      <c r="N7" s="542">
        <f t="shared" ref="N7" si="21">SUM(B7:M7)</f>
        <v>96660</v>
      </c>
      <c r="O7" s="541">
        <f t="shared" ref="O7" si="22">SUM(O9:O34)</f>
        <v>3998</v>
      </c>
      <c r="P7" s="541">
        <f t="shared" si="20"/>
        <v>3510</v>
      </c>
      <c r="Q7" s="541">
        <f t="shared" si="20"/>
        <v>2699</v>
      </c>
      <c r="R7" s="541">
        <f t="shared" si="20"/>
        <v>2448</v>
      </c>
      <c r="S7" s="541">
        <f t="shared" si="20"/>
        <v>1920</v>
      </c>
      <c r="T7" s="541">
        <f t="shared" si="20"/>
        <v>1846</v>
      </c>
      <c r="U7" s="541">
        <f t="shared" si="20"/>
        <v>1294</v>
      </c>
      <c r="V7" s="541">
        <f t="shared" si="20"/>
        <v>2589</v>
      </c>
      <c r="W7" s="541">
        <f t="shared" si="20"/>
        <v>3129</v>
      </c>
      <c r="X7" s="541">
        <f t="shared" si="20"/>
        <v>4913</v>
      </c>
      <c r="Y7" s="541">
        <f t="shared" si="20"/>
        <v>2513</v>
      </c>
      <c r="Z7" s="541">
        <f t="shared" si="20"/>
        <v>72554</v>
      </c>
      <c r="AA7" s="542">
        <f t="shared" ref="AA7" si="23">SUM(O7:Z7)</f>
        <v>103413</v>
      </c>
      <c r="AB7" s="541">
        <f t="shared" ref="AB7" si="24">SUM(AB9:AB34)</f>
        <v>3145</v>
      </c>
      <c r="AC7" s="541">
        <f t="shared" si="20"/>
        <v>3648</v>
      </c>
      <c r="AD7" s="541">
        <f t="shared" si="20"/>
        <v>2567</v>
      </c>
      <c r="AE7" s="541">
        <f t="shared" si="20"/>
        <v>1592</v>
      </c>
      <c r="AF7" s="541">
        <f t="shared" si="20"/>
        <v>1607</v>
      </c>
      <c r="AG7" s="541">
        <f t="shared" si="20"/>
        <v>1749</v>
      </c>
      <c r="AH7" s="541">
        <f t="shared" si="20"/>
        <v>2057</v>
      </c>
      <c r="AI7" s="541">
        <f t="shared" si="20"/>
        <v>3002</v>
      </c>
      <c r="AJ7" s="541">
        <f t="shared" si="20"/>
        <v>7168</v>
      </c>
      <c r="AK7" s="541">
        <f t="shared" si="20"/>
        <v>8912</v>
      </c>
      <c r="AL7" s="541">
        <f t="shared" si="20"/>
        <v>3232</v>
      </c>
      <c r="AM7" s="541">
        <f t="shared" si="20"/>
        <v>80632</v>
      </c>
      <c r="AN7" s="542">
        <f t="shared" ref="AN7" si="25">SUM(AB7:AM7)</f>
        <v>119311</v>
      </c>
      <c r="AO7" s="541">
        <f t="shared" ref="AO7" si="26">SUM(AO9:AO34)</f>
        <v>3200</v>
      </c>
      <c r="AP7" s="541">
        <f t="shared" si="20"/>
        <v>2673</v>
      </c>
      <c r="AQ7" s="541">
        <f t="shared" si="20"/>
        <v>2371</v>
      </c>
      <c r="AR7" s="541">
        <f t="shared" si="20"/>
        <v>2335</v>
      </c>
      <c r="AS7" s="541">
        <f t="shared" si="20"/>
        <v>2108</v>
      </c>
      <c r="AT7" s="541">
        <f t="shared" si="20"/>
        <v>1923</v>
      </c>
      <c r="AU7" s="541">
        <f t="shared" si="20"/>
        <v>1952</v>
      </c>
      <c r="AV7" s="541">
        <f t="shared" si="20"/>
        <v>2922</v>
      </c>
      <c r="AW7" s="541">
        <f t="shared" si="20"/>
        <v>4231</v>
      </c>
      <c r="AX7" s="541">
        <f t="shared" si="20"/>
        <v>4971</v>
      </c>
      <c r="AY7" s="541">
        <f t="shared" si="20"/>
        <v>3854</v>
      </c>
      <c r="AZ7" s="541">
        <f t="shared" si="20"/>
        <v>93174</v>
      </c>
      <c r="BA7" s="542">
        <f t="shared" ref="BA7" si="27">SUM(AO7:AZ7)</f>
        <v>125714</v>
      </c>
      <c r="BB7" s="541">
        <f t="shared" ref="BB7" si="28">SUM(BB9:BB34)</f>
        <v>3138</v>
      </c>
      <c r="BC7" s="541">
        <f t="shared" si="20"/>
        <v>3064</v>
      </c>
      <c r="BD7" s="541">
        <f t="shared" si="20"/>
        <v>2208</v>
      </c>
      <c r="BE7" s="541">
        <f t="shared" si="20"/>
        <v>2355</v>
      </c>
      <c r="BF7" s="541">
        <f t="shared" si="20"/>
        <v>3438</v>
      </c>
      <c r="BG7" s="541">
        <f t="shared" si="20"/>
        <v>2659</v>
      </c>
      <c r="BH7" s="541">
        <f t="shared" si="20"/>
        <v>3216</v>
      </c>
      <c r="BI7" s="541">
        <f t="shared" si="20"/>
        <v>3478</v>
      </c>
      <c r="BJ7" s="541">
        <f t="shared" si="20"/>
        <v>4248</v>
      </c>
      <c r="BK7" s="541">
        <f t="shared" si="20"/>
        <v>4227</v>
      </c>
      <c r="BL7" s="541">
        <f t="shared" si="20"/>
        <v>4679</v>
      </c>
      <c r="BM7" s="541">
        <f t="shared" si="20"/>
        <v>78670</v>
      </c>
      <c r="BN7" s="542">
        <f t="shared" ref="BN7" si="29">SUM(BB7:BM7)</f>
        <v>115380</v>
      </c>
      <c r="BO7" s="541">
        <f t="shared" ref="BO7:DZ7" si="30">SUM(BO9:BO34)</f>
        <v>3856</v>
      </c>
      <c r="BP7" s="541">
        <f t="shared" si="30"/>
        <v>3028</v>
      </c>
      <c r="BQ7" s="541">
        <f t="shared" si="30"/>
        <v>2700</v>
      </c>
      <c r="BR7" s="541">
        <f t="shared" si="30"/>
        <v>3424</v>
      </c>
      <c r="BS7" s="541">
        <f t="shared" si="30"/>
        <v>2454</v>
      </c>
      <c r="BT7" s="541">
        <f t="shared" si="30"/>
        <v>2565</v>
      </c>
      <c r="BU7" s="541">
        <f t="shared" si="30"/>
        <v>1971</v>
      </c>
      <c r="BV7" s="541">
        <f t="shared" si="30"/>
        <v>3516</v>
      </c>
      <c r="BW7" s="541">
        <f t="shared" si="30"/>
        <v>3454</v>
      </c>
      <c r="BX7" s="541">
        <f t="shared" si="30"/>
        <v>3181</v>
      </c>
      <c r="BY7" s="541">
        <f t="shared" si="30"/>
        <v>2154</v>
      </c>
      <c r="BZ7" s="541">
        <f t="shared" si="30"/>
        <v>106907</v>
      </c>
      <c r="CA7" s="542">
        <f t="shared" ref="CA7" si="31">SUM(BO7:BZ7)</f>
        <v>139210</v>
      </c>
      <c r="CB7" s="541">
        <f t="shared" ref="CB7" si="32">SUM(CB9:CB34)</f>
        <v>3664</v>
      </c>
      <c r="CC7" s="541">
        <f t="shared" si="30"/>
        <v>3848</v>
      </c>
      <c r="CD7" s="541">
        <f t="shared" si="30"/>
        <v>3295</v>
      </c>
      <c r="CE7" s="541">
        <f t="shared" si="30"/>
        <v>2464</v>
      </c>
      <c r="CF7" s="541">
        <f t="shared" si="30"/>
        <v>1523.5</v>
      </c>
      <c r="CG7" s="541">
        <f t="shared" si="30"/>
        <v>1459</v>
      </c>
      <c r="CH7" s="541">
        <f t="shared" si="30"/>
        <v>2300</v>
      </c>
      <c r="CI7" s="541">
        <f t="shared" si="30"/>
        <v>2635</v>
      </c>
      <c r="CJ7" s="541">
        <f t="shared" si="30"/>
        <v>3201</v>
      </c>
      <c r="CK7" s="541">
        <f t="shared" si="30"/>
        <v>2347</v>
      </c>
      <c r="CL7" s="541">
        <f t="shared" si="30"/>
        <v>1246</v>
      </c>
      <c r="CM7" s="541">
        <f t="shared" si="30"/>
        <v>125579.37</v>
      </c>
      <c r="CN7" s="542">
        <f t="shared" ref="CN7" si="33">SUM(CB7:CM7)</f>
        <v>153561.87</v>
      </c>
      <c r="CO7" s="541">
        <f t="shared" ref="CO7" si="34">SUM(CO9:CO34)</f>
        <v>4744.5</v>
      </c>
      <c r="CP7" s="541">
        <f t="shared" si="30"/>
        <v>3399.5</v>
      </c>
      <c r="CQ7" s="541">
        <f t="shared" si="30"/>
        <v>3788</v>
      </c>
      <c r="CR7" s="541">
        <f t="shared" si="30"/>
        <v>1196</v>
      </c>
      <c r="CS7" s="541">
        <f t="shared" si="30"/>
        <v>2225</v>
      </c>
      <c r="CT7" s="541">
        <f t="shared" si="30"/>
        <v>2564</v>
      </c>
      <c r="CU7" s="541">
        <f t="shared" si="30"/>
        <v>1981</v>
      </c>
      <c r="CV7" s="541">
        <f t="shared" si="30"/>
        <v>2598</v>
      </c>
      <c r="CW7" s="541">
        <f t="shared" si="30"/>
        <v>3002</v>
      </c>
      <c r="CX7" s="541">
        <f t="shared" si="30"/>
        <v>3409.5</v>
      </c>
      <c r="CY7" s="541">
        <f t="shared" si="30"/>
        <v>3062.5</v>
      </c>
      <c r="CZ7" s="541">
        <f t="shared" si="30"/>
        <v>126976.06999999999</v>
      </c>
      <c r="DA7" s="542">
        <f t="shared" ref="DA7" si="35">SUM(CO7:CZ7)</f>
        <v>158946.07</v>
      </c>
      <c r="DB7" s="541">
        <f t="shared" ref="DB7" si="36">SUM(DB9:DB34)</f>
        <v>4491</v>
      </c>
      <c r="DC7" s="541">
        <f t="shared" si="30"/>
        <v>3847</v>
      </c>
      <c r="DD7" s="541">
        <f t="shared" si="30"/>
        <v>2950</v>
      </c>
      <c r="DE7" s="541">
        <f t="shared" si="30"/>
        <v>3358.5</v>
      </c>
      <c r="DF7" s="541">
        <f t="shared" si="30"/>
        <v>3523.5</v>
      </c>
      <c r="DG7" s="541">
        <f t="shared" si="30"/>
        <v>2626</v>
      </c>
      <c r="DH7" s="541">
        <f t="shared" si="30"/>
        <v>3900.5</v>
      </c>
      <c r="DI7" s="541">
        <f t="shared" si="30"/>
        <v>2705.5</v>
      </c>
      <c r="DJ7" s="541">
        <f t="shared" si="30"/>
        <v>5372.5</v>
      </c>
      <c r="DK7" s="541">
        <f t="shared" si="30"/>
        <v>5931</v>
      </c>
      <c r="DL7" s="541">
        <f t="shared" si="30"/>
        <v>3835</v>
      </c>
      <c r="DM7" s="541">
        <f t="shared" si="30"/>
        <v>121621.47</v>
      </c>
      <c r="DN7" s="542">
        <f t="shared" ref="DN7" si="37">SUM(DB7:DM7)</f>
        <v>164161.97</v>
      </c>
      <c r="DO7" s="541">
        <f t="shared" ref="DO7" si="38">SUM(DO9:DO34)</f>
        <v>2833.5</v>
      </c>
      <c r="DP7" s="541">
        <f t="shared" si="30"/>
        <v>4153</v>
      </c>
      <c r="DQ7" s="541">
        <f t="shared" si="30"/>
        <v>4920.5</v>
      </c>
      <c r="DR7" s="541">
        <f t="shared" si="30"/>
        <v>2711</v>
      </c>
      <c r="DS7" s="541">
        <f t="shared" si="30"/>
        <v>1661</v>
      </c>
      <c r="DT7" s="541">
        <f t="shared" si="30"/>
        <v>1696</v>
      </c>
      <c r="DU7" s="541">
        <f t="shared" si="30"/>
        <v>2057</v>
      </c>
      <c r="DV7" s="541">
        <f t="shared" si="30"/>
        <v>3536</v>
      </c>
      <c r="DW7" s="541">
        <f t="shared" si="30"/>
        <v>7531.5</v>
      </c>
      <c r="DX7" s="541">
        <f t="shared" si="30"/>
        <v>7505</v>
      </c>
      <c r="DY7" s="541">
        <f t="shared" si="30"/>
        <v>4583.5</v>
      </c>
      <c r="DZ7" s="541">
        <f t="shared" si="30"/>
        <v>100010.76999999999</v>
      </c>
      <c r="EA7" s="542">
        <f t="shared" ref="EA7" si="39">SUM(DO7:DZ7)</f>
        <v>143198.76999999999</v>
      </c>
      <c r="EB7" s="541">
        <f>SUM(EB9:EB34)</f>
        <v>7798</v>
      </c>
      <c r="EC7" s="541">
        <f t="shared" ref="EC7:EM7" si="40">SUM(EC9:EC34)</f>
        <v>6975</v>
      </c>
      <c r="ED7" s="541">
        <f t="shared" si="40"/>
        <v>5393.5</v>
      </c>
      <c r="EE7" s="541">
        <f t="shared" si="40"/>
        <v>1439</v>
      </c>
      <c r="EF7" s="541">
        <f t="shared" si="40"/>
        <v>3278</v>
      </c>
      <c r="EG7" s="541">
        <f t="shared" si="40"/>
        <v>4864</v>
      </c>
      <c r="EH7" s="541">
        <f t="shared" si="40"/>
        <v>2528</v>
      </c>
      <c r="EI7" s="541">
        <f t="shared" si="40"/>
        <v>2485</v>
      </c>
      <c r="EJ7" s="541">
        <f t="shared" si="40"/>
        <v>7118</v>
      </c>
      <c r="EK7" s="541">
        <f t="shared" si="40"/>
        <v>4676.5</v>
      </c>
      <c r="EL7" s="541">
        <f t="shared" si="40"/>
        <v>3712.5</v>
      </c>
      <c r="EM7" s="541">
        <f t="shared" si="40"/>
        <v>0</v>
      </c>
      <c r="EN7" s="542">
        <f>SUM(EB7:EM7)</f>
        <v>50267.5</v>
      </c>
      <c r="EO7" s="541">
        <f>SUM(EO9:EO34)</f>
        <v>0</v>
      </c>
      <c r="EP7" s="541">
        <f t="shared" ref="EP7:EZ7" si="41">SUM(EP9:EP34)</f>
        <v>0</v>
      </c>
      <c r="EQ7" s="541">
        <f t="shared" si="41"/>
        <v>0</v>
      </c>
      <c r="ER7" s="541">
        <f t="shared" si="41"/>
        <v>0</v>
      </c>
      <c r="ES7" s="541">
        <f t="shared" si="41"/>
        <v>0</v>
      </c>
      <c r="ET7" s="541">
        <f t="shared" si="41"/>
        <v>0</v>
      </c>
      <c r="EU7" s="541">
        <f t="shared" si="41"/>
        <v>0</v>
      </c>
      <c r="EV7" s="541">
        <f t="shared" si="41"/>
        <v>0</v>
      </c>
      <c r="EW7" s="541">
        <f t="shared" si="41"/>
        <v>0</v>
      </c>
      <c r="EX7" s="541">
        <f t="shared" si="41"/>
        <v>0</v>
      </c>
      <c r="EY7" s="541">
        <f t="shared" si="41"/>
        <v>0</v>
      </c>
      <c r="EZ7" s="541">
        <f t="shared" si="41"/>
        <v>0</v>
      </c>
      <c r="FA7" s="542">
        <f>SUM(EO7:EZ7)</f>
        <v>0</v>
      </c>
      <c r="FB7" s="652"/>
      <c r="FC7" s="544" cm="1">
        <f t="array" ref="FC7">IFERROR(((
_xlfn.XLOOKUP((DATE(YEAR($FC$5),MONTH($FC$5),1)),UCA.COSECHAS.DATE,$B7:$FA7) /
_xlfn.XLOOKUP((DATE(YEAR($FC$5)-1,MONTH($FC$5),1)),UCA.COSECHAS.DATE,$B7:$FA7)
)-1)*100,"")</f>
        <v>19.517601043024779</v>
      </c>
      <c r="FD7" s="545">
        <f>IFERROR(((FF7/FE7)-1)*100,"")</f>
        <v>1.522078960049833</v>
      </c>
      <c r="FE7" s="546" cm="1">
        <f t="array" ref="FE7">SUMIFS($B7:$FA7,UCA.COSECHAS.DATE,"&gt;="&amp;DATE(YEAR($FC$5)-1,1,1),UCA.COSECHAS.DATE,"&lt;="&amp;DATE(YEAR($FC$5)-1,MONTH($FC$5),1))</f>
        <v>42540.5</v>
      </c>
      <c r="FF7" s="547" cm="1">
        <f t="array" ref="FF7">SUMIFS($B7:$FA7,UCA.COSECHAS.DATE,"&gt;="&amp;DATE(YEAR($FC$5),1,1),UCA.COSECHAS.DATE,"&lt;="&amp;$FC$5)</f>
        <v>43188</v>
      </c>
      <c r="FG7" s="426"/>
      <c r="FH7" s="498"/>
      <c r="FI7" s="499"/>
      <c r="FJ7" s="500"/>
    </row>
    <row r="8" spans="1:166" ht="15" customHeight="1" x14ac:dyDescent="0.25">
      <c r="A8" s="650"/>
      <c r="B8" s="633"/>
      <c r="C8" s="633"/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493"/>
      <c r="O8" s="633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493"/>
      <c r="AB8" s="633"/>
      <c r="AC8" s="633"/>
      <c r="AD8" s="633"/>
      <c r="AE8" s="633"/>
      <c r="AF8" s="633"/>
      <c r="AG8" s="633"/>
      <c r="AH8" s="633"/>
      <c r="AI8" s="633"/>
      <c r="AJ8" s="633"/>
      <c r="AK8" s="633"/>
      <c r="AL8" s="633"/>
      <c r="AM8" s="633"/>
      <c r="AN8" s="493"/>
      <c r="AO8" s="633"/>
      <c r="AP8" s="633"/>
      <c r="AQ8" s="633"/>
      <c r="AR8" s="633"/>
      <c r="AS8" s="633"/>
      <c r="AT8" s="633"/>
      <c r="AU8" s="633"/>
      <c r="AV8" s="633"/>
      <c r="AW8" s="633"/>
      <c r="AX8" s="633"/>
      <c r="AY8" s="633"/>
      <c r="AZ8" s="633"/>
      <c r="BA8" s="493"/>
      <c r="BB8" s="633"/>
      <c r="BC8" s="633"/>
      <c r="BD8" s="633"/>
      <c r="BE8" s="633"/>
      <c r="BF8" s="633"/>
      <c r="BG8" s="633"/>
      <c r="BH8" s="633"/>
      <c r="BI8" s="633"/>
      <c r="BJ8" s="633"/>
      <c r="BK8" s="633"/>
      <c r="BL8" s="633"/>
      <c r="BM8" s="633"/>
      <c r="BN8" s="493"/>
      <c r="BO8" s="633"/>
      <c r="BP8" s="633"/>
      <c r="BQ8" s="633"/>
      <c r="BR8" s="633"/>
      <c r="BS8" s="633"/>
      <c r="BT8" s="633"/>
      <c r="BU8" s="633"/>
      <c r="BV8" s="633"/>
      <c r="BW8" s="633"/>
      <c r="BX8" s="633"/>
      <c r="BY8" s="633"/>
      <c r="BZ8" s="633"/>
      <c r="CA8" s="493"/>
      <c r="CB8" s="633"/>
      <c r="CC8" s="633"/>
      <c r="CD8" s="633"/>
      <c r="CE8" s="633"/>
      <c r="CF8" s="633"/>
      <c r="CG8" s="633"/>
      <c r="CH8" s="633"/>
      <c r="CI8" s="633"/>
      <c r="CJ8" s="633"/>
      <c r="CK8" s="633"/>
      <c r="CL8" s="633"/>
      <c r="CM8" s="633"/>
      <c r="CN8" s="493"/>
      <c r="CO8" s="633"/>
      <c r="CP8" s="633"/>
      <c r="CQ8" s="633"/>
      <c r="CR8" s="633"/>
      <c r="CS8" s="633"/>
      <c r="CT8" s="633"/>
      <c r="CU8" s="633"/>
      <c r="CV8" s="633"/>
      <c r="CW8" s="633"/>
      <c r="CX8" s="633"/>
      <c r="CY8" s="633"/>
      <c r="CZ8" s="633"/>
      <c r="DA8" s="493"/>
      <c r="DB8" s="633"/>
      <c r="DC8" s="633"/>
      <c r="DD8" s="633"/>
      <c r="DE8" s="633"/>
      <c r="DF8" s="633"/>
      <c r="DG8" s="633"/>
      <c r="DH8" s="633"/>
      <c r="DI8" s="633"/>
      <c r="DJ8" s="633"/>
      <c r="DK8" s="633"/>
      <c r="DL8" s="633"/>
      <c r="DM8" s="633"/>
      <c r="DN8" s="493"/>
      <c r="DO8" s="633"/>
      <c r="DP8" s="633"/>
      <c r="DQ8" s="633"/>
      <c r="DR8" s="633"/>
      <c r="DS8" s="633"/>
      <c r="DT8" s="633"/>
      <c r="DU8" s="633"/>
      <c r="DV8" s="633"/>
      <c r="DW8" s="633"/>
      <c r="DX8" s="633"/>
      <c r="DY8" s="633"/>
      <c r="DZ8" s="633"/>
      <c r="EA8" s="493"/>
      <c r="EB8" s="633"/>
      <c r="EC8" s="633"/>
      <c r="ED8" s="633"/>
      <c r="EE8" s="633"/>
      <c r="EF8" s="633"/>
      <c r="EG8" s="633"/>
      <c r="EH8" s="633"/>
      <c r="EI8" s="633"/>
      <c r="EJ8" s="633"/>
      <c r="EK8" s="633"/>
      <c r="EL8" s="633"/>
      <c r="EM8" s="633"/>
      <c r="EN8" s="493"/>
      <c r="EO8" s="633"/>
      <c r="EP8" s="633"/>
      <c r="EQ8" s="633"/>
      <c r="ER8" s="633"/>
      <c r="ES8" s="633"/>
      <c r="ET8" s="633"/>
      <c r="EU8" s="633"/>
      <c r="EV8" s="633"/>
      <c r="EW8" s="633"/>
      <c r="EX8" s="633"/>
      <c r="EY8" s="633"/>
      <c r="EZ8" s="633"/>
      <c r="FA8" s="493"/>
      <c r="FB8" s="652"/>
      <c r="FC8" s="549"/>
      <c r="FD8" s="550"/>
      <c r="FE8" s="551"/>
      <c r="FF8" s="552"/>
      <c r="FG8" s="426"/>
      <c r="FH8" s="498"/>
      <c r="FI8" s="499"/>
      <c r="FJ8" s="500"/>
    </row>
    <row r="9" spans="1:166" ht="15" customHeight="1" x14ac:dyDescent="0.25">
      <c r="A9" s="650" t="s">
        <v>622</v>
      </c>
      <c r="B9" s="492">
        <v>952</v>
      </c>
      <c r="C9" s="492">
        <v>866</v>
      </c>
      <c r="D9" s="492">
        <v>632</v>
      </c>
      <c r="E9" s="492">
        <v>732</v>
      </c>
      <c r="F9" s="492">
        <v>448</v>
      </c>
      <c r="G9" s="492">
        <v>706</v>
      </c>
      <c r="H9" s="492">
        <v>206</v>
      </c>
      <c r="I9" s="492">
        <v>965</v>
      </c>
      <c r="J9" s="492">
        <v>1364</v>
      </c>
      <c r="K9" s="492">
        <v>1426</v>
      </c>
      <c r="L9" s="492">
        <v>715</v>
      </c>
      <c r="M9" s="492">
        <v>1137</v>
      </c>
      <c r="N9" s="493">
        <f t="shared" ref="N9:N33" si="42">SUM(B9:M9)</f>
        <v>10149</v>
      </c>
      <c r="O9" s="492">
        <v>1216</v>
      </c>
      <c r="P9" s="492">
        <v>975</v>
      </c>
      <c r="Q9" s="492">
        <v>780</v>
      </c>
      <c r="R9" s="492">
        <v>613</v>
      </c>
      <c r="S9" s="492">
        <v>261</v>
      </c>
      <c r="T9" s="492">
        <v>456</v>
      </c>
      <c r="U9" s="492">
        <v>286</v>
      </c>
      <c r="V9" s="492">
        <v>815</v>
      </c>
      <c r="W9" s="492">
        <v>1106</v>
      </c>
      <c r="X9" s="492">
        <v>1463</v>
      </c>
      <c r="Y9" s="492">
        <v>871</v>
      </c>
      <c r="Z9" s="492">
        <v>979</v>
      </c>
      <c r="AA9" s="493">
        <f t="shared" ref="AA9:AA33" si="43">SUM(O9:Z9)</f>
        <v>9821</v>
      </c>
      <c r="AB9" s="492">
        <v>824</v>
      </c>
      <c r="AC9" s="492">
        <v>1312</v>
      </c>
      <c r="AD9" s="492">
        <v>1053</v>
      </c>
      <c r="AE9" s="492">
        <v>714</v>
      </c>
      <c r="AF9" s="492">
        <v>783</v>
      </c>
      <c r="AG9" s="492">
        <v>924</v>
      </c>
      <c r="AH9" s="492">
        <v>1227</v>
      </c>
      <c r="AI9" s="492">
        <v>1075</v>
      </c>
      <c r="AJ9" s="492">
        <v>3900</v>
      </c>
      <c r="AK9" s="492">
        <v>3594</v>
      </c>
      <c r="AL9" s="492">
        <v>1586</v>
      </c>
      <c r="AM9" s="492">
        <v>1100</v>
      </c>
      <c r="AN9" s="493">
        <f t="shared" ref="AN9:AN33" si="44">SUM(AB9:AM9)</f>
        <v>18092</v>
      </c>
      <c r="AO9" s="492">
        <v>859</v>
      </c>
      <c r="AP9" s="492">
        <v>866</v>
      </c>
      <c r="AQ9" s="492">
        <v>847</v>
      </c>
      <c r="AR9" s="492">
        <v>875</v>
      </c>
      <c r="AS9" s="492">
        <v>1289</v>
      </c>
      <c r="AT9" s="492">
        <v>853</v>
      </c>
      <c r="AU9" s="492">
        <v>924</v>
      </c>
      <c r="AV9" s="492">
        <v>1130</v>
      </c>
      <c r="AW9" s="492">
        <v>2257</v>
      </c>
      <c r="AX9" s="492">
        <v>1940</v>
      </c>
      <c r="AY9" s="492">
        <v>1839</v>
      </c>
      <c r="AZ9" s="492">
        <v>1021</v>
      </c>
      <c r="BA9" s="493">
        <f t="shared" ref="BA9:BA33" si="45">SUM(AO9:AZ9)</f>
        <v>14700</v>
      </c>
      <c r="BB9" s="492">
        <v>958</v>
      </c>
      <c r="BC9" s="492">
        <v>1151</v>
      </c>
      <c r="BD9" s="492">
        <v>593</v>
      </c>
      <c r="BE9" s="492">
        <v>884</v>
      </c>
      <c r="BF9" s="492">
        <v>2380</v>
      </c>
      <c r="BG9" s="492">
        <v>1660</v>
      </c>
      <c r="BH9" s="492">
        <v>2011</v>
      </c>
      <c r="BI9" s="492">
        <v>2121</v>
      </c>
      <c r="BJ9" s="492">
        <v>2326</v>
      </c>
      <c r="BK9" s="492">
        <v>1707</v>
      </c>
      <c r="BL9" s="492">
        <v>2679</v>
      </c>
      <c r="BM9" s="492">
        <v>2011</v>
      </c>
      <c r="BN9" s="493">
        <f t="shared" ref="BN9:BN33" si="46">SUM(BB9:BM9)</f>
        <v>20481</v>
      </c>
      <c r="BO9" s="492">
        <v>1605</v>
      </c>
      <c r="BP9" s="492">
        <v>1199</v>
      </c>
      <c r="BQ9" s="492">
        <v>1227</v>
      </c>
      <c r="BR9" s="492">
        <v>1911</v>
      </c>
      <c r="BS9" s="492">
        <v>909</v>
      </c>
      <c r="BT9" s="492">
        <v>1221</v>
      </c>
      <c r="BU9" s="492">
        <v>593</v>
      </c>
      <c r="BV9" s="492">
        <v>1113</v>
      </c>
      <c r="BW9" s="492">
        <v>1424</v>
      </c>
      <c r="BX9" s="492">
        <v>996</v>
      </c>
      <c r="BY9" s="492">
        <v>843</v>
      </c>
      <c r="BZ9" s="492">
        <v>962</v>
      </c>
      <c r="CA9" s="493">
        <f t="shared" ref="CA9:CA33" si="47">SUM(BO9:BZ9)</f>
        <v>14003</v>
      </c>
      <c r="CB9" s="492">
        <v>1486</v>
      </c>
      <c r="CC9" s="492">
        <v>1511</v>
      </c>
      <c r="CD9" s="492">
        <v>1764</v>
      </c>
      <c r="CE9" s="492">
        <v>1588</v>
      </c>
      <c r="CF9" s="492">
        <v>462</v>
      </c>
      <c r="CG9" s="492">
        <v>407</v>
      </c>
      <c r="CH9" s="492">
        <v>858</v>
      </c>
      <c r="CI9" s="492">
        <v>829</v>
      </c>
      <c r="CJ9" s="492">
        <v>1188</v>
      </c>
      <c r="CK9" s="492">
        <v>766</v>
      </c>
      <c r="CL9" s="492">
        <v>478</v>
      </c>
      <c r="CM9" s="492">
        <v>1256</v>
      </c>
      <c r="CN9" s="493">
        <f t="shared" ref="CN9:CN33" si="48">SUM(CB9:CM9)</f>
        <v>12593</v>
      </c>
      <c r="CO9" s="492">
        <v>2189</v>
      </c>
      <c r="CP9" s="492">
        <v>1542</v>
      </c>
      <c r="CQ9" s="492">
        <v>2177</v>
      </c>
      <c r="CR9" s="492">
        <v>438</v>
      </c>
      <c r="CS9" s="492">
        <v>757</v>
      </c>
      <c r="CT9" s="492">
        <v>518</v>
      </c>
      <c r="CU9" s="492">
        <v>559</v>
      </c>
      <c r="CV9" s="492">
        <v>985</v>
      </c>
      <c r="CW9" s="492">
        <v>1369</v>
      </c>
      <c r="CX9" s="492">
        <v>1724</v>
      </c>
      <c r="CY9" s="492">
        <v>1558</v>
      </c>
      <c r="CZ9" s="492">
        <v>1398</v>
      </c>
      <c r="DA9" s="493">
        <f t="shared" ref="DA9:DA33" si="49">SUM(CO9:CZ9)</f>
        <v>15214</v>
      </c>
      <c r="DB9" s="492">
        <v>1472</v>
      </c>
      <c r="DC9" s="492">
        <v>1774</v>
      </c>
      <c r="DD9" s="492">
        <v>1418</v>
      </c>
      <c r="DE9" s="492">
        <v>1711</v>
      </c>
      <c r="DF9" s="492">
        <v>1172</v>
      </c>
      <c r="DG9" s="492">
        <v>429</v>
      </c>
      <c r="DH9" s="492">
        <v>1434</v>
      </c>
      <c r="DI9" s="492">
        <v>1132</v>
      </c>
      <c r="DJ9" s="492">
        <v>2269</v>
      </c>
      <c r="DK9" s="492">
        <v>3176</v>
      </c>
      <c r="DL9" s="492">
        <v>2205</v>
      </c>
      <c r="DM9" s="492">
        <v>872</v>
      </c>
      <c r="DN9" s="493">
        <f t="shared" ref="DN9:DN33" si="50">SUM(DB9:DM9)</f>
        <v>19064</v>
      </c>
      <c r="DO9" s="492">
        <v>1212</v>
      </c>
      <c r="DP9" s="492">
        <v>1944</v>
      </c>
      <c r="DQ9" s="492">
        <v>3101</v>
      </c>
      <c r="DR9" s="492">
        <v>1544</v>
      </c>
      <c r="DS9" s="492">
        <v>1307</v>
      </c>
      <c r="DT9" s="492">
        <v>828</v>
      </c>
      <c r="DU9" s="492">
        <v>1112</v>
      </c>
      <c r="DV9" s="492">
        <v>2201</v>
      </c>
      <c r="DW9" s="492">
        <v>4395</v>
      </c>
      <c r="DX9" s="492">
        <v>3499</v>
      </c>
      <c r="DY9" s="492">
        <v>1866</v>
      </c>
      <c r="DZ9" s="492">
        <v>3841</v>
      </c>
      <c r="EA9" s="493">
        <f t="shared" ref="EA9:EA33" si="51">SUM(DO9:DZ9)</f>
        <v>26850</v>
      </c>
      <c r="EB9" s="492">
        <v>3560</v>
      </c>
      <c r="EC9" s="492">
        <v>4072</v>
      </c>
      <c r="ED9" s="492">
        <v>3212</v>
      </c>
      <c r="EE9" s="492">
        <v>547</v>
      </c>
      <c r="EF9" s="492">
        <v>331</v>
      </c>
      <c r="EG9" s="492">
        <v>924</v>
      </c>
      <c r="EH9" s="492">
        <v>679</v>
      </c>
      <c r="EI9" s="492">
        <v>505.5</v>
      </c>
      <c r="EJ9" s="492">
        <v>2793.5</v>
      </c>
      <c r="EK9" s="492">
        <v>2104</v>
      </c>
      <c r="EL9" s="492">
        <v>1630</v>
      </c>
      <c r="EM9" s="492"/>
      <c r="EN9" s="493">
        <f t="shared" ref="EN9:EN33" si="52">SUM(EB9:EM9)</f>
        <v>20358</v>
      </c>
      <c r="EO9" s="492"/>
      <c r="EP9" s="492"/>
      <c r="EQ9" s="492"/>
      <c r="ER9" s="492"/>
      <c r="ES9" s="492"/>
      <c r="ET9" s="492"/>
      <c r="EU9" s="492"/>
      <c r="EV9" s="492"/>
      <c r="EW9" s="492"/>
      <c r="EX9" s="492"/>
      <c r="EY9" s="492"/>
      <c r="EZ9" s="492"/>
      <c r="FA9" s="493">
        <f t="shared" ref="FA9:FA33" si="53">SUM(EO9:EZ9)</f>
        <v>0</v>
      </c>
      <c r="FC9" s="560" cm="1">
        <f t="array" ref="FC9">IFERROR(((
_xlfn.XLOOKUP((DATE(YEAR($FC$5),MONTH($FC$5),1)),UCA.COSECHAS.DATE,$B9:$FA9) /
_xlfn.XLOOKUP((DATE(YEAR($FC$5)-1,MONTH($FC$5),1)),UCA.COSECHAS.DATE,$B9:$FA9)
)-1)*100,"")</f>
        <v>-15.374149659863946</v>
      </c>
      <c r="FD9" s="561">
        <f t="shared" ref="FD9:FD33" si="54">IFERROR(((FF9/FE9)-1)*100,"")</f>
        <v>26.478671943711518</v>
      </c>
      <c r="FE9" s="562" cm="1">
        <f t="array" ref="FE9">SUMIFS($B9:$FA9,UCA.COSECHAS.DATE,"&gt;="&amp;DATE(YEAR($FC$5)-1,1,1),UCA.COSECHAS.DATE,"&lt;="&amp;DATE(YEAR($FC$5)-1,MONTH($FC$5),1))</f>
        <v>18192</v>
      </c>
      <c r="FF9" s="665" cm="1">
        <f t="array" ref="FF9">SUMIFS($B9:$FA9,UCA.COSECHAS.DATE,"&gt;="&amp;DATE(YEAR($FC$5),1,1),UCA.COSECHAS.DATE,"&lt;="&amp;$FC$5)</f>
        <v>23009</v>
      </c>
      <c r="FG9" s="648"/>
      <c r="FH9" s="498">
        <f t="shared" ref="FH9:FH33" si="55">SUM(B9:FA9)</f>
        <v>362650</v>
      </c>
      <c r="FI9" s="499" t="s">
        <v>622</v>
      </c>
      <c r="FJ9" s="500" t="str">
        <f t="shared" ref="FJ9:FJ33" si="56">IF(EXACT(A9,FI9)=TRUE,"OK","VER")</f>
        <v>OK</v>
      </c>
    </row>
    <row r="10" spans="1:166" ht="15" customHeight="1" x14ac:dyDescent="0.25">
      <c r="A10" s="650" t="s">
        <v>183</v>
      </c>
      <c r="B10" s="492"/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>
        <v>3432</v>
      </c>
      <c r="N10" s="493">
        <f t="shared" si="42"/>
        <v>3432</v>
      </c>
      <c r="O10" s="492"/>
      <c r="P10" s="492"/>
      <c r="Q10" s="492"/>
      <c r="R10" s="492"/>
      <c r="S10" s="492"/>
      <c r="T10" s="492"/>
      <c r="U10" s="492"/>
      <c r="V10" s="492"/>
      <c r="W10" s="492"/>
      <c r="X10" s="492"/>
      <c r="Y10" s="492"/>
      <c r="Z10" s="492">
        <v>10591</v>
      </c>
      <c r="AA10" s="493">
        <f t="shared" si="43"/>
        <v>10591</v>
      </c>
      <c r="AB10" s="492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>
        <v>16089</v>
      </c>
      <c r="AN10" s="493">
        <f t="shared" si="44"/>
        <v>16089</v>
      </c>
      <c r="AO10" s="492"/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>
        <v>20003</v>
      </c>
      <c r="BA10" s="493">
        <f t="shared" si="45"/>
        <v>20003</v>
      </c>
      <c r="BB10" s="492"/>
      <c r="BC10" s="492"/>
      <c r="BD10" s="492"/>
      <c r="BE10" s="492"/>
      <c r="BF10" s="492"/>
      <c r="BG10" s="492"/>
      <c r="BH10" s="492"/>
      <c r="BI10" s="492"/>
      <c r="BJ10" s="492"/>
      <c r="BK10" s="492"/>
      <c r="BL10" s="492"/>
      <c r="BM10" s="492">
        <v>11318</v>
      </c>
      <c r="BN10" s="493">
        <f t="shared" si="46"/>
        <v>11318</v>
      </c>
      <c r="BO10" s="492"/>
      <c r="BP10" s="492"/>
      <c r="BQ10" s="492"/>
      <c r="BR10" s="492"/>
      <c r="BS10" s="492"/>
      <c r="BT10" s="492"/>
      <c r="BU10" s="492"/>
      <c r="BV10" s="492"/>
      <c r="BW10" s="492"/>
      <c r="BX10" s="492"/>
      <c r="BY10" s="492"/>
      <c r="BZ10" s="492">
        <v>24070</v>
      </c>
      <c r="CA10" s="493">
        <f t="shared" si="47"/>
        <v>24070</v>
      </c>
      <c r="CB10" s="492"/>
      <c r="CC10" s="492"/>
      <c r="CD10" s="492"/>
      <c r="CE10" s="492"/>
      <c r="CF10" s="492"/>
      <c r="CG10" s="492"/>
      <c r="CH10" s="492"/>
      <c r="CI10" s="492"/>
      <c r="CJ10" s="492"/>
      <c r="CK10" s="492"/>
      <c r="CL10" s="492"/>
      <c r="CM10" s="492">
        <v>22098</v>
      </c>
      <c r="CN10" s="493">
        <f t="shared" si="48"/>
        <v>22098</v>
      </c>
      <c r="CO10" s="492"/>
      <c r="CP10" s="492"/>
      <c r="CQ10" s="492"/>
      <c r="CR10" s="492"/>
      <c r="CS10" s="492"/>
      <c r="CT10" s="492"/>
      <c r="CU10" s="492"/>
      <c r="CV10" s="492"/>
      <c r="CW10" s="492"/>
      <c r="CX10" s="492"/>
      <c r="CY10" s="492"/>
      <c r="CZ10" s="492">
        <v>26180</v>
      </c>
      <c r="DA10" s="493">
        <f t="shared" si="49"/>
        <v>26180</v>
      </c>
      <c r="DB10" s="492"/>
      <c r="DC10" s="492"/>
      <c r="DD10" s="492"/>
      <c r="DE10" s="492"/>
      <c r="DF10" s="492"/>
      <c r="DG10" s="492"/>
      <c r="DH10" s="492"/>
      <c r="DI10" s="492"/>
      <c r="DJ10" s="492"/>
      <c r="DK10" s="492"/>
      <c r="DL10" s="492"/>
      <c r="DM10" s="492">
        <v>24646</v>
      </c>
      <c r="DN10" s="493">
        <f t="shared" si="50"/>
        <v>24646</v>
      </c>
      <c r="DO10" s="492"/>
      <c r="DP10" s="492"/>
      <c r="DQ10" s="492"/>
      <c r="DR10" s="492"/>
      <c r="DS10" s="492"/>
      <c r="DT10" s="492"/>
      <c r="DU10" s="492"/>
      <c r="DV10" s="492"/>
      <c r="DW10" s="492"/>
      <c r="DX10" s="492"/>
      <c r="DY10" s="492"/>
      <c r="DZ10" s="492">
        <v>10341</v>
      </c>
      <c r="EA10" s="493">
        <f t="shared" si="51"/>
        <v>10341</v>
      </c>
      <c r="EB10" s="492"/>
      <c r="EC10" s="492"/>
      <c r="ED10" s="492"/>
      <c r="EE10" s="492"/>
      <c r="EF10" s="492"/>
      <c r="EG10" s="492"/>
      <c r="EH10" s="492"/>
      <c r="EI10" s="492"/>
      <c r="EJ10" s="492"/>
      <c r="EK10" s="492"/>
      <c r="EL10" s="492"/>
      <c r="EM10" s="492"/>
      <c r="EN10" s="493">
        <f t="shared" si="52"/>
        <v>0</v>
      </c>
      <c r="EO10" s="492"/>
      <c r="EP10" s="492"/>
      <c r="EQ10" s="492"/>
      <c r="ER10" s="492"/>
      <c r="ES10" s="492"/>
      <c r="ET10" s="492"/>
      <c r="EU10" s="492"/>
      <c r="EV10" s="492"/>
      <c r="EW10" s="492"/>
      <c r="EX10" s="492"/>
      <c r="EY10" s="492"/>
      <c r="EZ10" s="492"/>
      <c r="FA10" s="493">
        <f t="shared" si="53"/>
        <v>0</v>
      </c>
      <c r="FC10" s="560" t="str" cm="1">
        <f t="array" ref="FC10">IFERROR(((
_xlfn.XLOOKUP((DATE(YEAR($FC$5),MONTH($FC$5),1)),UCA.COSECHAS.DATE,$B10:$FA10) /
_xlfn.XLOOKUP((DATE(YEAR($FC$5)-1,MONTH($FC$5),1)),UCA.COSECHAS.DATE,$B10:$FA10)
)-1)*100,"")</f>
        <v/>
      </c>
      <c r="FD10" s="561" t="str">
        <f t="shared" si="54"/>
        <v/>
      </c>
      <c r="FE10" s="562" cm="1">
        <f t="array" ref="FE10">SUMIFS($B10:$FA10,UCA.COSECHAS.DATE,"&gt;="&amp;DATE(YEAR($FC$5)-1,1,1),UCA.COSECHAS.DATE,"&lt;="&amp;DATE(YEAR($FC$5)-1,MONTH($FC$5),1))</f>
        <v>0</v>
      </c>
      <c r="FF10" s="665" cm="1">
        <f t="array" ref="FF10">SUMIFS($B10:$FA10,UCA.COSECHAS.DATE,"&gt;="&amp;DATE(YEAR($FC$5),1,1),UCA.COSECHAS.DATE,"&lt;="&amp;$FC$5)</f>
        <v>0</v>
      </c>
      <c r="FG10" s="648"/>
      <c r="FH10" s="498">
        <f t="shared" si="55"/>
        <v>337536</v>
      </c>
      <c r="FI10" s="499" t="s">
        <v>183</v>
      </c>
      <c r="FJ10" s="500" t="str">
        <f t="shared" si="56"/>
        <v>OK</v>
      </c>
    </row>
    <row r="11" spans="1:166" ht="15" customHeight="1" x14ac:dyDescent="0.25">
      <c r="A11" s="650" t="s">
        <v>184</v>
      </c>
      <c r="B11" s="492"/>
      <c r="C11" s="492"/>
      <c r="D11" s="492"/>
      <c r="E11" s="492"/>
      <c r="F11" s="492"/>
      <c r="G11" s="492"/>
      <c r="H11" s="492"/>
      <c r="I11" s="492"/>
      <c r="J11" s="492"/>
      <c r="K11" s="492"/>
      <c r="L11" s="492"/>
      <c r="M11" s="492"/>
      <c r="N11" s="493">
        <f t="shared" si="42"/>
        <v>0</v>
      </c>
      <c r="O11" s="492"/>
      <c r="P11" s="492"/>
      <c r="Q11" s="492"/>
      <c r="R11" s="492"/>
      <c r="S11" s="492"/>
      <c r="T11" s="492"/>
      <c r="U11" s="492"/>
      <c r="V11" s="492"/>
      <c r="W11" s="492"/>
      <c r="X11" s="492"/>
      <c r="Y11" s="492"/>
      <c r="Z11" s="492">
        <v>5779</v>
      </c>
      <c r="AA11" s="493">
        <f t="shared" si="43"/>
        <v>5779</v>
      </c>
      <c r="AB11" s="492"/>
      <c r="AC11" s="492"/>
      <c r="AD11" s="492"/>
      <c r="AE11" s="492"/>
      <c r="AF11" s="492"/>
      <c r="AG11" s="492"/>
      <c r="AH11" s="492"/>
      <c r="AI11" s="492"/>
      <c r="AJ11" s="492"/>
      <c r="AK11" s="492"/>
      <c r="AL11" s="492"/>
      <c r="AM11" s="492">
        <v>5874</v>
      </c>
      <c r="AN11" s="493">
        <f t="shared" si="44"/>
        <v>5874</v>
      </c>
      <c r="AO11" s="492"/>
      <c r="AP11" s="492"/>
      <c r="AQ11" s="492"/>
      <c r="AR11" s="492"/>
      <c r="AS11" s="492"/>
      <c r="AT11" s="492"/>
      <c r="AU11" s="492"/>
      <c r="AV11" s="492"/>
      <c r="AW11" s="492"/>
      <c r="AX11" s="492"/>
      <c r="AY11" s="492"/>
      <c r="AZ11" s="492">
        <v>9116</v>
      </c>
      <c r="BA11" s="493">
        <f t="shared" si="45"/>
        <v>9116</v>
      </c>
      <c r="BB11" s="492"/>
      <c r="BC11" s="492"/>
      <c r="BD11" s="492"/>
      <c r="BE11" s="492"/>
      <c r="BF11" s="492"/>
      <c r="BG11" s="492"/>
      <c r="BH11" s="492"/>
      <c r="BI11" s="492"/>
      <c r="BJ11" s="492"/>
      <c r="BK11" s="492"/>
      <c r="BL11" s="492"/>
      <c r="BM11" s="492">
        <v>15014</v>
      </c>
      <c r="BN11" s="493">
        <f t="shared" si="46"/>
        <v>15014</v>
      </c>
      <c r="BO11" s="492"/>
      <c r="BP11" s="492"/>
      <c r="BQ11" s="492"/>
      <c r="BR11" s="492"/>
      <c r="BS11" s="492"/>
      <c r="BT11" s="492"/>
      <c r="BU11" s="492"/>
      <c r="BV11" s="492"/>
      <c r="BW11" s="492"/>
      <c r="BX11" s="492"/>
      <c r="BY11" s="492"/>
      <c r="BZ11" s="492">
        <v>12746</v>
      </c>
      <c r="CA11" s="493">
        <f t="shared" si="47"/>
        <v>12746</v>
      </c>
      <c r="CB11" s="492"/>
      <c r="CC11" s="492"/>
      <c r="CD11" s="492"/>
      <c r="CE11" s="492"/>
      <c r="CF11" s="492"/>
      <c r="CG11" s="492"/>
      <c r="CH11" s="492"/>
      <c r="CI11" s="492"/>
      <c r="CJ11" s="492"/>
      <c r="CK11" s="492"/>
      <c r="CL11" s="492"/>
      <c r="CM11" s="492">
        <v>15572</v>
      </c>
      <c r="CN11" s="493">
        <f t="shared" si="48"/>
        <v>15572</v>
      </c>
      <c r="CO11" s="492"/>
      <c r="CP11" s="492"/>
      <c r="CQ11" s="492"/>
      <c r="CR11" s="492"/>
      <c r="CS11" s="492"/>
      <c r="CT11" s="492"/>
      <c r="CU11" s="492"/>
      <c r="CV11" s="492"/>
      <c r="CW11" s="492"/>
      <c r="CX11" s="492"/>
      <c r="CY11" s="492"/>
      <c r="CZ11" s="492">
        <v>11965</v>
      </c>
      <c r="DA11" s="493">
        <f t="shared" si="49"/>
        <v>11965</v>
      </c>
      <c r="DB11" s="492"/>
      <c r="DC11" s="492"/>
      <c r="DD11" s="492"/>
      <c r="DE11" s="492"/>
      <c r="DF11" s="492"/>
      <c r="DG11" s="492"/>
      <c r="DH11" s="492"/>
      <c r="DI11" s="492"/>
      <c r="DJ11" s="492"/>
      <c r="DK11" s="492"/>
      <c r="DL11" s="492"/>
      <c r="DM11" s="492">
        <v>11195</v>
      </c>
      <c r="DN11" s="493">
        <f t="shared" si="50"/>
        <v>11195</v>
      </c>
      <c r="DO11" s="492"/>
      <c r="DP11" s="492"/>
      <c r="DQ11" s="492"/>
      <c r="DR11" s="492"/>
      <c r="DS11" s="492"/>
      <c r="DT11" s="492"/>
      <c r="DU11" s="492"/>
      <c r="DV11" s="492"/>
      <c r="DW11" s="492"/>
      <c r="DX11" s="492"/>
      <c r="DY11" s="492"/>
      <c r="DZ11" s="492">
        <v>3679</v>
      </c>
      <c r="EA11" s="493">
        <f t="shared" si="51"/>
        <v>3679</v>
      </c>
      <c r="EB11" s="492"/>
      <c r="EC11" s="492"/>
      <c r="ED11" s="492"/>
      <c r="EE11" s="492"/>
      <c r="EF11" s="492"/>
      <c r="EG11" s="492"/>
      <c r="EH11" s="492"/>
      <c r="EI11" s="492"/>
      <c r="EJ11" s="492"/>
      <c r="EK11" s="492"/>
      <c r="EL11" s="492"/>
      <c r="EM11" s="492"/>
      <c r="EN11" s="493">
        <f t="shared" si="52"/>
        <v>0</v>
      </c>
      <c r="EO11" s="492"/>
      <c r="EP11" s="492"/>
      <c r="EQ11" s="492"/>
      <c r="ER11" s="492"/>
      <c r="ES11" s="492"/>
      <c r="ET11" s="492"/>
      <c r="EU11" s="492"/>
      <c r="EV11" s="492"/>
      <c r="EW11" s="492"/>
      <c r="EX11" s="492"/>
      <c r="EY11" s="492"/>
      <c r="EZ11" s="492"/>
      <c r="FA11" s="493">
        <f t="shared" si="53"/>
        <v>0</v>
      </c>
      <c r="FC11" s="560" t="str" cm="1">
        <f t="array" ref="FC11">IFERROR(((
_xlfn.XLOOKUP((DATE(YEAR($FC$5),MONTH($FC$5),1)),UCA.COSECHAS.DATE,$B11:$FA11) /
_xlfn.XLOOKUP((DATE(YEAR($FC$5)-1,MONTH($FC$5),1)),UCA.COSECHAS.DATE,$B11:$FA11)
)-1)*100,"")</f>
        <v/>
      </c>
      <c r="FD11" s="561" t="str">
        <f t="shared" si="54"/>
        <v/>
      </c>
      <c r="FE11" s="562" cm="1">
        <f t="array" ref="FE11">SUMIFS($B11:$FA11,UCA.COSECHAS.DATE,"&gt;="&amp;DATE(YEAR($FC$5)-1,1,1),UCA.COSECHAS.DATE,"&lt;="&amp;DATE(YEAR($FC$5)-1,MONTH($FC$5),1))</f>
        <v>0</v>
      </c>
      <c r="FF11" s="665" cm="1">
        <f t="array" ref="FF11">SUMIFS($B11:$FA11,UCA.COSECHAS.DATE,"&gt;="&amp;DATE(YEAR($FC$5),1,1),UCA.COSECHAS.DATE,"&lt;="&amp;$FC$5)</f>
        <v>0</v>
      </c>
      <c r="FG11" s="648"/>
      <c r="FH11" s="498">
        <f t="shared" si="55"/>
        <v>181880</v>
      </c>
      <c r="FI11" s="499" t="s">
        <v>184</v>
      </c>
      <c r="FJ11" s="500" t="str">
        <f t="shared" si="56"/>
        <v>OK</v>
      </c>
    </row>
    <row r="12" spans="1:166" ht="15" customHeight="1" x14ac:dyDescent="0.25">
      <c r="A12" s="650" t="s">
        <v>161</v>
      </c>
      <c r="B12" s="492"/>
      <c r="C12" s="492"/>
      <c r="D12" s="492"/>
      <c r="E12" s="492"/>
      <c r="F12" s="492"/>
      <c r="G12" s="492"/>
      <c r="H12" s="492"/>
      <c r="I12" s="492"/>
      <c r="J12" s="492"/>
      <c r="K12" s="492"/>
      <c r="L12" s="492"/>
      <c r="M12" s="492">
        <v>659</v>
      </c>
      <c r="N12" s="493">
        <f t="shared" si="42"/>
        <v>659</v>
      </c>
      <c r="O12" s="492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>
        <v>628</v>
      </c>
      <c r="AA12" s="493">
        <f t="shared" si="43"/>
        <v>628</v>
      </c>
      <c r="AB12" s="492"/>
      <c r="AC12" s="492"/>
      <c r="AD12" s="492"/>
      <c r="AE12" s="492"/>
      <c r="AF12" s="492"/>
      <c r="AG12" s="492"/>
      <c r="AH12" s="492"/>
      <c r="AI12" s="492"/>
      <c r="AJ12" s="492"/>
      <c r="AK12" s="492"/>
      <c r="AL12" s="492"/>
      <c r="AM12" s="492">
        <v>683</v>
      </c>
      <c r="AN12" s="493">
        <f t="shared" si="44"/>
        <v>683</v>
      </c>
      <c r="AO12" s="492"/>
      <c r="AP12" s="492"/>
      <c r="AQ12" s="492"/>
      <c r="AR12" s="492"/>
      <c r="AS12" s="492"/>
      <c r="AT12" s="492"/>
      <c r="AU12" s="492"/>
      <c r="AV12" s="492"/>
      <c r="AW12" s="492"/>
      <c r="AX12" s="492"/>
      <c r="AY12" s="492"/>
      <c r="AZ12" s="492">
        <v>1420</v>
      </c>
      <c r="BA12" s="493">
        <f t="shared" si="45"/>
        <v>1420</v>
      </c>
      <c r="BB12" s="492"/>
      <c r="BC12" s="492"/>
      <c r="BD12" s="492"/>
      <c r="BE12" s="492"/>
      <c r="BF12" s="492"/>
      <c r="BG12" s="492"/>
      <c r="BH12" s="492"/>
      <c r="BI12" s="492"/>
      <c r="BJ12" s="492"/>
      <c r="BK12" s="492"/>
      <c r="BL12" s="492"/>
      <c r="BM12" s="492">
        <v>894</v>
      </c>
      <c r="BN12" s="493">
        <f t="shared" si="46"/>
        <v>894</v>
      </c>
      <c r="BO12" s="492"/>
      <c r="BP12" s="492"/>
      <c r="BQ12" s="492"/>
      <c r="BR12" s="492"/>
      <c r="BS12" s="492"/>
      <c r="BT12" s="492"/>
      <c r="BU12" s="492"/>
      <c r="BV12" s="492"/>
      <c r="BW12" s="492"/>
      <c r="BX12" s="492"/>
      <c r="BY12" s="492"/>
      <c r="BZ12" s="492">
        <v>1068</v>
      </c>
      <c r="CA12" s="493">
        <f t="shared" si="47"/>
        <v>1068</v>
      </c>
      <c r="CB12" s="492"/>
      <c r="CC12" s="492"/>
      <c r="CD12" s="492"/>
      <c r="CE12" s="492"/>
      <c r="CF12" s="492"/>
      <c r="CG12" s="492"/>
      <c r="CH12" s="492"/>
      <c r="CI12" s="492"/>
      <c r="CJ12" s="492"/>
      <c r="CK12" s="492"/>
      <c r="CL12" s="492"/>
      <c r="CM12" s="492">
        <v>937.7</v>
      </c>
      <c r="CN12" s="493">
        <f t="shared" si="48"/>
        <v>937.7</v>
      </c>
      <c r="CO12" s="492"/>
      <c r="CP12" s="492"/>
      <c r="CQ12" s="492"/>
      <c r="CR12" s="492"/>
      <c r="CS12" s="492"/>
      <c r="CT12" s="492"/>
      <c r="CU12" s="492"/>
      <c r="CV12" s="492"/>
      <c r="CW12" s="492"/>
      <c r="CX12" s="492"/>
      <c r="CY12" s="492"/>
      <c r="CZ12" s="492">
        <v>944.7</v>
      </c>
      <c r="DA12" s="493">
        <f t="shared" si="49"/>
        <v>944.7</v>
      </c>
      <c r="DB12" s="492"/>
      <c r="DC12" s="492"/>
      <c r="DD12" s="492"/>
      <c r="DE12" s="492"/>
      <c r="DF12" s="492"/>
      <c r="DG12" s="492"/>
      <c r="DH12" s="492"/>
      <c r="DI12" s="492"/>
      <c r="DJ12" s="492"/>
      <c r="DK12" s="492"/>
      <c r="DL12" s="492"/>
      <c r="DM12" s="492">
        <v>719.2</v>
      </c>
      <c r="DN12" s="493">
        <f t="shared" si="50"/>
        <v>719.2</v>
      </c>
      <c r="DO12" s="492"/>
      <c r="DP12" s="492"/>
      <c r="DQ12" s="492"/>
      <c r="DR12" s="492"/>
      <c r="DS12" s="492"/>
      <c r="DT12" s="492"/>
      <c r="DU12" s="492"/>
      <c r="DV12" s="492"/>
      <c r="DW12" s="492"/>
      <c r="DX12" s="492"/>
      <c r="DY12" s="492"/>
      <c r="DZ12" s="492">
        <v>474.7</v>
      </c>
      <c r="EA12" s="493">
        <f t="shared" si="51"/>
        <v>474.7</v>
      </c>
      <c r="EB12" s="492"/>
      <c r="EC12" s="492"/>
      <c r="ED12" s="492"/>
      <c r="EE12" s="492"/>
      <c r="EF12" s="492"/>
      <c r="EG12" s="492"/>
      <c r="EH12" s="492"/>
      <c r="EI12" s="492"/>
      <c r="EJ12" s="492"/>
      <c r="EK12" s="492"/>
      <c r="EL12" s="492"/>
      <c r="EM12" s="492"/>
      <c r="EN12" s="493">
        <f t="shared" si="52"/>
        <v>0</v>
      </c>
      <c r="EO12" s="492"/>
      <c r="EP12" s="492"/>
      <c r="EQ12" s="492"/>
      <c r="ER12" s="492"/>
      <c r="ES12" s="492"/>
      <c r="ET12" s="492"/>
      <c r="EU12" s="492"/>
      <c r="EV12" s="492"/>
      <c r="EW12" s="492"/>
      <c r="EX12" s="492"/>
      <c r="EY12" s="492"/>
      <c r="EZ12" s="492"/>
      <c r="FA12" s="493">
        <f t="shared" si="53"/>
        <v>0</v>
      </c>
      <c r="FC12" s="560" t="str" cm="1">
        <f t="array" ref="FC12">IFERROR(((
_xlfn.XLOOKUP((DATE(YEAR($FC$5),MONTH($FC$5),1)),UCA.COSECHAS.DATE,$B12:$FA12) /
_xlfn.XLOOKUP((DATE(YEAR($FC$5)-1,MONTH($FC$5),1)),UCA.COSECHAS.DATE,$B12:$FA12)
)-1)*100,"")</f>
        <v/>
      </c>
      <c r="FD12" s="561" t="str">
        <f t="shared" si="54"/>
        <v/>
      </c>
      <c r="FE12" s="562" cm="1">
        <f t="array" ref="FE12">SUMIFS($B12:$FA12,UCA.COSECHAS.DATE,"&gt;="&amp;DATE(YEAR($FC$5)-1,1,1),UCA.COSECHAS.DATE,"&lt;="&amp;DATE(YEAR($FC$5)-1,MONTH($FC$5),1))</f>
        <v>0</v>
      </c>
      <c r="FF12" s="665" cm="1">
        <f t="array" ref="FF12">SUMIFS($B12:$FA12,UCA.COSECHAS.DATE,"&gt;="&amp;DATE(YEAR($FC$5),1,1),UCA.COSECHAS.DATE,"&lt;="&amp;$FC$5)</f>
        <v>0</v>
      </c>
      <c r="FG12" s="648"/>
      <c r="FH12" s="498">
        <f t="shared" si="55"/>
        <v>16856.600000000006</v>
      </c>
      <c r="FI12" s="499" t="s">
        <v>161</v>
      </c>
      <c r="FJ12" s="500" t="str">
        <f t="shared" si="56"/>
        <v>OK</v>
      </c>
    </row>
    <row r="13" spans="1:166" ht="15" customHeight="1" x14ac:dyDescent="0.25">
      <c r="A13" s="650" t="s">
        <v>623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2">
        <v>1174</v>
      </c>
      <c r="N13" s="493">
        <f t="shared" si="42"/>
        <v>1174</v>
      </c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2"/>
      <c r="Z13" s="492">
        <v>992</v>
      </c>
      <c r="AA13" s="493">
        <f t="shared" si="43"/>
        <v>992</v>
      </c>
      <c r="AB13" s="492"/>
      <c r="AC13" s="492"/>
      <c r="AD13" s="492"/>
      <c r="AE13" s="492"/>
      <c r="AF13" s="492"/>
      <c r="AG13" s="492"/>
      <c r="AH13" s="492"/>
      <c r="AI13" s="492"/>
      <c r="AJ13" s="492"/>
      <c r="AK13" s="492"/>
      <c r="AL13" s="492"/>
      <c r="AM13" s="492">
        <v>723</v>
      </c>
      <c r="AN13" s="493">
        <f t="shared" si="44"/>
        <v>723</v>
      </c>
      <c r="AO13" s="492"/>
      <c r="AP13" s="492"/>
      <c r="AQ13" s="492"/>
      <c r="AR13" s="492"/>
      <c r="AS13" s="492"/>
      <c r="AT13" s="492"/>
      <c r="AU13" s="492"/>
      <c r="AV13" s="492"/>
      <c r="AW13" s="492"/>
      <c r="AX13" s="492"/>
      <c r="AY13" s="492"/>
      <c r="AZ13" s="492">
        <v>620</v>
      </c>
      <c r="BA13" s="493">
        <f t="shared" si="45"/>
        <v>620</v>
      </c>
      <c r="BB13" s="492"/>
      <c r="BC13" s="492"/>
      <c r="BD13" s="492"/>
      <c r="BE13" s="492"/>
      <c r="BF13" s="492"/>
      <c r="BG13" s="492"/>
      <c r="BH13" s="492"/>
      <c r="BI13" s="492"/>
      <c r="BJ13" s="492"/>
      <c r="BK13" s="492"/>
      <c r="BL13" s="492"/>
      <c r="BM13" s="492">
        <v>282</v>
      </c>
      <c r="BN13" s="493">
        <f t="shared" si="46"/>
        <v>282</v>
      </c>
      <c r="BO13" s="492"/>
      <c r="BP13" s="492"/>
      <c r="BQ13" s="492"/>
      <c r="BR13" s="492"/>
      <c r="BS13" s="492"/>
      <c r="BT13" s="492"/>
      <c r="BU13" s="492"/>
      <c r="BV13" s="492"/>
      <c r="BW13" s="492"/>
      <c r="BX13" s="492"/>
      <c r="BY13" s="492"/>
      <c r="BZ13" s="492">
        <v>522</v>
      </c>
      <c r="CA13" s="493">
        <f t="shared" si="47"/>
        <v>522</v>
      </c>
      <c r="CB13" s="492"/>
      <c r="CC13" s="492"/>
      <c r="CD13" s="492"/>
      <c r="CE13" s="492"/>
      <c r="CF13" s="492"/>
      <c r="CG13" s="492"/>
      <c r="CH13" s="492"/>
      <c r="CI13" s="492"/>
      <c r="CJ13" s="492"/>
      <c r="CK13" s="492"/>
      <c r="CL13" s="492"/>
      <c r="CM13" s="492">
        <v>1077</v>
      </c>
      <c r="CN13" s="493">
        <f t="shared" si="48"/>
        <v>1077</v>
      </c>
      <c r="CO13" s="492"/>
      <c r="CP13" s="492"/>
      <c r="CQ13" s="492"/>
      <c r="CR13" s="492"/>
      <c r="CS13" s="492"/>
      <c r="CT13" s="492"/>
      <c r="CU13" s="492"/>
      <c r="CV13" s="492"/>
      <c r="CW13" s="492"/>
      <c r="CX13" s="492"/>
      <c r="CY13" s="492"/>
      <c r="CZ13" s="492">
        <v>1071</v>
      </c>
      <c r="DA13" s="493">
        <f t="shared" si="49"/>
        <v>1071</v>
      </c>
      <c r="DB13" s="492"/>
      <c r="DC13" s="492"/>
      <c r="DD13" s="492"/>
      <c r="DE13" s="492"/>
      <c r="DF13" s="492"/>
      <c r="DG13" s="492"/>
      <c r="DH13" s="492"/>
      <c r="DI13" s="492"/>
      <c r="DJ13" s="492"/>
      <c r="DK13" s="492"/>
      <c r="DL13" s="492"/>
      <c r="DM13" s="492">
        <v>940</v>
      </c>
      <c r="DN13" s="493">
        <f t="shared" si="50"/>
        <v>940</v>
      </c>
      <c r="DO13" s="492"/>
      <c r="DP13" s="492"/>
      <c r="DQ13" s="492"/>
      <c r="DR13" s="492"/>
      <c r="DS13" s="492"/>
      <c r="DT13" s="492"/>
      <c r="DU13" s="492"/>
      <c r="DV13" s="492"/>
      <c r="DW13" s="492"/>
      <c r="DX13" s="492"/>
      <c r="DY13" s="492"/>
      <c r="DZ13" s="492">
        <v>385</v>
      </c>
      <c r="EA13" s="493">
        <f t="shared" si="51"/>
        <v>385</v>
      </c>
      <c r="EB13" s="492"/>
      <c r="EC13" s="492"/>
      <c r="ED13" s="492"/>
      <c r="EE13" s="492"/>
      <c r="EF13" s="492"/>
      <c r="EG13" s="492"/>
      <c r="EH13" s="492"/>
      <c r="EI13" s="492"/>
      <c r="EJ13" s="492"/>
      <c r="EK13" s="492"/>
      <c r="EL13" s="492"/>
      <c r="EM13" s="492"/>
      <c r="EN13" s="493">
        <f t="shared" si="52"/>
        <v>0</v>
      </c>
      <c r="EO13" s="492"/>
      <c r="EP13" s="492"/>
      <c r="EQ13" s="492"/>
      <c r="ER13" s="492"/>
      <c r="ES13" s="492"/>
      <c r="ET13" s="492"/>
      <c r="EU13" s="492"/>
      <c r="EV13" s="492"/>
      <c r="EW13" s="492"/>
      <c r="EX13" s="492"/>
      <c r="EY13" s="492"/>
      <c r="EZ13" s="492"/>
      <c r="FA13" s="493">
        <f t="shared" si="53"/>
        <v>0</v>
      </c>
      <c r="FC13" s="560" t="str" cm="1">
        <f t="array" ref="FC13">IFERROR(((
_xlfn.XLOOKUP((DATE(YEAR($FC$5),MONTH($FC$5),1)),UCA.COSECHAS.DATE,$B13:$FA13) /
_xlfn.XLOOKUP((DATE(YEAR($FC$5)-1,MONTH($FC$5),1)),UCA.COSECHAS.DATE,$B13:$FA13)
)-1)*100,"")</f>
        <v/>
      </c>
      <c r="FD13" s="561" t="str">
        <f t="shared" si="54"/>
        <v/>
      </c>
      <c r="FE13" s="562" cm="1">
        <f t="array" ref="FE13">SUMIFS($B13:$FA13,UCA.COSECHAS.DATE,"&gt;="&amp;DATE(YEAR($FC$5)-1,1,1),UCA.COSECHAS.DATE,"&lt;="&amp;DATE(YEAR($FC$5)-1,MONTH($FC$5),1))</f>
        <v>0</v>
      </c>
      <c r="FF13" s="665" cm="1">
        <f t="array" ref="FF13">SUMIFS($B13:$FA13,UCA.COSECHAS.DATE,"&gt;="&amp;DATE(YEAR($FC$5),1,1),UCA.COSECHAS.DATE,"&lt;="&amp;$FC$5)</f>
        <v>0</v>
      </c>
      <c r="FG13" s="648"/>
      <c r="FH13" s="498">
        <f t="shared" si="55"/>
        <v>15572</v>
      </c>
      <c r="FI13" s="499" t="s">
        <v>623</v>
      </c>
      <c r="FJ13" s="500" t="str">
        <f t="shared" si="56"/>
        <v>OK</v>
      </c>
    </row>
    <row r="14" spans="1:166" ht="15" customHeight="1" x14ac:dyDescent="0.25">
      <c r="A14" s="650" t="s">
        <v>179</v>
      </c>
      <c r="B14" s="492"/>
      <c r="C14" s="492"/>
      <c r="D14" s="492"/>
      <c r="E14" s="492"/>
      <c r="F14" s="492"/>
      <c r="G14" s="492"/>
      <c r="H14" s="492"/>
      <c r="I14" s="492"/>
      <c r="J14" s="492"/>
      <c r="K14" s="492"/>
      <c r="L14" s="492"/>
      <c r="M14" s="492">
        <v>512</v>
      </c>
      <c r="N14" s="493">
        <f t="shared" si="42"/>
        <v>512</v>
      </c>
      <c r="O14" s="492"/>
      <c r="P14" s="492"/>
      <c r="Q14" s="492"/>
      <c r="R14" s="492"/>
      <c r="S14" s="492"/>
      <c r="T14" s="492"/>
      <c r="U14" s="492"/>
      <c r="V14" s="492"/>
      <c r="W14" s="492"/>
      <c r="X14" s="492"/>
      <c r="Y14" s="492"/>
      <c r="Z14" s="492">
        <v>515</v>
      </c>
      <c r="AA14" s="493">
        <f t="shared" si="43"/>
        <v>515</v>
      </c>
      <c r="AB14" s="492"/>
      <c r="AC14" s="492"/>
      <c r="AD14" s="492"/>
      <c r="AE14" s="492"/>
      <c r="AF14" s="492"/>
      <c r="AG14" s="492"/>
      <c r="AH14" s="492"/>
      <c r="AI14" s="492"/>
      <c r="AJ14" s="492"/>
      <c r="AK14" s="492"/>
      <c r="AL14" s="492"/>
      <c r="AM14" s="492">
        <v>612</v>
      </c>
      <c r="AN14" s="493">
        <f t="shared" si="44"/>
        <v>612</v>
      </c>
      <c r="AO14" s="492"/>
      <c r="AP14" s="492"/>
      <c r="AQ14" s="492"/>
      <c r="AR14" s="492"/>
      <c r="AS14" s="492"/>
      <c r="AT14" s="492"/>
      <c r="AU14" s="492"/>
      <c r="AV14" s="492"/>
      <c r="AW14" s="492"/>
      <c r="AX14" s="492"/>
      <c r="AY14" s="492"/>
      <c r="AZ14" s="492">
        <v>690</v>
      </c>
      <c r="BA14" s="493">
        <f t="shared" si="45"/>
        <v>690</v>
      </c>
      <c r="BB14" s="492"/>
      <c r="BC14" s="492"/>
      <c r="BD14" s="492"/>
      <c r="BE14" s="492"/>
      <c r="BF14" s="492"/>
      <c r="BG14" s="492"/>
      <c r="BH14" s="492"/>
      <c r="BI14" s="492"/>
      <c r="BJ14" s="492"/>
      <c r="BK14" s="492"/>
      <c r="BL14" s="492"/>
      <c r="BM14" s="492">
        <v>630</v>
      </c>
      <c r="BN14" s="493">
        <f t="shared" si="46"/>
        <v>630</v>
      </c>
      <c r="BO14" s="492"/>
      <c r="BP14" s="492"/>
      <c r="BQ14" s="492"/>
      <c r="BR14" s="492"/>
      <c r="BS14" s="492"/>
      <c r="BT14" s="492"/>
      <c r="BU14" s="492"/>
      <c r="BV14" s="492"/>
      <c r="BW14" s="492"/>
      <c r="BX14" s="492"/>
      <c r="BY14" s="492"/>
      <c r="BZ14" s="492">
        <v>787</v>
      </c>
      <c r="CA14" s="493">
        <f t="shared" si="47"/>
        <v>787</v>
      </c>
      <c r="CB14" s="492"/>
      <c r="CC14" s="492"/>
      <c r="CD14" s="492"/>
      <c r="CE14" s="492"/>
      <c r="CF14" s="492"/>
      <c r="CG14" s="492"/>
      <c r="CH14" s="492"/>
      <c r="CI14" s="492"/>
      <c r="CJ14" s="492"/>
      <c r="CK14" s="492"/>
      <c r="CL14" s="492"/>
      <c r="CM14" s="492">
        <v>925</v>
      </c>
      <c r="CN14" s="493">
        <f t="shared" si="48"/>
        <v>925</v>
      </c>
      <c r="CO14" s="492"/>
      <c r="CP14" s="492"/>
      <c r="CQ14" s="492"/>
      <c r="CR14" s="492"/>
      <c r="CS14" s="492"/>
      <c r="CT14" s="492"/>
      <c r="CU14" s="492"/>
      <c r="CV14" s="492"/>
      <c r="CW14" s="492"/>
      <c r="CX14" s="492"/>
      <c r="CY14" s="492"/>
      <c r="CZ14" s="492">
        <v>1004</v>
      </c>
      <c r="DA14" s="493">
        <f t="shared" si="49"/>
        <v>1004</v>
      </c>
      <c r="DB14" s="492"/>
      <c r="DC14" s="492"/>
      <c r="DD14" s="492"/>
      <c r="DE14" s="492"/>
      <c r="DF14" s="492"/>
      <c r="DG14" s="492"/>
      <c r="DH14" s="492"/>
      <c r="DI14" s="492"/>
      <c r="DJ14" s="492"/>
      <c r="DK14" s="492"/>
      <c r="DL14" s="492"/>
      <c r="DM14" s="492">
        <v>1098</v>
      </c>
      <c r="DN14" s="493">
        <f t="shared" si="50"/>
        <v>1098</v>
      </c>
      <c r="DO14" s="492"/>
      <c r="DP14" s="492"/>
      <c r="DQ14" s="492"/>
      <c r="DR14" s="492"/>
      <c r="DS14" s="492"/>
      <c r="DT14" s="492"/>
      <c r="DU14" s="492"/>
      <c r="DV14" s="492"/>
      <c r="DW14" s="492"/>
      <c r="DX14" s="492"/>
      <c r="DY14" s="492"/>
      <c r="DZ14" s="492">
        <v>938.5</v>
      </c>
      <c r="EA14" s="493">
        <f t="shared" si="51"/>
        <v>938.5</v>
      </c>
      <c r="EB14" s="492"/>
      <c r="EC14" s="492"/>
      <c r="ED14" s="492"/>
      <c r="EE14" s="492"/>
      <c r="EF14" s="492"/>
      <c r="EG14" s="492"/>
      <c r="EH14" s="492"/>
      <c r="EI14" s="492"/>
      <c r="EJ14" s="492"/>
      <c r="EK14" s="492"/>
      <c r="EL14" s="492"/>
      <c r="EM14" s="492"/>
      <c r="EN14" s="493">
        <f t="shared" si="52"/>
        <v>0</v>
      </c>
      <c r="EO14" s="492"/>
      <c r="EP14" s="492"/>
      <c r="EQ14" s="492"/>
      <c r="ER14" s="492"/>
      <c r="ES14" s="492"/>
      <c r="ET14" s="492"/>
      <c r="EU14" s="492"/>
      <c r="EV14" s="492"/>
      <c r="EW14" s="492"/>
      <c r="EX14" s="492"/>
      <c r="EY14" s="492"/>
      <c r="EZ14" s="492"/>
      <c r="FA14" s="493">
        <f t="shared" si="53"/>
        <v>0</v>
      </c>
      <c r="FC14" s="560" t="str" cm="1">
        <f t="array" ref="FC14">IFERROR(((
_xlfn.XLOOKUP((DATE(YEAR($FC$5),MONTH($FC$5),1)),UCA.COSECHAS.DATE,$B14:$FA14) /
_xlfn.XLOOKUP((DATE(YEAR($FC$5)-1,MONTH($FC$5),1)),UCA.COSECHAS.DATE,$B14:$FA14)
)-1)*100,"")</f>
        <v/>
      </c>
      <c r="FD14" s="561" t="str">
        <f t="shared" si="54"/>
        <v/>
      </c>
      <c r="FE14" s="562" cm="1">
        <f t="array" ref="FE14">SUMIFS($B14:$FA14,UCA.COSECHAS.DATE,"&gt;="&amp;DATE(YEAR($FC$5)-1,1,1),UCA.COSECHAS.DATE,"&lt;="&amp;DATE(YEAR($FC$5)-1,MONTH($FC$5),1))</f>
        <v>0</v>
      </c>
      <c r="FF14" s="665" cm="1">
        <f t="array" ref="FF14">SUMIFS($B14:$FA14,UCA.COSECHAS.DATE,"&gt;="&amp;DATE(YEAR($FC$5),1,1),UCA.COSECHAS.DATE,"&lt;="&amp;$FC$5)</f>
        <v>0</v>
      </c>
      <c r="FG14" s="648"/>
      <c r="FH14" s="498">
        <f t="shared" si="55"/>
        <v>15423</v>
      </c>
      <c r="FI14" s="499" t="s">
        <v>179</v>
      </c>
      <c r="FJ14" s="500" t="str">
        <f t="shared" si="56"/>
        <v>OK</v>
      </c>
    </row>
    <row r="15" spans="1:166" ht="15" customHeight="1" x14ac:dyDescent="0.25">
      <c r="A15" s="650" t="s">
        <v>624</v>
      </c>
      <c r="B15" s="492"/>
      <c r="C15" s="492"/>
      <c r="D15" s="492"/>
      <c r="E15" s="492"/>
      <c r="F15" s="492"/>
      <c r="G15" s="492"/>
      <c r="H15" s="492"/>
      <c r="I15" s="492">
        <v>118</v>
      </c>
      <c r="J15" s="492">
        <v>368</v>
      </c>
      <c r="K15" s="492">
        <v>187</v>
      </c>
      <c r="L15" s="492">
        <v>3</v>
      </c>
      <c r="M15" s="492">
        <v>17</v>
      </c>
      <c r="N15" s="493">
        <f t="shared" si="42"/>
        <v>693</v>
      </c>
      <c r="O15" s="492">
        <v>10</v>
      </c>
      <c r="P15" s="492">
        <v>1</v>
      </c>
      <c r="Q15" s="492"/>
      <c r="R15" s="492"/>
      <c r="S15" s="492"/>
      <c r="T15" s="492"/>
      <c r="U15" s="492"/>
      <c r="V15" s="492">
        <v>67</v>
      </c>
      <c r="W15" s="492">
        <v>170</v>
      </c>
      <c r="X15" s="492">
        <v>61</v>
      </c>
      <c r="Y15" s="492"/>
      <c r="Z15" s="492"/>
      <c r="AA15" s="493">
        <f t="shared" si="43"/>
        <v>309</v>
      </c>
      <c r="AB15" s="492"/>
      <c r="AC15" s="492"/>
      <c r="AD15" s="492"/>
      <c r="AE15" s="492"/>
      <c r="AF15" s="492"/>
      <c r="AG15" s="492"/>
      <c r="AH15" s="492">
        <v>16</v>
      </c>
      <c r="AI15" s="492">
        <v>66</v>
      </c>
      <c r="AJ15" s="492">
        <v>121</v>
      </c>
      <c r="AK15" s="492">
        <v>224</v>
      </c>
      <c r="AL15" s="492">
        <v>22</v>
      </c>
      <c r="AM15" s="492"/>
      <c r="AN15" s="493">
        <f t="shared" si="44"/>
        <v>449</v>
      </c>
      <c r="AO15" s="492"/>
      <c r="AP15" s="492"/>
      <c r="AQ15" s="492"/>
      <c r="AR15" s="492"/>
      <c r="AS15" s="492"/>
      <c r="AT15" s="492"/>
      <c r="AU15" s="492">
        <v>19</v>
      </c>
      <c r="AV15" s="492">
        <v>131</v>
      </c>
      <c r="AW15" s="492">
        <v>71</v>
      </c>
      <c r="AX15" s="492">
        <v>73</v>
      </c>
      <c r="AY15" s="492"/>
      <c r="AZ15" s="492"/>
      <c r="BA15" s="493">
        <f t="shared" si="45"/>
        <v>294</v>
      </c>
      <c r="BB15" s="492"/>
      <c r="BC15" s="492"/>
      <c r="BD15" s="492"/>
      <c r="BE15" s="492"/>
      <c r="BF15" s="492"/>
      <c r="BG15" s="492"/>
      <c r="BH15" s="492">
        <v>8</v>
      </c>
      <c r="BI15" s="492">
        <v>51</v>
      </c>
      <c r="BJ15" s="492">
        <v>120</v>
      </c>
      <c r="BK15" s="492">
        <v>196</v>
      </c>
      <c r="BL15" s="492">
        <v>55</v>
      </c>
      <c r="BM15" s="492">
        <v>2</v>
      </c>
      <c r="BN15" s="493">
        <f t="shared" si="46"/>
        <v>432</v>
      </c>
      <c r="BO15" s="492">
        <v>2</v>
      </c>
      <c r="BP15" s="492"/>
      <c r="BQ15" s="492"/>
      <c r="BR15" s="492"/>
      <c r="BS15" s="492"/>
      <c r="BT15" s="492"/>
      <c r="BU15" s="492">
        <v>42</v>
      </c>
      <c r="BV15" s="492">
        <v>114</v>
      </c>
      <c r="BW15" s="492">
        <v>192</v>
      </c>
      <c r="BX15" s="492">
        <v>67</v>
      </c>
      <c r="BY15" s="492"/>
      <c r="BZ15" s="492">
        <v>45</v>
      </c>
      <c r="CA15" s="493">
        <f t="shared" si="47"/>
        <v>462</v>
      </c>
      <c r="CB15" s="492">
        <v>35</v>
      </c>
      <c r="CC15" s="492">
        <v>50</v>
      </c>
      <c r="CD15" s="492"/>
      <c r="CE15" s="492"/>
      <c r="CF15" s="492"/>
      <c r="CG15" s="492">
        <v>39</v>
      </c>
      <c r="CH15" s="492">
        <v>53</v>
      </c>
      <c r="CI15" s="492">
        <v>156</v>
      </c>
      <c r="CJ15" s="492">
        <v>125</v>
      </c>
      <c r="CK15" s="492">
        <v>17</v>
      </c>
      <c r="CL15" s="492">
        <v>3</v>
      </c>
      <c r="CM15" s="492">
        <v>23</v>
      </c>
      <c r="CN15" s="493">
        <f t="shared" si="48"/>
        <v>501</v>
      </c>
      <c r="CO15" s="492">
        <v>5</v>
      </c>
      <c r="CP15" s="492"/>
      <c r="CQ15" s="492"/>
      <c r="CR15" s="492"/>
      <c r="CS15" s="492"/>
      <c r="CT15" s="492">
        <v>15</v>
      </c>
      <c r="CU15" s="492">
        <v>26</v>
      </c>
      <c r="CV15" s="492">
        <v>145</v>
      </c>
      <c r="CW15" s="492">
        <v>168</v>
      </c>
      <c r="CX15" s="492">
        <v>119</v>
      </c>
      <c r="CY15" s="492">
        <v>3</v>
      </c>
      <c r="CZ15" s="492"/>
      <c r="DA15" s="493">
        <f t="shared" si="49"/>
        <v>481</v>
      </c>
      <c r="DB15" s="492">
        <v>20</v>
      </c>
      <c r="DC15" s="492">
        <v>2</v>
      </c>
      <c r="DD15" s="492">
        <v>2</v>
      </c>
      <c r="DE15" s="492"/>
      <c r="DF15" s="492">
        <v>3</v>
      </c>
      <c r="DG15" s="492"/>
      <c r="DH15" s="492">
        <v>28</v>
      </c>
      <c r="DI15" s="492">
        <v>186.5</v>
      </c>
      <c r="DJ15" s="492">
        <v>424.5</v>
      </c>
      <c r="DK15" s="492">
        <v>222</v>
      </c>
      <c r="DL15" s="492">
        <v>26</v>
      </c>
      <c r="DM15" s="492">
        <v>15</v>
      </c>
      <c r="DN15" s="493">
        <f t="shared" si="50"/>
        <v>929</v>
      </c>
      <c r="DO15" s="492">
        <v>32</v>
      </c>
      <c r="DP15" s="492"/>
      <c r="DQ15" s="492"/>
      <c r="DR15" s="492"/>
      <c r="DS15" s="492"/>
      <c r="DT15" s="492"/>
      <c r="DU15" s="492">
        <v>8</v>
      </c>
      <c r="DV15" s="492">
        <v>140.5</v>
      </c>
      <c r="DW15" s="492">
        <v>214</v>
      </c>
      <c r="DX15" s="492">
        <v>110</v>
      </c>
      <c r="DY15" s="492">
        <v>21</v>
      </c>
      <c r="DZ15" s="492">
        <v>21</v>
      </c>
      <c r="EA15" s="493">
        <f t="shared" si="51"/>
        <v>546.5</v>
      </c>
      <c r="EB15" s="492">
        <v>15</v>
      </c>
      <c r="EC15" s="492"/>
      <c r="ED15" s="492"/>
      <c r="EE15" s="492"/>
      <c r="EF15" s="492"/>
      <c r="EG15" s="492"/>
      <c r="EH15" s="492">
        <v>9.5</v>
      </c>
      <c r="EI15" s="492">
        <v>184</v>
      </c>
      <c r="EJ15" s="492">
        <v>161</v>
      </c>
      <c r="EK15" s="492">
        <v>108</v>
      </c>
      <c r="EL15" s="492">
        <v>16</v>
      </c>
      <c r="EM15" s="492"/>
      <c r="EN15" s="493">
        <f t="shared" si="52"/>
        <v>493.5</v>
      </c>
      <c r="EO15" s="492"/>
      <c r="EP15" s="492"/>
      <c r="EQ15" s="492"/>
      <c r="ER15" s="492"/>
      <c r="ES15" s="492"/>
      <c r="ET15" s="492"/>
      <c r="EU15" s="492"/>
      <c r="EV15" s="492"/>
      <c r="EW15" s="492"/>
      <c r="EX15" s="492"/>
      <c r="EY15" s="492"/>
      <c r="EZ15" s="492"/>
      <c r="FA15" s="493">
        <f t="shared" si="53"/>
        <v>0</v>
      </c>
      <c r="FC15" s="560" cm="1">
        <f t="array" ref="FC15">IFERROR(((
_xlfn.XLOOKUP((DATE(YEAR($FC$5),MONTH($FC$5),1)),UCA.COSECHAS.DATE,$B15:$FA15) /
_xlfn.XLOOKUP((DATE(YEAR($FC$5)-1,MONTH($FC$5),1)),UCA.COSECHAS.DATE,$B15:$FA15)
)-1)*100,"")</f>
        <v>-19.23076923076923</v>
      </c>
      <c r="FD15" s="561">
        <f t="shared" si="54"/>
        <v>-42.505470459518605</v>
      </c>
      <c r="FE15" s="562" cm="1">
        <f t="array" ref="FE15">SUMIFS($B15:$FA15,UCA.COSECHAS.DATE,"&gt;="&amp;DATE(YEAR($FC$5)-1,1,1),UCA.COSECHAS.DATE,"&lt;="&amp;DATE(YEAR($FC$5)-1,MONTH($FC$5),1))</f>
        <v>914</v>
      </c>
      <c r="FF15" s="665" cm="1">
        <f t="array" ref="FF15">SUMIFS($B15:$FA15,UCA.COSECHAS.DATE,"&gt;="&amp;DATE(YEAR($FC$5),1,1),UCA.COSECHAS.DATE,"&lt;="&amp;$FC$5)</f>
        <v>525.5</v>
      </c>
      <c r="FG15" s="648"/>
      <c r="FH15" s="498">
        <f t="shared" si="55"/>
        <v>11180</v>
      </c>
      <c r="FI15" s="499" t="s">
        <v>624</v>
      </c>
      <c r="FJ15" s="500" t="str">
        <f t="shared" si="56"/>
        <v>OK</v>
      </c>
    </row>
    <row r="16" spans="1:166" ht="15" customHeight="1" x14ac:dyDescent="0.25">
      <c r="A16" s="650" t="s">
        <v>625</v>
      </c>
      <c r="B16" s="492">
        <v>26</v>
      </c>
      <c r="C16" s="492">
        <v>17</v>
      </c>
      <c r="D16" s="492"/>
      <c r="E16" s="492"/>
      <c r="F16" s="492"/>
      <c r="G16" s="492"/>
      <c r="H16" s="492">
        <v>107</v>
      </c>
      <c r="I16" s="492">
        <v>268</v>
      </c>
      <c r="J16" s="492">
        <v>627</v>
      </c>
      <c r="K16" s="492">
        <v>351</v>
      </c>
      <c r="L16" s="492">
        <v>398</v>
      </c>
      <c r="M16" s="492">
        <v>39</v>
      </c>
      <c r="N16" s="493">
        <f t="shared" si="42"/>
        <v>1833</v>
      </c>
      <c r="O16" s="492">
        <v>21</v>
      </c>
      <c r="P16" s="492">
        <v>6</v>
      </c>
      <c r="Q16" s="492"/>
      <c r="R16" s="492"/>
      <c r="S16" s="492"/>
      <c r="T16" s="492"/>
      <c r="U16" s="492"/>
      <c r="V16" s="492">
        <v>228</v>
      </c>
      <c r="W16" s="492">
        <v>466</v>
      </c>
      <c r="X16" s="492">
        <v>464</v>
      </c>
      <c r="Y16" s="492">
        <v>154</v>
      </c>
      <c r="Z16" s="492">
        <v>138</v>
      </c>
      <c r="AA16" s="493">
        <f t="shared" si="43"/>
        <v>1477</v>
      </c>
      <c r="AB16" s="492"/>
      <c r="AC16" s="492"/>
      <c r="AD16" s="492"/>
      <c r="AE16" s="492"/>
      <c r="AF16" s="492"/>
      <c r="AG16" s="492"/>
      <c r="AH16" s="492"/>
      <c r="AI16" s="492">
        <v>240</v>
      </c>
      <c r="AJ16" s="492">
        <v>570</v>
      </c>
      <c r="AK16" s="492">
        <v>504</v>
      </c>
      <c r="AL16" s="492">
        <v>38</v>
      </c>
      <c r="AM16" s="492"/>
      <c r="AN16" s="493">
        <f t="shared" si="44"/>
        <v>1352</v>
      </c>
      <c r="AO16" s="492">
        <v>3</v>
      </c>
      <c r="AP16" s="492"/>
      <c r="AQ16" s="492">
        <v>6</v>
      </c>
      <c r="AR16" s="492"/>
      <c r="AS16" s="492"/>
      <c r="AT16" s="492"/>
      <c r="AU16" s="492">
        <v>25</v>
      </c>
      <c r="AV16" s="492">
        <v>121</v>
      </c>
      <c r="AW16" s="492">
        <v>175</v>
      </c>
      <c r="AX16" s="492">
        <v>262</v>
      </c>
      <c r="AY16" s="492">
        <v>123</v>
      </c>
      <c r="AZ16" s="492">
        <v>67</v>
      </c>
      <c r="BA16" s="493">
        <f t="shared" si="45"/>
        <v>782</v>
      </c>
      <c r="BB16" s="492"/>
      <c r="BC16" s="492"/>
      <c r="BD16" s="492"/>
      <c r="BE16" s="492"/>
      <c r="BF16" s="492"/>
      <c r="BG16" s="492"/>
      <c r="BH16" s="492">
        <v>27</v>
      </c>
      <c r="BI16" s="492">
        <v>47</v>
      </c>
      <c r="BJ16" s="492">
        <v>116</v>
      </c>
      <c r="BK16" s="492">
        <v>230</v>
      </c>
      <c r="BL16" s="492">
        <v>181</v>
      </c>
      <c r="BM16" s="492">
        <v>85</v>
      </c>
      <c r="BN16" s="493">
        <f t="shared" si="46"/>
        <v>686</v>
      </c>
      <c r="BO16" s="492">
        <v>23</v>
      </c>
      <c r="BP16" s="492">
        <v>7</v>
      </c>
      <c r="BQ16" s="492"/>
      <c r="BR16" s="492">
        <v>7</v>
      </c>
      <c r="BS16" s="492"/>
      <c r="BT16" s="492"/>
      <c r="BU16" s="492"/>
      <c r="BV16" s="492">
        <v>166</v>
      </c>
      <c r="BW16" s="492">
        <v>166</v>
      </c>
      <c r="BX16" s="492">
        <v>125</v>
      </c>
      <c r="BY16" s="492">
        <v>32</v>
      </c>
      <c r="BZ16" s="492">
        <v>50</v>
      </c>
      <c r="CA16" s="493">
        <f t="shared" si="47"/>
        <v>576</v>
      </c>
      <c r="CB16" s="492">
        <v>69</v>
      </c>
      <c r="CC16" s="492">
        <v>46</v>
      </c>
      <c r="CD16" s="492">
        <v>25</v>
      </c>
      <c r="CE16" s="492"/>
      <c r="CF16" s="492"/>
      <c r="CG16" s="492"/>
      <c r="CH16" s="492">
        <v>86</v>
      </c>
      <c r="CI16" s="492">
        <v>109</v>
      </c>
      <c r="CJ16" s="492">
        <v>182</v>
      </c>
      <c r="CK16" s="492">
        <v>137</v>
      </c>
      <c r="CL16" s="492">
        <v>47</v>
      </c>
      <c r="CM16" s="492">
        <v>29</v>
      </c>
      <c r="CN16" s="493">
        <f t="shared" si="48"/>
        <v>730</v>
      </c>
      <c r="CO16" s="492">
        <v>22</v>
      </c>
      <c r="CP16" s="492">
        <v>34</v>
      </c>
      <c r="CQ16" s="492">
        <v>3</v>
      </c>
      <c r="CR16" s="492"/>
      <c r="CS16" s="492"/>
      <c r="CT16" s="492">
        <v>2</v>
      </c>
      <c r="CU16" s="492">
        <v>66</v>
      </c>
      <c r="CV16" s="492">
        <v>87</v>
      </c>
      <c r="CW16" s="492">
        <v>107</v>
      </c>
      <c r="CX16" s="492">
        <v>134</v>
      </c>
      <c r="CY16" s="492">
        <v>88</v>
      </c>
      <c r="CZ16" s="492">
        <v>43</v>
      </c>
      <c r="DA16" s="493">
        <f t="shared" si="49"/>
        <v>586</v>
      </c>
      <c r="DB16" s="492">
        <v>48</v>
      </c>
      <c r="DC16" s="492">
        <v>60</v>
      </c>
      <c r="DD16" s="492">
        <v>31</v>
      </c>
      <c r="DE16" s="492">
        <v>8</v>
      </c>
      <c r="DF16" s="492"/>
      <c r="DG16" s="492">
        <v>3</v>
      </c>
      <c r="DH16" s="492"/>
      <c r="DI16" s="492">
        <v>137</v>
      </c>
      <c r="DJ16" s="492">
        <v>140</v>
      </c>
      <c r="DK16" s="492">
        <v>221</v>
      </c>
      <c r="DL16" s="492">
        <v>98</v>
      </c>
      <c r="DM16" s="492"/>
      <c r="DN16" s="493">
        <f t="shared" si="50"/>
        <v>746</v>
      </c>
      <c r="DO16" s="492">
        <v>33</v>
      </c>
      <c r="DP16" s="492">
        <v>74</v>
      </c>
      <c r="DQ16" s="492"/>
      <c r="DR16" s="492"/>
      <c r="DS16" s="492"/>
      <c r="DT16" s="492"/>
      <c r="DU16" s="492"/>
      <c r="DV16" s="492">
        <v>9</v>
      </c>
      <c r="DW16" s="492">
        <v>216</v>
      </c>
      <c r="DX16" s="492">
        <v>278</v>
      </c>
      <c r="DY16" s="492">
        <v>98</v>
      </c>
      <c r="DZ16" s="492">
        <v>160</v>
      </c>
      <c r="EA16" s="493">
        <f t="shared" si="51"/>
        <v>868</v>
      </c>
      <c r="EB16" s="492">
        <v>137</v>
      </c>
      <c r="EC16" s="492">
        <v>31</v>
      </c>
      <c r="ED16" s="492">
        <v>15</v>
      </c>
      <c r="EE16" s="492"/>
      <c r="EF16" s="492"/>
      <c r="EG16" s="492"/>
      <c r="EH16" s="492"/>
      <c r="EI16" s="492">
        <v>8</v>
      </c>
      <c r="EJ16" s="492">
        <v>1454</v>
      </c>
      <c r="EK16" s="492">
        <v>242</v>
      </c>
      <c r="EL16" s="492">
        <v>162</v>
      </c>
      <c r="EM16" s="492"/>
      <c r="EN16" s="493">
        <f t="shared" si="52"/>
        <v>2049</v>
      </c>
      <c r="EO16" s="492"/>
      <c r="EP16" s="492"/>
      <c r="EQ16" s="492"/>
      <c r="ER16" s="492"/>
      <c r="ES16" s="492"/>
      <c r="ET16" s="492"/>
      <c r="EU16" s="492"/>
      <c r="EV16" s="492"/>
      <c r="EW16" s="492"/>
      <c r="EX16" s="492"/>
      <c r="EY16" s="492"/>
      <c r="EZ16" s="492"/>
      <c r="FA16" s="493">
        <f t="shared" si="53"/>
        <v>0</v>
      </c>
      <c r="FC16" s="560" cm="1">
        <f t="array" ref="FC16">IFERROR(((
_xlfn.XLOOKUP((DATE(YEAR($FC$5),MONTH($FC$5),1)),UCA.COSECHAS.DATE,$B16:$FA16) /
_xlfn.XLOOKUP((DATE(YEAR($FC$5)-1,MONTH($FC$5),1)),UCA.COSECHAS.DATE,$B16:$FA16)
)-1)*100,"")</f>
        <v>0</v>
      </c>
      <c r="FD16" s="561">
        <f t="shared" si="54"/>
        <v>-5.0938337801608613</v>
      </c>
      <c r="FE16" s="562" cm="1">
        <f t="array" ref="FE16">SUMIFS($B16:$FA16,UCA.COSECHAS.DATE,"&gt;="&amp;DATE(YEAR($FC$5)-1,1,1),UCA.COSECHAS.DATE,"&lt;="&amp;DATE(YEAR($FC$5)-1,MONTH($FC$5),1))</f>
        <v>746</v>
      </c>
      <c r="FF16" s="665" cm="1">
        <f t="array" ref="FF16">SUMIFS($B16:$FA16,UCA.COSECHAS.DATE,"&gt;="&amp;DATE(YEAR($FC$5),1,1),UCA.COSECHAS.DATE,"&lt;="&amp;$FC$5)</f>
        <v>708</v>
      </c>
      <c r="FG16" s="648"/>
      <c r="FH16" s="498">
        <f t="shared" si="55"/>
        <v>23370</v>
      </c>
      <c r="FI16" s="499" t="s">
        <v>625</v>
      </c>
      <c r="FJ16" s="500" t="str">
        <f t="shared" si="56"/>
        <v>OK</v>
      </c>
    </row>
    <row r="17" spans="1:166" ht="15" customHeight="1" x14ac:dyDescent="0.25">
      <c r="A17" s="650" t="s">
        <v>171</v>
      </c>
      <c r="B17" s="492"/>
      <c r="C17" s="492"/>
      <c r="D17" s="492"/>
      <c r="E17" s="492"/>
      <c r="F17" s="492"/>
      <c r="G17" s="492"/>
      <c r="H17" s="492"/>
      <c r="I17" s="492"/>
      <c r="J17" s="492"/>
      <c r="K17" s="492"/>
      <c r="L17" s="492"/>
      <c r="M17" s="492">
        <v>1170</v>
      </c>
      <c r="N17" s="493">
        <f t="shared" si="42"/>
        <v>1170</v>
      </c>
      <c r="O17" s="492"/>
      <c r="P17" s="492"/>
      <c r="Q17" s="492"/>
      <c r="R17" s="492"/>
      <c r="S17" s="492"/>
      <c r="T17" s="492"/>
      <c r="U17" s="492"/>
      <c r="V17" s="492"/>
      <c r="W17" s="492"/>
      <c r="X17" s="492"/>
      <c r="Y17" s="492"/>
      <c r="Z17" s="492">
        <v>1076</v>
      </c>
      <c r="AA17" s="493">
        <f t="shared" si="43"/>
        <v>1076</v>
      </c>
      <c r="AB17" s="492"/>
      <c r="AC17" s="492"/>
      <c r="AD17" s="492"/>
      <c r="AE17" s="492"/>
      <c r="AF17" s="492"/>
      <c r="AG17" s="492"/>
      <c r="AH17" s="492"/>
      <c r="AI17" s="492"/>
      <c r="AJ17" s="492"/>
      <c r="AK17" s="492"/>
      <c r="AL17" s="492"/>
      <c r="AM17" s="492">
        <v>1156</v>
      </c>
      <c r="AN17" s="493">
        <f t="shared" si="44"/>
        <v>1156</v>
      </c>
      <c r="AO17" s="492"/>
      <c r="AP17" s="492"/>
      <c r="AQ17" s="492"/>
      <c r="AR17" s="492"/>
      <c r="AS17" s="492"/>
      <c r="AT17" s="492"/>
      <c r="AU17" s="492"/>
      <c r="AV17" s="492"/>
      <c r="AW17" s="492"/>
      <c r="AX17" s="492"/>
      <c r="AY17" s="492"/>
      <c r="AZ17" s="492">
        <v>1192</v>
      </c>
      <c r="BA17" s="493">
        <f t="shared" si="45"/>
        <v>1192</v>
      </c>
      <c r="BB17" s="492"/>
      <c r="BC17" s="492"/>
      <c r="BD17" s="492"/>
      <c r="BE17" s="492"/>
      <c r="BF17" s="492"/>
      <c r="BG17" s="492"/>
      <c r="BH17" s="492"/>
      <c r="BI17" s="492"/>
      <c r="BJ17" s="492"/>
      <c r="BK17" s="492"/>
      <c r="BL17" s="492"/>
      <c r="BM17" s="492">
        <v>1004</v>
      </c>
      <c r="BN17" s="493">
        <f t="shared" si="46"/>
        <v>1004</v>
      </c>
      <c r="BO17" s="492"/>
      <c r="BP17" s="492"/>
      <c r="BQ17" s="492"/>
      <c r="BR17" s="492"/>
      <c r="BS17" s="492"/>
      <c r="BT17" s="492"/>
      <c r="BU17" s="492"/>
      <c r="BV17" s="492"/>
      <c r="BW17" s="492"/>
      <c r="BX17" s="492"/>
      <c r="BY17" s="492"/>
      <c r="BZ17" s="492">
        <v>1408</v>
      </c>
      <c r="CA17" s="493">
        <f t="shared" si="47"/>
        <v>1408</v>
      </c>
      <c r="CB17" s="492"/>
      <c r="CC17" s="492"/>
      <c r="CD17" s="492"/>
      <c r="CE17" s="492"/>
      <c r="CF17" s="492"/>
      <c r="CG17" s="492"/>
      <c r="CH17" s="492"/>
      <c r="CI17" s="492"/>
      <c r="CJ17" s="492"/>
      <c r="CK17" s="492"/>
      <c r="CL17" s="492"/>
      <c r="CM17" s="492">
        <v>1480</v>
      </c>
      <c r="CN17" s="493">
        <f t="shared" si="48"/>
        <v>1480</v>
      </c>
      <c r="CO17" s="492"/>
      <c r="CP17" s="492"/>
      <c r="CQ17" s="492"/>
      <c r="CR17" s="492"/>
      <c r="CS17" s="492"/>
      <c r="CT17" s="492"/>
      <c r="CU17" s="492"/>
      <c r="CV17" s="492"/>
      <c r="CW17" s="492"/>
      <c r="CX17" s="492"/>
      <c r="CY17" s="492"/>
      <c r="CZ17" s="492">
        <v>1522</v>
      </c>
      <c r="DA17" s="493">
        <f t="shared" si="49"/>
        <v>1522</v>
      </c>
      <c r="DB17" s="492"/>
      <c r="DC17" s="492"/>
      <c r="DD17" s="492"/>
      <c r="DE17" s="492"/>
      <c r="DF17" s="492"/>
      <c r="DG17" s="492"/>
      <c r="DH17" s="492"/>
      <c r="DI17" s="492"/>
      <c r="DJ17" s="492"/>
      <c r="DK17" s="492"/>
      <c r="DL17" s="492"/>
      <c r="DM17" s="492">
        <v>1624</v>
      </c>
      <c r="DN17" s="493">
        <f t="shared" si="50"/>
        <v>1624</v>
      </c>
      <c r="DO17" s="492"/>
      <c r="DP17" s="492"/>
      <c r="DQ17" s="492"/>
      <c r="DR17" s="492"/>
      <c r="DS17" s="492"/>
      <c r="DT17" s="492"/>
      <c r="DU17" s="492"/>
      <c r="DV17" s="492"/>
      <c r="DW17" s="492"/>
      <c r="DX17" s="492"/>
      <c r="DY17" s="492"/>
      <c r="DZ17" s="492">
        <v>908</v>
      </c>
      <c r="EA17" s="493">
        <f t="shared" si="51"/>
        <v>908</v>
      </c>
      <c r="EB17" s="492"/>
      <c r="EC17" s="492"/>
      <c r="ED17" s="492"/>
      <c r="EE17" s="492"/>
      <c r="EF17" s="492"/>
      <c r="EG17" s="492"/>
      <c r="EH17" s="492"/>
      <c r="EI17" s="492"/>
      <c r="EJ17" s="492"/>
      <c r="EK17" s="492"/>
      <c r="EL17" s="492"/>
      <c r="EM17" s="492"/>
      <c r="EN17" s="493">
        <f t="shared" si="52"/>
        <v>0</v>
      </c>
      <c r="EO17" s="492"/>
      <c r="EP17" s="492"/>
      <c r="EQ17" s="492"/>
      <c r="ER17" s="492"/>
      <c r="ES17" s="492"/>
      <c r="ET17" s="492"/>
      <c r="EU17" s="492"/>
      <c r="EV17" s="492"/>
      <c r="EW17" s="492"/>
      <c r="EX17" s="492"/>
      <c r="EY17" s="492"/>
      <c r="EZ17" s="492"/>
      <c r="FA17" s="493">
        <f t="shared" si="53"/>
        <v>0</v>
      </c>
      <c r="FC17" s="560" t="str" cm="1">
        <f t="array" ref="FC17">IFERROR(((
_xlfn.XLOOKUP((DATE(YEAR($FC$5),MONTH($FC$5),1)),UCA.COSECHAS.DATE,$B17:$FA17) /
_xlfn.XLOOKUP((DATE(YEAR($FC$5)-1,MONTH($FC$5),1)),UCA.COSECHAS.DATE,$B17:$FA17)
)-1)*100,"")</f>
        <v/>
      </c>
      <c r="FD17" s="561" t="str">
        <f t="shared" si="54"/>
        <v/>
      </c>
      <c r="FE17" s="562" cm="1">
        <f t="array" ref="FE17">SUMIFS($B17:$FA17,UCA.COSECHAS.DATE,"&gt;="&amp;DATE(YEAR($FC$5)-1,1,1),UCA.COSECHAS.DATE,"&lt;="&amp;DATE(YEAR($FC$5)-1,MONTH($FC$5),1))</f>
        <v>0</v>
      </c>
      <c r="FF17" s="665" cm="1">
        <f t="array" ref="FF17">SUMIFS($B17:$FA17,UCA.COSECHAS.DATE,"&gt;="&amp;DATE(YEAR($FC$5),1,1),UCA.COSECHAS.DATE,"&lt;="&amp;$FC$5)</f>
        <v>0</v>
      </c>
      <c r="FG17" s="648"/>
      <c r="FH17" s="498">
        <f t="shared" si="55"/>
        <v>25080</v>
      </c>
      <c r="FI17" s="499" t="s">
        <v>626</v>
      </c>
      <c r="FJ17" s="500" t="str">
        <f t="shared" si="56"/>
        <v>VER</v>
      </c>
    </row>
    <row r="18" spans="1:166" ht="15" customHeight="1" x14ac:dyDescent="0.25">
      <c r="A18" s="650" t="s">
        <v>181</v>
      </c>
      <c r="B18" s="492">
        <v>1659</v>
      </c>
      <c r="C18" s="492">
        <v>1217</v>
      </c>
      <c r="D18" s="492">
        <v>1035</v>
      </c>
      <c r="E18" s="492">
        <v>1028</v>
      </c>
      <c r="F18" s="492">
        <v>610</v>
      </c>
      <c r="G18" s="492">
        <v>468</v>
      </c>
      <c r="H18" s="492">
        <v>349</v>
      </c>
      <c r="I18" s="492">
        <v>493</v>
      </c>
      <c r="J18" s="492">
        <v>940</v>
      </c>
      <c r="K18" s="492">
        <v>1364</v>
      </c>
      <c r="L18" s="492">
        <v>1913</v>
      </c>
      <c r="M18" s="492">
        <v>1615</v>
      </c>
      <c r="N18" s="493">
        <f t="shared" si="42"/>
        <v>12691</v>
      </c>
      <c r="O18" s="492">
        <v>1927</v>
      </c>
      <c r="P18" s="492">
        <v>1389</v>
      </c>
      <c r="Q18" s="492">
        <v>926</v>
      </c>
      <c r="R18" s="492">
        <v>685</v>
      </c>
      <c r="S18" s="492">
        <v>478</v>
      </c>
      <c r="T18" s="492">
        <v>381</v>
      </c>
      <c r="U18" s="492">
        <v>166</v>
      </c>
      <c r="V18" s="492">
        <v>586</v>
      </c>
      <c r="W18" s="492">
        <v>776</v>
      </c>
      <c r="X18" s="492">
        <v>2051</v>
      </c>
      <c r="Y18" s="492">
        <v>937</v>
      </c>
      <c r="Z18" s="492">
        <v>1127</v>
      </c>
      <c r="AA18" s="493">
        <f t="shared" si="43"/>
        <v>11429</v>
      </c>
      <c r="AB18" s="492">
        <v>1728</v>
      </c>
      <c r="AC18" s="492">
        <v>1424</v>
      </c>
      <c r="AD18" s="492">
        <v>683</v>
      </c>
      <c r="AE18" s="492">
        <v>342</v>
      </c>
      <c r="AF18" s="492">
        <v>283</v>
      </c>
      <c r="AG18" s="492">
        <v>333</v>
      </c>
      <c r="AH18" s="492">
        <v>219</v>
      </c>
      <c r="AI18" s="492">
        <v>837</v>
      </c>
      <c r="AJ18" s="492">
        <v>1717</v>
      </c>
      <c r="AK18" s="492">
        <v>3684</v>
      </c>
      <c r="AL18" s="492">
        <v>1055</v>
      </c>
      <c r="AM18" s="492">
        <v>1307</v>
      </c>
      <c r="AN18" s="493">
        <f t="shared" si="44"/>
        <v>13612</v>
      </c>
      <c r="AO18" s="492">
        <v>1596</v>
      </c>
      <c r="AP18" s="492">
        <v>1208</v>
      </c>
      <c r="AQ18" s="492">
        <v>747</v>
      </c>
      <c r="AR18" s="492">
        <v>551</v>
      </c>
      <c r="AS18" s="492">
        <v>324</v>
      </c>
      <c r="AT18" s="492">
        <v>256</v>
      </c>
      <c r="AU18" s="492">
        <v>246</v>
      </c>
      <c r="AV18" s="492">
        <v>704</v>
      </c>
      <c r="AW18" s="492">
        <v>1107</v>
      </c>
      <c r="AX18" s="492">
        <v>1938</v>
      </c>
      <c r="AY18" s="492">
        <v>1376</v>
      </c>
      <c r="AZ18" s="492">
        <v>1104</v>
      </c>
      <c r="BA18" s="493">
        <f t="shared" si="45"/>
        <v>11157</v>
      </c>
      <c r="BB18" s="492">
        <v>1592</v>
      </c>
      <c r="BC18" s="492">
        <v>1187</v>
      </c>
      <c r="BD18" s="492">
        <v>828</v>
      </c>
      <c r="BE18" s="492">
        <v>535</v>
      </c>
      <c r="BF18" s="492">
        <v>298</v>
      </c>
      <c r="BG18" s="492">
        <v>189</v>
      </c>
      <c r="BH18" s="492">
        <v>472</v>
      </c>
      <c r="BI18" s="492">
        <v>660</v>
      </c>
      <c r="BJ18" s="492">
        <v>1064</v>
      </c>
      <c r="BK18" s="492">
        <v>1253</v>
      </c>
      <c r="BL18" s="492">
        <v>1083</v>
      </c>
      <c r="BM18" s="492">
        <v>1558</v>
      </c>
      <c r="BN18" s="493">
        <f t="shared" si="46"/>
        <v>10719</v>
      </c>
      <c r="BO18" s="492">
        <v>1573</v>
      </c>
      <c r="BP18" s="492">
        <v>1008</v>
      </c>
      <c r="BQ18" s="492">
        <v>691</v>
      </c>
      <c r="BR18" s="492">
        <v>695</v>
      </c>
      <c r="BS18" s="492">
        <v>673</v>
      </c>
      <c r="BT18" s="492">
        <v>403</v>
      </c>
      <c r="BU18" s="492">
        <v>222</v>
      </c>
      <c r="BV18" s="492">
        <v>1082</v>
      </c>
      <c r="BW18" s="492">
        <v>861</v>
      </c>
      <c r="BX18" s="492">
        <v>1151</v>
      </c>
      <c r="BY18" s="492">
        <v>733</v>
      </c>
      <c r="BZ18" s="492">
        <v>806</v>
      </c>
      <c r="CA18" s="493">
        <f t="shared" si="47"/>
        <v>9898</v>
      </c>
      <c r="CB18" s="492">
        <v>1432</v>
      </c>
      <c r="CC18" s="492">
        <v>1216</v>
      </c>
      <c r="CD18" s="492">
        <v>642</v>
      </c>
      <c r="CE18" s="492">
        <v>355</v>
      </c>
      <c r="CF18" s="492">
        <v>160</v>
      </c>
      <c r="CG18" s="492">
        <v>105</v>
      </c>
      <c r="CH18" s="492">
        <v>120</v>
      </c>
      <c r="CI18" s="492">
        <v>358</v>
      </c>
      <c r="CJ18" s="492">
        <v>702</v>
      </c>
      <c r="CK18" s="492">
        <v>795</v>
      </c>
      <c r="CL18" s="492">
        <v>337</v>
      </c>
      <c r="CM18" s="492">
        <v>1646</v>
      </c>
      <c r="CN18" s="493">
        <f t="shared" si="48"/>
        <v>7868</v>
      </c>
      <c r="CO18" s="492">
        <v>1885</v>
      </c>
      <c r="CP18" s="492">
        <v>1077</v>
      </c>
      <c r="CQ18" s="492">
        <v>931</v>
      </c>
      <c r="CR18" s="492">
        <v>166</v>
      </c>
      <c r="CS18" s="492">
        <v>148</v>
      </c>
      <c r="CT18" s="492">
        <v>90</v>
      </c>
      <c r="CU18" s="492">
        <v>97</v>
      </c>
      <c r="CV18" s="492">
        <v>311</v>
      </c>
      <c r="CW18" s="492">
        <v>538</v>
      </c>
      <c r="CX18" s="492">
        <v>891</v>
      </c>
      <c r="CY18" s="492">
        <v>897</v>
      </c>
      <c r="CZ18" s="492">
        <v>2282</v>
      </c>
      <c r="DA18" s="493">
        <f t="shared" si="49"/>
        <v>9313</v>
      </c>
      <c r="DB18" s="492">
        <v>2480</v>
      </c>
      <c r="DC18" s="492">
        <v>1369</v>
      </c>
      <c r="DD18" s="492">
        <v>469</v>
      </c>
      <c r="DE18" s="492">
        <v>827</v>
      </c>
      <c r="DF18" s="492">
        <v>386</v>
      </c>
      <c r="DG18" s="492">
        <v>361</v>
      </c>
      <c r="DH18" s="492">
        <v>231</v>
      </c>
      <c r="DI18" s="492">
        <v>346</v>
      </c>
      <c r="DJ18" s="492">
        <v>1629</v>
      </c>
      <c r="DK18" s="492">
        <v>1322</v>
      </c>
      <c r="DL18" s="492">
        <v>909</v>
      </c>
      <c r="DM18" s="492">
        <v>430</v>
      </c>
      <c r="DN18" s="493">
        <f t="shared" si="50"/>
        <v>10759</v>
      </c>
      <c r="DO18" s="492">
        <v>895</v>
      </c>
      <c r="DP18" s="492">
        <v>1270</v>
      </c>
      <c r="DQ18" s="492">
        <v>1038</v>
      </c>
      <c r="DR18" s="492">
        <v>306</v>
      </c>
      <c r="DS18" s="492">
        <v>91</v>
      </c>
      <c r="DT18" s="492">
        <v>311</v>
      </c>
      <c r="DU18" s="492">
        <v>257</v>
      </c>
      <c r="DV18" s="492">
        <v>296</v>
      </c>
      <c r="DW18" s="492">
        <v>1684</v>
      </c>
      <c r="DX18" s="492">
        <v>2801</v>
      </c>
      <c r="DY18" s="492">
        <v>1945</v>
      </c>
      <c r="DZ18" s="492">
        <v>3115</v>
      </c>
      <c r="EA18" s="493">
        <f t="shared" si="51"/>
        <v>14009</v>
      </c>
      <c r="EB18" s="492">
        <v>3566</v>
      </c>
      <c r="EC18" s="492">
        <v>1941</v>
      </c>
      <c r="ED18" s="492">
        <v>1087</v>
      </c>
      <c r="EE18" s="492">
        <v>195</v>
      </c>
      <c r="EF18" s="492">
        <v>100</v>
      </c>
      <c r="EG18" s="492">
        <v>165</v>
      </c>
      <c r="EH18" s="492">
        <v>151</v>
      </c>
      <c r="EI18" s="492">
        <v>313</v>
      </c>
      <c r="EJ18" s="492">
        <v>1827</v>
      </c>
      <c r="EK18" s="492">
        <v>1370</v>
      </c>
      <c r="EL18" s="492">
        <v>1084</v>
      </c>
      <c r="EM18" s="492"/>
      <c r="EN18" s="493">
        <f t="shared" si="52"/>
        <v>11799</v>
      </c>
      <c r="EO18" s="492"/>
      <c r="EP18" s="492"/>
      <c r="EQ18" s="492"/>
      <c r="ER18" s="492"/>
      <c r="ES18" s="492"/>
      <c r="ET18" s="492"/>
      <c r="EU18" s="492"/>
      <c r="EV18" s="492"/>
      <c r="EW18" s="492"/>
      <c r="EX18" s="492"/>
      <c r="EY18" s="492"/>
      <c r="EZ18" s="492"/>
      <c r="FA18" s="493">
        <f t="shared" si="53"/>
        <v>0</v>
      </c>
      <c r="FC18" s="560" cm="1">
        <f t="array" ref="FC18">IFERROR(((
_xlfn.XLOOKUP((DATE(YEAR($FC$5),MONTH($FC$5),1)),UCA.COSECHAS.DATE,$B18:$FA18) /
_xlfn.XLOOKUP((DATE(YEAR($FC$5)-1,MONTH($FC$5),1)),UCA.COSECHAS.DATE,$B18:$FA18)
)-1)*100,"")</f>
        <v>113.97139713971396</v>
      </c>
      <c r="FD18" s="561">
        <f t="shared" si="54"/>
        <v>5.4700358214735179</v>
      </c>
      <c r="FE18" s="562" cm="1">
        <f t="array" ref="FE18">SUMIFS($B18:$FA18,UCA.COSECHAS.DATE,"&gt;="&amp;DATE(YEAR($FC$5)-1,1,1),UCA.COSECHAS.DATE,"&lt;="&amp;DATE(YEAR($FC$5)-1,MONTH($FC$5),1))</f>
        <v>10329</v>
      </c>
      <c r="FF18" s="665" cm="1">
        <f t="array" ref="FF18">SUMIFS($B18:$FA18,UCA.COSECHAS.DATE,"&gt;="&amp;DATE(YEAR($FC$5),1,1),UCA.COSECHAS.DATE,"&lt;="&amp;$FC$5)</f>
        <v>10894</v>
      </c>
      <c r="FG18" s="648"/>
      <c r="FH18" s="498">
        <f t="shared" si="55"/>
        <v>246508</v>
      </c>
      <c r="FI18" s="499" t="s">
        <v>181</v>
      </c>
      <c r="FJ18" s="500" t="str">
        <f t="shared" si="56"/>
        <v>OK</v>
      </c>
    </row>
    <row r="19" spans="1:166" ht="15" customHeight="1" x14ac:dyDescent="0.25">
      <c r="A19" s="650" t="s">
        <v>174</v>
      </c>
      <c r="B19" s="492"/>
      <c r="C19" s="492"/>
      <c r="D19" s="492"/>
      <c r="E19" s="492"/>
      <c r="F19" s="492"/>
      <c r="G19" s="492"/>
      <c r="H19" s="492"/>
      <c r="I19" s="492"/>
      <c r="J19" s="492"/>
      <c r="K19" s="492"/>
      <c r="L19" s="492"/>
      <c r="M19" s="492">
        <v>619</v>
      </c>
      <c r="N19" s="493">
        <f t="shared" si="42"/>
        <v>619</v>
      </c>
      <c r="O19" s="492"/>
      <c r="P19" s="492"/>
      <c r="Q19" s="492"/>
      <c r="R19" s="492"/>
      <c r="S19" s="492"/>
      <c r="T19" s="492"/>
      <c r="U19" s="492"/>
      <c r="V19" s="492"/>
      <c r="W19" s="492"/>
      <c r="X19" s="492"/>
      <c r="Y19" s="492"/>
      <c r="Z19" s="492">
        <v>608</v>
      </c>
      <c r="AA19" s="493">
        <f t="shared" si="43"/>
        <v>608</v>
      </c>
      <c r="AB19" s="492"/>
      <c r="AC19" s="492"/>
      <c r="AD19" s="492"/>
      <c r="AE19" s="492"/>
      <c r="AF19" s="492"/>
      <c r="AG19" s="492"/>
      <c r="AH19" s="492"/>
      <c r="AI19" s="492"/>
      <c r="AJ19" s="492"/>
      <c r="AK19" s="492"/>
      <c r="AL19" s="492"/>
      <c r="AM19" s="492">
        <v>616</v>
      </c>
      <c r="AN19" s="493">
        <f t="shared" si="44"/>
        <v>616</v>
      </c>
      <c r="AO19" s="492"/>
      <c r="AP19" s="492"/>
      <c r="AQ19" s="492"/>
      <c r="AR19" s="492"/>
      <c r="AS19" s="492"/>
      <c r="AT19" s="492"/>
      <c r="AU19" s="492"/>
      <c r="AV19" s="492"/>
      <c r="AW19" s="492"/>
      <c r="AX19" s="492"/>
      <c r="AY19" s="492"/>
      <c r="AZ19" s="492">
        <v>609</v>
      </c>
      <c r="BA19" s="493">
        <f t="shared" si="45"/>
        <v>609</v>
      </c>
      <c r="BB19" s="492"/>
      <c r="BC19" s="492"/>
      <c r="BD19" s="492"/>
      <c r="BE19" s="492"/>
      <c r="BF19" s="492"/>
      <c r="BG19" s="492"/>
      <c r="BH19" s="492"/>
      <c r="BI19" s="492"/>
      <c r="BJ19" s="492"/>
      <c r="BK19" s="492"/>
      <c r="BL19" s="492"/>
      <c r="BM19" s="492">
        <v>533</v>
      </c>
      <c r="BN19" s="493">
        <f t="shared" si="46"/>
        <v>533</v>
      </c>
      <c r="BO19" s="492"/>
      <c r="BP19" s="492"/>
      <c r="BQ19" s="492"/>
      <c r="BR19" s="492"/>
      <c r="BS19" s="492"/>
      <c r="BT19" s="492"/>
      <c r="BU19" s="492"/>
      <c r="BV19" s="492"/>
      <c r="BW19" s="492"/>
      <c r="BX19" s="492"/>
      <c r="BY19" s="492"/>
      <c r="BZ19" s="492">
        <v>672</v>
      </c>
      <c r="CA19" s="493">
        <f t="shared" si="47"/>
        <v>672</v>
      </c>
      <c r="CB19" s="492"/>
      <c r="CC19" s="492"/>
      <c r="CD19" s="492"/>
      <c r="CE19" s="492"/>
      <c r="CF19" s="492"/>
      <c r="CG19" s="492"/>
      <c r="CH19" s="492"/>
      <c r="CI19" s="492"/>
      <c r="CJ19" s="492"/>
      <c r="CK19" s="492"/>
      <c r="CL19" s="492"/>
      <c r="CM19" s="492">
        <v>729</v>
      </c>
      <c r="CN19" s="493">
        <f t="shared" si="48"/>
        <v>729</v>
      </c>
      <c r="CO19" s="492"/>
      <c r="CP19" s="492"/>
      <c r="CQ19" s="492"/>
      <c r="CR19" s="492"/>
      <c r="CS19" s="492"/>
      <c r="CT19" s="492"/>
      <c r="CU19" s="492"/>
      <c r="CV19" s="492"/>
      <c r="CW19" s="492"/>
      <c r="CX19" s="492"/>
      <c r="CY19" s="492"/>
      <c r="CZ19" s="492">
        <v>736</v>
      </c>
      <c r="DA19" s="493">
        <f t="shared" si="49"/>
        <v>736</v>
      </c>
      <c r="DB19" s="492"/>
      <c r="DC19" s="492"/>
      <c r="DD19" s="492"/>
      <c r="DE19" s="492"/>
      <c r="DF19" s="492"/>
      <c r="DG19" s="492"/>
      <c r="DH19" s="492"/>
      <c r="DI19" s="492"/>
      <c r="DJ19" s="492"/>
      <c r="DK19" s="492"/>
      <c r="DL19" s="492"/>
      <c r="DM19" s="492">
        <v>790</v>
      </c>
      <c r="DN19" s="493">
        <f t="shared" si="50"/>
        <v>790</v>
      </c>
      <c r="DO19" s="492"/>
      <c r="DP19" s="492"/>
      <c r="DQ19" s="492"/>
      <c r="DR19" s="492"/>
      <c r="DS19" s="492"/>
      <c r="DT19" s="492"/>
      <c r="DU19" s="492"/>
      <c r="DV19" s="492"/>
      <c r="DW19" s="492"/>
      <c r="DX19" s="492"/>
      <c r="DY19" s="492"/>
      <c r="DZ19" s="492">
        <v>520</v>
      </c>
      <c r="EA19" s="493">
        <f t="shared" si="51"/>
        <v>520</v>
      </c>
      <c r="EB19" s="492"/>
      <c r="EC19" s="492"/>
      <c r="ED19" s="492"/>
      <c r="EE19" s="492"/>
      <c r="EF19" s="492"/>
      <c r="EG19" s="492"/>
      <c r="EH19" s="492"/>
      <c r="EI19" s="492"/>
      <c r="EJ19" s="492"/>
      <c r="EK19" s="492"/>
      <c r="EL19" s="492"/>
      <c r="EM19" s="492"/>
      <c r="EN19" s="493">
        <f t="shared" si="52"/>
        <v>0</v>
      </c>
      <c r="EO19" s="492"/>
      <c r="EP19" s="492"/>
      <c r="EQ19" s="492"/>
      <c r="ER19" s="492"/>
      <c r="ES19" s="492"/>
      <c r="ET19" s="492"/>
      <c r="EU19" s="492"/>
      <c r="EV19" s="492"/>
      <c r="EW19" s="492"/>
      <c r="EX19" s="492"/>
      <c r="EY19" s="492"/>
      <c r="EZ19" s="492"/>
      <c r="FA19" s="493">
        <f t="shared" si="53"/>
        <v>0</v>
      </c>
      <c r="FC19" s="560" t="str" cm="1">
        <f t="array" ref="FC19">IFERROR(((
_xlfn.XLOOKUP((DATE(YEAR($FC$5),MONTH($FC$5),1)),UCA.COSECHAS.DATE,$B19:$FA19) /
_xlfn.XLOOKUP((DATE(YEAR($FC$5)-1,MONTH($FC$5),1)),UCA.COSECHAS.DATE,$B19:$FA19)
)-1)*100,"")</f>
        <v/>
      </c>
      <c r="FD19" s="561" t="str">
        <f t="shared" si="54"/>
        <v/>
      </c>
      <c r="FE19" s="562" cm="1">
        <f t="array" ref="FE19">SUMIFS($B19:$FA19,UCA.COSECHAS.DATE,"&gt;="&amp;DATE(YEAR($FC$5)-1,1,1),UCA.COSECHAS.DATE,"&lt;="&amp;DATE(YEAR($FC$5)-1,MONTH($FC$5),1))</f>
        <v>0</v>
      </c>
      <c r="FF19" s="665" cm="1">
        <f t="array" ref="FF19">SUMIFS($B19:$FA19,UCA.COSECHAS.DATE,"&gt;="&amp;DATE(YEAR($FC$5),1,1),UCA.COSECHAS.DATE,"&lt;="&amp;$FC$5)</f>
        <v>0</v>
      </c>
      <c r="FG19" s="648"/>
      <c r="FH19" s="498">
        <f t="shared" si="55"/>
        <v>12864</v>
      </c>
      <c r="FI19" s="499" t="s">
        <v>174</v>
      </c>
      <c r="FJ19" s="500" t="str">
        <f t="shared" si="56"/>
        <v>OK</v>
      </c>
    </row>
    <row r="20" spans="1:166" ht="15" customHeight="1" x14ac:dyDescent="0.25">
      <c r="A20" s="650" t="s">
        <v>176</v>
      </c>
      <c r="B20" s="492"/>
      <c r="C20" s="492"/>
      <c r="D20" s="492"/>
      <c r="E20" s="492"/>
      <c r="F20" s="492"/>
      <c r="G20" s="492"/>
      <c r="H20" s="492"/>
      <c r="I20" s="492"/>
      <c r="J20" s="492"/>
      <c r="K20" s="492"/>
      <c r="L20" s="492"/>
      <c r="M20" s="492">
        <v>506</v>
      </c>
      <c r="N20" s="493">
        <f t="shared" si="42"/>
        <v>506</v>
      </c>
      <c r="O20" s="492"/>
      <c r="P20" s="492"/>
      <c r="Q20" s="492"/>
      <c r="R20" s="492"/>
      <c r="S20" s="492"/>
      <c r="T20" s="492"/>
      <c r="U20" s="492"/>
      <c r="V20" s="492"/>
      <c r="W20" s="492"/>
      <c r="X20" s="492"/>
      <c r="Y20" s="492"/>
      <c r="Z20" s="492">
        <v>504</v>
      </c>
      <c r="AA20" s="493">
        <f t="shared" si="43"/>
        <v>504</v>
      </c>
      <c r="AB20" s="492"/>
      <c r="AC20" s="492"/>
      <c r="AD20" s="492"/>
      <c r="AE20" s="492"/>
      <c r="AF20" s="492"/>
      <c r="AG20" s="492"/>
      <c r="AH20" s="492"/>
      <c r="AI20" s="492"/>
      <c r="AJ20" s="492"/>
      <c r="AK20" s="492"/>
      <c r="AL20" s="492"/>
      <c r="AM20" s="492">
        <v>456</v>
      </c>
      <c r="AN20" s="493">
        <f t="shared" si="44"/>
        <v>456</v>
      </c>
      <c r="AO20" s="492"/>
      <c r="AP20" s="492"/>
      <c r="AQ20" s="492"/>
      <c r="AR20" s="492"/>
      <c r="AS20" s="492"/>
      <c r="AT20" s="492"/>
      <c r="AU20" s="492"/>
      <c r="AV20" s="492"/>
      <c r="AW20" s="492"/>
      <c r="AX20" s="492"/>
      <c r="AY20" s="492"/>
      <c r="AZ20" s="492">
        <v>474</v>
      </c>
      <c r="BA20" s="493">
        <f t="shared" si="45"/>
        <v>474</v>
      </c>
      <c r="BB20" s="492"/>
      <c r="BC20" s="492"/>
      <c r="BD20" s="492"/>
      <c r="BE20" s="492"/>
      <c r="BF20" s="492"/>
      <c r="BG20" s="492"/>
      <c r="BH20" s="492"/>
      <c r="BI20" s="492"/>
      <c r="BJ20" s="492"/>
      <c r="BK20" s="492"/>
      <c r="BL20" s="492"/>
      <c r="BM20" s="492">
        <v>313</v>
      </c>
      <c r="BN20" s="493">
        <f t="shared" si="46"/>
        <v>313</v>
      </c>
      <c r="BO20" s="492"/>
      <c r="BP20" s="492"/>
      <c r="BQ20" s="492"/>
      <c r="BR20" s="492"/>
      <c r="BS20" s="492"/>
      <c r="BT20" s="492"/>
      <c r="BU20" s="492"/>
      <c r="BV20" s="492"/>
      <c r="BW20" s="492"/>
      <c r="BX20" s="492"/>
      <c r="BY20" s="492"/>
      <c r="BZ20" s="492">
        <v>476</v>
      </c>
      <c r="CA20" s="493">
        <f t="shared" si="47"/>
        <v>476</v>
      </c>
      <c r="CB20" s="492"/>
      <c r="CC20" s="492"/>
      <c r="CD20" s="492"/>
      <c r="CE20" s="492"/>
      <c r="CF20" s="492"/>
      <c r="CG20" s="492"/>
      <c r="CH20" s="492"/>
      <c r="CI20" s="492"/>
      <c r="CJ20" s="492"/>
      <c r="CK20" s="492"/>
      <c r="CL20" s="492"/>
      <c r="CM20" s="492">
        <v>470</v>
      </c>
      <c r="CN20" s="493">
        <f t="shared" si="48"/>
        <v>470</v>
      </c>
      <c r="CO20" s="492"/>
      <c r="CP20" s="492"/>
      <c r="CQ20" s="492"/>
      <c r="CR20" s="492"/>
      <c r="CS20" s="492"/>
      <c r="CT20" s="492"/>
      <c r="CU20" s="492"/>
      <c r="CV20" s="492"/>
      <c r="CW20" s="492"/>
      <c r="CX20" s="492"/>
      <c r="CY20" s="492"/>
      <c r="CZ20" s="492">
        <v>449</v>
      </c>
      <c r="DA20" s="493">
        <f t="shared" si="49"/>
        <v>449</v>
      </c>
      <c r="DB20" s="492"/>
      <c r="DC20" s="492"/>
      <c r="DD20" s="492"/>
      <c r="DE20" s="492"/>
      <c r="DF20" s="492"/>
      <c r="DG20" s="492"/>
      <c r="DH20" s="492"/>
      <c r="DI20" s="492"/>
      <c r="DJ20" s="492"/>
      <c r="DK20" s="492"/>
      <c r="DL20" s="492"/>
      <c r="DM20" s="492">
        <v>408</v>
      </c>
      <c r="DN20" s="493">
        <f t="shared" si="50"/>
        <v>408</v>
      </c>
      <c r="DO20" s="492"/>
      <c r="DP20" s="492"/>
      <c r="DQ20" s="492"/>
      <c r="DR20" s="492"/>
      <c r="DS20" s="492"/>
      <c r="DT20" s="492"/>
      <c r="DU20" s="492"/>
      <c r="DV20" s="492"/>
      <c r="DW20" s="492"/>
      <c r="DX20" s="492"/>
      <c r="DY20" s="492"/>
      <c r="DZ20" s="492">
        <v>246</v>
      </c>
      <c r="EA20" s="493">
        <f t="shared" si="51"/>
        <v>246</v>
      </c>
      <c r="EB20" s="492"/>
      <c r="EC20" s="492"/>
      <c r="ED20" s="492"/>
      <c r="EE20" s="492"/>
      <c r="EF20" s="492"/>
      <c r="EG20" s="492"/>
      <c r="EH20" s="492"/>
      <c r="EI20" s="492"/>
      <c r="EJ20" s="492"/>
      <c r="EK20" s="492"/>
      <c r="EL20" s="492"/>
      <c r="EM20" s="492"/>
      <c r="EN20" s="493">
        <f t="shared" si="52"/>
        <v>0</v>
      </c>
      <c r="EO20" s="492"/>
      <c r="EP20" s="492"/>
      <c r="EQ20" s="492"/>
      <c r="ER20" s="492"/>
      <c r="ES20" s="492"/>
      <c r="ET20" s="492"/>
      <c r="EU20" s="492"/>
      <c r="EV20" s="492"/>
      <c r="EW20" s="492"/>
      <c r="EX20" s="492"/>
      <c r="EY20" s="492"/>
      <c r="EZ20" s="492"/>
      <c r="FA20" s="493">
        <f t="shared" si="53"/>
        <v>0</v>
      </c>
      <c r="FC20" s="560" t="str" cm="1">
        <f t="array" ref="FC20">IFERROR(((
_xlfn.XLOOKUP((DATE(YEAR($FC$5),MONTH($FC$5),1)),UCA.COSECHAS.DATE,$B20:$FA20) /
_xlfn.XLOOKUP((DATE(YEAR($FC$5)-1,MONTH($FC$5),1)),UCA.COSECHAS.DATE,$B20:$FA20)
)-1)*100,"")</f>
        <v/>
      </c>
      <c r="FD20" s="561" t="str">
        <f t="shared" si="54"/>
        <v/>
      </c>
      <c r="FE20" s="562" cm="1">
        <f t="array" ref="FE20">SUMIFS($B20:$FA20,UCA.COSECHAS.DATE,"&gt;="&amp;DATE(YEAR($FC$5)-1,1,1),UCA.COSECHAS.DATE,"&lt;="&amp;DATE(YEAR($FC$5)-1,MONTH($FC$5),1))</f>
        <v>0</v>
      </c>
      <c r="FF20" s="665" cm="1">
        <f t="array" ref="FF20">SUMIFS($B20:$FA20,UCA.COSECHAS.DATE,"&gt;="&amp;DATE(YEAR($FC$5),1,1),UCA.COSECHAS.DATE,"&lt;="&amp;$FC$5)</f>
        <v>0</v>
      </c>
      <c r="FG20" s="648"/>
      <c r="FH20" s="498">
        <f t="shared" si="55"/>
        <v>8604</v>
      </c>
      <c r="FI20" s="499" t="s">
        <v>176</v>
      </c>
      <c r="FJ20" s="500" t="str">
        <f t="shared" si="56"/>
        <v>OK</v>
      </c>
    </row>
    <row r="21" spans="1:166" ht="15" customHeight="1" x14ac:dyDescent="0.25">
      <c r="A21" s="650" t="s">
        <v>180</v>
      </c>
      <c r="B21" s="492">
        <v>22</v>
      </c>
      <c r="C21" s="492"/>
      <c r="D21" s="492"/>
      <c r="E21" s="492"/>
      <c r="F21" s="492"/>
      <c r="G21" s="492"/>
      <c r="H21" s="492"/>
      <c r="I21" s="492">
        <v>5</v>
      </c>
      <c r="J21" s="492">
        <v>38</v>
      </c>
      <c r="K21" s="492">
        <v>61</v>
      </c>
      <c r="L21" s="492">
        <v>63</v>
      </c>
      <c r="M21" s="492">
        <v>9</v>
      </c>
      <c r="N21" s="493">
        <f t="shared" si="42"/>
        <v>198</v>
      </c>
      <c r="O21" s="492">
        <v>20</v>
      </c>
      <c r="P21" s="492">
        <v>10</v>
      </c>
      <c r="Q21" s="492"/>
      <c r="R21" s="492"/>
      <c r="S21" s="492"/>
      <c r="T21" s="492"/>
      <c r="U21" s="492"/>
      <c r="V21" s="492"/>
      <c r="W21" s="492">
        <v>43</v>
      </c>
      <c r="X21" s="492">
        <v>81</v>
      </c>
      <c r="Y21" s="492">
        <v>68</v>
      </c>
      <c r="Z21" s="492">
        <v>89</v>
      </c>
      <c r="AA21" s="493">
        <f t="shared" si="43"/>
        <v>311</v>
      </c>
      <c r="AB21" s="492"/>
      <c r="AC21" s="492"/>
      <c r="AD21" s="492"/>
      <c r="AE21" s="492"/>
      <c r="AF21" s="492"/>
      <c r="AG21" s="492"/>
      <c r="AH21" s="492"/>
      <c r="AI21" s="492">
        <v>27</v>
      </c>
      <c r="AJ21" s="492">
        <v>74</v>
      </c>
      <c r="AK21" s="492">
        <v>103</v>
      </c>
      <c r="AL21" s="492">
        <v>26</v>
      </c>
      <c r="AM21" s="492">
        <v>48</v>
      </c>
      <c r="AN21" s="493">
        <f t="shared" si="44"/>
        <v>278</v>
      </c>
      <c r="AO21" s="492"/>
      <c r="AP21" s="492"/>
      <c r="AQ21" s="492"/>
      <c r="AR21" s="492"/>
      <c r="AS21" s="492"/>
      <c r="AT21" s="492"/>
      <c r="AU21" s="492">
        <v>16</v>
      </c>
      <c r="AV21" s="492">
        <v>38</v>
      </c>
      <c r="AW21" s="492">
        <v>47</v>
      </c>
      <c r="AX21" s="492">
        <v>89</v>
      </c>
      <c r="AY21" s="492">
        <v>68</v>
      </c>
      <c r="AZ21" s="492">
        <v>14</v>
      </c>
      <c r="BA21" s="493">
        <f t="shared" si="45"/>
        <v>272</v>
      </c>
      <c r="BB21" s="492">
        <v>12</v>
      </c>
      <c r="BC21" s="492">
        <v>12</v>
      </c>
      <c r="BD21" s="492">
        <v>2</v>
      </c>
      <c r="BE21" s="492"/>
      <c r="BF21" s="492"/>
      <c r="BG21" s="492"/>
      <c r="BH21" s="492"/>
      <c r="BI21" s="492">
        <v>2</v>
      </c>
      <c r="BJ21" s="492">
        <v>14</v>
      </c>
      <c r="BK21" s="492">
        <v>53</v>
      </c>
      <c r="BL21" s="492">
        <v>72</v>
      </c>
      <c r="BM21" s="492">
        <v>26</v>
      </c>
      <c r="BN21" s="493">
        <f t="shared" si="46"/>
        <v>193</v>
      </c>
      <c r="BO21" s="492">
        <v>26</v>
      </c>
      <c r="BP21" s="492">
        <v>20</v>
      </c>
      <c r="BQ21" s="492">
        <v>17</v>
      </c>
      <c r="BR21" s="492"/>
      <c r="BS21" s="492"/>
      <c r="BT21" s="492"/>
      <c r="BU21" s="492"/>
      <c r="BV21" s="492">
        <v>15</v>
      </c>
      <c r="BW21" s="492">
        <v>47</v>
      </c>
      <c r="BX21" s="492">
        <v>51</v>
      </c>
      <c r="BY21" s="492">
        <v>21</v>
      </c>
      <c r="BZ21" s="492"/>
      <c r="CA21" s="493">
        <f t="shared" si="47"/>
        <v>197</v>
      </c>
      <c r="CB21" s="492">
        <v>21</v>
      </c>
      <c r="CC21" s="492">
        <v>11</v>
      </c>
      <c r="CD21" s="492">
        <v>23</v>
      </c>
      <c r="CE21" s="492">
        <v>1</v>
      </c>
      <c r="CF21" s="492"/>
      <c r="CG21" s="492"/>
      <c r="CH21" s="492">
        <v>10</v>
      </c>
      <c r="CI21" s="492">
        <v>39</v>
      </c>
      <c r="CJ21" s="492">
        <v>90</v>
      </c>
      <c r="CK21" s="492">
        <v>25</v>
      </c>
      <c r="CL21" s="492">
        <v>8</v>
      </c>
      <c r="CM21" s="492">
        <v>24</v>
      </c>
      <c r="CN21" s="493">
        <f t="shared" si="48"/>
        <v>252</v>
      </c>
      <c r="CO21" s="492">
        <v>22</v>
      </c>
      <c r="CP21" s="492">
        <v>9</v>
      </c>
      <c r="CQ21" s="492">
        <v>16</v>
      </c>
      <c r="CR21" s="492"/>
      <c r="CS21" s="492"/>
      <c r="CT21" s="492"/>
      <c r="CU21" s="492"/>
      <c r="CV21" s="492">
        <v>24</v>
      </c>
      <c r="CW21" s="492">
        <v>81</v>
      </c>
      <c r="CX21" s="492">
        <v>93.5</v>
      </c>
      <c r="CY21" s="492">
        <v>58.5</v>
      </c>
      <c r="CZ21" s="492">
        <v>3</v>
      </c>
      <c r="DA21" s="493">
        <f t="shared" si="49"/>
        <v>307</v>
      </c>
      <c r="DB21" s="492">
        <v>30</v>
      </c>
      <c r="DC21" s="492">
        <v>20</v>
      </c>
      <c r="DD21" s="492">
        <v>23</v>
      </c>
      <c r="DE21" s="492">
        <v>8</v>
      </c>
      <c r="DF21" s="492">
        <v>24</v>
      </c>
      <c r="DG21" s="492">
        <v>2</v>
      </c>
      <c r="DH21" s="492"/>
      <c r="DI21" s="492">
        <v>26</v>
      </c>
      <c r="DJ21" s="492">
        <v>79.5</v>
      </c>
      <c r="DK21" s="492">
        <v>130</v>
      </c>
      <c r="DL21" s="492">
        <v>86.5</v>
      </c>
      <c r="DM21" s="492">
        <v>10</v>
      </c>
      <c r="DN21" s="493">
        <f t="shared" si="50"/>
        <v>439</v>
      </c>
      <c r="DO21" s="492">
        <v>18</v>
      </c>
      <c r="DP21" s="492">
        <v>58</v>
      </c>
      <c r="DQ21" s="492"/>
      <c r="DR21" s="492"/>
      <c r="DS21" s="492">
        <v>10</v>
      </c>
      <c r="DT21" s="492"/>
      <c r="DU21" s="492"/>
      <c r="DV21" s="492"/>
      <c r="DW21" s="492">
        <v>45</v>
      </c>
      <c r="DX21" s="492">
        <v>67</v>
      </c>
      <c r="DY21" s="492">
        <v>47</v>
      </c>
      <c r="DZ21" s="492">
        <v>3</v>
      </c>
      <c r="EA21" s="493">
        <f t="shared" si="51"/>
        <v>248</v>
      </c>
      <c r="EB21" s="492"/>
      <c r="EC21" s="492">
        <v>4</v>
      </c>
      <c r="ED21" s="492">
        <v>14</v>
      </c>
      <c r="EE21" s="492"/>
      <c r="EF21" s="492"/>
      <c r="EG21" s="492"/>
      <c r="EH21" s="492"/>
      <c r="EI21" s="492">
        <v>10</v>
      </c>
      <c r="EJ21" s="492">
        <v>37</v>
      </c>
      <c r="EK21" s="492">
        <v>92</v>
      </c>
      <c r="EL21" s="492">
        <v>64</v>
      </c>
      <c r="EM21" s="492"/>
      <c r="EN21" s="493">
        <f t="shared" si="52"/>
        <v>221</v>
      </c>
      <c r="EO21" s="492"/>
      <c r="EP21" s="492"/>
      <c r="EQ21" s="492"/>
      <c r="ER21" s="492"/>
      <c r="ES21" s="492"/>
      <c r="ET21" s="492"/>
      <c r="EU21" s="492"/>
      <c r="EV21" s="492"/>
      <c r="EW21" s="492"/>
      <c r="EX21" s="492"/>
      <c r="EY21" s="492"/>
      <c r="EZ21" s="492"/>
      <c r="FA21" s="493">
        <f t="shared" si="53"/>
        <v>0</v>
      </c>
      <c r="FC21" s="560" cm="1">
        <f t="array" ref="FC21">IFERROR(((
_xlfn.XLOOKUP((DATE(YEAR($FC$5),MONTH($FC$5),1)),UCA.COSECHAS.DATE,$B21:$FA21) /
_xlfn.XLOOKUP((DATE(YEAR($FC$5)-1,MONTH($FC$5),1)),UCA.COSECHAS.DATE,$B21:$FA21)
)-1)*100,"")</f>
        <v>-45.664739884393072</v>
      </c>
      <c r="FD21" s="561">
        <f t="shared" si="54"/>
        <v>-42.890442890442891</v>
      </c>
      <c r="FE21" s="562" cm="1">
        <f t="array" ref="FE21">SUMIFS($B21:$FA21,UCA.COSECHAS.DATE,"&gt;="&amp;DATE(YEAR($FC$5)-1,1,1),UCA.COSECHAS.DATE,"&lt;="&amp;DATE(YEAR($FC$5)-1,MONTH($FC$5),1))</f>
        <v>429</v>
      </c>
      <c r="FF21" s="665" cm="1">
        <f t="array" ref="FF21">SUMIFS($B21:$FA21,UCA.COSECHAS.DATE,"&gt;="&amp;DATE(YEAR($FC$5),1,1),UCA.COSECHAS.DATE,"&lt;="&amp;$FC$5)</f>
        <v>245</v>
      </c>
      <c r="FG21" s="648"/>
      <c r="FH21" s="498">
        <f t="shared" si="55"/>
        <v>5832</v>
      </c>
      <c r="FI21" s="499" t="s">
        <v>180</v>
      </c>
      <c r="FJ21" s="500" t="str">
        <f t="shared" si="56"/>
        <v>OK</v>
      </c>
    </row>
    <row r="22" spans="1:166" ht="15" customHeight="1" x14ac:dyDescent="0.25">
      <c r="A22" s="650" t="s">
        <v>172</v>
      </c>
      <c r="B22" s="492"/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>
        <v>907</v>
      </c>
      <c r="N22" s="493">
        <f t="shared" si="42"/>
        <v>907</v>
      </c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>
        <v>876</v>
      </c>
      <c r="AA22" s="493">
        <f t="shared" si="43"/>
        <v>876</v>
      </c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492"/>
      <c r="AM22" s="492">
        <v>920</v>
      </c>
      <c r="AN22" s="493">
        <f t="shared" si="44"/>
        <v>920</v>
      </c>
      <c r="AO22" s="492"/>
      <c r="AP22" s="492"/>
      <c r="AQ22" s="492"/>
      <c r="AR22" s="492"/>
      <c r="AS22" s="492"/>
      <c r="AT22" s="492"/>
      <c r="AU22" s="492"/>
      <c r="AV22" s="492"/>
      <c r="AW22" s="492"/>
      <c r="AX22" s="492"/>
      <c r="AY22" s="492"/>
      <c r="AZ22" s="492">
        <v>939</v>
      </c>
      <c r="BA22" s="493">
        <f t="shared" si="45"/>
        <v>939</v>
      </c>
      <c r="BB22" s="492"/>
      <c r="BC22" s="492"/>
      <c r="BD22" s="492"/>
      <c r="BE22" s="492"/>
      <c r="BF22" s="492"/>
      <c r="BG22" s="492"/>
      <c r="BH22" s="492"/>
      <c r="BI22" s="492"/>
      <c r="BJ22" s="492"/>
      <c r="BK22" s="492"/>
      <c r="BL22" s="492"/>
      <c r="BM22" s="492">
        <v>822</v>
      </c>
      <c r="BN22" s="493">
        <f t="shared" si="46"/>
        <v>822</v>
      </c>
      <c r="BO22" s="492"/>
      <c r="BP22" s="492"/>
      <c r="BQ22" s="492"/>
      <c r="BR22" s="492"/>
      <c r="BS22" s="492"/>
      <c r="BT22" s="492"/>
      <c r="BU22" s="492"/>
      <c r="BV22" s="492"/>
      <c r="BW22" s="492"/>
      <c r="BX22" s="492"/>
      <c r="BY22" s="492"/>
      <c r="BZ22" s="492">
        <v>1031</v>
      </c>
      <c r="CA22" s="493">
        <f t="shared" si="47"/>
        <v>1031</v>
      </c>
      <c r="CB22" s="492"/>
      <c r="CC22" s="492"/>
      <c r="CD22" s="492"/>
      <c r="CE22" s="492"/>
      <c r="CF22" s="492"/>
      <c r="CG22" s="492"/>
      <c r="CH22" s="492"/>
      <c r="CI22" s="492"/>
      <c r="CJ22" s="492"/>
      <c r="CK22" s="492"/>
      <c r="CL22" s="492"/>
      <c r="CM22" s="492">
        <v>1112</v>
      </c>
      <c r="CN22" s="493">
        <f t="shared" si="48"/>
        <v>1112</v>
      </c>
      <c r="CO22" s="492"/>
      <c r="CP22" s="492"/>
      <c r="CQ22" s="492"/>
      <c r="CR22" s="492"/>
      <c r="CS22" s="492"/>
      <c r="CT22" s="492"/>
      <c r="CU22" s="492"/>
      <c r="CV22" s="492"/>
      <c r="CW22" s="492"/>
      <c r="CX22" s="492"/>
      <c r="CY22" s="492"/>
      <c r="CZ22" s="492">
        <v>1214</v>
      </c>
      <c r="DA22" s="493">
        <f t="shared" si="49"/>
        <v>1214</v>
      </c>
      <c r="DB22" s="492"/>
      <c r="DC22" s="492"/>
      <c r="DD22" s="492"/>
      <c r="DE22" s="492"/>
      <c r="DF22" s="492"/>
      <c r="DG22" s="492"/>
      <c r="DH22" s="492"/>
      <c r="DI22" s="492"/>
      <c r="DJ22" s="492"/>
      <c r="DK22" s="492"/>
      <c r="DL22" s="492"/>
      <c r="DM22" s="492">
        <v>1324</v>
      </c>
      <c r="DN22" s="493">
        <f t="shared" si="50"/>
        <v>1324</v>
      </c>
      <c r="DO22" s="492"/>
      <c r="DP22" s="492"/>
      <c r="DQ22" s="492"/>
      <c r="DR22" s="492"/>
      <c r="DS22" s="492"/>
      <c r="DT22" s="492"/>
      <c r="DU22" s="492"/>
      <c r="DV22" s="492"/>
      <c r="DW22" s="492"/>
      <c r="DX22" s="492"/>
      <c r="DY22" s="492"/>
      <c r="DZ22" s="492">
        <v>789</v>
      </c>
      <c r="EA22" s="493">
        <f t="shared" si="51"/>
        <v>789</v>
      </c>
      <c r="EB22" s="492"/>
      <c r="EC22" s="492"/>
      <c r="ED22" s="492"/>
      <c r="EE22" s="492"/>
      <c r="EF22" s="492"/>
      <c r="EG22" s="492"/>
      <c r="EH22" s="492"/>
      <c r="EI22" s="492"/>
      <c r="EJ22" s="492"/>
      <c r="EK22" s="492"/>
      <c r="EL22" s="492"/>
      <c r="EM22" s="492"/>
      <c r="EN22" s="493">
        <f t="shared" si="52"/>
        <v>0</v>
      </c>
      <c r="EO22" s="492"/>
      <c r="EP22" s="492"/>
      <c r="EQ22" s="492"/>
      <c r="ER22" s="492"/>
      <c r="ES22" s="492"/>
      <c r="ET22" s="492"/>
      <c r="EU22" s="492"/>
      <c r="EV22" s="492"/>
      <c r="EW22" s="492"/>
      <c r="EX22" s="492"/>
      <c r="EY22" s="492"/>
      <c r="EZ22" s="492"/>
      <c r="FA22" s="493">
        <f t="shared" si="53"/>
        <v>0</v>
      </c>
      <c r="FC22" s="560" t="str" cm="1">
        <f t="array" ref="FC22">IFERROR(((
_xlfn.XLOOKUP((DATE(YEAR($FC$5),MONTH($FC$5),1)),UCA.COSECHAS.DATE,$B22:$FA22) /
_xlfn.XLOOKUP((DATE(YEAR($FC$5)-1,MONTH($FC$5),1)),UCA.COSECHAS.DATE,$B22:$FA22)
)-1)*100,"")</f>
        <v/>
      </c>
      <c r="FD22" s="561" t="str">
        <f t="shared" si="54"/>
        <v/>
      </c>
      <c r="FE22" s="562" cm="1">
        <f t="array" ref="FE22">SUMIFS($B22:$FA22,UCA.COSECHAS.DATE,"&gt;="&amp;DATE(YEAR($FC$5)-1,1,1),UCA.COSECHAS.DATE,"&lt;="&amp;DATE(YEAR($FC$5)-1,MONTH($FC$5),1))</f>
        <v>0</v>
      </c>
      <c r="FF22" s="665" cm="1">
        <f t="array" ref="FF22">SUMIFS($B22:$FA22,UCA.COSECHAS.DATE,"&gt;="&amp;DATE(YEAR($FC$5),1,1),UCA.COSECHAS.DATE,"&lt;="&amp;$FC$5)</f>
        <v>0</v>
      </c>
      <c r="FG22" s="648"/>
      <c r="FH22" s="498">
        <f t="shared" si="55"/>
        <v>19868</v>
      </c>
      <c r="FI22" s="499" t="s">
        <v>172</v>
      </c>
      <c r="FJ22" s="500" t="str">
        <f t="shared" si="56"/>
        <v>OK</v>
      </c>
    </row>
    <row r="23" spans="1:166" ht="15" customHeight="1" x14ac:dyDescent="0.25">
      <c r="A23" s="650" t="s">
        <v>182</v>
      </c>
      <c r="B23" s="492"/>
      <c r="C23" s="492"/>
      <c r="D23" s="492"/>
      <c r="E23" s="492"/>
      <c r="F23" s="492"/>
      <c r="G23" s="492"/>
      <c r="H23" s="492"/>
      <c r="I23" s="492"/>
      <c r="J23" s="492"/>
      <c r="K23" s="492"/>
      <c r="L23" s="492"/>
      <c r="M23" s="492">
        <v>15973</v>
      </c>
      <c r="N23" s="493">
        <f t="shared" si="42"/>
        <v>15973</v>
      </c>
      <c r="O23" s="492"/>
      <c r="P23" s="492"/>
      <c r="Q23" s="492"/>
      <c r="R23" s="492"/>
      <c r="S23" s="492"/>
      <c r="T23" s="492"/>
      <c r="U23" s="492"/>
      <c r="V23" s="492"/>
      <c r="W23" s="492"/>
      <c r="X23" s="492"/>
      <c r="Y23" s="492"/>
      <c r="Z23" s="492">
        <v>16299</v>
      </c>
      <c r="AA23" s="493">
        <f t="shared" si="43"/>
        <v>16299</v>
      </c>
      <c r="AB23" s="492"/>
      <c r="AC23" s="492"/>
      <c r="AD23" s="492"/>
      <c r="AE23" s="492"/>
      <c r="AF23" s="492"/>
      <c r="AG23" s="492"/>
      <c r="AH23" s="492"/>
      <c r="AI23" s="492"/>
      <c r="AJ23" s="492"/>
      <c r="AK23" s="492"/>
      <c r="AL23" s="492"/>
      <c r="AM23" s="492">
        <v>18518</v>
      </c>
      <c r="AN23" s="493">
        <f t="shared" si="44"/>
        <v>18518</v>
      </c>
      <c r="AO23" s="492"/>
      <c r="AP23" s="492"/>
      <c r="AQ23" s="492"/>
      <c r="AR23" s="492"/>
      <c r="AS23" s="492"/>
      <c r="AT23" s="492"/>
      <c r="AU23" s="492"/>
      <c r="AV23" s="492"/>
      <c r="AW23" s="492"/>
      <c r="AX23" s="492"/>
      <c r="AY23" s="492"/>
      <c r="AZ23" s="492">
        <v>23138</v>
      </c>
      <c r="BA23" s="493">
        <f t="shared" si="45"/>
        <v>23138</v>
      </c>
      <c r="BB23" s="492"/>
      <c r="BC23" s="492"/>
      <c r="BD23" s="492"/>
      <c r="BE23" s="492"/>
      <c r="BF23" s="492"/>
      <c r="BG23" s="492"/>
      <c r="BH23" s="492"/>
      <c r="BI23" s="492"/>
      <c r="BJ23" s="492"/>
      <c r="BK23" s="492"/>
      <c r="BL23" s="492"/>
      <c r="BM23" s="492">
        <v>19225</v>
      </c>
      <c r="BN23" s="493">
        <f t="shared" si="46"/>
        <v>19225</v>
      </c>
      <c r="BO23" s="492"/>
      <c r="BP23" s="492"/>
      <c r="BQ23" s="492"/>
      <c r="BR23" s="492"/>
      <c r="BS23" s="492"/>
      <c r="BT23" s="492"/>
      <c r="BU23" s="492"/>
      <c r="BV23" s="492"/>
      <c r="BW23" s="492"/>
      <c r="BX23" s="492"/>
      <c r="BY23" s="492"/>
      <c r="BZ23" s="492">
        <v>27704</v>
      </c>
      <c r="CA23" s="493">
        <f t="shared" si="47"/>
        <v>27704</v>
      </c>
      <c r="CB23" s="492"/>
      <c r="CC23" s="492"/>
      <c r="CD23" s="492"/>
      <c r="CE23" s="492"/>
      <c r="CF23" s="492"/>
      <c r="CG23" s="492"/>
      <c r="CH23" s="492"/>
      <c r="CI23" s="492"/>
      <c r="CJ23" s="492"/>
      <c r="CK23" s="492"/>
      <c r="CL23" s="492"/>
      <c r="CM23" s="492">
        <v>41998</v>
      </c>
      <c r="CN23" s="493">
        <f t="shared" si="48"/>
        <v>41998</v>
      </c>
      <c r="CO23" s="492"/>
      <c r="CP23" s="492"/>
      <c r="CQ23" s="492"/>
      <c r="CR23" s="492"/>
      <c r="CS23" s="492"/>
      <c r="CT23" s="492"/>
      <c r="CU23" s="492"/>
      <c r="CV23" s="492"/>
      <c r="CW23" s="492"/>
      <c r="CX23" s="492"/>
      <c r="CY23" s="492"/>
      <c r="CZ23" s="492">
        <v>42913</v>
      </c>
      <c r="DA23" s="493">
        <f t="shared" si="49"/>
        <v>42913</v>
      </c>
      <c r="DB23" s="492"/>
      <c r="DC23" s="492"/>
      <c r="DD23" s="492"/>
      <c r="DE23" s="492"/>
      <c r="DF23" s="492"/>
      <c r="DG23" s="492"/>
      <c r="DH23" s="492"/>
      <c r="DI23" s="492"/>
      <c r="DJ23" s="492"/>
      <c r="DK23" s="492"/>
      <c r="DL23" s="492"/>
      <c r="DM23" s="492">
        <v>40081</v>
      </c>
      <c r="DN23" s="493">
        <f t="shared" si="50"/>
        <v>40081</v>
      </c>
      <c r="DO23" s="492"/>
      <c r="DP23" s="492"/>
      <c r="DQ23" s="492"/>
      <c r="DR23" s="492"/>
      <c r="DS23" s="492"/>
      <c r="DT23" s="492"/>
      <c r="DU23" s="492"/>
      <c r="DV23" s="492"/>
      <c r="DW23" s="492"/>
      <c r="DX23" s="492"/>
      <c r="DY23" s="492"/>
      <c r="DZ23" s="492">
        <v>44559</v>
      </c>
      <c r="EA23" s="493">
        <f t="shared" si="51"/>
        <v>44559</v>
      </c>
      <c r="EB23" s="492"/>
      <c r="EC23" s="492"/>
      <c r="ED23" s="492"/>
      <c r="EE23" s="492"/>
      <c r="EF23" s="492"/>
      <c r="EG23" s="492"/>
      <c r="EH23" s="492"/>
      <c r="EI23" s="492"/>
      <c r="EJ23" s="492"/>
      <c r="EK23" s="492"/>
      <c r="EL23" s="492"/>
      <c r="EM23" s="492"/>
      <c r="EN23" s="493">
        <f t="shared" si="52"/>
        <v>0</v>
      </c>
      <c r="EO23" s="492"/>
      <c r="EP23" s="492"/>
      <c r="EQ23" s="492"/>
      <c r="ER23" s="492"/>
      <c r="ES23" s="492"/>
      <c r="ET23" s="492"/>
      <c r="EU23" s="492"/>
      <c r="EV23" s="492"/>
      <c r="EW23" s="492"/>
      <c r="EX23" s="492"/>
      <c r="EY23" s="492"/>
      <c r="EZ23" s="492"/>
      <c r="FA23" s="493">
        <f t="shared" si="53"/>
        <v>0</v>
      </c>
      <c r="FC23" s="560" t="str" cm="1">
        <f t="array" ref="FC23">IFERROR(((
_xlfn.XLOOKUP((DATE(YEAR($FC$5),MONTH($FC$5),1)),UCA.COSECHAS.DATE,$B23:$FA23) /
_xlfn.XLOOKUP((DATE(YEAR($FC$5)-1,MONTH($FC$5),1)),UCA.COSECHAS.DATE,$B23:$FA23)
)-1)*100,"")</f>
        <v/>
      </c>
      <c r="FD23" s="561" t="str">
        <f t="shared" si="54"/>
        <v/>
      </c>
      <c r="FE23" s="562" cm="1">
        <f t="array" ref="FE23">SUMIFS($B23:$FA23,UCA.COSECHAS.DATE,"&gt;="&amp;DATE(YEAR($FC$5)-1,1,1),UCA.COSECHAS.DATE,"&lt;="&amp;DATE(YEAR($FC$5)-1,MONTH($FC$5),1))</f>
        <v>0</v>
      </c>
      <c r="FF23" s="665" cm="1">
        <f t="array" ref="FF23">SUMIFS($B23:$FA23,UCA.COSECHAS.DATE,"&gt;="&amp;DATE(YEAR($FC$5),1,1),UCA.COSECHAS.DATE,"&lt;="&amp;$FC$5)</f>
        <v>0</v>
      </c>
      <c r="FG23" s="648"/>
      <c r="FH23" s="498">
        <f t="shared" si="55"/>
        <v>580816</v>
      </c>
      <c r="FI23" s="499" t="s">
        <v>182</v>
      </c>
      <c r="FJ23" s="500" t="str">
        <f t="shared" si="56"/>
        <v>OK</v>
      </c>
    </row>
    <row r="24" spans="1:166" ht="15" customHeight="1" x14ac:dyDescent="0.25">
      <c r="A24" s="650" t="s">
        <v>173</v>
      </c>
      <c r="B24" s="492"/>
      <c r="C24" s="492"/>
      <c r="D24" s="492"/>
      <c r="E24" s="492"/>
      <c r="F24" s="492"/>
      <c r="G24" s="492"/>
      <c r="H24" s="492"/>
      <c r="I24" s="492"/>
      <c r="J24" s="492"/>
      <c r="K24" s="492"/>
      <c r="L24" s="492"/>
      <c r="M24" s="492">
        <v>3717</v>
      </c>
      <c r="N24" s="493">
        <f t="shared" si="42"/>
        <v>3717</v>
      </c>
      <c r="O24" s="492"/>
      <c r="P24" s="492"/>
      <c r="Q24" s="492"/>
      <c r="R24" s="492"/>
      <c r="S24" s="492"/>
      <c r="T24" s="492"/>
      <c r="U24" s="492"/>
      <c r="V24" s="492"/>
      <c r="W24" s="492"/>
      <c r="X24" s="492"/>
      <c r="Y24" s="492"/>
      <c r="Z24" s="492">
        <v>2938</v>
      </c>
      <c r="AA24" s="493">
        <f t="shared" si="43"/>
        <v>2938</v>
      </c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2"/>
      <c r="AM24" s="492">
        <v>3105</v>
      </c>
      <c r="AN24" s="493">
        <f t="shared" si="44"/>
        <v>3105</v>
      </c>
      <c r="AO24" s="492"/>
      <c r="AP24" s="492"/>
      <c r="AQ24" s="492"/>
      <c r="AR24" s="492"/>
      <c r="AS24" s="492"/>
      <c r="AT24" s="492"/>
      <c r="AU24" s="492"/>
      <c r="AV24" s="492"/>
      <c r="AW24" s="492"/>
      <c r="AX24" s="492"/>
      <c r="AY24" s="492"/>
      <c r="AZ24" s="492">
        <v>2860</v>
      </c>
      <c r="BA24" s="493">
        <f t="shared" si="45"/>
        <v>2860</v>
      </c>
      <c r="BB24" s="492"/>
      <c r="BC24" s="492"/>
      <c r="BD24" s="492"/>
      <c r="BE24" s="492"/>
      <c r="BF24" s="492"/>
      <c r="BG24" s="492"/>
      <c r="BH24" s="492"/>
      <c r="BI24" s="492"/>
      <c r="BJ24" s="492"/>
      <c r="BK24" s="492"/>
      <c r="BL24" s="492"/>
      <c r="BM24" s="492">
        <v>1559</v>
      </c>
      <c r="BN24" s="493">
        <f t="shared" si="46"/>
        <v>1559</v>
      </c>
      <c r="BO24" s="492"/>
      <c r="BP24" s="492"/>
      <c r="BQ24" s="492"/>
      <c r="BR24" s="492"/>
      <c r="BS24" s="492"/>
      <c r="BT24" s="492"/>
      <c r="BU24" s="492"/>
      <c r="BV24" s="492"/>
      <c r="BW24" s="492"/>
      <c r="BX24" s="492"/>
      <c r="BY24" s="492"/>
      <c r="BZ24" s="492">
        <v>3151</v>
      </c>
      <c r="CA24" s="493">
        <f t="shared" si="47"/>
        <v>3151</v>
      </c>
      <c r="CB24" s="492"/>
      <c r="CC24" s="492"/>
      <c r="CD24" s="492"/>
      <c r="CE24" s="492"/>
      <c r="CF24" s="492"/>
      <c r="CG24" s="492"/>
      <c r="CH24" s="492"/>
      <c r="CI24" s="492"/>
      <c r="CJ24" s="492"/>
      <c r="CK24" s="492"/>
      <c r="CL24" s="492"/>
      <c r="CM24" s="492">
        <v>3788</v>
      </c>
      <c r="CN24" s="493">
        <f t="shared" si="48"/>
        <v>3788</v>
      </c>
      <c r="CO24" s="492"/>
      <c r="CP24" s="492"/>
      <c r="CQ24" s="492"/>
      <c r="CR24" s="492"/>
      <c r="CS24" s="492"/>
      <c r="CT24" s="492"/>
      <c r="CU24" s="492"/>
      <c r="CV24" s="492"/>
      <c r="CW24" s="492"/>
      <c r="CX24" s="492"/>
      <c r="CY24" s="492"/>
      <c r="CZ24" s="492">
        <v>4326</v>
      </c>
      <c r="DA24" s="493">
        <f t="shared" si="49"/>
        <v>4326</v>
      </c>
      <c r="DB24" s="492"/>
      <c r="DC24" s="492"/>
      <c r="DD24" s="492"/>
      <c r="DE24" s="492"/>
      <c r="DF24" s="492"/>
      <c r="DG24" s="492"/>
      <c r="DH24" s="492"/>
      <c r="DI24" s="492"/>
      <c r="DJ24" s="492"/>
      <c r="DK24" s="492"/>
      <c r="DL24" s="492"/>
      <c r="DM24" s="492">
        <v>4929</v>
      </c>
      <c r="DN24" s="493">
        <f t="shared" si="50"/>
        <v>4929</v>
      </c>
      <c r="DO24" s="492"/>
      <c r="DP24" s="492"/>
      <c r="DQ24" s="492"/>
      <c r="DR24" s="492"/>
      <c r="DS24" s="492"/>
      <c r="DT24" s="492"/>
      <c r="DU24" s="492"/>
      <c r="DV24" s="492"/>
      <c r="DW24" s="492"/>
      <c r="DX24" s="492"/>
      <c r="DY24" s="492"/>
      <c r="DZ24" s="492">
        <v>3234</v>
      </c>
      <c r="EA24" s="493">
        <f t="shared" si="51"/>
        <v>3234</v>
      </c>
      <c r="EB24" s="492"/>
      <c r="EC24" s="492"/>
      <c r="ED24" s="492"/>
      <c r="EE24" s="492"/>
      <c r="EF24" s="492"/>
      <c r="EG24" s="492"/>
      <c r="EH24" s="492"/>
      <c r="EI24" s="492"/>
      <c r="EJ24" s="492"/>
      <c r="EK24" s="492"/>
      <c r="EL24" s="492"/>
      <c r="EM24" s="492"/>
      <c r="EN24" s="493">
        <f t="shared" si="52"/>
        <v>0</v>
      </c>
      <c r="EO24" s="492"/>
      <c r="EP24" s="492"/>
      <c r="EQ24" s="492"/>
      <c r="ER24" s="492"/>
      <c r="ES24" s="492"/>
      <c r="ET24" s="492"/>
      <c r="EU24" s="492"/>
      <c r="EV24" s="492"/>
      <c r="EW24" s="492"/>
      <c r="EX24" s="492"/>
      <c r="EY24" s="492"/>
      <c r="EZ24" s="492"/>
      <c r="FA24" s="493">
        <f t="shared" si="53"/>
        <v>0</v>
      </c>
      <c r="FC24" s="560" t="str" cm="1">
        <f t="array" ref="FC24">IFERROR(((
_xlfn.XLOOKUP((DATE(YEAR($FC$5),MONTH($FC$5),1)),UCA.COSECHAS.DATE,$B24:$FA24) /
_xlfn.XLOOKUP((DATE(YEAR($FC$5)-1,MONTH($FC$5),1)),UCA.COSECHAS.DATE,$B24:$FA24)
)-1)*100,"")</f>
        <v/>
      </c>
      <c r="FD24" s="561" t="str">
        <f t="shared" si="54"/>
        <v/>
      </c>
      <c r="FE24" s="562" cm="1">
        <f t="array" ref="FE24">SUMIFS($B24:$FA24,UCA.COSECHAS.DATE,"&gt;="&amp;DATE(YEAR($FC$5)-1,1,1),UCA.COSECHAS.DATE,"&lt;="&amp;DATE(YEAR($FC$5)-1,MONTH($FC$5),1))</f>
        <v>0</v>
      </c>
      <c r="FF24" s="665" cm="1">
        <f t="array" ref="FF24">SUMIFS($B24:$FA24,UCA.COSECHAS.DATE,"&gt;="&amp;DATE(YEAR($FC$5),1,1),UCA.COSECHAS.DATE,"&lt;="&amp;$FC$5)</f>
        <v>0</v>
      </c>
      <c r="FG24" s="648"/>
      <c r="FH24" s="498">
        <f t="shared" si="55"/>
        <v>67214</v>
      </c>
      <c r="FI24" s="499" t="s">
        <v>173</v>
      </c>
      <c r="FJ24" s="500" t="str">
        <f t="shared" si="56"/>
        <v>OK</v>
      </c>
    </row>
    <row r="25" spans="1:166" ht="15" customHeight="1" x14ac:dyDescent="0.25">
      <c r="A25" s="650" t="s">
        <v>186</v>
      </c>
      <c r="B25" s="492"/>
      <c r="C25" s="492"/>
      <c r="D25" s="492"/>
      <c r="E25" s="492"/>
      <c r="F25" s="492"/>
      <c r="G25" s="492"/>
      <c r="H25" s="492"/>
      <c r="I25" s="492"/>
      <c r="J25" s="492"/>
      <c r="K25" s="492"/>
      <c r="L25" s="492"/>
      <c r="M25" s="492">
        <v>790</v>
      </c>
      <c r="N25" s="493">
        <f t="shared" si="42"/>
        <v>790</v>
      </c>
      <c r="O25" s="492"/>
      <c r="P25" s="492"/>
      <c r="Q25" s="492"/>
      <c r="R25" s="492"/>
      <c r="S25" s="492"/>
      <c r="T25" s="492"/>
      <c r="U25" s="492"/>
      <c r="V25" s="492"/>
      <c r="W25" s="492"/>
      <c r="X25" s="492"/>
      <c r="Y25" s="492"/>
      <c r="Z25" s="492">
        <v>760</v>
      </c>
      <c r="AA25" s="493">
        <f t="shared" si="43"/>
        <v>760</v>
      </c>
      <c r="AB25" s="492"/>
      <c r="AC25" s="492"/>
      <c r="AD25" s="492"/>
      <c r="AE25" s="492"/>
      <c r="AF25" s="492"/>
      <c r="AG25" s="492"/>
      <c r="AH25" s="492"/>
      <c r="AI25" s="492"/>
      <c r="AJ25" s="492"/>
      <c r="AK25" s="492"/>
      <c r="AL25" s="492"/>
      <c r="AM25" s="492">
        <v>817</v>
      </c>
      <c r="AN25" s="493">
        <f t="shared" si="44"/>
        <v>817</v>
      </c>
      <c r="AO25" s="492"/>
      <c r="AP25" s="492"/>
      <c r="AQ25" s="492"/>
      <c r="AR25" s="492"/>
      <c r="AS25" s="492"/>
      <c r="AT25" s="492"/>
      <c r="AU25" s="492"/>
      <c r="AV25" s="492"/>
      <c r="AW25" s="492"/>
      <c r="AX25" s="492"/>
      <c r="AY25" s="492"/>
      <c r="AZ25" s="492">
        <v>764</v>
      </c>
      <c r="BA25" s="493">
        <f t="shared" si="45"/>
        <v>764</v>
      </c>
      <c r="BB25" s="492"/>
      <c r="BC25" s="492"/>
      <c r="BD25" s="492"/>
      <c r="BE25" s="492"/>
      <c r="BF25" s="492"/>
      <c r="BG25" s="492"/>
      <c r="BH25" s="492"/>
      <c r="BI25" s="492"/>
      <c r="BJ25" s="492"/>
      <c r="BK25" s="492"/>
      <c r="BL25" s="492"/>
      <c r="BM25" s="492">
        <v>690</v>
      </c>
      <c r="BN25" s="493">
        <f t="shared" si="46"/>
        <v>690</v>
      </c>
      <c r="BO25" s="492"/>
      <c r="BP25" s="492"/>
      <c r="BQ25" s="492"/>
      <c r="BR25" s="492"/>
      <c r="BS25" s="492"/>
      <c r="BT25" s="492"/>
      <c r="BU25" s="492"/>
      <c r="BV25" s="492"/>
      <c r="BW25" s="492"/>
      <c r="BX25" s="492"/>
      <c r="BY25" s="492"/>
      <c r="BZ25" s="492">
        <v>820</v>
      </c>
      <c r="CA25" s="493">
        <f t="shared" si="47"/>
        <v>820</v>
      </c>
      <c r="CB25" s="492"/>
      <c r="CC25" s="492"/>
      <c r="CD25" s="492"/>
      <c r="CE25" s="492"/>
      <c r="CF25" s="492"/>
      <c r="CG25" s="492"/>
      <c r="CH25" s="492"/>
      <c r="CI25" s="492"/>
      <c r="CJ25" s="492"/>
      <c r="CK25" s="492"/>
      <c r="CL25" s="492"/>
      <c r="CM25" s="492">
        <v>847</v>
      </c>
      <c r="CN25" s="493">
        <f t="shared" si="48"/>
        <v>847</v>
      </c>
      <c r="CO25" s="492"/>
      <c r="CP25" s="492"/>
      <c r="CQ25" s="492"/>
      <c r="CR25" s="492"/>
      <c r="CS25" s="492"/>
      <c r="CT25" s="492"/>
      <c r="CU25" s="492"/>
      <c r="CV25" s="492"/>
      <c r="CW25" s="492"/>
      <c r="CX25" s="492"/>
      <c r="CY25" s="492"/>
      <c r="CZ25" s="492">
        <v>859</v>
      </c>
      <c r="DA25" s="493">
        <f t="shared" si="49"/>
        <v>859</v>
      </c>
      <c r="DB25" s="492"/>
      <c r="DC25" s="492"/>
      <c r="DD25" s="492"/>
      <c r="DE25" s="492"/>
      <c r="DF25" s="492"/>
      <c r="DG25" s="492"/>
      <c r="DH25" s="492"/>
      <c r="DI25" s="492"/>
      <c r="DJ25" s="492"/>
      <c r="DK25" s="492"/>
      <c r="DL25" s="492"/>
      <c r="DM25" s="492">
        <v>839.38</v>
      </c>
      <c r="DN25" s="493">
        <f t="shared" si="50"/>
        <v>839.38</v>
      </c>
      <c r="DO25" s="492"/>
      <c r="DP25" s="492"/>
      <c r="DQ25" s="492"/>
      <c r="DR25" s="492"/>
      <c r="DS25" s="492"/>
      <c r="DT25" s="492"/>
      <c r="DU25" s="492"/>
      <c r="DV25" s="492"/>
      <c r="DW25" s="492"/>
      <c r="DX25" s="492"/>
      <c r="DY25" s="492"/>
      <c r="DZ25" s="492">
        <v>302</v>
      </c>
      <c r="EA25" s="493">
        <f t="shared" si="51"/>
        <v>302</v>
      </c>
      <c r="EB25" s="492"/>
      <c r="EC25" s="492"/>
      <c r="ED25" s="492"/>
      <c r="EE25" s="492"/>
      <c r="EF25" s="492"/>
      <c r="EG25" s="492"/>
      <c r="EH25" s="492"/>
      <c r="EI25" s="492"/>
      <c r="EJ25" s="492"/>
      <c r="EK25" s="492"/>
      <c r="EL25" s="492"/>
      <c r="EM25" s="492"/>
      <c r="EN25" s="493">
        <f t="shared" si="52"/>
        <v>0</v>
      </c>
      <c r="EO25" s="492"/>
      <c r="EP25" s="492"/>
      <c r="EQ25" s="492"/>
      <c r="ER25" s="492"/>
      <c r="ES25" s="492"/>
      <c r="ET25" s="492"/>
      <c r="EU25" s="492"/>
      <c r="EV25" s="492"/>
      <c r="EW25" s="492"/>
      <c r="EX25" s="492"/>
      <c r="EY25" s="492"/>
      <c r="EZ25" s="492"/>
      <c r="FA25" s="493">
        <f t="shared" si="53"/>
        <v>0</v>
      </c>
      <c r="FC25" s="560" t="str" cm="1">
        <f t="array" ref="FC25">IFERROR(((
_xlfn.XLOOKUP((DATE(YEAR($FC$5),MONTH($FC$5),1)),UCA.COSECHAS.DATE,$B25:$FA25) /
_xlfn.XLOOKUP((DATE(YEAR($FC$5)-1,MONTH($FC$5),1)),UCA.COSECHAS.DATE,$B25:$FA25)
)-1)*100,"")</f>
        <v/>
      </c>
      <c r="FD25" s="561" t="str">
        <f t="shared" si="54"/>
        <v/>
      </c>
      <c r="FE25" s="562" cm="1">
        <f t="array" ref="FE25">SUMIFS($B25:$FA25,UCA.COSECHAS.DATE,"&gt;="&amp;DATE(YEAR($FC$5)-1,1,1),UCA.COSECHAS.DATE,"&lt;="&amp;DATE(YEAR($FC$5)-1,MONTH($FC$5),1))</f>
        <v>0</v>
      </c>
      <c r="FF25" s="665" cm="1">
        <f t="array" ref="FF25">SUMIFS($B25:$FA25,UCA.COSECHAS.DATE,"&gt;="&amp;DATE(YEAR($FC$5),1,1),UCA.COSECHAS.DATE,"&lt;="&amp;$FC$5)</f>
        <v>0</v>
      </c>
      <c r="FG25" s="648"/>
      <c r="FH25" s="498">
        <f t="shared" si="55"/>
        <v>14976.759999999998</v>
      </c>
      <c r="FI25" s="499" t="s">
        <v>186</v>
      </c>
      <c r="FJ25" s="500" t="str">
        <f t="shared" si="56"/>
        <v>OK</v>
      </c>
    </row>
    <row r="26" spans="1:166" ht="15" customHeight="1" x14ac:dyDescent="0.25">
      <c r="A26" s="650" t="s">
        <v>187</v>
      </c>
      <c r="B26" s="492"/>
      <c r="C26" s="492"/>
      <c r="D26" s="492"/>
      <c r="E26" s="492"/>
      <c r="F26" s="492"/>
      <c r="G26" s="492"/>
      <c r="H26" s="492"/>
      <c r="I26" s="492"/>
      <c r="J26" s="492"/>
      <c r="K26" s="492"/>
      <c r="L26" s="492"/>
      <c r="M26" s="492">
        <v>142</v>
      </c>
      <c r="N26" s="493">
        <f t="shared" si="42"/>
        <v>142</v>
      </c>
      <c r="O26" s="492"/>
      <c r="P26" s="492"/>
      <c r="Q26" s="492"/>
      <c r="R26" s="492"/>
      <c r="S26" s="492"/>
      <c r="T26" s="492"/>
      <c r="U26" s="492"/>
      <c r="V26" s="492"/>
      <c r="W26" s="492"/>
      <c r="X26" s="492"/>
      <c r="Y26" s="492"/>
      <c r="Z26" s="492">
        <v>146</v>
      </c>
      <c r="AA26" s="493">
        <f t="shared" si="43"/>
        <v>146</v>
      </c>
      <c r="AB26" s="492"/>
      <c r="AC26" s="492"/>
      <c r="AD26" s="492"/>
      <c r="AE26" s="492"/>
      <c r="AF26" s="492"/>
      <c r="AG26" s="492"/>
      <c r="AH26" s="492"/>
      <c r="AI26" s="492"/>
      <c r="AJ26" s="492"/>
      <c r="AK26" s="492"/>
      <c r="AL26" s="492"/>
      <c r="AM26" s="492">
        <v>183</v>
      </c>
      <c r="AN26" s="493">
        <f t="shared" si="44"/>
        <v>183</v>
      </c>
      <c r="AO26" s="492"/>
      <c r="AP26" s="492"/>
      <c r="AQ26" s="492"/>
      <c r="AR26" s="492"/>
      <c r="AS26" s="492"/>
      <c r="AT26" s="492"/>
      <c r="AU26" s="492"/>
      <c r="AV26" s="492"/>
      <c r="AW26" s="492"/>
      <c r="AX26" s="492"/>
      <c r="AY26" s="492"/>
      <c r="AZ26" s="492">
        <v>199</v>
      </c>
      <c r="BA26" s="493">
        <f t="shared" si="45"/>
        <v>199</v>
      </c>
      <c r="BB26" s="492"/>
      <c r="BC26" s="492"/>
      <c r="BD26" s="492"/>
      <c r="BE26" s="492"/>
      <c r="BF26" s="492"/>
      <c r="BG26" s="492"/>
      <c r="BH26" s="492"/>
      <c r="BI26" s="492"/>
      <c r="BJ26" s="492"/>
      <c r="BK26" s="492"/>
      <c r="BL26" s="492"/>
      <c r="BM26" s="492">
        <v>59</v>
      </c>
      <c r="BN26" s="493">
        <f t="shared" si="46"/>
        <v>59</v>
      </c>
      <c r="BO26" s="492"/>
      <c r="BP26" s="492"/>
      <c r="BQ26" s="492"/>
      <c r="BR26" s="492"/>
      <c r="BS26" s="492"/>
      <c r="BT26" s="492"/>
      <c r="BU26" s="492"/>
      <c r="BV26" s="492"/>
      <c r="BW26" s="492"/>
      <c r="BX26" s="492"/>
      <c r="BY26" s="492"/>
      <c r="BZ26" s="492">
        <v>102</v>
      </c>
      <c r="CA26" s="493">
        <f t="shared" si="47"/>
        <v>102</v>
      </c>
      <c r="CB26" s="492"/>
      <c r="CC26" s="492"/>
      <c r="CD26" s="492"/>
      <c r="CE26" s="492"/>
      <c r="CF26" s="492"/>
      <c r="CG26" s="492"/>
      <c r="CH26" s="492"/>
      <c r="CI26" s="492"/>
      <c r="CJ26" s="492"/>
      <c r="CK26" s="492"/>
      <c r="CL26" s="492"/>
      <c r="CM26" s="492">
        <v>114</v>
      </c>
      <c r="CN26" s="493">
        <f t="shared" si="48"/>
        <v>114</v>
      </c>
      <c r="CO26" s="492"/>
      <c r="CP26" s="492"/>
      <c r="CQ26" s="492"/>
      <c r="CR26" s="492"/>
      <c r="CS26" s="492"/>
      <c r="CT26" s="492"/>
      <c r="CU26" s="492"/>
      <c r="CV26" s="492"/>
      <c r="CW26" s="492"/>
      <c r="CX26" s="492"/>
      <c r="CY26" s="492"/>
      <c r="CZ26" s="492">
        <v>108</v>
      </c>
      <c r="DA26" s="493">
        <f t="shared" si="49"/>
        <v>108</v>
      </c>
      <c r="DB26" s="492"/>
      <c r="DC26" s="492"/>
      <c r="DD26" s="492"/>
      <c r="DE26" s="492"/>
      <c r="DF26" s="492"/>
      <c r="DG26" s="492"/>
      <c r="DH26" s="492"/>
      <c r="DI26" s="492"/>
      <c r="DJ26" s="492"/>
      <c r="DK26" s="492"/>
      <c r="DL26" s="492"/>
      <c r="DM26" s="492"/>
      <c r="DN26" s="493">
        <f t="shared" si="50"/>
        <v>0</v>
      </c>
      <c r="DO26" s="492"/>
      <c r="DP26" s="492"/>
      <c r="DQ26" s="492"/>
      <c r="DR26" s="492"/>
      <c r="DS26" s="492"/>
      <c r="DT26" s="492"/>
      <c r="DU26" s="492"/>
      <c r="DV26" s="492"/>
      <c r="DW26" s="492"/>
      <c r="DX26" s="492"/>
      <c r="DY26" s="492"/>
      <c r="DZ26" s="492"/>
      <c r="EA26" s="493">
        <f t="shared" si="51"/>
        <v>0</v>
      </c>
      <c r="EB26" s="492"/>
      <c r="EC26" s="492"/>
      <c r="ED26" s="492"/>
      <c r="EE26" s="492"/>
      <c r="EF26" s="492"/>
      <c r="EG26" s="492"/>
      <c r="EH26" s="492"/>
      <c r="EI26" s="492"/>
      <c r="EJ26" s="492"/>
      <c r="EK26" s="492"/>
      <c r="EL26" s="492"/>
      <c r="EM26" s="492"/>
      <c r="EN26" s="493">
        <f t="shared" si="52"/>
        <v>0</v>
      </c>
      <c r="EO26" s="492"/>
      <c r="EP26" s="492"/>
      <c r="EQ26" s="492"/>
      <c r="ER26" s="492"/>
      <c r="ES26" s="492"/>
      <c r="ET26" s="492"/>
      <c r="EU26" s="492"/>
      <c r="EV26" s="492"/>
      <c r="EW26" s="492"/>
      <c r="EX26" s="492"/>
      <c r="EY26" s="492"/>
      <c r="EZ26" s="492"/>
      <c r="FA26" s="493">
        <f t="shared" si="53"/>
        <v>0</v>
      </c>
      <c r="FC26" s="560" t="str" cm="1">
        <f t="array" ref="FC26">IFERROR(((
_xlfn.XLOOKUP((DATE(YEAR($FC$5),MONTH($FC$5),1)),UCA.COSECHAS.DATE,$B26:$FA26) /
_xlfn.XLOOKUP((DATE(YEAR($FC$5)-1,MONTH($FC$5),1)),UCA.COSECHAS.DATE,$B26:$FA26)
)-1)*100,"")</f>
        <v/>
      </c>
      <c r="FD26" s="561" t="str">
        <f t="shared" si="54"/>
        <v/>
      </c>
      <c r="FE26" s="562" cm="1">
        <f t="array" ref="FE26">SUMIFS($B26:$FA26,UCA.COSECHAS.DATE,"&gt;="&amp;DATE(YEAR($FC$5)-1,1,1),UCA.COSECHAS.DATE,"&lt;="&amp;DATE(YEAR($FC$5)-1,MONTH($FC$5),1))</f>
        <v>0</v>
      </c>
      <c r="FF26" s="665" cm="1">
        <f t="array" ref="FF26">SUMIFS($B26:$FA26,UCA.COSECHAS.DATE,"&gt;="&amp;DATE(YEAR($FC$5),1,1),UCA.COSECHAS.DATE,"&lt;="&amp;$FC$5)</f>
        <v>0</v>
      </c>
      <c r="FG26" s="648"/>
      <c r="FH26" s="498">
        <f t="shared" si="55"/>
        <v>2106</v>
      </c>
      <c r="FI26" s="499" t="s">
        <v>187</v>
      </c>
      <c r="FJ26" s="500" t="str">
        <f t="shared" si="56"/>
        <v>OK</v>
      </c>
    </row>
    <row r="27" spans="1:166" ht="15" customHeight="1" x14ac:dyDescent="0.25">
      <c r="A27" s="650" t="s">
        <v>175</v>
      </c>
      <c r="B27" s="492"/>
      <c r="C27" s="492"/>
      <c r="D27" s="492"/>
      <c r="E27" s="492"/>
      <c r="F27" s="492"/>
      <c r="G27" s="492"/>
      <c r="H27" s="492"/>
      <c r="I27" s="492"/>
      <c r="J27" s="492"/>
      <c r="K27" s="492"/>
      <c r="L27" s="492"/>
      <c r="M27" s="492">
        <v>553</v>
      </c>
      <c r="N27" s="493">
        <f t="shared" si="42"/>
        <v>553</v>
      </c>
      <c r="O27" s="492"/>
      <c r="P27" s="492"/>
      <c r="Q27" s="492"/>
      <c r="R27" s="492"/>
      <c r="S27" s="492"/>
      <c r="T27" s="492"/>
      <c r="U27" s="492"/>
      <c r="V27" s="492"/>
      <c r="W27" s="492"/>
      <c r="X27" s="492"/>
      <c r="Y27" s="492"/>
      <c r="Z27" s="492">
        <v>563</v>
      </c>
      <c r="AA27" s="493">
        <f t="shared" si="43"/>
        <v>563</v>
      </c>
      <c r="AB27" s="492"/>
      <c r="AC27" s="492"/>
      <c r="AD27" s="492"/>
      <c r="AE27" s="492"/>
      <c r="AF27" s="492"/>
      <c r="AG27" s="492"/>
      <c r="AH27" s="492"/>
      <c r="AI27" s="492"/>
      <c r="AJ27" s="492"/>
      <c r="AK27" s="492"/>
      <c r="AL27" s="492"/>
      <c r="AM27" s="492">
        <v>617</v>
      </c>
      <c r="AN27" s="493">
        <f t="shared" si="44"/>
        <v>617</v>
      </c>
      <c r="AO27" s="492"/>
      <c r="AP27" s="492"/>
      <c r="AQ27" s="492"/>
      <c r="AR27" s="492"/>
      <c r="AS27" s="492"/>
      <c r="AT27" s="492"/>
      <c r="AU27" s="492"/>
      <c r="AV27" s="492"/>
      <c r="AW27" s="492"/>
      <c r="AX27" s="492"/>
      <c r="AY27" s="492"/>
      <c r="AZ27" s="492">
        <v>577</v>
      </c>
      <c r="BA27" s="493">
        <f t="shared" si="45"/>
        <v>577</v>
      </c>
      <c r="BB27" s="492"/>
      <c r="BC27" s="492"/>
      <c r="BD27" s="492"/>
      <c r="BE27" s="492"/>
      <c r="BF27" s="492"/>
      <c r="BG27" s="492"/>
      <c r="BH27" s="492"/>
      <c r="BI27" s="492"/>
      <c r="BJ27" s="492"/>
      <c r="BK27" s="492"/>
      <c r="BL27" s="492"/>
      <c r="BM27" s="492">
        <v>366</v>
      </c>
      <c r="BN27" s="493">
        <f t="shared" si="46"/>
        <v>366</v>
      </c>
      <c r="BO27" s="492"/>
      <c r="BP27" s="492"/>
      <c r="BQ27" s="492"/>
      <c r="BR27" s="492"/>
      <c r="BS27" s="492"/>
      <c r="BT27" s="492"/>
      <c r="BU27" s="492"/>
      <c r="BV27" s="492"/>
      <c r="BW27" s="492"/>
      <c r="BX27" s="492"/>
      <c r="BY27" s="492"/>
      <c r="BZ27" s="492">
        <v>494</v>
      </c>
      <c r="CA27" s="493">
        <f t="shared" si="47"/>
        <v>494</v>
      </c>
      <c r="CB27" s="492"/>
      <c r="CC27" s="492"/>
      <c r="CD27" s="492"/>
      <c r="CE27" s="492"/>
      <c r="CF27" s="492"/>
      <c r="CG27" s="492"/>
      <c r="CH27" s="492"/>
      <c r="CI27" s="492"/>
      <c r="CJ27" s="492"/>
      <c r="CK27" s="492"/>
      <c r="CL27" s="492"/>
      <c r="CM27" s="492">
        <v>730</v>
      </c>
      <c r="CN27" s="493">
        <f t="shared" si="48"/>
        <v>730</v>
      </c>
      <c r="CO27" s="492"/>
      <c r="CP27" s="492"/>
      <c r="CQ27" s="492"/>
      <c r="CR27" s="492"/>
      <c r="CS27" s="492"/>
      <c r="CT27" s="492"/>
      <c r="CU27" s="492"/>
      <c r="CV27" s="492"/>
      <c r="CW27" s="492"/>
      <c r="CX27" s="492"/>
      <c r="CY27" s="492"/>
      <c r="CZ27" s="492">
        <v>766.47</v>
      </c>
      <c r="DA27" s="493">
        <f t="shared" si="49"/>
        <v>766.47</v>
      </c>
      <c r="DB27" s="492"/>
      <c r="DC27" s="492"/>
      <c r="DD27" s="492"/>
      <c r="DE27" s="492"/>
      <c r="DF27" s="492"/>
      <c r="DG27" s="492"/>
      <c r="DH27" s="492"/>
      <c r="DI27" s="492"/>
      <c r="DJ27" s="492"/>
      <c r="DK27" s="492"/>
      <c r="DL27" s="492"/>
      <c r="DM27" s="492">
        <v>648</v>
      </c>
      <c r="DN27" s="493">
        <f t="shared" si="50"/>
        <v>648</v>
      </c>
      <c r="DO27" s="492"/>
      <c r="DP27" s="492"/>
      <c r="DQ27" s="492"/>
      <c r="DR27" s="492"/>
      <c r="DS27" s="492"/>
      <c r="DT27" s="492"/>
      <c r="DU27" s="492"/>
      <c r="DV27" s="492"/>
      <c r="DW27" s="492"/>
      <c r="DX27" s="492"/>
      <c r="DY27" s="492"/>
      <c r="DZ27" s="492">
        <v>289</v>
      </c>
      <c r="EA27" s="493">
        <f t="shared" si="51"/>
        <v>289</v>
      </c>
      <c r="EB27" s="492"/>
      <c r="EC27" s="492"/>
      <c r="ED27" s="492"/>
      <c r="EE27" s="492"/>
      <c r="EF27" s="492"/>
      <c r="EG27" s="492"/>
      <c r="EH27" s="492"/>
      <c r="EI27" s="492"/>
      <c r="EJ27" s="492"/>
      <c r="EK27" s="492"/>
      <c r="EL27" s="492"/>
      <c r="EM27" s="492"/>
      <c r="EN27" s="493">
        <f t="shared" si="52"/>
        <v>0</v>
      </c>
      <c r="EO27" s="492"/>
      <c r="EP27" s="492"/>
      <c r="EQ27" s="492"/>
      <c r="ER27" s="492"/>
      <c r="ES27" s="492"/>
      <c r="ET27" s="492"/>
      <c r="EU27" s="492"/>
      <c r="EV27" s="492"/>
      <c r="EW27" s="492"/>
      <c r="EX27" s="492"/>
      <c r="EY27" s="492"/>
      <c r="EZ27" s="492"/>
      <c r="FA27" s="493">
        <f t="shared" si="53"/>
        <v>0</v>
      </c>
      <c r="FC27" s="560" t="str" cm="1">
        <f t="array" ref="FC27">IFERROR(((
_xlfn.XLOOKUP((DATE(YEAR($FC$5),MONTH($FC$5),1)),UCA.COSECHAS.DATE,$B27:$FA27) /
_xlfn.XLOOKUP((DATE(YEAR($FC$5)-1,MONTH($FC$5),1)),UCA.COSECHAS.DATE,$B27:$FA27)
)-1)*100,"")</f>
        <v/>
      </c>
      <c r="FD27" s="561" t="str">
        <f t="shared" si="54"/>
        <v/>
      </c>
      <c r="FE27" s="562" cm="1">
        <f t="array" ref="FE27">SUMIFS($B27:$FA27,UCA.COSECHAS.DATE,"&gt;="&amp;DATE(YEAR($FC$5)-1,1,1),UCA.COSECHAS.DATE,"&lt;="&amp;DATE(YEAR($FC$5)-1,MONTH($FC$5),1))</f>
        <v>0</v>
      </c>
      <c r="FF27" s="665" cm="1">
        <f t="array" ref="FF27">SUMIFS($B27:$FA27,UCA.COSECHAS.DATE,"&gt;="&amp;DATE(YEAR($FC$5),1,1),UCA.COSECHAS.DATE,"&lt;="&amp;$FC$5)</f>
        <v>0</v>
      </c>
      <c r="FG27" s="648"/>
      <c r="FH27" s="498">
        <f t="shared" si="55"/>
        <v>11206.939999999999</v>
      </c>
      <c r="FI27" s="499" t="s">
        <v>175</v>
      </c>
      <c r="FJ27" s="500" t="str">
        <f t="shared" si="56"/>
        <v>OK</v>
      </c>
    </row>
    <row r="28" spans="1:166" ht="15" customHeight="1" x14ac:dyDescent="0.25">
      <c r="A28" s="650" t="s">
        <v>169</v>
      </c>
      <c r="B28" s="492"/>
      <c r="C28" s="492"/>
      <c r="D28" s="492"/>
      <c r="E28" s="492"/>
      <c r="F28" s="492"/>
      <c r="G28" s="492"/>
      <c r="H28" s="492"/>
      <c r="I28" s="492"/>
      <c r="J28" s="492"/>
      <c r="K28" s="492"/>
      <c r="L28" s="492"/>
      <c r="M28" s="492">
        <v>21400</v>
      </c>
      <c r="N28" s="493">
        <f t="shared" si="42"/>
        <v>21400</v>
      </c>
      <c r="O28" s="492"/>
      <c r="P28" s="492"/>
      <c r="Q28" s="492"/>
      <c r="R28" s="492"/>
      <c r="S28" s="492"/>
      <c r="T28" s="492"/>
      <c r="U28" s="492"/>
      <c r="V28" s="492"/>
      <c r="W28" s="492"/>
      <c r="X28" s="492"/>
      <c r="Y28" s="492"/>
      <c r="Z28" s="492">
        <v>19828</v>
      </c>
      <c r="AA28" s="493">
        <f t="shared" si="43"/>
        <v>19828</v>
      </c>
      <c r="AB28" s="492"/>
      <c r="AC28" s="492"/>
      <c r="AD28" s="492"/>
      <c r="AE28" s="492"/>
      <c r="AF28" s="492"/>
      <c r="AG28" s="492"/>
      <c r="AH28" s="492"/>
      <c r="AI28" s="492"/>
      <c r="AJ28" s="492"/>
      <c r="AK28" s="492"/>
      <c r="AL28" s="492"/>
      <c r="AM28" s="492">
        <v>18783</v>
      </c>
      <c r="AN28" s="493">
        <f t="shared" si="44"/>
        <v>18783</v>
      </c>
      <c r="AO28" s="492"/>
      <c r="AP28" s="492"/>
      <c r="AQ28" s="492"/>
      <c r="AR28" s="492"/>
      <c r="AS28" s="492"/>
      <c r="AT28" s="492"/>
      <c r="AU28" s="492"/>
      <c r="AV28" s="492"/>
      <c r="AW28" s="492"/>
      <c r="AX28" s="492"/>
      <c r="AY28" s="492"/>
      <c r="AZ28" s="492">
        <v>19438</v>
      </c>
      <c r="BA28" s="493">
        <f t="shared" si="45"/>
        <v>19438</v>
      </c>
      <c r="BB28" s="492"/>
      <c r="BC28" s="492"/>
      <c r="BD28" s="492"/>
      <c r="BE28" s="492"/>
      <c r="BF28" s="492"/>
      <c r="BG28" s="492"/>
      <c r="BH28" s="492"/>
      <c r="BI28" s="492"/>
      <c r="BJ28" s="492"/>
      <c r="BK28" s="492"/>
      <c r="BL28" s="492"/>
      <c r="BM28" s="492">
        <v>14941</v>
      </c>
      <c r="BN28" s="493">
        <f t="shared" si="46"/>
        <v>14941</v>
      </c>
      <c r="BO28" s="492"/>
      <c r="BP28" s="492"/>
      <c r="BQ28" s="492"/>
      <c r="BR28" s="492"/>
      <c r="BS28" s="492"/>
      <c r="BT28" s="492"/>
      <c r="BU28" s="492"/>
      <c r="BV28" s="492"/>
      <c r="BW28" s="492"/>
      <c r="BX28" s="492"/>
      <c r="BY28" s="492"/>
      <c r="BZ28" s="492">
        <v>20310</v>
      </c>
      <c r="CA28" s="493">
        <f t="shared" si="47"/>
        <v>20310</v>
      </c>
      <c r="CB28" s="492"/>
      <c r="CC28" s="492"/>
      <c r="CD28" s="492"/>
      <c r="CE28" s="492"/>
      <c r="CF28" s="492"/>
      <c r="CG28" s="492"/>
      <c r="CH28" s="492"/>
      <c r="CI28" s="492"/>
      <c r="CJ28" s="492"/>
      <c r="CK28" s="492"/>
      <c r="CL28" s="492"/>
      <c r="CM28" s="492">
        <v>20740</v>
      </c>
      <c r="CN28" s="493">
        <f t="shared" si="48"/>
        <v>20740</v>
      </c>
      <c r="CO28" s="492"/>
      <c r="CP28" s="492"/>
      <c r="CQ28" s="492"/>
      <c r="CR28" s="492"/>
      <c r="CS28" s="492"/>
      <c r="CT28" s="492"/>
      <c r="CU28" s="492"/>
      <c r="CV28" s="492"/>
      <c r="CW28" s="492"/>
      <c r="CX28" s="492"/>
      <c r="CY28" s="492"/>
      <c r="CZ28" s="492">
        <v>19459</v>
      </c>
      <c r="DA28" s="493">
        <f t="shared" si="49"/>
        <v>19459</v>
      </c>
      <c r="DB28" s="492"/>
      <c r="DC28" s="492"/>
      <c r="DD28" s="492"/>
      <c r="DE28" s="492"/>
      <c r="DF28" s="492"/>
      <c r="DG28" s="492"/>
      <c r="DH28" s="492"/>
      <c r="DI28" s="492"/>
      <c r="DJ28" s="492"/>
      <c r="DK28" s="492"/>
      <c r="DL28" s="492"/>
      <c r="DM28" s="492">
        <v>20789</v>
      </c>
      <c r="DN28" s="493">
        <f t="shared" si="50"/>
        <v>20789</v>
      </c>
      <c r="DO28" s="492"/>
      <c r="DP28" s="492"/>
      <c r="DQ28" s="492"/>
      <c r="DR28" s="492"/>
      <c r="DS28" s="492"/>
      <c r="DT28" s="492"/>
      <c r="DU28" s="492"/>
      <c r="DV28" s="492"/>
      <c r="DW28" s="492"/>
      <c r="DX28" s="492"/>
      <c r="DY28" s="492"/>
      <c r="DZ28" s="492">
        <v>19526</v>
      </c>
      <c r="EA28" s="493">
        <f t="shared" si="51"/>
        <v>19526</v>
      </c>
      <c r="EB28" s="492"/>
      <c r="EC28" s="492"/>
      <c r="ED28" s="492"/>
      <c r="EE28" s="492"/>
      <c r="EF28" s="492"/>
      <c r="EG28" s="492"/>
      <c r="EH28" s="492"/>
      <c r="EI28" s="492"/>
      <c r="EJ28" s="492"/>
      <c r="EK28" s="492"/>
      <c r="EL28" s="492"/>
      <c r="EM28" s="492"/>
      <c r="EN28" s="493">
        <f t="shared" si="52"/>
        <v>0</v>
      </c>
      <c r="EO28" s="492"/>
      <c r="EP28" s="492"/>
      <c r="EQ28" s="492"/>
      <c r="ER28" s="492"/>
      <c r="ES28" s="492"/>
      <c r="ET28" s="492"/>
      <c r="EU28" s="492"/>
      <c r="EV28" s="492"/>
      <c r="EW28" s="492"/>
      <c r="EX28" s="492"/>
      <c r="EY28" s="492"/>
      <c r="EZ28" s="492"/>
      <c r="FA28" s="493">
        <f t="shared" si="53"/>
        <v>0</v>
      </c>
      <c r="FC28" s="560" t="str" cm="1">
        <f t="array" ref="FC28">IFERROR(((
_xlfn.XLOOKUP((DATE(YEAR($FC$5),MONTH($FC$5),1)),UCA.COSECHAS.DATE,$B28:$FA28) /
_xlfn.XLOOKUP((DATE(YEAR($FC$5)-1,MONTH($FC$5),1)),UCA.COSECHAS.DATE,$B28:$FA28)
)-1)*100,"")</f>
        <v/>
      </c>
      <c r="FD28" s="561" t="str">
        <f t="shared" si="54"/>
        <v/>
      </c>
      <c r="FE28" s="562" cm="1">
        <f t="array" ref="FE28">SUMIFS($B28:$FA28,UCA.COSECHAS.DATE,"&gt;="&amp;DATE(YEAR($FC$5)-1,1,1),UCA.COSECHAS.DATE,"&lt;="&amp;DATE(YEAR($FC$5)-1,MONTH($FC$5),1))</f>
        <v>0</v>
      </c>
      <c r="FF28" s="665" cm="1">
        <f t="array" ref="FF28">SUMIFS($B28:$FA28,UCA.COSECHAS.DATE,"&gt;="&amp;DATE(YEAR($FC$5),1,1),UCA.COSECHAS.DATE,"&lt;="&amp;$FC$5)</f>
        <v>0</v>
      </c>
      <c r="FG28" s="648"/>
      <c r="FH28" s="498">
        <f t="shared" si="55"/>
        <v>390428</v>
      </c>
      <c r="FI28" s="499" t="s">
        <v>169</v>
      </c>
      <c r="FJ28" s="500" t="str">
        <f t="shared" si="56"/>
        <v>OK</v>
      </c>
    </row>
    <row r="29" spans="1:166" ht="15" customHeight="1" x14ac:dyDescent="0.25">
      <c r="A29" s="650" t="s">
        <v>627</v>
      </c>
      <c r="B29" s="492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3">
        <f t="shared" si="42"/>
        <v>0</v>
      </c>
      <c r="O29" s="492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3">
        <f t="shared" si="43"/>
        <v>0</v>
      </c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3">
        <f t="shared" si="44"/>
        <v>0</v>
      </c>
      <c r="AO29" s="492"/>
      <c r="AP29" s="492"/>
      <c r="AQ29" s="492"/>
      <c r="AR29" s="492"/>
      <c r="AS29" s="492"/>
      <c r="AT29" s="492"/>
      <c r="AU29" s="492"/>
      <c r="AV29" s="492"/>
      <c r="AW29" s="492"/>
      <c r="AX29" s="492"/>
      <c r="AY29" s="492"/>
      <c r="AZ29" s="492"/>
      <c r="BA29" s="493">
        <f t="shared" si="45"/>
        <v>0</v>
      </c>
      <c r="BB29" s="492"/>
      <c r="BC29" s="492"/>
      <c r="BD29" s="492"/>
      <c r="BE29" s="492"/>
      <c r="BF29" s="492"/>
      <c r="BG29" s="492"/>
      <c r="BH29" s="492"/>
      <c r="BI29" s="492"/>
      <c r="BJ29" s="492"/>
      <c r="BK29" s="492"/>
      <c r="BL29" s="492"/>
      <c r="BM29" s="492"/>
      <c r="BN29" s="493">
        <f t="shared" si="46"/>
        <v>0</v>
      </c>
      <c r="BO29" s="492"/>
      <c r="BP29" s="492"/>
      <c r="BQ29" s="492"/>
      <c r="BR29" s="492"/>
      <c r="BS29" s="492"/>
      <c r="BT29" s="492"/>
      <c r="BU29" s="492"/>
      <c r="BV29" s="492"/>
      <c r="BW29" s="492"/>
      <c r="BX29" s="492"/>
      <c r="BY29" s="492"/>
      <c r="BZ29" s="492"/>
      <c r="CA29" s="493">
        <f t="shared" si="47"/>
        <v>0</v>
      </c>
      <c r="CB29" s="492"/>
      <c r="CC29" s="492"/>
      <c r="CD29" s="492"/>
      <c r="CE29" s="492"/>
      <c r="CF29" s="492"/>
      <c r="CG29" s="492"/>
      <c r="CH29" s="492"/>
      <c r="CI29" s="492"/>
      <c r="CJ29" s="492"/>
      <c r="CK29" s="492"/>
      <c r="CL29" s="492"/>
      <c r="CM29" s="492"/>
      <c r="CN29" s="493">
        <f t="shared" si="48"/>
        <v>0</v>
      </c>
      <c r="CO29" s="492"/>
      <c r="CP29" s="492"/>
      <c r="CQ29" s="492"/>
      <c r="CR29" s="492"/>
      <c r="CS29" s="492"/>
      <c r="CT29" s="492"/>
      <c r="CU29" s="492"/>
      <c r="CV29" s="492"/>
      <c r="CW29" s="492"/>
      <c r="CX29" s="492"/>
      <c r="CY29" s="492"/>
      <c r="CZ29" s="492"/>
      <c r="DA29" s="493">
        <f t="shared" si="49"/>
        <v>0</v>
      </c>
      <c r="DB29" s="492"/>
      <c r="DC29" s="492"/>
      <c r="DD29" s="492"/>
      <c r="DE29" s="492"/>
      <c r="DF29" s="492"/>
      <c r="DG29" s="492"/>
      <c r="DH29" s="492"/>
      <c r="DI29" s="492"/>
      <c r="DJ29" s="492"/>
      <c r="DK29" s="492"/>
      <c r="DL29" s="492"/>
      <c r="DM29" s="492"/>
      <c r="DN29" s="493">
        <f t="shared" si="50"/>
        <v>0</v>
      </c>
      <c r="DO29" s="492"/>
      <c r="DP29" s="492"/>
      <c r="DQ29" s="492"/>
      <c r="DR29" s="492"/>
      <c r="DS29" s="492"/>
      <c r="DT29" s="492"/>
      <c r="DU29" s="492"/>
      <c r="DV29" s="492"/>
      <c r="DW29" s="492"/>
      <c r="DX29" s="492"/>
      <c r="DY29" s="492"/>
      <c r="DZ29" s="492"/>
      <c r="EA29" s="493">
        <f t="shared" si="51"/>
        <v>0</v>
      </c>
      <c r="EB29" s="492"/>
      <c r="EC29" s="492"/>
      <c r="ED29" s="492"/>
      <c r="EE29" s="492"/>
      <c r="EF29" s="492"/>
      <c r="EG29" s="492"/>
      <c r="EH29" s="492"/>
      <c r="EI29" s="492"/>
      <c r="EJ29" s="492"/>
      <c r="EK29" s="492"/>
      <c r="EL29" s="492"/>
      <c r="EM29" s="492"/>
      <c r="EN29" s="493">
        <f t="shared" si="52"/>
        <v>0</v>
      </c>
      <c r="EO29" s="492"/>
      <c r="EP29" s="492"/>
      <c r="EQ29" s="492"/>
      <c r="ER29" s="492"/>
      <c r="ES29" s="492"/>
      <c r="ET29" s="492"/>
      <c r="EU29" s="492"/>
      <c r="EV29" s="492"/>
      <c r="EW29" s="492"/>
      <c r="EX29" s="492"/>
      <c r="EY29" s="492"/>
      <c r="EZ29" s="492"/>
      <c r="FA29" s="493">
        <f t="shared" si="53"/>
        <v>0</v>
      </c>
      <c r="FC29" s="560" t="str" cm="1">
        <f t="array" ref="FC29">IFERROR(((
_xlfn.XLOOKUP((DATE(YEAR($FC$5),MONTH($FC$5),1)),UCA.COSECHAS.DATE,$B29:$FA29) /
_xlfn.XLOOKUP((DATE(YEAR($FC$5)-1,MONTH($FC$5),1)),UCA.COSECHAS.DATE,$B29:$FA29)
)-1)*100,"")</f>
        <v/>
      </c>
      <c r="FD29" s="561" t="str">
        <f t="shared" si="54"/>
        <v/>
      </c>
      <c r="FE29" s="562" cm="1">
        <f t="array" ref="FE29">SUMIFS($B29:$FA29,UCA.COSECHAS.DATE,"&gt;="&amp;DATE(YEAR($FC$5)-1,1,1),UCA.COSECHAS.DATE,"&lt;="&amp;DATE(YEAR($FC$5)-1,MONTH($FC$5),1))</f>
        <v>0</v>
      </c>
      <c r="FF29" s="665" cm="1">
        <f t="array" ref="FF29">SUMIFS($B29:$FA29,UCA.COSECHAS.DATE,"&gt;="&amp;DATE(YEAR($FC$5),1,1),UCA.COSECHAS.DATE,"&lt;="&amp;$FC$5)</f>
        <v>0</v>
      </c>
      <c r="FG29" s="648"/>
      <c r="FH29" s="498">
        <f t="shared" si="55"/>
        <v>0</v>
      </c>
      <c r="FI29" s="499" t="s">
        <v>627</v>
      </c>
      <c r="FJ29" s="500" t="str">
        <f t="shared" si="56"/>
        <v>OK</v>
      </c>
    </row>
    <row r="30" spans="1:166" ht="15" customHeight="1" x14ac:dyDescent="0.25">
      <c r="A30" s="650" t="s">
        <v>178</v>
      </c>
      <c r="B30" s="492"/>
      <c r="C30" s="492"/>
      <c r="D30" s="492"/>
      <c r="E30" s="492"/>
      <c r="F30" s="492"/>
      <c r="G30" s="492"/>
      <c r="H30" s="492">
        <v>9</v>
      </c>
      <c r="I30" s="492">
        <v>42</v>
      </c>
      <c r="J30" s="492">
        <v>59</v>
      </c>
      <c r="K30" s="492">
        <v>50</v>
      </c>
      <c r="L30" s="492">
        <v>13</v>
      </c>
      <c r="M30" s="492">
        <v>8</v>
      </c>
      <c r="N30" s="493">
        <f t="shared" si="42"/>
        <v>181</v>
      </c>
      <c r="O30" s="492">
        <v>2</v>
      </c>
      <c r="P30" s="492">
        <v>3</v>
      </c>
      <c r="Q30" s="492"/>
      <c r="R30" s="492"/>
      <c r="S30" s="492"/>
      <c r="T30" s="492"/>
      <c r="U30" s="492">
        <v>5</v>
      </c>
      <c r="V30" s="492">
        <v>37</v>
      </c>
      <c r="W30" s="492">
        <v>32</v>
      </c>
      <c r="X30" s="492">
        <v>21</v>
      </c>
      <c r="Y30" s="492">
        <v>8</v>
      </c>
      <c r="Z30" s="492">
        <v>2</v>
      </c>
      <c r="AA30" s="493">
        <f t="shared" si="43"/>
        <v>110</v>
      </c>
      <c r="AB30" s="492"/>
      <c r="AC30" s="492"/>
      <c r="AD30" s="492"/>
      <c r="AE30" s="492"/>
      <c r="AF30" s="492"/>
      <c r="AG30" s="492"/>
      <c r="AH30" s="492">
        <v>20</v>
      </c>
      <c r="AI30" s="492">
        <v>61</v>
      </c>
      <c r="AJ30" s="492">
        <v>37</v>
      </c>
      <c r="AK30" s="492">
        <v>22</v>
      </c>
      <c r="AL30" s="492">
        <v>2</v>
      </c>
      <c r="AM30" s="492"/>
      <c r="AN30" s="493">
        <f t="shared" si="44"/>
        <v>142</v>
      </c>
      <c r="AO30" s="492">
        <v>2</v>
      </c>
      <c r="AP30" s="492">
        <v>1</v>
      </c>
      <c r="AQ30" s="492">
        <v>2</v>
      </c>
      <c r="AR30" s="492"/>
      <c r="AS30" s="492"/>
      <c r="AT30" s="492"/>
      <c r="AU30" s="492">
        <v>20</v>
      </c>
      <c r="AV30" s="492">
        <v>92</v>
      </c>
      <c r="AW30" s="492">
        <v>49</v>
      </c>
      <c r="AX30" s="492">
        <v>32</v>
      </c>
      <c r="AY30" s="492">
        <v>6</v>
      </c>
      <c r="AZ30" s="492">
        <v>6</v>
      </c>
      <c r="BA30" s="493">
        <f t="shared" si="45"/>
        <v>210</v>
      </c>
      <c r="BB30" s="492"/>
      <c r="BC30" s="492"/>
      <c r="BD30" s="492"/>
      <c r="BE30" s="492"/>
      <c r="BF30" s="492"/>
      <c r="BG30" s="492"/>
      <c r="BH30" s="492">
        <v>10</v>
      </c>
      <c r="BI30" s="492">
        <v>27</v>
      </c>
      <c r="BJ30" s="492">
        <v>78</v>
      </c>
      <c r="BK30" s="492">
        <v>103</v>
      </c>
      <c r="BL30" s="492">
        <v>18</v>
      </c>
      <c r="BM30" s="492">
        <v>8</v>
      </c>
      <c r="BN30" s="493">
        <f t="shared" si="46"/>
        <v>244</v>
      </c>
      <c r="BO30" s="492">
        <v>2</v>
      </c>
      <c r="BP30" s="492">
        <v>2</v>
      </c>
      <c r="BQ30" s="492"/>
      <c r="BR30" s="492"/>
      <c r="BS30" s="492"/>
      <c r="BT30" s="492"/>
      <c r="BU30" s="492">
        <v>29</v>
      </c>
      <c r="BV30" s="492">
        <v>133</v>
      </c>
      <c r="BW30" s="492">
        <v>81</v>
      </c>
      <c r="BX30" s="492">
        <v>23</v>
      </c>
      <c r="BY30" s="492">
        <v>1</v>
      </c>
      <c r="BZ30" s="492">
        <v>10</v>
      </c>
      <c r="CA30" s="493">
        <f t="shared" si="47"/>
        <v>281</v>
      </c>
      <c r="CB30" s="492">
        <v>7</v>
      </c>
      <c r="CC30" s="492">
        <v>4</v>
      </c>
      <c r="CD30" s="492"/>
      <c r="CE30" s="492"/>
      <c r="CF30" s="492"/>
      <c r="CG30" s="492"/>
      <c r="CH30" s="492">
        <v>17</v>
      </c>
      <c r="CI30" s="492">
        <v>145</v>
      </c>
      <c r="CJ30" s="492">
        <v>79</v>
      </c>
      <c r="CK30" s="492">
        <v>43</v>
      </c>
      <c r="CL30" s="492">
        <v>37</v>
      </c>
      <c r="CM30" s="492">
        <v>11</v>
      </c>
      <c r="CN30" s="493">
        <f t="shared" si="48"/>
        <v>343</v>
      </c>
      <c r="CO30" s="492"/>
      <c r="CP30" s="492">
        <v>5</v>
      </c>
      <c r="CQ30" s="492"/>
      <c r="CR30" s="492"/>
      <c r="CS30" s="492"/>
      <c r="CT30" s="492"/>
      <c r="CU30" s="492">
        <v>3</v>
      </c>
      <c r="CV30" s="492">
        <v>77</v>
      </c>
      <c r="CW30" s="492">
        <v>58</v>
      </c>
      <c r="CX30" s="492">
        <v>32</v>
      </c>
      <c r="CY30" s="492">
        <v>9</v>
      </c>
      <c r="CZ30" s="492">
        <v>20</v>
      </c>
      <c r="DA30" s="493">
        <f t="shared" si="49"/>
        <v>204</v>
      </c>
      <c r="DB30" s="492">
        <v>13</v>
      </c>
      <c r="DC30" s="492">
        <v>6</v>
      </c>
      <c r="DD30" s="492"/>
      <c r="DE30" s="492"/>
      <c r="DF30" s="492"/>
      <c r="DG30" s="492"/>
      <c r="DH30" s="492"/>
      <c r="DI30" s="492">
        <v>41</v>
      </c>
      <c r="DJ30" s="492">
        <v>69</v>
      </c>
      <c r="DK30" s="492">
        <v>47</v>
      </c>
      <c r="DL30" s="492">
        <v>0.5</v>
      </c>
      <c r="DM30" s="492">
        <v>5</v>
      </c>
      <c r="DN30" s="493">
        <f t="shared" si="50"/>
        <v>181.5</v>
      </c>
      <c r="DO30" s="492">
        <v>14</v>
      </c>
      <c r="DP30" s="492"/>
      <c r="DQ30" s="492"/>
      <c r="DR30" s="492"/>
      <c r="DS30" s="492"/>
      <c r="DT30" s="492"/>
      <c r="DU30" s="492">
        <v>3</v>
      </c>
      <c r="DV30" s="492">
        <v>150</v>
      </c>
      <c r="DW30" s="492">
        <v>151</v>
      </c>
      <c r="DX30" s="492">
        <v>46</v>
      </c>
      <c r="DY30" s="492">
        <v>48</v>
      </c>
      <c r="DZ30" s="492">
        <v>35</v>
      </c>
      <c r="EA30" s="493">
        <f t="shared" si="51"/>
        <v>447</v>
      </c>
      <c r="EB30" s="492">
        <v>8</v>
      </c>
      <c r="EC30" s="492"/>
      <c r="ED30" s="492"/>
      <c r="EE30" s="492"/>
      <c r="EF30" s="492"/>
      <c r="EG30" s="492"/>
      <c r="EH30" s="492">
        <v>1.5</v>
      </c>
      <c r="EI30" s="492">
        <v>94</v>
      </c>
      <c r="EJ30" s="492">
        <v>96</v>
      </c>
      <c r="EK30" s="492">
        <v>68</v>
      </c>
      <c r="EL30" s="492">
        <v>15</v>
      </c>
      <c r="EM30" s="492"/>
      <c r="EN30" s="493">
        <f t="shared" si="52"/>
        <v>282.5</v>
      </c>
      <c r="EO30" s="492"/>
      <c r="EP30" s="492"/>
      <c r="EQ30" s="492"/>
      <c r="ER30" s="492"/>
      <c r="ES30" s="492"/>
      <c r="ET30" s="492"/>
      <c r="EU30" s="492"/>
      <c r="EV30" s="492"/>
      <c r="EW30" s="492"/>
      <c r="EX30" s="492"/>
      <c r="EY30" s="492"/>
      <c r="EZ30" s="492"/>
      <c r="FA30" s="493">
        <f t="shared" si="53"/>
        <v>0</v>
      </c>
      <c r="FC30" s="560" cm="1">
        <f t="array" ref="FC30">IFERROR(((
_xlfn.XLOOKUP((DATE(YEAR($FC$5),MONTH($FC$5),1)),UCA.COSECHAS.DATE,$B30:$FA30) /
_xlfn.XLOOKUP((DATE(YEAR($FC$5)-1,MONTH($FC$5),1)),UCA.COSECHAS.DATE,$B30:$FA30)
)-1)*100,"")</f>
        <v>9500</v>
      </c>
      <c r="FD30" s="561">
        <f t="shared" si="54"/>
        <v>133.42776203966005</v>
      </c>
      <c r="FE30" s="562" cm="1">
        <f t="array" ref="FE30">SUMIFS($B30:$FA30,UCA.COSECHAS.DATE,"&gt;="&amp;DATE(YEAR($FC$5)-1,1,1),UCA.COSECHAS.DATE,"&lt;="&amp;DATE(YEAR($FC$5)-1,MONTH($FC$5),1))</f>
        <v>176.5</v>
      </c>
      <c r="FF30" s="665" cm="1">
        <f t="array" ref="FF30">SUMIFS($B30:$FA30,UCA.COSECHAS.DATE,"&gt;="&amp;DATE(YEAR($FC$5),1,1),UCA.COSECHAS.DATE,"&lt;="&amp;$FC$5)</f>
        <v>412</v>
      </c>
      <c r="FG30" s="648"/>
      <c r="FH30" s="498">
        <f t="shared" si="55"/>
        <v>5252</v>
      </c>
      <c r="FI30" s="499" t="s">
        <v>178</v>
      </c>
      <c r="FJ30" s="500" t="str">
        <f t="shared" si="56"/>
        <v>OK</v>
      </c>
    </row>
    <row r="31" spans="1:166" ht="15" customHeight="1" x14ac:dyDescent="0.25">
      <c r="A31" s="650" t="s">
        <v>177</v>
      </c>
      <c r="B31" s="492">
        <v>6</v>
      </c>
      <c r="C31" s="492">
        <v>2</v>
      </c>
      <c r="D31" s="492">
        <v>5</v>
      </c>
      <c r="E31" s="492"/>
      <c r="F31" s="492"/>
      <c r="G31" s="492"/>
      <c r="H31" s="492"/>
      <c r="I31" s="492">
        <v>1</v>
      </c>
      <c r="J31" s="492">
        <v>6</v>
      </c>
      <c r="K31" s="492">
        <v>7</v>
      </c>
      <c r="L31" s="492">
        <v>9</v>
      </c>
      <c r="M31" s="492">
        <v>10</v>
      </c>
      <c r="N31" s="493">
        <f t="shared" si="42"/>
        <v>46</v>
      </c>
      <c r="O31" s="492">
        <v>10</v>
      </c>
      <c r="P31" s="492">
        <v>10</v>
      </c>
      <c r="Q31" s="492">
        <v>6</v>
      </c>
      <c r="R31" s="492">
        <v>6</v>
      </c>
      <c r="S31" s="492">
        <v>3</v>
      </c>
      <c r="T31" s="492"/>
      <c r="U31" s="492"/>
      <c r="V31" s="492"/>
      <c r="W31" s="492">
        <v>2</v>
      </c>
      <c r="X31" s="492">
        <v>12</v>
      </c>
      <c r="Y31" s="492">
        <v>23</v>
      </c>
      <c r="Z31" s="492">
        <v>5</v>
      </c>
      <c r="AA31" s="493">
        <f t="shared" si="43"/>
        <v>77</v>
      </c>
      <c r="AB31" s="492"/>
      <c r="AC31" s="492"/>
      <c r="AD31" s="492"/>
      <c r="AE31" s="492"/>
      <c r="AF31" s="492"/>
      <c r="AG31" s="492"/>
      <c r="AH31" s="492"/>
      <c r="AI31" s="492"/>
      <c r="AJ31" s="492"/>
      <c r="AK31" s="492">
        <v>8</v>
      </c>
      <c r="AL31" s="492">
        <v>25</v>
      </c>
      <c r="AM31" s="492">
        <v>5</v>
      </c>
      <c r="AN31" s="493">
        <f t="shared" si="44"/>
        <v>38</v>
      </c>
      <c r="AO31" s="492"/>
      <c r="AP31" s="492"/>
      <c r="AQ31" s="492"/>
      <c r="AR31" s="492"/>
      <c r="AS31" s="492"/>
      <c r="AT31" s="492"/>
      <c r="AU31" s="492"/>
      <c r="AV31" s="492"/>
      <c r="AW31" s="492">
        <v>1</v>
      </c>
      <c r="AX31" s="492">
        <v>12</v>
      </c>
      <c r="AY31" s="492">
        <v>11</v>
      </c>
      <c r="AZ31" s="492">
        <v>6</v>
      </c>
      <c r="BA31" s="493">
        <f t="shared" si="45"/>
        <v>30</v>
      </c>
      <c r="BB31" s="492">
        <v>1</v>
      </c>
      <c r="BC31" s="492"/>
      <c r="BD31" s="492"/>
      <c r="BE31" s="492"/>
      <c r="BF31" s="492"/>
      <c r="BG31" s="492"/>
      <c r="BH31" s="492">
        <v>1</v>
      </c>
      <c r="BI31" s="492"/>
      <c r="BJ31" s="492">
        <v>2</v>
      </c>
      <c r="BK31" s="492">
        <v>1</v>
      </c>
      <c r="BL31" s="492">
        <v>11</v>
      </c>
      <c r="BM31" s="492">
        <v>13</v>
      </c>
      <c r="BN31" s="493">
        <f t="shared" si="46"/>
        <v>29</v>
      </c>
      <c r="BO31" s="492">
        <v>5</v>
      </c>
      <c r="BP31" s="492">
        <v>3</v>
      </c>
      <c r="BQ31" s="492">
        <v>2</v>
      </c>
      <c r="BR31" s="492">
        <v>2</v>
      </c>
      <c r="BS31" s="492">
        <v>1</v>
      </c>
      <c r="BT31" s="492"/>
      <c r="BU31" s="492"/>
      <c r="BV31" s="492"/>
      <c r="BW31" s="492">
        <v>4</v>
      </c>
      <c r="BX31" s="492">
        <v>29</v>
      </c>
      <c r="BY31" s="492">
        <v>10</v>
      </c>
      <c r="BZ31" s="492">
        <v>16</v>
      </c>
      <c r="CA31" s="493">
        <f t="shared" si="47"/>
        <v>72</v>
      </c>
      <c r="CB31" s="492">
        <v>2</v>
      </c>
      <c r="CC31" s="492">
        <v>10</v>
      </c>
      <c r="CD31" s="492">
        <v>2</v>
      </c>
      <c r="CE31" s="492">
        <v>4</v>
      </c>
      <c r="CF31" s="492"/>
      <c r="CG31" s="492"/>
      <c r="CH31" s="492"/>
      <c r="CI31" s="492">
        <v>2</v>
      </c>
      <c r="CJ31" s="492">
        <v>3</v>
      </c>
      <c r="CK31" s="492">
        <v>11</v>
      </c>
      <c r="CL31" s="492">
        <v>7</v>
      </c>
      <c r="CM31" s="492">
        <v>10</v>
      </c>
      <c r="CN31" s="493">
        <f t="shared" si="48"/>
        <v>51</v>
      </c>
      <c r="CO31" s="492">
        <v>8</v>
      </c>
      <c r="CP31" s="492">
        <v>4</v>
      </c>
      <c r="CQ31" s="492">
        <v>1</v>
      </c>
      <c r="CR31" s="492">
        <v>7</v>
      </c>
      <c r="CS31" s="492"/>
      <c r="CT31" s="492"/>
      <c r="CU31" s="492"/>
      <c r="CV31" s="492"/>
      <c r="CW31" s="492">
        <v>1</v>
      </c>
      <c r="CX31" s="492">
        <v>7</v>
      </c>
      <c r="CY31" s="492">
        <v>17</v>
      </c>
      <c r="CZ31" s="492">
        <v>8</v>
      </c>
      <c r="DA31" s="493">
        <f t="shared" si="49"/>
        <v>53</v>
      </c>
      <c r="DB31" s="492">
        <v>11</v>
      </c>
      <c r="DC31" s="492">
        <v>8</v>
      </c>
      <c r="DD31" s="492">
        <v>5.5</v>
      </c>
      <c r="DE31" s="492">
        <v>8</v>
      </c>
      <c r="DF31" s="492"/>
      <c r="DG31" s="492"/>
      <c r="DH31" s="492">
        <v>2</v>
      </c>
      <c r="DI31" s="492"/>
      <c r="DJ31" s="492">
        <v>3</v>
      </c>
      <c r="DK31" s="492">
        <v>11</v>
      </c>
      <c r="DL31" s="492">
        <v>29</v>
      </c>
      <c r="DM31" s="492">
        <v>7</v>
      </c>
      <c r="DN31" s="493">
        <f t="shared" si="50"/>
        <v>84.5</v>
      </c>
      <c r="DO31" s="492">
        <v>5</v>
      </c>
      <c r="DP31" s="492">
        <v>1</v>
      </c>
      <c r="DQ31" s="492">
        <v>9</v>
      </c>
      <c r="DR31" s="492"/>
      <c r="DS31" s="492"/>
      <c r="DT31" s="492"/>
      <c r="DU31" s="492"/>
      <c r="DV31" s="492"/>
      <c r="DW31" s="492">
        <v>0.5</v>
      </c>
      <c r="DX31" s="492">
        <v>43</v>
      </c>
      <c r="DY31" s="492">
        <v>37</v>
      </c>
      <c r="DZ31" s="492">
        <v>35</v>
      </c>
      <c r="EA31" s="493">
        <f t="shared" si="51"/>
        <v>130.5</v>
      </c>
      <c r="EB31" s="492">
        <v>31.5</v>
      </c>
      <c r="EC31" s="492">
        <v>24</v>
      </c>
      <c r="ED31" s="492">
        <v>13</v>
      </c>
      <c r="EE31" s="492"/>
      <c r="EF31" s="492">
        <v>1</v>
      </c>
      <c r="EG31" s="492"/>
      <c r="EH31" s="492">
        <v>3</v>
      </c>
      <c r="EI31" s="492"/>
      <c r="EJ31" s="492">
        <v>58</v>
      </c>
      <c r="EK31" s="492">
        <v>43</v>
      </c>
      <c r="EL31" s="492">
        <v>40</v>
      </c>
      <c r="EM31" s="492"/>
      <c r="EN31" s="493">
        <f t="shared" si="52"/>
        <v>213.5</v>
      </c>
      <c r="EO31" s="492"/>
      <c r="EP31" s="492"/>
      <c r="EQ31" s="492"/>
      <c r="ER31" s="492"/>
      <c r="ES31" s="492"/>
      <c r="ET31" s="492"/>
      <c r="EU31" s="492"/>
      <c r="EV31" s="492"/>
      <c r="EW31" s="492"/>
      <c r="EX31" s="492"/>
      <c r="EY31" s="492"/>
      <c r="EZ31" s="492"/>
      <c r="FA31" s="493">
        <f t="shared" si="53"/>
        <v>0</v>
      </c>
      <c r="FC31" s="560" cm="1">
        <f t="array" ref="FC31">IFERROR(((
_xlfn.XLOOKUP((DATE(YEAR($FC$5),MONTH($FC$5),1)),UCA.COSECHAS.DATE,$B31:$FA31) /
_xlfn.XLOOKUP((DATE(YEAR($FC$5)-1,MONTH($FC$5),1)),UCA.COSECHAS.DATE,$B31:$FA31)
)-1)*100,"")</f>
        <v>27.586206896551737</v>
      </c>
      <c r="FD31" s="561">
        <f t="shared" si="54"/>
        <v>23.225806451612897</v>
      </c>
      <c r="FE31" s="562" cm="1">
        <f t="array" ref="FE31">SUMIFS($B31:$FA31,UCA.COSECHAS.DATE,"&gt;="&amp;DATE(YEAR($FC$5)-1,1,1),UCA.COSECHAS.DATE,"&lt;="&amp;DATE(YEAR($FC$5)-1,MONTH($FC$5),1))</f>
        <v>77.5</v>
      </c>
      <c r="FF31" s="665" cm="1">
        <f t="array" ref="FF31">SUMIFS($B31:$FA31,UCA.COSECHAS.DATE,"&gt;="&amp;DATE(YEAR($FC$5),1,1),UCA.COSECHAS.DATE,"&lt;="&amp;$FC$5)</f>
        <v>95.5</v>
      </c>
      <c r="FG31" s="648"/>
      <c r="FH31" s="498">
        <f t="shared" si="55"/>
        <v>1649</v>
      </c>
      <c r="FI31" s="499" t="s">
        <v>177</v>
      </c>
      <c r="FJ31" s="500" t="str">
        <f t="shared" si="56"/>
        <v>OK</v>
      </c>
    </row>
    <row r="32" spans="1:166" ht="15" customHeight="1" x14ac:dyDescent="0.25">
      <c r="A32" s="650" t="s">
        <v>170</v>
      </c>
      <c r="B32" s="492">
        <v>1193</v>
      </c>
      <c r="C32" s="492">
        <v>953</v>
      </c>
      <c r="D32" s="492">
        <v>794</v>
      </c>
      <c r="E32" s="492">
        <v>910</v>
      </c>
      <c r="F32" s="492">
        <v>975</v>
      </c>
      <c r="G32" s="492">
        <v>953</v>
      </c>
      <c r="H32" s="492">
        <v>899</v>
      </c>
      <c r="I32" s="492">
        <v>942</v>
      </c>
      <c r="J32" s="492">
        <v>945</v>
      </c>
      <c r="K32" s="492">
        <v>618</v>
      </c>
      <c r="L32" s="492">
        <v>600</v>
      </c>
      <c r="M32" s="492">
        <v>574</v>
      </c>
      <c r="N32" s="493">
        <f t="shared" si="42"/>
        <v>10356</v>
      </c>
      <c r="O32" s="492">
        <v>729</v>
      </c>
      <c r="P32" s="492">
        <v>1054</v>
      </c>
      <c r="Q32" s="492">
        <v>929</v>
      </c>
      <c r="R32" s="492">
        <v>1102</v>
      </c>
      <c r="S32" s="492">
        <v>1136</v>
      </c>
      <c r="T32" s="492">
        <v>928</v>
      </c>
      <c r="U32" s="492">
        <v>740</v>
      </c>
      <c r="V32" s="492">
        <v>781</v>
      </c>
      <c r="W32" s="492">
        <v>448</v>
      </c>
      <c r="X32" s="492">
        <v>658</v>
      </c>
      <c r="Y32" s="492">
        <v>392</v>
      </c>
      <c r="Z32" s="492">
        <v>539</v>
      </c>
      <c r="AA32" s="493">
        <f t="shared" si="43"/>
        <v>9436</v>
      </c>
      <c r="AB32" s="492">
        <v>579</v>
      </c>
      <c r="AC32" s="492">
        <v>871</v>
      </c>
      <c r="AD32" s="492">
        <v>802</v>
      </c>
      <c r="AE32" s="492">
        <v>513</v>
      </c>
      <c r="AF32" s="492">
        <v>515</v>
      </c>
      <c r="AG32" s="492">
        <v>377</v>
      </c>
      <c r="AH32" s="492">
        <v>420</v>
      </c>
      <c r="AI32" s="492">
        <v>555</v>
      </c>
      <c r="AJ32" s="492">
        <v>555</v>
      </c>
      <c r="AK32" s="492">
        <v>646</v>
      </c>
      <c r="AL32" s="492">
        <v>428</v>
      </c>
      <c r="AM32" s="492">
        <v>507</v>
      </c>
      <c r="AN32" s="493">
        <f t="shared" si="44"/>
        <v>6768</v>
      </c>
      <c r="AO32" s="492">
        <v>676</v>
      </c>
      <c r="AP32" s="492">
        <v>557</v>
      </c>
      <c r="AQ32" s="492">
        <v>739</v>
      </c>
      <c r="AR32" s="492">
        <v>893</v>
      </c>
      <c r="AS32" s="492">
        <v>479</v>
      </c>
      <c r="AT32" s="492">
        <v>704</v>
      </c>
      <c r="AU32" s="492">
        <v>543</v>
      </c>
      <c r="AV32" s="492">
        <v>554</v>
      </c>
      <c r="AW32" s="492">
        <v>413</v>
      </c>
      <c r="AX32" s="492">
        <v>557</v>
      </c>
      <c r="AY32" s="492">
        <v>404</v>
      </c>
      <c r="AZ32" s="492">
        <v>419</v>
      </c>
      <c r="BA32" s="493">
        <f t="shared" si="45"/>
        <v>6938</v>
      </c>
      <c r="BB32" s="492">
        <v>540</v>
      </c>
      <c r="BC32" s="492">
        <v>662</v>
      </c>
      <c r="BD32" s="492">
        <v>761</v>
      </c>
      <c r="BE32" s="492">
        <v>925</v>
      </c>
      <c r="BF32" s="492">
        <v>726</v>
      </c>
      <c r="BG32" s="492">
        <v>713</v>
      </c>
      <c r="BH32" s="492">
        <v>571</v>
      </c>
      <c r="BI32" s="492">
        <v>466</v>
      </c>
      <c r="BJ32" s="492">
        <v>412</v>
      </c>
      <c r="BK32" s="492">
        <v>589</v>
      </c>
      <c r="BL32" s="492">
        <v>510</v>
      </c>
      <c r="BM32" s="492">
        <v>619</v>
      </c>
      <c r="BN32" s="493">
        <f t="shared" si="46"/>
        <v>7494</v>
      </c>
      <c r="BO32" s="492">
        <v>561</v>
      </c>
      <c r="BP32" s="492">
        <v>764</v>
      </c>
      <c r="BQ32" s="492">
        <v>731</v>
      </c>
      <c r="BR32" s="492">
        <v>790</v>
      </c>
      <c r="BS32" s="492">
        <v>847</v>
      </c>
      <c r="BT32" s="492">
        <v>912</v>
      </c>
      <c r="BU32" s="492">
        <v>871</v>
      </c>
      <c r="BV32" s="492">
        <v>686</v>
      </c>
      <c r="BW32" s="492">
        <v>507</v>
      </c>
      <c r="BX32" s="492">
        <v>646</v>
      </c>
      <c r="BY32" s="492">
        <v>466</v>
      </c>
      <c r="BZ32" s="492">
        <v>579</v>
      </c>
      <c r="CA32" s="493">
        <f t="shared" si="47"/>
        <v>8360</v>
      </c>
      <c r="CB32" s="492">
        <v>548</v>
      </c>
      <c r="CC32" s="492">
        <v>972</v>
      </c>
      <c r="CD32" s="492">
        <v>815</v>
      </c>
      <c r="CE32" s="492">
        <v>506</v>
      </c>
      <c r="CF32" s="492">
        <v>892</v>
      </c>
      <c r="CG32" s="492">
        <v>836</v>
      </c>
      <c r="CH32" s="492">
        <v>1024</v>
      </c>
      <c r="CI32" s="492">
        <v>709</v>
      </c>
      <c r="CJ32" s="492">
        <v>562</v>
      </c>
      <c r="CK32" s="492">
        <v>418</v>
      </c>
      <c r="CL32" s="492">
        <v>278</v>
      </c>
      <c r="CM32" s="492">
        <v>573</v>
      </c>
      <c r="CN32" s="493">
        <f t="shared" si="48"/>
        <v>8133</v>
      </c>
      <c r="CO32" s="492">
        <v>564</v>
      </c>
      <c r="CP32" s="492">
        <v>678</v>
      </c>
      <c r="CQ32" s="492">
        <v>645</v>
      </c>
      <c r="CR32" s="492">
        <v>571</v>
      </c>
      <c r="CS32" s="492">
        <v>1271</v>
      </c>
      <c r="CT32" s="492">
        <v>1860</v>
      </c>
      <c r="CU32" s="492">
        <v>1154</v>
      </c>
      <c r="CV32" s="492">
        <v>769</v>
      </c>
      <c r="CW32" s="492">
        <v>516</v>
      </c>
      <c r="CX32" s="492">
        <v>219</v>
      </c>
      <c r="CY32" s="492">
        <v>313</v>
      </c>
      <c r="CZ32" s="492">
        <v>277</v>
      </c>
      <c r="DA32" s="493">
        <f t="shared" si="49"/>
        <v>8837</v>
      </c>
      <c r="DB32" s="492">
        <v>343</v>
      </c>
      <c r="DC32" s="492">
        <v>556</v>
      </c>
      <c r="DD32" s="492">
        <v>629</v>
      </c>
      <c r="DE32" s="492">
        <v>766</v>
      </c>
      <c r="DF32" s="492">
        <v>1894</v>
      </c>
      <c r="DG32" s="492">
        <v>1735</v>
      </c>
      <c r="DH32" s="492">
        <v>2102</v>
      </c>
      <c r="DI32" s="492">
        <v>592</v>
      </c>
      <c r="DJ32" s="492">
        <v>438</v>
      </c>
      <c r="DK32" s="492">
        <v>515</v>
      </c>
      <c r="DL32" s="492">
        <v>290</v>
      </c>
      <c r="DM32" s="492">
        <v>602</v>
      </c>
      <c r="DN32" s="493">
        <f t="shared" si="50"/>
        <v>10462</v>
      </c>
      <c r="DO32" s="492">
        <v>586</v>
      </c>
      <c r="DP32" s="492">
        <v>755</v>
      </c>
      <c r="DQ32" s="492">
        <v>742</v>
      </c>
      <c r="DR32" s="492">
        <v>839</v>
      </c>
      <c r="DS32" s="492">
        <v>236</v>
      </c>
      <c r="DT32" s="492">
        <v>518</v>
      </c>
      <c r="DU32" s="492">
        <v>490</v>
      </c>
      <c r="DV32" s="492">
        <v>398</v>
      </c>
      <c r="DW32" s="492">
        <v>429</v>
      </c>
      <c r="DX32" s="492">
        <v>310</v>
      </c>
      <c r="DY32" s="492">
        <v>235</v>
      </c>
      <c r="DZ32" s="492">
        <v>697</v>
      </c>
      <c r="EA32" s="493">
        <f t="shared" si="51"/>
        <v>6235</v>
      </c>
      <c r="EB32" s="492">
        <v>376</v>
      </c>
      <c r="EC32" s="492">
        <v>815</v>
      </c>
      <c r="ED32" s="492">
        <v>960</v>
      </c>
      <c r="EE32" s="492">
        <v>648</v>
      </c>
      <c r="EF32" s="492">
        <v>2775</v>
      </c>
      <c r="EG32" s="492">
        <v>3700</v>
      </c>
      <c r="EH32" s="492">
        <v>1550</v>
      </c>
      <c r="EI32" s="492">
        <v>1121</v>
      </c>
      <c r="EJ32" s="492">
        <v>236</v>
      </c>
      <c r="EK32" s="492">
        <v>268</v>
      </c>
      <c r="EL32" s="492">
        <v>461</v>
      </c>
      <c r="EM32" s="492"/>
      <c r="EN32" s="493">
        <f t="shared" si="52"/>
        <v>12910</v>
      </c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3">
        <f t="shared" si="53"/>
        <v>0</v>
      </c>
      <c r="FC32" s="560" cm="1">
        <f t="array" ref="FC32">IFERROR(((
_xlfn.XLOOKUP((DATE(YEAR($FC$5),MONTH($FC$5),1)),UCA.COSECHAS.DATE,$B32:$FA32) /
_xlfn.XLOOKUP((DATE(YEAR($FC$5)-1,MONTH($FC$5),1)),UCA.COSECHAS.DATE,$B32:$FA32)
)-1)*100,"")</f>
        <v>-18.965517241379317</v>
      </c>
      <c r="FD32" s="561">
        <f t="shared" si="54"/>
        <v>-43.833671399594323</v>
      </c>
      <c r="FE32" s="562" cm="1">
        <f t="array" ref="FE32">SUMIFS($B32:$FA32,UCA.COSECHAS.DATE,"&gt;="&amp;DATE(YEAR($FC$5)-1,1,1),UCA.COSECHAS.DATE,"&lt;="&amp;DATE(YEAR($FC$5)-1,MONTH($FC$5),1))</f>
        <v>9860</v>
      </c>
      <c r="FF32" s="665" cm="1">
        <f t="array" ref="FF32">SUMIFS($B32:$FA32,UCA.COSECHAS.DATE,"&gt;="&amp;DATE(YEAR($FC$5),1,1),UCA.COSECHAS.DATE,"&lt;="&amp;$FC$5)</f>
        <v>5538</v>
      </c>
      <c r="FG32" s="648"/>
      <c r="FH32" s="498">
        <f t="shared" si="55"/>
        <v>191858</v>
      </c>
      <c r="FI32" s="499" t="s">
        <v>170</v>
      </c>
      <c r="FJ32" s="500" t="str">
        <f t="shared" si="56"/>
        <v>OK</v>
      </c>
    </row>
    <row r="33" spans="1:166" ht="15" customHeight="1" x14ac:dyDescent="0.25">
      <c r="A33" s="650" t="s">
        <v>643</v>
      </c>
      <c r="B33" s="492"/>
      <c r="C33" s="492"/>
      <c r="D33" s="492"/>
      <c r="E33" s="492"/>
      <c r="F33" s="492"/>
      <c r="G33" s="492"/>
      <c r="H33" s="492"/>
      <c r="I33" s="492"/>
      <c r="J33" s="492"/>
      <c r="K33" s="492"/>
      <c r="L33" s="492"/>
      <c r="M33" s="492">
        <v>1862</v>
      </c>
      <c r="N33" s="493">
        <f t="shared" si="42"/>
        <v>1862</v>
      </c>
      <c r="O33" s="492"/>
      <c r="P33" s="492"/>
      <c r="Q33" s="492"/>
      <c r="R33" s="492"/>
      <c r="S33" s="492"/>
      <c r="T33" s="492"/>
      <c r="U33" s="492"/>
      <c r="V33" s="492"/>
      <c r="W33" s="492"/>
      <c r="X33" s="492"/>
      <c r="Y33" s="492"/>
      <c r="Z33" s="492">
        <v>1854</v>
      </c>
      <c r="AA33" s="493">
        <f t="shared" si="43"/>
        <v>1854</v>
      </c>
      <c r="AB33" s="492"/>
      <c r="AC33" s="492"/>
      <c r="AD33" s="492"/>
      <c r="AE33" s="492"/>
      <c r="AF33" s="492"/>
      <c r="AG33" s="492"/>
      <c r="AH33" s="492"/>
      <c r="AI33" s="492"/>
      <c r="AJ33" s="492"/>
      <c r="AK33" s="492"/>
      <c r="AL33" s="492"/>
      <c r="AM33" s="492">
        <v>2066</v>
      </c>
      <c r="AN33" s="493">
        <f t="shared" si="44"/>
        <v>2066</v>
      </c>
      <c r="AO33" s="492"/>
      <c r="AP33" s="492"/>
      <c r="AQ33" s="492"/>
      <c r="AR33" s="492"/>
      <c r="AS33" s="492"/>
      <c r="AT33" s="492"/>
      <c r="AU33" s="492"/>
      <c r="AV33" s="492"/>
      <c r="AW33" s="492"/>
      <c r="AX33" s="492"/>
      <c r="AY33" s="492"/>
      <c r="AZ33" s="492">
        <v>1889</v>
      </c>
      <c r="BA33" s="493">
        <f t="shared" si="45"/>
        <v>1889</v>
      </c>
      <c r="BB33" s="492"/>
      <c r="BC33" s="492"/>
      <c r="BD33" s="492"/>
      <c r="BE33" s="492"/>
      <c r="BF33" s="492"/>
      <c r="BG33" s="492"/>
      <c r="BH33" s="492"/>
      <c r="BI33" s="492"/>
      <c r="BJ33" s="492"/>
      <c r="BK33" s="492"/>
      <c r="BL33" s="492"/>
      <c r="BM33" s="492">
        <v>1601</v>
      </c>
      <c r="BN33" s="493">
        <f t="shared" si="46"/>
        <v>1601</v>
      </c>
      <c r="BO33" s="492"/>
      <c r="BP33" s="492"/>
      <c r="BQ33" s="492"/>
      <c r="BR33" s="492"/>
      <c r="BS33" s="492"/>
      <c r="BT33" s="492"/>
      <c r="BU33" s="492"/>
      <c r="BV33" s="492"/>
      <c r="BW33" s="492"/>
      <c r="BX33" s="492"/>
      <c r="BY33" s="492"/>
      <c r="BZ33" s="492">
        <v>1979</v>
      </c>
      <c r="CA33" s="493">
        <f t="shared" si="47"/>
        <v>1979</v>
      </c>
      <c r="CB33" s="492"/>
      <c r="CC33" s="492"/>
      <c r="CD33" s="492"/>
      <c r="CE33" s="492"/>
      <c r="CF33" s="492"/>
      <c r="CG33" s="492"/>
      <c r="CH33" s="492"/>
      <c r="CI33" s="492"/>
      <c r="CJ33" s="492"/>
      <c r="CK33" s="492"/>
      <c r="CL33" s="492"/>
      <c r="CM33" s="492">
        <v>2115</v>
      </c>
      <c r="CN33" s="493">
        <f t="shared" si="48"/>
        <v>2115</v>
      </c>
      <c r="CO33" s="492"/>
      <c r="CP33" s="492"/>
      <c r="CQ33" s="492"/>
      <c r="CR33" s="492"/>
      <c r="CS33" s="492"/>
      <c r="CT33" s="492"/>
      <c r="CU33" s="492"/>
      <c r="CV33" s="492"/>
      <c r="CW33" s="492"/>
      <c r="CX33" s="492"/>
      <c r="CY33" s="492"/>
      <c r="CZ33" s="492">
        <v>2163</v>
      </c>
      <c r="DA33" s="493">
        <f t="shared" si="49"/>
        <v>2163</v>
      </c>
      <c r="DB33" s="492"/>
      <c r="DC33" s="492"/>
      <c r="DD33" s="492"/>
      <c r="DE33" s="492"/>
      <c r="DF33" s="492"/>
      <c r="DG33" s="492"/>
      <c r="DH33" s="492"/>
      <c r="DI33" s="492"/>
      <c r="DJ33" s="492"/>
      <c r="DK33" s="492"/>
      <c r="DL33" s="492"/>
      <c r="DM33" s="492">
        <v>2293.5</v>
      </c>
      <c r="DN33" s="493">
        <f t="shared" si="50"/>
        <v>2293.5</v>
      </c>
      <c r="DO33" s="492"/>
      <c r="DP33" s="492"/>
      <c r="DQ33" s="492"/>
      <c r="DR33" s="492"/>
      <c r="DS33" s="492"/>
      <c r="DT33" s="492"/>
      <c r="DU33" s="492"/>
      <c r="DV33" s="492"/>
      <c r="DW33" s="492"/>
      <c r="DX33" s="492"/>
      <c r="DY33" s="492"/>
      <c r="DZ33" s="492">
        <v>1695</v>
      </c>
      <c r="EA33" s="493">
        <f t="shared" si="51"/>
        <v>1695</v>
      </c>
      <c r="EB33" s="492"/>
      <c r="EC33" s="492"/>
      <c r="ED33" s="492"/>
      <c r="EE33" s="492"/>
      <c r="EF33" s="492"/>
      <c r="EG33" s="492"/>
      <c r="EH33" s="492"/>
      <c r="EI33" s="492"/>
      <c r="EJ33" s="492"/>
      <c r="EK33" s="492"/>
      <c r="EL33" s="492"/>
      <c r="EM33" s="492"/>
      <c r="EN33" s="493">
        <f t="shared" si="52"/>
        <v>0</v>
      </c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3">
        <f t="shared" si="53"/>
        <v>0</v>
      </c>
      <c r="FC33" s="560" t="str" cm="1">
        <f t="array" ref="FC33">IFERROR(((
_xlfn.XLOOKUP((DATE(YEAR($FC$5),MONTH($FC$5),1)),UCA.COSECHAS.DATE,$B33:$FA33) /
_xlfn.XLOOKUP((DATE(YEAR($FC$5)-1,MONTH($FC$5),1)),UCA.COSECHAS.DATE,$B33:$FA33)
)-1)*100,"")</f>
        <v/>
      </c>
      <c r="FD33" s="561" t="str">
        <f t="shared" si="54"/>
        <v/>
      </c>
      <c r="FE33" s="562" cm="1">
        <f t="array" ref="FE33">SUMIFS($B33:$FA33,UCA.COSECHAS.DATE,"&gt;="&amp;DATE(YEAR($FC$5)-1,1,1),UCA.COSECHAS.DATE,"&lt;="&amp;DATE(YEAR($FC$5)-1,MONTH($FC$5),1))</f>
        <v>0</v>
      </c>
      <c r="FF33" s="665" cm="1">
        <f t="array" ref="FF33">SUMIFS($B33:$FA33,UCA.COSECHAS.DATE,"&gt;="&amp;DATE(YEAR($FC$5),1,1),UCA.COSECHAS.DATE,"&lt;="&amp;$FC$5)</f>
        <v>0</v>
      </c>
      <c r="FG33" s="648"/>
      <c r="FH33" s="498">
        <f t="shared" si="55"/>
        <v>39035</v>
      </c>
      <c r="FI33" s="499" t="s">
        <v>643</v>
      </c>
      <c r="FJ33" s="500" t="str">
        <f t="shared" si="56"/>
        <v>OK</v>
      </c>
    </row>
    <row r="34" spans="1:166" ht="15" customHeight="1" x14ac:dyDescent="0.25">
      <c r="A34" s="666" t="s">
        <v>646</v>
      </c>
      <c r="B34" s="557" cm="1">
        <f t="array" ref="B34">(SUMPRODUCT((UCA.COSECHASOTROS.NAME=$A34)*(UCA.COSECHASOTROS.DATE=B$5)*(UCA.COSECHASOTROS.VAL)))</f>
        <v>86</v>
      </c>
      <c r="C34" s="557" cm="1">
        <f t="array" ref="C34">(SUMPRODUCT((UCA.COSECHASOTROS.NAME=$A34)*(UCA.COSECHASOTROS.DATE=C$5)*(UCA.COSECHASOTROS.VAL)))</f>
        <v>48</v>
      </c>
      <c r="D34" s="557" cm="1">
        <f t="array" ref="D34">(SUMPRODUCT((UCA.COSECHASOTROS.NAME=$A34)*(UCA.COSECHASOTROS.DATE=D$5)*(UCA.COSECHASOTROS.VAL)))</f>
        <v>54</v>
      </c>
      <c r="E34" s="557" cm="1">
        <f t="array" ref="E34">(SUMPRODUCT((UCA.COSECHASOTROS.NAME=$A34)*(UCA.COSECHASOTROS.DATE=E$5)*(UCA.COSECHASOTROS.VAL)))</f>
        <v>29</v>
      </c>
      <c r="F34" s="557" cm="1">
        <f t="array" ref="F34">(SUMPRODUCT((UCA.COSECHASOTROS.NAME=$A34)*(UCA.COSECHASOTROS.DATE=F$5)*(UCA.COSECHASOTROS.VAL)))</f>
        <v>54</v>
      </c>
      <c r="G34" s="557" cm="1">
        <f t="array" ref="G34">(SUMPRODUCT((UCA.COSECHASOTROS.NAME=$A34)*(UCA.COSECHASOTROS.DATE=G$5)*(UCA.COSECHASOTROS.VAL)))</f>
        <v>140</v>
      </c>
      <c r="H34" s="557" cm="1">
        <f t="array" ref="H34">(SUMPRODUCT((UCA.COSECHASOTROS.NAME=$A34)*(UCA.COSECHASOTROS.DATE=H$5)*(UCA.COSECHASOTROS.VAL)))</f>
        <v>127</v>
      </c>
      <c r="I34" s="557" cm="1">
        <f t="array" ref="I34">(SUMPRODUCT((UCA.COSECHASOTROS.NAME=$A34)*(UCA.COSECHASOTROS.DATE=I$5)*(UCA.COSECHASOTROS.VAL)))</f>
        <v>142</v>
      </c>
      <c r="J34" s="557" cm="1">
        <f t="array" ref="J34">(SUMPRODUCT((UCA.COSECHASOTROS.NAME=$A34)*(UCA.COSECHASOTROS.DATE=J$5)*(UCA.COSECHASOTROS.VAL)))</f>
        <v>172</v>
      </c>
      <c r="K34" s="557" cm="1">
        <f t="array" ref="K34">(SUMPRODUCT((UCA.COSECHASOTROS.NAME=$A34)*(UCA.COSECHASOTROS.DATE=K$5)*(UCA.COSECHASOTROS.VAL)))</f>
        <v>197</v>
      </c>
      <c r="L34" s="557" cm="1">
        <f t="array" ref="L34">(SUMPRODUCT((UCA.COSECHASOTROS.NAME=$A34)*(UCA.COSECHASOTROS.DATE=L$5)*(UCA.COSECHASOTROS.VAL)))</f>
        <v>98</v>
      </c>
      <c r="M34" s="557" cm="1">
        <f t="array" ref="M34">(SUMPRODUCT((UCA.COSECHASOTROS.NAME=$A34)*(UCA.COSECHASOTROS.DATE=M$5)*(UCA.COSECHASOTROS.VAL)))</f>
        <v>5950</v>
      </c>
      <c r="N34" s="516">
        <f t="shared" ref="N34" si="57">SUM(B34:M34)</f>
        <v>7097</v>
      </c>
      <c r="O34" s="557" cm="1">
        <f t="array" ref="O34">(SUMPRODUCT((UCA.COSECHASOTROS.NAME=$A34)*(UCA.COSECHASOTROS.DATE=O$5)*(UCA.COSECHASOTROS.VAL)))</f>
        <v>63</v>
      </c>
      <c r="P34" s="557" cm="1">
        <f t="array" ref="P34">(SUMPRODUCT((UCA.COSECHASOTROS.NAME=$A34)*(UCA.COSECHASOTROS.DATE=P$5)*(UCA.COSECHASOTROS.VAL)))</f>
        <v>62</v>
      </c>
      <c r="Q34" s="557" cm="1">
        <f t="array" ref="Q34">(SUMPRODUCT((UCA.COSECHASOTROS.NAME=$A34)*(UCA.COSECHASOTROS.DATE=Q$5)*(UCA.COSECHASOTROS.VAL)))</f>
        <v>58</v>
      </c>
      <c r="R34" s="557" cm="1">
        <f t="array" ref="R34">(SUMPRODUCT((UCA.COSECHASOTROS.NAME=$A34)*(UCA.COSECHASOTROS.DATE=R$5)*(UCA.COSECHASOTROS.VAL)))</f>
        <v>42</v>
      </c>
      <c r="S34" s="557" cm="1">
        <f t="array" ref="S34">(SUMPRODUCT((UCA.COSECHASOTROS.NAME=$A34)*(UCA.COSECHASOTROS.DATE=S$5)*(UCA.COSECHASOTROS.VAL)))</f>
        <v>42</v>
      </c>
      <c r="T34" s="557" cm="1">
        <f t="array" ref="T34">(SUMPRODUCT((UCA.COSECHASOTROS.NAME=$A34)*(UCA.COSECHASOTROS.DATE=T$5)*(UCA.COSECHASOTROS.VAL)))</f>
        <v>81</v>
      </c>
      <c r="U34" s="557" cm="1">
        <f t="array" ref="U34">(SUMPRODUCT((UCA.COSECHASOTROS.NAME=$A34)*(UCA.COSECHASOTROS.DATE=U$5)*(UCA.COSECHASOTROS.VAL)))</f>
        <v>97</v>
      </c>
      <c r="V34" s="557" cm="1">
        <f t="array" ref="V34">(SUMPRODUCT((UCA.COSECHASOTROS.NAME=$A34)*(UCA.COSECHASOTROS.DATE=V$5)*(UCA.COSECHASOTROS.VAL)))</f>
        <v>75</v>
      </c>
      <c r="W34" s="557" cm="1">
        <f t="array" ref="W34">(SUMPRODUCT((UCA.COSECHASOTROS.NAME=$A34)*(UCA.COSECHASOTROS.DATE=W$5)*(UCA.COSECHASOTROS.VAL)))</f>
        <v>86</v>
      </c>
      <c r="X34" s="557" cm="1">
        <f t="array" ref="X34">(SUMPRODUCT((UCA.COSECHASOTROS.NAME=$A34)*(UCA.COSECHASOTROS.DATE=X$5)*(UCA.COSECHASOTROS.VAL)))</f>
        <v>102</v>
      </c>
      <c r="Y34" s="557" cm="1">
        <f t="array" ref="Y34">(SUMPRODUCT((UCA.COSECHASOTROS.NAME=$A34)*(UCA.COSECHASOTROS.DATE=Y$5)*(UCA.COSECHASOTROS.VAL)))</f>
        <v>60</v>
      </c>
      <c r="Z34" s="557" cm="1">
        <f t="array" ref="Z34">(SUMPRODUCT((UCA.COSECHASOTROS.NAME=$A34)*(UCA.COSECHASOTROS.DATE=Z$5)*(UCA.COSECHASOTROS.VAL)))</f>
        <v>5718</v>
      </c>
      <c r="AA34" s="516">
        <f t="shared" ref="AA34" si="58">SUM(O34:Z34)</f>
        <v>6486</v>
      </c>
      <c r="AB34" s="557" cm="1">
        <f t="array" ref="AB34">(SUMPRODUCT((UCA.COSECHASOTROS.NAME=$A34)*(UCA.COSECHASOTROS.DATE=AB$5)*(UCA.COSECHASOTROS.VAL)))</f>
        <v>14</v>
      </c>
      <c r="AC34" s="557" cm="1">
        <f t="array" ref="AC34">(SUMPRODUCT((UCA.COSECHASOTROS.NAME=$A34)*(UCA.COSECHASOTROS.DATE=AC$5)*(UCA.COSECHASOTROS.VAL)))</f>
        <v>41</v>
      </c>
      <c r="AD34" s="557" cm="1">
        <f t="array" ref="AD34">(SUMPRODUCT((UCA.COSECHASOTROS.NAME=$A34)*(UCA.COSECHASOTROS.DATE=AD$5)*(UCA.COSECHASOTROS.VAL)))</f>
        <v>29</v>
      </c>
      <c r="AE34" s="557" cm="1">
        <f t="array" ref="AE34">(SUMPRODUCT((UCA.COSECHASOTROS.NAME=$A34)*(UCA.COSECHASOTROS.DATE=AE$5)*(UCA.COSECHASOTROS.VAL)))</f>
        <v>23</v>
      </c>
      <c r="AF34" s="557" cm="1">
        <f t="array" ref="AF34">(SUMPRODUCT((UCA.COSECHASOTROS.NAME=$A34)*(UCA.COSECHASOTROS.DATE=AF$5)*(UCA.COSECHASOTROS.VAL)))</f>
        <v>26</v>
      </c>
      <c r="AG34" s="557" cm="1">
        <f t="array" ref="AG34">(SUMPRODUCT((UCA.COSECHASOTROS.NAME=$A34)*(UCA.COSECHASOTROS.DATE=AG$5)*(UCA.COSECHASOTROS.VAL)))</f>
        <v>115</v>
      </c>
      <c r="AH34" s="557" cm="1">
        <f t="array" ref="AH34">(SUMPRODUCT((UCA.COSECHASOTROS.NAME=$A34)*(UCA.COSECHASOTROS.DATE=AH$5)*(UCA.COSECHASOTROS.VAL)))</f>
        <v>155</v>
      </c>
      <c r="AI34" s="557" cm="1">
        <f t="array" ref="AI34">(SUMPRODUCT((UCA.COSECHASOTROS.NAME=$A34)*(UCA.COSECHASOTROS.DATE=AI$5)*(UCA.COSECHASOTROS.VAL)))</f>
        <v>141</v>
      </c>
      <c r="AJ34" s="557" cm="1">
        <f t="array" ref="AJ34">(SUMPRODUCT((UCA.COSECHASOTROS.NAME=$A34)*(UCA.COSECHASOTROS.DATE=AJ$5)*(UCA.COSECHASOTROS.VAL)))</f>
        <v>194</v>
      </c>
      <c r="AK34" s="557" cm="1">
        <f t="array" ref="AK34">(SUMPRODUCT((UCA.COSECHASOTROS.NAME=$A34)*(UCA.COSECHASOTROS.DATE=AK$5)*(UCA.COSECHASOTROS.VAL)))</f>
        <v>127</v>
      </c>
      <c r="AL34" s="557" cm="1">
        <f t="array" ref="AL34">(SUMPRODUCT((UCA.COSECHASOTROS.NAME=$A34)*(UCA.COSECHASOTROS.DATE=AL$5)*(UCA.COSECHASOTROS.VAL)))</f>
        <v>50</v>
      </c>
      <c r="AM34" s="557" cm="1">
        <f t="array" ref="AM34">(SUMPRODUCT((UCA.COSECHASOTROS.NAME=$A34)*(UCA.COSECHASOTROS.DATE=AM$5)*(UCA.COSECHASOTROS.VAL)))</f>
        <v>6447</v>
      </c>
      <c r="AN34" s="516">
        <f t="shared" ref="AN34" si="59">SUM(AB34:AM34)</f>
        <v>7362</v>
      </c>
      <c r="AO34" s="557" cm="1">
        <f t="array" ref="AO34">(SUMPRODUCT((UCA.COSECHASOTROS.NAME=$A34)*(UCA.COSECHASOTROS.DATE=AO$5)*(UCA.COSECHASOTROS.VAL)))</f>
        <v>64</v>
      </c>
      <c r="AP34" s="557" cm="1">
        <f t="array" ref="AP34">(SUMPRODUCT((UCA.COSECHASOTROS.NAME=$A34)*(UCA.COSECHASOTROS.DATE=AP$5)*(UCA.COSECHASOTROS.VAL)))</f>
        <v>41</v>
      </c>
      <c r="AQ34" s="557" cm="1">
        <f t="array" ref="AQ34">(SUMPRODUCT((UCA.COSECHASOTROS.NAME=$A34)*(UCA.COSECHASOTROS.DATE=AQ$5)*(UCA.COSECHASOTROS.VAL)))</f>
        <v>30</v>
      </c>
      <c r="AR34" s="557" cm="1">
        <f t="array" ref="AR34">(SUMPRODUCT((UCA.COSECHASOTROS.NAME=$A34)*(UCA.COSECHASOTROS.DATE=AR$5)*(UCA.COSECHASOTROS.VAL)))</f>
        <v>16</v>
      </c>
      <c r="AS34" s="557" cm="1">
        <f t="array" ref="AS34">(SUMPRODUCT((UCA.COSECHASOTROS.NAME=$A34)*(UCA.COSECHASOTROS.DATE=AS$5)*(UCA.COSECHASOTROS.VAL)))</f>
        <v>16</v>
      </c>
      <c r="AT34" s="557" cm="1">
        <f t="array" ref="AT34">(SUMPRODUCT((UCA.COSECHASOTROS.NAME=$A34)*(UCA.COSECHASOTROS.DATE=AT$5)*(UCA.COSECHASOTROS.VAL)))</f>
        <v>110</v>
      </c>
      <c r="AU34" s="557" cm="1">
        <f t="array" ref="AU34">(SUMPRODUCT((UCA.COSECHASOTROS.NAME=$A34)*(UCA.COSECHASOTROS.DATE=AU$5)*(UCA.COSECHASOTROS.VAL)))</f>
        <v>159</v>
      </c>
      <c r="AV34" s="557" cm="1">
        <f t="array" ref="AV34">(SUMPRODUCT((UCA.COSECHASOTROS.NAME=$A34)*(UCA.COSECHASOTROS.DATE=AV$5)*(UCA.COSECHASOTROS.VAL)))</f>
        <v>152</v>
      </c>
      <c r="AW34" s="557" cm="1">
        <f t="array" ref="AW34">(SUMPRODUCT((UCA.COSECHASOTROS.NAME=$A34)*(UCA.COSECHASOTROS.DATE=AW$5)*(UCA.COSECHASOTROS.VAL)))</f>
        <v>111</v>
      </c>
      <c r="AX34" s="557" cm="1">
        <f t="array" ref="AX34">(SUMPRODUCT((UCA.COSECHASOTROS.NAME=$A34)*(UCA.COSECHASOTROS.DATE=AX$5)*(UCA.COSECHASOTROS.VAL)))</f>
        <v>68</v>
      </c>
      <c r="AY34" s="557" cm="1">
        <f t="array" ref="AY34">(SUMPRODUCT((UCA.COSECHASOTROS.NAME=$A34)*(UCA.COSECHASOTROS.DATE=AY$5)*(UCA.COSECHASOTROS.VAL)))</f>
        <v>27</v>
      </c>
      <c r="AZ34" s="557" cm="1">
        <f t="array" ref="AZ34">(SUMPRODUCT((UCA.COSECHASOTROS.NAME=$A34)*(UCA.COSECHASOTROS.DATE=AZ$5)*(UCA.COSECHASOTROS.VAL)))</f>
        <v>6609</v>
      </c>
      <c r="BA34" s="516">
        <f t="shared" ref="BA34" si="60">SUM(AO34:AZ34)</f>
        <v>7403</v>
      </c>
      <c r="BB34" s="557" cm="1">
        <f t="array" ref="BB34">(SUMPRODUCT((UCA.COSECHASOTROS.NAME=$A34)*(UCA.COSECHASOTROS.DATE=BB$5)*(UCA.COSECHASOTROS.VAL)))</f>
        <v>35</v>
      </c>
      <c r="BC34" s="557" cm="1">
        <f t="array" ref="BC34">(SUMPRODUCT((UCA.COSECHASOTROS.NAME=$A34)*(UCA.COSECHASOTROS.DATE=BC$5)*(UCA.COSECHASOTROS.VAL)))</f>
        <v>52</v>
      </c>
      <c r="BD34" s="557" cm="1">
        <f t="array" ref="BD34">(SUMPRODUCT((UCA.COSECHASOTROS.NAME=$A34)*(UCA.COSECHASOTROS.DATE=BD$5)*(UCA.COSECHASOTROS.VAL)))</f>
        <v>24</v>
      </c>
      <c r="BE34" s="557" cm="1">
        <f t="array" ref="BE34">(SUMPRODUCT((UCA.COSECHASOTROS.NAME=$A34)*(UCA.COSECHASOTROS.DATE=BE$5)*(UCA.COSECHASOTROS.VAL)))</f>
        <v>11</v>
      </c>
      <c r="BF34" s="557" cm="1">
        <f t="array" ref="BF34">(SUMPRODUCT((UCA.COSECHASOTROS.NAME=$A34)*(UCA.COSECHASOTROS.DATE=BF$5)*(UCA.COSECHASOTROS.VAL)))</f>
        <v>34</v>
      </c>
      <c r="BG34" s="557" cm="1">
        <f t="array" ref="BG34">(SUMPRODUCT((UCA.COSECHASOTROS.NAME=$A34)*(UCA.COSECHASOTROS.DATE=BG$5)*(UCA.COSECHASOTROS.VAL)))</f>
        <v>97</v>
      </c>
      <c r="BH34" s="557" cm="1">
        <f t="array" ref="BH34">(SUMPRODUCT((UCA.COSECHASOTROS.NAME=$A34)*(UCA.COSECHASOTROS.DATE=BH$5)*(UCA.COSECHASOTROS.VAL)))</f>
        <v>116</v>
      </c>
      <c r="BI34" s="557" cm="1">
        <f t="array" ref="BI34">(SUMPRODUCT((UCA.COSECHASOTROS.NAME=$A34)*(UCA.COSECHASOTROS.DATE=BI$5)*(UCA.COSECHASOTROS.VAL)))</f>
        <v>104</v>
      </c>
      <c r="BJ34" s="557" cm="1">
        <f t="array" ref="BJ34">(SUMPRODUCT((UCA.COSECHASOTROS.NAME=$A34)*(UCA.COSECHASOTROS.DATE=BJ$5)*(UCA.COSECHASOTROS.VAL)))</f>
        <v>116</v>
      </c>
      <c r="BK34" s="557" cm="1">
        <f t="array" ref="BK34">(SUMPRODUCT((UCA.COSECHASOTROS.NAME=$A34)*(UCA.COSECHASOTROS.DATE=BK$5)*(UCA.COSECHASOTROS.VAL)))</f>
        <v>95</v>
      </c>
      <c r="BL34" s="557" cm="1">
        <f t="array" ref="BL34">(SUMPRODUCT((UCA.COSECHASOTROS.NAME=$A34)*(UCA.COSECHASOTROS.DATE=BL$5)*(UCA.COSECHASOTROS.VAL)))</f>
        <v>70</v>
      </c>
      <c r="BM34" s="557" cm="1">
        <f t="array" ref="BM34">(SUMPRODUCT((UCA.COSECHASOTROS.NAME=$A34)*(UCA.COSECHASOTROS.DATE=BM$5)*(UCA.COSECHASOTROS.VAL)))</f>
        <v>5097</v>
      </c>
      <c r="BN34" s="516">
        <f t="shared" ref="BN34" si="61">SUM(BB34:BM34)</f>
        <v>5851</v>
      </c>
      <c r="BO34" s="557" cm="1">
        <f t="array" ref="BO34">(SUMPRODUCT((UCA.COSECHASOTROS.NAME=$A34)*(UCA.COSECHASOTROS.DATE=BO$5)*(UCA.COSECHASOTROS.VAL)))</f>
        <v>59</v>
      </c>
      <c r="BP34" s="557" cm="1">
        <f t="array" ref="BP34">(SUMPRODUCT((UCA.COSECHASOTROS.NAME=$A34)*(UCA.COSECHASOTROS.DATE=BP$5)*(UCA.COSECHASOTROS.VAL)))</f>
        <v>25</v>
      </c>
      <c r="BQ34" s="557" cm="1">
        <f t="array" ref="BQ34">(SUMPRODUCT((UCA.COSECHASOTROS.NAME=$A34)*(UCA.COSECHASOTROS.DATE=BQ$5)*(UCA.COSECHASOTROS.VAL)))</f>
        <v>32</v>
      </c>
      <c r="BR34" s="557" cm="1">
        <f t="array" ref="BR34">(SUMPRODUCT((UCA.COSECHASOTROS.NAME=$A34)*(UCA.COSECHASOTROS.DATE=BR$5)*(UCA.COSECHASOTROS.VAL)))</f>
        <v>19</v>
      </c>
      <c r="BS34" s="557" cm="1">
        <f t="array" ref="BS34">(SUMPRODUCT((UCA.COSECHASOTROS.NAME=$A34)*(UCA.COSECHASOTROS.DATE=BS$5)*(UCA.COSECHASOTROS.VAL)))</f>
        <v>24</v>
      </c>
      <c r="BT34" s="557" cm="1">
        <f t="array" ref="BT34">(SUMPRODUCT((UCA.COSECHASOTROS.NAME=$A34)*(UCA.COSECHASOTROS.DATE=BT$5)*(UCA.COSECHASOTROS.VAL)))</f>
        <v>29</v>
      </c>
      <c r="BU34" s="557" cm="1">
        <f t="array" ref="BU34">(SUMPRODUCT((UCA.COSECHASOTROS.NAME=$A34)*(UCA.COSECHASOTROS.DATE=BU$5)*(UCA.COSECHASOTROS.VAL)))</f>
        <v>214</v>
      </c>
      <c r="BV34" s="557" cm="1">
        <f t="array" ref="BV34">(SUMPRODUCT((UCA.COSECHASOTROS.NAME=$A34)*(UCA.COSECHASOTROS.DATE=BV$5)*(UCA.COSECHASOTROS.VAL)))</f>
        <v>207</v>
      </c>
      <c r="BW34" s="557" cm="1">
        <f t="array" ref="BW34">(SUMPRODUCT((UCA.COSECHASOTROS.NAME=$A34)*(UCA.COSECHASOTROS.DATE=BW$5)*(UCA.COSECHASOTROS.VAL)))</f>
        <v>172</v>
      </c>
      <c r="BX34" s="557" cm="1">
        <f t="array" ref="BX34">(SUMPRODUCT((UCA.COSECHASOTROS.NAME=$A34)*(UCA.COSECHASOTROS.DATE=BX$5)*(UCA.COSECHASOTROS.VAL)))</f>
        <v>93</v>
      </c>
      <c r="BY34" s="557" cm="1">
        <f t="array" ref="BY34">(SUMPRODUCT((UCA.COSECHASOTROS.NAME=$A34)*(UCA.COSECHASOTROS.DATE=BY$5)*(UCA.COSECHASOTROS.VAL)))</f>
        <v>48</v>
      </c>
      <c r="BZ34" s="557" cm="1">
        <f t="array" ref="BZ34">(SUMPRODUCT((UCA.COSECHASOTROS.NAME=$A34)*(UCA.COSECHASOTROS.DATE=BZ$5)*(UCA.COSECHASOTROS.VAL)))</f>
        <v>7099</v>
      </c>
      <c r="CA34" s="516">
        <f t="shared" ref="CA34" si="62">SUM(BO34:BZ34)</f>
        <v>8021</v>
      </c>
      <c r="CB34" s="557" cm="1">
        <f t="array" ref="CB34">(SUMPRODUCT((UCA.COSECHASOTROS.NAME=$A34)*(UCA.COSECHASOTROS.DATE=CB$5)*(UCA.COSECHASOTROS.VAL)))</f>
        <v>64</v>
      </c>
      <c r="CC34" s="557" cm="1">
        <f t="array" ref="CC34">(SUMPRODUCT((UCA.COSECHASOTROS.NAME=$A34)*(UCA.COSECHASOTROS.DATE=CC$5)*(UCA.COSECHASOTROS.VAL)))</f>
        <v>28</v>
      </c>
      <c r="CD34" s="557" cm="1">
        <f t="array" ref="CD34">(SUMPRODUCT((UCA.COSECHASOTROS.NAME=$A34)*(UCA.COSECHASOTROS.DATE=CD$5)*(UCA.COSECHASOTROS.VAL)))</f>
        <v>24</v>
      </c>
      <c r="CE34" s="557" cm="1">
        <f t="array" ref="CE34">(SUMPRODUCT((UCA.COSECHASOTROS.NAME=$A34)*(UCA.COSECHASOTROS.DATE=CE$5)*(UCA.COSECHASOTROS.VAL)))</f>
        <v>10</v>
      </c>
      <c r="CF34" s="557" cm="1">
        <f t="array" ref="CF34">(SUMPRODUCT((UCA.COSECHASOTROS.NAME=$A34)*(UCA.COSECHASOTROS.DATE=CF$5)*(UCA.COSECHASOTROS.VAL)))</f>
        <v>9.5</v>
      </c>
      <c r="CG34" s="557" cm="1">
        <f t="array" ref="CG34">(SUMPRODUCT((UCA.COSECHASOTROS.NAME=$A34)*(UCA.COSECHASOTROS.DATE=CG$5)*(UCA.COSECHASOTROS.VAL)))</f>
        <v>72</v>
      </c>
      <c r="CH34" s="557" cm="1">
        <f t="array" ref="CH34">(SUMPRODUCT((UCA.COSECHASOTROS.NAME=$A34)*(UCA.COSECHASOTROS.DATE=CH$5)*(UCA.COSECHASOTROS.VAL)))</f>
        <v>132</v>
      </c>
      <c r="CI34" s="557" cm="1">
        <f t="array" ref="CI34">(SUMPRODUCT((UCA.COSECHASOTROS.NAME=$A34)*(UCA.COSECHASOTROS.DATE=CI$5)*(UCA.COSECHASOTROS.VAL)))</f>
        <v>288</v>
      </c>
      <c r="CJ34" s="557" cm="1">
        <f t="array" ref="CJ34">(SUMPRODUCT((UCA.COSECHASOTROS.NAME=$A34)*(UCA.COSECHASOTROS.DATE=CJ$5)*(UCA.COSECHASOTROS.VAL)))</f>
        <v>270</v>
      </c>
      <c r="CK34" s="557" cm="1">
        <f t="array" ref="CK34">(SUMPRODUCT((UCA.COSECHASOTROS.NAME=$A34)*(UCA.COSECHASOTROS.DATE=CK$5)*(UCA.COSECHASOTROS.VAL)))</f>
        <v>135</v>
      </c>
      <c r="CL34" s="557" cm="1">
        <f t="array" ref="CL34">(SUMPRODUCT((UCA.COSECHASOTROS.NAME=$A34)*(UCA.COSECHASOTROS.DATE=CL$5)*(UCA.COSECHASOTROS.VAL)))</f>
        <v>51</v>
      </c>
      <c r="CM34" s="557" cm="1">
        <f t="array" ref="CM34">(SUMPRODUCT((UCA.COSECHASOTROS.NAME=$A34)*(UCA.COSECHASOTROS.DATE=CM$5)*(UCA.COSECHASOTROS.VAL)))</f>
        <v>7274.67</v>
      </c>
      <c r="CN34" s="516">
        <f t="shared" ref="CN34" si="63">SUM(CB34:CM34)</f>
        <v>8358.17</v>
      </c>
      <c r="CO34" s="557" cm="1">
        <f t="array" ref="CO34">(SUMPRODUCT((UCA.COSECHASOTROS.NAME=$A34)*(UCA.COSECHASOTROS.DATE=CO$5)*(UCA.COSECHASOTROS.VAL)))</f>
        <v>49.5</v>
      </c>
      <c r="CP34" s="557" cm="1">
        <f t="array" ref="CP34">(SUMPRODUCT((UCA.COSECHASOTROS.NAME=$A34)*(UCA.COSECHASOTROS.DATE=CP$5)*(UCA.COSECHASOTROS.VAL)))</f>
        <v>50.5</v>
      </c>
      <c r="CQ34" s="557" cm="1">
        <f t="array" ref="CQ34">(SUMPRODUCT((UCA.COSECHASOTROS.NAME=$A34)*(UCA.COSECHASOTROS.DATE=CQ$5)*(UCA.COSECHASOTROS.VAL)))</f>
        <v>15</v>
      </c>
      <c r="CR34" s="557" cm="1">
        <f t="array" ref="CR34">(SUMPRODUCT((UCA.COSECHASOTROS.NAME=$A34)*(UCA.COSECHASOTROS.DATE=CR$5)*(UCA.COSECHASOTROS.VAL)))</f>
        <v>14</v>
      </c>
      <c r="CS34" s="557" cm="1">
        <f t="array" ref="CS34">(SUMPRODUCT((UCA.COSECHASOTROS.NAME=$A34)*(UCA.COSECHASOTROS.DATE=CS$5)*(UCA.COSECHASOTROS.VAL)))</f>
        <v>49</v>
      </c>
      <c r="CT34" s="557" cm="1">
        <f t="array" ref="CT34">(SUMPRODUCT((UCA.COSECHASOTROS.NAME=$A34)*(UCA.COSECHASOTROS.DATE=CT$5)*(UCA.COSECHASOTROS.VAL)))</f>
        <v>79</v>
      </c>
      <c r="CU34" s="557" cm="1">
        <f t="array" ref="CU34">(SUMPRODUCT((UCA.COSECHASOTROS.NAME=$A34)*(UCA.COSECHASOTROS.DATE=CU$5)*(UCA.COSECHASOTROS.VAL)))</f>
        <v>76</v>
      </c>
      <c r="CV34" s="557" cm="1">
        <f t="array" ref="CV34">(SUMPRODUCT((UCA.COSECHASOTROS.NAME=$A34)*(UCA.COSECHASOTROS.DATE=CV$5)*(UCA.COSECHASOTROS.VAL)))</f>
        <v>200</v>
      </c>
      <c r="CW34" s="557" cm="1">
        <f t="array" ref="CW34">(SUMPRODUCT((UCA.COSECHASOTROS.NAME=$A34)*(UCA.COSECHASOTROS.DATE=CW$5)*(UCA.COSECHASOTROS.VAL)))</f>
        <v>164</v>
      </c>
      <c r="CX34" s="557" cm="1">
        <f t="array" ref="CX34">(SUMPRODUCT((UCA.COSECHASOTROS.NAME=$A34)*(UCA.COSECHASOTROS.DATE=CX$5)*(UCA.COSECHASOTROS.VAL)))</f>
        <v>190</v>
      </c>
      <c r="CY34" s="557" cm="1">
        <f t="array" ref="CY34">(SUMPRODUCT((UCA.COSECHASOTROS.NAME=$A34)*(UCA.COSECHASOTROS.DATE=CY$5)*(UCA.COSECHASOTROS.VAL)))</f>
        <v>119</v>
      </c>
      <c r="CZ34" s="557" cm="1">
        <f t="array" ref="CZ34">(SUMPRODUCT((UCA.COSECHASOTROS.NAME=$A34)*(UCA.COSECHASOTROS.DATE=CZ$5)*(UCA.COSECHASOTROS.VAL)))</f>
        <v>7264.9000000000005</v>
      </c>
      <c r="DA34" s="516">
        <f t="shared" ref="DA34" si="64">SUM(CO34:CZ34)</f>
        <v>8270.9000000000015</v>
      </c>
      <c r="DB34" s="557" cm="1">
        <f t="array" ref="DB34">(SUMPRODUCT((UCA.COSECHASOTROS.NAME=$A34)*(UCA.COSECHASOTROS.DATE=DB$5)*(UCA.COSECHASOTROS.VAL)))</f>
        <v>74</v>
      </c>
      <c r="DC34" s="557" cm="1">
        <f t="array" ref="DC34">(SUMPRODUCT((UCA.COSECHASOTROS.NAME=$A34)*(UCA.COSECHASOTROS.DATE=DC$5)*(UCA.COSECHASOTROS.VAL)))</f>
        <v>52</v>
      </c>
      <c r="DD34" s="557" cm="1">
        <f t="array" ref="DD34">(SUMPRODUCT((UCA.COSECHASOTROS.NAME=$A34)*(UCA.COSECHASOTROS.DATE=DD$5)*(UCA.COSECHASOTROS.VAL)))</f>
        <v>372.5</v>
      </c>
      <c r="DE34" s="557" cm="1">
        <f t="array" ref="DE34">(SUMPRODUCT((UCA.COSECHASOTROS.NAME=$A34)*(UCA.COSECHASOTROS.DATE=DE$5)*(UCA.COSECHASOTROS.VAL)))</f>
        <v>30.5</v>
      </c>
      <c r="DF34" s="557" cm="1">
        <f t="array" ref="DF34">(SUMPRODUCT((UCA.COSECHASOTROS.NAME=$A34)*(UCA.COSECHASOTROS.DATE=DF$5)*(UCA.COSECHASOTROS.VAL)))</f>
        <v>44.5</v>
      </c>
      <c r="DG34" s="557" cm="1">
        <f t="array" ref="DG34">(SUMPRODUCT((UCA.COSECHASOTROS.NAME=$A34)*(UCA.COSECHASOTROS.DATE=DG$5)*(UCA.COSECHASOTROS.VAL)))</f>
        <v>96</v>
      </c>
      <c r="DH34" s="557" cm="1">
        <f t="array" ref="DH34">(SUMPRODUCT((UCA.COSECHASOTROS.NAME=$A34)*(UCA.COSECHASOTROS.DATE=DH$5)*(UCA.COSECHASOTROS.VAL)))</f>
        <v>103.5</v>
      </c>
      <c r="DI34" s="557" cm="1">
        <f t="array" ref="DI34">(SUMPRODUCT((UCA.COSECHASOTROS.NAME=$A34)*(UCA.COSECHASOTROS.DATE=DI$5)*(UCA.COSECHASOTROS.VAL)))</f>
        <v>245</v>
      </c>
      <c r="DJ34" s="557" cm="1">
        <f t="array" ref="DJ34">(SUMPRODUCT((UCA.COSECHASOTROS.NAME=$A34)*(UCA.COSECHASOTROS.DATE=DJ$5)*(UCA.COSECHASOTROS.VAL)))</f>
        <v>320.5</v>
      </c>
      <c r="DK34" s="557" cm="1">
        <f t="array" ref="DK34">(SUMPRODUCT((UCA.COSECHASOTROS.NAME=$A34)*(UCA.COSECHASOTROS.DATE=DK$5)*(UCA.COSECHASOTROS.VAL)))</f>
        <v>287</v>
      </c>
      <c r="DL34" s="557" cm="1">
        <f t="array" ref="DL34">(SUMPRODUCT((UCA.COSECHASOTROS.NAME=$A34)*(UCA.COSECHASOTROS.DATE=DL$5)*(UCA.COSECHASOTROS.VAL)))</f>
        <v>191</v>
      </c>
      <c r="DM34" s="557" cm="1">
        <f t="array" ref="DM34">(SUMPRODUCT((UCA.COSECHASOTROS.NAME=$A34)*(UCA.COSECHASOTROS.DATE=DM$5)*(UCA.COSECHASOTROS.VAL)))</f>
        <v>7356.3899999999994</v>
      </c>
      <c r="DN34" s="516">
        <f t="shared" ref="DN34" si="65">SUM(DB34:DM34)</f>
        <v>9172.89</v>
      </c>
      <c r="DO34" s="557" cm="1">
        <f t="array" ref="DO34">(SUMPRODUCT((UCA.COSECHASOTROS.NAME=$A34)*(UCA.COSECHASOTROS.DATE=DO$5)*(UCA.COSECHASOTROS.VAL)))</f>
        <v>38.5</v>
      </c>
      <c r="DP34" s="557" cm="1">
        <f t="array" ref="DP34">(SUMPRODUCT((UCA.COSECHASOTROS.NAME=$A34)*(UCA.COSECHASOTROS.DATE=DP$5)*(UCA.COSECHASOTROS.VAL)))</f>
        <v>51</v>
      </c>
      <c r="DQ34" s="557" cm="1">
        <f t="array" ref="DQ34">(SUMPRODUCT((UCA.COSECHASOTROS.NAME=$A34)*(UCA.COSECHASOTROS.DATE=DQ$5)*(UCA.COSECHASOTROS.VAL)))</f>
        <v>30.5</v>
      </c>
      <c r="DR34" s="557" cm="1">
        <f t="array" ref="DR34">(SUMPRODUCT((UCA.COSECHASOTROS.NAME=$A34)*(UCA.COSECHASOTROS.DATE=DR$5)*(UCA.COSECHASOTROS.VAL)))</f>
        <v>22</v>
      </c>
      <c r="DS34" s="557" cm="1">
        <f t="array" ref="DS34">(SUMPRODUCT((UCA.COSECHASOTROS.NAME=$A34)*(UCA.COSECHASOTROS.DATE=DS$5)*(UCA.COSECHASOTROS.VAL)))</f>
        <v>17</v>
      </c>
      <c r="DT34" s="557" cm="1">
        <f t="array" ref="DT34">(SUMPRODUCT((UCA.COSECHASOTROS.NAME=$A34)*(UCA.COSECHASOTROS.DATE=DT$5)*(UCA.COSECHASOTROS.VAL)))</f>
        <v>39</v>
      </c>
      <c r="DU34" s="557" cm="1">
        <f t="array" ref="DU34">(SUMPRODUCT((UCA.COSECHASOTROS.NAME=$A34)*(UCA.COSECHASOTROS.DATE=DU$5)*(UCA.COSECHASOTROS.VAL)))</f>
        <v>187</v>
      </c>
      <c r="DV34" s="557" cm="1">
        <f t="array" ref="DV34">(SUMPRODUCT((UCA.COSECHASOTROS.NAME=$A34)*(UCA.COSECHASOTROS.DATE=DV$5)*(UCA.COSECHASOTROS.VAL)))</f>
        <v>341.5</v>
      </c>
      <c r="DW34" s="557" cm="1">
        <f t="array" ref="DW34">(SUMPRODUCT((UCA.COSECHASOTROS.NAME=$A34)*(UCA.COSECHASOTROS.DATE=DW$5)*(UCA.COSECHASOTROS.VAL)))</f>
        <v>397</v>
      </c>
      <c r="DX34" s="557" cm="1">
        <f t="array" ref="DX34">(SUMPRODUCT((UCA.COSECHASOTROS.NAME=$A34)*(UCA.COSECHASOTROS.DATE=DX$5)*(UCA.COSECHASOTROS.VAL)))</f>
        <v>351</v>
      </c>
      <c r="DY34" s="557" cm="1">
        <f t="array" ref="DY34">(SUMPRODUCT((UCA.COSECHASOTROS.NAME=$A34)*(UCA.COSECHASOTROS.DATE=DY$5)*(UCA.COSECHASOTROS.VAL)))</f>
        <v>286.5</v>
      </c>
      <c r="DZ34" s="557" cm="1">
        <f t="array" ref="DZ34">(SUMPRODUCT((UCA.COSECHASOTROS.NAME=$A34)*(UCA.COSECHASOTROS.DATE=DZ$5)*(UCA.COSECHASOTROS.VAL)))</f>
        <v>4217.57</v>
      </c>
      <c r="EA34" s="516">
        <f t="shared" ref="EA34" si="66">SUM(DO34:DZ34)</f>
        <v>5978.57</v>
      </c>
      <c r="EB34" s="557" cm="1">
        <f t="array" ref="EB34">(SUMPRODUCT((UCA.COSECHASOTROS.NAME=$A34)*(UCA.COSECHASOTROS.DATE=EB$5)*(UCA.COSECHASOTROS.VAL)))</f>
        <v>104.5</v>
      </c>
      <c r="EC34" s="557" cm="1">
        <f t="array" ref="EC34">(SUMPRODUCT((UCA.COSECHASOTROS.NAME=$A34)*(UCA.COSECHASOTROS.DATE=EC$5)*(UCA.COSECHASOTROS.VAL)))</f>
        <v>88</v>
      </c>
      <c r="ED34" s="557" cm="1">
        <f t="array" ref="ED34">(SUMPRODUCT((UCA.COSECHASOTROS.NAME=$A34)*(UCA.COSECHASOTROS.DATE=ED$5)*(UCA.COSECHASOTROS.VAL)))</f>
        <v>92.5</v>
      </c>
      <c r="EE34" s="557" cm="1">
        <f t="array" ref="EE34">(SUMPRODUCT((UCA.COSECHASOTROS.NAME=$A34)*(UCA.COSECHASOTROS.DATE=EE$5)*(UCA.COSECHASOTROS.VAL)))</f>
        <v>49</v>
      </c>
      <c r="EF34" s="557" cm="1">
        <f t="array" ref="EF34">(SUMPRODUCT((UCA.COSECHASOTROS.NAME=$A34)*(UCA.COSECHASOTROS.DATE=EF$5)*(UCA.COSECHASOTROS.VAL)))</f>
        <v>71</v>
      </c>
      <c r="EG34" s="557" cm="1">
        <f t="array" ref="EG34">(SUMPRODUCT((UCA.COSECHASOTROS.NAME=$A34)*(UCA.COSECHASOTROS.DATE=EG$5)*(UCA.COSECHASOTROS.VAL)))</f>
        <v>75</v>
      </c>
      <c r="EH34" s="557" cm="1">
        <f t="array" ref="EH34">(SUMPRODUCT((UCA.COSECHASOTROS.NAME=$A34)*(UCA.COSECHASOTROS.DATE=EH$5)*(UCA.COSECHASOTROS.VAL)))</f>
        <v>134</v>
      </c>
      <c r="EI34" s="557" cm="1">
        <f t="array" ref="EI34">(SUMPRODUCT((UCA.COSECHASOTROS.NAME=$A34)*(UCA.COSECHASOTROS.DATE=EI$5)*(UCA.COSECHASOTROS.VAL)))</f>
        <v>249.5</v>
      </c>
      <c r="EJ34" s="557" cm="1">
        <f t="array" ref="EJ34">(SUMPRODUCT((UCA.COSECHASOTROS.NAME=$A34)*(UCA.COSECHASOTROS.DATE=EJ$5)*(UCA.COSECHASOTROS.VAL)))</f>
        <v>455.5</v>
      </c>
      <c r="EK34" s="557" cm="1">
        <f t="array" ref="EK34">(SUMPRODUCT((UCA.COSECHASOTROS.NAME=$A34)*(UCA.COSECHASOTROS.DATE=EK$5)*(UCA.COSECHASOTROS.VAL)))</f>
        <v>381.5</v>
      </c>
      <c r="EL34" s="557" cm="1">
        <f t="array" ref="EL34">(SUMPRODUCT((UCA.COSECHASOTROS.NAME=$A34)*(UCA.COSECHASOTROS.DATE=EL$5)*(UCA.COSECHASOTROS.VAL)))</f>
        <v>240.5</v>
      </c>
      <c r="EM34" s="557" cm="1">
        <f t="array" ref="EM34">(SUMPRODUCT((UCA.COSECHASOTROS.NAME=$A34)*(UCA.COSECHASOTROS.DATE=EM$5)*(UCA.COSECHASOTROS.VAL)))</f>
        <v>0</v>
      </c>
      <c r="EN34" s="516">
        <f t="shared" ref="EN34" si="67">SUM(EB34:EM34)</f>
        <v>1941</v>
      </c>
      <c r="EO34" s="557" cm="1">
        <f t="array" ref="EO34">(SUMPRODUCT((UCA.COSECHASOTROS.NAME=$A34)*(UCA.COSECHASOTROS.DATE=EO$5)*(UCA.COSECHASOTROS.VAL)))</f>
        <v>0</v>
      </c>
      <c r="EP34" s="557" cm="1">
        <f t="array" ref="EP34">(SUMPRODUCT((UCA.COSECHASOTROS.NAME=$A34)*(UCA.COSECHASOTROS.DATE=EP$5)*(UCA.COSECHASOTROS.VAL)))</f>
        <v>0</v>
      </c>
      <c r="EQ34" s="557" cm="1">
        <f t="array" ref="EQ34">(SUMPRODUCT((UCA.COSECHASOTROS.NAME=$A34)*(UCA.COSECHASOTROS.DATE=EQ$5)*(UCA.COSECHASOTROS.VAL)))</f>
        <v>0</v>
      </c>
      <c r="ER34" s="557" cm="1">
        <f t="array" ref="ER34">(SUMPRODUCT((UCA.COSECHASOTROS.NAME=$A34)*(UCA.COSECHASOTROS.DATE=ER$5)*(UCA.COSECHASOTROS.VAL)))</f>
        <v>0</v>
      </c>
      <c r="ES34" s="557" cm="1">
        <f t="array" ref="ES34">(SUMPRODUCT((UCA.COSECHASOTROS.NAME=$A34)*(UCA.COSECHASOTROS.DATE=ES$5)*(UCA.COSECHASOTROS.VAL)))</f>
        <v>0</v>
      </c>
      <c r="ET34" s="557" cm="1">
        <f t="array" ref="ET34">(SUMPRODUCT((UCA.COSECHASOTROS.NAME=$A34)*(UCA.COSECHASOTROS.DATE=ET$5)*(UCA.COSECHASOTROS.VAL)))</f>
        <v>0</v>
      </c>
      <c r="EU34" s="557" cm="1">
        <f t="array" ref="EU34">(SUMPRODUCT((UCA.COSECHASOTROS.NAME=$A34)*(UCA.COSECHASOTROS.DATE=EU$5)*(UCA.COSECHASOTROS.VAL)))</f>
        <v>0</v>
      </c>
      <c r="EV34" s="557" cm="1">
        <f t="array" ref="EV34">(SUMPRODUCT((UCA.COSECHASOTROS.NAME=$A34)*(UCA.COSECHASOTROS.DATE=EV$5)*(UCA.COSECHASOTROS.VAL)))</f>
        <v>0</v>
      </c>
      <c r="EW34" s="557" cm="1">
        <f t="array" ref="EW34">(SUMPRODUCT((UCA.COSECHASOTROS.NAME=$A34)*(UCA.COSECHASOTROS.DATE=EW$5)*(UCA.COSECHASOTROS.VAL)))</f>
        <v>0</v>
      </c>
      <c r="EX34" s="557" cm="1">
        <f t="array" ref="EX34">(SUMPRODUCT((UCA.COSECHASOTROS.NAME=$A34)*(UCA.COSECHASOTROS.DATE=EX$5)*(UCA.COSECHASOTROS.VAL)))</f>
        <v>0</v>
      </c>
      <c r="EY34" s="557" cm="1">
        <f t="array" ref="EY34">(SUMPRODUCT((UCA.COSECHASOTROS.NAME=$A34)*(UCA.COSECHASOTROS.DATE=EY$5)*(UCA.COSECHASOTROS.VAL)))</f>
        <v>0</v>
      </c>
      <c r="EZ34" s="557" cm="1">
        <f t="array" ref="EZ34">(SUMPRODUCT((UCA.COSECHASOTROS.NAME=$A34)*(UCA.COSECHASOTROS.DATE=EZ$5)*(UCA.COSECHASOTROS.VAL)))</f>
        <v>0</v>
      </c>
      <c r="FA34" s="516">
        <f t="shared" ref="FA34" si="68">SUM(EO34:EZ34)</f>
        <v>0</v>
      </c>
      <c r="FC34" s="518" cm="1">
        <f t="array" ref="FC34">IFERROR(((
_xlfn.XLOOKUP((DATE(YEAR($FC$5),MONTH($FC$5),1)),UCA.COSECHAS.DATE,$B34:$FA34) /
_xlfn.XLOOKUP((DATE(YEAR($FC$5)-1,MONTH($FC$5),1)),UCA.COSECHAS.DATE,$B34:$FA34)
)-1)*100,"")</f>
        <v>50</v>
      </c>
      <c r="FD34" s="519">
        <f t="shared" ref="FD34" si="69">IFERROR(((FF34/FE34)-1)*100,"")</f>
        <v>-3.0553261767134576</v>
      </c>
      <c r="FE34" s="520" cm="1">
        <f t="array" ref="FE34">SUMIFS($B34:$FA34,UCA.COSECHAS.DATE,"&gt;="&amp;DATE(YEAR($FC$5)-1,1,1),UCA.COSECHAS.DATE,"&lt;="&amp;DATE(YEAR($FC$5)-1,MONTH($FC$5),1))</f>
        <v>1816.5</v>
      </c>
      <c r="FF34" s="521" cm="1">
        <f t="array" ref="FF34">SUMIFS($B34:$FA34,UCA.COSECHAS.DATE,"&gt;="&amp;DATE(YEAR($FC$5),1,1),UCA.COSECHAS.DATE,"&lt;="&amp;$FC$5)</f>
        <v>1761</v>
      </c>
      <c r="FG34" s="115"/>
      <c r="FH34" s="667"/>
      <c r="FI34" s="668"/>
      <c r="FJ34" s="669"/>
    </row>
    <row r="35" spans="1:166" ht="15" customHeight="1" x14ac:dyDescent="0.25">
      <c r="A35" s="662"/>
      <c r="B35" s="576"/>
      <c r="C35" s="576"/>
      <c r="D35" s="576"/>
      <c r="E35" s="576"/>
      <c r="F35" s="576"/>
      <c r="G35" s="576"/>
      <c r="H35" s="576"/>
      <c r="I35" s="576"/>
      <c r="J35" s="576"/>
      <c r="K35" s="576"/>
      <c r="L35" s="576"/>
      <c r="M35" s="576"/>
      <c r="N35" s="577"/>
      <c r="O35" s="576"/>
      <c r="P35" s="576"/>
      <c r="Q35" s="576"/>
      <c r="R35" s="576"/>
      <c r="S35" s="576"/>
      <c r="T35" s="576"/>
      <c r="U35" s="576"/>
      <c r="V35" s="576"/>
      <c r="W35" s="576"/>
      <c r="X35" s="576"/>
      <c r="Y35" s="576"/>
      <c r="Z35" s="576"/>
      <c r="AA35" s="577"/>
      <c r="AB35" s="576"/>
      <c r="AC35" s="576"/>
      <c r="AD35" s="576"/>
      <c r="AE35" s="576"/>
      <c r="AF35" s="576"/>
      <c r="AG35" s="576"/>
      <c r="AH35" s="576"/>
      <c r="AI35" s="576"/>
      <c r="AJ35" s="576"/>
      <c r="AK35" s="576"/>
      <c r="AL35" s="576"/>
      <c r="AM35" s="576"/>
      <c r="AN35" s="577"/>
      <c r="AO35" s="576"/>
      <c r="AP35" s="576"/>
      <c r="AQ35" s="576"/>
      <c r="AR35" s="576"/>
      <c r="AS35" s="576"/>
      <c r="AT35" s="576"/>
      <c r="AU35" s="576"/>
      <c r="AV35" s="576"/>
      <c r="AW35" s="576"/>
      <c r="AX35" s="576"/>
      <c r="AY35" s="576"/>
      <c r="AZ35" s="576"/>
      <c r="BA35" s="577"/>
      <c r="BB35" s="576"/>
      <c r="BC35" s="576"/>
      <c r="BD35" s="576"/>
      <c r="BE35" s="576"/>
      <c r="BF35" s="576"/>
      <c r="BG35" s="576"/>
      <c r="BH35" s="576"/>
      <c r="BI35" s="576"/>
      <c r="BJ35" s="576"/>
      <c r="BK35" s="576"/>
      <c r="BL35" s="576"/>
      <c r="BM35" s="576"/>
      <c r="BN35" s="577"/>
      <c r="BO35" s="576"/>
      <c r="BP35" s="576"/>
      <c r="BQ35" s="576"/>
      <c r="BR35" s="576"/>
      <c r="BS35" s="576"/>
      <c r="BT35" s="576"/>
      <c r="BU35" s="576"/>
      <c r="BV35" s="576"/>
      <c r="BW35" s="576"/>
      <c r="BX35" s="576"/>
      <c r="BY35" s="576"/>
      <c r="BZ35" s="576"/>
      <c r="CA35" s="577"/>
      <c r="CB35" s="576"/>
      <c r="CC35" s="576"/>
      <c r="CD35" s="576"/>
      <c r="CE35" s="576"/>
      <c r="CF35" s="576"/>
      <c r="CG35" s="576"/>
      <c r="CH35" s="576"/>
      <c r="CI35" s="576"/>
      <c r="CJ35" s="576"/>
      <c r="CK35" s="576"/>
      <c r="CL35" s="576"/>
      <c r="CM35" s="576"/>
      <c r="CN35" s="577"/>
      <c r="CO35" s="576"/>
      <c r="CP35" s="576"/>
      <c r="CQ35" s="576"/>
      <c r="CR35" s="576"/>
      <c r="CS35" s="576"/>
      <c r="CT35" s="576"/>
      <c r="CU35" s="576"/>
      <c r="CV35" s="576"/>
      <c r="CW35" s="576"/>
      <c r="CX35" s="576"/>
      <c r="CY35" s="576"/>
      <c r="CZ35" s="576"/>
      <c r="DA35" s="577"/>
      <c r="DB35" s="576"/>
      <c r="DC35" s="576"/>
      <c r="DD35" s="576"/>
      <c r="DE35" s="576"/>
      <c r="DF35" s="576"/>
      <c r="DG35" s="576"/>
      <c r="DH35" s="576"/>
      <c r="DI35" s="576"/>
      <c r="DJ35" s="576"/>
      <c r="DK35" s="576"/>
      <c r="DL35" s="576"/>
      <c r="DM35" s="576"/>
      <c r="DN35" s="577"/>
      <c r="DO35" s="576"/>
      <c r="DP35" s="576"/>
      <c r="DQ35" s="576"/>
      <c r="DR35" s="576"/>
      <c r="DS35" s="576"/>
      <c r="DT35" s="576"/>
      <c r="DU35" s="576"/>
      <c r="DV35" s="576"/>
      <c r="DW35" s="576"/>
      <c r="DX35" s="576"/>
      <c r="DY35" s="576"/>
      <c r="DZ35" s="576"/>
      <c r="EA35" s="577"/>
      <c r="EB35" s="576"/>
      <c r="EC35" s="576"/>
      <c r="ED35" s="576"/>
      <c r="EE35" s="576"/>
      <c r="EF35" s="576"/>
      <c r="EG35" s="576"/>
      <c r="EH35" s="576"/>
      <c r="EI35" s="576"/>
      <c r="EJ35" s="576"/>
      <c r="EK35" s="576"/>
      <c r="EL35" s="576"/>
      <c r="EM35" s="576"/>
      <c r="EN35" s="577"/>
      <c r="EO35" s="576"/>
      <c r="EP35" s="576"/>
      <c r="EQ35" s="576"/>
      <c r="ER35" s="576"/>
      <c r="ES35" s="576"/>
      <c r="ET35" s="576"/>
      <c r="EU35" s="576"/>
      <c r="EV35" s="576"/>
      <c r="EW35" s="576"/>
      <c r="EX35" s="576"/>
      <c r="EY35" s="576"/>
      <c r="EZ35" s="576"/>
      <c r="FA35" s="577"/>
      <c r="FC35" s="614"/>
      <c r="FD35" s="615"/>
      <c r="FE35" s="616"/>
      <c r="FF35" s="617"/>
      <c r="FG35" s="648"/>
      <c r="FH35" s="670"/>
      <c r="FI35" s="671"/>
      <c r="FJ35" s="644"/>
    </row>
    <row r="36" spans="1:166" ht="15" customHeight="1" x14ac:dyDescent="0.25">
      <c r="A36" s="663" t="s">
        <v>189</v>
      </c>
    </row>
    <row r="37" spans="1:166" ht="15" customHeight="1" x14ac:dyDescent="0.25">
      <c r="A37" s="663" t="s">
        <v>162</v>
      </c>
    </row>
  </sheetData>
  <sortState xmlns:xlrd2="http://schemas.microsoft.com/office/spreadsheetml/2017/richdata2" ref="A9:FJ33">
    <sortCondition ref="A33"/>
  </sortState>
  <conditionalFormatting sqref="A1:A1048576">
    <cfRule type="duplicateValues" dxfId="5" priority="1"/>
  </conditionalFormatting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-0.249977111117893"/>
  </sheetPr>
  <dimension ref="A1:FJ94"/>
  <sheetViews>
    <sheetView showGridLines="0" view="pageBreakPreview" zoomScaleNormal="75" zoomScaleSheetLayoutView="100" workbookViewId="0">
      <pane xSplit="1" topLeftCell="EM1" activePane="topRight" state="frozen"/>
      <selection activeCell="DO55" sqref="DO55:EP55"/>
      <selection pane="topRight" activeCell="A3" sqref="A3"/>
    </sheetView>
  </sheetViews>
  <sheetFormatPr baseColWidth="10" defaultColWidth="9.7109375" defaultRowHeight="15" customHeight="1" x14ac:dyDescent="0.25"/>
  <cols>
    <col min="1" max="1" width="20.7109375" style="648" customWidth="1"/>
    <col min="2" max="157" width="9.7109375" style="427"/>
    <col min="159" max="166" width="9.7109375" style="648"/>
    <col min="167" max="16384" width="9.7109375" style="447"/>
  </cols>
  <sheetData>
    <row r="1" spans="1:166" ht="15" customHeight="1" x14ac:dyDescent="0.25">
      <c r="A1" s="646" t="s">
        <v>190</v>
      </c>
    </row>
    <row r="2" spans="1:166" ht="15" customHeight="1" x14ac:dyDescent="0.25">
      <c r="A2" s="646" t="s">
        <v>546</v>
      </c>
    </row>
    <row r="3" spans="1:166" ht="15" customHeight="1" x14ac:dyDescent="0.25">
      <c r="A3" s="776" t="s">
        <v>90</v>
      </c>
      <c r="FH3"/>
      <c r="FI3"/>
      <c r="FJ3"/>
    </row>
    <row r="4" spans="1:166" ht="15" customHeight="1" x14ac:dyDescent="0.25">
      <c r="A4" s="647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C4" s="476" t="str">
        <f>CONCATENATE("Var.% ",FF4,"/",FF4-1)</f>
        <v>Var.% 2026/2025</v>
      </c>
      <c r="FD4" s="477"/>
      <c r="FE4" s="478">
        <f>FF4-1</f>
        <v>2025</v>
      </c>
      <c r="FF4" s="478">
        <f>YEAR(FC5)</f>
        <v>2026</v>
      </c>
      <c r="FH4" s="479" t="s">
        <v>620</v>
      </c>
      <c r="FI4" s="480"/>
      <c r="FJ4" s="481"/>
    </row>
    <row r="5" spans="1:166" ht="15" customHeight="1" x14ac:dyDescent="0.25">
      <c r="A5" s="649"/>
      <c r="B5" s="483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>YEAR(M5)</f>
        <v>2015</v>
      </c>
      <c r="O5" s="483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>YEAR(Z5)</f>
        <v>2016</v>
      </c>
      <c r="AB5" s="483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>YEAR(AM5)</f>
        <v>2017</v>
      </c>
      <c r="AO5" s="483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>YEAR(AZ5)</f>
        <v>2018</v>
      </c>
      <c r="BB5" s="483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>YEAR(BM5)</f>
        <v>2019</v>
      </c>
      <c r="BO5" s="483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>YEAR(BZ5)</f>
        <v>2020</v>
      </c>
      <c r="CB5" s="483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>YEAR(CM5)</f>
        <v>2021</v>
      </c>
      <c r="CO5" s="483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>YEAR(CZ5)</f>
        <v>2022</v>
      </c>
      <c r="DB5" s="483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>YEAR(DM5)</f>
        <v>2023</v>
      </c>
      <c r="DO5" s="483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>YEAR(DZ5)</f>
        <v>2024</v>
      </c>
      <c r="EB5" s="483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483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C5" s="485">
        <f>EY5</f>
        <v>46327</v>
      </c>
      <c r="FD5" s="486" t="str">
        <f>CONCATENATE("Ene.-",TEXT(FC5,"MMM."))</f>
        <v>Ene.-Nov.</v>
      </c>
      <c r="FE5" s="487" t="str">
        <f>FD5</f>
        <v>Ene.-Nov.</v>
      </c>
      <c r="FF5" s="487" t="str">
        <f>FD5</f>
        <v>Ene.-Nov.</v>
      </c>
      <c r="FH5" s="488" t="s">
        <v>621</v>
      </c>
      <c r="FI5" s="489"/>
      <c r="FJ5" s="490"/>
    </row>
    <row r="6" spans="1:166" ht="15" customHeight="1" x14ac:dyDescent="0.25">
      <c r="A6" s="650"/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492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492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492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492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492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492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492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492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C6" s="494"/>
      <c r="FD6" s="495"/>
      <c r="FE6" s="496"/>
      <c r="FF6" s="497"/>
      <c r="FH6" s="498"/>
      <c r="FI6" s="499"/>
      <c r="FJ6" s="500"/>
    </row>
    <row r="7" spans="1:166" ht="15" customHeight="1" x14ac:dyDescent="0.25">
      <c r="A7" s="651" t="s">
        <v>646</v>
      </c>
      <c r="B7" s="541">
        <f t="shared" ref="B7:BM7" si="0">SUM(B9:B49)</f>
        <v>86</v>
      </c>
      <c r="C7" s="541">
        <f t="shared" si="0"/>
        <v>48</v>
      </c>
      <c r="D7" s="541">
        <f t="shared" si="0"/>
        <v>54</v>
      </c>
      <c r="E7" s="541">
        <f t="shared" si="0"/>
        <v>29</v>
      </c>
      <c r="F7" s="541">
        <f t="shared" si="0"/>
        <v>54</v>
      </c>
      <c r="G7" s="541">
        <f t="shared" si="0"/>
        <v>140</v>
      </c>
      <c r="H7" s="541">
        <f t="shared" si="0"/>
        <v>127</v>
      </c>
      <c r="I7" s="541">
        <f t="shared" si="0"/>
        <v>142</v>
      </c>
      <c r="J7" s="541">
        <f t="shared" si="0"/>
        <v>172</v>
      </c>
      <c r="K7" s="541">
        <f t="shared" si="0"/>
        <v>197</v>
      </c>
      <c r="L7" s="541">
        <f t="shared" si="0"/>
        <v>98</v>
      </c>
      <c r="M7" s="541">
        <f t="shared" si="0"/>
        <v>5950</v>
      </c>
      <c r="N7" s="542">
        <f>SUM(B7:M7)</f>
        <v>7097</v>
      </c>
      <c r="O7" s="541">
        <f t="shared" ref="O7" si="1">SUM(O9:O49)</f>
        <v>63</v>
      </c>
      <c r="P7" s="541">
        <f t="shared" si="0"/>
        <v>62</v>
      </c>
      <c r="Q7" s="541">
        <f t="shared" si="0"/>
        <v>58</v>
      </c>
      <c r="R7" s="541">
        <f t="shared" si="0"/>
        <v>42</v>
      </c>
      <c r="S7" s="541">
        <f t="shared" si="0"/>
        <v>42</v>
      </c>
      <c r="T7" s="541">
        <f t="shared" si="0"/>
        <v>81</v>
      </c>
      <c r="U7" s="541">
        <f t="shared" si="0"/>
        <v>97</v>
      </c>
      <c r="V7" s="541">
        <f t="shared" si="0"/>
        <v>75</v>
      </c>
      <c r="W7" s="541">
        <f t="shared" si="0"/>
        <v>86</v>
      </c>
      <c r="X7" s="541">
        <f t="shared" si="0"/>
        <v>102</v>
      </c>
      <c r="Y7" s="541">
        <f t="shared" si="0"/>
        <v>60</v>
      </c>
      <c r="Z7" s="541">
        <f t="shared" si="0"/>
        <v>5718</v>
      </c>
      <c r="AA7" s="542">
        <f>SUM(O7:Z7)</f>
        <v>6486</v>
      </c>
      <c r="AB7" s="541">
        <f t="shared" ref="AB7" si="2">SUM(AB9:AB49)</f>
        <v>14</v>
      </c>
      <c r="AC7" s="541">
        <f t="shared" si="0"/>
        <v>41</v>
      </c>
      <c r="AD7" s="541">
        <f t="shared" si="0"/>
        <v>29</v>
      </c>
      <c r="AE7" s="541">
        <f t="shared" si="0"/>
        <v>23</v>
      </c>
      <c r="AF7" s="541">
        <f t="shared" si="0"/>
        <v>26</v>
      </c>
      <c r="AG7" s="541">
        <f t="shared" si="0"/>
        <v>115</v>
      </c>
      <c r="AH7" s="541">
        <f t="shared" si="0"/>
        <v>155</v>
      </c>
      <c r="AI7" s="541">
        <f t="shared" si="0"/>
        <v>141</v>
      </c>
      <c r="AJ7" s="541">
        <f t="shared" si="0"/>
        <v>194</v>
      </c>
      <c r="AK7" s="541">
        <f t="shared" si="0"/>
        <v>127</v>
      </c>
      <c r="AL7" s="541">
        <f t="shared" si="0"/>
        <v>50</v>
      </c>
      <c r="AM7" s="541">
        <f t="shared" si="0"/>
        <v>6447</v>
      </c>
      <c r="AN7" s="542">
        <f>SUM(AB7:AM7)</f>
        <v>7362</v>
      </c>
      <c r="AO7" s="541">
        <f t="shared" ref="AO7" si="3">SUM(AO9:AO49)</f>
        <v>64</v>
      </c>
      <c r="AP7" s="541">
        <f t="shared" si="0"/>
        <v>41</v>
      </c>
      <c r="AQ7" s="541">
        <f t="shared" si="0"/>
        <v>30</v>
      </c>
      <c r="AR7" s="541">
        <f t="shared" si="0"/>
        <v>16</v>
      </c>
      <c r="AS7" s="541">
        <f t="shared" si="0"/>
        <v>16</v>
      </c>
      <c r="AT7" s="541">
        <f t="shared" si="0"/>
        <v>110</v>
      </c>
      <c r="AU7" s="541">
        <f t="shared" si="0"/>
        <v>159</v>
      </c>
      <c r="AV7" s="541">
        <f t="shared" si="0"/>
        <v>152</v>
      </c>
      <c r="AW7" s="541">
        <f t="shared" si="0"/>
        <v>111</v>
      </c>
      <c r="AX7" s="541">
        <f t="shared" si="0"/>
        <v>68</v>
      </c>
      <c r="AY7" s="541">
        <f t="shared" si="0"/>
        <v>27</v>
      </c>
      <c r="AZ7" s="541">
        <f t="shared" si="0"/>
        <v>6609</v>
      </c>
      <c r="BA7" s="542">
        <f>SUM(AO7:AZ7)</f>
        <v>7403</v>
      </c>
      <c r="BB7" s="541">
        <f t="shared" ref="BB7" si="4">SUM(BB9:BB49)</f>
        <v>35</v>
      </c>
      <c r="BC7" s="541">
        <f t="shared" si="0"/>
        <v>52</v>
      </c>
      <c r="BD7" s="541">
        <f t="shared" si="0"/>
        <v>24</v>
      </c>
      <c r="BE7" s="541">
        <f t="shared" si="0"/>
        <v>11</v>
      </c>
      <c r="BF7" s="541">
        <f t="shared" si="0"/>
        <v>34</v>
      </c>
      <c r="BG7" s="541">
        <f t="shared" si="0"/>
        <v>97</v>
      </c>
      <c r="BH7" s="541">
        <f t="shared" si="0"/>
        <v>116</v>
      </c>
      <c r="BI7" s="541">
        <f t="shared" si="0"/>
        <v>104</v>
      </c>
      <c r="BJ7" s="541">
        <f t="shared" si="0"/>
        <v>116</v>
      </c>
      <c r="BK7" s="541">
        <f t="shared" si="0"/>
        <v>95</v>
      </c>
      <c r="BL7" s="541">
        <f t="shared" si="0"/>
        <v>70</v>
      </c>
      <c r="BM7" s="541">
        <f t="shared" si="0"/>
        <v>5097</v>
      </c>
      <c r="BN7" s="542">
        <f>SUM(BB7:BM7)</f>
        <v>5851</v>
      </c>
      <c r="BO7" s="541">
        <f t="shared" ref="BO7:DZ7" si="5">SUM(BO9:BO49)</f>
        <v>59</v>
      </c>
      <c r="BP7" s="541">
        <f t="shared" si="5"/>
        <v>25</v>
      </c>
      <c r="BQ7" s="541">
        <f t="shared" si="5"/>
        <v>32</v>
      </c>
      <c r="BR7" s="541">
        <f t="shared" si="5"/>
        <v>19</v>
      </c>
      <c r="BS7" s="541">
        <f t="shared" si="5"/>
        <v>24</v>
      </c>
      <c r="BT7" s="541">
        <f t="shared" si="5"/>
        <v>29</v>
      </c>
      <c r="BU7" s="541">
        <f t="shared" si="5"/>
        <v>214</v>
      </c>
      <c r="BV7" s="541">
        <f t="shared" si="5"/>
        <v>207</v>
      </c>
      <c r="BW7" s="541">
        <f t="shared" si="5"/>
        <v>172</v>
      </c>
      <c r="BX7" s="541">
        <f t="shared" si="5"/>
        <v>93</v>
      </c>
      <c r="BY7" s="541">
        <f t="shared" si="5"/>
        <v>48</v>
      </c>
      <c r="BZ7" s="541">
        <f t="shared" si="5"/>
        <v>7099</v>
      </c>
      <c r="CA7" s="542">
        <f>SUM(BO7:BZ7)</f>
        <v>8021</v>
      </c>
      <c r="CB7" s="541">
        <f t="shared" ref="CB7" si="6">SUM(CB9:CB49)</f>
        <v>64</v>
      </c>
      <c r="CC7" s="541">
        <f t="shared" si="5"/>
        <v>28</v>
      </c>
      <c r="CD7" s="541">
        <f t="shared" si="5"/>
        <v>24</v>
      </c>
      <c r="CE7" s="541">
        <f t="shared" si="5"/>
        <v>10</v>
      </c>
      <c r="CF7" s="541">
        <f t="shared" si="5"/>
        <v>9.5</v>
      </c>
      <c r="CG7" s="541">
        <f t="shared" si="5"/>
        <v>72</v>
      </c>
      <c r="CH7" s="541">
        <f t="shared" si="5"/>
        <v>132</v>
      </c>
      <c r="CI7" s="541">
        <f t="shared" si="5"/>
        <v>288</v>
      </c>
      <c r="CJ7" s="541">
        <f t="shared" si="5"/>
        <v>270</v>
      </c>
      <c r="CK7" s="541">
        <f t="shared" si="5"/>
        <v>135</v>
      </c>
      <c r="CL7" s="541">
        <f t="shared" si="5"/>
        <v>51</v>
      </c>
      <c r="CM7" s="541">
        <f t="shared" si="5"/>
        <v>7274.67</v>
      </c>
      <c r="CN7" s="542">
        <f>SUM(CB7:CM7)</f>
        <v>8358.17</v>
      </c>
      <c r="CO7" s="541">
        <f t="shared" ref="CO7" si="7">SUM(CO9:CO49)</f>
        <v>49.5</v>
      </c>
      <c r="CP7" s="541">
        <f t="shared" si="5"/>
        <v>50.5</v>
      </c>
      <c r="CQ7" s="541">
        <f t="shared" si="5"/>
        <v>15</v>
      </c>
      <c r="CR7" s="541">
        <f t="shared" si="5"/>
        <v>14</v>
      </c>
      <c r="CS7" s="541">
        <f t="shared" si="5"/>
        <v>49</v>
      </c>
      <c r="CT7" s="541">
        <f t="shared" si="5"/>
        <v>79</v>
      </c>
      <c r="CU7" s="541">
        <f t="shared" si="5"/>
        <v>76</v>
      </c>
      <c r="CV7" s="541">
        <f t="shared" si="5"/>
        <v>200</v>
      </c>
      <c r="CW7" s="541">
        <f t="shared" si="5"/>
        <v>164</v>
      </c>
      <c r="CX7" s="541">
        <f t="shared" si="5"/>
        <v>190</v>
      </c>
      <c r="CY7" s="541">
        <f t="shared" si="5"/>
        <v>119</v>
      </c>
      <c r="CZ7" s="541">
        <f t="shared" si="5"/>
        <v>7264.9000000000005</v>
      </c>
      <c r="DA7" s="542">
        <f>SUM(CO7:CZ7)</f>
        <v>8270.9000000000015</v>
      </c>
      <c r="DB7" s="541">
        <f t="shared" ref="DB7" si="8">SUM(DB9:DB49)</f>
        <v>74</v>
      </c>
      <c r="DC7" s="541">
        <f t="shared" si="5"/>
        <v>52</v>
      </c>
      <c r="DD7" s="541">
        <f t="shared" si="5"/>
        <v>372.5</v>
      </c>
      <c r="DE7" s="541">
        <f t="shared" si="5"/>
        <v>30.5</v>
      </c>
      <c r="DF7" s="541">
        <f t="shared" si="5"/>
        <v>44.5</v>
      </c>
      <c r="DG7" s="541">
        <f t="shared" si="5"/>
        <v>96</v>
      </c>
      <c r="DH7" s="541">
        <f t="shared" si="5"/>
        <v>103.5</v>
      </c>
      <c r="DI7" s="541">
        <f t="shared" si="5"/>
        <v>245</v>
      </c>
      <c r="DJ7" s="541">
        <f t="shared" si="5"/>
        <v>320.5</v>
      </c>
      <c r="DK7" s="541">
        <f t="shared" si="5"/>
        <v>287</v>
      </c>
      <c r="DL7" s="541">
        <f t="shared" si="5"/>
        <v>191</v>
      </c>
      <c r="DM7" s="541">
        <f t="shared" si="5"/>
        <v>7356.3899999999994</v>
      </c>
      <c r="DN7" s="542">
        <f>SUM(DB7:DM7)</f>
        <v>9172.89</v>
      </c>
      <c r="DO7" s="541">
        <f t="shared" ref="DO7" si="9">SUM(DO9:DO49)</f>
        <v>38.5</v>
      </c>
      <c r="DP7" s="541">
        <f t="shared" si="5"/>
        <v>51</v>
      </c>
      <c r="DQ7" s="541">
        <f t="shared" si="5"/>
        <v>30.5</v>
      </c>
      <c r="DR7" s="541">
        <f t="shared" si="5"/>
        <v>22</v>
      </c>
      <c r="DS7" s="541">
        <f t="shared" si="5"/>
        <v>17</v>
      </c>
      <c r="DT7" s="541">
        <f t="shared" si="5"/>
        <v>39</v>
      </c>
      <c r="DU7" s="541">
        <f t="shared" si="5"/>
        <v>187</v>
      </c>
      <c r="DV7" s="541">
        <f t="shared" si="5"/>
        <v>341.5</v>
      </c>
      <c r="DW7" s="541">
        <f t="shared" si="5"/>
        <v>397</v>
      </c>
      <c r="DX7" s="541">
        <f t="shared" si="5"/>
        <v>351</v>
      </c>
      <c r="DY7" s="541">
        <f t="shared" si="5"/>
        <v>286.5</v>
      </c>
      <c r="DZ7" s="541">
        <f t="shared" si="5"/>
        <v>4217.57</v>
      </c>
      <c r="EA7" s="542">
        <f>SUM(DO7:DZ7)</f>
        <v>5978.57</v>
      </c>
      <c r="EB7" s="541">
        <f>SUM(EB9:EB49)</f>
        <v>104.5</v>
      </c>
      <c r="EC7" s="541">
        <f t="shared" ref="EC7:EM7" si="10">SUM(EC9:EC49)</f>
        <v>88</v>
      </c>
      <c r="ED7" s="541">
        <f t="shared" si="10"/>
        <v>92.5</v>
      </c>
      <c r="EE7" s="541">
        <f t="shared" si="10"/>
        <v>49</v>
      </c>
      <c r="EF7" s="541">
        <f t="shared" si="10"/>
        <v>71</v>
      </c>
      <c r="EG7" s="541">
        <f t="shared" si="10"/>
        <v>75</v>
      </c>
      <c r="EH7" s="541">
        <f t="shared" si="10"/>
        <v>134</v>
      </c>
      <c r="EI7" s="541">
        <f t="shared" si="10"/>
        <v>249.5</v>
      </c>
      <c r="EJ7" s="541">
        <f t="shared" si="10"/>
        <v>455.5</v>
      </c>
      <c r="EK7" s="541">
        <f t="shared" si="10"/>
        <v>381.5</v>
      </c>
      <c r="EL7" s="541">
        <f t="shared" si="10"/>
        <v>240.5</v>
      </c>
      <c r="EM7" s="541">
        <f t="shared" si="10"/>
        <v>0</v>
      </c>
      <c r="EN7" s="542">
        <f>SUM(EB7:EM7)</f>
        <v>1941</v>
      </c>
      <c r="EO7" s="541">
        <f>SUM(EO9:EO49)</f>
        <v>0</v>
      </c>
      <c r="EP7" s="541">
        <f t="shared" ref="EP7:EZ7" si="11">SUM(EP9:EP49)</f>
        <v>0</v>
      </c>
      <c r="EQ7" s="541">
        <f t="shared" si="11"/>
        <v>0</v>
      </c>
      <c r="ER7" s="541">
        <f t="shared" si="11"/>
        <v>0</v>
      </c>
      <c r="ES7" s="541">
        <f t="shared" si="11"/>
        <v>0</v>
      </c>
      <c r="ET7" s="541">
        <f t="shared" si="11"/>
        <v>0</v>
      </c>
      <c r="EU7" s="541">
        <f t="shared" si="11"/>
        <v>0</v>
      </c>
      <c r="EV7" s="541">
        <f t="shared" si="11"/>
        <v>0</v>
      </c>
      <c r="EW7" s="541">
        <f t="shared" si="11"/>
        <v>0</v>
      </c>
      <c r="EX7" s="541">
        <f t="shared" si="11"/>
        <v>0</v>
      </c>
      <c r="EY7" s="541">
        <f t="shared" si="11"/>
        <v>0</v>
      </c>
      <c r="EZ7" s="541">
        <f t="shared" si="11"/>
        <v>0</v>
      </c>
      <c r="FA7" s="542">
        <f>SUM(EO7:EZ7)</f>
        <v>0</v>
      </c>
      <c r="FB7" s="652"/>
      <c r="FC7" s="544">
        <f>IFERROR(((
_xlfn.XLOOKUP((DATE(YEAR($FC$5),MONTH($FC$5),1)),UCA.COSECHASOTROS.DATE,$B7:$FA7) /
_xlfn.XLOOKUP((DATE(YEAR($FC$5)-1,MONTH($FC$5),1)),UCA.COSECHASOTROS.DATE,$B7:$FA7)
)-1)*100,"")</f>
        <v>-100</v>
      </c>
      <c r="FD7" s="545">
        <f>IFERROR(((FF7/FE7)-1)*100,"")</f>
        <v>-100</v>
      </c>
      <c r="FE7" s="546">
        <f>SUMIFS($B7:$FA7,UCA.COSECHASOTROS.DATE,"&gt;="&amp;DATE(YEAR($FC$5)-1,1,1),UCA.COSECHASOTROS.DATE,"&lt;="&amp;DATE(YEAR($FC$5)-1,MONTH($FC$5),1))</f>
        <v>1941</v>
      </c>
      <c r="FF7" s="547">
        <f>SUMIFS($B7:$FA7,UCA.COSECHASOTROS.DATE,"&gt;="&amp;DATE(YEAR($FC$5),1,1),UCA.COSECHASOTROS.DATE,"&lt;="&amp;$FC$5)</f>
        <v>0</v>
      </c>
      <c r="FG7" s="426"/>
      <c r="FH7" s="520"/>
      <c r="FI7" s="522"/>
      <c r="FJ7" s="523"/>
    </row>
    <row r="8" spans="1:166" ht="15" customHeight="1" x14ac:dyDescent="0.25">
      <c r="A8" s="650"/>
      <c r="B8" s="633"/>
      <c r="C8" s="633"/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493"/>
      <c r="O8" s="633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493"/>
      <c r="AB8" s="633"/>
      <c r="AC8" s="633"/>
      <c r="AD8" s="633"/>
      <c r="AE8" s="633"/>
      <c r="AF8" s="633"/>
      <c r="AG8" s="633"/>
      <c r="AH8" s="633"/>
      <c r="AI8" s="633"/>
      <c r="AJ8" s="633"/>
      <c r="AK8" s="633"/>
      <c r="AL8" s="633"/>
      <c r="AM8" s="633"/>
      <c r="AN8" s="493"/>
      <c r="AO8" s="633"/>
      <c r="AP8" s="633"/>
      <c r="AQ8" s="633"/>
      <c r="AR8" s="633"/>
      <c r="AS8" s="633"/>
      <c r="AT8" s="633"/>
      <c r="AU8" s="633"/>
      <c r="AV8" s="633"/>
      <c r="AW8" s="633"/>
      <c r="AX8" s="633"/>
      <c r="AY8" s="633"/>
      <c r="AZ8" s="633"/>
      <c r="BA8" s="493"/>
      <c r="BB8" s="633"/>
      <c r="BC8" s="633"/>
      <c r="BD8" s="633"/>
      <c r="BE8" s="633"/>
      <c r="BF8" s="633"/>
      <c r="BG8" s="633"/>
      <c r="BH8" s="633"/>
      <c r="BI8" s="633"/>
      <c r="BJ8" s="633"/>
      <c r="BK8" s="633"/>
      <c r="BL8" s="633"/>
      <c r="BM8" s="633"/>
      <c r="BN8" s="493"/>
      <c r="BO8" s="633"/>
      <c r="BP8" s="633"/>
      <c r="BQ8" s="633"/>
      <c r="BR8" s="633"/>
      <c r="BS8" s="633"/>
      <c r="BT8" s="633"/>
      <c r="BU8" s="633"/>
      <c r="BV8" s="633"/>
      <c r="BW8" s="633"/>
      <c r="BX8" s="633"/>
      <c r="BY8" s="633"/>
      <c r="BZ8" s="633"/>
      <c r="CA8" s="493"/>
      <c r="CB8" s="633"/>
      <c r="CC8" s="633"/>
      <c r="CD8" s="633"/>
      <c r="CE8" s="633"/>
      <c r="CF8" s="633"/>
      <c r="CG8" s="633"/>
      <c r="CH8" s="633"/>
      <c r="CI8" s="633"/>
      <c r="CJ8" s="633"/>
      <c r="CK8" s="633"/>
      <c r="CL8" s="633"/>
      <c r="CM8" s="633"/>
      <c r="CN8" s="493"/>
      <c r="CO8" s="633"/>
      <c r="CP8" s="633"/>
      <c r="CQ8" s="633"/>
      <c r="CR8" s="633"/>
      <c r="CS8" s="633"/>
      <c r="CT8" s="633"/>
      <c r="CU8" s="633"/>
      <c r="CV8" s="633"/>
      <c r="CW8" s="633"/>
      <c r="CX8" s="633"/>
      <c r="CY8" s="633"/>
      <c r="CZ8" s="633"/>
      <c r="DA8" s="493"/>
      <c r="DB8" s="633"/>
      <c r="DC8" s="633"/>
      <c r="DD8" s="633"/>
      <c r="DE8" s="633"/>
      <c r="DF8" s="633"/>
      <c r="DG8" s="633"/>
      <c r="DH8" s="633"/>
      <c r="DI8" s="633"/>
      <c r="DJ8" s="633"/>
      <c r="DK8" s="633"/>
      <c r="DL8" s="633"/>
      <c r="DM8" s="633"/>
      <c r="DN8" s="493"/>
      <c r="DO8" s="633"/>
      <c r="DP8" s="633"/>
      <c r="DQ8" s="633"/>
      <c r="DR8" s="633"/>
      <c r="DS8" s="633"/>
      <c r="DT8" s="633"/>
      <c r="DU8" s="633"/>
      <c r="DV8" s="633"/>
      <c r="DW8" s="633"/>
      <c r="DX8" s="633"/>
      <c r="DY8" s="633"/>
      <c r="DZ8" s="633"/>
      <c r="EA8" s="493"/>
      <c r="EB8" s="633"/>
      <c r="EC8" s="633"/>
      <c r="ED8" s="633"/>
      <c r="EE8" s="633"/>
      <c r="EF8" s="633"/>
      <c r="EG8" s="633"/>
      <c r="EH8" s="633"/>
      <c r="EI8" s="633"/>
      <c r="EJ8" s="633"/>
      <c r="EK8" s="633"/>
      <c r="EL8" s="633"/>
      <c r="EM8" s="633"/>
      <c r="EN8" s="493"/>
      <c r="EO8" s="633"/>
      <c r="EP8" s="633"/>
      <c r="EQ8" s="633"/>
      <c r="ER8" s="633"/>
      <c r="ES8" s="633"/>
      <c r="ET8" s="633"/>
      <c r="EU8" s="633"/>
      <c r="EV8" s="633"/>
      <c r="EW8" s="633"/>
      <c r="EX8" s="633"/>
      <c r="EY8" s="633"/>
      <c r="EZ8" s="633"/>
      <c r="FA8" s="493"/>
      <c r="FB8" s="652"/>
      <c r="FC8" s="549"/>
      <c r="FD8" s="550"/>
      <c r="FE8" s="551"/>
      <c r="FF8" s="552"/>
      <c r="FG8" s="426"/>
      <c r="FH8" s="498"/>
      <c r="FI8" s="499"/>
      <c r="FJ8" s="500"/>
    </row>
    <row r="9" spans="1:166" ht="15" customHeight="1" x14ac:dyDescent="0.25">
      <c r="A9" s="672" t="s">
        <v>106</v>
      </c>
      <c r="B9" s="559"/>
      <c r="C9" s="559"/>
      <c r="D9" s="559"/>
      <c r="E9" s="559"/>
      <c r="F9" s="559"/>
      <c r="G9" s="559"/>
      <c r="H9" s="559"/>
      <c r="I9" s="559"/>
      <c r="J9" s="559"/>
      <c r="K9" s="559"/>
      <c r="L9" s="559"/>
      <c r="M9" s="559">
        <v>104</v>
      </c>
      <c r="N9" s="532">
        <f t="shared" ref="N9:N49" si="12">SUM(B9:M9)</f>
        <v>104</v>
      </c>
      <c r="O9" s="559"/>
      <c r="P9" s="559"/>
      <c r="Q9" s="559"/>
      <c r="R9" s="559"/>
      <c r="S9" s="559"/>
      <c r="T9" s="559"/>
      <c r="U9" s="559"/>
      <c r="V9" s="559"/>
      <c r="W9" s="559"/>
      <c r="X9" s="559"/>
      <c r="Y9" s="559"/>
      <c r="Z9" s="559">
        <v>110</v>
      </c>
      <c r="AA9" s="532">
        <f t="shared" ref="AA9:AA49" si="13">SUM(O9:Z9)</f>
        <v>110</v>
      </c>
      <c r="AB9" s="559"/>
      <c r="AC9" s="559"/>
      <c r="AD9" s="559"/>
      <c r="AE9" s="559"/>
      <c r="AF9" s="559"/>
      <c r="AG9" s="559"/>
      <c r="AH9" s="559"/>
      <c r="AI9" s="559"/>
      <c r="AJ9" s="559"/>
      <c r="AK9" s="559"/>
      <c r="AL9" s="559"/>
      <c r="AM9" s="559">
        <v>153</v>
      </c>
      <c r="AN9" s="532">
        <f t="shared" ref="AN9:AN49" si="14">SUM(AB9:AM9)</f>
        <v>153</v>
      </c>
      <c r="AO9" s="559"/>
      <c r="AP9" s="559"/>
      <c r="AQ9" s="559"/>
      <c r="AR9" s="559"/>
      <c r="AS9" s="559"/>
      <c r="AT9" s="559"/>
      <c r="AU9" s="559"/>
      <c r="AV9" s="559"/>
      <c r="AW9" s="559"/>
      <c r="AX9" s="559"/>
      <c r="AY9" s="559"/>
      <c r="AZ9" s="559">
        <v>185</v>
      </c>
      <c r="BA9" s="532">
        <f t="shared" ref="BA9:BA49" si="15">SUM(AO9:AZ9)</f>
        <v>185</v>
      </c>
      <c r="BB9" s="559"/>
      <c r="BC9" s="559"/>
      <c r="BD9" s="559"/>
      <c r="BE9" s="559"/>
      <c r="BF9" s="559"/>
      <c r="BG9" s="559"/>
      <c r="BH9" s="559"/>
      <c r="BI9" s="559"/>
      <c r="BJ9" s="559"/>
      <c r="BK9" s="559"/>
      <c r="BL9" s="559"/>
      <c r="BM9" s="559">
        <v>126</v>
      </c>
      <c r="BN9" s="532">
        <f t="shared" ref="BN9:BN49" si="16">SUM(BB9:BM9)</f>
        <v>126</v>
      </c>
      <c r="BO9" s="559"/>
      <c r="BP9" s="559"/>
      <c r="BQ9" s="559"/>
      <c r="BR9" s="559"/>
      <c r="BS9" s="559"/>
      <c r="BT9" s="559"/>
      <c r="BU9" s="559"/>
      <c r="BV9" s="559"/>
      <c r="BW9" s="559"/>
      <c r="BX9" s="559"/>
      <c r="BY9" s="559"/>
      <c r="BZ9" s="559">
        <v>177</v>
      </c>
      <c r="CA9" s="532">
        <f t="shared" ref="CA9:CA49" si="17">SUM(BO9:BZ9)</f>
        <v>177</v>
      </c>
      <c r="CB9" s="559"/>
      <c r="CC9" s="559"/>
      <c r="CD9" s="559"/>
      <c r="CE9" s="559"/>
      <c r="CF9" s="559"/>
      <c r="CG9" s="559"/>
      <c r="CH9" s="559"/>
      <c r="CI9" s="559"/>
      <c r="CJ9" s="559"/>
      <c r="CK9" s="559"/>
      <c r="CL9" s="559"/>
      <c r="CM9" s="559">
        <v>167</v>
      </c>
      <c r="CN9" s="532">
        <f t="shared" ref="CN9:CN49" si="18">SUM(CB9:CM9)</f>
        <v>167</v>
      </c>
      <c r="CO9" s="559"/>
      <c r="CP9" s="559"/>
      <c r="CQ9" s="559"/>
      <c r="CR9" s="559"/>
      <c r="CS9" s="559"/>
      <c r="CT9" s="559"/>
      <c r="CU9" s="559"/>
      <c r="CV9" s="559"/>
      <c r="CW9" s="559"/>
      <c r="CX9" s="559"/>
      <c r="CY9" s="559"/>
      <c r="CZ9" s="559">
        <v>164</v>
      </c>
      <c r="DA9" s="532">
        <f t="shared" ref="DA9:DA49" si="19">SUM(CO9:CZ9)</f>
        <v>164</v>
      </c>
      <c r="DB9" s="559"/>
      <c r="DC9" s="559"/>
      <c r="DD9" s="559"/>
      <c r="DE9" s="559"/>
      <c r="DF9" s="559"/>
      <c r="DG9" s="559"/>
      <c r="DH9" s="559"/>
      <c r="DI9" s="559"/>
      <c r="DJ9" s="559"/>
      <c r="DK9" s="559"/>
      <c r="DL9" s="559"/>
      <c r="DM9" s="559">
        <v>201</v>
      </c>
      <c r="DN9" s="532">
        <f t="shared" ref="DN9:DN49" si="20">SUM(DB9:DM9)</f>
        <v>201</v>
      </c>
      <c r="DO9" s="559"/>
      <c r="DP9" s="559"/>
      <c r="DQ9" s="559"/>
      <c r="DR9" s="559"/>
      <c r="DS9" s="559"/>
      <c r="DT9" s="559"/>
      <c r="DU9" s="559"/>
      <c r="DV9" s="559"/>
      <c r="DW9" s="559"/>
      <c r="DX9" s="559"/>
      <c r="DY9" s="559"/>
      <c r="DZ9" s="559">
        <v>222</v>
      </c>
      <c r="EA9" s="532">
        <f t="shared" ref="EA9:EA49" si="21">SUM(DO9:DZ9)</f>
        <v>222</v>
      </c>
      <c r="EB9" s="559"/>
      <c r="EC9" s="559"/>
      <c r="ED9" s="559"/>
      <c r="EE9" s="559"/>
      <c r="EF9" s="559"/>
      <c r="EG9" s="559"/>
      <c r="EH9" s="559"/>
      <c r="EI9" s="559"/>
      <c r="EJ9" s="559"/>
      <c r="EK9" s="559"/>
      <c r="EL9" s="559"/>
      <c r="EM9" s="559"/>
      <c r="EN9" s="532">
        <f t="shared" ref="EN9:EN49" si="22">SUM(EB9:EM9)</f>
        <v>0</v>
      </c>
      <c r="EO9" s="559"/>
      <c r="EP9" s="559"/>
      <c r="EQ9" s="559"/>
      <c r="ER9" s="559"/>
      <c r="ES9" s="559"/>
      <c r="ET9" s="559"/>
      <c r="EU9" s="559"/>
      <c r="EV9" s="559"/>
      <c r="EW9" s="559"/>
      <c r="EX9" s="559"/>
      <c r="EY9" s="559"/>
      <c r="EZ9" s="559"/>
      <c r="FA9" s="532">
        <f t="shared" ref="FA9:FA49" si="23">SUM(EO9:EZ9)</f>
        <v>0</v>
      </c>
      <c r="FC9" s="560" t="str">
        <f t="shared" ref="FC9:FC49" si="24">IFERROR(((
_xlfn.XLOOKUP((DATE(YEAR($FC$5),MONTH($FC$5),1)),UCA.COSECHASOTROS.DATE,$B9:$FA9) /
_xlfn.XLOOKUP((DATE(YEAR($FC$5)-1,MONTH($FC$5),1)),UCA.COSECHASOTROS.DATE,$B9:$FA9)
)-1)*100,"")</f>
        <v/>
      </c>
      <c r="FD9" s="561" t="str">
        <f t="shared" ref="FD9:FD49" si="25">IFERROR(((FF9/FE9)-1)*100,"")</f>
        <v/>
      </c>
      <c r="FE9" s="562">
        <f t="shared" ref="FE9:FE49" si="26">SUMIFS($B9:$FA9,UCA.COSECHASOTROS.DATE,"&gt;="&amp;DATE(YEAR($FC$5)-1,1,1),UCA.COSECHASOTROS.DATE,"&lt;="&amp;DATE(YEAR($FC$5)-1,MONTH($FC$5),1))</f>
        <v>0</v>
      </c>
      <c r="FF9" s="665">
        <f t="shared" ref="FF9:FF49" si="27">SUMIFS($B9:$FA9,UCA.COSECHASOTROS.DATE,"&gt;="&amp;DATE(YEAR($FC$5),1,1),UCA.COSECHASOTROS.DATE,"&lt;="&amp;$FC$5)</f>
        <v>0</v>
      </c>
      <c r="FG9" s="115"/>
      <c r="FH9" s="551">
        <f t="shared" ref="FH9:FH49" si="28">SUM(B9:FA9)</f>
        <v>3218</v>
      </c>
      <c r="FI9" s="553" t="s">
        <v>106</v>
      </c>
      <c r="FJ9" s="554" t="str">
        <f t="shared" ref="FJ9:FJ49" si="29">IF(EXACT(A9,FI9)=TRUE,"OK","VER")</f>
        <v>OK</v>
      </c>
    </row>
    <row r="10" spans="1:166" ht="15" customHeight="1" x14ac:dyDescent="0.25">
      <c r="A10" s="672" t="s">
        <v>107</v>
      </c>
      <c r="B10" s="559">
        <v>7</v>
      </c>
      <c r="C10" s="559"/>
      <c r="D10" s="559">
        <v>2</v>
      </c>
      <c r="E10" s="559"/>
      <c r="F10" s="559">
        <v>4</v>
      </c>
      <c r="G10" s="559">
        <v>1</v>
      </c>
      <c r="H10" s="559"/>
      <c r="I10" s="559">
        <v>1</v>
      </c>
      <c r="J10" s="559">
        <v>8</v>
      </c>
      <c r="K10" s="559">
        <v>22</v>
      </c>
      <c r="L10" s="559">
        <v>24</v>
      </c>
      <c r="M10" s="559">
        <v>14</v>
      </c>
      <c r="N10" s="532">
        <f t="shared" si="12"/>
        <v>83</v>
      </c>
      <c r="O10" s="559">
        <v>10</v>
      </c>
      <c r="P10" s="559">
        <v>11</v>
      </c>
      <c r="Q10" s="559">
        <v>5</v>
      </c>
      <c r="R10" s="559">
        <v>4</v>
      </c>
      <c r="S10" s="559">
        <v>2</v>
      </c>
      <c r="T10" s="559"/>
      <c r="U10" s="559">
        <v>2</v>
      </c>
      <c r="V10" s="559">
        <v>3</v>
      </c>
      <c r="W10" s="559">
        <v>3</v>
      </c>
      <c r="X10" s="559">
        <v>13</v>
      </c>
      <c r="Y10" s="559">
        <v>16</v>
      </c>
      <c r="Z10" s="559">
        <v>1</v>
      </c>
      <c r="AA10" s="532">
        <f t="shared" si="13"/>
        <v>70</v>
      </c>
      <c r="AB10" s="559"/>
      <c r="AC10" s="559">
        <v>2</v>
      </c>
      <c r="AD10" s="559">
        <v>2</v>
      </c>
      <c r="AE10" s="559">
        <v>2</v>
      </c>
      <c r="AF10" s="559"/>
      <c r="AG10" s="559"/>
      <c r="AH10" s="559"/>
      <c r="AI10" s="559"/>
      <c r="AJ10" s="559">
        <v>18</v>
      </c>
      <c r="AK10" s="559">
        <v>24</v>
      </c>
      <c r="AL10" s="559">
        <v>14</v>
      </c>
      <c r="AM10" s="559">
        <v>4</v>
      </c>
      <c r="AN10" s="532">
        <f t="shared" si="14"/>
        <v>66</v>
      </c>
      <c r="AO10" s="559"/>
      <c r="AP10" s="559"/>
      <c r="AQ10" s="559">
        <v>2</v>
      </c>
      <c r="AR10" s="559"/>
      <c r="AS10" s="559"/>
      <c r="AT10" s="559"/>
      <c r="AU10" s="559">
        <v>7</v>
      </c>
      <c r="AV10" s="559"/>
      <c r="AW10" s="559">
        <v>11</v>
      </c>
      <c r="AX10" s="559">
        <v>16</v>
      </c>
      <c r="AY10" s="559">
        <v>10</v>
      </c>
      <c r="AZ10" s="559">
        <v>6</v>
      </c>
      <c r="BA10" s="532">
        <f t="shared" si="15"/>
        <v>52</v>
      </c>
      <c r="BB10" s="559">
        <v>2</v>
      </c>
      <c r="BC10" s="559">
        <v>1</v>
      </c>
      <c r="BD10" s="559">
        <v>1</v>
      </c>
      <c r="BE10" s="559"/>
      <c r="BF10" s="559"/>
      <c r="BG10" s="559"/>
      <c r="BH10" s="559">
        <v>2</v>
      </c>
      <c r="BI10" s="559">
        <v>1</v>
      </c>
      <c r="BJ10" s="559">
        <v>7</v>
      </c>
      <c r="BK10" s="559"/>
      <c r="BL10" s="559"/>
      <c r="BM10" s="559"/>
      <c r="BN10" s="532">
        <f t="shared" si="16"/>
        <v>14</v>
      </c>
      <c r="BO10" s="559"/>
      <c r="BP10" s="559">
        <v>2</v>
      </c>
      <c r="BQ10" s="559">
        <v>2</v>
      </c>
      <c r="BR10" s="559">
        <v>1</v>
      </c>
      <c r="BS10" s="559">
        <v>1</v>
      </c>
      <c r="BT10" s="559"/>
      <c r="BU10" s="559"/>
      <c r="BV10" s="559"/>
      <c r="BW10" s="559">
        <v>8</v>
      </c>
      <c r="BX10" s="559">
        <v>24</v>
      </c>
      <c r="BY10" s="559">
        <v>26</v>
      </c>
      <c r="BZ10" s="559">
        <v>4</v>
      </c>
      <c r="CA10" s="532">
        <f t="shared" si="17"/>
        <v>68</v>
      </c>
      <c r="CB10" s="559">
        <v>2</v>
      </c>
      <c r="CC10" s="559">
        <v>3</v>
      </c>
      <c r="CD10" s="559">
        <v>2</v>
      </c>
      <c r="CE10" s="559"/>
      <c r="CF10" s="559"/>
      <c r="CG10" s="559"/>
      <c r="CH10" s="559"/>
      <c r="CI10" s="559"/>
      <c r="CJ10" s="559">
        <v>3</v>
      </c>
      <c r="CK10" s="559">
        <v>37</v>
      </c>
      <c r="CL10" s="559">
        <v>30</v>
      </c>
      <c r="CM10" s="559">
        <v>13</v>
      </c>
      <c r="CN10" s="532">
        <f t="shared" si="18"/>
        <v>90</v>
      </c>
      <c r="CO10" s="559">
        <v>2</v>
      </c>
      <c r="CP10" s="559">
        <v>2</v>
      </c>
      <c r="CQ10" s="559"/>
      <c r="CR10" s="559"/>
      <c r="CS10" s="559">
        <v>2</v>
      </c>
      <c r="CT10" s="559"/>
      <c r="CU10" s="559">
        <v>2</v>
      </c>
      <c r="CV10" s="559">
        <v>1</v>
      </c>
      <c r="CW10" s="559">
        <v>5</v>
      </c>
      <c r="CX10" s="559">
        <v>65</v>
      </c>
      <c r="CY10" s="559">
        <v>77</v>
      </c>
      <c r="CZ10" s="559">
        <v>48</v>
      </c>
      <c r="DA10" s="532">
        <f t="shared" si="19"/>
        <v>204</v>
      </c>
      <c r="DB10" s="559">
        <v>10</v>
      </c>
      <c r="DC10" s="559">
        <v>1</v>
      </c>
      <c r="DD10" s="559">
        <v>16.5</v>
      </c>
      <c r="DE10" s="559">
        <v>7</v>
      </c>
      <c r="DF10" s="559">
        <v>16</v>
      </c>
      <c r="DG10" s="559">
        <v>13</v>
      </c>
      <c r="DH10" s="559">
        <v>14</v>
      </c>
      <c r="DI10" s="559">
        <v>29</v>
      </c>
      <c r="DJ10" s="559">
        <v>31</v>
      </c>
      <c r="DK10" s="559">
        <v>41.5</v>
      </c>
      <c r="DL10" s="559">
        <v>51</v>
      </c>
      <c r="DM10" s="559">
        <v>15</v>
      </c>
      <c r="DN10" s="532">
        <f t="shared" si="20"/>
        <v>245</v>
      </c>
      <c r="DO10" s="559">
        <v>1.5</v>
      </c>
      <c r="DP10" s="559">
        <v>4.5</v>
      </c>
      <c r="DQ10" s="559">
        <v>19.5</v>
      </c>
      <c r="DR10" s="559">
        <v>2</v>
      </c>
      <c r="DS10" s="559">
        <v>1</v>
      </c>
      <c r="DT10" s="559">
        <v>3</v>
      </c>
      <c r="DU10" s="559">
        <v>2</v>
      </c>
      <c r="DV10" s="559">
        <v>7.5</v>
      </c>
      <c r="DW10" s="559">
        <v>17.5</v>
      </c>
      <c r="DX10" s="559">
        <v>87</v>
      </c>
      <c r="DY10" s="559">
        <v>79</v>
      </c>
      <c r="DZ10" s="559">
        <v>39.5</v>
      </c>
      <c r="EA10" s="532">
        <f t="shared" si="21"/>
        <v>264</v>
      </c>
      <c r="EB10" s="559">
        <v>22.5</v>
      </c>
      <c r="EC10" s="559">
        <v>20</v>
      </c>
      <c r="ED10" s="559">
        <v>20.5</v>
      </c>
      <c r="EE10" s="559">
        <v>3</v>
      </c>
      <c r="EF10" s="559">
        <v>3</v>
      </c>
      <c r="EG10" s="559"/>
      <c r="EH10" s="559">
        <v>4</v>
      </c>
      <c r="EI10" s="559">
        <v>8</v>
      </c>
      <c r="EJ10" s="559">
        <v>65</v>
      </c>
      <c r="EK10" s="559">
        <v>76.5</v>
      </c>
      <c r="EL10" s="559">
        <v>72</v>
      </c>
      <c r="EM10" s="559"/>
      <c r="EN10" s="532">
        <f t="shared" si="22"/>
        <v>294.5</v>
      </c>
      <c r="EO10" s="559"/>
      <c r="EP10" s="559"/>
      <c r="EQ10" s="559"/>
      <c r="ER10" s="559"/>
      <c r="ES10" s="559"/>
      <c r="ET10" s="559"/>
      <c r="EU10" s="559"/>
      <c r="EV10" s="559"/>
      <c r="EW10" s="559"/>
      <c r="EX10" s="559"/>
      <c r="EY10" s="559"/>
      <c r="EZ10" s="559"/>
      <c r="FA10" s="532">
        <f t="shared" si="23"/>
        <v>0</v>
      </c>
      <c r="FC10" s="560">
        <f t="shared" si="24"/>
        <v>-100</v>
      </c>
      <c r="FD10" s="561">
        <f t="shared" si="25"/>
        <v>-100</v>
      </c>
      <c r="FE10" s="562">
        <f t="shared" si="26"/>
        <v>294.5</v>
      </c>
      <c r="FF10" s="665">
        <f t="shared" si="27"/>
        <v>0</v>
      </c>
      <c r="FG10" s="115"/>
      <c r="FH10" s="551">
        <f t="shared" si="28"/>
        <v>2901</v>
      </c>
      <c r="FI10" s="553" t="s">
        <v>107</v>
      </c>
      <c r="FJ10" s="554" t="str">
        <f t="shared" si="29"/>
        <v>OK</v>
      </c>
    </row>
    <row r="11" spans="1:166" ht="15" customHeight="1" x14ac:dyDescent="0.25">
      <c r="A11" s="672" t="s">
        <v>109</v>
      </c>
      <c r="B11" s="559"/>
      <c r="C11" s="559"/>
      <c r="D11" s="559"/>
      <c r="E11" s="559"/>
      <c r="F11" s="559"/>
      <c r="G11" s="559"/>
      <c r="H11" s="559"/>
      <c r="I11" s="559"/>
      <c r="J11" s="559"/>
      <c r="K11" s="559"/>
      <c r="L11" s="559"/>
      <c r="M11" s="559">
        <v>73</v>
      </c>
      <c r="N11" s="532">
        <f t="shared" si="12"/>
        <v>73</v>
      </c>
      <c r="O11" s="559"/>
      <c r="P11" s="559"/>
      <c r="Q11" s="559"/>
      <c r="R11" s="559"/>
      <c r="S11" s="559"/>
      <c r="T11" s="559"/>
      <c r="U11" s="559"/>
      <c r="V11" s="559"/>
      <c r="W11" s="559"/>
      <c r="X11" s="559"/>
      <c r="Y11" s="559"/>
      <c r="Z11" s="559">
        <v>11</v>
      </c>
      <c r="AA11" s="532">
        <f t="shared" si="13"/>
        <v>11</v>
      </c>
      <c r="AB11" s="559"/>
      <c r="AC11" s="559"/>
      <c r="AD11" s="559"/>
      <c r="AE11" s="559"/>
      <c r="AF11" s="559"/>
      <c r="AG11" s="559"/>
      <c r="AH11" s="559"/>
      <c r="AI11" s="559"/>
      <c r="AJ11" s="559"/>
      <c r="AK11" s="559"/>
      <c r="AL11" s="559"/>
      <c r="AM11" s="559">
        <v>77</v>
      </c>
      <c r="AN11" s="532">
        <f t="shared" si="14"/>
        <v>77</v>
      </c>
      <c r="AO11" s="559"/>
      <c r="AP11" s="559"/>
      <c r="AQ11" s="559"/>
      <c r="AR11" s="559"/>
      <c r="AS11" s="559"/>
      <c r="AT11" s="559"/>
      <c r="AU11" s="559"/>
      <c r="AV11" s="559"/>
      <c r="AW11" s="559"/>
      <c r="AX11" s="559"/>
      <c r="AY11" s="559"/>
      <c r="AZ11" s="559">
        <v>164</v>
      </c>
      <c r="BA11" s="532">
        <f t="shared" si="15"/>
        <v>164</v>
      </c>
      <c r="BB11" s="559"/>
      <c r="BC11" s="559"/>
      <c r="BD11" s="559"/>
      <c r="BE11" s="559"/>
      <c r="BF11" s="559"/>
      <c r="BG11" s="559"/>
      <c r="BH11" s="559"/>
      <c r="BI11" s="559"/>
      <c r="BJ11" s="559"/>
      <c r="BK11" s="559"/>
      <c r="BL11" s="559"/>
      <c r="BM11" s="559">
        <v>146</v>
      </c>
      <c r="BN11" s="532">
        <f t="shared" si="16"/>
        <v>146</v>
      </c>
      <c r="BO11" s="559"/>
      <c r="BP11" s="559"/>
      <c r="BQ11" s="559"/>
      <c r="BR11" s="559"/>
      <c r="BS11" s="559"/>
      <c r="BT11" s="559"/>
      <c r="BU11" s="559"/>
      <c r="BV11" s="559"/>
      <c r="BW11" s="559"/>
      <c r="BX11" s="559"/>
      <c r="BY11" s="559"/>
      <c r="BZ11" s="559">
        <v>125</v>
      </c>
      <c r="CA11" s="532">
        <f t="shared" si="17"/>
        <v>125</v>
      </c>
      <c r="CB11" s="559"/>
      <c r="CC11" s="559"/>
      <c r="CD11" s="559"/>
      <c r="CE11" s="559"/>
      <c r="CF11" s="559"/>
      <c r="CG11" s="559"/>
      <c r="CH11" s="559"/>
      <c r="CI11" s="559"/>
      <c r="CJ11" s="559"/>
      <c r="CK11" s="559"/>
      <c r="CL11" s="559"/>
      <c r="CM11" s="559">
        <v>243.5</v>
      </c>
      <c r="CN11" s="532">
        <f t="shared" si="18"/>
        <v>243.5</v>
      </c>
      <c r="CO11" s="559"/>
      <c r="CP11" s="559"/>
      <c r="CQ11" s="559"/>
      <c r="CR11" s="559"/>
      <c r="CS11" s="559"/>
      <c r="CT11" s="559"/>
      <c r="CU11" s="559"/>
      <c r="CV11" s="559"/>
      <c r="CW11" s="559"/>
      <c r="CX11" s="559"/>
      <c r="CY11" s="559"/>
      <c r="CZ11" s="559">
        <v>226</v>
      </c>
      <c r="DA11" s="532">
        <f t="shared" si="19"/>
        <v>226</v>
      </c>
      <c r="DB11" s="559"/>
      <c r="DC11" s="559"/>
      <c r="DD11" s="559"/>
      <c r="DE11" s="559"/>
      <c r="DF11" s="559"/>
      <c r="DG11" s="559"/>
      <c r="DH11" s="559"/>
      <c r="DI11" s="559"/>
      <c r="DJ11" s="559"/>
      <c r="DK11" s="559"/>
      <c r="DL11" s="559"/>
      <c r="DM11" s="559">
        <v>226</v>
      </c>
      <c r="DN11" s="532">
        <f t="shared" si="20"/>
        <v>226</v>
      </c>
      <c r="DO11" s="559"/>
      <c r="DP11" s="559"/>
      <c r="DQ11" s="559"/>
      <c r="DR11" s="559"/>
      <c r="DS11" s="559"/>
      <c r="DT11" s="559"/>
      <c r="DU11" s="559"/>
      <c r="DV11" s="559"/>
      <c r="DW11" s="559"/>
      <c r="DX11" s="559"/>
      <c r="DY11" s="559"/>
      <c r="DZ11" s="559">
        <v>240.5</v>
      </c>
      <c r="EA11" s="532">
        <f t="shared" si="21"/>
        <v>240.5</v>
      </c>
      <c r="EB11" s="559"/>
      <c r="EC11" s="559"/>
      <c r="ED11" s="559"/>
      <c r="EE11" s="559"/>
      <c r="EF11" s="559"/>
      <c r="EG11" s="559"/>
      <c r="EH11" s="559"/>
      <c r="EI11" s="559"/>
      <c r="EJ11" s="559"/>
      <c r="EK11" s="559"/>
      <c r="EL11" s="559"/>
      <c r="EM11" s="559"/>
      <c r="EN11" s="532">
        <f t="shared" si="22"/>
        <v>0</v>
      </c>
      <c r="EO11" s="559"/>
      <c r="EP11" s="559"/>
      <c r="EQ11" s="559"/>
      <c r="ER11" s="559"/>
      <c r="ES11" s="559"/>
      <c r="ET11" s="559"/>
      <c r="EU11" s="559"/>
      <c r="EV11" s="559"/>
      <c r="EW11" s="559"/>
      <c r="EX11" s="559"/>
      <c r="EY11" s="559"/>
      <c r="EZ11" s="559"/>
      <c r="FA11" s="532">
        <f t="shared" si="23"/>
        <v>0</v>
      </c>
      <c r="FC11" s="560" t="str">
        <f t="shared" si="24"/>
        <v/>
      </c>
      <c r="FD11" s="561" t="str">
        <f t="shared" si="25"/>
        <v/>
      </c>
      <c r="FE11" s="562">
        <f t="shared" si="26"/>
        <v>0</v>
      </c>
      <c r="FF11" s="665">
        <f t="shared" si="27"/>
        <v>0</v>
      </c>
      <c r="FG11" s="115"/>
      <c r="FH11" s="551">
        <f t="shared" si="28"/>
        <v>3064</v>
      </c>
      <c r="FI11" s="553" t="s">
        <v>109</v>
      </c>
      <c r="FJ11" s="554" t="str">
        <f t="shared" si="29"/>
        <v>OK</v>
      </c>
    </row>
    <row r="12" spans="1:166" ht="15" customHeight="1" x14ac:dyDescent="0.25">
      <c r="A12" s="672" t="s">
        <v>110</v>
      </c>
      <c r="B12" s="559"/>
      <c r="C12" s="559"/>
      <c r="D12" s="559"/>
      <c r="E12" s="559"/>
      <c r="F12" s="559"/>
      <c r="G12" s="559"/>
      <c r="H12" s="559"/>
      <c r="I12" s="559"/>
      <c r="J12" s="559"/>
      <c r="K12" s="559"/>
      <c r="L12" s="559"/>
      <c r="M12" s="559">
        <v>341</v>
      </c>
      <c r="N12" s="532">
        <f t="shared" si="12"/>
        <v>341</v>
      </c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>
        <v>368</v>
      </c>
      <c r="AA12" s="532">
        <f t="shared" si="13"/>
        <v>368</v>
      </c>
      <c r="AB12" s="559"/>
      <c r="AC12" s="559"/>
      <c r="AD12" s="559"/>
      <c r="AE12" s="559"/>
      <c r="AF12" s="559"/>
      <c r="AG12" s="559"/>
      <c r="AH12" s="559"/>
      <c r="AI12" s="559"/>
      <c r="AJ12" s="559"/>
      <c r="AK12" s="559"/>
      <c r="AL12" s="559"/>
      <c r="AM12" s="559">
        <v>396</v>
      </c>
      <c r="AN12" s="532">
        <f t="shared" si="14"/>
        <v>396</v>
      </c>
      <c r="AO12" s="559"/>
      <c r="AP12" s="559"/>
      <c r="AQ12" s="559"/>
      <c r="AR12" s="559"/>
      <c r="AS12" s="559"/>
      <c r="AT12" s="559"/>
      <c r="AU12" s="559"/>
      <c r="AV12" s="559"/>
      <c r="AW12" s="559"/>
      <c r="AX12" s="559"/>
      <c r="AY12" s="559"/>
      <c r="AZ12" s="559">
        <v>387</v>
      </c>
      <c r="BA12" s="532">
        <f t="shared" si="15"/>
        <v>387</v>
      </c>
      <c r="BB12" s="559"/>
      <c r="BC12" s="559"/>
      <c r="BD12" s="559"/>
      <c r="BE12" s="559"/>
      <c r="BF12" s="559"/>
      <c r="BG12" s="559"/>
      <c r="BH12" s="559"/>
      <c r="BI12" s="559"/>
      <c r="BJ12" s="559"/>
      <c r="BK12" s="559"/>
      <c r="BL12" s="559"/>
      <c r="BM12" s="559">
        <v>304</v>
      </c>
      <c r="BN12" s="532">
        <f t="shared" si="16"/>
        <v>304</v>
      </c>
      <c r="BO12" s="559"/>
      <c r="BP12" s="559"/>
      <c r="BQ12" s="559"/>
      <c r="BR12" s="559"/>
      <c r="BS12" s="559"/>
      <c r="BT12" s="559"/>
      <c r="BU12" s="559"/>
      <c r="BV12" s="559"/>
      <c r="BW12" s="559"/>
      <c r="BX12" s="559"/>
      <c r="BY12" s="559"/>
      <c r="BZ12" s="559">
        <v>387</v>
      </c>
      <c r="CA12" s="532">
        <f t="shared" si="17"/>
        <v>387</v>
      </c>
      <c r="CB12" s="559"/>
      <c r="CC12" s="559"/>
      <c r="CD12" s="559"/>
      <c r="CE12" s="559"/>
      <c r="CF12" s="559"/>
      <c r="CG12" s="559"/>
      <c r="CH12" s="559"/>
      <c r="CI12" s="559"/>
      <c r="CJ12" s="559"/>
      <c r="CK12" s="559"/>
      <c r="CL12" s="559"/>
      <c r="CM12" s="559">
        <v>380</v>
      </c>
      <c r="CN12" s="532">
        <f t="shared" si="18"/>
        <v>380</v>
      </c>
      <c r="CO12" s="559"/>
      <c r="CP12" s="559"/>
      <c r="CQ12" s="559"/>
      <c r="CR12" s="559"/>
      <c r="CS12" s="559"/>
      <c r="CT12" s="559"/>
      <c r="CU12" s="559"/>
      <c r="CV12" s="559"/>
      <c r="CW12" s="559"/>
      <c r="CX12" s="559"/>
      <c r="CY12" s="559"/>
      <c r="CZ12" s="559">
        <v>362</v>
      </c>
      <c r="DA12" s="532">
        <f t="shared" si="19"/>
        <v>362</v>
      </c>
      <c r="DB12" s="559"/>
      <c r="DC12" s="559"/>
      <c r="DD12" s="559"/>
      <c r="DE12" s="559"/>
      <c r="DF12" s="559"/>
      <c r="DG12" s="559"/>
      <c r="DH12" s="559"/>
      <c r="DI12" s="559"/>
      <c r="DJ12" s="559"/>
      <c r="DK12" s="559"/>
      <c r="DL12" s="559"/>
      <c r="DM12" s="559">
        <v>417</v>
      </c>
      <c r="DN12" s="532">
        <f t="shared" si="20"/>
        <v>417</v>
      </c>
      <c r="DO12" s="559"/>
      <c r="DP12" s="559"/>
      <c r="DQ12" s="559"/>
      <c r="DR12" s="559"/>
      <c r="DS12" s="559"/>
      <c r="DT12" s="559"/>
      <c r="DU12" s="559"/>
      <c r="DV12" s="559"/>
      <c r="DW12" s="559"/>
      <c r="DX12" s="559"/>
      <c r="DY12" s="559"/>
      <c r="DZ12" s="559">
        <v>283</v>
      </c>
      <c r="EA12" s="532">
        <f t="shared" si="21"/>
        <v>283</v>
      </c>
      <c r="EB12" s="559"/>
      <c r="EC12" s="559"/>
      <c r="ED12" s="559"/>
      <c r="EE12" s="559"/>
      <c r="EF12" s="559"/>
      <c r="EG12" s="559"/>
      <c r="EH12" s="559"/>
      <c r="EI12" s="559"/>
      <c r="EJ12" s="559"/>
      <c r="EK12" s="559"/>
      <c r="EL12" s="559"/>
      <c r="EM12" s="559"/>
      <c r="EN12" s="532">
        <f t="shared" si="22"/>
        <v>0</v>
      </c>
      <c r="EO12" s="559"/>
      <c r="EP12" s="559"/>
      <c r="EQ12" s="559"/>
      <c r="ER12" s="559"/>
      <c r="ES12" s="559"/>
      <c r="ET12" s="559"/>
      <c r="EU12" s="559"/>
      <c r="EV12" s="559"/>
      <c r="EW12" s="559"/>
      <c r="EX12" s="559"/>
      <c r="EY12" s="559"/>
      <c r="EZ12" s="559"/>
      <c r="FA12" s="532">
        <f t="shared" si="23"/>
        <v>0</v>
      </c>
      <c r="FC12" s="560" t="str">
        <f t="shared" si="24"/>
        <v/>
      </c>
      <c r="FD12" s="561" t="str">
        <f t="shared" si="25"/>
        <v/>
      </c>
      <c r="FE12" s="562">
        <f t="shared" si="26"/>
        <v>0</v>
      </c>
      <c r="FF12" s="665">
        <f t="shared" si="27"/>
        <v>0</v>
      </c>
      <c r="FG12" s="115"/>
      <c r="FH12" s="551">
        <f t="shared" si="28"/>
        <v>7250</v>
      </c>
      <c r="FI12" s="553" t="s">
        <v>110</v>
      </c>
      <c r="FJ12" s="554" t="str">
        <f t="shared" si="29"/>
        <v>OK</v>
      </c>
    </row>
    <row r="13" spans="1:166" ht="15" customHeight="1" x14ac:dyDescent="0.25">
      <c r="A13" s="672" t="s">
        <v>112</v>
      </c>
      <c r="B13" s="559"/>
      <c r="C13" s="559"/>
      <c r="D13" s="559"/>
      <c r="E13" s="559"/>
      <c r="F13" s="559"/>
      <c r="G13" s="559"/>
      <c r="H13" s="559"/>
      <c r="I13" s="559"/>
      <c r="J13" s="559"/>
      <c r="K13" s="559"/>
      <c r="L13" s="559"/>
      <c r="M13" s="559">
        <v>336</v>
      </c>
      <c r="N13" s="532">
        <f t="shared" si="12"/>
        <v>336</v>
      </c>
      <c r="O13" s="559"/>
      <c r="P13" s="559"/>
      <c r="Q13" s="559"/>
      <c r="R13" s="559"/>
      <c r="S13" s="559"/>
      <c r="T13" s="559"/>
      <c r="U13" s="559"/>
      <c r="V13" s="559"/>
      <c r="W13" s="559"/>
      <c r="X13" s="559"/>
      <c r="Y13" s="559"/>
      <c r="Z13" s="559">
        <v>308</v>
      </c>
      <c r="AA13" s="532">
        <f t="shared" si="13"/>
        <v>308</v>
      </c>
      <c r="AB13" s="559"/>
      <c r="AC13" s="559"/>
      <c r="AD13" s="559"/>
      <c r="AE13" s="559"/>
      <c r="AF13" s="559"/>
      <c r="AG13" s="559"/>
      <c r="AH13" s="559"/>
      <c r="AI13" s="559"/>
      <c r="AJ13" s="559"/>
      <c r="AK13" s="559"/>
      <c r="AL13" s="559"/>
      <c r="AM13" s="559">
        <v>346</v>
      </c>
      <c r="AN13" s="532">
        <f t="shared" si="14"/>
        <v>346</v>
      </c>
      <c r="AO13" s="559"/>
      <c r="AP13" s="559"/>
      <c r="AQ13" s="559"/>
      <c r="AR13" s="559"/>
      <c r="AS13" s="559"/>
      <c r="AT13" s="559"/>
      <c r="AU13" s="559"/>
      <c r="AV13" s="559"/>
      <c r="AW13" s="559"/>
      <c r="AX13" s="559"/>
      <c r="AY13" s="559"/>
      <c r="AZ13" s="559">
        <v>353</v>
      </c>
      <c r="BA13" s="532">
        <f t="shared" si="15"/>
        <v>353</v>
      </c>
      <c r="BB13" s="559"/>
      <c r="BC13" s="559"/>
      <c r="BD13" s="559"/>
      <c r="BE13" s="559"/>
      <c r="BF13" s="559"/>
      <c r="BG13" s="559"/>
      <c r="BH13" s="559"/>
      <c r="BI13" s="559"/>
      <c r="BJ13" s="559"/>
      <c r="BK13" s="559"/>
      <c r="BL13" s="559"/>
      <c r="BM13" s="559">
        <v>256</v>
      </c>
      <c r="BN13" s="532">
        <f t="shared" si="16"/>
        <v>256</v>
      </c>
      <c r="BO13" s="559"/>
      <c r="BP13" s="559"/>
      <c r="BQ13" s="559"/>
      <c r="BR13" s="559"/>
      <c r="BS13" s="559"/>
      <c r="BT13" s="559"/>
      <c r="BU13" s="559"/>
      <c r="BV13" s="559"/>
      <c r="BW13" s="559"/>
      <c r="BX13" s="559"/>
      <c r="BY13" s="559"/>
      <c r="BZ13" s="559">
        <v>398</v>
      </c>
      <c r="CA13" s="532">
        <f t="shared" si="17"/>
        <v>398</v>
      </c>
      <c r="CB13" s="559"/>
      <c r="CC13" s="559"/>
      <c r="CD13" s="559"/>
      <c r="CE13" s="559"/>
      <c r="CF13" s="559"/>
      <c r="CG13" s="559"/>
      <c r="CH13" s="559"/>
      <c r="CI13" s="559"/>
      <c r="CJ13" s="559"/>
      <c r="CK13" s="559"/>
      <c r="CL13" s="559"/>
      <c r="CM13" s="559">
        <v>404</v>
      </c>
      <c r="CN13" s="532">
        <f t="shared" si="18"/>
        <v>404</v>
      </c>
      <c r="CO13" s="559"/>
      <c r="CP13" s="559"/>
      <c r="CQ13" s="559"/>
      <c r="CR13" s="559"/>
      <c r="CS13" s="559"/>
      <c r="CT13" s="559"/>
      <c r="CU13" s="559"/>
      <c r="CV13" s="559"/>
      <c r="CW13" s="559"/>
      <c r="CX13" s="559"/>
      <c r="CY13" s="559"/>
      <c r="CZ13" s="559">
        <v>362</v>
      </c>
      <c r="DA13" s="532">
        <f t="shared" si="19"/>
        <v>362</v>
      </c>
      <c r="DB13" s="559"/>
      <c r="DC13" s="559"/>
      <c r="DD13" s="559"/>
      <c r="DE13" s="559"/>
      <c r="DF13" s="559"/>
      <c r="DG13" s="559"/>
      <c r="DH13" s="559"/>
      <c r="DI13" s="559"/>
      <c r="DJ13" s="559"/>
      <c r="DK13" s="559"/>
      <c r="DL13" s="559"/>
      <c r="DM13" s="559">
        <v>405</v>
      </c>
      <c r="DN13" s="532">
        <f t="shared" si="20"/>
        <v>405</v>
      </c>
      <c r="DO13" s="559"/>
      <c r="DP13" s="559"/>
      <c r="DQ13" s="559"/>
      <c r="DR13" s="559"/>
      <c r="DS13" s="559"/>
      <c r="DT13" s="559"/>
      <c r="DU13" s="559"/>
      <c r="DV13" s="559"/>
      <c r="DW13" s="559"/>
      <c r="DX13" s="559"/>
      <c r="DY13" s="559"/>
      <c r="DZ13" s="559">
        <v>215.5</v>
      </c>
      <c r="EA13" s="532">
        <f t="shared" si="21"/>
        <v>215.5</v>
      </c>
      <c r="EB13" s="559"/>
      <c r="EC13" s="559"/>
      <c r="ED13" s="559"/>
      <c r="EE13" s="559"/>
      <c r="EF13" s="559"/>
      <c r="EG13" s="559"/>
      <c r="EH13" s="559"/>
      <c r="EI13" s="559"/>
      <c r="EJ13" s="559"/>
      <c r="EK13" s="559"/>
      <c r="EL13" s="559"/>
      <c r="EM13" s="559"/>
      <c r="EN13" s="532">
        <f t="shared" si="22"/>
        <v>0</v>
      </c>
      <c r="EO13" s="559"/>
      <c r="EP13" s="559"/>
      <c r="EQ13" s="559"/>
      <c r="ER13" s="559"/>
      <c r="ES13" s="559"/>
      <c r="ET13" s="559"/>
      <c r="EU13" s="559"/>
      <c r="EV13" s="559"/>
      <c r="EW13" s="559"/>
      <c r="EX13" s="559"/>
      <c r="EY13" s="559"/>
      <c r="EZ13" s="559"/>
      <c r="FA13" s="532">
        <f t="shared" si="23"/>
        <v>0</v>
      </c>
      <c r="FC13" s="560" t="str">
        <f t="shared" si="24"/>
        <v/>
      </c>
      <c r="FD13" s="561" t="str">
        <f t="shared" si="25"/>
        <v/>
      </c>
      <c r="FE13" s="562">
        <f t="shared" si="26"/>
        <v>0</v>
      </c>
      <c r="FF13" s="665">
        <f t="shared" si="27"/>
        <v>0</v>
      </c>
      <c r="FG13" s="115"/>
      <c r="FH13" s="551">
        <f t="shared" si="28"/>
        <v>6767</v>
      </c>
      <c r="FI13" s="553" t="s">
        <v>112</v>
      </c>
      <c r="FJ13" s="554" t="str">
        <f t="shared" si="29"/>
        <v>OK</v>
      </c>
    </row>
    <row r="14" spans="1:166" ht="15" customHeight="1" x14ac:dyDescent="0.25">
      <c r="A14" s="672" t="s">
        <v>113</v>
      </c>
      <c r="B14" s="559">
        <v>23</v>
      </c>
      <c r="C14" s="559">
        <v>12</v>
      </c>
      <c r="D14" s="559">
        <v>10</v>
      </c>
      <c r="E14" s="559">
        <v>2</v>
      </c>
      <c r="F14" s="559">
        <v>13</v>
      </c>
      <c r="G14" s="559">
        <v>15</v>
      </c>
      <c r="H14" s="559">
        <v>11</v>
      </c>
      <c r="I14" s="559">
        <v>11</v>
      </c>
      <c r="J14" s="559">
        <v>5</v>
      </c>
      <c r="K14" s="559">
        <v>6</v>
      </c>
      <c r="L14" s="559">
        <v>6</v>
      </c>
      <c r="M14" s="559">
        <v>2</v>
      </c>
      <c r="N14" s="532">
        <f t="shared" si="12"/>
        <v>116</v>
      </c>
      <c r="O14" s="559">
        <v>10</v>
      </c>
      <c r="P14" s="559">
        <v>10</v>
      </c>
      <c r="Q14" s="559">
        <v>11</v>
      </c>
      <c r="R14" s="559">
        <v>13</v>
      </c>
      <c r="S14" s="559">
        <v>9</v>
      </c>
      <c r="T14" s="559">
        <v>6</v>
      </c>
      <c r="U14" s="559">
        <v>2</v>
      </c>
      <c r="V14" s="559">
        <v>2</v>
      </c>
      <c r="W14" s="559"/>
      <c r="X14" s="559">
        <v>1</v>
      </c>
      <c r="Y14" s="559">
        <v>4</v>
      </c>
      <c r="Z14" s="559">
        <v>5</v>
      </c>
      <c r="AA14" s="532">
        <f t="shared" si="13"/>
        <v>73</v>
      </c>
      <c r="AB14" s="559">
        <v>5</v>
      </c>
      <c r="AC14" s="559">
        <v>12</v>
      </c>
      <c r="AD14" s="559">
        <v>4</v>
      </c>
      <c r="AE14" s="559">
        <v>8</v>
      </c>
      <c r="AF14" s="559">
        <v>5</v>
      </c>
      <c r="AG14" s="559">
        <v>9</v>
      </c>
      <c r="AH14" s="559">
        <v>6</v>
      </c>
      <c r="AI14" s="559">
        <v>4</v>
      </c>
      <c r="AJ14" s="559">
        <v>14</v>
      </c>
      <c r="AK14" s="559">
        <v>9</v>
      </c>
      <c r="AL14" s="559">
        <v>15</v>
      </c>
      <c r="AM14" s="559">
        <v>14</v>
      </c>
      <c r="AN14" s="532">
        <f t="shared" si="14"/>
        <v>105</v>
      </c>
      <c r="AO14" s="559">
        <v>18</v>
      </c>
      <c r="AP14" s="559">
        <v>10</v>
      </c>
      <c r="AQ14" s="559">
        <v>10</v>
      </c>
      <c r="AR14" s="559">
        <v>3</v>
      </c>
      <c r="AS14" s="559">
        <v>2</v>
      </c>
      <c r="AT14" s="559">
        <v>9</v>
      </c>
      <c r="AU14" s="559">
        <v>12</v>
      </c>
      <c r="AV14" s="559">
        <v>5</v>
      </c>
      <c r="AW14" s="559">
        <v>3</v>
      </c>
      <c r="AX14" s="559"/>
      <c r="AY14" s="559"/>
      <c r="AZ14" s="559">
        <v>17</v>
      </c>
      <c r="BA14" s="532">
        <f t="shared" si="15"/>
        <v>89</v>
      </c>
      <c r="BB14" s="559">
        <v>10</v>
      </c>
      <c r="BC14" s="559">
        <v>15</v>
      </c>
      <c r="BD14" s="559">
        <v>8</v>
      </c>
      <c r="BE14" s="559">
        <v>3</v>
      </c>
      <c r="BF14" s="559">
        <v>3</v>
      </c>
      <c r="BG14" s="559">
        <v>12</v>
      </c>
      <c r="BH14" s="559">
        <v>3</v>
      </c>
      <c r="BI14" s="559">
        <v>3</v>
      </c>
      <c r="BJ14" s="559">
        <v>5</v>
      </c>
      <c r="BK14" s="559">
        <v>9</v>
      </c>
      <c r="BL14" s="559">
        <v>9</v>
      </c>
      <c r="BM14" s="559">
        <v>14</v>
      </c>
      <c r="BN14" s="532">
        <f t="shared" si="16"/>
        <v>94</v>
      </c>
      <c r="BO14" s="559">
        <v>8</v>
      </c>
      <c r="BP14" s="559">
        <v>3</v>
      </c>
      <c r="BQ14" s="559">
        <v>7</v>
      </c>
      <c r="BR14" s="559">
        <v>7</v>
      </c>
      <c r="BS14" s="559">
        <v>7</v>
      </c>
      <c r="BT14" s="559">
        <v>6</v>
      </c>
      <c r="BU14" s="559">
        <v>12</v>
      </c>
      <c r="BV14" s="559">
        <v>4</v>
      </c>
      <c r="BW14" s="559">
        <v>6</v>
      </c>
      <c r="BX14" s="559">
        <v>2</v>
      </c>
      <c r="BY14" s="559"/>
      <c r="BZ14" s="559">
        <v>5</v>
      </c>
      <c r="CA14" s="532">
        <f t="shared" si="17"/>
        <v>67</v>
      </c>
      <c r="CB14" s="559">
        <v>13.5</v>
      </c>
      <c r="CC14" s="559">
        <v>8</v>
      </c>
      <c r="CD14" s="559">
        <v>4</v>
      </c>
      <c r="CE14" s="559">
        <v>1</v>
      </c>
      <c r="CF14" s="559"/>
      <c r="CG14" s="559">
        <v>9</v>
      </c>
      <c r="CH14" s="559">
        <v>10</v>
      </c>
      <c r="CI14" s="559">
        <v>3</v>
      </c>
      <c r="CJ14" s="559"/>
      <c r="CK14" s="559">
        <v>2</v>
      </c>
      <c r="CL14" s="559"/>
      <c r="CM14" s="559">
        <v>12</v>
      </c>
      <c r="CN14" s="532">
        <f t="shared" si="18"/>
        <v>62.5</v>
      </c>
      <c r="CO14" s="559">
        <v>15</v>
      </c>
      <c r="CP14" s="559">
        <v>13</v>
      </c>
      <c r="CQ14" s="559">
        <v>5</v>
      </c>
      <c r="CR14" s="559">
        <v>1</v>
      </c>
      <c r="CS14" s="559">
        <v>9</v>
      </c>
      <c r="CT14" s="559">
        <v>22</v>
      </c>
      <c r="CU14" s="559">
        <v>8</v>
      </c>
      <c r="CV14" s="559">
        <v>5</v>
      </c>
      <c r="CW14" s="559"/>
      <c r="CX14" s="559">
        <v>1</v>
      </c>
      <c r="CY14" s="559">
        <v>1</v>
      </c>
      <c r="CZ14" s="559"/>
      <c r="DA14" s="532">
        <f t="shared" si="19"/>
        <v>80</v>
      </c>
      <c r="DB14" s="559">
        <v>2</v>
      </c>
      <c r="DC14" s="559">
        <v>8</v>
      </c>
      <c r="DD14" s="559">
        <v>1</v>
      </c>
      <c r="DE14" s="559">
        <v>4.5</v>
      </c>
      <c r="DF14" s="559">
        <v>0.5</v>
      </c>
      <c r="DG14" s="559">
        <v>20</v>
      </c>
      <c r="DH14" s="559">
        <v>22.5</v>
      </c>
      <c r="DI14" s="559">
        <v>13</v>
      </c>
      <c r="DJ14" s="559">
        <v>8</v>
      </c>
      <c r="DK14" s="559">
        <v>2</v>
      </c>
      <c r="DL14" s="559">
        <v>10</v>
      </c>
      <c r="DM14" s="559">
        <v>7</v>
      </c>
      <c r="DN14" s="532">
        <f t="shared" si="20"/>
        <v>98.5</v>
      </c>
      <c r="DO14" s="559">
        <v>4</v>
      </c>
      <c r="DP14" s="559">
        <v>16.5</v>
      </c>
      <c r="DQ14" s="559">
        <v>6</v>
      </c>
      <c r="DR14" s="559"/>
      <c r="DS14" s="559">
        <v>8</v>
      </c>
      <c r="DT14" s="559"/>
      <c r="DU14" s="559">
        <v>29</v>
      </c>
      <c r="DV14" s="559">
        <v>3</v>
      </c>
      <c r="DW14" s="559">
        <v>1</v>
      </c>
      <c r="DX14" s="559">
        <v>5</v>
      </c>
      <c r="DY14" s="559"/>
      <c r="DZ14" s="559"/>
      <c r="EA14" s="532">
        <f t="shared" si="21"/>
        <v>72.5</v>
      </c>
      <c r="EB14" s="559"/>
      <c r="EC14" s="559">
        <v>17</v>
      </c>
      <c r="ED14" s="559">
        <v>10</v>
      </c>
      <c r="EE14" s="559">
        <v>17</v>
      </c>
      <c r="EF14" s="559">
        <v>23</v>
      </c>
      <c r="EG14" s="559">
        <v>13</v>
      </c>
      <c r="EH14" s="559">
        <v>1</v>
      </c>
      <c r="EI14" s="559">
        <v>6.5</v>
      </c>
      <c r="EJ14" s="559">
        <v>1</v>
      </c>
      <c r="EK14" s="559">
        <v>13.5</v>
      </c>
      <c r="EL14" s="559">
        <v>5.5</v>
      </c>
      <c r="EM14" s="559"/>
      <c r="EN14" s="532">
        <f t="shared" si="22"/>
        <v>107.5</v>
      </c>
      <c r="EO14" s="559"/>
      <c r="EP14" s="559"/>
      <c r="EQ14" s="559"/>
      <c r="ER14" s="559"/>
      <c r="ES14" s="559"/>
      <c r="ET14" s="559"/>
      <c r="EU14" s="559"/>
      <c r="EV14" s="559"/>
      <c r="EW14" s="559"/>
      <c r="EX14" s="559"/>
      <c r="EY14" s="559"/>
      <c r="EZ14" s="559"/>
      <c r="FA14" s="532">
        <f t="shared" si="23"/>
        <v>0</v>
      </c>
      <c r="FC14" s="560">
        <f t="shared" si="24"/>
        <v>-100</v>
      </c>
      <c r="FD14" s="561">
        <f t="shared" si="25"/>
        <v>-100</v>
      </c>
      <c r="FE14" s="562">
        <f t="shared" si="26"/>
        <v>107.5</v>
      </c>
      <c r="FF14" s="665">
        <f t="shared" si="27"/>
        <v>0</v>
      </c>
      <c r="FG14" s="115"/>
      <c r="FH14" s="551">
        <f t="shared" si="28"/>
        <v>1930</v>
      </c>
      <c r="FI14" s="553" t="s">
        <v>113</v>
      </c>
      <c r="FJ14" s="554" t="str">
        <f t="shared" si="29"/>
        <v>OK</v>
      </c>
    </row>
    <row r="15" spans="1:166" ht="15" customHeight="1" x14ac:dyDescent="0.25">
      <c r="A15" s="672" t="s">
        <v>115</v>
      </c>
      <c r="B15" s="559"/>
      <c r="C15" s="559"/>
      <c r="D15" s="559"/>
      <c r="E15" s="559"/>
      <c r="F15" s="559"/>
      <c r="G15" s="559"/>
      <c r="H15" s="559"/>
      <c r="I15" s="559"/>
      <c r="J15" s="559"/>
      <c r="K15" s="559"/>
      <c r="L15" s="559"/>
      <c r="M15" s="559">
        <v>341</v>
      </c>
      <c r="N15" s="532">
        <f t="shared" si="12"/>
        <v>341</v>
      </c>
      <c r="O15" s="559"/>
      <c r="P15" s="559"/>
      <c r="Q15" s="559"/>
      <c r="R15" s="559"/>
      <c r="S15" s="559"/>
      <c r="T15" s="559"/>
      <c r="U15" s="559"/>
      <c r="V15" s="559"/>
      <c r="W15" s="559"/>
      <c r="X15" s="559"/>
      <c r="Y15" s="559"/>
      <c r="Z15" s="559">
        <v>349</v>
      </c>
      <c r="AA15" s="532">
        <f t="shared" si="13"/>
        <v>349</v>
      </c>
      <c r="AB15" s="559"/>
      <c r="AC15" s="559"/>
      <c r="AD15" s="559"/>
      <c r="AE15" s="559"/>
      <c r="AF15" s="559"/>
      <c r="AG15" s="559"/>
      <c r="AH15" s="559"/>
      <c r="AI15" s="559"/>
      <c r="AJ15" s="559"/>
      <c r="AK15" s="559"/>
      <c r="AL15" s="559"/>
      <c r="AM15" s="559">
        <v>317</v>
      </c>
      <c r="AN15" s="532">
        <f t="shared" si="14"/>
        <v>317</v>
      </c>
      <c r="AO15" s="559"/>
      <c r="AP15" s="559"/>
      <c r="AQ15" s="559"/>
      <c r="AR15" s="559"/>
      <c r="AS15" s="559"/>
      <c r="AT15" s="559"/>
      <c r="AU15" s="559"/>
      <c r="AV15" s="559"/>
      <c r="AW15" s="559"/>
      <c r="AX15" s="559"/>
      <c r="AY15" s="559"/>
      <c r="AZ15" s="559">
        <v>377</v>
      </c>
      <c r="BA15" s="532">
        <f t="shared" si="15"/>
        <v>377</v>
      </c>
      <c r="BB15" s="559"/>
      <c r="BC15" s="559"/>
      <c r="BD15" s="559"/>
      <c r="BE15" s="559"/>
      <c r="BF15" s="559"/>
      <c r="BG15" s="559"/>
      <c r="BH15" s="559"/>
      <c r="BI15" s="559"/>
      <c r="BJ15" s="559"/>
      <c r="BK15" s="559"/>
      <c r="BL15" s="559"/>
      <c r="BM15" s="559">
        <v>157</v>
      </c>
      <c r="BN15" s="532">
        <f t="shared" si="16"/>
        <v>157</v>
      </c>
      <c r="BO15" s="559"/>
      <c r="BP15" s="559"/>
      <c r="BQ15" s="559"/>
      <c r="BR15" s="559"/>
      <c r="BS15" s="559"/>
      <c r="BT15" s="559"/>
      <c r="BU15" s="559"/>
      <c r="BV15" s="559"/>
      <c r="BW15" s="559"/>
      <c r="BX15" s="559"/>
      <c r="BY15" s="559"/>
      <c r="BZ15" s="559">
        <v>526</v>
      </c>
      <c r="CA15" s="532">
        <f t="shared" si="17"/>
        <v>526</v>
      </c>
      <c r="CB15" s="559"/>
      <c r="CC15" s="559"/>
      <c r="CD15" s="559"/>
      <c r="CE15" s="559"/>
      <c r="CF15" s="559"/>
      <c r="CG15" s="559"/>
      <c r="CH15" s="559"/>
      <c r="CI15" s="559"/>
      <c r="CJ15" s="559"/>
      <c r="CK15" s="559"/>
      <c r="CL15" s="559"/>
      <c r="CM15" s="559">
        <v>477</v>
      </c>
      <c r="CN15" s="532">
        <f t="shared" si="18"/>
        <v>477</v>
      </c>
      <c r="CO15" s="559"/>
      <c r="CP15" s="559"/>
      <c r="CQ15" s="559"/>
      <c r="CR15" s="559"/>
      <c r="CS15" s="559"/>
      <c r="CT15" s="559"/>
      <c r="CU15" s="559"/>
      <c r="CV15" s="559"/>
      <c r="CW15" s="559"/>
      <c r="CX15" s="559"/>
      <c r="CY15" s="559"/>
      <c r="CZ15" s="559">
        <v>450</v>
      </c>
      <c r="DA15" s="532">
        <f t="shared" si="19"/>
        <v>450</v>
      </c>
      <c r="DB15" s="559"/>
      <c r="DC15" s="559"/>
      <c r="DD15" s="559"/>
      <c r="DE15" s="559"/>
      <c r="DF15" s="559"/>
      <c r="DG15" s="559"/>
      <c r="DH15" s="559"/>
      <c r="DI15" s="559"/>
      <c r="DJ15" s="559"/>
      <c r="DK15" s="559"/>
      <c r="DL15" s="559"/>
      <c r="DM15" s="559">
        <v>557.5</v>
      </c>
      <c r="DN15" s="532">
        <f t="shared" si="20"/>
        <v>557.5</v>
      </c>
      <c r="DO15" s="559"/>
      <c r="DP15" s="559"/>
      <c r="DQ15" s="559"/>
      <c r="DR15" s="559"/>
      <c r="DS15" s="559"/>
      <c r="DT15" s="559"/>
      <c r="DU15" s="559"/>
      <c r="DV15" s="559"/>
      <c r="DW15" s="559"/>
      <c r="DX15" s="559"/>
      <c r="DY15" s="559"/>
      <c r="DZ15" s="559">
        <v>322.5</v>
      </c>
      <c r="EA15" s="532">
        <f t="shared" si="21"/>
        <v>322.5</v>
      </c>
      <c r="EB15" s="559"/>
      <c r="EC15" s="559"/>
      <c r="ED15" s="559"/>
      <c r="EE15" s="559"/>
      <c r="EF15" s="559"/>
      <c r="EG15" s="559"/>
      <c r="EH15" s="559"/>
      <c r="EI15" s="559"/>
      <c r="EJ15" s="559"/>
      <c r="EK15" s="559"/>
      <c r="EL15" s="559"/>
      <c r="EM15" s="559"/>
      <c r="EN15" s="532">
        <f t="shared" si="22"/>
        <v>0</v>
      </c>
      <c r="EO15" s="559"/>
      <c r="EP15" s="559"/>
      <c r="EQ15" s="559"/>
      <c r="ER15" s="559"/>
      <c r="ES15" s="559"/>
      <c r="ET15" s="559"/>
      <c r="EU15" s="559"/>
      <c r="EV15" s="559"/>
      <c r="EW15" s="559"/>
      <c r="EX15" s="559"/>
      <c r="EY15" s="559"/>
      <c r="EZ15" s="559"/>
      <c r="FA15" s="532">
        <f t="shared" si="23"/>
        <v>0</v>
      </c>
      <c r="FC15" s="560" t="str">
        <f t="shared" si="24"/>
        <v/>
      </c>
      <c r="FD15" s="561" t="str">
        <f t="shared" si="25"/>
        <v/>
      </c>
      <c r="FE15" s="562">
        <f t="shared" si="26"/>
        <v>0</v>
      </c>
      <c r="FF15" s="665">
        <f t="shared" si="27"/>
        <v>0</v>
      </c>
      <c r="FG15" s="115"/>
      <c r="FH15" s="551">
        <f t="shared" si="28"/>
        <v>7748</v>
      </c>
      <c r="FI15" s="553" t="s">
        <v>115</v>
      </c>
      <c r="FJ15" s="554" t="str">
        <f t="shared" si="29"/>
        <v>OK</v>
      </c>
    </row>
    <row r="16" spans="1:166" ht="15" customHeight="1" x14ac:dyDescent="0.25">
      <c r="A16" s="672" t="s">
        <v>637</v>
      </c>
      <c r="B16" s="559"/>
      <c r="C16" s="559"/>
      <c r="D16" s="559"/>
      <c r="E16" s="559"/>
      <c r="F16" s="559"/>
      <c r="G16" s="559"/>
      <c r="H16" s="559"/>
      <c r="I16" s="559">
        <v>2</v>
      </c>
      <c r="J16" s="559">
        <v>5</v>
      </c>
      <c r="K16" s="559">
        <v>15</v>
      </c>
      <c r="L16" s="559">
        <v>6</v>
      </c>
      <c r="M16" s="559"/>
      <c r="N16" s="532">
        <f t="shared" si="12"/>
        <v>28</v>
      </c>
      <c r="O16" s="559">
        <v>3</v>
      </c>
      <c r="P16" s="559">
        <v>2</v>
      </c>
      <c r="Q16" s="559"/>
      <c r="R16" s="559"/>
      <c r="S16" s="559"/>
      <c r="T16" s="559"/>
      <c r="U16" s="559"/>
      <c r="V16" s="559"/>
      <c r="W16" s="559"/>
      <c r="X16" s="559"/>
      <c r="Y16" s="559"/>
      <c r="Z16" s="559"/>
      <c r="AA16" s="532">
        <f t="shared" si="13"/>
        <v>5</v>
      </c>
      <c r="AB16" s="559"/>
      <c r="AC16" s="559"/>
      <c r="AD16" s="559"/>
      <c r="AE16" s="559"/>
      <c r="AF16" s="559"/>
      <c r="AG16" s="559"/>
      <c r="AH16" s="559"/>
      <c r="AI16" s="559">
        <v>7</v>
      </c>
      <c r="AJ16" s="559">
        <v>11</v>
      </c>
      <c r="AK16" s="559">
        <v>6</v>
      </c>
      <c r="AL16" s="559"/>
      <c r="AM16" s="559"/>
      <c r="AN16" s="532">
        <f t="shared" si="14"/>
        <v>24</v>
      </c>
      <c r="AO16" s="559"/>
      <c r="AP16" s="559"/>
      <c r="AQ16" s="559"/>
      <c r="AR16" s="559"/>
      <c r="AS16" s="559"/>
      <c r="AT16" s="559"/>
      <c r="AU16" s="559">
        <v>1</v>
      </c>
      <c r="AV16" s="559">
        <v>1</v>
      </c>
      <c r="AW16" s="559">
        <v>3</v>
      </c>
      <c r="AX16" s="559">
        <v>1</v>
      </c>
      <c r="AY16" s="559">
        <v>1</v>
      </c>
      <c r="AZ16" s="559"/>
      <c r="BA16" s="532">
        <f t="shared" si="15"/>
        <v>7</v>
      </c>
      <c r="BB16" s="559"/>
      <c r="BC16" s="559"/>
      <c r="BD16" s="559"/>
      <c r="BE16" s="559"/>
      <c r="BF16" s="559"/>
      <c r="BG16" s="559"/>
      <c r="BH16" s="559"/>
      <c r="BI16" s="559"/>
      <c r="BJ16" s="559"/>
      <c r="BK16" s="559"/>
      <c r="BL16" s="559">
        <v>2</v>
      </c>
      <c r="BM16" s="559">
        <v>2</v>
      </c>
      <c r="BN16" s="532">
        <f t="shared" si="16"/>
        <v>4</v>
      </c>
      <c r="BO16" s="559">
        <v>2</v>
      </c>
      <c r="BP16" s="559">
        <v>1</v>
      </c>
      <c r="BQ16" s="559"/>
      <c r="BR16" s="559"/>
      <c r="BS16" s="559"/>
      <c r="BT16" s="559"/>
      <c r="BU16" s="559">
        <v>2</v>
      </c>
      <c r="BV16" s="559">
        <v>3</v>
      </c>
      <c r="BW16" s="559">
        <v>3</v>
      </c>
      <c r="BX16" s="559"/>
      <c r="BY16" s="559"/>
      <c r="BZ16" s="559"/>
      <c r="CA16" s="532">
        <f t="shared" si="17"/>
        <v>11</v>
      </c>
      <c r="CB16" s="559"/>
      <c r="CC16" s="559"/>
      <c r="CD16" s="559"/>
      <c r="CE16" s="559"/>
      <c r="CF16" s="559"/>
      <c r="CG16" s="559"/>
      <c r="CH16" s="559"/>
      <c r="CI16" s="559">
        <v>3</v>
      </c>
      <c r="CJ16" s="559">
        <v>2</v>
      </c>
      <c r="CK16" s="559">
        <v>1</v>
      </c>
      <c r="CL16" s="559">
        <v>2</v>
      </c>
      <c r="CM16" s="559"/>
      <c r="CN16" s="532">
        <f t="shared" si="18"/>
        <v>8</v>
      </c>
      <c r="CO16" s="559"/>
      <c r="CP16" s="559"/>
      <c r="CQ16" s="559"/>
      <c r="CR16" s="559"/>
      <c r="CS16" s="559"/>
      <c r="CT16" s="559"/>
      <c r="CU16" s="559"/>
      <c r="CV16" s="559">
        <v>1</v>
      </c>
      <c r="CW16" s="559">
        <v>1</v>
      </c>
      <c r="CX16" s="559"/>
      <c r="CY16" s="559"/>
      <c r="CZ16" s="559">
        <v>1</v>
      </c>
      <c r="DA16" s="532">
        <f t="shared" si="19"/>
        <v>3</v>
      </c>
      <c r="DB16" s="559"/>
      <c r="DC16" s="559"/>
      <c r="DD16" s="559"/>
      <c r="DE16" s="559"/>
      <c r="DF16" s="559"/>
      <c r="DG16" s="559"/>
      <c r="DH16" s="559"/>
      <c r="DI16" s="559"/>
      <c r="DJ16" s="559"/>
      <c r="DK16" s="559"/>
      <c r="DL16" s="559"/>
      <c r="DM16" s="559"/>
      <c r="DN16" s="532">
        <f t="shared" si="20"/>
        <v>0</v>
      </c>
      <c r="DO16" s="559"/>
      <c r="DP16" s="559"/>
      <c r="DQ16" s="559"/>
      <c r="DR16" s="559"/>
      <c r="DS16" s="559"/>
      <c r="DT16" s="559"/>
      <c r="DU16" s="559"/>
      <c r="DV16" s="559">
        <v>1</v>
      </c>
      <c r="DW16" s="559">
        <v>2</v>
      </c>
      <c r="DX16" s="559">
        <v>8</v>
      </c>
      <c r="DY16" s="559">
        <v>13</v>
      </c>
      <c r="DZ16" s="559">
        <v>6</v>
      </c>
      <c r="EA16" s="532">
        <f t="shared" si="21"/>
        <v>30</v>
      </c>
      <c r="EB16" s="559">
        <v>2</v>
      </c>
      <c r="EC16" s="559"/>
      <c r="ED16" s="559"/>
      <c r="EE16" s="559"/>
      <c r="EF16" s="559"/>
      <c r="EG16" s="559">
        <v>1</v>
      </c>
      <c r="EH16" s="559">
        <v>3.5</v>
      </c>
      <c r="EI16" s="559">
        <v>8.5</v>
      </c>
      <c r="EJ16" s="559">
        <v>11</v>
      </c>
      <c r="EK16" s="559">
        <v>14</v>
      </c>
      <c r="EL16" s="559">
        <v>3</v>
      </c>
      <c r="EM16" s="559"/>
      <c r="EN16" s="532">
        <f t="shared" si="22"/>
        <v>43</v>
      </c>
      <c r="EO16" s="559"/>
      <c r="EP16" s="559"/>
      <c r="EQ16" s="559"/>
      <c r="ER16" s="559"/>
      <c r="ES16" s="559"/>
      <c r="ET16" s="559"/>
      <c r="EU16" s="559"/>
      <c r="EV16" s="559"/>
      <c r="EW16" s="559"/>
      <c r="EX16" s="559"/>
      <c r="EY16" s="559"/>
      <c r="EZ16" s="559"/>
      <c r="FA16" s="532">
        <f t="shared" si="23"/>
        <v>0</v>
      </c>
      <c r="FC16" s="560">
        <f t="shared" si="24"/>
        <v>-100</v>
      </c>
      <c r="FD16" s="561">
        <f t="shared" si="25"/>
        <v>-100</v>
      </c>
      <c r="FE16" s="562">
        <f t="shared" si="26"/>
        <v>43</v>
      </c>
      <c r="FF16" s="665">
        <f t="shared" si="27"/>
        <v>0</v>
      </c>
      <c r="FG16" s="115"/>
      <c r="FH16" s="551">
        <f t="shared" si="28"/>
        <v>326</v>
      </c>
      <c r="FI16" s="553" t="s">
        <v>637</v>
      </c>
      <c r="FJ16" s="554" t="str">
        <f t="shared" si="29"/>
        <v>OK</v>
      </c>
    </row>
    <row r="17" spans="1:166" ht="15" customHeight="1" x14ac:dyDescent="0.25">
      <c r="A17" s="672" t="s">
        <v>118</v>
      </c>
      <c r="B17" s="559"/>
      <c r="C17" s="559"/>
      <c r="D17" s="559">
        <v>13</v>
      </c>
      <c r="E17" s="559">
        <v>14</v>
      </c>
      <c r="F17" s="559"/>
      <c r="G17" s="559">
        <v>61</v>
      </c>
      <c r="H17" s="559">
        <v>70</v>
      </c>
      <c r="I17" s="559">
        <v>43</v>
      </c>
      <c r="J17" s="559">
        <v>33</v>
      </c>
      <c r="K17" s="559">
        <v>26</v>
      </c>
      <c r="L17" s="559">
        <v>3</v>
      </c>
      <c r="M17" s="559">
        <v>13</v>
      </c>
      <c r="N17" s="532">
        <f t="shared" si="12"/>
        <v>276</v>
      </c>
      <c r="O17" s="559"/>
      <c r="P17" s="559"/>
      <c r="Q17" s="559"/>
      <c r="R17" s="559"/>
      <c r="S17" s="559"/>
      <c r="T17" s="559">
        <v>47</v>
      </c>
      <c r="U17" s="559">
        <v>65</v>
      </c>
      <c r="V17" s="559">
        <v>18</v>
      </c>
      <c r="W17" s="559">
        <v>20</v>
      </c>
      <c r="X17" s="559">
        <v>38</v>
      </c>
      <c r="Y17" s="559">
        <v>19</v>
      </c>
      <c r="Z17" s="559">
        <v>26</v>
      </c>
      <c r="AA17" s="532">
        <f t="shared" si="13"/>
        <v>233</v>
      </c>
      <c r="AB17" s="559"/>
      <c r="AC17" s="559"/>
      <c r="AD17" s="559"/>
      <c r="AE17" s="559"/>
      <c r="AF17" s="559"/>
      <c r="AG17" s="559">
        <v>83</v>
      </c>
      <c r="AH17" s="559">
        <v>114</v>
      </c>
      <c r="AI17" s="559">
        <v>63</v>
      </c>
      <c r="AJ17" s="559">
        <v>26</v>
      </c>
      <c r="AK17" s="559">
        <v>14</v>
      </c>
      <c r="AL17" s="559"/>
      <c r="AM17" s="559"/>
      <c r="AN17" s="532">
        <f t="shared" si="14"/>
        <v>300</v>
      </c>
      <c r="AO17" s="559"/>
      <c r="AP17" s="559"/>
      <c r="AQ17" s="559"/>
      <c r="AR17" s="559"/>
      <c r="AS17" s="559"/>
      <c r="AT17" s="559">
        <v>46</v>
      </c>
      <c r="AU17" s="559">
        <v>58</v>
      </c>
      <c r="AV17" s="559">
        <v>47</v>
      </c>
      <c r="AW17" s="559">
        <v>20</v>
      </c>
      <c r="AX17" s="559"/>
      <c r="AY17" s="559"/>
      <c r="AZ17" s="559"/>
      <c r="BA17" s="532">
        <f t="shared" si="15"/>
        <v>171</v>
      </c>
      <c r="BB17" s="559"/>
      <c r="BC17" s="559"/>
      <c r="BD17" s="559"/>
      <c r="BE17" s="559"/>
      <c r="BF17" s="559"/>
      <c r="BG17" s="559">
        <v>27</v>
      </c>
      <c r="BH17" s="559">
        <v>84</v>
      </c>
      <c r="BI17" s="559">
        <v>67</v>
      </c>
      <c r="BJ17" s="559">
        <v>35</v>
      </c>
      <c r="BK17" s="559">
        <v>7</v>
      </c>
      <c r="BL17" s="559"/>
      <c r="BM17" s="559"/>
      <c r="BN17" s="532">
        <f t="shared" si="16"/>
        <v>220</v>
      </c>
      <c r="BO17" s="559"/>
      <c r="BP17" s="559"/>
      <c r="BQ17" s="559"/>
      <c r="BR17" s="559"/>
      <c r="BS17" s="559"/>
      <c r="BT17" s="559"/>
      <c r="BU17" s="559">
        <v>95</v>
      </c>
      <c r="BV17" s="559">
        <v>86</v>
      </c>
      <c r="BW17" s="559">
        <v>68</v>
      </c>
      <c r="BX17" s="559">
        <v>28</v>
      </c>
      <c r="BY17" s="559"/>
      <c r="BZ17" s="559"/>
      <c r="CA17" s="532">
        <f t="shared" si="17"/>
        <v>277</v>
      </c>
      <c r="CB17" s="559"/>
      <c r="CC17" s="559"/>
      <c r="CD17" s="559"/>
      <c r="CE17" s="559"/>
      <c r="CF17" s="559"/>
      <c r="CG17" s="559">
        <v>8</v>
      </c>
      <c r="CH17" s="559">
        <v>58</v>
      </c>
      <c r="CI17" s="559">
        <v>116</v>
      </c>
      <c r="CJ17" s="559">
        <v>122</v>
      </c>
      <c r="CK17" s="559">
        <v>32</v>
      </c>
      <c r="CL17" s="559">
        <v>4</v>
      </c>
      <c r="CM17" s="559"/>
      <c r="CN17" s="532">
        <f t="shared" si="18"/>
        <v>340</v>
      </c>
      <c r="CO17" s="559"/>
      <c r="CP17" s="559"/>
      <c r="CQ17" s="559"/>
      <c r="CR17" s="559"/>
      <c r="CS17" s="559"/>
      <c r="CT17" s="559"/>
      <c r="CU17" s="559">
        <v>27</v>
      </c>
      <c r="CV17" s="559">
        <v>81</v>
      </c>
      <c r="CW17" s="559">
        <v>78</v>
      </c>
      <c r="CX17" s="559">
        <v>50</v>
      </c>
      <c r="CY17" s="559">
        <v>8</v>
      </c>
      <c r="CZ17" s="559"/>
      <c r="DA17" s="532">
        <f t="shared" si="19"/>
        <v>244</v>
      </c>
      <c r="DB17" s="559"/>
      <c r="DC17" s="559"/>
      <c r="DD17" s="559"/>
      <c r="DE17" s="559"/>
      <c r="DF17" s="559"/>
      <c r="DG17" s="559"/>
      <c r="DH17" s="559"/>
      <c r="DI17" s="559">
        <v>70</v>
      </c>
      <c r="DJ17" s="559">
        <v>89</v>
      </c>
      <c r="DK17" s="559">
        <v>94</v>
      </c>
      <c r="DL17" s="559">
        <v>27</v>
      </c>
      <c r="DM17" s="559"/>
      <c r="DN17" s="532">
        <f t="shared" si="20"/>
        <v>280</v>
      </c>
      <c r="DO17" s="559"/>
      <c r="DP17" s="559"/>
      <c r="DQ17" s="559"/>
      <c r="DR17" s="559"/>
      <c r="DS17" s="559"/>
      <c r="DT17" s="559"/>
      <c r="DU17" s="559"/>
      <c r="DV17" s="559">
        <v>70</v>
      </c>
      <c r="DW17" s="559">
        <v>114</v>
      </c>
      <c r="DX17" s="559">
        <v>97</v>
      </c>
      <c r="DY17" s="559">
        <v>51</v>
      </c>
      <c r="DZ17" s="559">
        <v>15</v>
      </c>
      <c r="EA17" s="532">
        <f t="shared" si="21"/>
        <v>347</v>
      </c>
      <c r="EB17" s="559"/>
      <c r="EC17" s="559"/>
      <c r="ED17" s="559"/>
      <c r="EE17" s="559"/>
      <c r="EF17" s="559"/>
      <c r="EG17" s="559"/>
      <c r="EH17" s="559">
        <v>3</v>
      </c>
      <c r="EI17" s="559">
        <v>58</v>
      </c>
      <c r="EJ17" s="559">
        <v>89</v>
      </c>
      <c r="EK17" s="559">
        <v>96</v>
      </c>
      <c r="EL17" s="559">
        <v>12</v>
      </c>
      <c r="EM17" s="559"/>
      <c r="EN17" s="532">
        <f t="shared" si="22"/>
        <v>258</v>
      </c>
      <c r="EO17" s="559"/>
      <c r="EP17" s="559"/>
      <c r="EQ17" s="559"/>
      <c r="ER17" s="559"/>
      <c r="ES17" s="559"/>
      <c r="ET17" s="559"/>
      <c r="EU17" s="559"/>
      <c r="EV17" s="559"/>
      <c r="EW17" s="559"/>
      <c r="EX17" s="559"/>
      <c r="EY17" s="559"/>
      <c r="EZ17" s="559"/>
      <c r="FA17" s="532">
        <f t="shared" si="23"/>
        <v>0</v>
      </c>
      <c r="FC17" s="560">
        <f t="shared" si="24"/>
        <v>-100</v>
      </c>
      <c r="FD17" s="561">
        <f t="shared" si="25"/>
        <v>-100</v>
      </c>
      <c r="FE17" s="562">
        <f t="shared" si="26"/>
        <v>258</v>
      </c>
      <c r="FF17" s="665">
        <f t="shared" si="27"/>
        <v>0</v>
      </c>
      <c r="FG17" s="115"/>
      <c r="FH17" s="551">
        <f t="shared" si="28"/>
        <v>5892</v>
      </c>
      <c r="FI17" s="553" t="s">
        <v>118</v>
      </c>
      <c r="FJ17" s="554" t="str">
        <f t="shared" si="29"/>
        <v>OK</v>
      </c>
    </row>
    <row r="18" spans="1:166" ht="15" customHeight="1" x14ac:dyDescent="0.25">
      <c r="A18" s="672" t="s">
        <v>119</v>
      </c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>
        <v>173</v>
      </c>
      <c r="N18" s="532">
        <f t="shared" si="12"/>
        <v>173</v>
      </c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>
        <v>174</v>
      </c>
      <c r="AA18" s="532">
        <f t="shared" si="13"/>
        <v>174</v>
      </c>
      <c r="AB18" s="559"/>
      <c r="AC18" s="559"/>
      <c r="AD18" s="559"/>
      <c r="AE18" s="559"/>
      <c r="AF18" s="559"/>
      <c r="AG18" s="559"/>
      <c r="AH18" s="559"/>
      <c r="AI18" s="559"/>
      <c r="AJ18" s="559"/>
      <c r="AK18" s="559"/>
      <c r="AL18" s="559"/>
      <c r="AM18" s="559">
        <v>198</v>
      </c>
      <c r="AN18" s="532">
        <f t="shared" si="14"/>
        <v>198</v>
      </c>
      <c r="AO18" s="559"/>
      <c r="AP18" s="559"/>
      <c r="AQ18" s="559"/>
      <c r="AR18" s="559"/>
      <c r="AS18" s="559"/>
      <c r="AT18" s="559"/>
      <c r="AU18" s="559"/>
      <c r="AV18" s="559"/>
      <c r="AW18" s="559"/>
      <c r="AX18" s="559"/>
      <c r="AY18" s="559"/>
      <c r="AZ18" s="559">
        <v>193</v>
      </c>
      <c r="BA18" s="532">
        <f t="shared" si="15"/>
        <v>193</v>
      </c>
      <c r="BB18" s="559"/>
      <c r="BC18" s="559"/>
      <c r="BD18" s="559"/>
      <c r="BE18" s="559"/>
      <c r="BF18" s="559"/>
      <c r="BG18" s="559"/>
      <c r="BH18" s="559"/>
      <c r="BI18" s="559"/>
      <c r="BJ18" s="559"/>
      <c r="BK18" s="559"/>
      <c r="BL18" s="559"/>
      <c r="BM18" s="559">
        <v>86</v>
      </c>
      <c r="BN18" s="532">
        <f t="shared" si="16"/>
        <v>86</v>
      </c>
      <c r="BO18" s="559"/>
      <c r="BP18" s="559"/>
      <c r="BQ18" s="559"/>
      <c r="BR18" s="559"/>
      <c r="BS18" s="559"/>
      <c r="BT18" s="559"/>
      <c r="BU18" s="559"/>
      <c r="BV18" s="559"/>
      <c r="BW18" s="559"/>
      <c r="BX18" s="559"/>
      <c r="BY18" s="559"/>
      <c r="BZ18" s="559">
        <v>198</v>
      </c>
      <c r="CA18" s="532">
        <f t="shared" si="17"/>
        <v>198</v>
      </c>
      <c r="CB18" s="559"/>
      <c r="CC18" s="559"/>
      <c r="CD18" s="559"/>
      <c r="CE18" s="559"/>
      <c r="CF18" s="559"/>
      <c r="CG18" s="559"/>
      <c r="CH18" s="559"/>
      <c r="CI18" s="559"/>
      <c r="CJ18" s="559"/>
      <c r="CK18" s="559"/>
      <c r="CL18" s="559"/>
      <c r="CM18" s="559">
        <v>192</v>
      </c>
      <c r="CN18" s="532">
        <f t="shared" si="18"/>
        <v>192</v>
      </c>
      <c r="CO18" s="559"/>
      <c r="CP18" s="559"/>
      <c r="CQ18" s="559"/>
      <c r="CR18" s="559"/>
      <c r="CS18" s="559"/>
      <c r="CT18" s="559"/>
      <c r="CU18" s="559"/>
      <c r="CV18" s="559"/>
      <c r="CW18" s="559"/>
      <c r="CX18" s="559"/>
      <c r="CY18" s="559"/>
      <c r="CZ18" s="559">
        <v>202</v>
      </c>
      <c r="DA18" s="532">
        <f t="shared" si="19"/>
        <v>202</v>
      </c>
      <c r="DB18" s="559"/>
      <c r="DC18" s="559"/>
      <c r="DD18" s="559"/>
      <c r="DE18" s="559"/>
      <c r="DF18" s="559"/>
      <c r="DG18" s="559"/>
      <c r="DH18" s="559"/>
      <c r="DI18" s="559"/>
      <c r="DJ18" s="559"/>
      <c r="DK18" s="559"/>
      <c r="DL18" s="559"/>
      <c r="DM18" s="559">
        <v>207</v>
      </c>
      <c r="DN18" s="532">
        <f t="shared" si="20"/>
        <v>207</v>
      </c>
      <c r="DO18" s="559"/>
      <c r="DP18" s="559"/>
      <c r="DQ18" s="559"/>
      <c r="DR18" s="559"/>
      <c r="DS18" s="559"/>
      <c r="DT18" s="559"/>
      <c r="DU18" s="559"/>
      <c r="DV18" s="559"/>
      <c r="DW18" s="559"/>
      <c r="DX18" s="559"/>
      <c r="DY18" s="559"/>
      <c r="DZ18" s="559">
        <v>122</v>
      </c>
      <c r="EA18" s="532">
        <f t="shared" si="21"/>
        <v>122</v>
      </c>
      <c r="EB18" s="559"/>
      <c r="EC18" s="559"/>
      <c r="ED18" s="559"/>
      <c r="EE18" s="559"/>
      <c r="EF18" s="559"/>
      <c r="EG18" s="559"/>
      <c r="EH18" s="559"/>
      <c r="EI18" s="559"/>
      <c r="EJ18" s="559"/>
      <c r="EK18" s="559"/>
      <c r="EL18" s="559"/>
      <c r="EM18" s="559"/>
      <c r="EN18" s="532">
        <f t="shared" si="22"/>
        <v>0</v>
      </c>
      <c r="EO18" s="559"/>
      <c r="EP18" s="559"/>
      <c r="EQ18" s="559"/>
      <c r="ER18" s="559"/>
      <c r="ES18" s="559"/>
      <c r="ET18" s="559"/>
      <c r="EU18" s="559"/>
      <c r="EV18" s="559"/>
      <c r="EW18" s="559"/>
      <c r="EX18" s="559"/>
      <c r="EY18" s="559"/>
      <c r="EZ18" s="559"/>
      <c r="FA18" s="532">
        <f t="shared" si="23"/>
        <v>0</v>
      </c>
      <c r="FC18" s="560" t="str">
        <f t="shared" si="24"/>
        <v/>
      </c>
      <c r="FD18" s="561" t="str">
        <f t="shared" si="25"/>
        <v/>
      </c>
      <c r="FE18" s="562">
        <f t="shared" si="26"/>
        <v>0</v>
      </c>
      <c r="FF18" s="665">
        <f t="shared" si="27"/>
        <v>0</v>
      </c>
      <c r="FG18" s="115"/>
      <c r="FH18" s="551">
        <f t="shared" si="28"/>
        <v>3490</v>
      </c>
      <c r="FI18" s="553" t="s">
        <v>119</v>
      </c>
      <c r="FJ18" s="554" t="str">
        <f t="shared" si="29"/>
        <v>OK</v>
      </c>
    </row>
    <row r="19" spans="1:166" ht="15" customHeight="1" x14ac:dyDescent="0.25">
      <c r="A19" s="672" t="s">
        <v>120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>
        <v>267</v>
      </c>
      <c r="N19" s="532">
        <f t="shared" si="12"/>
        <v>267</v>
      </c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>
        <v>271</v>
      </c>
      <c r="AA19" s="532">
        <f t="shared" si="13"/>
        <v>271</v>
      </c>
      <c r="AB19" s="559"/>
      <c r="AC19" s="559"/>
      <c r="AD19" s="559"/>
      <c r="AE19" s="559"/>
      <c r="AF19" s="559"/>
      <c r="AG19" s="559"/>
      <c r="AH19" s="559"/>
      <c r="AI19" s="559"/>
      <c r="AJ19" s="559"/>
      <c r="AK19" s="559"/>
      <c r="AL19" s="559"/>
      <c r="AM19" s="559">
        <v>296</v>
      </c>
      <c r="AN19" s="532">
        <f t="shared" si="14"/>
        <v>296</v>
      </c>
      <c r="AO19" s="559"/>
      <c r="AP19" s="559"/>
      <c r="AQ19" s="559"/>
      <c r="AR19" s="559"/>
      <c r="AS19" s="559"/>
      <c r="AT19" s="559"/>
      <c r="AU19" s="559"/>
      <c r="AV19" s="559"/>
      <c r="AW19" s="559"/>
      <c r="AX19" s="559"/>
      <c r="AY19" s="559"/>
      <c r="AZ19" s="559">
        <v>312</v>
      </c>
      <c r="BA19" s="532">
        <f t="shared" si="15"/>
        <v>312</v>
      </c>
      <c r="BB19" s="559"/>
      <c r="BC19" s="559"/>
      <c r="BD19" s="559"/>
      <c r="BE19" s="559"/>
      <c r="BF19" s="559"/>
      <c r="BG19" s="559"/>
      <c r="BH19" s="559"/>
      <c r="BI19" s="559"/>
      <c r="BJ19" s="559"/>
      <c r="BK19" s="559"/>
      <c r="BL19" s="559"/>
      <c r="BM19" s="559">
        <v>241</v>
      </c>
      <c r="BN19" s="532">
        <f t="shared" si="16"/>
        <v>241</v>
      </c>
      <c r="BO19" s="559"/>
      <c r="BP19" s="559"/>
      <c r="BQ19" s="559"/>
      <c r="BR19" s="559"/>
      <c r="BS19" s="559"/>
      <c r="BT19" s="559"/>
      <c r="BU19" s="559"/>
      <c r="BV19" s="559"/>
      <c r="BW19" s="559"/>
      <c r="BX19" s="559"/>
      <c r="BY19" s="559"/>
      <c r="BZ19" s="559">
        <v>353</v>
      </c>
      <c r="CA19" s="532">
        <f t="shared" si="17"/>
        <v>353</v>
      </c>
      <c r="CB19" s="559"/>
      <c r="CC19" s="559"/>
      <c r="CD19" s="559"/>
      <c r="CE19" s="559"/>
      <c r="CF19" s="559"/>
      <c r="CG19" s="559"/>
      <c r="CH19" s="559"/>
      <c r="CI19" s="559"/>
      <c r="CJ19" s="559"/>
      <c r="CK19" s="559"/>
      <c r="CL19" s="559"/>
      <c r="CM19" s="559">
        <v>368</v>
      </c>
      <c r="CN19" s="532">
        <f t="shared" si="18"/>
        <v>368</v>
      </c>
      <c r="CO19" s="559"/>
      <c r="CP19" s="559"/>
      <c r="CQ19" s="559"/>
      <c r="CR19" s="559"/>
      <c r="CS19" s="559"/>
      <c r="CT19" s="559"/>
      <c r="CU19" s="559"/>
      <c r="CV19" s="559"/>
      <c r="CW19" s="559"/>
      <c r="CX19" s="559"/>
      <c r="CY19" s="559"/>
      <c r="CZ19" s="559">
        <v>356</v>
      </c>
      <c r="DA19" s="532">
        <f t="shared" si="19"/>
        <v>356</v>
      </c>
      <c r="DB19" s="559"/>
      <c r="DC19" s="559"/>
      <c r="DD19" s="559"/>
      <c r="DE19" s="559"/>
      <c r="DF19" s="559"/>
      <c r="DG19" s="559"/>
      <c r="DH19" s="559"/>
      <c r="DI19" s="559"/>
      <c r="DJ19" s="559"/>
      <c r="DK19" s="559"/>
      <c r="DL19" s="559"/>
      <c r="DM19" s="559">
        <v>372</v>
      </c>
      <c r="DN19" s="532">
        <f t="shared" si="20"/>
        <v>372</v>
      </c>
      <c r="DO19" s="559"/>
      <c r="DP19" s="559"/>
      <c r="DQ19" s="559"/>
      <c r="DR19" s="559"/>
      <c r="DS19" s="559"/>
      <c r="DT19" s="559"/>
      <c r="DU19" s="559"/>
      <c r="DV19" s="559"/>
      <c r="DW19" s="559"/>
      <c r="DX19" s="559"/>
      <c r="DY19" s="559"/>
      <c r="DZ19" s="559">
        <v>207</v>
      </c>
      <c r="EA19" s="532">
        <f t="shared" si="21"/>
        <v>207</v>
      </c>
      <c r="EB19" s="559"/>
      <c r="EC19" s="559"/>
      <c r="ED19" s="559"/>
      <c r="EE19" s="559"/>
      <c r="EF19" s="559"/>
      <c r="EG19" s="559"/>
      <c r="EH19" s="559"/>
      <c r="EI19" s="559"/>
      <c r="EJ19" s="559"/>
      <c r="EK19" s="559"/>
      <c r="EL19" s="559"/>
      <c r="EM19" s="559"/>
      <c r="EN19" s="532">
        <f t="shared" si="22"/>
        <v>0</v>
      </c>
      <c r="EO19" s="559"/>
      <c r="EP19" s="559"/>
      <c r="EQ19" s="559"/>
      <c r="ER19" s="559"/>
      <c r="ES19" s="559"/>
      <c r="ET19" s="559"/>
      <c r="EU19" s="559"/>
      <c r="EV19" s="559"/>
      <c r="EW19" s="559"/>
      <c r="EX19" s="559"/>
      <c r="EY19" s="559"/>
      <c r="EZ19" s="559"/>
      <c r="FA19" s="532">
        <f t="shared" si="23"/>
        <v>0</v>
      </c>
      <c r="FC19" s="560" t="str">
        <f t="shared" si="24"/>
        <v/>
      </c>
      <c r="FD19" s="561" t="str">
        <f t="shared" si="25"/>
        <v/>
      </c>
      <c r="FE19" s="562">
        <f t="shared" si="26"/>
        <v>0</v>
      </c>
      <c r="FF19" s="665">
        <f t="shared" si="27"/>
        <v>0</v>
      </c>
      <c r="FG19" s="115"/>
      <c r="FH19" s="551">
        <f t="shared" si="28"/>
        <v>6086</v>
      </c>
      <c r="FI19" s="553" t="s">
        <v>120</v>
      </c>
      <c r="FJ19" s="554" t="str">
        <f t="shared" si="29"/>
        <v>OK</v>
      </c>
    </row>
    <row r="20" spans="1:166" ht="15" customHeight="1" x14ac:dyDescent="0.25">
      <c r="A20" s="672" t="s">
        <v>121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>
        <v>324</v>
      </c>
      <c r="N20" s="532">
        <f t="shared" si="12"/>
        <v>324</v>
      </c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>
        <v>328</v>
      </c>
      <c r="AA20" s="532">
        <f t="shared" si="13"/>
        <v>328</v>
      </c>
      <c r="AB20" s="559"/>
      <c r="AC20" s="559"/>
      <c r="AD20" s="559"/>
      <c r="AE20" s="559"/>
      <c r="AF20" s="559"/>
      <c r="AG20" s="559"/>
      <c r="AH20" s="559"/>
      <c r="AI20" s="559"/>
      <c r="AJ20" s="559"/>
      <c r="AK20" s="559"/>
      <c r="AL20" s="559"/>
      <c r="AM20" s="559">
        <v>398</v>
      </c>
      <c r="AN20" s="532">
        <f t="shared" si="14"/>
        <v>398</v>
      </c>
      <c r="AO20" s="559"/>
      <c r="AP20" s="559"/>
      <c r="AQ20" s="559"/>
      <c r="AR20" s="559"/>
      <c r="AS20" s="559"/>
      <c r="AT20" s="559"/>
      <c r="AU20" s="559"/>
      <c r="AV20" s="559"/>
      <c r="AW20" s="559"/>
      <c r="AX20" s="559"/>
      <c r="AY20" s="559"/>
      <c r="AZ20" s="559">
        <v>370</v>
      </c>
      <c r="BA20" s="532">
        <f t="shared" si="15"/>
        <v>370</v>
      </c>
      <c r="BB20" s="559"/>
      <c r="BC20" s="559"/>
      <c r="BD20" s="559"/>
      <c r="BE20" s="559"/>
      <c r="BF20" s="559"/>
      <c r="BG20" s="559"/>
      <c r="BH20" s="559"/>
      <c r="BI20" s="559"/>
      <c r="BJ20" s="559"/>
      <c r="BK20" s="559"/>
      <c r="BL20" s="559"/>
      <c r="BM20" s="559">
        <v>283</v>
      </c>
      <c r="BN20" s="532">
        <f t="shared" si="16"/>
        <v>283</v>
      </c>
      <c r="BO20" s="559"/>
      <c r="BP20" s="559"/>
      <c r="BQ20" s="559"/>
      <c r="BR20" s="559"/>
      <c r="BS20" s="559"/>
      <c r="BT20" s="559"/>
      <c r="BU20" s="559"/>
      <c r="BV20" s="559"/>
      <c r="BW20" s="559"/>
      <c r="BX20" s="559"/>
      <c r="BY20" s="559"/>
      <c r="BZ20" s="559">
        <v>370</v>
      </c>
      <c r="CA20" s="532">
        <f t="shared" si="17"/>
        <v>370</v>
      </c>
      <c r="CB20" s="559"/>
      <c r="CC20" s="559"/>
      <c r="CD20" s="559"/>
      <c r="CE20" s="559"/>
      <c r="CF20" s="559"/>
      <c r="CG20" s="559"/>
      <c r="CH20" s="559"/>
      <c r="CI20" s="559"/>
      <c r="CJ20" s="559"/>
      <c r="CK20" s="559"/>
      <c r="CL20" s="559"/>
      <c r="CM20" s="559">
        <v>369</v>
      </c>
      <c r="CN20" s="532">
        <f t="shared" si="18"/>
        <v>369</v>
      </c>
      <c r="CO20" s="559"/>
      <c r="CP20" s="559"/>
      <c r="CQ20" s="559"/>
      <c r="CR20" s="559"/>
      <c r="CS20" s="559"/>
      <c r="CT20" s="559"/>
      <c r="CU20" s="559"/>
      <c r="CV20" s="559"/>
      <c r="CW20" s="559"/>
      <c r="CX20" s="559"/>
      <c r="CY20" s="559"/>
      <c r="CZ20" s="559">
        <v>347.01</v>
      </c>
      <c r="DA20" s="532">
        <f t="shared" si="19"/>
        <v>347.01</v>
      </c>
      <c r="DB20" s="559"/>
      <c r="DC20" s="559"/>
      <c r="DD20" s="559"/>
      <c r="DE20" s="559"/>
      <c r="DF20" s="559"/>
      <c r="DG20" s="559"/>
      <c r="DH20" s="559"/>
      <c r="DI20" s="559"/>
      <c r="DJ20" s="559"/>
      <c r="DK20" s="559"/>
      <c r="DL20" s="559"/>
      <c r="DM20" s="559">
        <v>345</v>
      </c>
      <c r="DN20" s="532">
        <f t="shared" si="20"/>
        <v>345</v>
      </c>
      <c r="DO20" s="559"/>
      <c r="DP20" s="559"/>
      <c r="DQ20" s="559"/>
      <c r="DR20" s="559"/>
      <c r="DS20" s="559"/>
      <c r="DT20" s="559"/>
      <c r="DU20" s="559"/>
      <c r="DV20" s="559"/>
      <c r="DW20" s="559"/>
      <c r="DX20" s="559"/>
      <c r="DY20" s="559"/>
      <c r="DZ20" s="559">
        <v>172</v>
      </c>
      <c r="EA20" s="532">
        <f t="shared" si="21"/>
        <v>172</v>
      </c>
      <c r="EB20" s="559"/>
      <c r="EC20" s="559"/>
      <c r="ED20" s="559"/>
      <c r="EE20" s="559"/>
      <c r="EF20" s="559"/>
      <c r="EG20" s="559"/>
      <c r="EH20" s="559"/>
      <c r="EI20" s="559"/>
      <c r="EJ20" s="559"/>
      <c r="EK20" s="559"/>
      <c r="EL20" s="559"/>
      <c r="EM20" s="559"/>
      <c r="EN20" s="532">
        <f t="shared" si="22"/>
        <v>0</v>
      </c>
      <c r="EO20" s="559"/>
      <c r="EP20" s="559"/>
      <c r="EQ20" s="559"/>
      <c r="ER20" s="559"/>
      <c r="ES20" s="559"/>
      <c r="ET20" s="559"/>
      <c r="EU20" s="559"/>
      <c r="EV20" s="559"/>
      <c r="EW20" s="559"/>
      <c r="EX20" s="559"/>
      <c r="EY20" s="559"/>
      <c r="EZ20" s="559"/>
      <c r="FA20" s="532">
        <f t="shared" si="23"/>
        <v>0</v>
      </c>
      <c r="FC20" s="560" t="str">
        <f t="shared" si="24"/>
        <v/>
      </c>
      <c r="FD20" s="561" t="str">
        <f t="shared" si="25"/>
        <v/>
      </c>
      <c r="FE20" s="562">
        <f t="shared" si="26"/>
        <v>0</v>
      </c>
      <c r="FF20" s="665">
        <f t="shared" si="27"/>
        <v>0</v>
      </c>
      <c r="FG20" s="115"/>
      <c r="FH20" s="551">
        <f t="shared" si="28"/>
        <v>6612.02</v>
      </c>
      <c r="FI20" s="553" t="s">
        <v>121</v>
      </c>
      <c r="FJ20" s="554" t="str">
        <f t="shared" si="29"/>
        <v>OK</v>
      </c>
    </row>
    <row r="21" spans="1:166" ht="15" customHeight="1" x14ac:dyDescent="0.25">
      <c r="A21" s="672" t="s">
        <v>124</v>
      </c>
      <c r="B21" s="559"/>
      <c r="C21" s="559"/>
      <c r="D21" s="559"/>
      <c r="E21" s="559"/>
      <c r="F21" s="559"/>
      <c r="G21" s="559"/>
      <c r="H21" s="559"/>
      <c r="I21" s="559"/>
      <c r="J21" s="559">
        <v>6</v>
      </c>
      <c r="K21" s="559">
        <v>8</v>
      </c>
      <c r="L21" s="559">
        <v>4</v>
      </c>
      <c r="M21" s="559">
        <v>4</v>
      </c>
      <c r="N21" s="532">
        <f t="shared" si="12"/>
        <v>22</v>
      </c>
      <c r="O21" s="559">
        <v>2</v>
      </c>
      <c r="P21" s="559">
        <v>1</v>
      </c>
      <c r="Q21" s="559"/>
      <c r="R21" s="559"/>
      <c r="S21" s="559"/>
      <c r="T21" s="559"/>
      <c r="U21" s="559"/>
      <c r="V21" s="559"/>
      <c r="W21" s="559">
        <v>3</v>
      </c>
      <c r="X21" s="559">
        <v>2</v>
      </c>
      <c r="Y21" s="559"/>
      <c r="Z21" s="559"/>
      <c r="AA21" s="532">
        <f t="shared" si="13"/>
        <v>8</v>
      </c>
      <c r="AB21" s="559"/>
      <c r="AC21" s="559"/>
      <c r="AD21" s="559"/>
      <c r="AE21" s="559"/>
      <c r="AF21" s="559"/>
      <c r="AG21" s="559"/>
      <c r="AH21" s="559"/>
      <c r="AI21" s="559">
        <v>5</v>
      </c>
      <c r="AJ21" s="559">
        <v>5</v>
      </c>
      <c r="AK21" s="559">
        <v>1</v>
      </c>
      <c r="AL21" s="559"/>
      <c r="AM21" s="559"/>
      <c r="AN21" s="532">
        <f t="shared" si="14"/>
        <v>11</v>
      </c>
      <c r="AO21" s="559"/>
      <c r="AP21" s="559"/>
      <c r="AQ21" s="559"/>
      <c r="AR21" s="559"/>
      <c r="AS21" s="559"/>
      <c r="AT21" s="559"/>
      <c r="AU21" s="559"/>
      <c r="AV21" s="559">
        <v>1</v>
      </c>
      <c r="AW21" s="559">
        <v>6</v>
      </c>
      <c r="AX21" s="559">
        <v>4</v>
      </c>
      <c r="AY21" s="559"/>
      <c r="AZ21" s="559"/>
      <c r="BA21" s="532">
        <f t="shared" si="15"/>
        <v>11</v>
      </c>
      <c r="BB21" s="559"/>
      <c r="BC21" s="559"/>
      <c r="BD21" s="559"/>
      <c r="BE21" s="559"/>
      <c r="BF21" s="559"/>
      <c r="BG21" s="559"/>
      <c r="BH21" s="559">
        <v>1</v>
      </c>
      <c r="BI21" s="559">
        <v>1</v>
      </c>
      <c r="BJ21" s="559">
        <v>4</v>
      </c>
      <c r="BK21" s="559">
        <v>4</v>
      </c>
      <c r="BL21" s="559">
        <v>3</v>
      </c>
      <c r="BM21" s="559">
        <v>2</v>
      </c>
      <c r="BN21" s="532">
        <f t="shared" si="16"/>
        <v>15</v>
      </c>
      <c r="BO21" s="559">
        <v>2</v>
      </c>
      <c r="BP21" s="559"/>
      <c r="BQ21" s="559"/>
      <c r="BR21" s="559"/>
      <c r="BS21" s="559"/>
      <c r="BT21" s="559"/>
      <c r="BU21" s="559">
        <v>4</v>
      </c>
      <c r="BV21" s="559">
        <v>10</v>
      </c>
      <c r="BW21" s="559"/>
      <c r="BX21" s="559"/>
      <c r="BY21" s="559"/>
      <c r="BZ21" s="559"/>
      <c r="CA21" s="532">
        <f t="shared" si="17"/>
        <v>16</v>
      </c>
      <c r="CB21" s="559"/>
      <c r="CC21" s="559">
        <v>1</v>
      </c>
      <c r="CD21" s="559"/>
      <c r="CE21" s="559"/>
      <c r="CF21" s="559"/>
      <c r="CG21" s="559"/>
      <c r="CH21" s="559">
        <v>1</v>
      </c>
      <c r="CI21" s="559">
        <v>5</v>
      </c>
      <c r="CJ21" s="559">
        <v>3</v>
      </c>
      <c r="CK21" s="559">
        <v>4</v>
      </c>
      <c r="CL21" s="559"/>
      <c r="CM21" s="559">
        <v>1</v>
      </c>
      <c r="CN21" s="532">
        <f t="shared" si="18"/>
        <v>15</v>
      </c>
      <c r="CO21" s="559">
        <v>2</v>
      </c>
      <c r="CP21" s="559"/>
      <c r="CQ21" s="559"/>
      <c r="CR21" s="559">
        <v>2</v>
      </c>
      <c r="CS21" s="559"/>
      <c r="CT21" s="559"/>
      <c r="CU21" s="559"/>
      <c r="CV21" s="559">
        <v>3</v>
      </c>
      <c r="CW21" s="559">
        <v>2</v>
      </c>
      <c r="CX21" s="559"/>
      <c r="CY21" s="559"/>
      <c r="CZ21" s="559"/>
      <c r="DA21" s="532">
        <f t="shared" si="19"/>
        <v>9</v>
      </c>
      <c r="DB21" s="559"/>
      <c r="DC21" s="559">
        <v>1</v>
      </c>
      <c r="DD21" s="559"/>
      <c r="DE21" s="559"/>
      <c r="DF21" s="559"/>
      <c r="DG21" s="559"/>
      <c r="DH21" s="559"/>
      <c r="DI21" s="559"/>
      <c r="DJ21" s="559"/>
      <c r="DK21" s="559"/>
      <c r="DL21" s="559"/>
      <c r="DM21" s="559"/>
      <c r="DN21" s="532">
        <f t="shared" si="20"/>
        <v>1</v>
      </c>
      <c r="DO21" s="559"/>
      <c r="DP21" s="559"/>
      <c r="DQ21" s="559"/>
      <c r="DR21" s="559"/>
      <c r="DS21" s="559"/>
      <c r="DT21" s="559"/>
      <c r="DU21" s="559"/>
      <c r="DV21" s="559"/>
      <c r="DW21" s="559">
        <v>8</v>
      </c>
      <c r="DX21" s="559">
        <v>3</v>
      </c>
      <c r="DY21" s="559">
        <v>2</v>
      </c>
      <c r="DZ21" s="559">
        <v>1</v>
      </c>
      <c r="EA21" s="532">
        <f t="shared" si="21"/>
        <v>14</v>
      </c>
      <c r="EB21" s="559"/>
      <c r="EC21" s="559"/>
      <c r="ED21" s="559"/>
      <c r="EE21" s="559"/>
      <c r="EF21" s="559">
        <v>2</v>
      </c>
      <c r="EG21" s="559">
        <v>1</v>
      </c>
      <c r="EH21" s="559">
        <v>2</v>
      </c>
      <c r="EI21" s="559">
        <v>5</v>
      </c>
      <c r="EJ21" s="559">
        <v>3</v>
      </c>
      <c r="EK21" s="559">
        <v>2</v>
      </c>
      <c r="EL21" s="559">
        <v>3</v>
      </c>
      <c r="EM21" s="559"/>
      <c r="EN21" s="532">
        <f t="shared" si="22"/>
        <v>18</v>
      </c>
      <c r="EO21" s="559"/>
      <c r="EP21" s="559"/>
      <c r="EQ21" s="559"/>
      <c r="ER21" s="559"/>
      <c r="ES21" s="559"/>
      <c r="ET21" s="559"/>
      <c r="EU21" s="559"/>
      <c r="EV21" s="559"/>
      <c r="EW21" s="559"/>
      <c r="EX21" s="559"/>
      <c r="EY21" s="559"/>
      <c r="EZ21" s="559"/>
      <c r="FA21" s="532">
        <f t="shared" si="23"/>
        <v>0</v>
      </c>
      <c r="FC21" s="560">
        <f t="shared" si="24"/>
        <v>-100</v>
      </c>
      <c r="FD21" s="561">
        <f t="shared" si="25"/>
        <v>-100</v>
      </c>
      <c r="FE21" s="562">
        <f t="shared" si="26"/>
        <v>18</v>
      </c>
      <c r="FF21" s="665">
        <f t="shared" si="27"/>
        <v>0</v>
      </c>
      <c r="FG21" s="115"/>
      <c r="FH21" s="551">
        <f t="shared" si="28"/>
        <v>280</v>
      </c>
      <c r="FI21" s="553" t="s">
        <v>124</v>
      </c>
      <c r="FJ21" s="554" t="str">
        <f t="shared" si="29"/>
        <v>OK</v>
      </c>
    </row>
    <row r="22" spans="1:166" ht="15" customHeight="1" x14ac:dyDescent="0.25">
      <c r="A22" s="672" t="s">
        <v>125</v>
      </c>
      <c r="B22" s="559"/>
      <c r="C22" s="559"/>
      <c r="D22" s="559"/>
      <c r="E22" s="559"/>
      <c r="F22" s="559"/>
      <c r="G22" s="559"/>
      <c r="H22" s="559"/>
      <c r="I22" s="559"/>
      <c r="J22" s="559"/>
      <c r="K22" s="559"/>
      <c r="L22" s="559"/>
      <c r="M22" s="559"/>
      <c r="N22" s="532">
        <f t="shared" si="12"/>
        <v>0</v>
      </c>
      <c r="O22" s="559"/>
      <c r="P22" s="559"/>
      <c r="Q22" s="559"/>
      <c r="R22" s="559"/>
      <c r="S22" s="559"/>
      <c r="T22" s="559"/>
      <c r="U22" s="559"/>
      <c r="V22" s="559"/>
      <c r="W22" s="559"/>
      <c r="X22" s="559"/>
      <c r="Y22" s="559"/>
      <c r="Z22" s="559"/>
      <c r="AA22" s="532">
        <f t="shared" si="13"/>
        <v>0</v>
      </c>
      <c r="AB22" s="559"/>
      <c r="AC22" s="559"/>
      <c r="AD22" s="559"/>
      <c r="AE22" s="559"/>
      <c r="AF22" s="559"/>
      <c r="AG22" s="559"/>
      <c r="AH22" s="559"/>
      <c r="AI22" s="559"/>
      <c r="AJ22" s="559"/>
      <c r="AK22" s="559"/>
      <c r="AL22" s="559"/>
      <c r="AM22" s="559"/>
      <c r="AN22" s="532">
        <f t="shared" si="14"/>
        <v>0</v>
      </c>
      <c r="AO22" s="559"/>
      <c r="AP22" s="559"/>
      <c r="AQ22" s="559"/>
      <c r="AR22" s="559"/>
      <c r="AS22" s="559"/>
      <c r="AT22" s="559"/>
      <c r="AU22" s="559"/>
      <c r="AV22" s="559"/>
      <c r="AW22" s="559"/>
      <c r="AX22" s="559"/>
      <c r="AY22" s="559"/>
      <c r="AZ22" s="559"/>
      <c r="BA22" s="532">
        <f t="shared" si="15"/>
        <v>0</v>
      </c>
      <c r="BB22" s="559"/>
      <c r="BC22" s="559"/>
      <c r="BD22" s="559"/>
      <c r="BE22" s="559"/>
      <c r="BF22" s="559"/>
      <c r="BG22" s="559"/>
      <c r="BH22" s="559"/>
      <c r="BI22" s="559"/>
      <c r="BJ22" s="559"/>
      <c r="BK22" s="559"/>
      <c r="BL22" s="559"/>
      <c r="BM22" s="559"/>
      <c r="BN22" s="532">
        <f t="shared" si="16"/>
        <v>0</v>
      </c>
      <c r="BO22" s="559"/>
      <c r="BP22" s="559"/>
      <c r="BQ22" s="559"/>
      <c r="BR22" s="559"/>
      <c r="BS22" s="559"/>
      <c r="BT22" s="559"/>
      <c r="BU22" s="559"/>
      <c r="BV22" s="559"/>
      <c r="BW22" s="559"/>
      <c r="BX22" s="559"/>
      <c r="BY22" s="559"/>
      <c r="BZ22" s="559"/>
      <c r="CA22" s="532">
        <f t="shared" si="17"/>
        <v>0</v>
      </c>
      <c r="CB22" s="559"/>
      <c r="CC22" s="559"/>
      <c r="CD22" s="559"/>
      <c r="CE22" s="559"/>
      <c r="CF22" s="559"/>
      <c r="CG22" s="559"/>
      <c r="CH22" s="559"/>
      <c r="CI22" s="559"/>
      <c r="CJ22" s="559"/>
      <c r="CK22" s="559"/>
      <c r="CL22" s="559"/>
      <c r="CM22" s="559"/>
      <c r="CN22" s="532">
        <f t="shared" si="18"/>
        <v>0</v>
      </c>
      <c r="CO22" s="559"/>
      <c r="CP22" s="559"/>
      <c r="CQ22" s="559"/>
      <c r="CR22" s="559"/>
      <c r="CS22" s="559"/>
      <c r="CT22" s="559"/>
      <c r="CU22" s="559"/>
      <c r="CV22" s="559"/>
      <c r="CW22" s="559"/>
      <c r="CX22" s="559"/>
      <c r="CY22" s="559"/>
      <c r="CZ22" s="559"/>
      <c r="DA22" s="532">
        <f t="shared" si="19"/>
        <v>0</v>
      </c>
      <c r="DB22" s="559"/>
      <c r="DC22" s="559"/>
      <c r="DD22" s="559"/>
      <c r="DE22" s="559"/>
      <c r="DF22" s="559"/>
      <c r="DG22" s="559"/>
      <c r="DH22" s="559"/>
      <c r="DI22" s="559"/>
      <c r="DJ22" s="559"/>
      <c r="DK22" s="559"/>
      <c r="DL22" s="559"/>
      <c r="DM22" s="559"/>
      <c r="DN22" s="532">
        <f t="shared" si="20"/>
        <v>0</v>
      </c>
      <c r="DO22" s="559"/>
      <c r="DP22" s="559"/>
      <c r="DQ22" s="559"/>
      <c r="DR22" s="559"/>
      <c r="DS22" s="559"/>
      <c r="DT22" s="559"/>
      <c r="DU22" s="559"/>
      <c r="DV22" s="559"/>
      <c r="DW22" s="559"/>
      <c r="DX22" s="559"/>
      <c r="DY22" s="559"/>
      <c r="DZ22" s="559"/>
      <c r="EA22" s="532">
        <f t="shared" si="21"/>
        <v>0</v>
      </c>
      <c r="EB22" s="559"/>
      <c r="EC22" s="559"/>
      <c r="ED22" s="559"/>
      <c r="EE22" s="559"/>
      <c r="EF22" s="559"/>
      <c r="EG22" s="559"/>
      <c r="EH22" s="559"/>
      <c r="EI22" s="559"/>
      <c r="EJ22" s="559"/>
      <c r="EK22" s="559"/>
      <c r="EL22" s="559"/>
      <c r="EM22" s="559"/>
      <c r="EN22" s="532">
        <f t="shared" si="22"/>
        <v>0</v>
      </c>
      <c r="EO22" s="559"/>
      <c r="EP22" s="559"/>
      <c r="EQ22" s="559"/>
      <c r="ER22" s="559"/>
      <c r="ES22" s="559"/>
      <c r="ET22" s="559"/>
      <c r="EU22" s="559"/>
      <c r="EV22" s="559"/>
      <c r="EW22" s="559"/>
      <c r="EX22" s="559"/>
      <c r="EY22" s="559"/>
      <c r="EZ22" s="559"/>
      <c r="FA22" s="532">
        <f t="shared" si="23"/>
        <v>0</v>
      </c>
      <c r="FC22" s="560" t="str">
        <f t="shared" si="24"/>
        <v/>
      </c>
      <c r="FD22" s="561" t="str">
        <f t="shared" si="25"/>
        <v/>
      </c>
      <c r="FE22" s="562">
        <f t="shared" si="26"/>
        <v>0</v>
      </c>
      <c r="FF22" s="665">
        <f t="shared" si="27"/>
        <v>0</v>
      </c>
      <c r="FG22" s="115"/>
      <c r="FH22" s="551">
        <f t="shared" si="28"/>
        <v>0</v>
      </c>
      <c r="FI22" s="553" t="s">
        <v>125</v>
      </c>
      <c r="FJ22" s="554" t="str">
        <f t="shared" si="29"/>
        <v>OK</v>
      </c>
    </row>
    <row r="23" spans="1:166" ht="15" customHeight="1" x14ac:dyDescent="0.25">
      <c r="A23" s="672" t="s">
        <v>638</v>
      </c>
      <c r="B23" s="559"/>
      <c r="C23" s="559"/>
      <c r="D23" s="559"/>
      <c r="E23" s="559"/>
      <c r="F23" s="559"/>
      <c r="G23" s="559"/>
      <c r="H23" s="559"/>
      <c r="I23" s="559"/>
      <c r="J23" s="559"/>
      <c r="K23" s="559"/>
      <c r="L23" s="559"/>
      <c r="M23" s="559">
        <v>102</v>
      </c>
      <c r="N23" s="532">
        <f t="shared" si="12"/>
        <v>102</v>
      </c>
      <c r="O23" s="559"/>
      <c r="P23" s="559"/>
      <c r="Q23" s="559"/>
      <c r="R23" s="559"/>
      <c r="S23" s="559"/>
      <c r="T23" s="559"/>
      <c r="U23" s="559"/>
      <c r="V23" s="559"/>
      <c r="W23" s="559"/>
      <c r="X23" s="559"/>
      <c r="Y23" s="559"/>
      <c r="Z23" s="559">
        <v>101</v>
      </c>
      <c r="AA23" s="532">
        <f t="shared" si="13"/>
        <v>101</v>
      </c>
      <c r="AB23" s="559"/>
      <c r="AC23" s="559"/>
      <c r="AD23" s="559"/>
      <c r="AE23" s="559"/>
      <c r="AF23" s="559"/>
      <c r="AG23" s="559"/>
      <c r="AH23" s="559"/>
      <c r="AI23" s="559"/>
      <c r="AJ23" s="559"/>
      <c r="AK23" s="559"/>
      <c r="AL23" s="559"/>
      <c r="AM23" s="559">
        <v>106</v>
      </c>
      <c r="AN23" s="532">
        <f t="shared" si="14"/>
        <v>106</v>
      </c>
      <c r="AO23" s="559"/>
      <c r="AP23" s="559"/>
      <c r="AQ23" s="559"/>
      <c r="AR23" s="559"/>
      <c r="AS23" s="559"/>
      <c r="AT23" s="559"/>
      <c r="AU23" s="559"/>
      <c r="AV23" s="559"/>
      <c r="AW23" s="559"/>
      <c r="AX23" s="559"/>
      <c r="AY23" s="559"/>
      <c r="AZ23" s="559">
        <v>94</v>
      </c>
      <c r="BA23" s="532">
        <f t="shared" si="15"/>
        <v>94</v>
      </c>
      <c r="BB23" s="559"/>
      <c r="BC23" s="559"/>
      <c r="BD23" s="559"/>
      <c r="BE23" s="559"/>
      <c r="BF23" s="559"/>
      <c r="BG23" s="559"/>
      <c r="BH23" s="559"/>
      <c r="BI23" s="559"/>
      <c r="BJ23" s="559"/>
      <c r="BK23" s="559"/>
      <c r="BL23" s="559"/>
      <c r="BM23" s="559">
        <v>70</v>
      </c>
      <c r="BN23" s="532">
        <f t="shared" si="16"/>
        <v>70</v>
      </c>
      <c r="BO23" s="559"/>
      <c r="BP23" s="559"/>
      <c r="BQ23" s="559"/>
      <c r="BR23" s="559"/>
      <c r="BS23" s="559"/>
      <c r="BT23" s="559"/>
      <c r="BU23" s="559"/>
      <c r="BV23" s="559"/>
      <c r="BW23" s="559"/>
      <c r="BX23" s="559"/>
      <c r="BY23" s="559"/>
      <c r="BZ23" s="559">
        <v>92</v>
      </c>
      <c r="CA23" s="532">
        <f t="shared" si="17"/>
        <v>92</v>
      </c>
      <c r="CB23" s="559"/>
      <c r="CC23" s="559"/>
      <c r="CD23" s="559"/>
      <c r="CE23" s="559"/>
      <c r="CF23" s="559"/>
      <c r="CG23" s="559"/>
      <c r="CH23" s="559"/>
      <c r="CI23" s="559"/>
      <c r="CJ23" s="559"/>
      <c r="CK23" s="559"/>
      <c r="CL23" s="559"/>
      <c r="CM23" s="559">
        <v>62</v>
      </c>
      <c r="CN23" s="532">
        <f t="shared" si="18"/>
        <v>62</v>
      </c>
      <c r="CO23" s="559"/>
      <c r="CP23" s="559"/>
      <c r="CQ23" s="559"/>
      <c r="CR23" s="559"/>
      <c r="CS23" s="559"/>
      <c r="CT23" s="559"/>
      <c r="CU23" s="559"/>
      <c r="CV23" s="559"/>
      <c r="CW23" s="559"/>
      <c r="CX23" s="559"/>
      <c r="CY23" s="559"/>
      <c r="CZ23" s="559">
        <v>65</v>
      </c>
      <c r="DA23" s="532">
        <f t="shared" si="19"/>
        <v>65</v>
      </c>
      <c r="DB23" s="559"/>
      <c r="DC23" s="559"/>
      <c r="DD23" s="559"/>
      <c r="DE23" s="559"/>
      <c r="DF23" s="559"/>
      <c r="DG23" s="559"/>
      <c r="DH23" s="559"/>
      <c r="DI23" s="559"/>
      <c r="DJ23" s="559"/>
      <c r="DK23" s="559"/>
      <c r="DL23" s="559"/>
      <c r="DM23" s="559">
        <v>76</v>
      </c>
      <c r="DN23" s="532">
        <f t="shared" si="20"/>
        <v>76</v>
      </c>
      <c r="DO23" s="559"/>
      <c r="DP23" s="559"/>
      <c r="DQ23" s="559"/>
      <c r="DR23" s="559"/>
      <c r="DS23" s="559"/>
      <c r="DT23" s="559"/>
      <c r="DU23" s="559"/>
      <c r="DV23" s="559"/>
      <c r="DW23" s="559"/>
      <c r="DX23" s="559"/>
      <c r="DY23" s="559"/>
      <c r="DZ23" s="559">
        <v>3</v>
      </c>
      <c r="EA23" s="532">
        <f t="shared" si="21"/>
        <v>3</v>
      </c>
      <c r="EB23" s="559"/>
      <c r="EC23" s="559"/>
      <c r="ED23" s="559"/>
      <c r="EE23" s="559"/>
      <c r="EF23" s="559"/>
      <c r="EG23" s="559"/>
      <c r="EH23" s="559"/>
      <c r="EI23" s="559"/>
      <c r="EJ23" s="559"/>
      <c r="EK23" s="559"/>
      <c r="EL23" s="559"/>
      <c r="EM23" s="559"/>
      <c r="EN23" s="532">
        <f t="shared" si="22"/>
        <v>0</v>
      </c>
      <c r="EO23" s="559"/>
      <c r="EP23" s="559"/>
      <c r="EQ23" s="559"/>
      <c r="ER23" s="559"/>
      <c r="ES23" s="559"/>
      <c r="ET23" s="559"/>
      <c r="EU23" s="559"/>
      <c r="EV23" s="559"/>
      <c r="EW23" s="559"/>
      <c r="EX23" s="559"/>
      <c r="EY23" s="559"/>
      <c r="EZ23" s="559"/>
      <c r="FA23" s="532">
        <f t="shared" si="23"/>
        <v>0</v>
      </c>
      <c r="FC23" s="560" t="str">
        <f t="shared" si="24"/>
        <v/>
      </c>
      <c r="FD23" s="561" t="str">
        <f t="shared" si="25"/>
        <v/>
      </c>
      <c r="FE23" s="562">
        <f t="shared" si="26"/>
        <v>0</v>
      </c>
      <c r="FF23" s="665">
        <f t="shared" si="27"/>
        <v>0</v>
      </c>
      <c r="FG23" s="115"/>
      <c r="FH23" s="551">
        <f t="shared" si="28"/>
        <v>1542</v>
      </c>
      <c r="FI23" s="553" t="s">
        <v>638</v>
      </c>
      <c r="FJ23" s="554" t="str">
        <f t="shared" si="29"/>
        <v>OK</v>
      </c>
    </row>
    <row r="24" spans="1:166" ht="15" customHeight="1" x14ac:dyDescent="0.25">
      <c r="A24" s="672" t="s">
        <v>126</v>
      </c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>
        <v>306</v>
      </c>
      <c r="N24" s="532">
        <f t="shared" si="12"/>
        <v>306</v>
      </c>
      <c r="O24" s="559"/>
      <c r="P24" s="559"/>
      <c r="Q24" s="559"/>
      <c r="R24" s="559"/>
      <c r="S24" s="559"/>
      <c r="T24" s="559"/>
      <c r="U24" s="559"/>
      <c r="V24" s="559"/>
      <c r="W24" s="559"/>
      <c r="X24" s="559"/>
      <c r="Y24" s="559"/>
      <c r="Z24" s="559">
        <v>303</v>
      </c>
      <c r="AA24" s="532">
        <f t="shared" si="13"/>
        <v>303</v>
      </c>
      <c r="AB24" s="559"/>
      <c r="AC24" s="559"/>
      <c r="AD24" s="559"/>
      <c r="AE24" s="559"/>
      <c r="AF24" s="559"/>
      <c r="AG24" s="559"/>
      <c r="AH24" s="559"/>
      <c r="AI24" s="559"/>
      <c r="AJ24" s="559"/>
      <c r="AK24" s="559"/>
      <c r="AL24" s="559"/>
      <c r="AM24" s="559">
        <v>348</v>
      </c>
      <c r="AN24" s="532">
        <f t="shared" si="14"/>
        <v>348</v>
      </c>
      <c r="AO24" s="559"/>
      <c r="AP24" s="559"/>
      <c r="AQ24" s="559"/>
      <c r="AR24" s="559"/>
      <c r="AS24" s="559"/>
      <c r="AT24" s="559"/>
      <c r="AU24" s="559"/>
      <c r="AV24" s="559"/>
      <c r="AW24" s="559"/>
      <c r="AX24" s="559"/>
      <c r="AY24" s="559"/>
      <c r="AZ24" s="559">
        <v>318</v>
      </c>
      <c r="BA24" s="532">
        <f t="shared" si="15"/>
        <v>318</v>
      </c>
      <c r="BB24" s="559"/>
      <c r="BC24" s="559"/>
      <c r="BD24" s="559"/>
      <c r="BE24" s="559"/>
      <c r="BF24" s="559"/>
      <c r="BG24" s="559"/>
      <c r="BH24" s="559"/>
      <c r="BI24" s="559"/>
      <c r="BJ24" s="559"/>
      <c r="BK24" s="559"/>
      <c r="BL24" s="559"/>
      <c r="BM24" s="559">
        <v>212</v>
      </c>
      <c r="BN24" s="532">
        <f t="shared" si="16"/>
        <v>212</v>
      </c>
      <c r="BO24" s="559"/>
      <c r="BP24" s="559"/>
      <c r="BQ24" s="559"/>
      <c r="BR24" s="559"/>
      <c r="BS24" s="559"/>
      <c r="BT24" s="559"/>
      <c r="BU24" s="559"/>
      <c r="BV24" s="559"/>
      <c r="BW24" s="559"/>
      <c r="BX24" s="559"/>
      <c r="BY24" s="559"/>
      <c r="BZ24" s="559">
        <v>357</v>
      </c>
      <c r="CA24" s="532">
        <f t="shared" si="17"/>
        <v>357</v>
      </c>
      <c r="CB24" s="559"/>
      <c r="CC24" s="559"/>
      <c r="CD24" s="559"/>
      <c r="CE24" s="559"/>
      <c r="CF24" s="559"/>
      <c r="CG24" s="559"/>
      <c r="CH24" s="559"/>
      <c r="CI24" s="559"/>
      <c r="CJ24" s="559"/>
      <c r="CK24" s="559"/>
      <c r="CL24" s="559"/>
      <c r="CM24" s="559">
        <v>353</v>
      </c>
      <c r="CN24" s="532">
        <f t="shared" si="18"/>
        <v>353</v>
      </c>
      <c r="CO24" s="559"/>
      <c r="CP24" s="559"/>
      <c r="CQ24" s="559"/>
      <c r="CR24" s="559"/>
      <c r="CS24" s="559"/>
      <c r="CT24" s="559"/>
      <c r="CU24" s="559"/>
      <c r="CV24" s="559"/>
      <c r="CW24" s="559"/>
      <c r="CX24" s="559"/>
      <c r="CY24" s="559"/>
      <c r="CZ24" s="559">
        <v>336</v>
      </c>
      <c r="DA24" s="532">
        <f t="shared" si="19"/>
        <v>336</v>
      </c>
      <c r="DB24" s="559"/>
      <c r="DC24" s="559"/>
      <c r="DD24" s="559"/>
      <c r="DE24" s="559"/>
      <c r="DF24" s="559"/>
      <c r="DG24" s="559"/>
      <c r="DH24" s="559"/>
      <c r="DI24" s="559"/>
      <c r="DJ24" s="559"/>
      <c r="DK24" s="559"/>
      <c r="DL24" s="559"/>
      <c r="DM24" s="559">
        <v>328</v>
      </c>
      <c r="DN24" s="532">
        <f t="shared" si="20"/>
        <v>328</v>
      </c>
      <c r="DO24" s="559"/>
      <c r="DP24" s="559"/>
      <c r="DQ24" s="559"/>
      <c r="DR24" s="559"/>
      <c r="DS24" s="559"/>
      <c r="DT24" s="559"/>
      <c r="DU24" s="559"/>
      <c r="DV24" s="559"/>
      <c r="DW24" s="559"/>
      <c r="DX24" s="559"/>
      <c r="DY24" s="559"/>
      <c r="DZ24" s="559">
        <v>197</v>
      </c>
      <c r="EA24" s="532">
        <f t="shared" si="21"/>
        <v>197</v>
      </c>
      <c r="EB24" s="559"/>
      <c r="EC24" s="559"/>
      <c r="ED24" s="559"/>
      <c r="EE24" s="559"/>
      <c r="EF24" s="559"/>
      <c r="EG24" s="559"/>
      <c r="EH24" s="559"/>
      <c r="EI24" s="559"/>
      <c r="EJ24" s="559"/>
      <c r="EK24" s="559"/>
      <c r="EL24" s="559"/>
      <c r="EM24" s="559"/>
      <c r="EN24" s="532">
        <f t="shared" si="22"/>
        <v>0</v>
      </c>
      <c r="EO24" s="559"/>
      <c r="EP24" s="559"/>
      <c r="EQ24" s="559"/>
      <c r="ER24" s="559"/>
      <c r="ES24" s="559"/>
      <c r="ET24" s="559"/>
      <c r="EU24" s="559"/>
      <c r="EV24" s="559"/>
      <c r="EW24" s="559"/>
      <c r="EX24" s="559"/>
      <c r="EY24" s="559"/>
      <c r="EZ24" s="559"/>
      <c r="FA24" s="532">
        <f t="shared" si="23"/>
        <v>0</v>
      </c>
      <c r="FC24" s="560" t="str">
        <f t="shared" si="24"/>
        <v/>
      </c>
      <c r="FD24" s="561" t="str">
        <f t="shared" si="25"/>
        <v/>
      </c>
      <c r="FE24" s="562">
        <f t="shared" si="26"/>
        <v>0</v>
      </c>
      <c r="FF24" s="665">
        <f t="shared" si="27"/>
        <v>0</v>
      </c>
      <c r="FG24" s="115"/>
      <c r="FH24" s="551">
        <f t="shared" si="28"/>
        <v>6116</v>
      </c>
      <c r="FI24" s="553" t="s">
        <v>126</v>
      </c>
      <c r="FJ24" s="554" t="str">
        <f t="shared" si="29"/>
        <v>OK</v>
      </c>
    </row>
    <row r="25" spans="1:166" ht="15" customHeight="1" x14ac:dyDescent="0.25">
      <c r="A25" s="672" t="s">
        <v>127</v>
      </c>
      <c r="B25" s="559"/>
      <c r="C25" s="559"/>
      <c r="D25" s="559"/>
      <c r="E25" s="559"/>
      <c r="F25" s="559"/>
      <c r="G25" s="559"/>
      <c r="H25" s="559"/>
      <c r="I25" s="559">
        <v>22</v>
      </c>
      <c r="J25" s="559">
        <v>33</v>
      </c>
      <c r="K25" s="559">
        <v>21</v>
      </c>
      <c r="L25" s="559">
        <v>7</v>
      </c>
      <c r="M25" s="559">
        <v>2</v>
      </c>
      <c r="N25" s="532">
        <f t="shared" si="12"/>
        <v>85</v>
      </c>
      <c r="O25" s="559">
        <v>2</v>
      </c>
      <c r="P25" s="559">
        <v>2</v>
      </c>
      <c r="Q25" s="559"/>
      <c r="R25" s="559"/>
      <c r="S25" s="559"/>
      <c r="T25" s="559"/>
      <c r="U25" s="559"/>
      <c r="V25" s="559">
        <v>25</v>
      </c>
      <c r="W25" s="559">
        <v>25</v>
      </c>
      <c r="X25" s="559">
        <v>21</v>
      </c>
      <c r="Y25" s="559">
        <v>2</v>
      </c>
      <c r="Z25" s="559">
        <v>3</v>
      </c>
      <c r="AA25" s="532">
        <f t="shared" si="13"/>
        <v>80</v>
      </c>
      <c r="AB25" s="559"/>
      <c r="AC25" s="559"/>
      <c r="AD25" s="559"/>
      <c r="AE25" s="559"/>
      <c r="AF25" s="559"/>
      <c r="AG25" s="559"/>
      <c r="AH25" s="559">
        <v>1</v>
      </c>
      <c r="AI25" s="559">
        <v>15</v>
      </c>
      <c r="AJ25" s="559">
        <v>30</v>
      </c>
      <c r="AK25" s="559">
        <v>7</v>
      </c>
      <c r="AL25" s="559"/>
      <c r="AM25" s="559"/>
      <c r="AN25" s="532">
        <f t="shared" si="14"/>
        <v>53</v>
      </c>
      <c r="AO25" s="559"/>
      <c r="AP25" s="559"/>
      <c r="AQ25" s="559"/>
      <c r="AR25" s="559"/>
      <c r="AS25" s="559"/>
      <c r="AT25" s="559">
        <v>3</v>
      </c>
      <c r="AU25" s="559">
        <v>10</v>
      </c>
      <c r="AV25" s="559">
        <v>25</v>
      </c>
      <c r="AW25" s="559">
        <v>24</v>
      </c>
      <c r="AX25" s="559">
        <v>4</v>
      </c>
      <c r="AY25" s="559"/>
      <c r="AZ25" s="559"/>
      <c r="BA25" s="532">
        <f t="shared" si="15"/>
        <v>66</v>
      </c>
      <c r="BB25" s="559"/>
      <c r="BC25" s="559"/>
      <c r="BD25" s="559"/>
      <c r="BE25" s="559"/>
      <c r="BF25" s="559"/>
      <c r="BG25" s="559"/>
      <c r="BH25" s="559">
        <v>2</v>
      </c>
      <c r="BI25" s="559">
        <v>2</v>
      </c>
      <c r="BJ25" s="559">
        <v>3</v>
      </c>
      <c r="BK25" s="559">
        <v>14</v>
      </c>
      <c r="BL25" s="559">
        <v>1</v>
      </c>
      <c r="BM25" s="559">
        <v>2</v>
      </c>
      <c r="BN25" s="532">
        <f t="shared" si="16"/>
        <v>24</v>
      </c>
      <c r="BO25" s="559"/>
      <c r="BP25" s="559"/>
      <c r="BQ25" s="559"/>
      <c r="BR25" s="559"/>
      <c r="BS25" s="559"/>
      <c r="BT25" s="559"/>
      <c r="BU25" s="559">
        <v>30</v>
      </c>
      <c r="BV25" s="559">
        <v>40</v>
      </c>
      <c r="BW25" s="559">
        <v>15</v>
      </c>
      <c r="BX25" s="559"/>
      <c r="BY25" s="559"/>
      <c r="BZ25" s="559"/>
      <c r="CA25" s="532">
        <f t="shared" si="17"/>
        <v>85</v>
      </c>
      <c r="CB25" s="559"/>
      <c r="CC25" s="559"/>
      <c r="CD25" s="559"/>
      <c r="CE25" s="559"/>
      <c r="CF25" s="559"/>
      <c r="CG25" s="559"/>
      <c r="CH25" s="559">
        <v>3</v>
      </c>
      <c r="CI25" s="559">
        <v>28</v>
      </c>
      <c r="CJ25" s="559">
        <v>16</v>
      </c>
      <c r="CK25" s="559">
        <v>2</v>
      </c>
      <c r="CL25" s="559">
        <v>1</v>
      </c>
      <c r="CM25" s="559">
        <v>2</v>
      </c>
      <c r="CN25" s="532">
        <f t="shared" si="18"/>
        <v>52</v>
      </c>
      <c r="CO25" s="559"/>
      <c r="CP25" s="559"/>
      <c r="CQ25" s="559"/>
      <c r="CR25" s="559"/>
      <c r="CS25" s="559"/>
      <c r="CT25" s="559"/>
      <c r="CU25" s="559"/>
      <c r="CV25" s="559">
        <v>20</v>
      </c>
      <c r="CW25" s="559">
        <v>16</v>
      </c>
      <c r="CX25" s="559">
        <v>4</v>
      </c>
      <c r="CY25" s="559"/>
      <c r="CZ25" s="559"/>
      <c r="DA25" s="532">
        <f t="shared" si="19"/>
        <v>40</v>
      </c>
      <c r="DB25" s="559"/>
      <c r="DC25" s="559"/>
      <c r="DD25" s="559"/>
      <c r="DE25" s="559"/>
      <c r="DF25" s="559"/>
      <c r="DG25" s="559"/>
      <c r="DH25" s="559"/>
      <c r="DI25" s="559">
        <v>26</v>
      </c>
      <c r="DJ25" s="559">
        <v>35</v>
      </c>
      <c r="DK25" s="559">
        <v>17</v>
      </c>
      <c r="DL25" s="559">
        <v>4</v>
      </c>
      <c r="DM25" s="559"/>
      <c r="DN25" s="532">
        <f t="shared" si="20"/>
        <v>82</v>
      </c>
      <c r="DO25" s="559"/>
      <c r="DP25" s="559"/>
      <c r="DQ25" s="559"/>
      <c r="DR25" s="559"/>
      <c r="DS25" s="559"/>
      <c r="DT25" s="559"/>
      <c r="DU25" s="559"/>
      <c r="DV25" s="559">
        <v>40</v>
      </c>
      <c r="DW25" s="559">
        <v>59</v>
      </c>
      <c r="DX25" s="559">
        <v>10</v>
      </c>
      <c r="DY25" s="559">
        <v>13</v>
      </c>
      <c r="DZ25" s="559"/>
      <c r="EA25" s="532">
        <f t="shared" si="21"/>
        <v>122</v>
      </c>
      <c r="EB25" s="559">
        <v>2</v>
      </c>
      <c r="EC25" s="559"/>
      <c r="ED25" s="559"/>
      <c r="EE25" s="559"/>
      <c r="EF25" s="559"/>
      <c r="EG25" s="559"/>
      <c r="EH25" s="559"/>
      <c r="EI25" s="559">
        <v>13</v>
      </c>
      <c r="EJ25" s="559">
        <v>32</v>
      </c>
      <c r="EK25" s="559">
        <v>25</v>
      </c>
      <c r="EL25" s="559">
        <v>6</v>
      </c>
      <c r="EM25" s="559"/>
      <c r="EN25" s="532">
        <f t="shared" si="22"/>
        <v>78</v>
      </c>
      <c r="EO25" s="559"/>
      <c r="EP25" s="559"/>
      <c r="EQ25" s="559"/>
      <c r="ER25" s="559"/>
      <c r="ES25" s="559"/>
      <c r="ET25" s="559"/>
      <c r="EU25" s="559"/>
      <c r="EV25" s="559"/>
      <c r="EW25" s="559"/>
      <c r="EX25" s="559"/>
      <c r="EY25" s="559"/>
      <c r="EZ25" s="559"/>
      <c r="FA25" s="532">
        <f t="shared" si="23"/>
        <v>0</v>
      </c>
      <c r="FC25" s="560">
        <f t="shared" si="24"/>
        <v>-100</v>
      </c>
      <c r="FD25" s="561">
        <f t="shared" si="25"/>
        <v>-100</v>
      </c>
      <c r="FE25" s="562">
        <f t="shared" si="26"/>
        <v>78</v>
      </c>
      <c r="FF25" s="665">
        <f t="shared" si="27"/>
        <v>0</v>
      </c>
      <c r="FG25" s="115"/>
      <c r="FH25" s="551">
        <f t="shared" si="28"/>
        <v>1534</v>
      </c>
      <c r="FI25" s="553" t="s">
        <v>127</v>
      </c>
      <c r="FJ25" s="554" t="str">
        <f t="shared" si="29"/>
        <v>OK</v>
      </c>
    </row>
    <row r="26" spans="1:166" ht="15" customHeight="1" x14ac:dyDescent="0.25">
      <c r="A26" s="672" t="s">
        <v>128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>
        <v>908</v>
      </c>
      <c r="N26" s="532">
        <f t="shared" si="12"/>
        <v>908</v>
      </c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>
        <v>832</v>
      </c>
      <c r="AA26" s="532">
        <f t="shared" si="13"/>
        <v>832</v>
      </c>
      <c r="AB26" s="559"/>
      <c r="AC26" s="559"/>
      <c r="AD26" s="559"/>
      <c r="AE26" s="559"/>
      <c r="AF26" s="559"/>
      <c r="AG26" s="559"/>
      <c r="AH26" s="559"/>
      <c r="AI26" s="559"/>
      <c r="AJ26" s="559"/>
      <c r="AK26" s="559"/>
      <c r="AL26" s="559"/>
      <c r="AM26" s="559">
        <v>990</v>
      </c>
      <c r="AN26" s="532">
        <f t="shared" si="14"/>
        <v>990</v>
      </c>
      <c r="AO26" s="559"/>
      <c r="AP26" s="559"/>
      <c r="AQ26" s="559"/>
      <c r="AR26" s="559"/>
      <c r="AS26" s="559"/>
      <c r="AT26" s="559"/>
      <c r="AU26" s="559"/>
      <c r="AV26" s="559"/>
      <c r="AW26" s="559"/>
      <c r="AX26" s="559"/>
      <c r="AY26" s="559"/>
      <c r="AZ26" s="559">
        <v>1020</v>
      </c>
      <c r="BA26" s="532">
        <f t="shared" si="15"/>
        <v>1020</v>
      </c>
      <c r="BB26" s="559"/>
      <c r="BC26" s="559"/>
      <c r="BD26" s="559"/>
      <c r="BE26" s="559"/>
      <c r="BF26" s="559"/>
      <c r="BG26" s="559"/>
      <c r="BH26" s="559"/>
      <c r="BI26" s="559"/>
      <c r="BJ26" s="559"/>
      <c r="BK26" s="559"/>
      <c r="BL26" s="559"/>
      <c r="BM26" s="559">
        <v>757</v>
      </c>
      <c r="BN26" s="532">
        <f t="shared" si="16"/>
        <v>757</v>
      </c>
      <c r="BO26" s="559"/>
      <c r="BP26" s="559"/>
      <c r="BQ26" s="559"/>
      <c r="BR26" s="559"/>
      <c r="BS26" s="559"/>
      <c r="BT26" s="559"/>
      <c r="BU26" s="559"/>
      <c r="BV26" s="559"/>
      <c r="BW26" s="559"/>
      <c r="BX26" s="559"/>
      <c r="BY26" s="559"/>
      <c r="BZ26" s="559">
        <v>1109</v>
      </c>
      <c r="CA26" s="532">
        <f t="shared" si="17"/>
        <v>1109</v>
      </c>
      <c r="CB26" s="559"/>
      <c r="CC26" s="559"/>
      <c r="CD26" s="559"/>
      <c r="CE26" s="559"/>
      <c r="CF26" s="559"/>
      <c r="CG26" s="559"/>
      <c r="CH26" s="559"/>
      <c r="CI26" s="559"/>
      <c r="CJ26" s="559"/>
      <c r="CK26" s="559"/>
      <c r="CL26" s="559"/>
      <c r="CM26" s="559">
        <v>1201.5</v>
      </c>
      <c r="CN26" s="532">
        <f t="shared" si="18"/>
        <v>1201.5</v>
      </c>
      <c r="CO26" s="559"/>
      <c r="CP26" s="559"/>
      <c r="CQ26" s="559"/>
      <c r="CR26" s="559"/>
      <c r="CS26" s="559"/>
      <c r="CT26" s="559"/>
      <c r="CU26" s="559"/>
      <c r="CV26" s="559"/>
      <c r="CW26" s="559"/>
      <c r="CX26" s="559"/>
      <c r="CY26" s="559"/>
      <c r="CZ26" s="559">
        <v>1182.5</v>
      </c>
      <c r="DA26" s="532">
        <f t="shared" si="19"/>
        <v>1182.5</v>
      </c>
      <c r="DB26" s="559"/>
      <c r="DC26" s="559"/>
      <c r="DD26" s="559"/>
      <c r="DE26" s="559"/>
      <c r="DF26" s="559"/>
      <c r="DG26" s="559"/>
      <c r="DH26" s="559"/>
      <c r="DI26" s="559"/>
      <c r="DJ26" s="559"/>
      <c r="DK26" s="559"/>
      <c r="DL26" s="559"/>
      <c r="DM26" s="559">
        <v>1128</v>
      </c>
      <c r="DN26" s="532">
        <f t="shared" si="20"/>
        <v>1128</v>
      </c>
      <c r="DO26" s="559"/>
      <c r="DP26" s="559"/>
      <c r="DQ26" s="559"/>
      <c r="DR26" s="559"/>
      <c r="DS26" s="559"/>
      <c r="DT26" s="559"/>
      <c r="DU26" s="559"/>
      <c r="DV26" s="559"/>
      <c r="DW26" s="559"/>
      <c r="DX26" s="559"/>
      <c r="DY26" s="559"/>
      <c r="DZ26" s="559">
        <v>435</v>
      </c>
      <c r="EA26" s="532">
        <f t="shared" si="21"/>
        <v>435</v>
      </c>
      <c r="EB26" s="559"/>
      <c r="EC26" s="559"/>
      <c r="ED26" s="559"/>
      <c r="EE26" s="559"/>
      <c r="EF26" s="559"/>
      <c r="EG26" s="559"/>
      <c r="EH26" s="559"/>
      <c r="EI26" s="559"/>
      <c r="EJ26" s="559"/>
      <c r="EK26" s="559"/>
      <c r="EL26" s="559"/>
      <c r="EM26" s="559"/>
      <c r="EN26" s="532">
        <f t="shared" si="22"/>
        <v>0</v>
      </c>
      <c r="EO26" s="559"/>
      <c r="EP26" s="559"/>
      <c r="EQ26" s="559"/>
      <c r="ER26" s="559"/>
      <c r="ES26" s="559"/>
      <c r="ET26" s="559"/>
      <c r="EU26" s="559"/>
      <c r="EV26" s="559"/>
      <c r="EW26" s="559"/>
      <c r="EX26" s="559"/>
      <c r="EY26" s="559"/>
      <c r="EZ26" s="559"/>
      <c r="FA26" s="532">
        <f t="shared" si="23"/>
        <v>0</v>
      </c>
      <c r="FC26" s="560" t="str">
        <f t="shared" si="24"/>
        <v/>
      </c>
      <c r="FD26" s="561" t="str">
        <f t="shared" si="25"/>
        <v/>
      </c>
      <c r="FE26" s="562">
        <f t="shared" si="26"/>
        <v>0</v>
      </c>
      <c r="FF26" s="665">
        <f t="shared" si="27"/>
        <v>0</v>
      </c>
      <c r="FG26" s="115"/>
      <c r="FH26" s="551">
        <f t="shared" si="28"/>
        <v>19126</v>
      </c>
      <c r="FI26" s="553" t="s">
        <v>128</v>
      </c>
      <c r="FJ26" s="554" t="str">
        <f t="shared" si="29"/>
        <v>OK</v>
      </c>
    </row>
    <row r="27" spans="1:166" ht="15" customHeight="1" x14ac:dyDescent="0.25">
      <c r="A27" s="672" t="s">
        <v>639</v>
      </c>
      <c r="B27" s="559"/>
      <c r="C27" s="559"/>
      <c r="D27" s="559"/>
      <c r="E27" s="559"/>
      <c r="F27" s="559"/>
      <c r="G27" s="559"/>
      <c r="H27" s="559"/>
      <c r="I27" s="559"/>
      <c r="J27" s="559"/>
      <c r="K27" s="559"/>
      <c r="L27" s="559"/>
      <c r="M27" s="559">
        <v>289</v>
      </c>
      <c r="N27" s="532">
        <f t="shared" si="12"/>
        <v>289</v>
      </c>
      <c r="O27" s="559"/>
      <c r="P27" s="559"/>
      <c r="Q27" s="559"/>
      <c r="R27" s="559"/>
      <c r="S27" s="559"/>
      <c r="T27" s="559"/>
      <c r="U27" s="559"/>
      <c r="V27" s="559"/>
      <c r="W27" s="559"/>
      <c r="X27" s="559"/>
      <c r="Y27" s="559"/>
      <c r="Z27" s="559">
        <v>275</v>
      </c>
      <c r="AA27" s="532">
        <f t="shared" si="13"/>
        <v>275</v>
      </c>
      <c r="AB27" s="559"/>
      <c r="AC27" s="559"/>
      <c r="AD27" s="559"/>
      <c r="AE27" s="559"/>
      <c r="AF27" s="559"/>
      <c r="AG27" s="559"/>
      <c r="AH27" s="559"/>
      <c r="AI27" s="559"/>
      <c r="AJ27" s="559"/>
      <c r="AK27" s="559"/>
      <c r="AL27" s="559"/>
      <c r="AM27" s="559">
        <v>318</v>
      </c>
      <c r="AN27" s="532">
        <f t="shared" si="14"/>
        <v>318</v>
      </c>
      <c r="AO27" s="559"/>
      <c r="AP27" s="559"/>
      <c r="AQ27" s="559"/>
      <c r="AR27" s="559"/>
      <c r="AS27" s="559"/>
      <c r="AT27" s="559"/>
      <c r="AU27" s="559"/>
      <c r="AV27" s="559"/>
      <c r="AW27" s="559"/>
      <c r="AX27" s="559"/>
      <c r="AY27" s="559"/>
      <c r="AZ27" s="559">
        <v>313</v>
      </c>
      <c r="BA27" s="532">
        <f t="shared" si="15"/>
        <v>313</v>
      </c>
      <c r="BB27" s="559"/>
      <c r="BC27" s="559"/>
      <c r="BD27" s="559"/>
      <c r="BE27" s="559"/>
      <c r="BF27" s="559"/>
      <c r="BG27" s="559"/>
      <c r="BH27" s="559"/>
      <c r="BI27" s="559"/>
      <c r="BJ27" s="559"/>
      <c r="BK27" s="559"/>
      <c r="BL27" s="559"/>
      <c r="BM27" s="559">
        <v>251</v>
      </c>
      <c r="BN27" s="532">
        <f t="shared" si="16"/>
        <v>251</v>
      </c>
      <c r="BO27" s="559"/>
      <c r="BP27" s="559"/>
      <c r="BQ27" s="559"/>
      <c r="BR27" s="559"/>
      <c r="BS27" s="559"/>
      <c r="BT27" s="559"/>
      <c r="BU27" s="559"/>
      <c r="BV27" s="559"/>
      <c r="BW27" s="559"/>
      <c r="BX27" s="559"/>
      <c r="BY27" s="559"/>
      <c r="BZ27" s="559">
        <v>349</v>
      </c>
      <c r="CA27" s="532">
        <f t="shared" si="17"/>
        <v>349</v>
      </c>
      <c r="CB27" s="559"/>
      <c r="CC27" s="559"/>
      <c r="CD27" s="559"/>
      <c r="CE27" s="559"/>
      <c r="CF27" s="559"/>
      <c r="CG27" s="559"/>
      <c r="CH27" s="559"/>
      <c r="CI27" s="559"/>
      <c r="CJ27" s="559"/>
      <c r="CK27" s="559"/>
      <c r="CL27" s="559"/>
      <c r="CM27" s="559">
        <v>341</v>
      </c>
      <c r="CN27" s="532">
        <f t="shared" si="18"/>
        <v>341</v>
      </c>
      <c r="CO27" s="559"/>
      <c r="CP27" s="559"/>
      <c r="CQ27" s="559"/>
      <c r="CR27" s="559"/>
      <c r="CS27" s="559"/>
      <c r="CT27" s="559"/>
      <c r="CU27" s="559"/>
      <c r="CV27" s="559"/>
      <c r="CW27" s="559"/>
      <c r="CX27" s="559"/>
      <c r="CY27" s="559"/>
      <c r="CZ27" s="559">
        <v>328</v>
      </c>
      <c r="DA27" s="532">
        <f t="shared" si="19"/>
        <v>328</v>
      </c>
      <c r="DB27" s="559"/>
      <c r="DC27" s="559"/>
      <c r="DD27" s="559"/>
      <c r="DE27" s="559"/>
      <c r="DF27" s="559"/>
      <c r="DG27" s="559"/>
      <c r="DH27" s="559"/>
      <c r="DI27" s="559"/>
      <c r="DJ27" s="559"/>
      <c r="DK27" s="559"/>
      <c r="DL27" s="559"/>
      <c r="DM27" s="559">
        <v>356.23</v>
      </c>
      <c r="DN27" s="532">
        <f t="shared" si="20"/>
        <v>356.23</v>
      </c>
      <c r="DO27" s="559"/>
      <c r="DP27" s="559"/>
      <c r="DQ27" s="559"/>
      <c r="DR27" s="559"/>
      <c r="DS27" s="559"/>
      <c r="DT27" s="559"/>
      <c r="DU27" s="559"/>
      <c r="DV27" s="559"/>
      <c r="DW27" s="559"/>
      <c r="DX27" s="559"/>
      <c r="DY27" s="559"/>
      <c r="DZ27" s="559">
        <v>157</v>
      </c>
      <c r="EA27" s="532">
        <f t="shared" si="21"/>
        <v>157</v>
      </c>
      <c r="EB27" s="559"/>
      <c r="EC27" s="559"/>
      <c r="ED27" s="559"/>
      <c r="EE27" s="559"/>
      <c r="EF27" s="559"/>
      <c r="EG27" s="559"/>
      <c r="EH27" s="559"/>
      <c r="EI27" s="559"/>
      <c r="EJ27" s="559"/>
      <c r="EK27" s="559"/>
      <c r="EL27" s="559"/>
      <c r="EM27" s="559"/>
      <c r="EN27" s="532">
        <f t="shared" si="22"/>
        <v>0</v>
      </c>
      <c r="EO27" s="559"/>
      <c r="EP27" s="559"/>
      <c r="EQ27" s="559"/>
      <c r="ER27" s="559"/>
      <c r="ES27" s="559"/>
      <c r="ET27" s="559"/>
      <c r="EU27" s="559"/>
      <c r="EV27" s="559"/>
      <c r="EW27" s="559"/>
      <c r="EX27" s="559"/>
      <c r="EY27" s="559"/>
      <c r="EZ27" s="559"/>
      <c r="FA27" s="532">
        <f t="shared" si="23"/>
        <v>0</v>
      </c>
      <c r="FC27" s="560" t="str">
        <f t="shared" si="24"/>
        <v/>
      </c>
      <c r="FD27" s="561" t="str">
        <f t="shared" si="25"/>
        <v/>
      </c>
      <c r="FE27" s="562">
        <f t="shared" si="26"/>
        <v>0</v>
      </c>
      <c r="FF27" s="665">
        <f t="shared" si="27"/>
        <v>0</v>
      </c>
      <c r="FG27" s="115"/>
      <c r="FH27" s="551">
        <f t="shared" si="28"/>
        <v>5954.4599999999991</v>
      </c>
      <c r="FI27" s="553" t="s">
        <v>639</v>
      </c>
      <c r="FJ27" s="554" t="str">
        <f t="shared" si="29"/>
        <v>OK</v>
      </c>
    </row>
    <row r="28" spans="1:166" ht="15" customHeight="1" x14ac:dyDescent="0.25">
      <c r="A28" s="672" t="s">
        <v>129</v>
      </c>
      <c r="B28" s="559">
        <v>4</v>
      </c>
      <c r="C28" s="559">
        <v>2</v>
      </c>
      <c r="D28" s="559">
        <v>2</v>
      </c>
      <c r="E28" s="559">
        <v>6</v>
      </c>
      <c r="F28" s="559">
        <v>3</v>
      </c>
      <c r="G28" s="559"/>
      <c r="H28" s="559">
        <v>5</v>
      </c>
      <c r="I28" s="559">
        <v>14</v>
      </c>
      <c r="J28" s="559">
        <v>24</v>
      </c>
      <c r="K28" s="559">
        <v>30</v>
      </c>
      <c r="L28" s="559">
        <v>11</v>
      </c>
      <c r="M28" s="559">
        <v>7</v>
      </c>
      <c r="N28" s="532">
        <f t="shared" si="12"/>
        <v>108</v>
      </c>
      <c r="O28" s="559">
        <v>8</v>
      </c>
      <c r="P28" s="559">
        <v>5</v>
      </c>
      <c r="Q28" s="559"/>
      <c r="R28" s="559"/>
      <c r="S28" s="559"/>
      <c r="T28" s="559">
        <v>2</v>
      </c>
      <c r="U28" s="559">
        <v>3</v>
      </c>
      <c r="V28" s="559">
        <v>9</v>
      </c>
      <c r="W28" s="559">
        <v>20</v>
      </c>
      <c r="X28" s="559">
        <v>12</v>
      </c>
      <c r="Y28" s="559">
        <v>2</v>
      </c>
      <c r="Z28" s="559"/>
      <c r="AA28" s="532">
        <f t="shared" si="13"/>
        <v>61</v>
      </c>
      <c r="AB28" s="559"/>
      <c r="AC28" s="559"/>
      <c r="AD28" s="559"/>
      <c r="AE28" s="559"/>
      <c r="AF28" s="559"/>
      <c r="AG28" s="559"/>
      <c r="AH28" s="559">
        <v>1</v>
      </c>
      <c r="AI28" s="559">
        <v>17</v>
      </c>
      <c r="AJ28" s="559">
        <v>25</v>
      </c>
      <c r="AK28" s="559">
        <v>16</v>
      </c>
      <c r="AL28" s="559">
        <v>4</v>
      </c>
      <c r="AM28" s="559"/>
      <c r="AN28" s="532">
        <f t="shared" si="14"/>
        <v>63</v>
      </c>
      <c r="AO28" s="559"/>
      <c r="AP28" s="559"/>
      <c r="AQ28" s="559"/>
      <c r="AR28" s="559"/>
      <c r="AS28" s="559"/>
      <c r="AT28" s="559">
        <v>15</v>
      </c>
      <c r="AU28" s="559">
        <v>25</v>
      </c>
      <c r="AV28" s="559">
        <v>29</v>
      </c>
      <c r="AW28" s="559">
        <v>22</v>
      </c>
      <c r="AX28" s="559">
        <v>13</v>
      </c>
      <c r="AY28" s="559">
        <v>4</v>
      </c>
      <c r="AZ28" s="559">
        <v>4</v>
      </c>
      <c r="BA28" s="532">
        <f t="shared" si="15"/>
        <v>112</v>
      </c>
      <c r="BB28" s="559">
        <v>4</v>
      </c>
      <c r="BC28" s="559">
        <v>4</v>
      </c>
      <c r="BD28" s="559"/>
      <c r="BE28" s="559"/>
      <c r="BF28" s="559">
        <v>3</v>
      </c>
      <c r="BG28" s="559">
        <v>2</v>
      </c>
      <c r="BH28" s="559">
        <v>4</v>
      </c>
      <c r="BI28" s="559">
        <v>8</v>
      </c>
      <c r="BJ28" s="559">
        <v>18</v>
      </c>
      <c r="BK28" s="559">
        <v>11</v>
      </c>
      <c r="BL28" s="559">
        <v>2</v>
      </c>
      <c r="BM28" s="559">
        <v>2</v>
      </c>
      <c r="BN28" s="532">
        <f t="shared" si="16"/>
        <v>58</v>
      </c>
      <c r="BO28" s="559">
        <v>2</v>
      </c>
      <c r="BP28" s="559"/>
      <c r="BQ28" s="559"/>
      <c r="BR28" s="559">
        <v>1</v>
      </c>
      <c r="BS28" s="559"/>
      <c r="BT28" s="559"/>
      <c r="BU28" s="559">
        <v>15</v>
      </c>
      <c r="BV28" s="559">
        <v>29</v>
      </c>
      <c r="BW28" s="559">
        <v>21</v>
      </c>
      <c r="BX28" s="559">
        <v>5</v>
      </c>
      <c r="BY28" s="559"/>
      <c r="BZ28" s="559">
        <v>5</v>
      </c>
      <c r="CA28" s="532">
        <f t="shared" si="17"/>
        <v>78</v>
      </c>
      <c r="CB28" s="559">
        <v>4</v>
      </c>
      <c r="CC28" s="559">
        <v>4</v>
      </c>
      <c r="CD28" s="559">
        <v>1</v>
      </c>
      <c r="CE28" s="559"/>
      <c r="CF28" s="559"/>
      <c r="CG28" s="559">
        <v>9</v>
      </c>
      <c r="CH28" s="559">
        <v>9</v>
      </c>
      <c r="CI28" s="559">
        <v>38</v>
      </c>
      <c r="CJ28" s="559">
        <v>32</v>
      </c>
      <c r="CK28" s="559">
        <v>23</v>
      </c>
      <c r="CL28" s="559">
        <v>2</v>
      </c>
      <c r="CM28" s="559"/>
      <c r="CN28" s="532">
        <f t="shared" si="18"/>
        <v>122</v>
      </c>
      <c r="CO28" s="559">
        <v>3</v>
      </c>
      <c r="CP28" s="559">
        <v>11</v>
      </c>
      <c r="CQ28" s="559"/>
      <c r="CR28" s="559"/>
      <c r="CS28" s="559">
        <v>1</v>
      </c>
      <c r="CT28" s="559">
        <v>6</v>
      </c>
      <c r="CU28" s="559">
        <v>15</v>
      </c>
      <c r="CV28" s="559">
        <v>26</v>
      </c>
      <c r="CW28" s="559">
        <v>34</v>
      </c>
      <c r="CX28" s="559">
        <v>32</v>
      </c>
      <c r="CY28" s="559">
        <v>9</v>
      </c>
      <c r="CZ28" s="559">
        <v>22</v>
      </c>
      <c r="DA28" s="532">
        <f t="shared" si="19"/>
        <v>159</v>
      </c>
      <c r="DB28" s="559">
        <v>16</v>
      </c>
      <c r="DC28" s="559">
        <v>11</v>
      </c>
      <c r="DD28" s="559">
        <v>6</v>
      </c>
      <c r="DE28" s="559">
        <v>1</v>
      </c>
      <c r="DF28" s="559">
        <v>3</v>
      </c>
      <c r="DG28" s="559">
        <v>2</v>
      </c>
      <c r="DH28" s="559">
        <v>7</v>
      </c>
      <c r="DI28" s="559">
        <v>34</v>
      </c>
      <c r="DJ28" s="559">
        <v>58</v>
      </c>
      <c r="DK28" s="559">
        <v>31</v>
      </c>
      <c r="DL28" s="559">
        <v>14.5</v>
      </c>
      <c r="DM28" s="559">
        <v>26</v>
      </c>
      <c r="DN28" s="532">
        <f t="shared" si="20"/>
        <v>209.5</v>
      </c>
      <c r="DO28" s="559">
        <v>30</v>
      </c>
      <c r="DP28" s="559"/>
      <c r="DQ28" s="559">
        <v>2</v>
      </c>
      <c r="DR28" s="559">
        <v>3</v>
      </c>
      <c r="DS28" s="559">
        <v>4</v>
      </c>
      <c r="DT28" s="559">
        <v>5</v>
      </c>
      <c r="DU28" s="559">
        <v>23</v>
      </c>
      <c r="DV28" s="559">
        <v>63</v>
      </c>
      <c r="DW28" s="559">
        <v>80</v>
      </c>
      <c r="DX28" s="559">
        <v>43</v>
      </c>
      <c r="DY28" s="559">
        <v>41</v>
      </c>
      <c r="DZ28" s="559">
        <v>27</v>
      </c>
      <c r="EA28" s="532">
        <f t="shared" si="21"/>
        <v>321</v>
      </c>
      <c r="EB28" s="559">
        <v>23</v>
      </c>
      <c r="EC28" s="559">
        <v>1</v>
      </c>
      <c r="ED28" s="559"/>
      <c r="EE28" s="559"/>
      <c r="EF28" s="559">
        <v>5</v>
      </c>
      <c r="EG28" s="559">
        <v>5</v>
      </c>
      <c r="EH28" s="559">
        <v>6.5</v>
      </c>
      <c r="EI28" s="559">
        <v>45</v>
      </c>
      <c r="EJ28" s="559">
        <v>41</v>
      </c>
      <c r="EK28" s="559">
        <v>36</v>
      </c>
      <c r="EL28" s="559">
        <v>36</v>
      </c>
      <c r="EM28" s="559"/>
      <c r="EN28" s="532">
        <f t="shared" si="22"/>
        <v>198.5</v>
      </c>
      <c r="EO28" s="559"/>
      <c r="EP28" s="559"/>
      <c r="EQ28" s="559"/>
      <c r="ER28" s="559"/>
      <c r="ES28" s="559"/>
      <c r="ET28" s="559"/>
      <c r="EU28" s="559"/>
      <c r="EV28" s="559"/>
      <c r="EW28" s="559"/>
      <c r="EX28" s="559"/>
      <c r="EY28" s="559"/>
      <c r="EZ28" s="559"/>
      <c r="FA28" s="532">
        <f t="shared" si="23"/>
        <v>0</v>
      </c>
      <c r="FC28" s="560">
        <f t="shared" si="24"/>
        <v>-100</v>
      </c>
      <c r="FD28" s="561">
        <f t="shared" si="25"/>
        <v>-100</v>
      </c>
      <c r="FE28" s="562">
        <f t="shared" si="26"/>
        <v>198.5</v>
      </c>
      <c r="FF28" s="665">
        <f t="shared" si="27"/>
        <v>0</v>
      </c>
      <c r="FG28" s="115"/>
      <c r="FH28" s="551">
        <f t="shared" si="28"/>
        <v>2980</v>
      </c>
      <c r="FI28" s="553" t="s">
        <v>129</v>
      </c>
      <c r="FJ28" s="554" t="str">
        <f t="shared" si="29"/>
        <v>OK</v>
      </c>
    </row>
    <row r="29" spans="1:166" ht="15" customHeight="1" x14ac:dyDescent="0.25">
      <c r="A29" s="672" t="s">
        <v>130</v>
      </c>
      <c r="B29" s="559"/>
      <c r="C29" s="559"/>
      <c r="D29" s="559"/>
      <c r="E29" s="559"/>
      <c r="F29" s="559"/>
      <c r="G29" s="559"/>
      <c r="H29" s="559"/>
      <c r="I29" s="559"/>
      <c r="J29" s="559"/>
      <c r="K29" s="559"/>
      <c r="L29" s="559"/>
      <c r="M29" s="559">
        <v>100</v>
      </c>
      <c r="N29" s="532">
        <f t="shared" si="12"/>
        <v>100</v>
      </c>
      <c r="O29" s="559"/>
      <c r="P29" s="559"/>
      <c r="Q29" s="559"/>
      <c r="R29" s="559"/>
      <c r="S29" s="559"/>
      <c r="T29" s="559"/>
      <c r="U29" s="559"/>
      <c r="V29" s="559"/>
      <c r="W29" s="559"/>
      <c r="X29" s="559"/>
      <c r="Y29" s="559"/>
      <c r="Z29" s="559">
        <v>86</v>
      </c>
      <c r="AA29" s="532">
        <f t="shared" si="13"/>
        <v>86</v>
      </c>
      <c r="AB29" s="559"/>
      <c r="AC29" s="559"/>
      <c r="AD29" s="559"/>
      <c r="AE29" s="559"/>
      <c r="AF29" s="559"/>
      <c r="AG29" s="559"/>
      <c r="AH29" s="559"/>
      <c r="AI29" s="559"/>
      <c r="AJ29" s="559"/>
      <c r="AK29" s="559"/>
      <c r="AL29" s="559"/>
      <c r="AM29" s="559">
        <v>108</v>
      </c>
      <c r="AN29" s="532">
        <f t="shared" si="14"/>
        <v>108</v>
      </c>
      <c r="AO29" s="559"/>
      <c r="AP29" s="559"/>
      <c r="AQ29" s="559"/>
      <c r="AR29" s="559"/>
      <c r="AS29" s="559"/>
      <c r="AT29" s="559"/>
      <c r="AU29" s="559"/>
      <c r="AV29" s="559"/>
      <c r="AW29" s="559"/>
      <c r="AX29" s="559"/>
      <c r="AY29" s="559"/>
      <c r="AZ29" s="559">
        <v>65</v>
      </c>
      <c r="BA29" s="532">
        <f t="shared" si="15"/>
        <v>65</v>
      </c>
      <c r="BB29" s="559"/>
      <c r="BC29" s="559"/>
      <c r="BD29" s="559"/>
      <c r="BE29" s="559"/>
      <c r="BF29" s="559"/>
      <c r="BG29" s="559"/>
      <c r="BH29" s="559"/>
      <c r="BI29" s="559"/>
      <c r="BJ29" s="559"/>
      <c r="BK29" s="559"/>
      <c r="BL29" s="559"/>
      <c r="BM29" s="559">
        <v>99</v>
      </c>
      <c r="BN29" s="532">
        <f t="shared" si="16"/>
        <v>99</v>
      </c>
      <c r="BO29" s="559"/>
      <c r="BP29" s="559"/>
      <c r="BQ29" s="559"/>
      <c r="BR29" s="559"/>
      <c r="BS29" s="559"/>
      <c r="BT29" s="559"/>
      <c r="BU29" s="559"/>
      <c r="BV29" s="559"/>
      <c r="BW29" s="559"/>
      <c r="BX29" s="559"/>
      <c r="BY29" s="559"/>
      <c r="BZ29" s="559">
        <v>106</v>
      </c>
      <c r="CA29" s="532">
        <f t="shared" si="17"/>
        <v>106</v>
      </c>
      <c r="CB29" s="559"/>
      <c r="CC29" s="559"/>
      <c r="CD29" s="559"/>
      <c r="CE29" s="559"/>
      <c r="CF29" s="559"/>
      <c r="CG29" s="559"/>
      <c r="CH29" s="559"/>
      <c r="CI29" s="559"/>
      <c r="CJ29" s="559"/>
      <c r="CK29" s="559"/>
      <c r="CL29" s="559"/>
      <c r="CM29" s="559">
        <v>101</v>
      </c>
      <c r="CN29" s="532">
        <f t="shared" si="18"/>
        <v>101</v>
      </c>
      <c r="CO29" s="559"/>
      <c r="CP29" s="559"/>
      <c r="CQ29" s="559"/>
      <c r="CR29" s="559"/>
      <c r="CS29" s="559"/>
      <c r="CT29" s="559"/>
      <c r="CU29" s="559"/>
      <c r="CV29" s="559"/>
      <c r="CW29" s="559"/>
      <c r="CX29" s="559"/>
      <c r="CY29" s="559"/>
      <c r="CZ29" s="559">
        <v>138.01</v>
      </c>
      <c r="DA29" s="532">
        <f t="shared" si="19"/>
        <v>138.01</v>
      </c>
      <c r="DB29" s="559"/>
      <c r="DC29" s="559"/>
      <c r="DD29" s="559"/>
      <c r="DE29" s="559"/>
      <c r="DF29" s="559"/>
      <c r="DG29" s="559"/>
      <c r="DH29" s="559"/>
      <c r="DI29" s="559"/>
      <c r="DJ29" s="559"/>
      <c r="DK29" s="559"/>
      <c r="DL29" s="559"/>
      <c r="DM29" s="559">
        <v>140</v>
      </c>
      <c r="DN29" s="532">
        <f t="shared" si="20"/>
        <v>140</v>
      </c>
      <c r="DO29" s="559"/>
      <c r="DP29" s="559"/>
      <c r="DQ29" s="559"/>
      <c r="DR29" s="559"/>
      <c r="DS29" s="559"/>
      <c r="DT29" s="559"/>
      <c r="DU29" s="559"/>
      <c r="DV29" s="559"/>
      <c r="DW29" s="559"/>
      <c r="DX29" s="559"/>
      <c r="DY29" s="559"/>
      <c r="DZ29" s="559">
        <v>128</v>
      </c>
      <c r="EA29" s="532">
        <f t="shared" si="21"/>
        <v>128</v>
      </c>
      <c r="EB29" s="559"/>
      <c r="EC29" s="559"/>
      <c r="ED29" s="559"/>
      <c r="EE29" s="559"/>
      <c r="EF29" s="559"/>
      <c r="EG29" s="559"/>
      <c r="EH29" s="559"/>
      <c r="EI29" s="559"/>
      <c r="EJ29" s="559"/>
      <c r="EK29" s="559"/>
      <c r="EL29" s="559"/>
      <c r="EM29" s="559"/>
      <c r="EN29" s="532">
        <f t="shared" si="22"/>
        <v>0</v>
      </c>
      <c r="EO29" s="559"/>
      <c r="EP29" s="559"/>
      <c r="EQ29" s="559"/>
      <c r="ER29" s="559"/>
      <c r="ES29" s="559"/>
      <c r="ET29" s="559"/>
      <c r="EU29" s="559"/>
      <c r="EV29" s="559"/>
      <c r="EW29" s="559"/>
      <c r="EX29" s="559"/>
      <c r="EY29" s="559"/>
      <c r="EZ29" s="559"/>
      <c r="FA29" s="532">
        <f t="shared" si="23"/>
        <v>0</v>
      </c>
      <c r="FC29" s="560" t="str">
        <f t="shared" si="24"/>
        <v/>
      </c>
      <c r="FD29" s="561" t="str">
        <f t="shared" si="25"/>
        <v/>
      </c>
      <c r="FE29" s="562">
        <f t="shared" si="26"/>
        <v>0</v>
      </c>
      <c r="FF29" s="665">
        <f t="shared" si="27"/>
        <v>0</v>
      </c>
      <c r="FG29" s="115"/>
      <c r="FH29" s="551">
        <f t="shared" si="28"/>
        <v>2142.02</v>
      </c>
      <c r="FI29" s="553" t="s">
        <v>130</v>
      </c>
      <c r="FJ29" s="554" t="str">
        <f t="shared" si="29"/>
        <v>OK</v>
      </c>
    </row>
    <row r="30" spans="1:166" ht="15" customHeight="1" x14ac:dyDescent="0.25">
      <c r="A30" s="672" t="s">
        <v>131</v>
      </c>
      <c r="B30" s="559">
        <v>15</v>
      </c>
      <c r="C30" s="559">
        <v>12</v>
      </c>
      <c r="D30" s="559">
        <v>10</v>
      </c>
      <c r="E30" s="559"/>
      <c r="F30" s="559">
        <v>8</v>
      </c>
      <c r="G30" s="559">
        <v>14</v>
      </c>
      <c r="H30" s="559">
        <v>9</v>
      </c>
      <c r="I30" s="559">
        <v>10</v>
      </c>
      <c r="J30" s="559">
        <v>14</v>
      </c>
      <c r="K30" s="559">
        <v>9</v>
      </c>
      <c r="L30" s="559">
        <v>3</v>
      </c>
      <c r="M30" s="559">
        <v>6</v>
      </c>
      <c r="N30" s="532">
        <f t="shared" si="12"/>
        <v>110</v>
      </c>
      <c r="O30" s="559">
        <v>11</v>
      </c>
      <c r="P30" s="559">
        <v>5</v>
      </c>
      <c r="Q30" s="559">
        <v>12</v>
      </c>
      <c r="R30" s="559">
        <v>12</v>
      </c>
      <c r="S30" s="559">
        <v>10</v>
      </c>
      <c r="T30" s="559">
        <v>6</v>
      </c>
      <c r="U30" s="559">
        <v>5</v>
      </c>
      <c r="V30" s="559">
        <v>1</v>
      </c>
      <c r="W30" s="559"/>
      <c r="X30" s="559"/>
      <c r="Y30" s="559">
        <v>1</v>
      </c>
      <c r="Z30" s="559">
        <v>7</v>
      </c>
      <c r="AA30" s="532">
        <f t="shared" si="13"/>
        <v>70</v>
      </c>
      <c r="AB30" s="559">
        <v>2</v>
      </c>
      <c r="AC30" s="559">
        <v>9</v>
      </c>
      <c r="AD30" s="559">
        <v>3</v>
      </c>
      <c r="AE30" s="559">
        <v>6</v>
      </c>
      <c r="AF30" s="559">
        <v>7</v>
      </c>
      <c r="AG30" s="559">
        <v>4</v>
      </c>
      <c r="AH30" s="559">
        <v>5</v>
      </c>
      <c r="AI30" s="559">
        <v>1</v>
      </c>
      <c r="AJ30" s="559">
        <v>5</v>
      </c>
      <c r="AK30" s="559">
        <v>4</v>
      </c>
      <c r="AL30" s="559">
        <v>5</v>
      </c>
      <c r="AM30" s="559">
        <v>8</v>
      </c>
      <c r="AN30" s="532">
        <f t="shared" si="14"/>
        <v>59</v>
      </c>
      <c r="AO30" s="559">
        <v>19</v>
      </c>
      <c r="AP30" s="559">
        <v>14</v>
      </c>
      <c r="AQ30" s="559">
        <v>8</v>
      </c>
      <c r="AR30" s="559">
        <v>5</v>
      </c>
      <c r="AS30" s="559">
        <v>1</v>
      </c>
      <c r="AT30" s="559">
        <v>6</v>
      </c>
      <c r="AU30" s="559">
        <v>15</v>
      </c>
      <c r="AV30" s="559">
        <v>10</v>
      </c>
      <c r="AW30" s="559">
        <v>1</v>
      </c>
      <c r="AX30" s="559">
        <v>1</v>
      </c>
      <c r="AY30" s="559">
        <v>2</v>
      </c>
      <c r="AZ30" s="559">
        <v>13</v>
      </c>
      <c r="BA30" s="532">
        <f t="shared" si="15"/>
        <v>95</v>
      </c>
      <c r="BB30" s="559">
        <v>7</v>
      </c>
      <c r="BC30" s="559">
        <v>16</v>
      </c>
      <c r="BD30" s="559">
        <v>7</v>
      </c>
      <c r="BE30" s="559">
        <v>2</v>
      </c>
      <c r="BF30" s="559">
        <v>7</v>
      </c>
      <c r="BG30" s="559">
        <v>11</v>
      </c>
      <c r="BH30" s="559">
        <v>4</v>
      </c>
      <c r="BI30" s="559">
        <v>3</v>
      </c>
      <c r="BJ30" s="559">
        <v>3</v>
      </c>
      <c r="BK30" s="559">
        <v>6</v>
      </c>
      <c r="BL30" s="559">
        <v>7</v>
      </c>
      <c r="BM30" s="559">
        <v>8</v>
      </c>
      <c r="BN30" s="532">
        <f t="shared" si="16"/>
        <v>81</v>
      </c>
      <c r="BO30" s="559">
        <v>9</v>
      </c>
      <c r="BP30" s="559">
        <v>6</v>
      </c>
      <c r="BQ30" s="559">
        <v>6</v>
      </c>
      <c r="BR30" s="559">
        <v>3</v>
      </c>
      <c r="BS30" s="559">
        <v>4</v>
      </c>
      <c r="BT30" s="559">
        <v>4</v>
      </c>
      <c r="BU30" s="559">
        <v>12</v>
      </c>
      <c r="BV30" s="559">
        <v>5</v>
      </c>
      <c r="BW30" s="559">
        <v>5</v>
      </c>
      <c r="BX30" s="559">
        <v>3</v>
      </c>
      <c r="BY30" s="559">
        <v>3</v>
      </c>
      <c r="BZ30" s="559">
        <v>1</v>
      </c>
      <c r="CA30" s="532">
        <f t="shared" si="17"/>
        <v>61</v>
      </c>
      <c r="CB30" s="559">
        <v>16.5</v>
      </c>
      <c r="CC30" s="559">
        <v>5</v>
      </c>
      <c r="CD30" s="559">
        <v>5</v>
      </c>
      <c r="CE30" s="559"/>
      <c r="CF30" s="559">
        <v>1</v>
      </c>
      <c r="CG30" s="559">
        <v>16</v>
      </c>
      <c r="CH30" s="559">
        <v>12.5</v>
      </c>
      <c r="CI30" s="559">
        <v>9</v>
      </c>
      <c r="CJ30" s="559">
        <v>5</v>
      </c>
      <c r="CK30" s="559">
        <v>6</v>
      </c>
      <c r="CL30" s="559">
        <v>2</v>
      </c>
      <c r="CM30" s="559">
        <v>18</v>
      </c>
      <c r="CN30" s="532">
        <f t="shared" si="18"/>
        <v>96</v>
      </c>
      <c r="CO30" s="559">
        <v>11</v>
      </c>
      <c r="CP30" s="559">
        <v>11</v>
      </c>
      <c r="CQ30" s="559">
        <v>1</v>
      </c>
      <c r="CR30" s="559">
        <v>4</v>
      </c>
      <c r="CS30" s="559">
        <v>18</v>
      </c>
      <c r="CT30" s="559">
        <v>17</v>
      </c>
      <c r="CU30" s="559">
        <v>6</v>
      </c>
      <c r="CV30" s="559">
        <v>24</v>
      </c>
      <c r="CW30" s="559"/>
      <c r="CX30" s="559">
        <v>3</v>
      </c>
      <c r="CY30" s="559"/>
      <c r="CZ30" s="559"/>
      <c r="DA30" s="532">
        <f t="shared" si="19"/>
        <v>95</v>
      </c>
      <c r="DB30" s="559">
        <v>2</v>
      </c>
      <c r="DC30" s="559">
        <v>9</v>
      </c>
      <c r="DD30" s="559">
        <v>5</v>
      </c>
      <c r="DE30" s="559">
        <v>2</v>
      </c>
      <c r="DF30" s="559">
        <v>11</v>
      </c>
      <c r="DG30" s="559">
        <v>23</v>
      </c>
      <c r="DH30" s="559">
        <v>15</v>
      </c>
      <c r="DI30" s="559">
        <v>5</v>
      </c>
      <c r="DJ30" s="559"/>
      <c r="DK30" s="559"/>
      <c r="DL30" s="559"/>
      <c r="DM30" s="559">
        <v>1</v>
      </c>
      <c r="DN30" s="532">
        <f t="shared" si="20"/>
        <v>73</v>
      </c>
      <c r="DO30" s="559">
        <v>2</v>
      </c>
      <c r="DP30" s="559">
        <v>16</v>
      </c>
      <c r="DQ30" s="559"/>
      <c r="DR30" s="559">
        <v>15</v>
      </c>
      <c r="DS30" s="559"/>
      <c r="DT30" s="559">
        <v>13</v>
      </c>
      <c r="DU30" s="559">
        <v>24</v>
      </c>
      <c r="DV30" s="559"/>
      <c r="DW30" s="559"/>
      <c r="DX30" s="559">
        <v>20</v>
      </c>
      <c r="DY30" s="559">
        <v>8</v>
      </c>
      <c r="DZ30" s="559">
        <v>23</v>
      </c>
      <c r="EA30" s="532">
        <f t="shared" si="21"/>
        <v>121</v>
      </c>
      <c r="EB30" s="559">
        <v>17</v>
      </c>
      <c r="EC30" s="559">
        <v>37</v>
      </c>
      <c r="ED30" s="559">
        <v>38</v>
      </c>
      <c r="EE30" s="559">
        <v>16</v>
      </c>
      <c r="EF30" s="559">
        <v>27</v>
      </c>
      <c r="EG30" s="559">
        <v>28</v>
      </c>
      <c r="EH30" s="559">
        <v>16</v>
      </c>
      <c r="EI30" s="559">
        <v>6</v>
      </c>
      <c r="EJ30" s="559">
        <v>3</v>
      </c>
      <c r="EK30" s="559"/>
      <c r="EL30" s="559"/>
      <c r="EM30" s="559"/>
      <c r="EN30" s="532">
        <f t="shared" si="22"/>
        <v>188</v>
      </c>
      <c r="EO30" s="559"/>
      <c r="EP30" s="559"/>
      <c r="EQ30" s="559"/>
      <c r="ER30" s="559"/>
      <c r="ES30" s="559"/>
      <c r="ET30" s="559"/>
      <c r="EU30" s="559"/>
      <c r="EV30" s="559"/>
      <c r="EW30" s="559"/>
      <c r="EX30" s="559"/>
      <c r="EY30" s="559"/>
      <c r="EZ30" s="559"/>
      <c r="FA30" s="532">
        <f t="shared" si="23"/>
        <v>0</v>
      </c>
      <c r="FC30" s="560" t="str">
        <f t="shared" si="24"/>
        <v/>
      </c>
      <c r="FD30" s="561">
        <f t="shared" si="25"/>
        <v>-100</v>
      </c>
      <c r="FE30" s="562">
        <f t="shared" si="26"/>
        <v>188</v>
      </c>
      <c r="FF30" s="665">
        <f t="shared" si="27"/>
        <v>0</v>
      </c>
      <c r="FG30" s="115"/>
      <c r="FH30" s="551">
        <f t="shared" si="28"/>
        <v>2098</v>
      </c>
      <c r="FI30" s="553" t="s">
        <v>131</v>
      </c>
      <c r="FJ30" s="554" t="str">
        <f t="shared" si="29"/>
        <v>OK</v>
      </c>
    </row>
    <row r="31" spans="1:166" ht="15" customHeight="1" x14ac:dyDescent="0.25">
      <c r="A31" s="672" t="s">
        <v>641</v>
      </c>
      <c r="B31" s="559">
        <v>31</v>
      </c>
      <c r="C31" s="559">
        <v>17</v>
      </c>
      <c r="D31" s="559">
        <v>12</v>
      </c>
      <c r="E31" s="559">
        <v>3</v>
      </c>
      <c r="F31" s="559">
        <v>14</v>
      </c>
      <c r="G31" s="559">
        <v>18</v>
      </c>
      <c r="H31" s="559">
        <v>10</v>
      </c>
      <c r="I31" s="559">
        <v>10</v>
      </c>
      <c r="J31" s="559">
        <v>11</v>
      </c>
      <c r="K31" s="559">
        <v>9</v>
      </c>
      <c r="L31" s="559">
        <v>6</v>
      </c>
      <c r="M31" s="559"/>
      <c r="N31" s="532">
        <f t="shared" si="12"/>
        <v>141</v>
      </c>
      <c r="O31" s="559">
        <v>8</v>
      </c>
      <c r="P31" s="559">
        <v>9</v>
      </c>
      <c r="Q31" s="559">
        <v>18</v>
      </c>
      <c r="R31" s="559">
        <v>11</v>
      </c>
      <c r="S31" s="559">
        <v>13</v>
      </c>
      <c r="T31" s="559">
        <v>9</v>
      </c>
      <c r="U31" s="559">
        <v>10</v>
      </c>
      <c r="V31" s="559">
        <v>4</v>
      </c>
      <c r="W31" s="559"/>
      <c r="X31" s="559">
        <v>2</v>
      </c>
      <c r="Y31" s="559">
        <v>5</v>
      </c>
      <c r="Z31" s="559">
        <v>9</v>
      </c>
      <c r="AA31" s="532">
        <f t="shared" si="13"/>
        <v>98</v>
      </c>
      <c r="AB31" s="559">
        <v>6</v>
      </c>
      <c r="AC31" s="559">
        <v>17</v>
      </c>
      <c r="AD31" s="559">
        <v>12</v>
      </c>
      <c r="AE31" s="559">
        <v>7</v>
      </c>
      <c r="AF31" s="559">
        <v>7</v>
      </c>
      <c r="AG31" s="559">
        <v>3</v>
      </c>
      <c r="AH31" s="559">
        <v>6</v>
      </c>
      <c r="AI31" s="559">
        <v>3</v>
      </c>
      <c r="AJ31" s="559">
        <v>10</v>
      </c>
      <c r="AK31" s="559">
        <v>7</v>
      </c>
      <c r="AL31" s="559">
        <v>4</v>
      </c>
      <c r="AM31" s="559">
        <v>7</v>
      </c>
      <c r="AN31" s="532">
        <f t="shared" si="14"/>
        <v>89</v>
      </c>
      <c r="AO31" s="559">
        <v>15</v>
      </c>
      <c r="AP31" s="559">
        <v>13</v>
      </c>
      <c r="AQ31" s="559">
        <v>6</v>
      </c>
      <c r="AR31" s="559">
        <v>1</v>
      </c>
      <c r="AS31" s="559"/>
      <c r="AT31" s="559">
        <v>6</v>
      </c>
      <c r="AU31" s="559">
        <v>12</v>
      </c>
      <c r="AV31" s="559">
        <v>4</v>
      </c>
      <c r="AW31" s="559">
        <v>2</v>
      </c>
      <c r="AX31" s="559">
        <v>1</v>
      </c>
      <c r="AY31" s="559">
        <v>1</v>
      </c>
      <c r="AZ31" s="559">
        <v>13</v>
      </c>
      <c r="BA31" s="532">
        <f t="shared" si="15"/>
        <v>74</v>
      </c>
      <c r="BB31" s="559">
        <v>10</v>
      </c>
      <c r="BC31" s="559">
        <v>16</v>
      </c>
      <c r="BD31" s="559">
        <v>7</v>
      </c>
      <c r="BE31" s="559">
        <v>4</v>
      </c>
      <c r="BF31" s="559">
        <v>3</v>
      </c>
      <c r="BG31" s="559">
        <v>13</v>
      </c>
      <c r="BH31" s="559">
        <v>5</v>
      </c>
      <c r="BI31" s="559">
        <v>3</v>
      </c>
      <c r="BJ31" s="559">
        <v>5</v>
      </c>
      <c r="BK31" s="559">
        <v>7</v>
      </c>
      <c r="BL31" s="559">
        <v>2</v>
      </c>
      <c r="BM31" s="559">
        <v>11</v>
      </c>
      <c r="BN31" s="532">
        <f t="shared" si="16"/>
        <v>86</v>
      </c>
      <c r="BO31" s="559">
        <v>12</v>
      </c>
      <c r="BP31" s="559">
        <v>5</v>
      </c>
      <c r="BQ31" s="559">
        <v>9</v>
      </c>
      <c r="BR31" s="559">
        <v>3</v>
      </c>
      <c r="BS31" s="559">
        <v>6</v>
      </c>
      <c r="BT31" s="559">
        <v>7</v>
      </c>
      <c r="BU31" s="559">
        <v>14</v>
      </c>
      <c r="BV31" s="559">
        <v>9</v>
      </c>
      <c r="BW31" s="559">
        <v>8</v>
      </c>
      <c r="BX31" s="559">
        <v>8</v>
      </c>
      <c r="BY31" s="559">
        <v>1</v>
      </c>
      <c r="BZ31" s="559">
        <v>2</v>
      </c>
      <c r="CA31" s="532">
        <f t="shared" si="17"/>
        <v>84</v>
      </c>
      <c r="CB31" s="559">
        <v>14</v>
      </c>
      <c r="CC31" s="559">
        <v>5</v>
      </c>
      <c r="CD31" s="559">
        <v>6</v>
      </c>
      <c r="CE31" s="559"/>
      <c r="CF31" s="559">
        <v>1</v>
      </c>
      <c r="CG31" s="559">
        <v>17</v>
      </c>
      <c r="CH31" s="559">
        <v>6</v>
      </c>
      <c r="CI31" s="559">
        <v>8</v>
      </c>
      <c r="CJ31" s="559">
        <v>3</v>
      </c>
      <c r="CK31" s="559">
        <v>5</v>
      </c>
      <c r="CL31" s="559">
        <v>3</v>
      </c>
      <c r="CM31" s="559">
        <v>6</v>
      </c>
      <c r="CN31" s="532">
        <f t="shared" si="18"/>
        <v>74</v>
      </c>
      <c r="CO31" s="559">
        <v>1</v>
      </c>
      <c r="CP31" s="559">
        <v>13</v>
      </c>
      <c r="CQ31" s="559"/>
      <c r="CR31" s="559">
        <v>2</v>
      </c>
      <c r="CS31" s="559">
        <v>15</v>
      </c>
      <c r="CT31" s="559">
        <v>17</v>
      </c>
      <c r="CU31" s="559">
        <v>5</v>
      </c>
      <c r="CV31" s="559">
        <v>7</v>
      </c>
      <c r="CW31" s="559"/>
      <c r="CX31" s="559">
        <v>1</v>
      </c>
      <c r="CY31" s="559">
        <v>1</v>
      </c>
      <c r="CZ31" s="559"/>
      <c r="DA31" s="532">
        <f t="shared" si="19"/>
        <v>62</v>
      </c>
      <c r="DB31" s="559">
        <v>2</v>
      </c>
      <c r="DC31" s="559">
        <v>10</v>
      </c>
      <c r="DD31" s="559">
        <v>7</v>
      </c>
      <c r="DE31" s="559">
        <v>3</v>
      </c>
      <c r="DF31" s="559">
        <v>1</v>
      </c>
      <c r="DG31" s="559">
        <v>7</v>
      </c>
      <c r="DH31" s="559">
        <v>14</v>
      </c>
      <c r="DI31" s="559">
        <v>13</v>
      </c>
      <c r="DJ31" s="559"/>
      <c r="DK31" s="559"/>
      <c r="DL31" s="559"/>
      <c r="DM31" s="559">
        <v>1</v>
      </c>
      <c r="DN31" s="532">
        <f t="shared" si="20"/>
        <v>58</v>
      </c>
      <c r="DO31" s="559">
        <v>1</v>
      </c>
      <c r="DP31" s="559">
        <v>8</v>
      </c>
      <c r="DQ31" s="559">
        <v>2</v>
      </c>
      <c r="DR31" s="559"/>
      <c r="DS31" s="559"/>
      <c r="DT31" s="559"/>
      <c r="DU31" s="559">
        <v>18</v>
      </c>
      <c r="DV31" s="559"/>
      <c r="DW31" s="559"/>
      <c r="DX31" s="559"/>
      <c r="DY31" s="559"/>
      <c r="DZ31" s="559"/>
      <c r="EA31" s="532">
        <f t="shared" si="21"/>
        <v>29</v>
      </c>
      <c r="EB31" s="559"/>
      <c r="EC31" s="559">
        <v>6</v>
      </c>
      <c r="ED31" s="559">
        <v>24</v>
      </c>
      <c r="EE31" s="559">
        <v>11</v>
      </c>
      <c r="EF31" s="559">
        <v>7</v>
      </c>
      <c r="EG31" s="559">
        <v>14</v>
      </c>
      <c r="EH31" s="559">
        <v>10</v>
      </c>
      <c r="EI31" s="559">
        <v>8</v>
      </c>
      <c r="EJ31" s="559">
        <v>4</v>
      </c>
      <c r="EK31" s="559"/>
      <c r="EL31" s="559"/>
      <c r="EM31" s="559"/>
      <c r="EN31" s="532">
        <f t="shared" si="22"/>
        <v>84</v>
      </c>
      <c r="EO31" s="559"/>
      <c r="EP31" s="559"/>
      <c r="EQ31" s="559"/>
      <c r="ER31" s="559"/>
      <c r="ES31" s="559"/>
      <c r="ET31" s="559"/>
      <c r="EU31" s="559"/>
      <c r="EV31" s="559"/>
      <c r="EW31" s="559"/>
      <c r="EX31" s="559"/>
      <c r="EY31" s="559"/>
      <c r="EZ31" s="559"/>
      <c r="FA31" s="532">
        <f t="shared" si="23"/>
        <v>0</v>
      </c>
      <c r="FC31" s="560" t="str">
        <f t="shared" si="24"/>
        <v/>
      </c>
      <c r="FD31" s="561">
        <f t="shared" si="25"/>
        <v>-100</v>
      </c>
      <c r="FE31" s="562">
        <f t="shared" si="26"/>
        <v>84</v>
      </c>
      <c r="FF31" s="665">
        <f t="shared" si="27"/>
        <v>0</v>
      </c>
      <c r="FG31" s="115"/>
      <c r="FH31" s="551">
        <f t="shared" si="28"/>
        <v>1758</v>
      </c>
      <c r="FI31" s="553" t="s">
        <v>641</v>
      </c>
      <c r="FJ31" s="554" t="str">
        <f t="shared" si="29"/>
        <v>OK</v>
      </c>
    </row>
    <row r="32" spans="1:166" ht="15" customHeight="1" x14ac:dyDescent="0.25">
      <c r="A32" s="672" t="s">
        <v>132</v>
      </c>
      <c r="B32" s="559"/>
      <c r="C32" s="559"/>
      <c r="D32" s="559"/>
      <c r="E32" s="559"/>
      <c r="F32" s="559"/>
      <c r="G32" s="559"/>
      <c r="H32" s="559"/>
      <c r="I32" s="559"/>
      <c r="J32" s="559"/>
      <c r="K32" s="559">
        <v>14</v>
      </c>
      <c r="L32" s="559">
        <v>9</v>
      </c>
      <c r="M32" s="559">
        <v>2</v>
      </c>
      <c r="N32" s="532">
        <f t="shared" si="12"/>
        <v>25</v>
      </c>
      <c r="O32" s="559"/>
      <c r="P32" s="559">
        <v>5</v>
      </c>
      <c r="Q32" s="559">
        <v>5</v>
      </c>
      <c r="R32" s="559"/>
      <c r="S32" s="559"/>
      <c r="T32" s="559"/>
      <c r="U32" s="559"/>
      <c r="V32" s="559"/>
      <c r="W32" s="559"/>
      <c r="X32" s="559">
        <v>2</v>
      </c>
      <c r="Y32" s="559">
        <v>2</v>
      </c>
      <c r="Z32" s="559"/>
      <c r="AA32" s="532">
        <f t="shared" si="13"/>
        <v>14</v>
      </c>
      <c r="AB32" s="559"/>
      <c r="AC32" s="559"/>
      <c r="AD32" s="559"/>
      <c r="AE32" s="559"/>
      <c r="AF32" s="559"/>
      <c r="AG32" s="559"/>
      <c r="AH32" s="559"/>
      <c r="AI32" s="559"/>
      <c r="AJ32" s="559">
        <v>23</v>
      </c>
      <c r="AK32" s="559">
        <v>30</v>
      </c>
      <c r="AL32" s="559"/>
      <c r="AM32" s="559"/>
      <c r="AN32" s="532">
        <f t="shared" si="14"/>
        <v>53</v>
      </c>
      <c r="AO32" s="559"/>
      <c r="AP32" s="559"/>
      <c r="AQ32" s="559"/>
      <c r="AR32" s="559"/>
      <c r="AS32" s="559"/>
      <c r="AT32" s="559"/>
      <c r="AU32" s="559"/>
      <c r="AV32" s="559">
        <v>7</v>
      </c>
      <c r="AW32" s="559">
        <v>10</v>
      </c>
      <c r="AX32" s="559">
        <v>13</v>
      </c>
      <c r="AY32" s="559"/>
      <c r="AZ32" s="559"/>
      <c r="BA32" s="532">
        <f t="shared" si="15"/>
        <v>30</v>
      </c>
      <c r="BB32" s="559"/>
      <c r="BC32" s="559"/>
      <c r="BD32" s="559"/>
      <c r="BE32" s="559"/>
      <c r="BF32" s="559"/>
      <c r="BG32" s="559"/>
      <c r="BH32" s="559"/>
      <c r="BI32" s="559">
        <v>2</v>
      </c>
      <c r="BJ32" s="559">
        <v>7</v>
      </c>
      <c r="BK32" s="559">
        <v>13</v>
      </c>
      <c r="BL32" s="559">
        <v>21</v>
      </c>
      <c r="BM32" s="559">
        <v>13</v>
      </c>
      <c r="BN32" s="532">
        <f t="shared" si="16"/>
        <v>56</v>
      </c>
      <c r="BO32" s="559">
        <v>8</v>
      </c>
      <c r="BP32" s="559"/>
      <c r="BQ32" s="559">
        <v>2</v>
      </c>
      <c r="BR32" s="559"/>
      <c r="BS32" s="559">
        <v>2</v>
      </c>
      <c r="BT32" s="559"/>
      <c r="BU32" s="559"/>
      <c r="BV32" s="559">
        <v>3</v>
      </c>
      <c r="BW32" s="559">
        <v>15</v>
      </c>
      <c r="BX32" s="559">
        <v>8</v>
      </c>
      <c r="BY32" s="559"/>
      <c r="BZ32" s="559"/>
      <c r="CA32" s="532">
        <f t="shared" si="17"/>
        <v>38</v>
      </c>
      <c r="CB32" s="559">
        <v>6</v>
      </c>
      <c r="CC32" s="559">
        <v>1</v>
      </c>
      <c r="CD32" s="559">
        <v>6</v>
      </c>
      <c r="CE32" s="559">
        <v>6</v>
      </c>
      <c r="CF32" s="559">
        <v>6</v>
      </c>
      <c r="CG32" s="559">
        <v>1</v>
      </c>
      <c r="CH32" s="559">
        <v>8</v>
      </c>
      <c r="CI32" s="559">
        <v>33</v>
      </c>
      <c r="CJ32" s="559">
        <v>43</v>
      </c>
      <c r="CK32" s="559">
        <v>9</v>
      </c>
      <c r="CL32" s="559">
        <v>2</v>
      </c>
      <c r="CM32" s="559">
        <v>7</v>
      </c>
      <c r="CN32" s="532">
        <f t="shared" si="18"/>
        <v>128</v>
      </c>
      <c r="CO32" s="559">
        <v>6</v>
      </c>
      <c r="CP32" s="559"/>
      <c r="CQ32" s="559">
        <v>6</v>
      </c>
      <c r="CR32" s="559"/>
      <c r="CS32" s="559"/>
      <c r="CT32" s="559"/>
      <c r="CU32" s="559"/>
      <c r="CV32" s="559">
        <v>3</v>
      </c>
      <c r="CW32" s="559">
        <v>10</v>
      </c>
      <c r="CX32" s="559">
        <v>19</v>
      </c>
      <c r="CY32" s="559">
        <v>8</v>
      </c>
      <c r="CZ32" s="559">
        <v>16</v>
      </c>
      <c r="DA32" s="532">
        <f t="shared" si="19"/>
        <v>68</v>
      </c>
      <c r="DB32" s="559">
        <v>22</v>
      </c>
      <c r="DC32" s="559">
        <v>10</v>
      </c>
      <c r="DD32" s="559">
        <v>333</v>
      </c>
      <c r="DE32" s="559"/>
      <c r="DF32" s="559"/>
      <c r="DG32" s="559"/>
      <c r="DH32" s="559"/>
      <c r="DI32" s="559">
        <v>21</v>
      </c>
      <c r="DJ32" s="559">
        <v>73</v>
      </c>
      <c r="DK32" s="559">
        <v>76</v>
      </c>
      <c r="DL32" s="559">
        <v>66</v>
      </c>
      <c r="DM32" s="559"/>
      <c r="DN32" s="532">
        <f t="shared" si="20"/>
        <v>601</v>
      </c>
      <c r="DO32" s="559"/>
      <c r="DP32" s="559"/>
      <c r="DQ32" s="559"/>
      <c r="DR32" s="559"/>
      <c r="DS32" s="559"/>
      <c r="DT32" s="559"/>
      <c r="DU32" s="559"/>
      <c r="DV32" s="559">
        <v>69</v>
      </c>
      <c r="DW32" s="559">
        <v>59</v>
      </c>
      <c r="DX32" s="559">
        <v>31</v>
      </c>
      <c r="DY32" s="559">
        <v>32</v>
      </c>
      <c r="DZ32" s="559">
        <v>18</v>
      </c>
      <c r="EA32" s="532">
        <f t="shared" si="21"/>
        <v>209</v>
      </c>
      <c r="EB32" s="559">
        <v>13</v>
      </c>
      <c r="EC32" s="559">
        <v>2</v>
      </c>
      <c r="ED32" s="559"/>
      <c r="EE32" s="559"/>
      <c r="EF32" s="559"/>
      <c r="EG32" s="559"/>
      <c r="EH32" s="559"/>
      <c r="EI32" s="559"/>
      <c r="EJ32" s="559">
        <v>60</v>
      </c>
      <c r="EK32" s="559">
        <v>46</v>
      </c>
      <c r="EL32" s="559">
        <v>17</v>
      </c>
      <c r="EM32" s="559"/>
      <c r="EN32" s="532">
        <f t="shared" si="22"/>
        <v>138</v>
      </c>
      <c r="EO32" s="559"/>
      <c r="EP32" s="559"/>
      <c r="EQ32" s="559"/>
      <c r="ER32" s="559"/>
      <c r="ES32" s="559"/>
      <c r="ET32" s="559"/>
      <c r="EU32" s="559"/>
      <c r="EV32" s="559"/>
      <c r="EW32" s="559"/>
      <c r="EX32" s="559"/>
      <c r="EY32" s="559"/>
      <c r="EZ32" s="559"/>
      <c r="FA32" s="532">
        <f t="shared" si="23"/>
        <v>0</v>
      </c>
      <c r="FC32" s="560">
        <f t="shared" si="24"/>
        <v>-100</v>
      </c>
      <c r="FD32" s="561">
        <f t="shared" si="25"/>
        <v>-100</v>
      </c>
      <c r="FE32" s="562">
        <f t="shared" si="26"/>
        <v>138</v>
      </c>
      <c r="FF32" s="665">
        <f t="shared" si="27"/>
        <v>0</v>
      </c>
      <c r="FG32" s="115"/>
      <c r="FH32" s="551">
        <f t="shared" si="28"/>
        <v>2720</v>
      </c>
      <c r="FI32" s="553" t="s">
        <v>132</v>
      </c>
      <c r="FJ32" s="554" t="str">
        <f t="shared" si="29"/>
        <v>OK</v>
      </c>
    </row>
    <row r="33" spans="1:166" ht="15" customHeight="1" x14ac:dyDescent="0.25">
      <c r="A33" s="672" t="s">
        <v>133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>
        <v>162</v>
      </c>
      <c r="N33" s="532">
        <f t="shared" si="12"/>
        <v>162</v>
      </c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>
        <v>182</v>
      </c>
      <c r="AA33" s="532">
        <f t="shared" si="13"/>
        <v>182</v>
      </c>
      <c r="AB33" s="559"/>
      <c r="AC33" s="559"/>
      <c r="AD33" s="559"/>
      <c r="AE33" s="559"/>
      <c r="AF33" s="559"/>
      <c r="AG33" s="559"/>
      <c r="AH33" s="559"/>
      <c r="AI33" s="559"/>
      <c r="AJ33" s="559"/>
      <c r="AK33" s="559"/>
      <c r="AL33" s="559"/>
      <c r="AM33" s="559">
        <v>206</v>
      </c>
      <c r="AN33" s="532">
        <f t="shared" si="14"/>
        <v>206</v>
      </c>
      <c r="AO33" s="559"/>
      <c r="AP33" s="559"/>
      <c r="AQ33" s="559"/>
      <c r="AR33" s="559"/>
      <c r="AS33" s="559"/>
      <c r="AT33" s="559"/>
      <c r="AU33" s="559"/>
      <c r="AV33" s="559"/>
      <c r="AW33" s="559"/>
      <c r="AX33" s="559"/>
      <c r="AY33" s="559"/>
      <c r="AZ33" s="559">
        <v>251</v>
      </c>
      <c r="BA33" s="532">
        <f t="shared" si="15"/>
        <v>251</v>
      </c>
      <c r="BB33" s="559"/>
      <c r="BC33" s="559"/>
      <c r="BD33" s="559"/>
      <c r="BE33" s="559"/>
      <c r="BF33" s="559"/>
      <c r="BG33" s="559"/>
      <c r="BH33" s="559"/>
      <c r="BI33" s="559"/>
      <c r="BJ33" s="559"/>
      <c r="BK33" s="559"/>
      <c r="BL33" s="559"/>
      <c r="BM33" s="559">
        <v>187</v>
      </c>
      <c r="BN33" s="532">
        <f t="shared" si="16"/>
        <v>187</v>
      </c>
      <c r="BO33" s="559"/>
      <c r="BP33" s="559"/>
      <c r="BQ33" s="559"/>
      <c r="BR33" s="559"/>
      <c r="BS33" s="559"/>
      <c r="BT33" s="559"/>
      <c r="BU33" s="559"/>
      <c r="BV33" s="559"/>
      <c r="BW33" s="559"/>
      <c r="BX33" s="559"/>
      <c r="BY33" s="559"/>
      <c r="BZ33" s="559">
        <v>299</v>
      </c>
      <c r="CA33" s="532">
        <f t="shared" si="17"/>
        <v>299</v>
      </c>
      <c r="CB33" s="559"/>
      <c r="CC33" s="559"/>
      <c r="CD33" s="559"/>
      <c r="CE33" s="559"/>
      <c r="CF33" s="559"/>
      <c r="CG33" s="559"/>
      <c r="CH33" s="559"/>
      <c r="CI33" s="559"/>
      <c r="CJ33" s="559"/>
      <c r="CK33" s="559"/>
      <c r="CL33" s="559"/>
      <c r="CM33" s="559">
        <v>341</v>
      </c>
      <c r="CN33" s="532">
        <f t="shared" si="18"/>
        <v>341</v>
      </c>
      <c r="CO33" s="559"/>
      <c r="CP33" s="559"/>
      <c r="CQ33" s="559"/>
      <c r="CR33" s="559"/>
      <c r="CS33" s="559"/>
      <c r="CT33" s="559"/>
      <c r="CU33" s="559"/>
      <c r="CV33" s="559"/>
      <c r="CW33" s="559"/>
      <c r="CX33" s="559"/>
      <c r="CY33" s="559"/>
      <c r="CZ33" s="559">
        <v>363</v>
      </c>
      <c r="DA33" s="532">
        <f t="shared" si="19"/>
        <v>363</v>
      </c>
      <c r="DB33" s="559"/>
      <c r="DC33" s="559"/>
      <c r="DD33" s="559"/>
      <c r="DE33" s="559"/>
      <c r="DF33" s="559"/>
      <c r="DG33" s="559"/>
      <c r="DH33" s="559"/>
      <c r="DI33" s="559"/>
      <c r="DJ33" s="559"/>
      <c r="DK33" s="559"/>
      <c r="DL33" s="559"/>
      <c r="DM33" s="559">
        <v>391</v>
      </c>
      <c r="DN33" s="532">
        <f t="shared" si="20"/>
        <v>391</v>
      </c>
      <c r="DO33" s="559"/>
      <c r="DP33" s="559"/>
      <c r="DQ33" s="559"/>
      <c r="DR33" s="559"/>
      <c r="DS33" s="559"/>
      <c r="DT33" s="559"/>
      <c r="DU33" s="559"/>
      <c r="DV33" s="559"/>
      <c r="DW33" s="559"/>
      <c r="DX33" s="559"/>
      <c r="DY33" s="559"/>
      <c r="DZ33" s="559">
        <v>232</v>
      </c>
      <c r="EA33" s="532">
        <f t="shared" si="21"/>
        <v>232</v>
      </c>
      <c r="EB33" s="559"/>
      <c r="EC33" s="559"/>
      <c r="ED33" s="559"/>
      <c r="EE33" s="559"/>
      <c r="EF33" s="559"/>
      <c r="EG33" s="559"/>
      <c r="EH33" s="559"/>
      <c r="EI33" s="559"/>
      <c r="EJ33" s="559"/>
      <c r="EK33" s="559"/>
      <c r="EL33" s="559"/>
      <c r="EM33" s="559"/>
      <c r="EN33" s="532">
        <f t="shared" si="22"/>
        <v>0</v>
      </c>
      <c r="EO33" s="559"/>
      <c r="EP33" s="559"/>
      <c r="EQ33" s="559"/>
      <c r="ER33" s="559"/>
      <c r="ES33" s="559"/>
      <c r="ET33" s="559"/>
      <c r="EU33" s="559"/>
      <c r="EV33" s="559"/>
      <c r="EW33" s="559"/>
      <c r="EX33" s="559"/>
      <c r="EY33" s="559"/>
      <c r="EZ33" s="559"/>
      <c r="FA33" s="532">
        <f t="shared" si="23"/>
        <v>0</v>
      </c>
      <c r="FC33" s="560" t="str">
        <f t="shared" si="24"/>
        <v/>
      </c>
      <c r="FD33" s="561" t="str">
        <f t="shared" si="25"/>
        <v/>
      </c>
      <c r="FE33" s="562">
        <f t="shared" si="26"/>
        <v>0</v>
      </c>
      <c r="FF33" s="665">
        <f t="shared" si="27"/>
        <v>0</v>
      </c>
      <c r="FG33" s="115"/>
      <c r="FH33" s="551">
        <f t="shared" si="28"/>
        <v>5228</v>
      </c>
      <c r="FI33" s="553" t="s">
        <v>133</v>
      </c>
      <c r="FJ33" s="554" t="str">
        <f t="shared" si="29"/>
        <v>OK</v>
      </c>
    </row>
    <row r="34" spans="1:166" ht="15" customHeight="1" x14ac:dyDescent="0.25">
      <c r="A34" s="672" t="s">
        <v>351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>
        <v>229</v>
      </c>
      <c r="N34" s="532">
        <f t="shared" si="12"/>
        <v>229</v>
      </c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>
        <v>215</v>
      </c>
      <c r="AA34" s="532">
        <f t="shared" si="13"/>
        <v>215</v>
      </c>
      <c r="AB34" s="559"/>
      <c r="AC34" s="559"/>
      <c r="AD34" s="559"/>
      <c r="AE34" s="559"/>
      <c r="AF34" s="559"/>
      <c r="AG34" s="559"/>
      <c r="AH34" s="559"/>
      <c r="AI34" s="559"/>
      <c r="AJ34" s="559"/>
      <c r="AK34" s="559"/>
      <c r="AL34" s="559"/>
      <c r="AM34" s="559">
        <v>239</v>
      </c>
      <c r="AN34" s="532">
        <f t="shared" si="14"/>
        <v>239</v>
      </c>
      <c r="AO34" s="559"/>
      <c r="AP34" s="559"/>
      <c r="AQ34" s="559"/>
      <c r="AR34" s="559"/>
      <c r="AS34" s="559"/>
      <c r="AT34" s="559"/>
      <c r="AU34" s="559"/>
      <c r="AV34" s="559"/>
      <c r="AW34" s="559"/>
      <c r="AX34" s="559"/>
      <c r="AY34" s="559"/>
      <c r="AZ34" s="559">
        <v>269</v>
      </c>
      <c r="BA34" s="532">
        <f t="shared" si="15"/>
        <v>269</v>
      </c>
      <c r="BB34" s="559"/>
      <c r="BC34" s="559"/>
      <c r="BD34" s="559"/>
      <c r="BE34" s="559"/>
      <c r="BF34" s="559"/>
      <c r="BG34" s="559"/>
      <c r="BH34" s="559"/>
      <c r="BI34" s="559"/>
      <c r="BJ34" s="559"/>
      <c r="BK34" s="559"/>
      <c r="BL34" s="559"/>
      <c r="BM34" s="559">
        <v>225</v>
      </c>
      <c r="BN34" s="532">
        <f t="shared" si="16"/>
        <v>225</v>
      </c>
      <c r="BO34" s="559"/>
      <c r="BP34" s="559"/>
      <c r="BQ34" s="559"/>
      <c r="BR34" s="559"/>
      <c r="BS34" s="559"/>
      <c r="BT34" s="559"/>
      <c r="BU34" s="559"/>
      <c r="BV34" s="559"/>
      <c r="BW34" s="559"/>
      <c r="BX34" s="559"/>
      <c r="BY34" s="559"/>
      <c r="BZ34" s="559">
        <v>354</v>
      </c>
      <c r="CA34" s="532">
        <f t="shared" si="17"/>
        <v>354</v>
      </c>
      <c r="CB34" s="559"/>
      <c r="CC34" s="559"/>
      <c r="CD34" s="559"/>
      <c r="CE34" s="559"/>
      <c r="CF34" s="559"/>
      <c r="CG34" s="559"/>
      <c r="CH34" s="559"/>
      <c r="CI34" s="559"/>
      <c r="CJ34" s="559"/>
      <c r="CK34" s="559"/>
      <c r="CL34" s="559"/>
      <c r="CM34" s="559">
        <v>319</v>
      </c>
      <c r="CN34" s="532">
        <f t="shared" si="18"/>
        <v>319</v>
      </c>
      <c r="CO34" s="559"/>
      <c r="CP34" s="559"/>
      <c r="CQ34" s="559"/>
      <c r="CR34" s="559"/>
      <c r="CS34" s="559"/>
      <c r="CT34" s="559"/>
      <c r="CU34" s="559"/>
      <c r="CV34" s="559"/>
      <c r="CW34" s="559"/>
      <c r="CX34" s="559"/>
      <c r="CY34" s="559"/>
      <c r="CZ34" s="559">
        <v>352</v>
      </c>
      <c r="DA34" s="532">
        <f t="shared" si="19"/>
        <v>352</v>
      </c>
      <c r="DB34" s="559"/>
      <c r="DC34" s="559"/>
      <c r="DD34" s="559"/>
      <c r="DE34" s="559"/>
      <c r="DF34" s="559"/>
      <c r="DG34" s="559"/>
      <c r="DH34" s="559"/>
      <c r="DI34" s="559"/>
      <c r="DJ34" s="559"/>
      <c r="DK34" s="559"/>
      <c r="DL34" s="559"/>
      <c r="DM34" s="559">
        <v>333</v>
      </c>
      <c r="DN34" s="532">
        <f t="shared" si="20"/>
        <v>333</v>
      </c>
      <c r="DO34" s="559"/>
      <c r="DP34" s="559"/>
      <c r="DQ34" s="559"/>
      <c r="DR34" s="559"/>
      <c r="DS34" s="559"/>
      <c r="DT34" s="559"/>
      <c r="DU34" s="559"/>
      <c r="DV34" s="559"/>
      <c r="DW34" s="559"/>
      <c r="DX34" s="559"/>
      <c r="DY34" s="559"/>
      <c r="DZ34" s="559">
        <v>149</v>
      </c>
      <c r="EA34" s="532">
        <f t="shared" si="21"/>
        <v>149</v>
      </c>
      <c r="EB34" s="559"/>
      <c r="EC34" s="559"/>
      <c r="ED34" s="559"/>
      <c r="EE34" s="559"/>
      <c r="EF34" s="559"/>
      <c r="EG34" s="559"/>
      <c r="EH34" s="559"/>
      <c r="EI34" s="559"/>
      <c r="EJ34" s="559"/>
      <c r="EK34" s="559"/>
      <c r="EL34" s="559"/>
      <c r="EM34" s="559"/>
      <c r="EN34" s="532">
        <f t="shared" si="22"/>
        <v>0</v>
      </c>
      <c r="EO34" s="559"/>
      <c r="EP34" s="559"/>
      <c r="EQ34" s="559"/>
      <c r="ER34" s="559"/>
      <c r="ES34" s="559"/>
      <c r="ET34" s="559"/>
      <c r="EU34" s="559"/>
      <c r="EV34" s="559"/>
      <c r="EW34" s="559"/>
      <c r="EX34" s="559"/>
      <c r="EY34" s="559"/>
      <c r="EZ34" s="559"/>
      <c r="FA34" s="532">
        <f t="shared" si="23"/>
        <v>0</v>
      </c>
      <c r="FC34" s="560" t="str">
        <f t="shared" si="24"/>
        <v/>
      </c>
      <c r="FD34" s="561" t="str">
        <f t="shared" si="25"/>
        <v/>
      </c>
      <c r="FE34" s="562">
        <f t="shared" si="26"/>
        <v>0</v>
      </c>
      <c r="FF34" s="665">
        <f t="shared" si="27"/>
        <v>0</v>
      </c>
      <c r="FG34" s="115"/>
      <c r="FH34" s="551">
        <f t="shared" si="28"/>
        <v>5368</v>
      </c>
      <c r="FI34" s="553" t="s">
        <v>351</v>
      </c>
      <c r="FJ34" s="554" t="str">
        <f t="shared" si="29"/>
        <v>OK</v>
      </c>
    </row>
    <row r="35" spans="1:166" ht="15" customHeight="1" x14ac:dyDescent="0.25">
      <c r="A35" s="672" t="s">
        <v>134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>
        <v>64</v>
      </c>
      <c r="N35" s="532">
        <f t="shared" si="12"/>
        <v>64</v>
      </c>
      <c r="O35" s="559"/>
      <c r="P35" s="559"/>
      <c r="Q35" s="559"/>
      <c r="R35" s="559"/>
      <c r="S35" s="559"/>
      <c r="T35" s="559"/>
      <c r="U35" s="559"/>
      <c r="V35" s="559"/>
      <c r="W35" s="559"/>
      <c r="X35" s="559"/>
      <c r="Y35" s="559"/>
      <c r="Z35" s="559">
        <v>5</v>
      </c>
      <c r="AA35" s="532">
        <f t="shared" si="13"/>
        <v>5</v>
      </c>
      <c r="AB35" s="559"/>
      <c r="AC35" s="559"/>
      <c r="AD35" s="559"/>
      <c r="AE35" s="559"/>
      <c r="AF35" s="559"/>
      <c r="AG35" s="559"/>
      <c r="AH35" s="559"/>
      <c r="AI35" s="559"/>
      <c r="AJ35" s="559"/>
      <c r="AK35" s="559"/>
      <c r="AL35" s="559"/>
      <c r="AM35" s="559">
        <v>3</v>
      </c>
      <c r="AN35" s="532">
        <f t="shared" si="14"/>
        <v>3</v>
      </c>
      <c r="AO35" s="559"/>
      <c r="AP35" s="559"/>
      <c r="AQ35" s="559"/>
      <c r="AR35" s="559"/>
      <c r="AS35" s="559"/>
      <c r="AT35" s="559"/>
      <c r="AU35" s="559"/>
      <c r="AV35" s="559"/>
      <c r="AW35" s="559"/>
      <c r="AX35" s="559"/>
      <c r="AY35" s="559"/>
      <c r="AZ35" s="559">
        <v>1</v>
      </c>
      <c r="BA35" s="532">
        <f t="shared" si="15"/>
        <v>1</v>
      </c>
      <c r="BB35" s="559"/>
      <c r="BC35" s="559"/>
      <c r="BD35" s="559"/>
      <c r="BE35" s="559"/>
      <c r="BF35" s="559"/>
      <c r="BG35" s="559"/>
      <c r="BH35" s="559"/>
      <c r="BI35" s="559"/>
      <c r="BJ35" s="559"/>
      <c r="BK35" s="559"/>
      <c r="BL35" s="559"/>
      <c r="BM35" s="559"/>
      <c r="BN35" s="532">
        <f t="shared" si="16"/>
        <v>0</v>
      </c>
      <c r="BO35" s="559"/>
      <c r="BP35" s="559"/>
      <c r="BQ35" s="559"/>
      <c r="BR35" s="559"/>
      <c r="BS35" s="559"/>
      <c r="BT35" s="559"/>
      <c r="BU35" s="559"/>
      <c r="BV35" s="559"/>
      <c r="BW35" s="559"/>
      <c r="BX35" s="559"/>
      <c r="BY35" s="559"/>
      <c r="BZ35" s="559">
        <v>16</v>
      </c>
      <c r="CA35" s="532">
        <f t="shared" si="17"/>
        <v>16</v>
      </c>
      <c r="CB35" s="559"/>
      <c r="CC35" s="559"/>
      <c r="CD35" s="559"/>
      <c r="CE35" s="559"/>
      <c r="CF35" s="559"/>
      <c r="CG35" s="559"/>
      <c r="CH35" s="559"/>
      <c r="CI35" s="559"/>
      <c r="CJ35" s="559"/>
      <c r="CK35" s="559"/>
      <c r="CL35" s="559"/>
      <c r="CM35" s="559">
        <v>5</v>
      </c>
      <c r="CN35" s="532">
        <f t="shared" si="18"/>
        <v>5</v>
      </c>
      <c r="CO35" s="559"/>
      <c r="CP35" s="559"/>
      <c r="CQ35" s="559"/>
      <c r="CR35" s="559"/>
      <c r="CS35" s="559"/>
      <c r="CT35" s="559"/>
      <c r="CU35" s="559"/>
      <c r="CV35" s="559"/>
      <c r="CW35" s="559"/>
      <c r="CX35" s="559"/>
      <c r="CY35" s="559"/>
      <c r="CZ35" s="559">
        <v>10</v>
      </c>
      <c r="DA35" s="532">
        <f t="shared" si="19"/>
        <v>10</v>
      </c>
      <c r="DB35" s="559"/>
      <c r="DC35" s="559"/>
      <c r="DD35" s="559"/>
      <c r="DE35" s="559"/>
      <c r="DF35" s="559"/>
      <c r="DG35" s="559"/>
      <c r="DH35" s="559"/>
      <c r="DI35" s="559"/>
      <c r="DJ35" s="559"/>
      <c r="DK35" s="559"/>
      <c r="DL35" s="559"/>
      <c r="DM35" s="559">
        <v>8</v>
      </c>
      <c r="DN35" s="532">
        <f t="shared" si="20"/>
        <v>8</v>
      </c>
      <c r="DO35" s="559"/>
      <c r="DP35" s="559"/>
      <c r="DQ35" s="559"/>
      <c r="DR35" s="559"/>
      <c r="DS35" s="559"/>
      <c r="DT35" s="559"/>
      <c r="DU35" s="559"/>
      <c r="DV35" s="559"/>
      <c r="DW35" s="559"/>
      <c r="DX35" s="559"/>
      <c r="DY35" s="559"/>
      <c r="DZ35" s="559">
        <v>12</v>
      </c>
      <c r="EA35" s="532">
        <f t="shared" si="21"/>
        <v>12</v>
      </c>
      <c r="EB35" s="559"/>
      <c r="EC35" s="559"/>
      <c r="ED35" s="559"/>
      <c r="EE35" s="559"/>
      <c r="EF35" s="559"/>
      <c r="EG35" s="559"/>
      <c r="EH35" s="559"/>
      <c r="EI35" s="559"/>
      <c r="EJ35" s="559"/>
      <c r="EK35" s="559"/>
      <c r="EL35" s="559"/>
      <c r="EM35" s="559"/>
      <c r="EN35" s="532">
        <f t="shared" si="22"/>
        <v>0</v>
      </c>
      <c r="EO35" s="559"/>
      <c r="EP35" s="559"/>
      <c r="EQ35" s="559"/>
      <c r="ER35" s="559"/>
      <c r="ES35" s="559"/>
      <c r="ET35" s="559"/>
      <c r="EU35" s="559"/>
      <c r="EV35" s="559"/>
      <c r="EW35" s="559"/>
      <c r="EX35" s="559"/>
      <c r="EY35" s="559"/>
      <c r="EZ35" s="559"/>
      <c r="FA35" s="532">
        <f t="shared" si="23"/>
        <v>0</v>
      </c>
      <c r="FC35" s="560" t="str">
        <f t="shared" si="24"/>
        <v/>
      </c>
      <c r="FD35" s="561" t="str">
        <f t="shared" si="25"/>
        <v/>
      </c>
      <c r="FE35" s="562">
        <f t="shared" si="26"/>
        <v>0</v>
      </c>
      <c r="FF35" s="665">
        <f t="shared" si="27"/>
        <v>0</v>
      </c>
      <c r="FG35" s="115"/>
      <c r="FH35" s="551">
        <f t="shared" si="28"/>
        <v>248</v>
      </c>
      <c r="FI35" s="553" t="s">
        <v>134</v>
      </c>
      <c r="FJ35" s="554" t="str">
        <f t="shared" si="29"/>
        <v>OK</v>
      </c>
    </row>
    <row r="36" spans="1:166" ht="15" customHeight="1" x14ac:dyDescent="0.25">
      <c r="A36" s="672" t="s">
        <v>136</v>
      </c>
      <c r="B36" s="559">
        <v>2</v>
      </c>
      <c r="C36" s="559">
        <v>2</v>
      </c>
      <c r="D36" s="559"/>
      <c r="E36" s="559"/>
      <c r="F36" s="559"/>
      <c r="G36" s="559"/>
      <c r="H36" s="559"/>
      <c r="I36" s="559">
        <v>2</v>
      </c>
      <c r="J36" s="559">
        <v>2</v>
      </c>
      <c r="K36" s="559">
        <v>4</v>
      </c>
      <c r="L36" s="559">
        <v>10</v>
      </c>
      <c r="M36" s="559">
        <v>11</v>
      </c>
      <c r="N36" s="532">
        <f t="shared" si="12"/>
        <v>33</v>
      </c>
      <c r="O36" s="559">
        <v>2</v>
      </c>
      <c r="P36" s="559">
        <v>4</v>
      </c>
      <c r="Q36" s="559">
        <v>4</v>
      </c>
      <c r="R36" s="559">
        <v>1</v>
      </c>
      <c r="S36" s="559">
        <v>1</v>
      </c>
      <c r="T36" s="559"/>
      <c r="U36" s="559"/>
      <c r="V36" s="559"/>
      <c r="W36" s="559"/>
      <c r="X36" s="559">
        <v>1</v>
      </c>
      <c r="Y36" s="559">
        <v>2</v>
      </c>
      <c r="Z36" s="559">
        <v>1</v>
      </c>
      <c r="AA36" s="532">
        <f t="shared" si="13"/>
        <v>16</v>
      </c>
      <c r="AB36" s="559"/>
      <c r="AC36" s="559"/>
      <c r="AD36" s="559"/>
      <c r="AE36" s="559"/>
      <c r="AF36" s="559"/>
      <c r="AG36" s="559"/>
      <c r="AH36" s="559"/>
      <c r="AI36" s="559"/>
      <c r="AJ36" s="559"/>
      <c r="AK36" s="559"/>
      <c r="AL36" s="559"/>
      <c r="AM36" s="559"/>
      <c r="AN36" s="532">
        <f t="shared" si="14"/>
        <v>0</v>
      </c>
      <c r="AO36" s="559"/>
      <c r="AP36" s="559"/>
      <c r="AQ36" s="559"/>
      <c r="AR36" s="559"/>
      <c r="AS36" s="559"/>
      <c r="AT36" s="559"/>
      <c r="AU36" s="559"/>
      <c r="AV36" s="559">
        <v>4</v>
      </c>
      <c r="AW36" s="559">
        <v>2</v>
      </c>
      <c r="AX36" s="559">
        <v>3</v>
      </c>
      <c r="AY36" s="559">
        <v>1</v>
      </c>
      <c r="AZ36" s="559"/>
      <c r="BA36" s="532">
        <f t="shared" si="15"/>
        <v>10</v>
      </c>
      <c r="BB36" s="559"/>
      <c r="BC36" s="559"/>
      <c r="BD36" s="559"/>
      <c r="BE36" s="559"/>
      <c r="BF36" s="559">
        <v>1</v>
      </c>
      <c r="BG36" s="559">
        <v>1</v>
      </c>
      <c r="BH36" s="559">
        <v>1</v>
      </c>
      <c r="BI36" s="559">
        <v>2</v>
      </c>
      <c r="BJ36" s="559">
        <v>2</v>
      </c>
      <c r="BK36" s="559">
        <v>4</v>
      </c>
      <c r="BL36" s="559">
        <v>3</v>
      </c>
      <c r="BM36" s="559"/>
      <c r="BN36" s="532">
        <f t="shared" si="16"/>
        <v>14</v>
      </c>
      <c r="BO36" s="559"/>
      <c r="BP36" s="559"/>
      <c r="BQ36" s="559"/>
      <c r="BR36" s="559"/>
      <c r="BS36" s="559"/>
      <c r="BT36" s="559"/>
      <c r="BU36" s="559"/>
      <c r="BV36" s="559"/>
      <c r="BW36" s="559">
        <v>3</v>
      </c>
      <c r="BX36" s="559">
        <v>8</v>
      </c>
      <c r="BY36" s="559">
        <v>4</v>
      </c>
      <c r="BZ36" s="559"/>
      <c r="CA36" s="532">
        <f t="shared" si="17"/>
        <v>15</v>
      </c>
      <c r="CB36" s="559"/>
      <c r="CC36" s="559"/>
      <c r="CD36" s="559"/>
      <c r="CE36" s="559"/>
      <c r="CF36" s="559"/>
      <c r="CG36" s="559"/>
      <c r="CH36" s="559"/>
      <c r="CI36" s="559">
        <v>3</v>
      </c>
      <c r="CJ36" s="559">
        <v>5</v>
      </c>
      <c r="CK36" s="559">
        <v>3</v>
      </c>
      <c r="CL36" s="559"/>
      <c r="CM36" s="559">
        <v>2</v>
      </c>
      <c r="CN36" s="532">
        <f t="shared" si="18"/>
        <v>13</v>
      </c>
      <c r="CO36" s="559"/>
      <c r="CP36" s="559"/>
      <c r="CQ36" s="559"/>
      <c r="CR36" s="559">
        <v>5</v>
      </c>
      <c r="CS36" s="559"/>
      <c r="CT36" s="559"/>
      <c r="CU36" s="559"/>
      <c r="CV36" s="559">
        <v>3</v>
      </c>
      <c r="CW36" s="559">
        <v>6</v>
      </c>
      <c r="CX36" s="559">
        <v>3</v>
      </c>
      <c r="CY36" s="559">
        <v>2</v>
      </c>
      <c r="CZ36" s="559"/>
      <c r="DA36" s="532">
        <f t="shared" si="19"/>
        <v>19</v>
      </c>
      <c r="DB36" s="559"/>
      <c r="DC36" s="559"/>
      <c r="DD36" s="559"/>
      <c r="DE36" s="559"/>
      <c r="DF36" s="559"/>
      <c r="DG36" s="559"/>
      <c r="DH36" s="559"/>
      <c r="DI36" s="559"/>
      <c r="DJ36" s="559">
        <v>1.5</v>
      </c>
      <c r="DK36" s="559">
        <v>0.5</v>
      </c>
      <c r="DL36" s="559"/>
      <c r="DM36" s="559">
        <v>4</v>
      </c>
      <c r="DN36" s="532">
        <f t="shared" si="20"/>
        <v>6</v>
      </c>
      <c r="DO36" s="559"/>
      <c r="DP36" s="559"/>
      <c r="DQ36" s="559"/>
      <c r="DR36" s="559"/>
      <c r="DS36" s="559"/>
      <c r="DT36" s="559"/>
      <c r="DU36" s="559"/>
      <c r="DV36" s="559"/>
      <c r="DW36" s="559">
        <v>3.5</v>
      </c>
      <c r="DX36" s="559">
        <v>4</v>
      </c>
      <c r="DY36" s="559">
        <v>4</v>
      </c>
      <c r="DZ36" s="559">
        <v>3</v>
      </c>
      <c r="EA36" s="532">
        <f t="shared" si="21"/>
        <v>14.5</v>
      </c>
      <c r="EB36" s="559">
        <v>3</v>
      </c>
      <c r="EC36" s="559">
        <v>1</v>
      </c>
      <c r="ED36" s="559"/>
      <c r="EE36" s="559"/>
      <c r="EF36" s="559"/>
      <c r="EG36" s="559">
        <v>2</v>
      </c>
      <c r="EH36" s="559">
        <v>4</v>
      </c>
      <c r="EI36" s="559">
        <v>5</v>
      </c>
      <c r="EJ36" s="559">
        <v>18.5</v>
      </c>
      <c r="EK36" s="559">
        <v>10.5</v>
      </c>
      <c r="EL36" s="559">
        <v>1</v>
      </c>
      <c r="EM36" s="559"/>
      <c r="EN36" s="532">
        <f t="shared" si="22"/>
        <v>45</v>
      </c>
      <c r="EO36" s="559"/>
      <c r="EP36" s="559"/>
      <c r="EQ36" s="559"/>
      <c r="ER36" s="559"/>
      <c r="ES36" s="559"/>
      <c r="ET36" s="559"/>
      <c r="EU36" s="559"/>
      <c r="EV36" s="559"/>
      <c r="EW36" s="559"/>
      <c r="EX36" s="559"/>
      <c r="EY36" s="559"/>
      <c r="EZ36" s="559"/>
      <c r="FA36" s="532">
        <f t="shared" si="23"/>
        <v>0</v>
      </c>
      <c r="FC36" s="560">
        <f t="shared" si="24"/>
        <v>-100</v>
      </c>
      <c r="FD36" s="561">
        <f t="shared" si="25"/>
        <v>-100</v>
      </c>
      <c r="FE36" s="562">
        <f t="shared" si="26"/>
        <v>45</v>
      </c>
      <c r="FF36" s="665">
        <f t="shared" si="27"/>
        <v>0</v>
      </c>
      <c r="FG36" s="115"/>
      <c r="FH36" s="551">
        <f t="shared" si="28"/>
        <v>371</v>
      </c>
      <c r="FI36" s="553" t="s">
        <v>136</v>
      </c>
      <c r="FJ36" s="554" t="str">
        <f t="shared" si="29"/>
        <v>OK</v>
      </c>
    </row>
    <row r="37" spans="1:166" ht="15" customHeight="1" x14ac:dyDescent="0.25">
      <c r="A37" s="672" t="s">
        <v>137</v>
      </c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>
        <v>463</v>
      </c>
      <c r="N37" s="532">
        <f t="shared" si="12"/>
        <v>463</v>
      </c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>
        <v>463</v>
      </c>
      <c r="AA37" s="532">
        <f t="shared" si="13"/>
        <v>463</v>
      </c>
      <c r="AB37" s="559"/>
      <c r="AC37" s="559"/>
      <c r="AD37" s="559"/>
      <c r="AE37" s="559"/>
      <c r="AF37" s="559"/>
      <c r="AG37" s="559"/>
      <c r="AH37" s="559"/>
      <c r="AI37" s="559"/>
      <c r="AJ37" s="559"/>
      <c r="AK37" s="559"/>
      <c r="AL37" s="559"/>
      <c r="AM37" s="559">
        <v>480</v>
      </c>
      <c r="AN37" s="532">
        <f t="shared" si="14"/>
        <v>480</v>
      </c>
      <c r="AO37" s="559"/>
      <c r="AP37" s="559"/>
      <c r="AQ37" s="559"/>
      <c r="AR37" s="559"/>
      <c r="AS37" s="559"/>
      <c r="AT37" s="559"/>
      <c r="AU37" s="559"/>
      <c r="AV37" s="559"/>
      <c r="AW37" s="559"/>
      <c r="AX37" s="559"/>
      <c r="AY37" s="559"/>
      <c r="AZ37" s="559">
        <v>492</v>
      </c>
      <c r="BA37" s="532">
        <f t="shared" si="15"/>
        <v>492</v>
      </c>
      <c r="BB37" s="559"/>
      <c r="BC37" s="559"/>
      <c r="BD37" s="559"/>
      <c r="BE37" s="559"/>
      <c r="BF37" s="559"/>
      <c r="BG37" s="559"/>
      <c r="BH37" s="559"/>
      <c r="BI37" s="559"/>
      <c r="BJ37" s="559"/>
      <c r="BK37" s="559"/>
      <c r="BL37" s="559"/>
      <c r="BM37" s="559">
        <v>430</v>
      </c>
      <c r="BN37" s="532">
        <f t="shared" si="16"/>
        <v>430</v>
      </c>
      <c r="BO37" s="559"/>
      <c r="BP37" s="559"/>
      <c r="BQ37" s="559"/>
      <c r="BR37" s="559"/>
      <c r="BS37" s="559"/>
      <c r="BT37" s="559"/>
      <c r="BU37" s="559"/>
      <c r="BV37" s="559"/>
      <c r="BW37" s="559"/>
      <c r="BX37" s="559"/>
      <c r="BY37" s="559"/>
      <c r="BZ37" s="559">
        <v>519</v>
      </c>
      <c r="CA37" s="532">
        <f t="shared" si="17"/>
        <v>519</v>
      </c>
      <c r="CB37" s="559"/>
      <c r="CC37" s="559"/>
      <c r="CD37" s="559"/>
      <c r="CE37" s="559"/>
      <c r="CF37" s="559"/>
      <c r="CG37" s="559"/>
      <c r="CH37" s="559"/>
      <c r="CI37" s="559"/>
      <c r="CJ37" s="559"/>
      <c r="CK37" s="559"/>
      <c r="CL37" s="559"/>
      <c r="CM37" s="559">
        <v>496</v>
      </c>
      <c r="CN37" s="532">
        <f t="shared" si="18"/>
        <v>496</v>
      </c>
      <c r="CO37" s="559"/>
      <c r="CP37" s="559"/>
      <c r="CQ37" s="559"/>
      <c r="CR37" s="559"/>
      <c r="CS37" s="559"/>
      <c r="CT37" s="559"/>
      <c r="CU37" s="559"/>
      <c r="CV37" s="559"/>
      <c r="CW37" s="559"/>
      <c r="CX37" s="559"/>
      <c r="CY37" s="559"/>
      <c r="CZ37" s="559">
        <v>527</v>
      </c>
      <c r="DA37" s="532">
        <f t="shared" si="19"/>
        <v>527</v>
      </c>
      <c r="DB37" s="559"/>
      <c r="DC37" s="559"/>
      <c r="DD37" s="559"/>
      <c r="DE37" s="559"/>
      <c r="DF37" s="559"/>
      <c r="DG37" s="559"/>
      <c r="DH37" s="559"/>
      <c r="DI37" s="559"/>
      <c r="DJ37" s="559"/>
      <c r="DK37" s="559"/>
      <c r="DL37" s="559"/>
      <c r="DM37" s="559">
        <v>490</v>
      </c>
      <c r="DN37" s="532">
        <f t="shared" si="20"/>
        <v>490</v>
      </c>
      <c r="DO37" s="559"/>
      <c r="DP37" s="559"/>
      <c r="DQ37" s="559"/>
      <c r="DR37" s="559"/>
      <c r="DS37" s="559"/>
      <c r="DT37" s="559"/>
      <c r="DU37" s="559"/>
      <c r="DV37" s="559"/>
      <c r="DW37" s="559"/>
      <c r="DX37" s="559"/>
      <c r="DY37" s="559"/>
      <c r="DZ37" s="559">
        <v>219</v>
      </c>
      <c r="EA37" s="532">
        <f t="shared" si="21"/>
        <v>219</v>
      </c>
      <c r="EB37" s="559"/>
      <c r="EC37" s="559"/>
      <c r="ED37" s="559"/>
      <c r="EE37" s="559"/>
      <c r="EF37" s="559"/>
      <c r="EG37" s="559"/>
      <c r="EH37" s="559"/>
      <c r="EI37" s="559"/>
      <c r="EJ37" s="559"/>
      <c r="EK37" s="559"/>
      <c r="EL37" s="559"/>
      <c r="EM37" s="559"/>
      <c r="EN37" s="532">
        <f t="shared" si="22"/>
        <v>0</v>
      </c>
      <c r="EO37" s="559"/>
      <c r="EP37" s="559"/>
      <c r="EQ37" s="559"/>
      <c r="ER37" s="559"/>
      <c r="ES37" s="559"/>
      <c r="ET37" s="559"/>
      <c r="EU37" s="559"/>
      <c r="EV37" s="559"/>
      <c r="EW37" s="559"/>
      <c r="EX37" s="559"/>
      <c r="EY37" s="559"/>
      <c r="EZ37" s="559"/>
      <c r="FA37" s="532">
        <f t="shared" si="23"/>
        <v>0</v>
      </c>
      <c r="FC37" s="560" t="str">
        <f t="shared" si="24"/>
        <v/>
      </c>
      <c r="FD37" s="561" t="str">
        <f t="shared" si="25"/>
        <v/>
      </c>
      <c r="FE37" s="562">
        <f t="shared" si="26"/>
        <v>0</v>
      </c>
      <c r="FF37" s="665">
        <f t="shared" si="27"/>
        <v>0</v>
      </c>
      <c r="FG37" s="115"/>
      <c r="FH37" s="551">
        <f t="shared" si="28"/>
        <v>9158</v>
      </c>
      <c r="FI37" s="553" t="s">
        <v>137</v>
      </c>
      <c r="FJ37" s="554" t="str">
        <f t="shared" si="29"/>
        <v>OK</v>
      </c>
    </row>
    <row r="38" spans="1:166" ht="15" customHeight="1" x14ac:dyDescent="0.25">
      <c r="A38" s="680" t="s">
        <v>108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>
        <v>8</v>
      </c>
      <c r="L38" s="559"/>
      <c r="M38" s="559">
        <v>6</v>
      </c>
      <c r="N38" s="532">
        <f t="shared" si="12"/>
        <v>14</v>
      </c>
      <c r="O38" s="559">
        <v>2</v>
      </c>
      <c r="P38" s="559">
        <v>1</v>
      </c>
      <c r="Q38" s="559">
        <v>1</v>
      </c>
      <c r="R38" s="559"/>
      <c r="S38" s="559"/>
      <c r="T38" s="559"/>
      <c r="U38" s="559"/>
      <c r="V38" s="559"/>
      <c r="W38" s="559"/>
      <c r="X38" s="559"/>
      <c r="Y38" s="559"/>
      <c r="Z38" s="559"/>
      <c r="AA38" s="532">
        <f t="shared" si="13"/>
        <v>4</v>
      </c>
      <c r="AB38" s="559"/>
      <c r="AC38" s="559"/>
      <c r="AD38" s="559"/>
      <c r="AE38" s="559"/>
      <c r="AF38" s="559"/>
      <c r="AG38" s="559"/>
      <c r="AH38" s="559"/>
      <c r="AI38" s="559"/>
      <c r="AJ38" s="559"/>
      <c r="AK38" s="559"/>
      <c r="AL38" s="559"/>
      <c r="AM38" s="559">
        <v>5</v>
      </c>
      <c r="AN38" s="532">
        <f t="shared" si="14"/>
        <v>5</v>
      </c>
      <c r="AO38" s="559"/>
      <c r="AP38" s="559"/>
      <c r="AQ38" s="559"/>
      <c r="AR38" s="559"/>
      <c r="AS38" s="559"/>
      <c r="AT38" s="559"/>
      <c r="AU38" s="559"/>
      <c r="AV38" s="559"/>
      <c r="AW38" s="559"/>
      <c r="AX38" s="559"/>
      <c r="AY38" s="559"/>
      <c r="AZ38" s="559"/>
      <c r="BA38" s="532">
        <f t="shared" si="15"/>
        <v>0</v>
      </c>
      <c r="BB38" s="559"/>
      <c r="BC38" s="559"/>
      <c r="BD38" s="559"/>
      <c r="BE38" s="559"/>
      <c r="BF38" s="559"/>
      <c r="BG38" s="559"/>
      <c r="BH38" s="559"/>
      <c r="BI38" s="559"/>
      <c r="BJ38" s="559"/>
      <c r="BK38" s="559"/>
      <c r="BL38" s="559"/>
      <c r="BM38" s="559"/>
      <c r="BN38" s="532">
        <f t="shared" si="16"/>
        <v>0</v>
      </c>
      <c r="BO38" s="559"/>
      <c r="BP38" s="559"/>
      <c r="BQ38" s="559"/>
      <c r="BR38" s="559"/>
      <c r="BS38" s="559"/>
      <c r="BT38" s="559"/>
      <c r="BU38" s="559"/>
      <c r="BV38" s="559"/>
      <c r="BW38" s="559"/>
      <c r="BX38" s="559"/>
      <c r="BY38" s="559"/>
      <c r="BZ38" s="559"/>
      <c r="CA38" s="532">
        <f t="shared" si="17"/>
        <v>0</v>
      </c>
      <c r="CB38" s="559"/>
      <c r="CC38" s="559"/>
      <c r="CD38" s="559"/>
      <c r="CE38" s="559"/>
      <c r="CF38" s="559"/>
      <c r="CG38" s="559"/>
      <c r="CH38" s="559"/>
      <c r="CI38" s="559"/>
      <c r="CJ38" s="559"/>
      <c r="CK38" s="559"/>
      <c r="CL38" s="559"/>
      <c r="CM38" s="559"/>
      <c r="CN38" s="532">
        <f t="shared" si="18"/>
        <v>0</v>
      </c>
      <c r="CO38" s="559"/>
      <c r="CP38" s="559"/>
      <c r="CQ38" s="559"/>
      <c r="CR38" s="559"/>
      <c r="CS38" s="559"/>
      <c r="CT38" s="559"/>
      <c r="CU38" s="559"/>
      <c r="CV38" s="559"/>
      <c r="CW38" s="559"/>
      <c r="CX38" s="559"/>
      <c r="CY38" s="559"/>
      <c r="CZ38" s="559"/>
      <c r="DA38" s="532">
        <f t="shared" si="19"/>
        <v>0</v>
      </c>
      <c r="DB38" s="559"/>
      <c r="DC38" s="559"/>
      <c r="DD38" s="559"/>
      <c r="DE38" s="559"/>
      <c r="DF38" s="559"/>
      <c r="DG38" s="559"/>
      <c r="DH38" s="559"/>
      <c r="DI38" s="559"/>
      <c r="DJ38" s="559"/>
      <c r="DK38" s="559"/>
      <c r="DL38" s="559"/>
      <c r="DM38" s="559"/>
      <c r="DN38" s="532">
        <f t="shared" si="20"/>
        <v>0</v>
      </c>
      <c r="DO38" s="559"/>
      <c r="DP38" s="559"/>
      <c r="DQ38" s="559"/>
      <c r="DR38" s="559"/>
      <c r="DS38" s="559"/>
      <c r="DT38" s="559"/>
      <c r="DU38" s="559"/>
      <c r="DV38" s="559"/>
      <c r="DW38" s="559"/>
      <c r="DX38" s="559"/>
      <c r="DY38" s="559"/>
      <c r="DZ38" s="559"/>
      <c r="EA38" s="532">
        <f t="shared" si="21"/>
        <v>0</v>
      </c>
      <c r="EB38" s="559"/>
      <c r="EC38" s="559"/>
      <c r="ED38" s="559"/>
      <c r="EE38" s="559"/>
      <c r="EF38" s="559"/>
      <c r="EG38" s="559"/>
      <c r="EH38" s="559"/>
      <c r="EI38" s="559">
        <v>1</v>
      </c>
      <c r="EJ38" s="559">
        <v>48</v>
      </c>
      <c r="EK38" s="559">
        <v>21</v>
      </c>
      <c r="EL38" s="559">
        <v>21</v>
      </c>
      <c r="EM38" s="559"/>
      <c r="EN38" s="532">
        <f t="shared" si="22"/>
        <v>91</v>
      </c>
      <c r="EO38" s="559"/>
      <c r="EP38" s="559"/>
      <c r="EQ38" s="559"/>
      <c r="ER38" s="559"/>
      <c r="ES38" s="559"/>
      <c r="ET38" s="559"/>
      <c r="EU38" s="559"/>
      <c r="EV38" s="559"/>
      <c r="EW38" s="559"/>
      <c r="EX38" s="559"/>
      <c r="EY38" s="559"/>
      <c r="EZ38" s="559"/>
      <c r="FA38" s="532">
        <f t="shared" si="23"/>
        <v>0</v>
      </c>
      <c r="FC38" s="560">
        <f t="shared" si="24"/>
        <v>-100</v>
      </c>
      <c r="FD38" s="561">
        <f t="shared" si="25"/>
        <v>-100</v>
      </c>
      <c r="FE38" s="562">
        <f t="shared" si="26"/>
        <v>91</v>
      </c>
      <c r="FF38" s="665">
        <f t="shared" si="27"/>
        <v>0</v>
      </c>
      <c r="FG38" s="115"/>
      <c r="FH38" s="551">
        <f t="shared" si="28"/>
        <v>228</v>
      </c>
      <c r="FI38" s="553" t="s">
        <v>108</v>
      </c>
      <c r="FJ38" s="554" t="str">
        <f t="shared" si="29"/>
        <v>OK</v>
      </c>
    </row>
    <row r="39" spans="1:166" ht="15" customHeight="1" x14ac:dyDescent="0.25">
      <c r="A39" s="680" t="s">
        <v>640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>
        <v>426</v>
      </c>
      <c r="N39" s="532">
        <f t="shared" si="12"/>
        <v>426</v>
      </c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>
        <v>438</v>
      </c>
      <c r="AA39" s="532">
        <f t="shared" si="13"/>
        <v>438</v>
      </c>
      <c r="AB39" s="559"/>
      <c r="AC39" s="559"/>
      <c r="AD39" s="559"/>
      <c r="AE39" s="559"/>
      <c r="AF39" s="559"/>
      <c r="AG39" s="559"/>
      <c r="AH39" s="559"/>
      <c r="AI39" s="559"/>
      <c r="AJ39" s="559"/>
      <c r="AK39" s="559"/>
      <c r="AL39" s="559"/>
      <c r="AM39" s="559">
        <v>470</v>
      </c>
      <c r="AN39" s="532">
        <f t="shared" si="14"/>
        <v>470</v>
      </c>
      <c r="AO39" s="559"/>
      <c r="AP39" s="559"/>
      <c r="AQ39" s="559"/>
      <c r="AR39" s="559"/>
      <c r="AS39" s="559"/>
      <c r="AT39" s="559"/>
      <c r="AU39" s="559"/>
      <c r="AV39" s="559"/>
      <c r="AW39" s="559"/>
      <c r="AX39" s="559"/>
      <c r="AY39" s="559"/>
      <c r="AZ39" s="559">
        <v>481</v>
      </c>
      <c r="BA39" s="532">
        <f t="shared" si="15"/>
        <v>481</v>
      </c>
      <c r="BB39" s="559"/>
      <c r="BC39" s="559"/>
      <c r="BD39" s="559"/>
      <c r="BE39" s="559"/>
      <c r="BF39" s="559"/>
      <c r="BG39" s="559"/>
      <c r="BH39" s="559"/>
      <c r="BI39" s="559"/>
      <c r="BJ39" s="559"/>
      <c r="BK39" s="559"/>
      <c r="BL39" s="559"/>
      <c r="BM39" s="559">
        <v>441</v>
      </c>
      <c r="BN39" s="532">
        <f t="shared" si="16"/>
        <v>441</v>
      </c>
      <c r="BO39" s="559"/>
      <c r="BP39" s="559"/>
      <c r="BQ39" s="559"/>
      <c r="BR39" s="559"/>
      <c r="BS39" s="559"/>
      <c r="BT39" s="559"/>
      <c r="BU39" s="559"/>
      <c r="BV39" s="559"/>
      <c r="BW39" s="559"/>
      <c r="BX39" s="559"/>
      <c r="BY39" s="559"/>
      <c r="BZ39" s="559">
        <v>479</v>
      </c>
      <c r="CA39" s="532">
        <f t="shared" si="17"/>
        <v>479</v>
      </c>
      <c r="CB39" s="559"/>
      <c r="CC39" s="559"/>
      <c r="CD39" s="559"/>
      <c r="CE39" s="559"/>
      <c r="CF39" s="559"/>
      <c r="CG39" s="559"/>
      <c r="CH39" s="559"/>
      <c r="CI39" s="559"/>
      <c r="CJ39" s="559"/>
      <c r="CK39" s="559"/>
      <c r="CL39" s="559"/>
      <c r="CM39" s="559">
        <v>525</v>
      </c>
      <c r="CN39" s="532">
        <f t="shared" si="18"/>
        <v>525</v>
      </c>
      <c r="CO39" s="559"/>
      <c r="CP39" s="559"/>
      <c r="CQ39" s="559"/>
      <c r="CR39" s="559"/>
      <c r="CS39" s="559"/>
      <c r="CT39" s="559"/>
      <c r="CU39" s="559"/>
      <c r="CV39" s="559"/>
      <c r="CW39" s="559"/>
      <c r="CX39" s="559"/>
      <c r="CY39" s="559"/>
      <c r="CZ39" s="559">
        <v>522</v>
      </c>
      <c r="DA39" s="532">
        <f t="shared" si="19"/>
        <v>522</v>
      </c>
      <c r="DB39" s="559"/>
      <c r="DC39" s="559"/>
      <c r="DD39" s="559"/>
      <c r="DE39" s="559"/>
      <c r="DF39" s="559"/>
      <c r="DG39" s="559"/>
      <c r="DH39" s="559"/>
      <c r="DI39" s="559"/>
      <c r="DJ39" s="559"/>
      <c r="DK39" s="559"/>
      <c r="DL39" s="559"/>
      <c r="DM39" s="559">
        <v>559</v>
      </c>
      <c r="DN39" s="532">
        <f t="shared" si="20"/>
        <v>559</v>
      </c>
      <c r="DO39" s="559"/>
      <c r="DP39" s="559"/>
      <c r="DQ39" s="559"/>
      <c r="DR39" s="559"/>
      <c r="DS39" s="559"/>
      <c r="DT39" s="559"/>
      <c r="DU39" s="559"/>
      <c r="DV39" s="559"/>
      <c r="DW39" s="559"/>
      <c r="DX39" s="559"/>
      <c r="DY39" s="559"/>
      <c r="DZ39" s="559">
        <v>398</v>
      </c>
      <c r="EA39" s="532">
        <f t="shared" si="21"/>
        <v>398</v>
      </c>
      <c r="EB39" s="559"/>
      <c r="EC39" s="559"/>
      <c r="ED39" s="559"/>
      <c r="EE39" s="559"/>
      <c r="EF39" s="559"/>
      <c r="EG39" s="559"/>
      <c r="EH39" s="559"/>
      <c r="EI39" s="559"/>
      <c r="EJ39" s="559"/>
      <c r="EK39" s="559"/>
      <c r="EL39" s="559"/>
      <c r="EM39" s="559"/>
      <c r="EN39" s="532">
        <f t="shared" si="22"/>
        <v>0</v>
      </c>
      <c r="EO39" s="559"/>
      <c r="EP39" s="559"/>
      <c r="EQ39" s="559"/>
      <c r="ER39" s="559"/>
      <c r="ES39" s="559"/>
      <c r="ET39" s="559"/>
      <c r="EU39" s="559"/>
      <c r="EV39" s="559"/>
      <c r="EW39" s="559"/>
      <c r="EX39" s="559"/>
      <c r="EY39" s="559"/>
      <c r="EZ39" s="559"/>
      <c r="FA39" s="532">
        <f t="shared" si="23"/>
        <v>0</v>
      </c>
      <c r="FC39" s="560" t="str">
        <f t="shared" si="24"/>
        <v/>
      </c>
      <c r="FD39" s="561" t="str">
        <f t="shared" si="25"/>
        <v/>
      </c>
      <c r="FE39" s="562">
        <f t="shared" si="26"/>
        <v>0</v>
      </c>
      <c r="FF39" s="665">
        <f t="shared" si="27"/>
        <v>0</v>
      </c>
      <c r="FG39" s="115"/>
      <c r="FH39" s="551">
        <f t="shared" si="28"/>
        <v>9478</v>
      </c>
      <c r="FI39" s="553" t="s">
        <v>640</v>
      </c>
      <c r="FJ39" s="554" t="str">
        <f t="shared" si="29"/>
        <v>OK</v>
      </c>
    </row>
    <row r="40" spans="1:166" ht="15" customHeight="1" x14ac:dyDescent="0.25">
      <c r="A40" s="680" t="s">
        <v>111</v>
      </c>
      <c r="B40" s="559"/>
      <c r="C40" s="559"/>
      <c r="D40" s="559"/>
      <c r="E40" s="559"/>
      <c r="F40" s="559"/>
      <c r="G40" s="559">
        <v>14</v>
      </c>
      <c r="H40" s="559">
        <v>3</v>
      </c>
      <c r="I40" s="559">
        <v>6</v>
      </c>
      <c r="J40" s="559">
        <v>6</v>
      </c>
      <c r="K40" s="559">
        <v>4</v>
      </c>
      <c r="L40" s="559">
        <v>3</v>
      </c>
      <c r="M40" s="559">
        <v>1</v>
      </c>
      <c r="N40" s="532">
        <f t="shared" si="12"/>
        <v>37</v>
      </c>
      <c r="O40" s="559"/>
      <c r="P40" s="559">
        <v>2</v>
      </c>
      <c r="Q40" s="559">
        <v>1</v>
      </c>
      <c r="R40" s="559">
        <v>1</v>
      </c>
      <c r="S40" s="559">
        <v>2</v>
      </c>
      <c r="T40" s="559">
        <v>6</v>
      </c>
      <c r="U40" s="559">
        <v>3</v>
      </c>
      <c r="V40" s="559">
        <v>3</v>
      </c>
      <c r="W40" s="559">
        <v>5</v>
      </c>
      <c r="X40" s="559">
        <v>5</v>
      </c>
      <c r="Y40" s="559">
        <v>1</v>
      </c>
      <c r="Z40" s="559">
        <v>2</v>
      </c>
      <c r="AA40" s="532">
        <f t="shared" si="13"/>
        <v>31</v>
      </c>
      <c r="AB40" s="559"/>
      <c r="AC40" s="559">
        <v>1</v>
      </c>
      <c r="AD40" s="559">
        <v>5</v>
      </c>
      <c r="AE40" s="559"/>
      <c r="AF40" s="559">
        <v>3</v>
      </c>
      <c r="AG40" s="559">
        <v>8</v>
      </c>
      <c r="AH40" s="559">
        <v>3</v>
      </c>
      <c r="AI40" s="559">
        <v>2</v>
      </c>
      <c r="AJ40" s="559">
        <v>3</v>
      </c>
      <c r="AK40" s="559">
        <v>2</v>
      </c>
      <c r="AL40" s="559">
        <v>3</v>
      </c>
      <c r="AM40" s="559">
        <v>11</v>
      </c>
      <c r="AN40" s="532">
        <f t="shared" si="14"/>
        <v>41</v>
      </c>
      <c r="AO40" s="559">
        <v>5</v>
      </c>
      <c r="AP40" s="559">
        <v>3</v>
      </c>
      <c r="AQ40" s="559">
        <v>3</v>
      </c>
      <c r="AR40" s="559">
        <v>1</v>
      </c>
      <c r="AS40" s="559">
        <v>2</v>
      </c>
      <c r="AT40" s="559">
        <v>6</v>
      </c>
      <c r="AU40" s="559">
        <v>2</v>
      </c>
      <c r="AV40" s="559">
        <v>4</v>
      </c>
      <c r="AW40" s="559">
        <v>2</v>
      </c>
      <c r="AX40" s="559">
        <v>5</v>
      </c>
      <c r="AY40" s="559">
        <v>4</v>
      </c>
      <c r="AZ40" s="559">
        <v>3</v>
      </c>
      <c r="BA40" s="532">
        <f t="shared" si="15"/>
        <v>40</v>
      </c>
      <c r="BB40" s="559">
        <v>1</v>
      </c>
      <c r="BC40" s="559"/>
      <c r="BD40" s="559"/>
      <c r="BE40" s="559"/>
      <c r="BF40" s="559">
        <v>8</v>
      </c>
      <c r="BG40" s="559">
        <v>9</v>
      </c>
      <c r="BH40" s="559">
        <v>3</v>
      </c>
      <c r="BI40" s="559">
        <v>1</v>
      </c>
      <c r="BJ40" s="559">
        <v>7</v>
      </c>
      <c r="BK40" s="559">
        <v>6</v>
      </c>
      <c r="BL40" s="559">
        <v>9</v>
      </c>
      <c r="BM40" s="559">
        <v>6</v>
      </c>
      <c r="BN40" s="532">
        <f t="shared" si="16"/>
        <v>50</v>
      </c>
      <c r="BO40" s="559">
        <v>6</v>
      </c>
      <c r="BP40" s="559">
        <v>2</v>
      </c>
      <c r="BQ40" s="559">
        <v>4</v>
      </c>
      <c r="BR40" s="559">
        <v>2</v>
      </c>
      <c r="BS40" s="559">
        <v>1</v>
      </c>
      <c r="BT40" s="559">
        <v>1</v>
      </c>
      <c r="BU40" s="559">
        <v>7</v>
      </c>
      <c r="BV40" s="559">
        <v>4</v>
      </c>
      <c r="BW40" s="559">
        <v>7</v>
      </c>
      <c r="BX40" s="559">
        <v>3</v>
      </c>
      <c r="BY40" s="559">
        <v>5</v>
      </c>
      <c r="BZ40" s="559">
        <v>1</v>
      </c>
      <c r="CA40" s="532">
        <f t="shared" si="17"/>
        <v>43</v>
      </c>
      <c r="CB40" s="559">
        <v>2</v>
      </c>
      <c r="CC40" s="559"/>
      <c r="CD40" s="559"/>
      <c r="CE40" s="559">
        <v>3</v>
      </c>
      <c r="CF40" s="559">
        <v>1</v>
      </c>
      <c r="CG40" s="559">
        <v>7</v>
      </c>
      <c r="CH40" s="559">
        <v>2.5</v>
      </c>
      <c r="CI40" s="559">
        <v>5</v>
      </c>
      <c r="CJ40" s="559">
        <v>8</v>
      </c>
      <c r="CK40" s="559">
        <v>2</v>
      </c>
      <c r="CL40" s="559">
        <v>1</v>
      </c>
      <c r="CM40" s="559">
        <v>7.5</v>
      </c>
      <c r="CN40" s="532">
        <f t="shared" si="18"/>
        <v>39</v>
      </c>
      <c r="CO40" s="559"/>
      <c r="CP40" s="559"/>
      <c r="CQ40" s="559"/>
      <c r="CR40" s="559"/>
      <c r="CS40" s="559">
        <v>2</v>
      </c>
      <c r="CT40" s="559">
        <v>3</v>
      </c>
      <c r="CU40" s="559">
        <v>2</v>
      </c>
      <c r="CV40" s="559">
        <v>2</v>
      </c>
      <c r="CW40" s="559">
        <v>1</v>
      </c>
      <c r="CX40" s="559">
        <v>1</v>
      </c>
      <c r="CY40" s="559">
        <v>5</v>
      </c>
      <c r="CZ40" s="559">
        <v>4</v>
      </c>
      <c r="DA40" s="532">
        <f t="shared" si="19"/>
        <v>20</v>
      </c>
      <c r="DB40" s="559">
        <v>4</v>
      </c>
      <c r="DC40" s="559"/>
      <c r="DD40" s="559"/>
      <c r="DE40" s="559"/>
      <c r="DF40" s="559"/>
      <c r="DG40" s="559">
        <v>6</v>
      </c>
      <c r="DH40" s="559">
        <v>1</v>
      </c>
      <c r="DI40" s="559">
        <v>1</v>
      </c>
      <c r="DJ40" s="559"/>
      <c r="DK40" s="559"/>
      <c r="DL40" s="559"/>
      <c r="DM40" s="559">
        <v>1</v>
      </c>
      <c r="DN40" s="532">
        <f t="shared" si="20"/>
        <v>13</v>
      </c>
      <c r="DO40" s="559"/>
      <c r="DP40" s="559">
        <v>5</v>
      </c>
      <c r="DQ40" s="559"/>
      <c r="DR40" s="559"/>
      <c r="DS40" s="559"/>
      <c r="DT40" s="559"/>
      <c r="DU40" s="559">
        <v>1</v>
      </c>
      <c r="DV40" s="559">
        <v>2</v>
      </c>
      <c r="DW40" s="559"/>
      <c r="DX40" s="559">
        <v>1</v>
      </c>
      <c r="DY40" s="559"/>
      <c r="DZ40" s="559">
        <v>8</v>
      </c>
      <c r="EA40" s="532">
        <f t="shared" si="21"/>
        <v>17</v>
      </c>
      <c r="EB40" s="559">
        <v>1</v>
      </c>
      <c r="EC40" s="559">
        <v>1</v>
      </c>
      <c r="ED40" s="559"/>
      <c r="EE40" s="559"/>
      <c r="EF40" s="559"/>
      <c r="EG40" s="559"/>
      <c r="EH40" s="559"/>
      <c r="EI40" s="559">
        <v>5</v>
      </c>
      <c r="EJ40" s="559"/>
      <c r="EK40" s="559">
        <v>2</v>
      </c>
      <c r="EL40" s="559"/>
      <c r="EM40" s="559"/>
      <c r="EN40" s="532">
        <f t="shared" si="22"/>
        <v>9</v>
      </c>
      <c r="EO40" s="559"/>
      <c r="EP40" s="559"/>
      <c r="EQ40" s="559"/>
      <c r="ER40" s="559"/>
      <c r="ES40" s="559"/>
      <c r="ET40" s="559"/>
      <c r="EU40" s="559"/>
      <c r="EV40" s="559"/>
      <c r="EW40" s="559"/>
      <c r="EX40" s="559"/>
      <c r="EY40" s="559"/>
      <c r="EZ40" s="559"/>
      <c r="FA40" s="532">
        <f t="shared" si="23"/>
        <v>0</v>
      </c>
      <c r="FC40" s="560" t="str">
        <f t="shared" si="24"/>
        <v/>
      </c>
      <c r="FD40" s="561">
        <f t="shared" si="25"/>
        <v>-100</v>
      </c>
      <c r="FE40" s="562">
        <f t="shared" si="26"/>
        <v>9</v>
      </c>
      <c r="FF40" s="665">
        <f t="shared" si="27"/>
        <v>0</v>
      </c>
      <c r="FG40" s="115"/>
      <c r="FH40" s="551">
        <f t="shared" si="28"/>
        <v>680</v>
      </c>
      <c r="FI40" s="553" t="s">
        <v>111</v>
      </c>
      <c r="FJ40" s="554" t="str">
        <f t="shared" si="29"/>
        <v>OK</v>
      </c>
    </row>
    <row r="41" spans="1:166" ht="15" customHeight="1" x14ac:dyDescent="0.25">
      <c r="A41" s="680" t="s">
        <v>114</v>
      </c>
      <c r="B41" s="559"/>
      <c r="C41" s="559"/>
      <c r="D41" s="559"/>
      <c r="E41" s="559"/>
      <c r="F41" s="559"/>
      <c r="G41" s="559"/>
      <c r="H41" s="559"/>
      <c r="I41" s="559"/>
      <c r="J41" s="559"/>
      <c r="K41" s="559"/>
      <c r="L41" s="559"/>
      <c r="M41" s="559"/>
      <c r="N41" s="532">
        <f t="shared" si="12"/>
        <v>0</v>
      </c>
      <c r="O41" s="559"/>
      <c r="P41" s="559"/>
      <c r="Q41" s="559"/>
      <c r="R41" s="559"/>
      <c r="S41" s="559"/>
      <c r="T41" s="559"/>
      <c r="U41" s="559"/>
      <c r="V41" s="559"/>
      <c r="W41" s="559"/>
      <c r="X41" s="559"/>
      <c r="Y41" s="559"/>
      <c r="Z41" s="559"/>
      <c r="AA41" s="532">
        <f t="shared" si="13"/>
        <v>0</v>
      </c>
      <c r="AB41" s="559"/>
      <c r="AC41" s="559"/>
      <c r="AD41" s="559"/>
      <c r="AE41" s="559"/>
      <c r="AF41" s="559"/>
      <c r="AG41" s="559"/>
      <c r="AH41" s="559"/>
      <c r="AI41" s="559"/>
      <c r="AJ41" s="559"/>
      <c r="AK41" s="559"/>
      <c r="AL41" s="559"/>
      <c r="AM41" s="559"/>
      <c r="AN41" s="532">
        <f t="shared" si="14"/>
        <v>0</v>
      </c>
      <c r="AO41" s="559"/>
      <c r="AP41" s="559"/>
      <c r="AQ41" s="559"/>
      <c r="AR41" s="559"/>
      <c r="AS41" s="559"/>
      <c r="AT41" s="559"/>
      <c r="AU41" s="559"/>
      <c r="AV41" s="559"/>
      <c r="AW41" s="559"/>
      <c r="AX41" s="559"/>
      <c r="AY41" s="559"/>
      <c r="AZ41" s="559"/>
      <c r="BA41" s="532">
        <f t="shared" si="15"/>
        <v>0</v>
      </c>
      <c r="BB41" s="559"/>
      <c r="BC41" s="559"/>
      <c r="BD41" s="559"/>
      <c r="BE41" s="559"/>
      <c r="BF41" s="559"/>
      <c r="BG41" s="559"/>
      <c r="BH41" s="559"/>
      <c r="BI41" s="559"/>
      <c r="BJ41" s="559"/>
      <c r="BK41" s="559"/>
      <c r="BL41" s="559"/>
      <c r="BM41" s="559"/>
      <c r="BN41" s="532">
        <f t="shared" si="16"/>
        <v>0</v>
      </c>
      <c r="BO41" s="559"/>
      <c r="BP41" s="559"/>
      <c r="BQ41" s="559"/>
      <c r="BR41" s="559"/>
      <c r="BS41" s="559"/>
      <c r="BT41" s="559"/>
      <c r="BU41" s="559"/>
      <c r="BV41" s="559"/>
      <c r="BW41" s="559"/>
      <c r="BX41" s="559"/>
      <c r="BY41" s="559"/>
      <c r="BZ41" s="559"/>
      <c r="CA41" s="532">
        <f t="shared" si="17"/>
        <v>0</v>
      </c>
      <c r="CB41" s="559"/>
      <c r="CC41" s="559"/>
      <c r="CD41" s="559"/>
      <c r="CE41" s="559"/>
      <c r="CF41" s="559"/>
      <c r="CG41" s="559"/>
      <c r="CH41" s="559"/>
      <c r="CI41" s="559"/>
      <c r="CJ41" s="559"/>
      <c r="CK41" s="559"/>
      <c r="CL41" s="559"/>
      <c r="CM41" s="559"/>
      <c r="CN41" s="532">
        <f t="shared" si="18"/>
        <v>0</v>
      </c>
      <c r="CO41" s="559"/>
      <c r="CP41" s="559"/>
      <c r="CQ41" s="559"/>
      <c r="CR41" s="559"/>
      <c r="CS41" s="559"/>
      <c r="CT41" s="559"/>
      <c r="CU41" s="559"/>
      <c r="CV41" s="559"/>
      <c r="CW41" s="559"/>
      <c r="CX41" s="559"/>
      <c r="CY41" s="559"/>
      <c r="CZ41" s="559"/>
      <c r="DA41" s="532">
        <f t="shared" si="19"/>
        <v>0</v>
      </c>
      <c r="DB41" s="559"/>
      <c r="DC41" s="559"/>
      <c r="DD41" s="559"/>
      <c r="DE41" s="559"/>
      <c r="DF41" s="559"/>
      <c r="DG41" s="559"/>
      <c r="DH41" s="559"/>
      <c r="DI41" s="559"/>
      <c r="DJ41" s="559"/>
      <c r="DK41" s="559"/>
      <c r="DL41" s="559"/>
      <c r="DM41" s="559"/>
      <c r="DN41" s="532">
        <f t="shared" si="20"/>
        <v>0</v>
      </c>
      <c r="DO41" s="559"/>
      <c r="DP41" s="559"/>
      <c r="DQ41" s="559"/>
      <c r="DR41" s="559"/>
      <c r="DS41" s="559"/>
      <c r="DT41" s="559"/>
      <c r="DU41" s="559"/>
      <c r="DV41" s="559"/>
      <c r="DW41" s="559"/>
      <c r="DX41" s="559"/>
      <c r="DY41" s="559"/>
      <c r="DZ41" s="559"/>
      <c r="EA41" s="532">
        <f t="shared" si="21"/>
        <v>0</v>
      </c>
      <c r="EB41" s="559"/>
      <c r="EC41" s="559"/>
      <c r="ED41" s="559"/>
      <c r="EE41" s="559"/>
      <c r="EF41" s="559"/>
      <c r="EG41" s="559"/>
      <c r="EH41" s="559"/>
      <c r="EI41" s="559"/>
      <c r="EJ41" s="559"/>
      <c r="EK41" s="559"/>
      <c r="EL41" s="559"/>
      <c r="EM41" s="559"/>
      <c r="EN41" s="532">
        <f t="shared" si="22"/>
        <v>0</v>
      </c>
      <c r="EO41" s="559"/>
      <c r="EP41" s="559"/>
      <c r="EQ41" s="559"/>
      <c r="ER41" s="559"/>
      <c r="ES41" s="559"/>
      <c r="ET41" s="559"/>
      <c r="EU41" s="559"/>
      <c r="EV41" s="559"/>
      <c r="EW41" s="559"/>
      <c r="EX41" s="559"/>
      <c r="EY41" s="559"/>
      <c r="EZ41" s="559"/>
      <c r="FA41" s="532">
        <f t="shared" si="23"/>
        <v>0</v>
      </c>
      <c r="FC41" s="560" t="str">
        <f t="shared" si="24"/>
        <v/>
      </c>
      <c r="FD41" s="561" t="str">
        <f t="shared" si="25"/>
        <v/>
      </c>
      <c r="FE41" s="562">
        <f t="shared" si="26"/>
        <v>0</v>
      </c>
      <c r="FF41" s="665">
        <f t="shared" si="27"/>
        <v>0</v>
      </c>
      <c r="FG41" s="115"/>
      <c r="FH41" s="551">
        <f t="shared" si="28"/>
        <v>0</v>
      </c>
      <c r="FI41" s="553" t="s">
        <v>114</v>
      </c>
      <c r="FJ41" s="554" t="str">
        <f t="shared" si="29"/>
        <v>OK</v>
      </c>
    </row>
    <row r="42" spans="1:166" ht="15" customHeight="1" x14ac:dyDescent="0.25">
      <c r="A42" s="680" t="s">
        <v>116</v>
      </c>
      <c r="B42" s="559"/>
      <c r="C42" s="559"/>
      <c r="D42" s="559"/>
      <c r="E42" s="559"/>
      <c r="F42" s="559"/>
      <c r="G42" s="559"/>
      <c r="H42" s="559"/>
      <c r="I42" s="559"/>
      <c r="J42" s="559"/>
      <c r="K42" s="559"/>
      <c r="L42" s="559"/>
      <c r="M42" s="559">
        <v>194</v>
      </c>
      <c r="N42" s="532">
        <f t="shared" si="12"/>
        <v>194</v>
      </c>
      <c r="O42" s="559"/>
      <c r="P42" s="559"/>
      <c r="Q42" s="559"/>
      <c r="R42" s="559"/>
      <c r="S42" s="559"/>
      <c r="T42" s="559"/>
      <c r="U42" s="559"/>
      <c r="V42" s="559"/>
      <c r="W42" s="559"/>
      <c r="X42" s="559"/>
      <c r="Y42" s="559"/>
      <c r="Z42" s="559">
        <v>197</v>
      </c>
      <c r="AA42" s="532">
        <f t="shared" si="13"/>
        <v>197</v>
      </c>
      <c r="AB42" s="559"/>
      <c r="AC42" s="559"/>
      <c r="AD42" s="559"/>
      <c r="AE42" s="559"/>
      <c r="AF42" s="559"/>
      <c r="AG42" s="559"/>
      <c r="AH42" s="559"/>
      <c r="AI42" s="559"/>
      <c r="AJ42" s="559"/>
      <c r="AK42" s="559"/>
      <c r="AL42" s="559"/>
      <c r="AM42" s="559">
        <v>221</v>
      </c>
      <c r="AN42" s="532">
        <f t="shared" si="14"/>
        <v>221</v>
      </c>
      <c r="AO42" s="559"/>
      <c r="AP42" s="559"/>
      <c r="AQ42" s="559"/>
      <c r="AR42" s="559"/>
      <c r="AS42" s="559"/>
      <c r="AT42" s="559"/>
      <c r="AU42" s="559"/>
      <c r="AV42" s="559"/>
      <c r="AW42" s="559"/>
      <c r="AX42" s="559"/>
      <c r="AY42" s="559"/>
      <c r="AZ42" s="559">
        <v>224</v>
      </c>
      <c r="BA42" s="532">
        <f t="shared" si="15"/>
        <v>224</v>
      </c>
      <c r="BB42" s="559"/>
      <c r="BC42" s="559"/>
      <c r="BD42" s="559"/>
      <c r="BE42" s="559"/>
      <c r="BF42" s="559"/>
      <c r="BG42" s="559"/>
      <c r="BH42" s="559"/>
      <c r="BI42" s="559"/>
      <c r="BJ42" s="559"/>
      <c r="BK42" s="559"/>
      <c r="BL42" s="559"/>
      <c r="BM42" s="559">
        <v>179</v>
      </c>
      <c r="BN42" s="532">
        <f t="shared" si="16"/>
        <v>179</v>
      </c>
      <c r="BO42" s="559"/>
      <c r="BP42" s="559"/>
      <c r="BQ42" s="559"/>
      <c r="BR42" s="559"/>
      <c r="BS42" s="559"/>
      <c r="BT42" s="559"/>
      <c r="BU42" s="559"/>
      <c r="BV42" s="559"/>
      <c r="BW42" s="559"/>
      <c r="BX42" s="559"/>
      <c r="BY42" s="559"/>
      <c r="BZ42" s="559">
        <v>207</v>
      </c>
      <c r="CA42" s="532">
        <f t="shared" si="17"/>
        <v>207</v>
      </c>
      <c r="CB42" s="559"/>
      <c r="CC42" s="559"/>
      <c r="CD42" s="559"/>
      <c r="CE42" s="559"/>
      <c r="CF42" s="559"/>
      <c r="CG42" s="559"/>
      <c r="CH42" s="559"/>
      <c r="CI42" s="559"/>
      <c r="CJ42" s="559"/>
      <c r="CK42" s="559"/>
      <c r="CL42" s="559"/>
      <c r="CM42" s="559">
        <v>206</v>
      </c>
      <c r="CN42" s="532">
        <f t="shared" si="18"/>
        <v>206</v>
      </c>
      <c r="CO42" s="559"/>
      <c r="CP42" s="559"/>
      <c r="CQ42" s="559"/>
      <c r="CR42" s="559"/>
      <c r="CS42" s="559"/>
      <c r="CT42" s="559"/>
      <c r="CU42" s="559"/>
      <c r="CV42" s="559"/>
      <c r="CW42" s="559"/>
      <c r="CX42" s="559"/>
      <c r="CY42" s="559"/>
      <c r="CZ42" s="559">
        <v>198</v>
      </c>
      <c r="DA42" s="532">
        <f t="shared" si="19"/>
        <v>198</v>
      </c>
      <c r="DB42" s="559"/>
      <c r="DC42" s="559"/>
      <c r="DD42" s="559"/>
      <c r="DE42" s="559"/>
      <c r="DF42" s="559"/>
      <c r="DG42" s="559"/>
      <c r="DH42" s="559"/>
      <c r="DI42" s="559"/>
      <c r="DJ42" s="559"/>
      <c r="DK42" s="559"/>
      <c r="DL42" s="559"/>
      <c r="DM42" s="559">
        <v>210</v>
      </c>
      <c r="DN42" s="532">
        <f t="shared" si="20"/>
        <v>210</v>
      </c>
      <c r="DO42" s="559"/>
      <c r="DP42" s="559"/>
      <c r="DQ42" s="559"/>
      <c r="DR42" s="559"/>
      <c r="DS42" s="559"/>
      <c r="DT42" s="559"/>
      <c r="DU42" s="559"/>
      <c r="DV42" s="559"/>
      <c r="DW42" s="559"/>
      <c r="DX42" s="559"/>
      <c r="DY42" s="559"/>
      <c r="DZ42" s="559">
        <v>102</v>
      </c>
      <c r="EA42" s="532">
        <f t="shared" si="21"/>
        <v>102</v>
      </c>
      <c r="EB42" s="559"/>
      <c r="EC42" s="559"/>
      <c r="ED42" s="559"/>
      <c r="EE42" s="559"/>
      <c r="EF42" s="559"/>
      <c r="EG42" s="559"/>
      <c r="EH42" s="559"/>
      <c r="EI42" s="559"/>
      <c r="EJ42" s="559"/>
      <c r="EK42" s="559"/>
      <c r="EL42" s="559"/>
      <c r="EM42" s="559"/>
      <c r="EN42" s="532">
        <f t="shared" si="22"/>
        <v>0</v>
      </c>
      <c r="EO42" s="559"/>
      <c r="EP42" s="559"/>
      <c r="EQ42" s="559"/>
      <c r="ER42" s="559"/>
      <c r="ES42" s="559"/>
      <c r="ET42" s="559"/>
      <c r="EU42" s="559"/>
      <c r="EV42" s="559"/>
      <c r="EW42" s="559"/>
      <c r="EX42" s="559"/>
      <c r="EY42" s="559"/>
      <c r="EZ42" s="559"/>
      <c r="FA42" s="532">
        <f t="shared" si="23"/>
        <v>0</v>
      </c>
      <c r="FC42" s="560" t="str">
        <f t="shared" si="24"/>
        <v/>
      </c>
      <c r="FD42" s="561" t="str">
        <f t="shared" si="25"/>
        <v/>
      </c>
      <c r="FE42" s="562">
        <f t="shared" si="26"/>
        <v>0</v>
      </c>
      <c r="FF42" s="665">
        <f t="shared" si="27"/>
        <v>0</v>
      </c>
      <c r="FG42" s="115"/>
      <c r="FH42" s="551">
        <f t="shared" si="28"/>
        <v>3876</v>
      </c>
      <c r="FI42" s="553" t="s">
        <v>116</v>
      </c>
      <c r="FJ42" s="554" t="str">
        <f t="shared" si="29"/>
        <v>OK</v>
      </c>
    </row>
    <row r="43" spans="1:166" ht="15" customHeight="1" x14ac:dyDescent="0.25">
      <c r="A43" s="680" t="s">
        <v>117</v>
      </c>
      <c r="B43" s="559">
        <v>4</v>
      </c>
      <c r="C43" s="559">
        <v>3</v>
      </c>
      <c r="D43" s="559">
        <v>4</v>
      </c>
      <c r="E43" s="559">
        <v>4</v>
      </c>
      <c r="F43" s="559">
        <v>5</v>
      </c>
      <c r="G43" s="559">
        <v>6</v>
      </c>
      <c r="H43" s="559">
        <v>12</v>
      </c>
      <c r="I43" s="559">
        <v>17</v>
      </c>
      <c r="J43" s="559">
        <v>20</v>
      </c>
      <c r="K43" s="559">
        <v>16</v>
      </c>
      <c r="L43" s="559">
        <v>5</v>
      </c>
      <c r="M43" s="559">
        <v>9</v>
      </c>
      <c r="N43" s="532">
        <f t="shared" si="12"/>
        <v>105</v>
      </c>
      <c r="O43" s="559">
        <v>5</v>
      </c>
      <c r="P43" s="559">
        <v>4</v>
      </c>
      <c r="Q43" s="559">
        <v>1</v>
      </c>
      <c r="R43" s="559"/>
      <c r="S43" s="559"/>
      <c r="T43" s="559">
        <v>2</v>
      </c>
      <c r="U43" s="559">
        <v>6</v>
      </c>
      <c r="V43" s="559">
        <v>8</v>
      </c>
      <c r="W43" s="559">
        <v>5</v>
      </c>
      <c r="X43" s="559">
        <v>4</v>
      </c>
      <c r="Y43" s="559">
        <v>3</v>
      </c>
      <c r="Z43" s="559"/>
      <c r="AA43" s="532">
        <f t="shared" si="13"/>
        <v>38</v>
      </c>
      <c r="AB43" s="559"/>
      <c r="AC43" s="559"/>
      <c r="AD43" s="559"/>
      <c r="AE43" s="559"/>
      <c r="AF43" s="559"/>
      <c r="AG43" s="559">
        <v>3</v>
      </c>
      <c r="AH43" s="559">
        <v>17</v>
      </c>
      <c r="AI43" s="559">
        <v>24</v>
      </c>
      <c r="AJ43" s="559">
        <v>21</v>
      </c>
      <c r="AK43" s="559">
        <v>7</v>
      </c>
      <c r="AL43" s="559">
        <v>1</v>
      </c>
      <c r="AM43" s="559">
        <v>1</v>
      </c>
      <c r="AN43" s="532">
        <f t="shared" si="14"/>
        <v>74</v>
      </c>
      <c r="AO43" s="559">
        <v>1</v>
      </c>
      <c r="AP43" s="559">
        <v>1</v>
      </c>
      <c r="AQ43" s="559">
        <v>1</v>
      </c>
      <c r="AR43" s="559">
        <v>6</v>
      </c>
      <c r="AS43" s="559">
        <v>8</v>
      </c>
      <c r="AT43" s="559">
        <v>16</v>
      </c>
      <c r="AU43" s="559">
        <v>14</v>
      </c>
      <c r="AV43" s="559">
        <v>12</v>
      </c>
      <c r="AW43" s="559">
        <v>4</v>
      </c>
      <c r="AX43" s="559">
        <v>5</v>
      </c>
      <c r="AY43" s="559">
        <v>1</v>
      </c>
      <c r="AZ43" s="559">
        <v>2</v>
      </c>
      <c r="BA43" s="532">
        <f t="shared" si="15"/>
        <v>71</v>
      </c>
      <c r="BB43" s="559">
        <v>1</v>
      </c>
      <c r="BC43" s="559"/>
      <c r="BD43" s="559">
        <v>1</v>
      </c>
      <c r="BE43" s="559">
        <v>1</v>
      </c>
      <c r="BF43" s="559">
        <v>4</v>
      </c>
      <c r="BG43" s="559">
        <v>6</v>
      </c>
      <c r="BH43" s="559">
        <v>3</v>
      </c>
      <c r="BI43" s="559">
        <v>7</v>
      </c>
      <c r="BJ43" s="559">
        <v>5</v>
      </c>
      <c r="BK43" s="559">
        <v>8</v>
      </c>
      <c r="BL43" s="559">
        <v>5</v>
      </c>
      <c r="BM43" s="559">
        <v>6</v>
      </c>
      <c r="BN43" s="532">
        <f t="shared" si="16"/>
        <v>47</v>
      </c>
      <c r="BO43" s="559">
        <v>5</v>
      </c>
      <c r="BP43" s="559">
        <v>3</v>
      </c>
      <c r="BQ43" s="559"/>
      <c r="BR43" s="559"/>
      <c r="BS43" s="559">
        <v>2</v>
      </c>
      <c r="BT43" s="559">
        <v>9</v>
      </c>
      <c r="BU43" s="559">
        <v>18</v>
      </c>
      <c r="BV43" s="559">
        <v>11</v>
      </c>
      <c r="BW43" s="559">
        <v>7</v>
      </c>
      <c r="BX43" s="559"/>
      <c r="BY43" s="559">
        <v>4</v>
      </c>
      <c r="BZ43" s="559">
        <v>2</v>
      </c>
      <c r="CA43" s="532">
        <f t="shared" si="17"/>
        <v>61</v>
      </c>
      <c r="CB43" s="559">
        <v>4</v>
      </c>
      <c r="CC43" s="559">
        <v>1</v>
      </c>
      <c r="CD43" s="559"/>
      <c r="CE43" s="559"/>
      <c r="CF43" s="559"/>
      <c r="CG43" s="559">
        <v>2</v>
      </c>
      <c r="CH43" s="559">
        <v>21</v>
      </c>
      <c r="CI43" s="559">
        <v>32</v>
      </c>
      <c r="CJ43" s="559">
        <v>24</v>
      </c>
      <c r="CK43" s="559">
        <v>9</v>
      </c>
      <c r="CL43" s="559">
        <v>2</v>
      </c>
      <c r="CM43" s="559">
        <v>7</v>
      </c>
      <c r="CN43" s="532">
        <f t="shared" si="18"/>
        <v>102</v>
      </c>
      <c r="CO43" s="559">
        <v>9</v>
      </c>
      <c r="CP43" s="559"/>
      <c r="CQ43" s="559">
        <v>3</v>
      </c>
      <c r="CR43" s="559"/>
      <c r="CS43" s="559">
        <v>2</v>
      </c>
      <c r="CT43" s="559">
        <v>7</v>
      </c>
      <c r="CU43" s="559">
        <v>8</v>
      </c>
      <c r="CV43" s="559">
        <v>18</v>
      </c>
      <c r="CW43" s="559">
        <v>10</v>
      </c>
      <c r="CX43" s="559">
        <v>6</v>
      </c>
      <c r="CY43" s="559">
        <v>4</v>
      </c>
      <c r="CZ43" s="559">
        <v>18</v>
      </c>
      <c r="DA43" s="532">
        <f t="shared" si="19"/>
        <v>85</v>
      </c>
      <c r="DB43" s="559">
        <v>12</v>
      </c>
      <c r="DC43" s="559">
        <v>2</v>
      </c>
      <c r="DD43" s="559">
        <v>4</v>
      </c>
      <c r="DE43" s="559">
        <v>13</v>
      </c>
      <c r="DF43" s="559">
        <v>13</v>
      </c>
      <c r="DG43" s="559">
        <v>23</v>
      </c>
      <c r="DH43" s="559">
        <v>28</v>
      </c>
      <c r="DI43" s="559">
        <v>33</v>
      </c>
      <c r="DJ43" s="559">
        <v>25</v>
      </c>
      <c r="DK43" s="559">
        <v>25</v>
      </c>
      <c r="DL43" s="559">
        <v>18.5</v>
      </c>
      <c r="DM43" s="559">
        <v>23</v>
      </c>
      <c r="DN43" s="532">
        <f t="shared" si="20"/>
        <v>219.5</v>
      </c>
      <c r="DO43" s="559"/>
      <c r="DP43" s="559"/>
      <c r="DQ43" s="559">
        <v>1</v>
      </c>
      <c r="DR43" s="559">
        <v>2</v>
      </c>
      <c r="DS43" s="559">
        <v>3</v>
      </c>
      <c r="DT43" s="559">
        <v>18</v>
      </c>
      <c r="DU43" s="559">
        <v>90</v>
      </c>
      <c r="DV43" s="559">
        <v>83</v>
      </c>
      <c r="DW43" s="559">
        <v>53</v>
      </c>
      <c r="DX43" s="559">
        <v>41</v>
      </c>
      <c r="DY43" s="559">
        <v>43.5</v>
      </c>
      <c r="DZ43" s="559">
        <v>29.5</v>
      </c>
      <c r="EA43" s="532">
        <f t="shared" si="21"/>
        <v>364</v>
      </c>
      <c r="EB43" s="559">
        <v>21</v>
      </c>
      <c r="EC43" s="559">
        <v>3</v>
      </c>
      <c r="ED43" s="559"/>
      <c r="EE43" s="559">
        <v>2</v>
      </c>
      <c r="EF43" s="559">
        <v>4</v>
      </c>
      <c r="EG43" s="559">
        <v>11</v>
      </c>
      <c r="EH43" s="559">
        <v>83</v>
      </c>
      <c r="EI43" s="559">
        <v>76.5</v>
      </c>
      <c r="EJ43" s="559">
        <v>79</v>
      </c>
      <c r="EK43" s="559">
        <v>35</v>
      </c>
      <c r="EL43" s="559">
        <v>62</v>
      </c>
      <c r="EM43" s="559"/>
      <c r="EN43" s="532">
        <f t="shared" si="22"/>
        <v>376.5</v>
      </c>
      <c r="EO43" s="559"/>
      <c r="EP43" s="559"/>
      <c r="EQ43" s="559"/>
      <c r="ER43" s="559"/>
      <c r="ES43" s="559"/>
      <c r="ET43" s="559"/>
      <c r="EU43" s="559"/>
      <c r="EV43" s="559"/>
      <c r="EW43" s="559"/>
      <c r="EX43" s="559"/>
      <c r="EY43" s="559"/>
      <c r="EZ43" s="559"/>
      <c r="FA43" s="532">
        <f t="shared" si="23"/>
        <v>0</v>
      </c>
      <c r="FC43" s="560">
        <f t="shared" si="24"/>
        <v>-100</v>
      </c>
      <c r="FD43" s="561">
        <f t="shared" si="25"/>
        <v>-100</v>
      </c>
      <c r="FE43" s="562">
        <f t="shared" si="26"/>
        <v>376.5</v>
      </c>
      <c r="FF43" s="665">
        <f t="shared" si="27"/>
        <v>0</v>
      </c>
      <c r="FG43" s="115"/>
      <c r="FH43" s="551">
        <f t="shared" si="28"/>
        <v>3086</v>
      </c>
      <c r="FI43" s="553" t="s">
        <v>117</v>
      </c>
      <c r="FJ43" s="554" t="str">
        <f t="shared" si="29"/>
        <v>OK</v>
      </c>
    </row>
    <row r="44" spans="1:166" ht="15" customHeight="1" x14ac:dyDescent="0.25">
      <c r="A44" s="680" t="s">
        <v>122</v>
      </c>
      <c r="B44" s="559"/>
      <c r="C44" s="559"/>
      <c r="D44" s="559">
        <v>1</v>
      </c>
      <c r="E44" s="559"/>
      <c r="F44" s="559">
        <v>7</v>
      </c>
      <c r="G44" s="559">
        <v>11</v>
      </c>
      <c r="H44" s="559">
        <v>7</v>
      </c>
      <c r="I44" s="559">
        <v>4</v>
      </c>
      <c r="J44" s="559">
        <v>5</v>
      </c>
      <c r="K44" s="559">
        <v>5</v>
      </c>
      <c r="L44" s="559">
        <v>1</v>
      </c>
      <c r="M44" s="559">
        <v>6</v>
      </c>
      <c r="N44" s="532">
        <f t="shared" si="12"/>
        <v>47</v>
      </c>
      <c r="O44" s="559"/>
      <c r="P44" s="559">
        <v>1</v>
      </c>
      <c r="Q44" s="559"/>
      <c r="R44" s="559"/>
      <c r="S44" s="559">
        <v>5</v>
      </c>
      <c r="T44" s="559">
        <v>3</v>
      </c>
      <c r="U44" s="559">
        <v>1</v>
      </c>
      <c r="V44" s="559">
        <v>2</v>
      </c>
      <c r="W44" s="559">
        <v>5</v>
      </c>
      <c r="X44" s="559">
        <v>1</v>
      </c>
      <c r="Y44" s="559">
        <v>3</v>
      </c>
      <c r="Z44" s="559">
        <v>2</v>
      </c>
      <c r="AA44" s="532">
        <f t="shared" si="13"/>
        <v>23</v>
      </c>
      <c r="AB44" s="559">
        <v>1</v>
      </c>
      <c r="AC44" s="559"/>
      <c r="AD44" s="559">
        <v>3</v>
      </c>
      <c r="AE44" s="559"/>
      <c r="AF44" s="559">
        <v>4</v>
      </c>
      <c r="AG44" s="559">
        <v>5</v>
      </c>
      <c r="AH44" s="559">
        <v>2</v>
      </c>
      <c r="AI44" s="559"/>
      <c r="AJ44" s="559">
        <v>3</v>
      </c>
      <c r="AK44" s="559"/>
      <c r="AL44" s="559">
        <v>4</v>
      </c>
      <c r="AM44" s="559">
        <v>5</v>
      </c>
      <c r="AN44" s="532">
        <f t="shared" si="14"/>
        <v>27</v>
      </c>
      <c r="AO44" s="559">
        <v>6</v>
      </c>
      <c r="AP44" s="559"/>
      <c r="AQ44" s="559"/>
      <c r="AR44" s="559"/>
      <c r="AS44" s="559">
        <v>3</v>
      </c>
      <c r="AT44" s="559">
        <v>3</v>
      </c>
      <c r="AU44" s="559">
        <v>3</v>
      </c>
      <c r="AV44" s="559">
        <v>3</v>
      </c>
      <c r="AW44" s="559">
        <v>1</v>
      </c>
      <c r="AX44" s="559">
        <v>2</v>
      </c>
      <c r="AY44" s="559">
        <v>3</v>
      </c>
      <c r="AZ44" s="559">
        <v>2</v>
      </c>
      <c r="BA44" s="532">
        <f t="shared" si="15"/>
        <v>26</v>
      </c>
      <c r="BB44" s="559"/>
      <c r="BC44" s="559"/>
      <c r="BD44" s="559"/>
      <c r="BE44" s="559">
        <v>1</v>
      </c>
      <c r="BF44" s="559">
        <v>5</v>
      </c>
      <c r="BG44" s="559">
        <v>16</v>
      </c>
      <c r="BH44" s="559">
        <v>4</v>
      </c>
      <c r="BI44" s="559">
        <v>4</v>
      </c>
      <c r="BJ44" s="559">
        <v>15</v>
      </c>
      <c r="BK44" s="559">
        <v>6</v>
      </c>
      <c r="BL44" s="559">
        <v>6</v>
      </c>
      <c r="BM44" s="559">
        <v>6</v>
      </c>
      <c r="BN44" s="532">
        <f t="shared" si="16"/>
        <v>63</v>
      </c>
      <c r="BO44" s="559">
        <v>5</v>
      </c>
      <c r="BP44" s="559">
        <v>3</v>
      </c>
      <c r="BQ44" s="559">
        <v>2</v>
      </c>
      <c r="BR44" s="559">
        <v>2</v>
      </c>
      <c r="BS44" s="559">
        <v>1</v>
      </c>
      <c r="BT44" s="559">
        <v>2</v>
      </c>
      <c r="BU44" s="559">
        <v>5</v>
      </c>
      <c r="BV44" s="559">
        <v>3</v>
      </c>
      <c r="BW44" s="559">
        <v>6</v>
      </c>
      <c r="BX44" s="559">
        <v>4</v>
      </c>
      <c r="BY44" s="559">
        <v>5</v>
      </c>
      <c r="BZ44" s="559">
        <v>3</v>
      </c>
      <c r="CA44" s="532">
        <f t="shared" si="17"/>
        <v>41</v>
      </c>
      <c r="CB44" s="559">
        <v>2</v>
      </c>
      <c r="CC44" s="559"/>
      <c r="CD44" s="559"/>
      <c r="CE44" s="559"/>
      <c r="CF44" s="559">
        <v>0.5</v>
      </c>
      <c r="CG44" s="559">
        <v>3</v>
      </c>
      <c r="CH44" s="559">
        <v>1</v>
      </c>
      <c r="CI44" s="559">
        <v>5</v>
      </c>
      <c r="CJ44" s="559">
        <v>4</v>
      </c>
      <c r="CK44" s="559"/>
      <c r="CL44" s="559">
        <v>2</v>
      </c>
      <c r="CM44" s="559">
        <v>1</v>
      </c>
      <c r="CN44" s="532">
        <f t="shared" si="18"/>
        <v>18.5</v>
      </c>
      <c r="CO44" s="559">
        <v>0.5</v>
      </c>
      <c r="CP44" s="559">
        <v>0.5</v>
      </c>
      <c r="CQ44" s="559"/>
      <c r="CR44" s="559"/>
      <c r="CS44" s="559"/>
      <c r="CT44" s="559">
        <v>7</v>
      </c>
      <c r="CU44" s="559">
        <v>3</v>
      </c>
      <c r="CV44" s="559">
        <v>6</v>
      </c>
      <c r="CW44" s="559">
        <v>1</v>
      </c>
      <c r="CX44" s="559">
        <v>5</v>
      </c>
      <c r="CY44" s="559">
        <v>4</v>
      </c>
      <c r="CZ44" s="559">
        <v>2</v>
      </c>
      <c r="DA44" s="532">
        <f t="shared" si="19"/>
        <v>29</v>
      </c>
      <c r="DB44" s="559">
        <v>4</v>
      </c>
      <c r="DC44" s="559"/>
      <c r="DD44" s="559"/>
      <c r="DE44" s="559"/>
      <c r="DF44" s="559"/>
      <c r="DG44" s="559">
        <v>2</v>
      </c>
      <c r="DH44" s="559">
        <v>2</v>
      </c>
      <c r="DI44" s="559"/>
      <c r="DJ44" s="559"/>
      <c r="DK44" s="559"/>
      <c r="DL44" s="559"/>
      <c r="DM44" s="559"/>
      <c r="DN44" s="532">
        <f t="shared" si="20"/>
        <v>8</v>
      </c>
      <c r="DO44" s="559"/>
      <c r="DP44" s="559">
        <v>1</v>
      </c>
      <c r="DQ44" s="559"/>
      <c r="DR44" s="559"/>
      <c r="DS44" s="559">
        <v>1</v>
      </c>
      <c r="DT44" s="559"/>
      <c r="DU44" s="559"/>
      <c r="DV44" s="559">
        <v>3</v>
      </c>
      <c r="DW44" s="559"/>
      <c r="DX44" s="559">
        <v>1</v>
      </c>
      <c r="DY44" s="559"/>
      <c r="DZ44" s="559">
        <v>1</v>
      </c>
      <c r="EA44" s="532">
        <f t="shared" si="21"/>
        <v>7</v>
      </c>
      <c r="EB44" s="559"/>
      <c r="EC44" s="559"/>
      <c r="ED44" s="559"/>
      <c r="EE44" s="559"/>
      <c r="EF44" s="559"/>
      <c r="EG44" s="559"/>
      <c r="EH44" s="559">
        <v>1</v>
      </c>
      <c r="EI44" s="559">
        <v>4</v>
      </c>
      <c r="EJ44" s="559">
        <v>1</v>
      </c>
      <c r="EK44" s="559">
        <v>4</v>
      </c>
      <c r="EL44" s="559">
        <v>2</v>
      </c>
      <c r="EM44" s="559"/>
      <c r="EN44" s="532">
        <f t="shared" si="22"/>
        <v>12</v>
      </c>
      <c r="EO44" s="559"/>
      <c r="EP44" s="559"/>
      <c r="EQ44" s="559"/>
      <c r="ER44" s="559"/>
      <c r="ES44" s="559"/>
      <c r="ET44" s="559"/>
      <c r="EU44" s="559"/>
      <c r="EV44" s="559"/>
      <c r="EW44" s="559"/>
      <c r="EX44" s="559"/>
      <c r="EY44" s="559"/>
      <c r="EZ44" s="559"/>
      <c r="FA44" s="532">
        <f t="shared" si="23"/>
        <v>0</v>
      </c>
      <c r="FC44" s="560">
        <f t="shared" si="24"/>
        <v>-100</v>
      </c>
      <c r="FD44" s="561">
        <f t="shared" si="25"/>
        <v>-100</v>
      </c>
      <c r="FE44" s="562">
        <f t="shared" si="26"/>
        <v>12</v>
      </c>
      <c r="FF44" s="665">
        <f t="shared" si="27"/>
        <v>0</v>
      </c>
      <c r="FG44" s="115"/>
      <c r="FH44" s="551">
        <f t="shared" si="28"/>
        <v>603</v>
      </c>
      <c r="FI44" s="553" t="s">
        <v>122</v>
      </c>
      <c r="FJ44" s="554" t="str">
        <f t="shared" si="29"/>
        <v>OK</v>
      </c>
    </row>
    <row r="45" spans="1:166" ht="15" customHeight="1" x14ac:dyDescent="0.25">
      <c r="A45" s="680" t="s">
        <v>123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32">
        <f t="shared" si="12"/>
        <v>0</v>
      </c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32">
        <f t="shared" si="13"/>
        <v>0</v>
      </c>
      <c r="AB45" s="559"/>
      <c r="AC45" s="559"/>
      <c r="AD45" s="559"/>
      <c r="AE45" s="559"/>
      <c r="AF45" s="559"/>
      <c r="AG45" s="559"/>
      <c r="AH45" s="559"/>
      <c r="AI45" s="559"/>
      <c r="AJ45" s="559"/>
      <c r="AK45" s="559"/>
      <c r="AL45" s="559"/>
      <c r="AM45" s="559"/>
      <c r="AN45" s="532">
        <f t="shared" si="14"/>
        <v>0</v>
      </c>
      <c r="AO45" s="559"/>
      <c r="AP45" s="559"/>
      <c r="AQ45" s="559"/>
      <c r="AR45" s="559"/>
      <c r="AS45" s="559"/>
      <c r="AT45" s="559"/>
      <c r="AU45" s="559"/>
      <c r="AV45" s="559"/>
      <c r="AW45" s="559"/>
      <c r="AX45" s="559"/>
      <c r="AY45" s="559"/>
      <c r="AZ45" s="559"/>
      <c r="BA45" s="532">
        <f t="shared" si="15"/>
        <v>0</v>
      </c>
      <c r="BB45" s="559"/>
      <c r="BC45" s="559"/>
      <c r="BD45" s="559"/>
      <c r="BE45" s="559"/>
      <c r="BF45" s="559"/>
      <c r="BG45" s="559"/>
      <c r="BH45" s="559"/>
      <c r="BI45" s="559"/>
      <c r="BJ45" s="559"/>
      <c r="BK45" s="559"/>
      <c r="BL45" s="559"/>
      <c r="BM45" s="559"/>
      <c r="BN45" s="532">
        <f t="shared" si="16"/>
        <v>0</v>
      </c>
      <c r="BO45" s="559"/>
      <c r="BP45" s="559"/>
      <c r="BQ45" s="559"/>
      <c r="BR45" s="559"/>
      <c r="BS45" s="559"/>
      <c r="BT45" s="559"/>
      <c r="BU45" s="559"/>
      <c r="BV45" s="559"/>
      <c r="BW45" s="559"/>
      <c r="BX45" s="559"/>
      <c r="BY45" s="559"/>
      <c r="BZ45" s="559"/>
      <c r="CA45" s="532">
        <f t="shared" si="17"/>
        <v>0</v>
      </c>
      <c r="CB45" s="559"/>
      <c r="CC45" s="559"/>
      <c r="CD45" s="559"/>
      <c r="CE45" s="559"/>
      <c r="CF45" s="559"/>
      <c r="CG45" s="559"/>
      <c r="CH45" s="559"/>
      <c r="CI45" s="559"/>
      <c r="CJ45" s="559"/>
      <c r="CK45" s="559"/>
      <c r="CL45" s="559"/>
      <c r="CM45" s="559"/>
      <c r="CN45" s="532">
        <f t="shared" si="18"/>
        <v>0</v>
      </c>
      <c r="CO45" s="559"/>
      <c r="CP45" s="559"/>
      <c r="CQ45" s="559"/>
      <c r="CR45" s="559"/>
      <c r="CS45" s="559"/>
      <c r="CT45" s="559"/>
      <c r="CU45" s="559"/>
      <c r="CV45" s="559"/>
      <c r="CW45" s="559"/>
      <c r="CX45" s="559"/>
      <c r="CY45" s="559"/>
      <c r="CZ45" s="559"/>
      <c r="DA45" s="532">
        <f t="shared" si="19"/>
        <v>0</v>
      </c>
      <c r="DB45" s="559"/>
      <c r="DC45" s="559"/>
      <c r="DD45" s="559"/>
      <c r="DE45" s="559"/>
      <c r="DF45" s="559"/>
      <c r="DG45" s="559"/>
      <c r="DH45" s="559"/>
      <c r="DI45" s="559"/>
      <c r="DJ45" s="559"/>
      <c r="DK45" s="559"/>
      <c r="DL45" s="559"/>
      <c r="DM45" s="559"/>
      <c r="DN45" s="532">
        <f t="shared" si="20"/>
        <v>0</v>
      </c>
      <c r="DO45" s="559"/>
      <c r="DP45" s="559"/>
      <c r="DQ45" s="559"/>
      <c r="DR45" s="559"/>
      <c r="DS45" s="559"/>
      <c r="DT45" s="559"/>
      <c r="DU45" s="559"/>
      <c r="DV45" s="559"/>
      <c r="DW45" s="559"/>
      <c r="DX45" s="559"/>
      <c r="DY45" s="559"/>
      <c r="DZ45" s="559"/>
      <c r="EA45" s="532">
        <f t="shared" si="21"/>
        <v>0</v>
      </c>
      <c r="EB45" s="559"/>
      <c r="EC45" s="559"/>
      <c r="ED45" s="559"/>
      <c r="EE45" s="559"/>
      <c r="EF45" s="559"/>
      <c r="EG45" s="559"/>
      <c r="EH45" s="559"/>
      <c r="EI45" s="559"/>
      <c r="EJ45" s="559"/>
      <c r="EK45" s="559"/>
      <c r="EL45" s="559"/>
      <c r="EM45" s="559"/>
      <c r="EN45" s="532">
        <f t="shared" si="22"/>
        <v>0</v>
      </c>
      <c r="EO45" s="559"/>
      <c r="EP45" s="559"/>
      <c r="EQ45" s="559"/>
      <c r="ER45" s="559"/>
      <c r="ES45" s="559"/>
      <c r="ET45" s="559"/>
      <c r="EU45" s="559"/>
      <c r="EV45" s="559"/>
      <c r="EW45" s="559"/>
      <c r="EX45" s="559"/>
      <c r="EY45" s="559"/>
      <c r="EZ45" s="559"/>
      <c r="FA45" s="532">
        <f t="shared" si="23"/>
        <v>0</v>
      </c>
      <c r="FC45" s="560" t="str">
        <f t="shared" si="24"/>
        <v/>
      </c>
      <c r="FD45" s="561" t="str">
        <f t="shared" si="25"/>
        <v/>
      </c>
      <c r="FE45" s="562">
        <f t="shared" si="26"/>
        <v>0</v>
      </c>
      <c r="FF45" s="665">
        <f t="shared" si="27"/>
        <v>0</v>
      </c>
      <c r="FG45" s="115"/>
      <c r="FH45" s="551">
        <f t="shared" si="28"/>
        <v>0</v>
      </c>
      <c r="FI45" s="553" t="s">
        <v>123</v>
      </c>
      <c r="FJ45" s="554" t="str">
        <f t="shared" si="29"/>
        <v>OK</v>
      </c>
    </row>
    <row r="46" spans="1:166" ht="15" customHeight="1" x14ac:dyDescent="0.25">
      <c r="A46" s="680" t="s">
        <v>644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>
        <v>124</v>
      </c>
      <c r="N46" s="532">
        <f t="shared" si="12"/>
        <v>124</v>
      </c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>
        <v>94</v>
      </c>
      <c r="AA46" s="532">
        <f t="shared" si="13"/>
        <v>94</v>
      </c>
      <c r="AB46" s="559"/>
      <c r="AC46" s="559"/>
      <c r="AD46" s="559"/>
      <c r="AE46" s="559"/>
      <c r="AF46" s="559"/>
      <c r="AG46" s="559"/>
      <c r="AH46" s="559"/>
      <c r="AI46" s="559"/>
      <c r="AJ46" s="559"/>
      <c r="AK46" s="559"/>
      <c r="AL46" s="559"/>
      <c r="AM46" s="559">
        <v>103</v>
      </c>
      <c r="AN46" s="532">
        <f t="shared" si="14"/>
        <v>103</v>
      </c>
      <c r="AO46" s="559"/>
      <c r="AP46" s="559"/>
      <c r="AQ46" s="559"/>
      <c r="AR46" s="559"/>
      <c r="AS46" s="559"/>
      <c r="AT46" s="559"/>
      <c r="AU46" s="559"/>
      <c r="AV46" s="559"/>
      <c r="AW46" s="559"/>
      <c r="AX46" s="559"/>
      <c r="AY46" s="559"/>
      <c r="AZ46" s="559">
        <v>55</v>
      </c>
      <c r="BA46" s="532">
        <f t="shared" si="15"/>
        <v>55</v>
      </c>
      <c r="BB46" s="559"/>
      <c r="BC46" s="559"/>
      <c r="BD46" s="559"/>
      <c r="BE46" s="559"/>
      <c r="BF46" s="559"/>
      <c r="BG46" s="559"/>
      <c r="BH46" s="559"/>
      <c r="BI46" s="559"/>
      <c r="BJ46" s="559"/>
      <c r="BK46" s="559"/>
      <c r="BL46" s="559"/>
      <c r="BM46" s="559">
        <v>21</v>
      </c>
      <c r="BN46" s="532">
        <f t="shared" si="16"/>
        <v>21</v>
      </c>
      <c r="BO46" s="559"/>
      <c r="BP46" s="559"/>
      <c r="BQ46" s="559"/>
      <c r="BR46" s="559"/>
      <c r="BS46" s="559"/>
      <c r="BT46" s="559"/>
      <c r="BU46" s="559"/>
      <c r="BV46" s="559"/>
      <c r="BW46" s="559"/>
      <c r="BX46" s="559"/>
      <c r="BY46" s="559"/>
      <c r="BZ46" s="559">
        <v>17</v>
      </c>
      <c r="CA46" s="532">
        <f t="shared" si="17"/>
        <v>17</v>
      </c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>
        <v>4.17</v>
      </c>
      <c r="CN46" s="532">
        <f t="shared" si="18"/>
        <v>4.17</v>
      </c>
      <c r="CO46" s="559"/>
      <c r="CP46" s="559"/>
      <c r="CQ46" s="559"/>
      <c r="CR46" s="559"/>
      <c r="CS46" s="559"/>
      <c r="CT46" s="559"/>
      <c r="CU46" s="559"/>
      <c r="CV46" s="559"/>
      <c r="CW46" s="559"/>
      <c r="CX46" s="559"/>
      <c r="CY46" s="559"/>
      <c r="CZ46" s="559">
        <v>2.38</v>
      </c>
      <c r="DA46" s="532">
        <f t="shared" si="19"/>
        <v>2.38</v>
      </c>
      <c r="DB46" s="559"/>
      <c r="DC46" s="559"/>
      <c r="DD46" s="559"/>
      <c r="DE46" s="559"/>
      <c r="DF46" s="559"/>
      <c r="DG46" s="559"/>
      <c r="DH46" s="559"/>
      <c r="DI46" s="559"/>
      <c r="DJ46" s="559"/>
      <c r="DK46" s="559"/>
      <c r="DL46" s="559"/>
      <c r="DM46" s="559">
        <v>4.66</v>
      </c>
      <c r="DN46" s="532">
        <f t="shared" si="20"/>
        <v>4.66</v>
      </c>
      <c r="DO46" s="559"/>
      <c r="DP46" s="559"/>
      <c r="DQ46" s="559"/>
      <c r="DR46" s="559"/>
      <c r="DS46" s="559"/>
      <c r="DT46" s="559"/>
      <c r="DU46" s="559"/>
      <c r="DV46" s="559"/>
      <c r="DW46" s="559"/>
      <c r="DX46" s="559"/>
      <c r="DY46" s="559"/>
      <c r="DZ46" s="559">
        <v>3.07</v>
      </c>
      <c r="EA46" s="532">
        <f t="shared" si="21"/>
        <v>3.07</v>
      </c>
      <c r="EB46" s="559"/>
      <c r="EC46" s="559"/>
      <c r="ED46" s="559"/>
      <c r="EE46" s="559"/>
      <c r="EF46" s="559"/>
      <c r="EG46" s="559"/>
      <c r="EH46" s="559"/>
      <c r="EI46" s="559"/>
      <c r="EJ46" s="559"/>
      <c r="EK46" s="559"/>
      <c r="EL46" s="559"/>
      <c r="EM46" s="559"/>
      <c r="EN46" s="532">
        <f t="shared" si="22"/>
        <v>0</v>
      </c>
      <c r="EO46" s="559"/>
      <c r="EP46" s="559"/>
      <c r="EQ46" s="559"/>
      <c r="ER46" s="559"/>
      <c r="ES46" s="559"/>
      <c r="ET46" s="559"/>
      <c r="EU46" s="559"/>
      <c r="EV46" s="559"/>
      <c r="EW46" s="559"/>
      <c r="EX46" s="559"/>
      <c r="EY46" s="559"/>
      <c r="EZ46" s="559"/>
      <c r="FA46" s="532">
        <f t="shared" si="23"/>
        <v>0</v>
      </c>
      <c r="FC46" s="560" t="str">
        <f t="shared" si="24"/>
        <v/>
      </c>
      <c r="FD46" s="561" t="str">
        <f t="shared" si="25"/>
        <v/>
      </c>
      <c r="FE46" s="562">
        <f t="shared" si="26"/>
        <v>0</v>
      </c>
      <c r="FF46" s="665">
        <f t="shared" si="27"/>
        <v>0</v>
      </c>
      <c r="FG46" s="115"/>
      <c r="FH46" s="551">
        <f t="shared" si="28"/>
        <v>856.56</v>
      </c>
      <c r="FI46" s="553" t="s">
        <v>644</v>
      </c>
      <c r="FJ46" s="554" t="str">
        <f t="shared" si="29"/>
        <v>OK</v>
      </c>
    </row>
    <row r="47" spans="1:166" ht="15" customHeight="1" x14ac:dyDescent="0.25">
      <c r="A47" s="680" t="s">
        <v>135</v>
      </c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>
        <v>541</v>
      </c>
      <c r="N47" s="532">
        <f t="shared" si="12"/>
        <v>541</v>
      </c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>
        <v>552</v>
      </c>
      <c r="AA47" s="532">
        <f t="shared" si="13"/>
        <v>552</v>
      </c>
      <c r="AB47" s="559"/>
      <c r="AC47" s="559"/>
      <c r="AD47" s="559"/>
      <c r="AE47" s="559"/>
      <c r="AF47" s="559"/>
      <c r="AG47" s="559"/>
      <c r="AH47" s="559"/>
      <c r="AI47" s="559"/>
      <c r="AJ47" s="559"/>
      <c r="AK47" s="559"/>
      <c r="AL47" s="559"/>
      <c r="AM47" s="559">
        <v>619</v>
      </c>
      <c r="AN47" s="532">
        <f t="shared" si="14"/>
        <v>619</v>
      </c>
      <c r="AO47" s="559"/>
      <c r="AP47" s="559"/>
      <c r="AQ47" s="559"/>
      <c r="AR47" s="559"/>
      <c r="AS47" s="559"/>
      <c r="AT47" s="559"/>
      <c r="AU47" s="559"/>
      <c r="AV47" s="559"/>
      <c r="AW47" s="559"/>
      <c r="AX47" s="559"/>
      <c r="AY47" s="559"/>
      <c r="AZ47" s="559">
        <v>625</v>
      </c>
      <c r="BA47" s="532">
        <f t="shared" si="15"/>
        <v>625</v>
      </c>
      <c r="BB47" s="559"/>
      <c r="BC47" s="559"/>
      <c r="BD47" s="559"/>
      <c r="BE47" s="559"/>
      <c r="BF47" s="559"/>
      <c r="BG47" s="559"/>
      <c r="BH47" s="559"/>
      <c r="BI47" s="559"/>
      <c r="BJ47" s="559"/>
      <c r="BK47" s="559"/>
      <c r="BL47" s="559"/>
      <c r="BM47" s="559">
        <v>554</v>
      </c>
      <c r="BN47" s="532">
        <f t="shared" si="16"/>
        <v>554</v>
      </c>
      <c r="BO47" s="559"/>
      <c r="BP47" s="559"/>
      <c r="BQ47" s="559"/>
      <c r="BR47" s="559"/>
      <c r="BS47" s="559"/>
      <c r="BT47" s="559"/>
      <c r="BU47" s="559"/>
      <c r="BV47" s="559"/>
      <c r="BW47" s="559"/>
      <c r="BX47" s="559"/>
      <c r="BY47" s="559"/>
      <c r="BZ47" s="559">
        <v>638</v>
      </c>
      <c r="CA47" s="532">
        <f t="shared" si="17"/>
        <v>638</v>
      </c>
      <c r="CB47" s="559"/>
      <c r="CC47" s="559"/>
      <c r="CD47" s="559"/>
      <c r="CE47" s="559"/>
      <c r="CF47" s="559"/>
      <c r="CG47" s="559"/>
      <c r="CH47" s="559"/>
      <c r="CI47" s="559"/>
      <c r="CJ47" s="559"/>
      <c r="CK47" s="559"/>
      <c r="CL47" s="559"/>
      <c r="CM47" s="559">
        <v>643</v>
      </c>
      <c r="CN47" s="532">
        <f t="shared" si="18"/>
        <v>643</v>
      </c>
      <c r="CO47" s="559"/>
      <c r="CP47" s="559"/>
      <c r="CQ47" s="559"/>
      <c r="CR47" s="559"/>
      <c r="CS47" s="559"/>
      <c r="CT47" s="559"/>
      <c r="CU47" s="559"/>
      <c r="CV47" s="559"/>
      <c r="CW47" s="559"/>
      <c r="CX47" s="559"/>
      <c r="CY47" s="559"/>
      <c r="CZ47" s="559">
        <v>661</v>
      </c>
      <c r="DA47" s="532">
        <f t="shared" si="19"/>
        <v>661</v>
      </c>
      <c r="DB47" s="559"/>
      <c r="DC47" s="559"/>
      <c r="DD47" s="559"/>
      <c r="DE47" s="559"/>
      <c r="DF47" s="559"/>
      <c r="DG47" s="559"/>
      <c r="DH47" s="559"/>
      <c r="DI47" s="559"/>
      <c r="DJ47" s="559"/>
      <c r="DK47" s="559"/>
      <c r="DL47" s="559"/>
      <c r="DM47" s="559">
        <v>524</v>
      </c>
      <c r="DN47" s="532">
        <f t="shared" si="20"/>
        <v>524</v>
      </c>
      <c r="DO47" s="559"/>
      <c r="DP47" s="559"/>
      <c r="DQ47" s="559"/>
      <c r="DR47" s="559"/>
      <c r="DS47" s="559"/>
      <c r="DT47" s="559"/>
      <c r="DU47" s="559"/>
      <c r="DV47" s="559"/>
      <c r="DW47" s="559"/>
      <c r="DX47" s="559"/>
      <c r="DY47" s="559"/>
      <c r="DZ47" s="559">
        <v>227</v>
      </c>
      <c r="EA47" s="532">
        <f t="shared" si="21"/>
        <v>227</v>
      </c>
      <c r="EB47" s="559"/>
      <c r="EC47" s="559"/>
      <c r="ED47" s="559"/>
      <c r="EE47" s="559"/>
      <c r="EF47" s="559"/>
      <c r="EG47" s="559"/>
      <c r="EH47" s="559"/>
      <c r="EI47" s="559"/>
      <c r="EJ47" s="559"/>
      <c r="EK47" s="559"/>
      <c r="EL47" s="559"/>
      <c r="EM47" s="559"/>
      <c r="EN47" s="532">
        <f t="shared" si="22"/>
        <v>0</v>
      </c>
      <c r="EO47" s="559"/>
      <c r="EP47" s="559"/>
      <c r="EQ47" s="559"/>
      <c r="ER47" s="559"/>
      <c r="ES47" s="559"/>
      <c r="ET47" s="559"/>
      <c r="EU47" s="559"/>
      <c r="EV47" s="559"/>
      <c r="EW47" s="559"/>
      <c r="EX47" s="559"/>
      <c r="EY47" s="559"/>
      <c r="EZ47" s="559"/>
      <c r="FA47" s="532">
        <f t="shared" si="23"/>
        <v>0</v>
      </c>
      <c r="FC47" s="560" t="str">
        <f t="shared" si="24"/>
        <v/>
      </c>
      <c r="FD47" s="561" t="str">
        <f t="shared" si="25"/>
        <v/>
      </c>
      <c r="FE47" s="562">
        <f t="shared" si="26"/>
        <v>0</v>
      </c>
      <c r="FF47" s="665">
        <f t="shared" si="27"/>
        <v>0</v>
      </c>
      <c r="FG47" s="115"/>
      <c r="FH47" s="551">
        <f t="shared" si="28"/>
        <v>11168</v>
      </c>
      <c r="FI47" s="553" t="s">
        <v>135</v>
      </c>
      <c r="FJ47" s="554" t="str">
        <f t="shared" si="29"/>
        <v>OK</v>
      </c>
    </row>
    <row r="48" spans="1:166" ht="15" customHeight="1" x14ac:dyDescent="0.25">
      <c r="A48" s="680" t="s">
        <v>642</v>
      </c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32">
        <f t="shared" si="12"/>
        <v>0</v>
      </c>
      <c r="O48" s="559"/>
      <c r="P48" s="559"/>
      <c r="Q48" s="559"/>
      <c r="R48" s="559"/>
      <c r="S48" s="559"/>
      <c r="T48" s="559"/>
      <c r="U48" s="559"/>
      <c r="V48" s="559"/>
      <c r="W48" s="559"/>
      <c r="X48" s="559"/>
      <c r="Y48" s="559"/>
      <c r="Z48" s="559"/>
      <c r="AA48" s="532">
        <f t="shared" si="13"/>
        <v>0</v>
      </c>
      <c r="AB48" s="559"/>
      <c r="AC48" s="559"/>
      <c r="AD48" s="559"/>
      <c r="AE48" s="559"/>
      <c r="AF48" s="559"/>
      <c r="AG48" s="559"/>
      <c r="AH48" s="559"/>
      <c r="AI48" s="559"/>
      <c r="AJ48" s="559"/>
      <c r="AK48" s="559"/>
      <c r="AL48" s="559"/>
      <c r="AM48" s="559"/>
      <c r="AN48" s="532">
        <f t="shared" si="14"/>
        <v>0</v>
      </c>
      <c r="AO48" s="559"/>
      <c r="AP48" s="559"/>
      <c r="AQ48" s="559"/>
      <c r="AR48" s="559"/>
      <c r="AS48" s="559"/>
      <c r="AT48" s="559"/>
      <c r="AU48" s="559"/>
      <c r="AV48" s="559"/>
      <c r="AW48" s="559"/>
      <c r="AX48" s="559"/>
      <c r="AY48" s="559"/>
      <c r="AZ48" s="559"/>
      <c r="BA48" s="532">
        <f t="shared" si="15"/>
        <v>0</v>
      </c>
      <c r="BB48" s="559"/>
      <c r="BC48" s="559"/>
      <c r="BD48" s="559"/>
      <c r="BE48" s="559"/>
      <c r="BF48" s="559"/>
      <c r="BG48" s="559"/>
      <c r="BH48" s="559"/>
      <c r="BI48" s="559"/>
      <c r="BJ48" s="559"/>
      <c r="BK48" s="559"/>
      <c r="BL48" s="559"/>
      <c r="BM48" s="559"/>
      <c r="BN48" s="532">
        <f t="shared" si="16"/>
        <v>0</v>
      </c>
      <c r="BO48" s="559"/>
      <c r="BP48" s="559"/>
      <c r="BQ48" s="559"/>
      <c r="BR48" s="559"/>
      <c r="BS48" s="559"/>
      <c r="BT48" s="559"/>
      <c r="BU48" s="559"/>
      <c r="BV48" s="559"/>
      <c r="BW48" s="559"/>
      <c r="BX48" s="559"/>
      <c r="BY48" s="559"/>
      <c r="BZ48" s="559"/>
      <c r="CA48" s="532">
        <f t="shared" si="17"/>
        <v>0</v>
      </c>
      <c r="CB48" s="559"/>
      <c r="CC48" s="559"/>
      <c r="CD48" s="559"/>
      <c r="CE48" s="559"/>
      <c r="CF48" s="559"/>
      <c r="CG48" s="559"/>
      <c r="CH48" s="559"/>
      <c r="CI48" s="559"/>
      <c r="CJ48" s="559"/>
      <c r="CK48" s="559"/>
      <c r="CL48" s="559"/>
      <c r="CM48" s="559"/>
      <c r="CN48" s="532">
        <f t="shared" si="18"/>
        <v>0</v>
      </c>
      <c r="CO48" s="559"/>
      <c r="CP48" s="559"/>
      <c r="CQ48" s="559"/>
      <c r="CR48" s="559"/>
      <c r="CS48" s="559"/>
      <c r="CT48" s="559"/>
      <c r="CU48" s="559"/>
      <c r="CV48" s="559"/>
      <c r="CW48" s="559"/>
      <c r="CX48" s="559"/>
      <c r="CY48" s="559"/>
      <c r="CZ48" s="559"/>
      <c r="DA48" s="532">
        <f t="shared" si="19"/>
        <v>0</v>
      </c>
      <c r="DB48" s="559"/>
      <c r="DC48" s="559"/>
      <c r="DD48" s="559"/>
      <c r="DE48" s="559"/>
      <c r="DF48" s="559"/>
      <c r="DG48" s="559"/>
      <c r="DH48" s="559"/>
      <c r="DI48" s="559"/>
      <c r="DJ48" s="559"/>
      <c r="DK48" s="559"/>
      <c r="DL48" s="559"/>
      <c r="DM48" s="559"/>
      <c r="DN48" s="532">
        <f t="shared" si="20"/>
        <v>0</v>
      </c>
      <c r="DO48" s="559"/>
      <c r="DP48" s="559"/>
      <c r="DQ48" s="559"/>
      <c r="DR48" s="559"/>
      <c r="DS48" s="559"/>
      <c r="DT48" s="559"/>
      <c r="DU48" s="559"/>
      <c r="DV48" s="559"/>
      <c r="DW48" s="559"/>
      <c r="DX48" s="559"/>
      <c r="DY48" s="559"/>
      <c r="DZ48" s="559"/>
      <c r="EA48" s="532">
        <f t="shared" si="21"/>
        <v>0</v>
      </c>
      <c r="EB48" s="559"/>
      <c r="EC48" s="559"/>
      <c r="ED48" s="559"/>
      <c r="EE48" s="559"/>
      <c r="EF48" s="559"/>
      <c r="EG48" s="559"/>
      <c r="EH48" s="559"/>
      <c r="EI48" s="559"/>
      <c r="EJ48" s="559"/>
      <c r="EK48" s="559"/>
      <c r="EL48" s="559"/>
      <c r="EM48" s="559"/>
      <c r="EN48" s="532">
        <f t="shared" si="22"/>
        <v>0</v>
      </c>
      <c r="EO48" s="559"/>
      <c r="EP48" s="559"/>
      <c r="EQ48" s="559"/>
      <c r="ER48" s="559"/>
      <c r="ES48" s="559"/>
      <c r="ET48" s="559"/>
      <c r="EU48" s="559"/>
      <c r="EV48" s="559"/>
      <c r="EW48" s="559"/>
      <c r="EX48" s="559"/>
      <c r="EY48" s="559"/>
      <c r="EZ48" s="559"/>
      <c r="FA48" s="532">
        <f t="shared" si="23"/>
        <v>0</v>
      </c>
      <c r="FC48" s="560" t="str">
        <f t="shared" si="24"/>
        <v/>
      </c>
      <c r="FD48" s="561" t="str">
        <f t="shared" si="25"/>
        <v/>
      </c>
      <c r="FE48" s="562">
        <f t="shared" si="26"/>
        <v>0</v>
      </c>
      <c r="FF48" s="665">
        <f t="shared" si="27"/>
        <v>0</v>
      </c>
      <c r="FG48" s="115"/>
      <c r="FH48" s="551">
        <f t="shared" si="28"/>
        <v>0</v>
      </c>
      <c r="FI48" s="553" t="s">
        <v>642</v>
      </c>
      <c r="FJ48" s="554" t="str">
        <f t="shared" si="29"/>
        <v>OK</v>
      </c>
    </row>
    <row r="49" spans="1:166" ht="15" customHeight="1" x14ac:dyDescent="0.25">
      <c r="A49" s="680" t="s">
        <v>645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32">
        <f t="shared" si="12"/>
        <v>0</v>
      </c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32">
        <f t="shared" si="13"/>
        <v>0</v>
      </c>
      <c r="AB49" s="559"/>
      <c r="AC49" s="559"/>
      <c r="AD49" s="559"/>
      <c r="AE49" s="559"/>
      <c r="AF49" s="559"/>
      <c r="AG49" s="559"/>
      <c r="AH49" s="559"/>
      <c r="AI49" s="559"/>
      <c r="AJ49" s="559"/>
      <c r="AK49" s="559"/>
      <c r="AL49" s="559"/>
      <c r="AM49" s="559"/>
      <c r="AN49" s="532">
        <f t="shared" si="14"/>
        <v>0</v>
      </c>
      <c r="AO49" s="559"/>
      <c r="AP49" s="559"/>
      <c r="AQ49" s="559"/>
      <c r="AR49" s="559"/>
      <c r="AS49" s="559"/>
      <c r="AT49" s="559"/>
      <c r="AU49" s="559"/>
      <c r="AV49" s="559"/>
      <c r="AW49" s="559"/>
      <c r="AX49" s="559"/>
      <c r="AY49" s="559"/>
      <c r="AZ49" s="559"/>
      <c r="BA49" s="532">
        <f t="shared" si="15"/>
        <v>0</v>
      </c>
      <c r="BB49" s="559"/>
      <c r="BC49" s="559"/>
      <c r="BD49" s="559"/>
      <c r="BE49" s="559"/>
      <c r="BF49" s="559"/>
      <c r="BG49" s="559"/>
      <c r="BH49" s="559"/>
      <c r="BI49" s="559"/>
      <c r="BJ49" s="559"/>
      <c r="BK49" s="559"/>
      <c r="BL49" s="559"/>
      <c r="BM49" s="559"/>
      <c r="BN49" s="532">
        <f t="shared" si="16"/>
        <v>0</v>
      </c>
      <c r="BO49" s="559"/>
      <c r="BP49" s="559"/>
      <c r="BQ49" s="559"/>
      <c r="BR49" s="559"/>
      <c r="BS49" s="559"/>
      <c r="BT49" s="559"/>
      <c r="BU49" s="559"/>
      <c r="BV49" s="559"/>
      <c r="BW49" s="559"/>
      <c r="BX49" s="559"/>
      <c r="BY49" s="559"/>
      <c r="BZ49" s="559"/>
      <c r="CA49" s="532">
        <f t="shared" si="17"/>
        <v>0</v>
      </c>
      <c r="CB49" s="559"/>
      <c r="CC49" s="559"/>
      <c r="CD49" s="559"/>
      <c r="CE49" s="559"/>
      <c r="CF49" s="559"/>
      <c r="CG49" s="559"/>
      <c r="CH49" s="559"/>
      <c r="CI49" s="559"/>
      <c r="CJ49" s="559"/>
      <c r="CK49" s="559"/>
      <c r="CL49" s="559"/>
      <c r="CM49" s="559"/>
      <c r="CN49" s="532">
        <f t="shared" si="18"/>
        <v>0</v>
      </c>
      <c r="CO49" s="559"/>
      <c r="CP49" s="559"/>
      <c r="CQ49" s="559"/>
      <c r="CR49" s="559"/>
      <c r="CS49" s="559"/>
      <c r="CT49" s="559"/>
      <c r="CU49" s="559"/>
      <c r="CV49" s="559"/>
      <c r="CW49" s="559"/>
      <c r="CX49" s="559"/>
      <c r="CY49" s="559"/>
      <c r="CZ49" s="559"/>
      <c r="DA49" s="532">
        <f t="shared" si="19"/>
        <v>0</v>
      </c>
      <c r="DB49" s="559"/>
      <c r="DC49" s="559"/>
      <c r="DD49" s="559"/>
      <c r="DE49" s="559"/>
      <c r="DF49" s="559"/>
      <c r="DG49" s="559"/>
      <c r="DH49" s="559"/>
      <c r="DI49" s="559"/>
      <c r="DJ49" s="559"/>
      <c r="DK49" s="559"/>
      <c r="DL49" s="559"/>
      <c r="DM49" s="559"/>
      <c r="DN49" s="532">
        <f t="shared" si="20"/>
        <v>0</v>
      </c>
      <c r="DO49" s="559"/>
      <c r="DP49" s="559"/>
      <c r="DQ49" s="559"/>
      <c r="DR49" s="559"/>
      <c r="DS49" s="559"/>
      <c r="DT49" s="559"/>
      <c r="DU49" s="559"/>
      <c r="DV49" s="559"/>
      <c r="DW49" s="559"/>
      <c r="DX49" s="559"/>
      <c r="DY49" s="559"/>
      <c r="DZ49" s="559"/>
      <c r="EA49" s="532">
        <f t="shared" si="21"/>
        <v>0</v>
      </c>
      <c r="EB49" s="559"/>
      <c r="EC49" s="559"/>
      <c r="ED49" s="559"/>
      <c r="EE49" s="559"/>
      <c r="EF49" s="559"/>
      <c r="EG49" s="559"/>
      <c r="EH49" s="559"/>
      <c r="EI49" s="559"/>
      <c r="EJ49" s="559"/>
      <c r="EK49" s="559"/>
      <c r="EL49" s="559"/>
      <c r="EM49" s="559"/>
      <c r="EN49" s="532">
        <f t="shared" si="22"/>
        <v>0</v>
      </c>
      <c r="EO49" s="559"/>
      <c r="EP49" s="559"/>
      <c r="EQ49" s="559"/>
      <c r="ER49" s="559"/>
      <c r="ES49" s="559"/>
      <c r="ET49" s="559"/>
      <c r="EU49" s="559"/>
      <c r="EV49" s="559"/>
      <c r="EW49" s="559"/>
      <c r="EX49" s="559"/>
      <c r="EY49" s="559"/>
      <c r="EZ49" s="559"/>
      <c r="FA49" s="532">
        <f t="shared" si="23"/>
        <v>0</v>
      </c>
      <c r="FC49" s="560" t="str">
        <f t="shared" si="24"/>
        <v/>
      </c>
      <c r="FD49" s="561" t="str">
        <f t="shared" si="25"/>
        <v/>
      </c>
      <c r="FE49" s="562">
        <f t="shared" si="26"/>
        <v>0</v>
      </c>
      <c r="FF49" s="665">
        <f t="shared" si="27"/>
        <v>0</v>
      </c>
      <c r="FG49" s="115"/>
      <c r="FH49" s="551">
        <f t="shared" si="28"/>
        <v>0</v>
      </c>
      <c r="FI49" s="553" t="s">
        <v>645</v>
      </c>
      <c r="FJ49" s="554" t="str">
        <f t="shared" si="29"/>
        <v>OK</v>
      </c>
    </row>
    <row r="50" spans="1:166" ht="15" customHeight="1" x14ac:dyDescent="0.25">
      <c r="A50" s="673"/>
      <c r="B50" s="674"/>
      <c r="C50" s="674"/>
      <c r="D50" s="674"/>
      <c r="E50" s="674"/>
      <c r="F50" s="674"/>
      <c r="G50" s="674"/>
      <c r="H50" s="674"/>
      <c r="I50" s="674"/>
      <c r="J50" s="674"/>
      <c r="K50" s="674"/>
      <c r="L50" s="674"/>
      <c r="M50" s="674"/>
      <c r="N50" s="675"/>
      <c r="O50" s="674"/>
      <c r="P50" s="674"/>
      <c r="Q50" s="674"/>
      <c r="R50" s="674"/>
      <c r="S50" s="674"/>
      <c r="T50" s="674"/>
      <c r="U50" s="674"/>
      <c r="V50" s="674"/>
      <c r="W50" s="674"/>
      <c r="X50" s="674"/>
      <c r="Y50" s="674"/>
      <c r="Z50" s="674"/>
      <c r="AA50" s="675"/>
      <c r="AB50" s="674"/>
      <c r="AC50" s="674"/>
      <c r="AD50" s="674"/>
      <c r="AE50" s="674"/>
      <c r="AF50" s="674"/>
      <c r="AG50" s="674"/>
      <c r="AH50" s="674"/>
      <c r="AI50" s="674"/>
      <c r="AJ50" s="674"/>
      <c r="AK50" s="674"/>
      <c r="AL50" s="674"/>
      <c r="AM50" s="674"/>
      <c r="AN50" s="675"/>
      <c r="AO50" s="674"/>
      <c r="AP50" s="674"/>
      <c r="AQ50" s="674"/>
      <c r="AR50" s="674"/>
      <c r="AS50" s="674"/>
      <c r="AT50" s="674"/>
      <c r="AU50" s="674"/>
      <c r="AV50" s="674"/>
      <c r="AW50" s="674"/>
      <c r="AX50" s="674"/>
      <c r="AY50" s="674"/>
      <c r="AZ50" s="674"/>
      <c r="BA50" s="675"/>
      <c r="BB50" s="674"/>
      <c r="BC50" s="674"/>
      <c r="BD50" s="674"/>
      <c r="BE50" s="674"/>
      <c r="BF50" s="674"/>
      <c r="BG50" s="674"/>
      <c r="BH50" s="674"/>
      <c r="BI50" s="674"/>
      <c r="BJ50" s="674"/>
      <c r="BK50" s="674"/>
      <c r="BL50" s="674"/>
      <c r="BM50" s="674"/>
      <c r="BN50" s="675"/>
      <c r="BO50" s="674"/>
      <c r="BP50" s="674"/>
      <c r="BQ50" s="674"/>
      <c r="BR50" s="674"/>
      <c r="BS50" s="674"/>
      <c r="BT50" s="674"/>
      <c r="BU50" s="674"/>
      <c r="BV50" s="674"/>
      <c r="BW50" s="674"/>
      <c r="BX50" s="674"/>
      <c r="BY50" s="674"/>
      <c r="BZ50" s="674"/>
      <c r="CA50" s="675"/>
      <c r="CB50" s="674"/>
      <c r="CC50" s="674"/>
      <c r="CD50" s="674"/>
      <c r="CE50" s="674"/>
      <c r="CF50" s="674"/>
      <c r="CG50" s="674"/>
      <c r="CH50" s="674"/>
      <c r="CI50" s="674"/>
      <c r="CJ50" s="674"/>
      <c r="CK50" s="674"/>
      <c r="CL50" s="674"/>
      <c r="CM50" s="674"/>
      <c r="CN50" s="675"/>
      <c r="CO50" s="674"/>
      <c r="CP50" s="674"/>
      <c r="CQ50" s="674"/>
      <c r="CR50" s="674"/>
      <c r="CS50" s="674"/>
      <c r="CT50" s="674"/>
      <c r="CU50" s="674"/>
      <c r="CV50" s="674"/>
      <c r="CW50" s="674"/>
      <c r="CX50" s="674"/>
      <c r="CY50" s="674"/>
      <c r="CZ50" s="674"/>
      <c r="DA50" s="675"/>
      <c r="DB50" s="674"/>
      <c r="DC50" s="674"/>
      <c r="DD50" s="674"/>
      <c r="DE50" s="674"/>
      <c r="DF50" s="674"/>
      <c r="DG50" s="674"/>
      <c r="DH50" s="674"/>
      <c r="DI50" s="674"/>
      <c r="DJ50" s="674"/>
      <c r="DK50" s="674"/>
      <c r="DL50" s="674"/>
      <c r="DM50" s="674"/>
      <c r="DN50" s="675"/>
      <c r="DO50" s="674"/>
      <c r="DP50" s="674"/>
      <c r="DQ50" s="674"/>
      <c r="DR50" s="674"/>
      <c r="DS50" s="674"/>
      <c r="DT50" s="674"/>
      <c r="DU50" s="674"/>
      <c r="DV50" s="674"/>
      <c r="DW50" s="674"/>
      <c r="DX50" s="674"/>
      <c r="DY50" s="674"/>
      <c r="DZ50" s="674"/>
      <c r="EA50" s="675"/>
      <c r="EB50" s="674"/>
      <c r="EC50" s="674"/>
      <c r="ED50" s="674"/>
      <c r="EE50" s="674"/>
      <c r="EF50" s="674"/>
      <c r="EG50" s="674"/>
      <c r="EH50" s="674"/>
      <c r="EI50" s="674"/>
      <c r="EJ50" s="674"/>
      <c r="EK50" s="674"/>
      <c r="EL50" s="674"/>
      <c r="EM50" s="674"/>
      <c r="EN50" s="675"/>
      <c r="EO50" s="674"/>
      <c r="EP50" s="674"/>
      <c r="EQ50" s="674"/>
      <c r="ER50" s="674"/>
      <c r="ES50" s="674"/>
      <c r="ET50" s="674"/>
      <c r="EU50" s="674"/>
      <c r="EV50" s="674"/>
      <c r="EW50" s="674"/>
      <c r="EX50" s="674"/>
      <c r="EY50" s="674"/>
      <c r="EZ50" s="674"/>
      <c r="FA50" s="675"/>
      <c r="FC50" s="676"/>
      <c r="FD50" s="677"/>
      <c r="FE50" s="618"/>
      <c r="FF50" s="678"/>
      <c r="FG50" s="115"/>
      <c r="FH50" s="618"/>
      <c r="FI50" s="619"/>
      <c r="FJ50" s="620"/>
    </row>
    <row r="51" spans="1:166" ht="15" customHeight="1" x14ac:dyDescent="0.25">
      <c r="A51" s="663" t="s">
        <v>189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115"/>
      <c r="CD51" s="115"/>
      <c r="CE51" s="115"/>
      <c r="CF51" s="115"/>
      <c r="CG51" s="115"/>
      <c r="CH51" s="115"/>
      <c r="CI51" s="115"/>
      <c r="CJ51" s="115"/>
      <c r="CK51" s="115"/>
      <c r="CL51" s="115"/>
      <c r="CM51" s="115"/>
      <c r="CN51" s="115"/>
      <c r="CO51" s="115"/>
      <c r="CP51" s="115"/>
      <c r="CQ51" s="115"/>
      <c r="CR51" s="115"/>
      <c r="CS51" s="115"/>
      <c r="CT51" s="115"/>
      <c r="CU51" s="115"/>
      <c r="CV51" s="115"/>
      <c r="CW51" s="115"/>
      <c r="CX51" s="115"/>
      <c r="CY51" s="115"/>
      <c r="CZ51" s="115"/>
      <c r="DA51" s="115"/>
      <c r="DB51" s="115"/>
      <c r="DC51" s="115"/>
      <c r="DD51" s="115"/>
      <c r="DE51" s="115"/>
      <c r="DF51" s="115"/>
      <c r="DG51" s="115"/>
      <c r="DH51" s="115"/>
      <c r="DI51" s="115"/>
      <c r="DJ51" s="115"/>
      <c r="DK51" s="115"/>
      <c r="DL51" s="115"/>
      <c r="DM51" s="115"/>
      <c r="DN51" s="115"/>
      <c r="DO51" s="115"/>
      <c r="DP51" s="115"/>
      <c r="DQ51" s="115"/>
      <c r="DR51" s="115"/>
      <c r="DS51" s="115"/>
      <c r="DT51" s="115"/>
      <c r="DU51" s="115"/>
      <c r="DV51" s="115"/>
      <c r="DW51" s="115"/>
      <c r="DX51" s="115"/>
      <c r="DY51" s="115"/>
      <c r="DZ51" s="115"/>
      <c r="EA51" s="115"/>
      <c r="EB51" s="115"/>
      <c r="EC51" s="115"/>
      <c r="ED51" s="115"/>
      <c r="EE51" s="115"/>
      <c r="EF51" s="115"/>
      <c r="EG51" s="115"/>
      <c r="EH51" s="115"/>
      <c r="EI51" s="115"/>
      <c r="EJ51" s="115"/>
      <c r="EK51" s="115"/>
      <c r="EL51" s="115"/>
      <c r="EM51" s="115"/>
      <c r="EN51" s="115"/>
      <c r="EO51" s="115"/>
      <c r="EP51" s="115"/>
      <c r="EQ51" s="115"/>
      <c r="ER51" s="115"/>
      <c r="ES51" s="115"/>
      <c r="ET51" s="115"/>
      <c r="EU51" s="115"/>
      <c r="EV51" s="115"/>
      <c r="EW51" s="115"/>
      <c r="EX51" s="115"/>
      <c r="EY51" s="115"/>
      <c r="EZ51" s="115"/>
      <c r="FA51" s="115"/>
      <c r="FC51" s="115"/>
      <c r="FD51" s="115"/>
      <c r="FE51" s="115"/>
      <c r="FF51" s="115"/>
      <c r="FG51" s="115"/>
      <c r="FH51"/>
      <c r="FI51"/>
      <c r="FJ51"/>
    </row>
    <row r="52" spans="1:166" ht="15" customHeight="1" x14ac:dyDescent="0.25">
      <c r="A52" s="663" t="s">
        <v>162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 s="115"/>
      <c r="CH52" s="115"/>
      <c r="CI52" s="115"/>
      <c r="CJ52" s="115"/>
      <c r="CK52" s="115"/>
      <c r="CL52" s="115"/>
      <c r="CM52" s="115"/>
      <c r="CN52" s="115"/>
      <c r="CO52" s="115"/>
      <c r="CP52" s="115"/>
      <c r="CQ52" s="115"/>
      <c r="CR52" s="115"/>
      <c r="CS52" s="115"/>
      <c r="CT52" s="115"/>
      <c r="CU52" s="115"/>
      <c r="CV52" s="115"/>
      <c r="CW52" s="115"/>
      <c r="CX52" s="115"/>
      <c r="CY52" s="115"/>
      <c r="CZ52" s="115"/>
      <c r="DA52" s="115"/>
      <c r="DB52" s="115"/>
      <c r="DC52" s="115"/>
      <c r="DD52" s="115"/>
      <c r="DE52" s="115"/>
      <c r="DF52" s="115"/>
      <c r="DG52" s="115"/>
      <c r="DH52" s="115"/>
      <c r="DI52" s="115"/>
      <c r="DJ52" s="115"/>
      <c r="DK52" s="115"/>
      <c r="DL52" s="115"/>
      <c r="DM52" s="115"/>
      <c r="DN52" s="115"/>
      <c r="DO52" s="115"/>
      <c r="DP52" s="115"/>
      <c r="DQ52" s="115"/>
      <c r="DR52" s="115"/>
      <c r="DS52" s="115"/>
      <c r="DT52" s="115"/>
      <c r="DU52" s="115"/>
      <c r="DV52" s="115"/>
      <c r="DW52" s="115"/>
      <c r="DX52" s="115"/>
      <c r="DY52" s="115"/>
      <c r="DZ52" s="115"/>
      <c r="EA52" s="115"/>
      <c r="EB52" s="115"/>
      <c r="EC52" s="115"/>
      <c r="ED52" s="115"/>
      <c r="EE52" s="115"/>
      <c r="EF52" s="115"/>
      <c r="EG52" s="115"/>
      <c r="EH52" s="115"/>
      <c r="EI52" s="115"/>
      <c r="EJ52" s="115"/>
      <c r="EK52" s="115"/>
      <c r="EL52" s="115"/>
      <c r="EM52" s="115"/>
      <c r="EN52" s="115"/>
      <c r="EO52" s="115"/>
      <c r="EP52" s="115"/>
      <c r="EQ52" s="115"/>
      <c r="ER52" s="115"/>
      <c r="ES52" s="115"/>
      <c r="ET52" s="115"/>
      <c r="EU52" s="115"/>
      <c r="EV52" s="115"/>
      <c r="EW52" s="115"/>
      <c r="EX52" s="115"/>
      <c r="EY52" s="115"/>
      <c r="EZ52" s="115"/>
      <c r="FA52" s="115"/>
      <c r="FC52" s="115"/>
      <c r="FD52" s="115"/>
      <c r="FE52" s="115"/>
      <c r="FF52" s="115"/>
      <c r="FG52" s="115"/>
      <c r="FH52"/>
      <c r="FI52"/>
      <c r="FJ52"/>
    </row>
    <row r="53" spans="1:166" ht="15" customHeight="1" x14ac:dyDescent="0.25">
      <c r="A53" s="679"/>
      <c r="FH53"/>
      <c r="FI53"/>
      <c r="FJ53"/>
    </row>
    <row r="54" spans="1:166" ht="15" customHeigh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C54"/>
      <c r="FD54"/>
      <c r="FE54"/>
      <c r="FF54"/>
      <c r="FG54"/>
      <c r="FH54"/>
      <c r="FI54"/>
      <c r="FJ54"/>
    </row>
    <row r="55" spans="1:166" ht="15" customHeigh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C55"/>
      <c r="FD55"/>
      <c r="FE55"/>
      <c r="FF55"/>
      <c r="FG55"/>
      <c r="FH55"/>
      <c r="FI55"/>
      <c r="FJ55"/>
    </row>
    <row r="56" spans="1:166" ht="15" customHeigh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C56"/>
      <c r="FD56"/>
      <c r="FE56"/>
      <c r="FF56"/>
      <c r="FG56"/>
      <c r="FH56"/>
      <c r="FI56"/>
      <c r="FJ56"/>
    </row>
    <row r="57" spans="1:166" ht="15" customHeight="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C57"/>
      <c r="FD57"/>
      <c r="FE57"/>
      <c r="FF57"/>
      <c r="FG57"/>
      <c r="FH57"/>
      <c r="FI57"/>
      <c r="FJ57"/>
    </row>
    <row r="58" spans="1:166" ht="15" customHeigh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C58"/>
      <c r="FD58"/>
      <c r="FE58"/>
      <c r="FF58"/>
      <c r="FG58"/>
      <c r="FH58"/>
      <c r="FI58"/>
      <c r="FJ58"/>
    </row>
    <row r="59" spans="1:166" ht="15" customHeigh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C59"/>
      <c r="FD59"/>
      <c r="FE59"/>
      <c r="FF59"/>
      <c r="FG59"/>
      <c r="FH59"/>
      <c r="FI59"/>
      <c r="FJ59"/>
    </row>
    <row r="60" spans="1:166" ht="15" customHeigh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C60"/>
      <c r="FD60"/>
      <c r="FE60"/>
      <c r="FF60"/>
      <c r="FG60"/>
      <c r="FH60"/>
      <c r="FI60"/>
      <c r="FJ60"/>
    </row>
    <row r="61" spans="1:166" ht="15" customHeight="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C61"/>
      <c r="FD61"/>
      <c r="FE61"/>
      <c r="FF61"/>
      <c r="FG61"/>
      <c r="FH61"/>
      <c r="FI61"/>
      <c r="FJ61"/>
    </row>
    <row r="62" spans="1:166" ht="15" customHeigh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C62"/>
      <c r="FD62"/>
      <c r="FE62"/>
      <c r="FF62"/>
      <c r="FG62"/>
      <c r="FH62"/>
      <c r="FI62"/>
      <c r="FJ62"/>
    </row>
    <row r="63" spans="1:166" ht="15" customHeight="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C63"/>
      <c r="FD63"/>
      <c r="FE63"/>
      <c r="FF63"/>
      <c r="FG63"/>
      <c r="FH63"/>
      <c r="FI63"/>
      <c r="FJ63"/>
    </row>
    <row r="64" spans="1:166" ht="15" customHeigh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C64"/>
      <c r="FD64"/>
      <c r="FE64"/>
      <c r="FF64"/>
      <c r="FG64"/>
      <c r="FH64"/>
      <c r="FI64"/>
      <c r="FJ64"/>
    </row>
    <row r="65" spans="1:166" ht="15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C65"/>
      <c r="FD65"/>
      <c r="FE65"/>
      <c r="FF65"/>
      <c r="FG65"/>
      <c r="FH65"/>
      <c r="FI65"/>
      <c r="FJ65"/>
    </row>
    <row r="66" spans="1:166" ht="15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C66"/>
      <c r="FD66"/>
      <c r="FE66"/>
      <c r="FF66"/>
      <c r="FG66"/>
      <c r="FH66"/>
      <c r="FI66"/>
      <c r="FJ66"/>
    </row>
    <row r="67" spans="1:166" ht="15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C67"/>
      <c r="FD67"/>
      <c r="FE67"/>
      <c r="FF67"/>
      <c r="FG67"/>
      <c r="FH67"/>
      <c r="FI67"/>
      <c r="FJ67"/>
    </row>
    <row r="68" spans="1:166" ht="15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C68"/>
      <c r="FD68"/>
      <c r="FE68"/>
      <c r="FF68"/>
      <c r="FG68"/>
      <c r="FH68"/>
      <c r="FI68"/>
      <c r="FJ68"/>
    </row>
    <row r="69" spans="1:166" ht="15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C69"/>
      <c r="FD69"/>
      <c r="FE69"/>
      <c r="FF69"/>
      <c r="FG69"/>
      <c r="FH69"/>
      <c r="FI69"/>
      <c r="FJ69"/>
    </row>
    <row r="70" spans="1:166" ht="15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C70"/>
      <c r="FD70"/>
      <c r="FE70"/>
      <c r="FF70"/>
      <c r="FG70"/>
      <c r="FH70"/>
      <c r="FI70"/>
      <c r="FJ70"/>
    </row>
    <row r="71" spans="1:166" ht="15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C71"/>
      <c r="FD71"/>
      <c r="FE71"/>
      <c r="FF71"/>
      <c r="FG71"/>
      <c r="FH71"/>
      <c r="FI71"/>
      <c r="FJ71"/>
    </row>
    <row r="72" spans="1:166" ht="15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C72"/>
      <c r="FD72"/>
      <c r="FE72"/>
      <c r="FF72"/>
      <c r="FG72"/>
      <c r="FH72"/>
      <c r="FI72"/>
      <c r="FJ72"/>
    </row>
    <row r="73" spans="1:166" ht="15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C73"/>
      <c r="FD73"/>
      <c r="FE73"/>
      <c r="FF73"/>
      <c r="FG73"/>
      <c r="FH73"/>
      <c r="FI73"/>
      <c r="FJ73"/>
    </row>
    <row r="74" spans="1:166" ht="15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C74"/>
      <c r="FD74"/>
      <c r="FE74"/>
      <c r="FF74"/>
      <c r="FG74"/>
      <c r="FH74"/>
      <c r="FI74"/>
      <c r="FJ74"/>
    </row>
    <row r="75" spans="1:166" ht="15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C75"/>
      <c r="FD75"/>
      <c r="FE75"/>
      <c r="FF75"/>
      <c r="FG75"/>
      <c r="FH75"/>
      <c r="FI75"/>
      <c r="FJ75"/>
    </row>
    <row r="76" spans="1:166" ht="15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C76"/>
      <c r="FD76"/>
      <c r="FE76"/>
      <c r="FF76"/>
      <c r="FG76"/>
      <c r="FH76"/>
      <c r="FI76"/>
      <c r="FJ76"/>
    </row>
    <row r="77" spans="1:166" ht="15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C77"/>
      <c r="FD77"/>
      <c r="FE77"/>
      <c r="FF77"/>
      <c r="FG77"/>
      <c r="FH77"/>
      <c r="FI77"/>
      <c r="FJ77"/>
    </row>
    <row r="78" spans="1:166" ht="15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C78"/>
      <c r="FD78"/>
      <c r="FE78"/>
      <c r="FF78"/>
      <c r="FG78"/>
      <c r="FH78"/>
      <c r="FI78"/>
      <c r="FJ78"/>
    </row>
    <row r="79" spans="1:166" ht="15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C79"/>
      <c r="FD79"/>
      <c r="FE79"/>
      <c r="FF79"/>
      <c r="FG79"/>
      <c r="FH79"/>
      <c r="FI79"/>
      <c r="FJ79"/>
    </row>
    <row r="80" spans="1:166" ht="15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C80"/>
      <c r="FD80"/>
      <c r="FE80"/>
      <c r="FF80"/>
      <c r="FG80"/>
      <c r="FH80"/>
      <c r="FI80"/>
      <c r="FJ80"/>
    </row>
    <row r="81" spans="1:166" ht="15" customHeight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C81"/>
      <c r="FD81"/>
      <c r="FE81"/>
      <c r="FF81"/>
      <c r="FG81"/>
      <c r="FH81"/>
      <c r="FI81"/>
      <c r="FJ81"/>
    </row>
    <row r="82" spans="1:166" ht="15" customHeigh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C82"/>
      <c r="FD82"/>
      <c r="FE82"/>
      <c r="FF82"/>
      <c r="FG82"/>
      <c r="FH82"/>
      <c r="FI82"/>
      <c r="FJ82"/>
    </row>
    <row r="83" spans="1:166" ht="15" customHeight="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C83"/>
      <c r="FD83"/>
      <c r="FE83"/>
      <c r="FF83"/>
      <c r="FG83"/>
      <c r="FH83"/>
      <c r="FI83"/>
      <c r="FJ83"/>
    </row>
    <row r="84" spans="1:166" ht="15" customHeigh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C84"/>
      <c r="FD84"/>
      <c r="FE84"/>
      <c r="FF84"/>
      <c r="FG84"/>
      <c r="FH84"/>
      <c r="FI84"/>
      <c r="FJ84"/>
    </row>
    <row r="85" spans="1:166" ht="15" customHeight="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C85"/>
      <c r="FD85"/>
      <c r="FE85"/>
      <c r="FF85"/>
      <c r="FG85"/>
      <c r="FH85"/>
      <c r="FI85"/>
      <c r="FJ85"/>
    </row>
    <row r="86" spans="1:166" ht="15" customHeigh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C86"/>
      <c r="FD86"/>
      <c r="FE86"/>
      <c r="FF86"/>
      <c r="FG86"/>
      <c r="FH86"/>
      <c r="FI86"/>
      <c r="FJ86"/>
    </row>
    <row r="87" spans="1:166" ht="15" customHeight="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C87"/>
      <c r="FD87"/>
      <c r="FE87"/>
      <c r="FF87"/>
      <c r="FG87"/>
      <c r="FH87"/>
      <c r="FI87"/>
      <c r="FJ87"/>
    </row>
    <row r="88" spans="1:166" ht="15" customHeigh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C88"/>
      <c r="FD88"/>
      <c r="FE88"/>
      <c r="FF88"/>
      <c r="FG88"/>
      <c r="FH88"/>
      <c r="FI88"/>
      <c r="FJ88"/>
    </row>
    <row r="89" spans="1:166" ht="15" customHeight="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C89"/>
      <c r="FD89"/>
      <c r="FE89"/>
      <c r="FF89"/>
      <c r="FG89"/>
      <c r="FH89"/>
      <c r="FI89"/>
      <c r="FJ89"/>
    </row>
    <row r="90" spans="1:166" ht="15" customHeigh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C90"/>
      <c r="FD90"/>
      <c r="FE90"/>
      <c r="FF90"/>
      <c r="FG90"/>
      <c r="FH90"/>
      <c r="FI90"/>
      <c r="FJ90"/>
    </row>
    <row r="91" spans="1:166" ht="15" customHeigh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C91"/>
      <c r="FD91"/>
      <c r="FE91"/>
      <c r="FF91"/>
      <c r="FG91"/>
      <c r="FH91"/>
      <c r="FI91"/>
      <c r="FJ91"/>
    </row>
    <row r="92" spans="1:166" ht="15" customHeigh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C92"/>
      <c r="FD92"/>
      <c r="FE92"/>
      <c r="FF92"/>
      <c r="FG92"/>
      <c r="FH92"/>
      <c r="FI92"/>
      <c r="FJ92"/>
    </row>
    <row r="93" spans="1:166" ht="15" customHeight="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C93"/>
      <c r="FD93"/>
      <c r="FE93"/>
      <c r="FF93"/>
      <c r="FG93"/>
      <c r="FH93"/>
      <c r="FI93"/>
      <c r="FJ93"/>
    </row>
    <row r="94" spans="1:166" ht="15" customHeigh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C94"/>
      <c r="FD94"/>
      <c r="FE94"/>
      <c r="FF94"/>
      <c r="FG94"/>
      <c r="FH94"/>
      <c r="FI94"/>
      <c r="FJ94"/>
    </row>
  </sheetData>
  <sortState xmlns:xlrd2="http://schemas.microsoft.com/office/spreadsheetml/2017/richdata2" ref="A9:FJ49">
    <sortCondition sortBy="cellColor" ref="A9:A49" dxfId="12"/>
    <sortCondition ref="A9:A49"/>
  </sortState>
  <conditionalFormatting sqref="A1:A1048576">
    <cfRule type="duplicateValues" dxfId="4" priority="1"/>
  </conditionalFormatting>
  <printOptions horizontalCentered="1" verticalCentered="1"/>
  <pageMargins left="0.74803149606299213" right="0.74803149606299213" top="0.39370078740157483" bottom="0.31496062992125984" header="0" footer="0"/>
  <pageSetup paperSize="9" scale="1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L122"/>
  <sheetViews>
    <sheetView showGridLines="0" view="pageBreakPreview" zoomScale="97" zoomScaleNormal="76" zoomScaleSheetLayoutView="80" workbookViewId="0">
      <pane xSplit="1" topLeftCell="EI1" activePane="topRight" state="frozen"/>
      <selection activeCell="DO55" sqref="DO55:EP55"/>
      <selection pane="topRight" activeCell="EW21" sqref="EW21"/>
    </sheetView>
  </sheetViews>
  <sheetFormatPr baseColWidth="10" defaultColWidth="9.7109375" defaultRowHeight="15" customHeight="1" x14ac:dyDescent="0.25"/>
  <cols>
    <col min="1" max="1" width="20.7109375" style="117" customWidth="1"/>
    <col min="2" max="157" width="9.7109375" style="352"/>
    <col min="158" max="158" width="9.7109375" customWidth="1"/>
    <col min="159" max="162" width="9.7109375" style="117"/>
    <col min="163" max="163" width="9.7109375" style="117" customWidth="1"/>
    <col min="164" max="166" width="9.7109375" customWidth="1"/>
    <col min="168" max="168" width="10.7109375" bestFit="1" customWidth="1"/>
  </cols>
  <sheetData>
    <row r="1" spans="1:166" ht="15" customHeight="1" x14ac:dyDescent="0.25">
      <c r="A1" s="681" t="s">
        <v>236</v>
      </c>
      <c r="FJ1" t="s">
        <v>654</v>
      </c>
    </row>
    <row r="2" spans="1:166" ht="15" customHeight="1" x14ac:dyDescent="0.25">
      <c r="A2" s="681" t="s">
        <v>547</v>
      </c>
    </row>
    <row r="3" spans="1:166" ht="15" customHeight="1" x14ac:dyDescent="0.25">
      <c r="A3" s="775" t="s">
        <v>91</v>
      </c>
      <c r="CB3" s="122"/>
      <c r="CC3" s="122"/>
      <c r="CD3" s="122"/>
      <c r="CE3" s="122"/>
      <c r="CF3" s="122"/>
      <c r="CG3" s="122"/>
      <c r="CH3" s="122"/>
      <c r="CI3" s="122"/>
      <c r="CJ3" s="122"/>
      <c r="CK3" s="122"/>
      <c r="CL3" s="122"/>
      <c r="CM3" s="122"/>
      <c r="CN3" s="122"/>
      <c r="CO3" s="122"/>
      <c r="CP3" s="122"/>
      <c r="CQ3" s="122"/>
      <c r="CR3" s="122"/>
      <c r="CS3" s="122"/>
      <c r="CT3" s="122"/>
      <c r="CU3" s="122"/>
      <c r="CV3" s="122"/>
      <c r="CW3" s="122"/>
      <c r="CX3" s="122"/>
      <c r="CY3" s="122"/>
      <c r="CZ3" s="122"/>
      <c r="DA3" s="122"/>
      <c r="DB3" s="122"/>
      <c r="DC3" s="122"/>
      <c r="DD3" s="122"/>
      <c r="DE3" s="122"/>
      <c r="DF3" s="122"/>
      <c r="DG3" s="122"/>
      <c r="DH3" s="122"/>
      <c r="DI3" s="122"/>
      <c r="DJ3" s="122"/>
      <c r="DK3" s="122"/>
      <c r="DL3" s="122"/>
      <c r="DM3" s="122"/>
      <c r="DN3" s="122"/>
      <c r="DO3" s="122"/>
      <c r="DP3" s="122"/>
      <c r="DQ3" s="122"/>
      <c r="DR3" s="122"/>
      <c r="DS3" s="122"/>
      <c r="DT3" s="122"/>
      <c r="DU3" s="122"/>
      <c r="DV3" s="122"/>
      <c r="DW3" s="122"/>
      <c r="DX3" s="122"/>
      <c r="DY3" s="122"/>
      <c r="DZ3" s="122"/>
      <c r="EA3" s="122"/>
      <c r="EB3" s="122"/>
      <c r="EC3" s="122"/>
      <c r="ED3" s="122"/>
      <c r="EE3" s="122"/>
      <c r="EF3" s="122"/>
      <c r="EG3" s="122"/>
      <c r="EH3" s="122"/>
      <c r="EI3" s="122"/>
      <c r="EJ3" s="122"/>
      <c r="EK3" s="122"/>
      <c r="EL3" s="122"/>
      <c r="EM3" s="122"/>
      <c r="EN3" s="122"/>
      <c r="EO3" s="122"/>
      <c r="EP3" s="122"/>
      <c r="EQ3" s="122"/>
      <c r="ER3" s="122"/>
      <c r="ES3" s="122"/>
      <c r="ET3" s="122"/>
      <c r="EU3" s="122"/>
      <c r="EV3" s="122"/>
      <c r="EW3" s="122"/>
      <c r="EX3" s="122"/>
      <c r="EY3" s="122"/>
      <c r="EZ3" s="122"/>
      <c r="FA3" s="122"/>
    </row>
    <row r="4" spans="1:166" s="753" customFormat="1" ht="15" customHeight="1" x14ac:dyDescent="0.25">
      <c r="A4" s="752"/>
      <c r="B4" s="683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683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683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683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683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683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683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683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683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683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683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683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758" t="s">
        <v>83</v>
      </c>
      <c r="FC4" s="476" t="str">
        <f>CONCATENATE("Var.% ",FF4,"/",FF4-1)</f>
        <v>Var.% 2026/2025</v>
      </c>
      <c r="FD4" s="477"/>
      <c r="FE4" s="478">
        <f>FF4-1</f>
        <v>2025</v>
      </c>
      <c r="FF4" s="478">
        <f>YEAR(FC5)</f>
        <v>2026</v>
      </c>
      <c r="FH4" s="915" t="s">
        <v>670</v>
      </c>
      <c r="FI4" s="912"/>
    </row>
    <row r="5" spans="1:166" s="753" customFormat="1" ht="15" customHeight="1" x14ac:dyDescent="0.25">
      <c r="A5" s="754"/>
      <c r="B5" s="711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>YEAR(M5)</f>
        <v>2015</v>
      </c>
      <c r="O5" s="711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>YEAR(Z5)</f>
        <v>2016</v>
      </c>
      <c r="AB5" s="711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>YEAR(AM5)</f>
        <v>2017</v>
      </c>
      <c r="AO5" s="711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>YEAR(AZ5)</f>
        <v>2018</v>
      </c>
      <c r="BB5" s="711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>YEAR(BM5)</f>
        <v>2019</v>
      </c>
      <c r="BO5" s="711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>YEAR(BZ5)</f>
        <v>2020</v>
      </c>
      <c r="CB5" s="711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>YEAR(CM5)</f>
        <v>2021</v>
      </c>
      <c r="CO5" s="711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>YEAR(CZ5)</f>
        <v>2022</v>
      </c>
      <c r="DB5" s="711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>YEAR(DM5)</f>
        <v>2023</v>
      </c>
      <c r="DO5" s="711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>YEAR(DZ5)</f>
        <v>2024</v>
      </c>
      <c r="EB5" s="711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711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645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C5" s="485">
        <f>EQ5</f>
        <v>46082</v>
      </c>
      <c r="FD5" s="486" t="str">
        <f>CONCATENATE("Ene.-",TEXT(FC5,"MMM."))</f>
        <v>Ene.-Mar.</v>
      </c>
      <c r="FE5" s="487" t="str">
        <f>FD5</f>
        <v>Ene.-Mar.</v>
      </c>
      <c r="FF5" s="487" t="str">
        <f>FD5</f>
        <v>Ene.-Mar.</v>
      </c>
      <c r="FH5" s="913"/>
      <c r="FI5" s="914"/>
    </row>
    <row r="6" spans="1:166" ht="15" customHeight="1" x14ac:dyDescent="0.25">
      <c r="A6" s="118"/>
      <c r="B6" s="760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2"/>
      <c r="O6" s="760"/>
      <c r="P6" s="761"/>
      <c r="Q6" s="761"/>
      <c r="R6" s="761"/>
      <c r="S6" s="761"/>
      <c r="T6" s="761"/>
      <c r="U6" s="761"/>
      <c r="V6" s="761"/>
      <c r="W6" s="761"/>
      <c r="X6" s="761"/>
      <c r="Y6" s="761"/>
      <c r="Z6" s="761"/>
      <c r="AA6" s="762"/>
      <c r="AB6" s="760"/>
      <c r="AC6" s="761"/>
      <c r="AD6" s="761"/>
      <c r="AE6" s="761"/>
      <c r="AF6" s="761"/>
      <c r="AG6" s="761"/>
      <c r="AH6" s="761"/>
      <c r="AI6" s="761"/>
      <c r="AJ6" s="761"/>
      <c r="AK6" s="761"/>
      <c r="AL6" s="761"/>
      <c r="AM6" s="761"/>
      <c r="AN6" s="762"/>
      <c r="AO6" s="760"/>
      <c r="AP6" s="761"/>
      <c r="AQ6" s="761"/>
      <c r="AR6" s="761"/>
      <c r="AS6" s="761"/>
      <c r="AT6" s="761"/>
      <c r="AU6" s="761"/>
      <c r="AV6" s="761"/>
      <c r="AW6" s="761"/>
      <c r="AX6" s="761"/>
      <c r="AY6" s="761"/>
      <c r="AZ6" s="761"/>
      <c r="BA6" s="762"/>
      <c r="BB6" s="760"/>
      <c r="BC6" s="761"/>
      <c r="BD6" s="761"/>
      <c r="BE6" s="761"/>
      <c r="BF6" s="761"/>
      <c r="BG6" s="761"/>
      <c r="BH6" s="761"/>
      <c r="BI6" s="761"/>
      <c r="BJ6" s="761"/>
      <c r="BK6" s="761"/>
      <c r="BL6" s="761"/>
      <c r="BM6" s="761"/>
      <c r="BN6" s="762"/>
      <c r="BO6" s="760"/>
      <c r="BP6" s="761"/>
      <c r="BQ6" s="761"/>
      <c r="BR6" s="761"/>
      <c r="BS6" s="761"/>
      <c r="BT6" s="761"/>
      <c r="BU6" s="761"/>
      <c r="BV6" s="761"/>
      <c r="BW6" s="761"/>
      <c r="BX6" s="761"/>
      <c r="BY6" s="761"/>
      <c r="BZ6" s="761"/>
      <c r="CA6" s="762"/>
      <c r="CB6" s="760"/>
      <c r="CC6" s="761"/>
      <c r="CD6" s="761"/>
      <c r="CE6" s="761"/>
      <c r="CF6" s="761"/>
      <c r="CG6" s="761"/>
      <c r="CH6" s="761"/>
      <c r="CI6" s="761"/>
      <c r="CJ6" s="761"/>
      <c r="CK6" s="761"/>
      <c r="CL6" s="761"/>
      <c r="CM6" s="761"/>
      <c r="CN6" s="762"/>
      <c r="CO6" s="760"/>
      <c r="CP6" s="761"/>
      <c r="CQ6" s="761"/>
      <c r="CR6" s="761"/>
      <c r="CS6" s="761"/>
      <c r="CT6" s="761"/>
      <c r="CU6" s="761"/>
      <c r="CV6" s="761"/>
      <c r="CW6" s="761"/>
      <c r="CX6" s="761"/>
      <c r="CY6" s="761"/>
      <c r="CZ6" s="761"/>
      <c r="DA6" s="762"/>
      <c r="DB6" s="760"/>
      <c r="DC6" s="761"/>
      <c r="DD6" s="761"/>
      <c r="DE6" s="761"/>
      <c r="DF6" s="761"/>
      <c r="DG6" s="761"/>
      <c r="DH6" s="761"/>
      <c r="DI6" s="761"/>
      <c r="DJ6" s="761"/>
      <c r="DK6" s="761"/>
      <c r="DL6" s="761"/>
      <c r="DM6" s="761"/>
      <c r="DN6" s="762"/>
      <c r="DO6" s="760"/>
      <c r="DP6" s="761"/>
      <c r="DQ6" s="761"/>
      <c r="DR6" s="761"/>
      <c r="DS6" s="761"/>
      <c r="DT6" s="761"/>
      <c r="DU6" s="761"/>
      <c r="DV6" s="761"/>
      <c r="DW6" s="761"/>
      <c r="DX6" s="761"/>
      <c r="DY6" s="761"/>
      <c r="DZ6" s="761"/>
      <c r="EA6" s="762"/>
      <c r="EB6" s="760"/>
      <c r="EC6" s="761"/>
      <c r="ED6" s="761"/>
      <c r="EE6" s="761"/>
      <c r="EF6" s="761"/>
      <c r="EG6" s="761"/>
      <c r="EH6" s="761"/>
      <c r="EI6" s="761"/>
      <c r="EJ6" s="761"/>
      <c r="EK6" s="761"/>
      <c r="EL6" s="761"/>
      <c r="EM6" s="761"/>
      <c r="EN6" s="762"/>
      <c r="EO6" s="760"/>
      <c r="EP6" s="761"/>
      <c r="EQ6" s="761"/>
      <c r="ER6" s="761"/>
      <c r="ES6" s="761"/>
      <c r="ET6" s="761"/>
      <c r="EU6" s="761"/>
      <c r="EV6" s="761"/>
      <c r="EW6" s="761"/>
      <c r="EX6" s="761"/>
      <c r="EY6" s="761"/>
      <c r="EZ6" s="761"/>
      <c r="FA6" s="762"/>
      <c r="FC6" s="494"/>
      <c r="FD6" s="495"/>
      <c r="FE6" s="496"/>
      <c r="FF6" s="497"/>
      <c r="FH6" s="917"/>
      <c r="FI6" s="920"/>
    </row>
    <row r="7" spans="1:166" s="753" customFormat="1" ht="15" customHeight="1" x14ac:dyDescent="0.25">
      <c r="A7" s="755" t="s">
        <v>657</v>
      </c>
      <c r="B7" s="763">
        <f t="shared" ref="B7:Z7" si="0">SUM(B8:B9)</f>
        <v>321</v>
      </c>
      <c r="C7" s="764">
        <f t="shared" si="0"/>
        <v>229</v>
      </c>
      <c r="D7" s="764">
        <f t="shared" si="0"/>
        <v>218</v>
      </c>
      <c r="E7" s="764">
        <f t="shared" si="0"/>
        <v>198</v>
      </c>
      <c r="F7" s="764">
        <f t="shared" si="0"/>
        <v>341</v>
      </c>
      <c r="G7" s="764">
        <f t="shared" si="0"/>
        <v>457</v>
      </c>
      <c r="H7" s="764">
        <f t="shared" si="0"/>
        <v>626</v>
      </c>
      <c r="I7" s="764">
        <f t="shared" si="0"/>
        <v>986</v>
      </c>
      <c r="J7" s="764">
        <f t="shared" si="0"/>
        <v>932</v>
      </c>
      <c r="K7" s="764">
        <f t="shared" si="0"/>
        <v>946</v>
      </c>
      <c r="L7" s="764">
        <f t="shared" si="0"/>
        <v>476</v>
      </c>
      <c r="M7" s="764">
        <f t="shared" si="0"/>
        <v>455</v>
      </c>
      <c r="N7" s="765">
        <f t="shared" ref="N7:N54" si="1">SUM(B7:M7)</f>
        <v>6185</v>
      </c>
      <c r="O7" s="763">
        <f t="shared" si="0"/>
        <v>242</v>
      </c>
      <c r="P7" s="764">
        <f t="shared" si="0"/>
        <v>199</v>
      </c>
      <c r="Q7" s="764">
        <f t="shared" si="0"/>
        <v>137</v>
      </c>
      <c r="R7" s="764">
        <f t="shared" si="0"/>
        <v>111</v>
      </c>
      <c r="S7" s="764">
        <f t="shared" si="0"/>
        <v>272</v>
      </c>
      <c r="T7" s="764">
        <f t="shared" si="0"/>
        <v>481</v>
      </c>
      <c r="U7" s="764">
        <f t="shared" si="0"/>
        <v>388</v>
      </c>
      <c r="V7" s="764">
        <f t="shared" si="0"/>
        <v>481</v>
      </c>
      <c r="W7" s="764">
        <f t="shared" si="0"/>
        <v>599</v>
      </c>
      <c r="X7" s="764">
        <f t="shared" si="0"/>
        <v>395</v>
      </c>
      <c r="Y7" s="764">
        <f t="shared" si="0"/>
        <v>370</v>
      </c>
      <c r="Z7" s="764">
        <f t="shared" si="0"/>
        <v>252</v>
      </c>
      <c r="AA7" s="765">
        <f t="shared" ref="AA7:AA54" si="2">SUM(O7:Z7)</f>
        <v>3927</v>
      </c>
      <c r="AB7" s="763">
        <f t="shared" ref="AB7:AM7" si="3">AB8+AB9</f>
        <v>451</v>
      </c>
      <c r="AC7" s="764">
        <f t="shared" si="3"/>
        <v>313</v>
      </c>
      <c r="AD7" s="764">
        <f t="shared" si="3"/>
        <v>153</v>
      </c>
      <c r="AE7" s="764">
        <f t="shared" si="3"/>
        <v>249</v>
      </c>
      <c r="AF7" s="764">
        <f t="shared" si="3"/>
        <v>263</v>
      </c>
      <c r="AG7" s="764">
        <f t="shared" si="3"/>
        <v>408</v>
      </c>
      <c r="AH7" s="764">
        <f t="shared" si="3"/>
        <v>526</v>
      </c>
      <c r="AI7" s="764">
        <f t="shared" si="3"/>
        <v>860</v>
      </c>
      <c r="AJ7" s="764">
        <f t="shared" si="3"/>
        <v>749</v>
      </c>
      <c r="AK7" s="764">
        <f t="shared" si="3"/>
        <v>726</v>
      </c>
      <c r="AL7" s="764">
        <f t="shared" si="3"/>
        <v>404</v>
      </c>
      <c r="AM7" s="764">
        <f t="shared" si="3"/>
        <v>357</v>
      </c>
      <c r="AN7" s="765">
        <f t="shared" ref="AN7:AN52" si="4">SUM(AB7:AM7)</f>
        <v>5459</v>
      </c>
      <c r="AO7" s="763">
        <f t="shared" ref="AO7:AZ7" si="5">AO8+AO9</f>
        <v>235</v>
      </c>
      <c r="AP7" s="764">
        <f t="shared" si="5"/>
        <v>150</v>
      </c>
      <c r="AQ7" s="764">
        <f t="shared" si="5"/>
        <v>252</v>
      </c>
      <c r="AR7" s="764">
        <f t="shared" si="5"/>
        <v>208</v>
      </c>
      <c r="AS7" s="764">
        <f t="shared" si="5"/>
        <v>255</v>
      </c>
      <c r="AT7" s="764">
        <f t="shared" si="5"/>
        <v>382</v>
      </c>
      <c r="AU7" s="764">
        <f t="shared" si="5"/>
        <v>477</v>
      </c>
      <c r="AV7" s="764">
        <f t="shared" si="5"/>
        <v>610</v>
      </c>
      <c r="AW7" s="764">
        <f t="shared" si="5"/>
        <v>447</v>
      </c>
      <c r="AX7" s="764">
        <f t="shared" si="5"/>
        <v>414</v>
      </c>
      <c r="AY7" s="764">
        <f t="shared" si="5"/>
        <v>334</v>
      </c>
      <c r="AZ7" s="764">
        <f t="shared" si="5"/>
        <v>222</v>
      </c>
      <c r="BA7" s="765">
        <f>SUM(AO7:AZ7)</f>
        <v>3986</v>
      </c>
      <c r="BB7" s="763">
        <f t="shared" ref="BB7:BM7" si="6">BB8+BB9</f>
        <v>240</v>
      </c>
      <c r="BC7" s="764">
        <f t="shared" si="6"/>
        <v>196</v>
      </c>
      <c r="BD7" s="764">
        <f t="shared" si="6"/>
        <v>236</v>
      </c>
      <c r="BE7" s="764">
        <f t="shared" si="6"/>
        <v>227</v>
      </c>
      <c r="BF7" s="764">
        <f t="shared" si="6"/>
        <v>341</v>
      </c>
      <c r="BG7" s="764">
        <f t="shared" si="6"/>
        <v>503</v>
      </c>
      <c r="BH7" s="764">
        <f t="shared" si="6"/>
        <v>562</v>
      </c>
      <c r="BI7" s="764">
        <f t="shared" si="6"/>
        <v>505</v>
      </c>
      <c r="BJ7" s="764">
        <f t="shared" si="6"/>
        <v>756</v>
      </c>
      <c r="BK7" s="764">
        <f t="shared" si="6"/>
        <v>658</v>
      </c>
      <c r="BL7" s="764">
        <f t="shared" si="6"/>
        <v>311</v>
      </c>
      <c r="BM7" s="764">
        <f t="shared" si="6"/>
        <v>275</v>
      </c>
      <c r="BN7" s="765">
        <f>SUM(BB7:BM7)</f>
        <v>4810</v>
      </c>
      <c r="BO7" s="763">
        <f t="shared" ref="BO7:BZ7" si="7">BO8+BO9</f>
        <v>149</v>
      </c>
      <c r="BP7" s="764">
        <f t="shared" si="7"/>
        <v>183</v>
      </c>
      <c r="BQ7" s="764">
        <f t="shared" si="7"/>
        <v>42</v>
      </c>
      <c r="BR7" s="764">
        <f t="shared" si="7"/>
        <v>2</v>
      </c>
      <c r="BS7" s="764">
        <f t="shared" si="7"/>
        <v>1</v>
      </c>
      <c r="BT7" s="764">
        <f t="shared" si="7"/>
        <v>98</v>
      </c>
      <c r="BU7" s="764">
        <f t="shared" si="7"/>
        <v>315</v>
      </c>
      <c r="BV7" s="764">
        <f t="shared" si="7"/>
        <v>251</v>
      </c>
      <c r="BW7" s="764">
        <f t="shared" si="7"/>
        <v>131</v>
      </c>
      <c r="BX7" s="764">
        <f t="shared" si="7"/>
        <v>228</v>
      </c>
      <c r="BY7" s="764">
        <f t="shared" si="7"/>
        <v>146</v>
      </c>
      <c r="BZ7" s="764">
        <f t="shared" si="7"/>
        <v>116</v>
      </c>
      <c r="CA7" s="765">
        <f>SUM(BO7:BZ7)</f>
        <v>1662</v>
      </c>
      <c r="CB7" s="763">
        <f t="shared" ref="CB7:CM7" si="8">CB8+CB9</f>
        <v>135.67385000000002</v>
      </c>
      <c r="CC7" s="764">
        <f t="shared" si="8"/>
        <v>116.34960000000001</v>
      </c>
      <c r="CD7" s="764">
        <f t="shared" si="8"/>
        <v>52.4985</v>
      </c>
      <c r="CE7" s="764">
        <f t="shared" si="8"/>
        <v>68.812249999999992</v>
      </c>
      <c r="CF7" s="764">
        <f t="shared" si="8"/>
        <v>145.85090000000002</v>
      </c>
      <c r="CG7" s="764">
        <f t="shared" si="8"/>
        <v>186.55714999999998</v>
      </c>
      <c r="CH7" s="764">
        <f t="shared" si="8"/>
        <v>387.47360000000003</v>
      </c>
      <c r="CI7" s="764">
        <f t="shared" si="8"/>
        <v>272.09400000000005</v>
      </c>
      <c r="CJ7" s="764">
        <f t="shared" si="8"/>
        <v>164.62400000000002</v>
      </c>
      <c r="CK7" s="764">
        <f t="shared" si="8"/>
        <v>182.934</v>
      </c>
      <c r="CL7" s="764">
        <f t="shared" si="8"/>
        <v>139.48750000000004</v>
      </c>
      <c r="CM7" s="764">
        <f t="shared" si="8"/>
        <v>114.87949999999998</v>
      </c>
      <c r="CN7" s="765">
        <f>SUM(CB7:CM7)</f>
        <v>1967.2348500000001</v>
      </c>
      <c r="CO7" s="763">
        <f t="shared" ref="CO7:CZ7" si="9">CO8+CO9</f>
        <v>152.95111950000003</v>
      </c>
      <c r="CP7" s="764">
        <f t="shared" si="9"/>
        <v>208.27840000000003</v>
      </c>
      <c r="CQ7" s="764">
        <f t="shared" si="9"/>
        <v>181.54860000000002</v>
      </c>
      <c r="CR7" s="764">
        <f t="shared" si="9"/>
        <v>180.57</v>
      </c>
      <c r="CS7" s="764">
        <f t="shared" si="9"/>
        <v>160.40375</v>
      </c>
      <c r="CT7" s="764">
        <f t="shared" si="9"/>
        <v>198.74400000000003</v>
      </c>
      <c r="CU7" s="764">
        <f t="shared" si="9"/>
        <v>518.93269999999995</v>
      </c>
      <c r="CV7" s="764">
        <f t="shared" si="9"/>
        <v>564.15255000000002</v>
      </c>
      <c r="CW7" s="764">
        <f t="shared" si="9"/>
        <v>682.81914999999992</v>
      </c>
      <c r="CX7" s="764">
        <f t="shared" si="9"/>
        <v>392.60259999999994</v>
      </c>
      <c r="CY7" s="764">
        <f t="shared" si="9"/>
        <v>287.46574999999996</v>
      </c>
      <c r="CZ7" s="764">
        <f t="shared" si="9"/>
        <v>222.19535000000002</v>
      </c>
      <c r="DA7" s="765">
        <f>SUM(CO7:CZ7)</f>
        <v>3750.663969499999</v>
      </c>
      <c r="DB7" s="763">
        <f t="shared" ref="DB7:DZ7" si="10">DB8+DB9</f>
        <v>221.52780000000001</v>
      </c>
      <c r="DC7" s="764">
        <f t="shared" si="10"/>
        <v>147.09889999999999</v>
      </c>
      <c r="DD7" s="764">
        <f t="shared" si="10"/>
        <v>173.36929999999998</v>
      </c>
      <c r="DE7" s="764">
        <f t="shared" si="10"/>
        <v>204.67589999999998</v>
      </c>
      <c r="DF7" s="764">
        <f t="shared" si="10"/>
        <v>197.55384999999998</v>
      </c>
      <c r="DG7" s="764">
        <f t="shared" si="10"/>
        <v>258.90214999999995</v>
      </c>
      <c r="DH7" s="764">
        <f t="shared" si="10"/>
        <v>271.66489999999999</v>
      </c>
      <c r="DI7" s="764">
        <f t="shared" si="10"/>
        <v>384.02324999999996</v>
      </c>
      <c r="DJ7" s="764">
        <f t="shared" si="10"/>
        <v>408.93449999999984</v>
      </c>
      <c r="DK7" s="764">
        <f t="shared" si="10"/>
        <v>216.83775000000003</v>
      </c>
      <c r="DL7" s="764">
        <f t="shared" si="10"/>
        <v>315.66275000000002</v>
      </c>
      <c r="DM7" s="764">
        <f t="shared" si="10"/>
        <v>167.726</v>
      </c>
      <c r="DN7" s="765">
        <f t="shared" si="10"/>
        <v>2967.97705</v>
      </c>
      <c r="DO7" s="763">
        <f t="shared" si="10"/>
        <v>57.698000000000008</v>
      </c>
      <c r="DP7" s="764">
        <f t="shared" si="10"/>
        <v>84.605999999999995</v>
      </c>
      <c r="DQ7" s="764">
        <f t="shared" si="10"/>
        <v>52.106999999999992</v>
      </c>
      <c r="DR7" s="764">
        <f t="shared" si="10"/>
        <v>62.066999999999986</v>
      </c>
      <c r="DS7" s="764">
        <f t="shared" si="10"/>
        <v>98.727000000000004</v>
      </c>
      <c r="DT7" s="764">
        <f t="shared" si="10"/>
        <v>170.81100000000001</v>
      </c>
      <c r="DU7" s="764">
        <f t="shared" si="10"/>
        <v>273.73800000000006</v>
      </c>
      <c r="DV7" s="764">
        <f t="shared" si="10"/>
        <v>208.739</v>
      </c>
      <c r="DW7" s="764">
        <f t="shared" si="10"/>
        <v>313.58200000000005</v>
      </c>
      <c r="DX7" s="764">
        <f t="shared" si="10"/>
        <v>382.399</v>
      </c>
      <c r="DY7" s="764">
        <f t="shared" si="10"/>
        <v>283.73099999999999</v>
      </c>
      <c r="DZ7" s="764">
        <f t="shared" si="10"/>
        <v>163.31799999999998</v>
      </c>
      <c r="EA7" s="765">
        <f t="shared" ref="EA7:EA54" si="11">SUM(DO7:DZ7)</f>
        <v>2151.5230000000001</v>
      </c>
      <c r="EB7" s="763">
        <f t="shared" ref="EB7:EM7" si="12">EB8+EB9</f>
        <v>108.649</v>
      </c>
      <c r="EC7" s="764">
        <f t="shared" si="12"/>
        <v>83.812000000000012</v>
      </c>
      <c r="ED7" s="764">
        <f t="shared" si="12"/>
        <v>50.223999999999997</v>
      </c>
      <c r="EE7" s="764">
        <f t="shared" si="12"/>
        <v>95.003</v>
      </c>
      <c r="EF7" s="764">
        <f t="shared" si="12"/>
        <v>96.615000000000009</v>
      </c>
      <c r="EG7" s="764">
        <f t="shared" si="12"/>
        <v>72.081000000000003</v>
      </c>
      <c r="EH7" s="764">
        <f t="shared" si="12"/>
        <v>233.70899999999992</v>
      </c>
      <c r="EI7" s="764">
        <f t="shared" si="12"/>
        <v>374.59900000000005</v>
      </c>
      <c r="EJ7" s="764">
        <f t="shared" si="12"/>
        <v>257.13400000000001</v>
      </c>
      <c r="EK7" s="764">
        <f t="shared" si="12"/>
        <v>366.25400000000008</v>
      </c>
      <c r="EL7" s="764">
        <f t="shared" si="12"/>
        <v>235.24800000000002</v>
      </c>
      <c r="EM7" s="764">
        <f t="shared" si="12"/>
        <v>184.90099999999998</v>
      </c>
      <c r="EN7" s="765">
        <f>SUM(EB7:EM7)</f>
        <v>2158.2290000000003</v>
      </c>
      <c r="EO7" s="763">
        <f t="shared" ref="EO7:EZ7" si="13">EO8+EO9</f>
        <v>92.575000000000003</v>
      </c>
      <c r="EP7" s="764">
        <f t="shared" si="13"/>
        <v>61.808</v>
      </c>
      <c r="EQ7" s="764">
        <f t="shared" si="13"/>
        <v>86.543999999999997</v>
      </c>
      <c r="ER7" s="764">
        <f t="shared" si="13"/>
        <v>122.23700000000002</v>
      </c>
      <c r="ES7" s="764">
        <f t="shared" si="13"/>
        <v>0</v>
      </c>
      <c r="ET7" s="764">
        <f t="shared" si="13"/>
        <v>0</v>
      </c>
      <c r="EU7" s="764">
        <f t="shared" si="13"/>
        <v>0</v>
      </c>
      <c r="EV7" s="764">
        <f t="shared" si="13"/>
        <v>0</v>
      </c>
      <c r="EW7" s="764">
        <f t="shared" si="13"/>
        <v>0</v>
      </c>
      <c r="EX7" s="764">
        <f t="shared" si="13"/>
        <v>0</v>
      </c>
      <c r="EY7" s="764">
        <f t="shared" si="13"/>
        <v>0</v>
      </c>
      <c r="EZ7" s="764">
        <f t="shared" si="13"/>
        <v>0</v>
      </c>
      <c r="FA7" s="765">
        <f>SUM(EO7:EZ7)</f>
        <v>363.16400000000004</v>
      </c>
      <c r="FB7" s="757"/>
      <c r="FC7" s="544">
        <f>IFERROR(((
_xlfn.XLOOKUP((DATE(YEAR($FC$5),MONTH($FC$5),1)),UCA.PESCA.DATE,$B7:$FA7) /
_xlfn.XLOOKUP((DATE(YEAR($FC$5)-1,MONTH($FC$5),1)),UCA.PESCA.DATE,$B7:$FA7)
)-1)*100,"")</f>
        <v>72.316024211532337</v>
      </c>
      <c r="FD7" s="545">
        <f>IFERROR(((FF7/FE7)-1)*100,"")</f>
        <v>-0.72439582174422812</v>
      </c>
      <c r="FE7" s="546">
        <f>SUMIFS($B7:$FA7,UCA.PESCA.DATE,"&gt;="&amp;DATE(YEAR($FC$5)-1,1,1),UCA.PESCA.DATE,"&lt;="&amp;DATE(YEAR($FC$5)-1,MONTH($FC$5),1))</f>
        <v>242.685</v>
      </c>
      <c r="FF7" s="547">
        <f>SUMIFS($B7:$FA7,UCA.PESCA.DATE,"&gt;="&amp;DATE(YEAR($FC$5),1,1),UCA.PESCA.DATE,"&lt;="&amp;$FC$5)</f>
        <v>240.92700000000002</v>
      </c>
      <c r="FG7" s="757"/>
      <c r="FH7" s="919"/>
      <c r="FI7" s="921" t="str">
        <f>IF(EXACT($A7,FH7),"OK","RESIVAR")</f>
        <v>RESIVAR</v>
      </c>
    </row>
    <row r="8" spans="1:166" ht="15" customHeight="1" x14ac:dyDescent="0.25">
      <c r="A8" s="349" t="s">
        <v>548</v>
      </c>
      <c r="B8" s="760">
        <v>240</v>
      </c>
      <c r="C8" s="761">
        <v>156</v>
      </c>
      <c r="D8" s="761">
        <v>123</v>
      </c>
      <c r="E8" s="761">
        <v>104</v>
      </c>
      <c r="F8" s="761">
        <v>228</v>
      </c>
      <c r="G8" s="761">
        <v>316</v>
      </c>
      <c r="H8" s="761">
        <v>486</v>
      </c>
      <c r="I8" s="761">
        <v>729</v>
      </c>
      <c r="J8" s="761">
        <v>714</v>
      </c>
      <c r="K8" s="761">
        <v>807</v>
      </c>
      <c r="L8" s="761">
        <v>364</v>
      </c>
      <c r="M8" s="761">
        <v>342</v>
      </c>
      <c r="N8" s="766">
        <f t="shared" si="1"/>
        <v>4609</v>
      </c>
      <c r="O8" s="760">
        <v>155</v>
      </c>
      <c r="P8" s="761">
        <v>102</v>
      </c>
      <c r="Q8" s="761">
        <v>79</v>
      </c>
      <c r="R8" s="761">
        <v>70</v>
      </c>
      <c r="S8" s="761">
        <v>220</v>
      </c>
      <c r="T8" s="761">
        <v>411</v>
      </c>
      <c r="U8" s="761">
        <v>352</v>
      </c>
      <c r="V8" s="761">
        <v>352</v>
      </c>
      <c r="W8" s="761">
        <v>520</v>
      </c>
      <c r="X8" s="761">
        <v>275</v>
      </c>
      <c r="Y8" s="761">
        <v>172</v>
      </c>
      <c r="Z8" s="761">
        <v>212</v>
      </c>
      <c r="AA8" s="766">
        <f t="shared" si="2"/>
        <v>2920</v>
      </c>
      <c r="AB8" s="760">
        <v>174</v>
      </c>
      <c r="AC8" s="761">
        <v>154</v>
      </c>
      <c r="AD8" s="761">
        <v>117</v>
      </c>
      <c r="AE8" s="761">
        <v>205</v>
      </c>
      <c r="AF8" s="761">
        <v>234</v>
      </c>
      <c r="AG8" s="761">
        <v>242</v>
      </c>
      <c r="AH8" s="761">
        <v>333</v>
      </c>
      <c r="AI8" s="761">
        <v>485</v>
      </c>
      <c r="AJ8" s="761">
        <v>604</v>
      </c>
      <c r="AK8" s="761">
        <v>528</v>
      </c>
      <c r="AL8" s="761">
        <v>275</v>
      </c>
      <c r="AM8" s="761">
        <v>237</v>
      </c>
      <c r="AN8" s="766">
        <f t="shared" si="4"/>
        <v>3588</v>
      </c>
      <c r="AO8" s="760">
        <v>191</v>
      </c>
      <c r="AP8" s="761">
        <v>97</v>
      </c>
      <c r="AQ8" s="761">
        <v>210</v>
      </c>
      <c r="AR8" s="761">
        <v>170</v>
      </c>
      <c r="AS8" s="761">
        <v>215</v>
      </c>
      <c r="AT8" s="761">
        <v>247</v>
      </c>
      <c r="AU8" s="761">
        <v>362</v>
      </c>
      <c r="AV8" s="761">
        <v>494</v>
      </c>
      <c r="AW8" s="761">
        <v>341</v>
      </c>
      <c r="AX8" s="761">
        <v>294</v>
      </c>
      <c r="AY8" s="761">
        <v>246</v>
      </c>
      <c r="AZ8" s="761">
        <v>128</v>
      </c>
      <c r="BA8" s="766">
        <f t="shared" ref="BA8:BA52" si="14">SUM(AO8:AZ8)</f>
        <v>2995</v>
      </c>
      <c r="BB8" s="760">
        <v>197</v>
      </c>
      <c r="BC8" s="761">
        <v>145</v>
      </c>
      <c r="BD8" s="761">
        <v>185</v>
      </c>
      <c r="BE8" s="761">
        <v>179</v>
      </c>
      <c r="BF8" s="761">
        <v>274</v>
      </c>
      <c r="BG8" s="761">
        <v>396</v>
      </c>
      <c r="BH8" s="761">
        <v>457</v>
      </c>
      <c r="BI8" s="761">
        <v>378</v>
      </c>
      <c r="BJ8" s="761">
        <v>617</v>
      </c>
      <c r="BK8" s="761">
        <v>565</v>
      </c>
      <c r="BL8" s="761">
        <v>222</v>
      </c>
      <c r="BM8" s="761">
        <v>196</v>
      </c>
      <c r="BN8" s="766">
        <f>SUM(BB8:BM8)</f>
        <v>3811</v>
      </c>
      <c r="BO8" s="760">
        <v>106</v>
      </c>
      <c r="BP8" s="761">
        <v>162</v>
      </c>
      <c r="BQ8" s="761">
        <v>41</v>
      </c>
      <c r="BR8" s="761"/>
      <c r="BS8" s="761">
        <v>1</v>
      </c>
      <c r="BT8" s="761">
        <v>25</v>
      </c>
      <c r="BU8" s="761">
        <v>248</v>
      </c>
      <c r="BV8" s="761">
        <v>146</v>
      </c>
      <c r="BW8" s="761">
        <v>87</v>
      </c>
      <c r="BX8" s="761">
        <v>175</v>
      </c>
      <c r="BY8" s="761">
        <v>100</v>
      </c>
      <c r="BZ8" s="761">
        <v>28</v>
      </c>
      <c r="CA8" s="766">
        <f t="shared" ref="CA8:CA68" si="15">SUM(BO8:BZ8)</f>
        <v>1119</v>
      </c>
      <c r="CB8" s="760">
        <v>95.240600000000015</v>
      </c>
      <c r="CC8" s="761">
        <v>115.9496</v>
      </c>
      <c r="CD8" s="761">
        <v>0.44</v>
      </c>
      <c r="CE8" s="761">
        <v>6.136000000000001</v>
      </c>
      <c r="CF8" s="761">
        <v>48.552400000000006</v>
      </c>
      <c r="CG8" s="761">
        <v>127.47539999999998</v>
      </c>
      <c r="CH8" s="761">
        <v>296.24360000000001</v>
      </c>
      <c r="CI8" s="761">
        <v>185.45400000000004</v>
      </c>
      <c r="CJ8" s="761">
        <v>129.9</v>
      </c>
      <c r="CK8" s="761">
        <v>170.44399999999999</v>
      </c>
      <c r="CL8" s="761">
        <v>130.51550000000003</v>
      </c>
      <c r="CM8" s="761">
        <v>110.27949999999998</v>
      </c>
      <c r="CN8" s="766">
        <f t="shared" ref="CN8:CN68" si="16">SUM(CB8:CM8)</f>
        <v>1416.6306</v>
      </c>
      <c r="CO8" s="760">
        <v>104.04811950000006</v>
      </c>
      <c r="CP8" s="761">
        <v>150.10840000000005</v>
      </c>
      <c r="CQ8" s="761">
        <v>119.7586</v>
      </c>
      <c r="CR8" s="761">
        <v>132.20999999999998</v>
      </c>
      <c r="CS8" s="761">
        <v>93.430999999999997</v>
      </c>
      <c r="CT8" s="761">
        <v>91.67600000000003</v>
      </c>
      <c r="CU8" s="761">
        <v>414.35419999999993</v>
      </c>
      <c r="CV8" s="761">
        <v>436.87279999999998</v>
      </c>
      <c r="CW8" s="761">
        <v>544.17739999999992</v>
      </c>
      <c r="CX8" s="761">
        <v>280.08759999999995</v>
      </c>
      <c r="CY8" s="761">
        <v>210.99649999999997</v>
      </c>
      <c r="CZ8" s="761">
        <v>151.43960000000004</v>
      </c>
      <c r="DA8" s="766">
        <f>SUM(CO8:CZ8)</f>
        <v>2729.1602195</v>
      </c>
      <c r="DB8" s="760">
        <v>135.99430000000001</v>
      </c>
      <c r="DC8" s="761">
        <v>96.216899999999981</v>
      </c>
      <c r="DD8" s="761">
        <v>100.03629999999998</v>
      </c>
      <c r="DE8" s="761">
        <v>136.97839999999999</v>
      </c>
      <c r="DF8" s="761">
        <v>136.09959999999998</v>
      </c>
      <c r="DG8" s="761">
        <v>175.41939999999997</v>
      </c>
      <c r="DH8" s="761">
        <v>74.8904</v>
      </c>
      <c r="DI8" s="761">
        <v>320.70999999999998</v>
      </c>
      <c r="DJ8" s="761">
        <v>323.06949999999983</v>
      </c>
      <c r="DK8" s="761">
        <f>161.2975+0.274</f>
        <v>161.57150000000001</v>
      </c>
      <c r="DL8" s="761">
        <v>122.12200000000003</v>
      </c>
      <c r="DM8" s="761">
        <v>86.378500000000003</v>
      </c>
      <c r="DN8" s="766">
        <f>SUM(DB8:DM8)</f>
        <v>1869.4867999999999</v>
      </c>
      <c r="DO8" s="760">
        <v>42.180000000000007</v>
      </c>
      <c r="DP8" s="761">
        <v>54.905999999999992</v>
      </c>
      <c r="DQ8" s="761">
        <v>44.326999999999991</v>
      </c>
      <c r="DR8" s="761">
        <v>46.107999999999983</v>
      </c>
      <c r="DS8" s="761">
        <v>68.162999999999997</v>
      </c>
      <c r="DT8" s="761">
        <v>144.53700000000001</v>
      </c>
      <c r="DU8" s="761">
        <v>248.73900000000006</v>
      </c>
      <c r="DV8" s="761">
        <v>174.804</v>
      </c>
      <c r="DW8" s="761">
        <v>266.60200000000003</v>
      </c>
      <c r="DX8" s="761">
        <v>346.53399999999999</v>
      </c>
      <c r="DY8" s="761">
        <v>263.24099999999999</v>
      </c>
      <c r="DZ8" s="761">
        <v>155.89499999999998</v>
      </c>
      <c r="EA8" s="766">
        <f t="shared" si="11"/>
        <v>1856.0360000000001</v>
      </c>
      <c r="EB8" s="760">
        <v>99.584999999999994</v>
      </c>
      <c r="EC8" s="761">
        <v>68.675000000000011</v>
      </c>
      <c r="ED8" s="761">
        <v>44.608999999999995</v>
      </c>
      <c r="EE8" s="761">
        <v>73.8</v>
      </c>
      <c r="EF8" s="761">
        <v>77.295000000000002</v>
      </c>
      <c r="EG8" s="761">
        <v>56.375</v>
      </c>
      <c r="EH8" s="761">
        <v>188.33399999999992</v>
      </c>
      <c r="EI8" s="761">
        <v>350.48100000000005</v>
      </c>
      <c r="EJ8" s="761">
        <v>235.26400000000001</v>
      </c>
      <c r="EK8" s="761">
        <v>346.42100000000005</v>
      </c>
      <c r="EL8" s="761">
        <v>191.03800000000001</v>
      </c>
      <c r="EM8" s="761">
        <v>177.93899999999999</v>
      </c>
      <c r="EN8" s="766">
        <f t="shared" ref="EN8:EN9" si="17">SUM(EB8:EM8)</f>
        <v>1909.8160000000003</v>
      </c>
      <c r="EO8" s="760">
        <v>85.25</v>
      </c>
      <c r="EP8" s="761">
        <v>58.1</v>
      </c>
      <c r="EQ8" s="761">
        <v>77.853999999999999</v>
      </c>
      <c r="ER8" s="761">
        <v>109.75900000000001</v>
      </c>
      <c r="ES8" s="761"/>
      <c r="ET8" s="761"/>
      <c r="EU8" s="761"/>
      <c r="EV8" s="761"/>
      <c r="EW8" s="761"/>
      <c r="EX8" s="761"/>
      <c r="EY8" s="761"/>
      <c r="EZ8" s="761"/>
      <c r="FA8" s="766">
        <f t="shared" ref="FA8:FA54" si="18">SUM(EO8:EZ8)</f>
        <v>330.96300000000002</v>
      </c>
      <c r="FC8" s="549">
        <f>IFERROR(((
_xlfn.XLOOKUP((DATE(YEAR($FC$5),MONTH($FC$5),1)),UCA.PESCA.DATE,$B8:$FA8) /
_xlfn.XLOOKUP((DATE(YEAR($FC$5)-1,MONTH($FC$5),1)),UCA.PESCA.DATE,$B8:$FA8)
)-1)*100,"")</f>
        <v>74.525320002690052</v>
      </c>
      <c r="FD8" s="550">
        <f t="shared" ref="FD8:FD9" si="19">IFERROR(((FF8/FE8)-1)*100,"")</f>
        <v>3.9155536973443983</v>
      </c>
      <c r="FE8" s="551">
        <f>SUMIFS($B8:$FA8,UCA.PESCA.DATE,"&gt;="&amp;DATE(YEAR($FC$5)-1,1,1),UCA.PESCA.DATE,"&lt;="&amp;DATE(YEAR($FC$5)-1,MONTH($FC$5),1))</f>
        <v>212.86899999999997</v>
      </c>
      <c r="FF8" s="552">
        <f>SUMIFS($B8:$FA8,UCA.PESCA.DATE,"&gt;="&amp;DATE(YEAR($FC$5),1,1),UCA.PESCA.DATE,"&lt;="&amp;$FC$5)</f>
        <v>221.20400000000001</v>
      </c>
      <c r="FH8" s="917"/>
      <c r="FI8" s="920" t="str">
        <f t="shared" ref="FI8:FI67" si="20">IF(EXACT($A8,FH8),"OK","RESIVAR")</f>
        <v>RESIVAR</v>
      </c>
    </row>
    <row r="9" spans="1:166" ht="15" customHeight="1" x14ac:dyDescent="0.25">
      <c r="A9" s="349" t="s">
        <v>671</v>
      </c>
      <c r="B9" s="760">
        <v>81</v>
      </c>
      <c r="C9" s="761">
        <v>73</v>
      </c>
      <c r="D9" s="761">
        <v>95</v>
      </c>
      <c r="E9" s="761">
        <v>94</v>
      </c>
      <c r="F9" s="761">
        <v>113</v>
      </c>
      <c r="G9" s="761">
        <v>141</v>
      </c>
      <c r="H9" s="761">
        <v>140</v>
      </c>
      <c r="I9" s="761">
        <v>257</v>
      </c>
      <c r="J9" s="761">
        <v>218</v>
      </c>
      <c r="K9" s="761">
        <v>139</v>
      </c>
      <c r="L9" s="761">
        <v>112</v>
      </c>
      <c r="M9" s="761">
        <v>113</v>
      </c>
      <c r="N9" s="766">
        <f t="shared" si="1"/>
        <v>1576</v>
      </c>
      <c r="O9" s="760">
        <v>87</v>
      </c>
      <c r="P9" s="761">
        <v>97</v>
      </c>
      <c r="Q9" s="761">
        <v>58</v>
      </c>
      <c r="R9" s="761">
        <v>41</v>
      </c>
      <c r="S9" s="761">
        <v>52</v>
      </c>
      <c r="T9" s="761">
        <v>70</v>
      </c>
      <c r="U9" s="761">
        <v>36</v>
      </c>
      <c r="V9" s="761">
        <v>129</v>
      </c>
      <c r="W9" s="761">
        <v>79</v>
      </c>
      <c r="X9" s="761">
        <v>120</v>
      </c>
      <c r="Y9" s="761">
        <v>198</v>
      </c>
      <c r="Z9" s="761">
        <v>40</v>
      </c>
      <c r="AA9" s="766">
        <f t="shared" si="2"/>
        <v>1007</v>
      </c>
      <c r="AB9" s="760">
        <v>277</v>
      </c>
      <c r="AC9" s="761">
        <v>159</v>
      </c>
      <c r="AD9" s="761">
        <v>36</v>
      </c>
      <c r="AE9" s="761">
        <v>44</v>
      </c>
      <c r="AF9" s="761">
        <v>29</v>
      </c>
      <c r="AG9" s="761">
        <v>166</v>
      </c>
      <c r="AH9" s="761">
        <v>193</v>
      </c>
      <c r="AI9" s="761">
        <v>375</v>
      </c>
      <c r="AJ9" s="761">
        <v>145</v>
      </c>
      <c r="AK9" s="761">
        <v>198</v>
      </c>
      <c r="AL9" s="761">
        <v>129</v>
      </c>
      <c r="AM9" s="761">
        <v>120</v>
      </c>
      <c r="AN9" s="766">
        <f t="shared" si="4"/>
        <v>1871</v>
      </c>
      <c r="AO9" s="760">
        <v>44</v>
      </c>
      <c r="AP9" s="761">
        <v>53</v>
      </c>
      <c r="AQ9" s="761">
        <v>42</v>
      </c>
      <c r="AR9" s="761">
        <v>38</v>
      </c>
      <c r="AS9" s="761">
        <v>40</v>
      </c>
      <c r="AT9" s="761">
        <v>135</v>
      </c>
      <c r="AU9" s="761">
        <v>115</v>
      </c>
      <c r="AV9" s="761">
        <v>116</v>
      </c>
      <c r="AW9" s="761">
        <v>106</v>
      </c>
      <c r="AX9" s="761">
        <v>120</v>
      </c>
      <c r="AY9" s="761">
        <v>88</v>
      </c>
      <c r="AZ9" s="761">
        <v>94</v>
      </c>
      <c r="BA9" s="766">
        <f t="shared" si="14"/>
        <v>991</v>
      </c>
      <c r="BB9" s="760">
        <v>43</v>
      </c>
      <c r="BC9" s="761">
        <v>51</v>
      </c>
      <c r="BD9" s="761">
        <v>51</v>
      </c>
      <c r="BE9" s="761">
        <v>48</v>
      </c>
      <c r="BF9" s="761">
        <v>67</v>
      </c>
      <c r="BG9" s="761">
        <v>107</v>
      </c>
      <c r="BH9" s="761">
        <v>105</v>
      </c>
      <c r="BI9" s="761">
        <v>127</v>
      </c>
      <c r="BJ9" s="761">
        <v>139</v>
      </c>
      <c r="BK9" s="761">
        <v>93</v>
      </c>
      <c r="BL9" s="761">
        <v>89</v>
      </c>
      <c r="BM9" s="761">
        <v>79</v>
      </c>
      <c r="BN9" s="766">
        <f>SUM(BB9:BM9)</f>
        <v>999</v>
      </c>
      <c r="BO9" s="760">
        <v>43</v>
      </c>
      <c r="BP9" s="761">
        <v>21</v>
      </c>
      <c r="BQ9" s="761">
        <v>1</v>
      </c>
      <c r="BR9" s="761">
        <v>2</v>
      </c>
      <c r="BS9" s="761"/>
      <c r="BT9" s="761">
        <v>73</v>
      </c>
      <c r="BU9" s="761">
        <v>67</v>
      </c>
      <c r="BV9" s="761">
        <v>105</v>
      </c>
      <c r="BW9" s="761">
        <v>44</v>
      </c>
      <c r="BX9" s="761">
        <v>53</v>
      </c>
      <c r="BY9" s="761">
        <v>46</v>
      </c>
      <c r="BZ9" s="761">
        <v>88</v>
      </c>
      <c r="CA9" s="766">
        <f t="shared" si="15"/>
        <v>543</v>
      </c>
      <c r="CB9" s="760">
        <v>40.433250000000008</v>
      </c>
      <c r="CC9" s="761">
        <v>0.4</v>
      </c>
      <c r="CD9" s="761">
        <v>52.058500000000002</v>
      </c>
      <c r="CE9" s="761">
        <v>62.676249999999989</v>
      </c>
      <c r="CF9" s="761">
        <v>97.298500000000004</v>
      </c>
      <c r="CG9" s="761">
        <v>59.081750000000007</v>
      </c>
      <c r="CH9" s="761">
        <v>91.22999999999999</v>
      </c>
      <c r="CI9" s="761">
        <v>86.64</v>
      </c>
      <c r="CJ9" s="761">
        <v>34.724000000000004</v>
      </c>
      <c r="CK9" s="761">
        <v>12.490000000000002</v>
      </c>
      <c r="CL9" s="761">
        <v>8.9720000000000013</v>
      </c>
      <c r="CM9" s="761">
        <v>4.5999999999999996</v>
      </c>
      <c r="CN9" s="766">
        <f t="shared" si="16"/>
        <v>550.60424999999998</v>
      </c>
      <c r="CO9" s="760">
        <v>48.902999999999984</v>
      </c>
      <c r="CP9" s="761">
        <v>58.17</v>
      </c>
      <c r="CQ9" s="761">
        <v>61.790000000000013</v>
      </c>
      <c r="CR9" s="761">
        <v>48.360000000000007</v>
      </c>
      <c r="CS9" s="761">
        <v>66.972749999999991</v>
      </c>
      <c r="CT9" s="761">
        <v>107.06799999999998</v>
      </c>
      <c r="CU9" s="761">
        <v>104.57850000000001</v>
      </c>
      <c r="CV9" s="761">
        <v>127.27975000000002</v>
      </c>
      <c r="CW9" s="761">
        <v>138.64174999999997</v>
      </c>
      <c r="CX9" s="761">
        <v>112.515</v>
      </c>
      <c r="CY9" s="761">
        <v>76.469249999999988</v>
      </c>
      <c r="CZ9" s="761">
        <v>70.755749999999992</v>
      </c>
      <c r="DA9" s="766">
        <f>SUM(CO9:CZ9)</f>
        <v>1021.50375</v>
      </c>
      <c r="DB9" s="760">
        <v>85.533500000000018</v>
      </c>
      <c r="DC9" s="761">
        <v>50.881999999999998</v>
      </c>
      <c r="DD9" s="761">
        <v>73.332999999999998</v>
      </c>
      <c r="DE9" s="761">
        <v>67.697499999999991</v>
      </c>
      <c r="DF9" s="761">
        <v>61.454250000000002</v>
      </c>
      <c r="DG9" s="761">
        <v>83.482749999999996</v>
      </c>
      <c r="DH9" s="761">
        <v>196.77450000000002</v>
      </c>
      <c r="DI9" s="761">
        <v>63.313250000000004</v>
      </c>
      <c r="DJ9" s="761">
        <v>85.865000000000009</v>
      </c>
      <c r="DK9" s="761">
        <v>55.266249999999999</v>
      </c>
      <c r="DL9" s="761">
        <v>193.54075</v>
      </c>
      <c r="DM9" s="761">
        <v>81.347499999999997</v>
      </c>
      <c r="DN9" s="766">
        <f>SUM(DB9:DM9)</f>
        <v>1098.4902500000001</v>
      </c>
      <c r="DO9" s="760">
        <v>15.517999999999999</v>
      </c>
      <c r="DP9" s="761">
        <v>29.7</v>
      </c>
      <c r="DQ9" s="761">
        <v>7.7800000000000011</v>
      </c>
      <c r="DR9" s="761">
        <v>15.959000000000001</v>
      </c>
      <c r="DS9" s="761">
        <v>30.564000000000004</v>
      </c>
      <c r="DT9" s="761">
        <v>26.274000000000004</v>
      </c>
      <c r="DU9" s="761">
        <v>24.999000000000002</v>
      </c>
      <c r="DV9" s="761">
        <v>33.935000000000009</v>
      </c>
      <c r="DW9" s="761">
        <v>46.980000000000004</v>
      </c>
      <c r="DX9" s="761">
        <v>35.865000000000002</v>
      </c>
      <c r="DY9" s="761">
        <v>20.490000000000002</v>
      </c>
      <c r="DZ9" s="761">
        <v>7.423</v>
      </c>
      <c r="EA9" s="766">
        <f t="shared" si="11"/>
        <v>295.48700000000002</v>
      </c>
      <c r="EB9" s="760">
        <v>9.0640000000000001</v>
      </c>
      <c r="EC9" s="761">
        <v>15.137</v>
      </c>
      <c r="ED9" s="761">
        <v>5.6149999999999993</v>
      </c>
      <c r="EE9" s="761">
        <v>21.202999999999999</v>
      </c>
      <c r="EF9" s="761">
        <v>19.32</v>
      </c>
      <c r="EG9" s="761">
        <v>15.705999999999998</v>
      </c>
      <c r="EH9" s="761">
        <v>45.375</v>
      </c>
      <c r="EI9" s="761">
        <v>24.117999999999999</v>
      </c>
      <c r="EJ9" s="761">
        <v>21.869999999999997</v>
      </c>
      <c r="EK9" s="761">
        <v>19.833000000000002</v>
      </c>
      <c r="EL9" s="761">
        <v>44.210000000000008</v>
      </c>
      <c r="EM9" s="761">
        <v>6.9619999999999997</v>
      </c>
      <c r="EN9" s="766">
        <f t="shared" si="17"/>
        <v>248.41300000000001</v>
      </c>
      <c r="EO9" s="760">
        <v>7.3249999999999993</v>
      </c>
      <c r="EP9" s="761">
        <v>3.7079999999999984</v>
      </c>
      <c r="EQ9" s="761">
        <v>8.69</v>
      </c>
      <c r="ER9" s="761">
        <v>12.478000000000002</v>
      </c>
      <c r="ES9" s="761"/>
      <c r="ET9" s="761"/>
      <c r="EU9" s="761"/>
      <c r="EV9" s="761"/>
      <c r="EW9" s="761"/>
      <c r="EX9" s="761"/>
      <c r="EY9" s="761"/>
      <c r="EZ9" s="761"/>
      <c r="FA9" s="766">
        <f t="shared" si="18"/>
        <v>32.201000000000001</v>
      </c>
      <c r="FC9" s="560">
        <f>IFERROR(((
_xlfn.XLOOKUP((DATE(YEAR($FC$5),MONTH($FC$5),1)),UCA.PESCA.DATE,$B9:$FA9) /
_xlfn.XLOOKUP((DATE(YEAR($FC$5)-1,MONTH($FC$5),1)),UCA.PESCA.DATE,$B9:$FA9)
)-1)*100,"")</f>
        <v>54.764024933214614</v>
      </c>
      <c r="FD9" s="561">
        <f t="shared" si="19"/>
        <v>-33.850952508720155</v>
      </c>
      <c r="FE9" s="562">
        <f>SUMIFS($B9:$FA9,UCA.PESCA.DATE,"&gt;="&amp;DATE(YEAR($FC$5)-1,1,1),UCA.PESCA.DATE,"&lt;="&amp;DATE(YEAR($FC$5)-1,MONTH($FC$5),1))</f>
        <v>29.815999999999999</v>
      </c>
      <c r="FF9" s="665">
        <f>SUMIFS($B9:$FA9,UCA.PESCA.DATE,"&gt;="&amp;DATE(YEAR($FC$5),1,1),UCA.PESCA.DATE,"&lt;="&amp;$FC$5)</f>
        <v>19.722999999999999</v>
      </c>
      <c r="FH9" s="917"/>
      <c r="FI9" s="920" t="str">
        <f t="shared" si="20"/>
        <v>RESIVAR</v>
      </c>
    </row>
    <row r="10" spans="1:166" ht="15" customHeight="1" x14ac:dyDescent="0.25">
      <c r="A10" s="121"/>
      <c r="B10" s="760"/>
      <c r="C10" s="761"/>
      <c r="D10" s="761"/>
      <c r="E10" s="761"/>
      <c r="F10" s="761"/>
      <c r="G10" s="761"/>
      <c r="H10" s="761"/>
      <c r="I10" s="761"/>
      <c r="J10" s="761"/>
      <c r="K10" s="761"/>
      <c r="L10" s="761"/>
      <c r="M10" s="761"/>
      <c r="N10" s="766"/>
      <c r="O10" s="760"/>
      <c r="P10" s="761"/>
      <c r="Q10" s="761"/>
      <c r="R10" s="761"/>
      <c r="S10" s="761"/>
      <c r="T10" s="761"/>
      <c r="U10" s="761"/>
      <c r="V10" s="761"/>
      <c r="W10" s="761"/>
      <c r="X10" s="761"/>
      <c r="Y10" s="761"/>
      <c r="Z10" s="761"/>
      <c r="AA10" s="766"/>
      <c r="AB10" s="760"/>
      <c r="AC10" s="761"/>
      <c r="AD10" s="761"/>
      <c r="AE10" s="761"/>
      <c r="AF10" s="761"/>
      <c r="AG10" s="761"/>
      <c r="AH10" s="761"/>
      <c r="AI10" s="761"/>
      <c r="AJ10" s="761"/>
      <c r="AK10" s="761"/>
      <c r="AL10" s="761"/>
      <c r="AM10" s="761"/>
      <c r="AN10" s="766"/>
      <c r="AO10" s="760"/>
      <c r="AP10" s="761"/>
      <c r="AQ10" s="761"/>
      <c r="AR10" s="761"/>
      <c r="AS10" s="761"/>
      <c r="AT10" s="761"/>
      <c r="AU10" s="761"/>
      <c r="AV10" s="761"/>
      <c r="AW10" s="761"/>
      <c r="AX10" s="761"/>
      <c r="AY10" s="761"/>
      <c r="AZ10" s="761"/>
      <c r="BA10" s="766"/>
      <c r="BB10" s="760"/>
      <c r="BC10" s="761"/>
      <c r="BD10" s="761"/>
      <c r="BE10" s="761"/>
      <c r="BF10" s="761"/>
      <c r="BG10" s="761"/>
      <c r="BH10" s="761"/>
      <c r="BI10" s="761"/>
      <c r="BJ10" s="761"/>
      <c r="BK10" s="761"/>
      <c r="BL10" s="761"/>
      <c r="BM10" s="761"/>
      <c r="BN10" s="766"/>
      <c r="BO10" s="760"/>
      <c r="BP10" s="761"/>
      <c r="BQ10" s="761"/>
      <c r="BR10" s="761"/>
      <c r="BS10" s="761"/>
      <c r="BT10" s="761"/>
      <c r="BU10" s="761"/>
      <c r="BV10" s="761"/>
      <c r="BW10" s="761"/>
      <c r="BX10" s="761"/>
      <c r="BY10" s="761"/>
      <c r="BZ10" s="761"/>
      <c r="CA10" s="766"/>
      <c r="CB10" s="760"/>
      <c r="CC10" s="761"/>
      <c r="CD10" s="761"/>
      <c r="CE10" s="761"/>
      <c r="CF10" s="761"/>
      <c r="CG10" s="761"/>
      <c r="CH10" s="761"/>
      <c r="CI10" s="761"/>
      <c r="CJ10" s="761"/>
      <c r="CK10" s="761"/>
      <c r="CL10" s="761"/>
      <c r="CM10" s="761"/>
      <c r="CN10" s="766"/>
      <c r="CO10" s="760"/>
      <c r="CP10" s="761"/>
      <c r="CQ10" s="761"/>
      <c r="CR10" s="761"/>
      <c r="CS10" s="761"/>
      <c r="CT10" s="761"/>
      <c r="CU10" s="761"/>
      <c r="CV10" s="761"/>
      <c r="CW10" s="761"/>
      <c r="CX10" s="761"/>
      <c r="CY10" s="761"/>
      <c r="CZ10" s="761"/>
      <c r="DA10" s="766"/>
      <c r="DB10" s="760"/>
      <c r="DC10" s="761"/>
      <c r="DD10" s="761"/>
      <c r="DE10" s="761"/>
      <c r="DF10" s="761"/>
      <c r="DG10" s="761"/>
      <c r="DH10" s="761"/>
      <c r="DI10" s="761"/>
      <c r="DJ10" s="761"/>
      <c r="DK10" s="761"/>
      <c r="DL10" s="761"/>
      <c r="DM10" s="761"/>
      <c r="DN10" s="766"/>
      <c r="DO10" s="760"/>
      <c r="DP10" s="761"/>
      <c r="DQ10" s="761"/>
      <c r="DR10" s="761"/>
      <c r="DS10" s="761"/>
      <c r="DT10" s="761"/>
      <c r="DU10" s="761"/>
      <c r="DV10" s="761"/>
      <c r="DW10" s="761"/>
      <c r="DX10" s="761"/>
      <c r="DY10" s="761"/>
      <c r="DZ10" s="761"/>
      <c r="EA10" s="766"/>
      <c r="EB10" s="760"/>
      <c r="EC10" s="761"/>
      <c r="ED10" s="761"/>
      <c r="EE10" s="761"/>
      <c r="EF10" s="761"/>
      <c r="EG10" s="761"/>
      <c r="EH10" s="761"/>
      <c r="EI10" s="761"/>
      <c r="EJ10" s="761"/>
      <c r="EK10" s="761"/>
      <c r="EL10" s="761"/>
      <c r="EM10" s="761"/>
      <c r="EN10" s="766"/>
      <c r="EO10" s="760"/>
      <c r="EP10" s="761"/>
      <c r="EQ10" s="761"/>
      <c r="ER10" s="761"/>
      <c r="ES10" s="761"/>
      <c r="ET10" s="761"/>
      <c r="EU10" s="761"/>
      <c r="EV10" s="761"/>
      <c r="EW10" s="761"/>
      <c r="EX10" s="761"/>
      <c r="EY10" s="761"/>
      <c r="EZ10" s="761"/>
      <c r="FA10" s="766"/>
      <c r="FC10" s="560"/>
      <c r="FD10" s="561"/>
      <c r="FE10" s="562"/>
      <c r="FF10" s="665"/>
      <c r="FH10" s="917"/>
      <c r="FI10" s="920"/>
    </row>
    <row r="11" spans="1:166" s="753" customFormat="1" ht="15" customHeight="1" x14ac:dyDescent="0.25">
      <c r="A11" s="755" t="s">
        <v>656</v>
      </c>
      <c r="B11" s="763">
        <f t="shared" ref="B11:M11" si="21">SUM(B12:B52)</f>
        <v>321</v>
      </c>
      <c r="C11" s="764">
        <f t="shared" si="21"/>
        <v>229</v>
      </c>
      <c r="D11" s="764">
        <f t="shared" si="21"/>
        <v>218</v>
      </c>
      <c r="E11" s="764">
        <f t="shared" si="21"/>
        <v>198</v>
      </c>
      <c r="F11" s="764">
        <f t="shared" si="21"/>
        <v>341</v>
      </c>
      <c r="G11" s="764">
        <f t="shared" si="21"/>
        <v>457</v>
      </c>
      <c r="H11" s="764">
        <f t="shared" si="21"/>
        <v>626</v>
      </c>
      <c r="I11" s="764">
        <f t="shared" si="21"/>
        <v>986</v>
      </c>
      <c r="J11" s="764">
        <f t="shared" si="21"/>
        <v>932</v>
      </c>
      <c r="K11" s="764">
        <f t="shared" si="21"/>
        <v>946</v>
      </c>
      <c r="L11" s="764">
        <f t="shared" si="21"/>
        <v>476</v>
      </c>
      <c r="M11" s="764">
        <f t="shared" si="21"/>
        <v>455</v>
      </c>
      <c r="N11" s="765">
        <f t="shared" si="1"/>
        <v>6185</v>
      </c>
      <c r="O11" s="763">
        <f t="shared" ref="O11:Z11" si="22">SUM(O12:O52)</f>
        <v>242</v>
      </c>
      <c r="P11" s="764">
        <f t="shared" si="22"/>
        <v>199</v>
      </c>
      <c r="Q11" s="764">
        <f t="shared" si="22"/>
        <v>137</v>
      </c>
      <c r="R11" s="764">
        <f t="shared" si="22"/>
        <v>111</v>
      </c>
      <c r="S11" s="764">
        <f t="shared" si="22"/>
        <v>272</v>
      </c>
      <c r="T11" s="764">
        <f t="shared" si="22"/>
        <v>481</v>
      </c>
      <c r="U11" s="764">
        <f t="shared" si="22"/>
        <v>388</v>
      </c>
      <c r="V11" s="764">
        <f t="shared" si="22"/>
        <v>481</v>
      </c>
      <c r="W11" s="764">
        <f t="shared" si="22"/>
        <v>599</v>
      </c>
      <c r="X11" s="764">
        <f t="shared" si="22"/>
        <v>395</v>
      </c>
      <c r="Y11" s="764">
        <f t="shared" si="22"/>
        <v>370</v>
      </c>
      <c r="Z11" s="764">
        <f t="shared" si="22"/>
        <v>252</v>
      </c>
      <c r="AA11" s="765">
        <f t="shared" si="2"/>
        <v>3927</v>
      </c>
      <c r="AB11" s="763">
        <f t="shared" ref="AB11:AM11" si="23">SUM(AB12:AB52)</f>
        <v>451</v>
      </c>
      <c r="AC11" s="764">
        <f t="shared" si="23"/>
        <v>313</v>
      </c>
      <c r="AD11" s="764">
        <f t="shared" si="23"/>
        <v>153</v>
      </c>
      <c r="AE11" s="764">
        <f t="shared" si="23"/>
        <v>249</v>
      </c>
      <c r="AF11" s="764">
        <f t="shared" si="23"/>
        <v>263</v>
      </c>
      <c r="AG11" s="764">
        <f t="shared" si="23"/>
        <v>408</v>
      </c>
      <c r="AH11" s="764">
        <f t="shared" si="23"/>
        <v>526</v>
      </c>
      <c r="AI11" s="764">
        <f t="shared" si="23"/>
        <v>860</v>
      </c>
      <c r="AJ11" s="764">
        <f t="shared" si="23"/>
        <v>749</v>
      </c>
      <c r="AK11" s="764">
        <f t="shared" si="23"/>
        <v>726</v>
      </c>
      <c r="AL11" s="764">
        <f t="shared" si="23"/>
        <v>404</v>
      </c>
      <c r="AM11" s="764">
        <f t="shared" si="23"/>
        <v>357</v>
      </c>
      <c r="AN11" s="765">
        <f t="shared" si="4"/>
        <v>5459</v>
      </c>
      <c r="AO11" s="763">
        <f t="shared" ref="AO11:AZ11" si="24">SUM(AO12:AO52)</f>
        <v>235</v>
      </c>
      <c r="AP11" s="764">
        <f t="shared" si="24"/>
        <v>150</v>
      </c>
      <c r="AQ11" s="764">
        <f t="shared" si="24"/>
        <v>252</v>
      </c>
      <c r="AR11" s="764">
        <f t="shared" si="24"/>
        <v>208</v>
      </c>
      <c r="AS11" s="764">
        <f t="shared" si="24"/>
        <v>255</v>
      </c>
      <c r="AT11" s="764">
        <f t="shared" si="24"/>
        <v>382</v>
      </c>
      <c r="AU11" s="764">
        <f t="shared" si="24"/>
        <v>477</v>
      </c>
      <c r="AV11" s="764">
        <f t="shared" si="24"/>
        <v>610</v>
      </c>
      <c r="AW11" s="764">
        <f t="shared" si="24"/>
        <v>447</v>
      </c>
      <c r="AX11" s="764">
        <f t="shared" si="24"/>
        <v>414</v>
      </c>
      <c r="AY11" s="764">
        <f t="shared" si="24"/>
        <v>334</v>
      </c>
      <c r="AZ11" s="764">
        <f t="shared" si="24"/>
        <v>222</v>
      </c>
      <c r="BA11" s="765">
        <f t="shared" si="14"/>
        <v>3986</v>
      </c>
      <c r="BB11" s="763">
        <f t="shared" ref="BB11:BM11" si="25">SUM(BB12:BB52)</f>
        <v>240</v>
      </c>
      <c r="BC11" s="764">
        <f t="shared" si="25"/>
        <v>196</v>
      </c>
      <c r="BD11" s="764">
        <f t="shared" si="25"/>
        <v>236</v>
      </c>
      <c r="BE11" s="764">
        <f t="shared" si="25"/>
        <v>227</v>
      </c>
      <c r="BF11" s="764">
        <f t="shared" si="25"/>
        <v>341</v>
      </c>
      <c r="BG11" s="764">
        <f t="shared" si="25"/>
        <v>503</v>
      </c>
      <c r="BH11" s="764">
        <f t="shared" si="25"/>
        <v>561.72275000000002</v>
      </c>
      <c r="BI11" s="764">
        <f t="shared" si="25"/>
        <v>505</v>
      </c>
      <c r="BJ11" s="764">
        <f t="shared" si="25"/>
        <v>756</v>
      </c>
      <c r="BK11" s="764">
        <f t="shared" si="25"/>
        <v>658</v>
      </c>
      <c r="BL11" s="764">
        <f t="shared" si="25"/>
        <v>311</v>
      </c>
      <c r="BM11" s="764">
        <f t="shared" si="25"/>
        <v>275</v>
      </c>
      <c r="BN11" s="765">
        <f t="shared" ref="BN11" si="26">SUM(BB11:BM11)</f>
        <v>4809.7227499999999</v>
      </c>
      <c r="BO11" s="763">
        <f t="shared" ref="BO11:BZ11" si="27">SUM(BO12:BO52)</f>
        <v>149</v>
      </c>
      <c r="BP11" s="764">
        <f t="shared" si="27"/>
        <v>183</v>
      </c>
      <c r="BQ11" s="764">
        <f t="shared" si="27"/>
        <v>42</v>
      </c>
      <c r="BR11" s="764">
        <f t="shared" si="27"/>
        <v>2</v>
      </c>
      <c r="BS11" s="764">
        <f t="shared" si="27"/>
        <v>1</v>
      </c>
      <c r="BT11" s="764">
        <f t="shared" si="27"/>
        <v>98</v>
      </c>
      <c r="BU11" s="764">
        <f t="shared" si="27"/>
        <v>315</v>
      </c>
      <c r="BV11" s="764">
        <f t="shared" si="27"/>
        <v>251</v>
      </c>
      <c r="BW11" s="764">
        <f t="shared" si="27"/>
        <v>131</v>
      </c>
      <c r="BX11" s="764">
        <f t="shared" si="27"/>
        <v>228</v>
      </c>
      <c r="BY11" s="764">
        <f t="shared" si="27"/>
        <v>146</v>
      </c>
      <c r="BZ11" s="764">
        <f t="shared" si="27"/>
        <v>116</v>
      </c>
      <c r="CA11" s="765">
        <f t="shared" si="15"/>
        <v>1662</v>
      </c>
      <c r="CB11" s="763">
        <f t="shared" ref="CB11:CM11" si="28">SUM(CB12:CB52)</f>
        <v>135.97529999999995</v>
      </c>
      <c r="CC11" s="764">
        <f t="shared" si="28"/>
        <v>116.24589999999999</v>
      </c>
      <c r="CD11" s="764">
        <f t="shared" si="28"/>
        <v>52.54999999999999</v>
      </c>
      <c r="CE11" s="764">
        <f t="shared" si="28"/>
        <v>69.119500000000016</v>
      </c>
      <c r="CF11" s="764">
        <f t="shared" si="28"/>
        <v>146.17840000000001</v>
      </c>
      <c r="CG11" s="764">
        <f t="shared" si="28"/>
        <v>186.61350000000004</v>
      </c>
      <c r="CH11" s="764">
        <f t="shared" si="28"/>
        <v>387.09274999999985</v>
      </c>
      <c r="CI11" s="764">
        <f t="shared" si="28"/>
        <v>271.92525000000001</v>
      </c>
      <c r="CJ11" s="764">
        <f t="shared" si="28"/>
        <v>164.47625000000002</v>
      </c>
      <c r="CK11" s="764">
        <f t="shared" si="28"/>
        <v>183.25524999999999</v>
      </c>
      <c r="CL11" s="764">
        <f t="shared" si="28"/>
        <v>139.43775000000002</v>
      </c>
      <c r="CM11" s="764">
        <f t="shared" si="28"/>
        <v>114.80074999999999</v>
      </c>
      <c r="CN11" s="765">
        <f t="shared" si="16"/>
        <v>1967.6705999999999</v>
      </c>
      <c r="CO11" s="763">
        <f t="shared" ref="CO11:CZ11" si="29">SUM(CO12:CO52)</f>
        <v>152.94991950000005</v>
      </c>
      <c r="CP11" s="764">
        <f t="shared" si="29"/>
        <v>208.26839999999996</v>
      </c>
      <c r="CQ11" s="764">
        <f t="shared" si="29"/>
        <v>181.5736</v>
      </c>
      <c r="CR11" s="764">
        <f t="shared" si="29"/>
        <v>180.55250000000001</v>
      </c>
      <c r="CS11" s="764">
        <f t="shared" si="29"/>
        <v>160.44464999999997</v>
      </c>
      <c r="CT11" s="764">
        <f t="shared" si="29"/>
        <v>198.73150000000001</v>
      </c>
      <c r="CU11" s="764">
        <f t="shared" si="29"/>
        <v>518.90520000000015</v>
      </c>
      <c r="CV11" s="764">
        <f t="shared" si="29"/>
        <v>564.11705000000006</v>
      </c>
      <c r="CW11" s="764">
        <f t="shared" si="29"/>
        <v>682.80165000000011</v>
      </c>
      <c r="CX11" s="764">
        <f t="shared" si="29"/>
        <v>392.64684999999992</v>
      </c>
      <c r="CY11" s="764">
        <f t="shared" si="29"/>
        <v>287.40575000000001</v>
      </c>
      <c r="CZ11" s="764">
        <f t="shared" si="29"/>
        <v>222.18285000000006</v>
      </c>
      <c r="DA11" s="765">
        <f t="shared" ref="DA11:DA52" si="30">SUM(CO11:CZ11)</f>
        <v>3750.5799195000009</v>
      </c>
      <c r="DB11" s="763">
        <f t="shared" ref="DB11:DM11" si="31">SUM(DB12:DB52)</f>
        <v>221.52780000000001</v>
      </c>
      <c r="DC11" s="764">
        <f t="shared" si="31"/>
        <v>147.09889999999999</v>
      </c>
      <c r="DD11" s="764">
        <f t="shared" si="31"/>
        <v>173.36929999999998</v>
      </c>
      <c r="DE11" s="764">
        <f t="shared" si="31"/>
        <v>204.67589999999998</v>
      </c>
      <c r="DF11" s="764">
        <f t="shared" si="31"/>
        <v>197.55384999999998</v>
      </c>
      <c r="DG11" s="764">
        <f t="shared" si="31"/>
        <v>258.90214999999995</v>
      </c>
      <c r="DH11" s="764">
        <f t="shared" si="31"/>
        <v>271.66489999999999</v>
      </c>
      <c r="DI11" s="764">
        <f t="shared" si="31"/>
        <v>384.11324999999994</v>
      </c>
      <c r="DJ11" s="764">
        <f t="shared" si="31"/>
        <v>408.91449999999992</v>
      </c>
      <c r="DK11" s="764">
        <f t="shared" si="31"/>
        <v>216.83749999999998</v>
      </c>
      <c r="DL11" s="764">
        <f t="shared" si="31"/>
        <v>315.58749999999981</v>
      </c>
      <c r="DM11" s="764">
        <f t="shared" si="31"/>
        <v>167.58375000000001</v>
      </c>
      <c r="DN11" s="765">
        <f t="shared" ref="DN11:DN52" si="32">SUM(DB11:DM11)</f>
        <v>2967.8292999999994</v>
      </c>
      <c r="DO11" s="763">
        <f t="shared" ref="DO11:DZ11" si="33">SUM(DO12:DO52)</f>
        <v>57.747999999999998</v>
      </c>
      <c r="DP11" s="764">
        <f t="shared" si="33"/>
        <v>84.626000000000005</v>
      </c>
      <c r="DQ11" s="764">
        <f t="shared" si="33"/>
        <v>52.085000000000008</v>
      </c>
      <c r="DR11" s="764">
        <f t="shared" si="33"/>
        <v>62.091999999999985</v>
      </c>
      <c r="DS11" s="764">
        <f t="shared" si="33"/>
        <v>98.695999999999984</v>
      </c>
      <c r="DT11" s="764">
        <f t="shared" si="33"/>
        <v>170.86099999999996</v>
      </c>
      <c r="DU11" s="764">
        <f t="shared" si="33"/>
        <v>273.76100000000008</v>
      </c>
      <c r="DV11" s="764">
        <f t="shared" si="33"/>
        <v>208.78400000000002</v>
      </c>
      <c r="DW11" s="764">
        <f t="shared" si="33"/>
        <v>313.59199999999993</v>
      </c>
      <c r="DX11" s="764">
        <f t="shared" si="33"/>
        <v>382.399</v>
      </c>
      <c r="DY11" s="764">
        <f t="shared" si="33"/>
        <v>283.69000000000005</v>
      </c>
      <c r="DZ11" s="764">
        <f t="shared" si="33"/>
        <v>163.30100000000002</v>
      </c>
      <c r="EA11" s="765">
        <f t="shared" si="11"/>
        <v>2151.6349999999998</v>
      </c>
      <c r="EB11" s="763">
        <f t="shared" ref="EB11:EM11" si="34">SUM(EB12:EB52)</f>
        <v>108.60899999999998</v>
      </c>
      <c r="EC11" s="764">
        <f t="shared" si="34"/>
        <v>83.771000000000001</v>
      </c>
      <c r="ED11" s="764">
        <f t="shared" si="34"/>
        <v>50.250000000000014</v>
      </c>
      <c r="EE11" s="764">
        <f t="shared" si="34"/>
        <v>95.002999999999972</v>
      </c>
      <c r="EF11" s="764">
        <f t="shared" si="34"/>
        <v>96.623999999999995</v>
      </c>
      <c r="EG11" s="764">
        <f t="shared" si="34"/>
        <v>72.131</v>
      </c>
      <c r="EH11" s="764">
        <f t="shared" si="34"/>
        <v>233.74099999999999</v>
      </c>
      <c r="EI11" s="764">
        <f t="shared" si="34"/>
        <v>374.59399999999999</v>
      </c>
      <c r="EJ11" s="764">
        <f t="shared" si="34"/>
        <v>257.09499999999997</v>
      </c>
      <c r="EK11" s="764">
        <f t="shared" si="34"/>
        <v>366.2949999999999</v>
      </c>
      <c r="EL11" s="764">
        <f t="shared" si="34"/>
        <v>235.28700000000001</v>
      </c>
      <c r="EM11" s="764">
        <f t="shared" si="34"/>
        <v>184.93099999999995</v>
      </c>
      <c r="EN11" s="765">
        <f t="shared" ref="EN11" si="35">SUM(EB11:EM11)</f>
        <v>2158.3309999999997</v>
      </c>
      <c r="EO11" s="763">
        <f t="shared" ref="EO11:EZ11" si="36">SUM(EO12:EO52)</f>
        <v>92.575000000000003</v>
      </c>
      <c r="EP11" s="764">
        <f t="shared" si="36"/>
        <v>61.798000000000002</v>
      </c>
      <c r="EQ11" s="764">
        <f t="shared" si="36"/>
        <v>86.544000000000025</v>
      </c>
      <c r="ER11" s="764">
        <f t="shared" si="36"/>
        <v>122.08699999999999</v>
      </c>
      <c r="ES11" s="764">
        <f t="shared" si="36"/>
        <v>0</v>
      </c>
      <c r="ET11" s="764">
        <f t="shared" si="36"/>
        <v>0</v>
      </c>
      <c r="EU11" s="764">
        <f t="shared" si="36"/>
        <v>0</v>
      </c>
      <c r="EV11" s="764">
        <f t="shared" si="36"/>
        <v>0</v>
      </c>
      <c r="EW11" s="764">
        <f t="shared" si="36"/>
        <v>0</v>
      </c>
      <c r="EX11" s="764">
        <f t="shared" si="36"/>
        <v>0</v>
      </c>
      <c r="EY11" s="764">
        <f t="shared" si="36"/>
        <v>0</v>
      </c>
      <c r="EZ11" s="764">
        <f t="shared" si="36"/>
        <v>0</v>
      </c>
      <c r="FA11" s="765">
        <f t="shared" si="18"/>
        <v>363.00400000000002</v>
      </c>
      <c r="FB11" s="757"/>
      <c r="FC11" s="544">
        <f t="shared" ref="FC11:FC52" si="37">IFERROR(((
_xlfn.XLOOKUP((DATE(YEAR($FC$5),MONTH($FC$5),1)),UCA.PESCA.DATE,$B11:$FA11) /
_xlfn.XLOOKUP((DATE(YEAR($FC$5)-1,MONTH($FC$5),1)),UCA.PESCA.DATE,$B11:$FA11)
)-1)*100,"")</f>
        <v>72.226865671641775</v>
      </c>
      <c r="FD11" s="545">
        <f t="shared" ref="FD11:FD52" si="38">IFERROR(((FF11/FE11)-1)*100,"")</f>
        <v>-0.70601327123602786</v>
      </c>
      <c r="FE11" s="546">
        <f t="shared" ref="FE11:FE52" si="39">SUMIFS($B11:$FA11,UCA.PESCA.DATE,"&gt;="&amp;DATE(YEAR($FC$5)-1,1,1),UCA.PESCA.DATE,"&lt;="&amp;DATE(YEAR($FC$5)-1,MONTH($FC$5),1))</f>
        <v>242.63</v>
      </c>
      <c r="FF11" s="547">
        <f t="shared" ref="FF11:FF52" si="40">SUMIFS($B11:$FA11,UCA.PESCA.DATE,"&gt;="&amp;DATE(YEAR($FC$5),1,1),UCA.PESCA.DATE,"&lt;="&amp;$FC$5)</f>
        <v>240.91700000000003</v>
      </c>
      <c r="FG11" s="757"/>
      <c r="FH11" s="919"/>
      <c r="FI11" s="921" t="str">
        <f t="shared" si="20"/>
        <v>RESIVAR</v>
      </c>
    </row>
    <row r="12" spans="1:166" ht="15" customHeight="1" x14ac:dyDescent="0.25">
      <c r="A12" s="349" t="s">
        <v>16</v>
      </c>
      <c r="B12" s="760">
        <v>2</v>
      </c>
      <c r="C12" s="761">
        <v>2</v>
      </c>
      <c r="D12" s="761">
        <v>3</v>
      </c>
      <c r="E12" s="761">
        <v>2</v>
      </c>
      <c r="F12" s="761"/>
      <c r="G12" s="761">
        <v>1</v>
      </c>
      <c r="H12" s="761">
        <v>1</v>
      </c>
      <c r="I12" s="761">
        <v>3</v>
      </c>
      <c r="J12" s="761">
        <v>6</v>
      </c>
      <c r="K12" s="761">
        <v>6</v>
      </c>
      <c r="L12" s="761">
        <v>8</v>
      </c>
      <c r="M12" s="761">
        <v>9</v>
      </c>
      <c r="N12" s="766">
        <f t="shared" ref="N12:N51" si="41">SUM(B12:M12)</f>
        <v>43</v>
      </c>
      <c r="O12" s="760">
        <v>3</v>
      </c>
      <c r="P12" s="761">
        <v>1</v>
      </c>
      <c r="Q12" s="761">
        <v>2</v>
      </c>
      <c r="R12" s="761">
        <v>1</v>
      </c>
      <c r="S12" s="761">
        <v>1</v>
      </c>
      <c r="T12" s="761">
        <v>1</v>
      </c>
      <c r="U12" s="761">
        <v>2</v>
      </c>
      <c r="V12" s="761">
        <v>4</v>
      </c>
      <c r="W12" s="761">
        <v>4</v>
      </c>
      <c r="X12" s="761">
        <v>2</v>
      </c>
      <c r="Y12" s="761">
        <v>6</v>
      </c>
      <c r="Z12" s="761">
        <v>1</v>
      </c>
      <c r="AA12" s="766">
        <f t="shared" ref="AA12:AA51" si="42">SUM(O12:Z12)</f>
        <v>28</v>
      </c>
      <c r="AB12" s="760">
        <v>7</v>
      </c>
      <c r="AC12" s="761">
        <v>12</v>
      </c>
      <c r="AD12" s="761">
        <v>1</v>
      </c>
      <c r="AE12" s="761"/>
      <c r="AF12" s="761">
        <v>1</v>
      </c>
      <c r="AG12" s="761">
        <v>1</v>
      </c>
      <c r="AH12" s="761">
        <v>2</v>
      </c>
      <c r="AI12" s="761">
        <v>8</v>
      </c>
      <c r="AJ12" s="761">
        <v>10</v>
      </c>
      <c r="AK12" s="761">
        <v>8</v>
      </c>
      <c r="AL12" s="761">
        <v>3</v>
      </c>
      <c r="AM12" s="761">
        <v>3</v>
      </c>
      <c r="AN12" s="766">
        <f t="shared" ref="AN12:AN51" si="43">SUM(AB12:AM12)</f>
        <v>56</v>
      </c>
      <c r="AO12" s="760">
        <v>1</v>
      </c>
      <c r="AP12" s="761"/>
      <c r="AQ12" s="761"/>
      <c r="AR12" s="761"/>
      <c r="AS12" s="761"/>
      <c r="AT12" s="761">
        <v>2</v>
      </c>
      <c r="AU12" s="761">
        <v>8</v>
      </c>
      <c r="AV12" s="761">
        <v>4</v>
      </c>
      <c r="AW12" s="761">
        <v>2</v>
      </c>
      <c r="AX12" s="761">
        <v>2</v>
      </c>
      <c r="AY12" s="761">
        <v>3</v>
      </c>
      <c r="AZ12" s="761">
        <v>1</v>
      </c>
      <c r="BA12" s="766">
        <f t="shared" ref="BA12:BA51" si="44">SUM(AO12:AZ12)</f>
        <v>23</v>
      </c>
      <c r="BB12" s="760">
        <v>1</v>
      </c>
      <c r="BC12" s="761">
        <v>1</v>
      </c>
      <c r="BD12" s="761">
        <v>1</v>
      </c>
      <c r="BE12" s="761">
        <v>1</v>
      </c>
      <c r="BF12" s="761">
        <v>1</v>
      </c>
      <c r="BG12" s="761">
        <v>1</v>
      </c>
      <c r="BH12" s="761">
        <v>2</v>
      </c>
      <c r="BI12" s="761">
        <v>4</v>
      </c>
      <c r="BJ12" s="761">
        <v>5</v>
      </c>
      <c r="BK12" s="761">
        <v>3</v>
      </c>
      <c r="BL12" s="761">
        <v>3</v>
      </c>
      <c r="BM12" s="761">
        <v>1</v>
      </c>
      <c r="BN12" s="766">
        <f t="shared" ref="BN12:BN51" si="45">SUM(BB12:BM12)</f>
        <v>24</v>
      </c>
      <c r="BO12" s="760">
        <v>1</v>
      </c>
      <c r="BP12" s="761">
        <v>1</v>
      </c>
      <c r="BQ12" s="761"/>
      <c r="BR12" s="761"/>
      <c r="BS12" s="761"/>
      <c r="BT12" s="761">
        <v>1</v>
      </c>
      <c r="BU12" s="761">
        <v>1</v>
      </c>
      <c r="BV12" s="761">
        <v>3</v>
      </c>
      <c r="BW12" s="761">
        <v>1</v>
      </c>
      <c r="BX12" s="761">
        <v>3</v>
      </c>
      <c r="BY12" s="761">
        <v>2</v>
      </c>
      <c r="BZ12" s="761">
        <v>3</v>
      </c>
      <c r="CA12" s="766">
        <f t="shared" ref="CA12:CA51" si="46">SUM(BO12:BZ12)</f>
        <v>16</v>
      </c>
      <c r="CB12" s="760">
        <v>0.38090000000000002</v>
      </c>
      <c r="CC12" s="761">
        <v>6.5000000000000002E-2</v>
      </c>
      <c r="CD12" s="761">
        <v>6.5000000000000002E-2</v>
      </c>
      <c r="CE12" s="761"/>
      <c r="CF12" s="761">
        <v>0.20474999999999999</v>
      </c>
      <c r="CG12" s="761">
        <v>0.78</v>
      </c>
      <c r="CH12" s="761">
        <v>0.47000000000000003</v>
      </c>
      <c r="CI12" s="761">
        <v>0.36</v>
      </c>
      <c r="CJ12" s="761">
        <v>0.435</v>
      </c>
      <c r="CK12" s="761">
        <v>0.33</v>
      </c>
      <c r="CL12" s="761">
        <v>1.339</v>
      </c>
      <c r="CM12" s="761">
        <v>1.37</v>
      </c>
      <c r="CN12" s="766">
        <f t="shared" ref="CN12:CN51" si="47">SUM(CB12:CM12)</f>
        <v>5.7996500000000006</v>
      </c>
      <c r="CO12" s="760">
        <v>1.0988</v>
      </c>
      <c r="CP12" s="761">
        <v>0.2782</v>
      </c>
      <c r="CQ12" s="761">
        <v>0.14949999999999999</v>
      </c>
      <c r="CR12" s="761">
        <v>0.9425</v>
      </c>
      <c r="CS12" s="761">
        <v>0.39</v>
      </c>
      <c r="CT12" s="761">
        <v>0.61099999999999999</v>
      </c>
      <c r="CU12" s="761">
        <v>2.02475</v>
      </c>
      <c r="CV12" s="761">
        <v>3.9195000000000002</v>
      </c>
      <c r="CW12" s="761">
        <v>4.3289999999999997</v>
      </c>
      <c r="CX12" s="761">
        <v>4.0202499999999999</v>
      </c>
      <c r="CY12" s="761">
        <v>3.4125000000000001</v>
      </c>
      <c r="CZ12" s="761">
        <v>2.86</v>
      </c>
      <c r="DA12" s="766">
        <f t="shared" ref="DA12:DA51" si="48">SUM(CO12:CZ12)</f>
        <v>24.036000000000001</v>
      </c>
      <c r="DB12" s="760">
        <v>3.6413000000000002</v>
      </c>
      <c r="DC12" s="761">
        <v>0.624</v>
      </c>
      <c r="DD12" s="761">
        <v>1.3195000000000001</v>
      </c>
      <c r="DE12" s="761">
        <v>1.0010000000000001</v>
      </c>
      <c r="DF12" s="761">
        <v>1.69</v>
      </c>
      <c r="DG12" s="761">
        <v>0.56875000000000009</v>
      </c>
      <c r="DH12" s="761">
        <v>2.4082500000000002</v>
      </c>
      <c r="DI12" s="761">
        <v>3.367</v>
      </c>
      <c r="DJ12" s="761">
        <v>2.1905000000000001</v>
      </c>
      <c r="DK12" s="761">
        <v>2.2164999999999999</v>
      </c>
      <c r="DL12" s="761">
        <v>2.3205</v>
      </c>
      <c r="DM12" s="761">
        <v>0.41925000000000001</v>
      </c>
      <c r="DN12" s="766">
        <f t="shared" ref="DN12:DN51" si="49">SUM(DB12:DM12)</f>
        <v>21.766550000000002</v>
      </c>
      <c r="DO12" s="760">
        <v>0.54100000000000004</v>
      </c>
      <c r="DP12" s="761">
        <v>0.1</v>
      </c>
      <c r="DQ12" s="761">
        <v>0.32800000000000001</v>
      </c>
      <c r="DR12" s="761"/>
      <c r="DS12" s="761">
        <v>0.68300000000000005</v>
      </c>
      <c r="DT12" s="761">
        <v>0.47</v>
      </c>
      <c r="DU12" s="761">
        <v>0.28999999999999998</v>
      </c>
      <c r="DV12" s="761">
        <v>0.48100000000000004</v>
      </c>
      <c r="DW12" s="761">
        <v>0.43000000000000005</v>
      </c>
      <c r="DX12" s="761">
        <v>0.21199999999999999</v>
      </c>
      <c r="DY12" s="761">
        <v>4.4999999999999998E-2</v>
      </c>
      <c r="DZ12" s="761">
        <v>0.1</v>
      </c>
      <c r="EA12" s="766">
        <f t="shared" ref="EA12:EA51" si="50">SUM(DO12:DZ12)</f>
        <v>3.68</v>
      </c>
      <c r="EB12" s="760">
        <v>6.2E-2</v>
      </c>
      <c r="EC12" s="761">
        <v>4.8000000000000001E-2</v>
      </c>
      <c r="ED12" s="761">
        <v>6.4000000000000001E-2</v>
      </c>
      <c r="EE12" s="761"/>
      <c r="EF12" s="761">
        <v>0.22</v>
      </c>
      <c r="EG12" s="761"/>
      <c r="EH12" s="761">
        <v>0.47</v>
      </c>
      <c r="EI12" s="761">
        <v>1.2170000000000001</v>
      </c>
      <c r="EJ12" s="761">
        <v>1.218</v>
      </c>
      <c r="EK12" s="761">
        <v>0.31</v>
      </c>
      <c r="EL12" s="761">
        <v>1.998</v>
      </c>
      <c r="EM12" s="761">
        <v>0.433</v>
      </c>
      <c r="EN12" s="766">
        <f t="shared" ref="EN12:EN51" si="51">SUM(EB12:EM12)</f>
        <v>6.04</v>
      </c>
      <c r="EO12" s="760">
        <v>0.166875</v>
      </c>
      <c r="EP12" s="761">
        <v>0.17500000000000002</v>
      </c>
      <c r="EQ12" s="761">
        <v>0.47799999999999998</v>
      </c>
      <c r="ER12" s="761">
        <v>0.14300000000000002</v>
      </c>
      <c r="ES12" s="761"/>
      <c r="ET12" s="761"/>
      <c r="EU12" s="761"/>
      <c r="EV12" s="761"/>
      <c r="EW12" s="761"/>
      <c r="EX12" s="761"/>
      <c r="EY12" s="761"/>
      <c r="EZ12" s="761"/>
      <c r="FA12" s="766">
        <f t="shared" ref="FA12:FA51" si="52">SUM(EO12:EZ12)</f>
        <v>0.96287500000000004</v>
      </c>
      <c r="FC12" s="549">
        <f t="shared" ref="FC12:FC51" si="53">IFERROR(((
_xlfn.XLOOKUP((DATE(YEAR($FC$5),MONTH($FC$5),1)),UCA.PESCA.DATE,$B12:$FA12) /
_xlfn.XLOOKUP((DATE(YEAR($FC$5)-1,MONTH($FC$5),1)),UCA.PESCA.DATE,$B12:$FA12)
)-1)*100,"")</f>
        <v>646.87499999999989</v>
      </c>
      <c r="FD12" s="550">
        <f t="shared" ref="FD12:FD51" si="54">IFERROR(((FF12/FE12)-1)*100,"")</f>
        <v>371.19252873563227</v>
      </c>
      <c r="FE12" s="551">
        <f t="shared" ref="FE12:FE51" si="55">SUMIFS($B12:$FA12,UCA.PESCA.DATE,"&gt;="&amp;DATE(YEAR($FC$5)-1,1,1),UCA.PESCA.DATE,"&lt;="&amp;DATE(YEAR($FC$5)-1,MONTH($FC$5),1))</f>
        <v>0.17399999999999999</v>
      </c>
      <c r="FF12" s="552">
        <f t="shared" ref="FF12:FF51" si="56">SUMIFS($B12:$FA12,UCA.PESCA.DATE,"&gt;="&amp;DATE(YEAR($FC$5),1,1),UCA.PESCA.DATE,"&lt;="&amp;$FC$5)</f>
        <v>0.81987500000000002</v>
      </c>
      <c r="FH12" s="917" t="s">
        <v>16</v>
      </c>
      <c r="FI12" s="920" t="str">
        <f t="shared" si="20"/>
        <v>OK</v>
      </c>
    </row>
    <row r="13" spans="1:166" ht="15" customHeight="1" x14ac:dyDescent="0.25">
      <c r="A13" s="349" t="s">
        <v>17</v>
      </c>
      <c r="B13" s="760"/>
      <c r="C13" s="761"/>
      <c r="D13" s="761"/>
      <c r="E13" s="761"/>
      <c r="F13" s="761"/>
      <c r="G13" s="761"/>
      <c r="H13" s="761"/>
      <c r="I13" s="761"/>
      <c r="J13" s="761"/>
      <c r="K13" s="761"/>
      <c r="L13" s="761"/>
      <c r="M13" s="761"/>
      <c r="N13" s="766">
        <f t="shared" si="41"/>
        <v>0</v>
      </c>
      <c r="O13" s="760"/>
      <c r="P13" s="761"/>
      <c r="Q13" s="761"/>
      <c r="R13" s="761"/>
      <c r="S13" s="761"/>
      <c r="T13" s="761"/>
      <c r="U13" s="761"/>
      <c r="V13" s="761"/>
      <c r="W13" s="761"/>
      <c r="X13" s="761"/>
      <c r="Y13" s="761"/>
      <c r="Z13" s="761"/>
      <c r="AA13" s="766">
        <f t="shared" si="42"/>
        <v>0</v>
      </c>
      <c r="AB13" s="760"/>
      <c r="AC13" s="761"/>
      <c r="AD13" s="761"/>
      <c r="AE13" s="761"/>
      <c r="AF13" s="761"/>
      <c r="AG13" s="761"/>
      <c r="AH13" s="761"/>
      <c r="AI13" s="761"/>
      <c r="AJ13" s="761"/>
      <c r="AK13" s="761"/>
      <c r="AL13" s="761"/>
      <c r="AM13" s="761"/>
      <c r="AN13" s="766">
        <f t="shared" si="43"/>
        <v>0</v>
      </c>
      <c r="AO13" s="760"/>
      <c r="AP13" s="761"/>
      <c r="AQ13" s="761"/>
      <c r="AR13" s="761"/>
      <c r="AS13" s="761"/>
      <c r="AT13" s="761"/>
      <c r="AU13" s="761"/>
      <c r="AV13" s="761"/>
      <c r="AW13" s="761"/>
      <c r="AX13" s="761"/>
      <c r="AY13" s="761"/>
      <c r="AZ13" s="761"/>
      <c r="BA13" s="766">
        <f t="shared" si="44"/>
        <v>0</v>
      </c>
      <c r="BB13" s="760"/>
      <c r="BC13" s="761"/>
      <c r="BD13" s="761"/>
      <c r="BE13" s="761"/>
      <c r="BF13" s="761"/>
      <c r="BG13" s="761"/>
      <c r="BH13" s="761"/>
      <c r="BI13" s="761"/>
      <c r="BJ13" s="761"/>
      <c r="BK13" s="761"/>
      <c r="BL13" s="761"/>
      <c r="BM13" s="761"/>
      <c r="BN13" s="766">
        <f t="shared" si="45"/>
        <v>0</v>
      </c>
      <c r="BO13" s="760"/>
      <c r="BP13" s="761"/>
      <c r="BQ13" s="761"/>
      <c r="BR13" s="761"/>
      <c r="BS13" s="761"/>
      <c r="BT13" s="761"/>
      <c r="BU13" s="761"/>
      <c r="BV13" s="761"/>
      <c r="BW13" s="761"/>
      <c r="BX13" s="761"/>
      <c r="BY13" s="761"/>
      <c r="BZ13" s="761"/>
      <c r="CA13" s="766">
        <f t="shared" si="46"/>
        <v>0</v>
      </c>
      <c r="CB13" s="760">
        <v>0.38090000000000002</v>
      </c>
      <c r="CC13" s="761">
        <v>6.5000000000000002E-2</v>
      </c>
      <c r="CD13" s="761">
        <v>6.5000000000000002E-2</v>
      </c>
      <c r="CE13" s="761">
        <v>8.1250000000000003E-2</v>
      </c>
      <c r="CF13" s="761">
        <v>8.1250000000000003E-2</v>
      </c>
      <c r="CG13" s="761">
        <v>8.1250000000000003E-2</v>
      </c>
      <c r="CH13" s="761">
        <v>8.1250000000000003E-2</v>
      </c>
      <c r="CI13" s="761">
        <v>8.1250000000000003E-2</v>
      </c>
      <c r="CJ13" s="761">
        <v>8.1250000000000003E-2</v>
      </c>
      <c r="CK13" s="761">
        <v>8.1250000000000003E-2</v>
      </c>
      <c r="CL13" s="761">
        <v>8.1250000000000003E-2</v>
      </c>
      <c r="CM13" s="761">
        <v>8.1250000000000003E-2</v>
      </c>
      <c r="CN13" s="766">
        <f t="shared" si="47"/>
        <v>1.2421500000000003</v>
      </c>
      <c r="CO13" s="760"/>
      <c r="CP13" s="761">
        <v>0.05</v>
      </c>
      <c r="CQ13" s="761">
        <v>0.06</v>
      </c>
      <c r="CR13" s="761"/>
      <c r="CS13" s="761">
        <v>6.5000000000000002E-2</v>
      </c>
      <c r="CT13" s="761"/>
      <c r="CU13" s="761">
        <v>3.9E-2</v>
      </c>
      <c r="CV13" s="761"/>
      <c r="CW13" s="761"/>
      <c r="CX13" s="761">
        <v>0.65</v>
      </c>
      <c r="CY13" s="761">
        <v>0.39</v>
      </c>
      <c r="CZ13" s="761">
        <v>5.1999999999999998E-2</v>
      </c>
      <c r="DA13" s="766">
        <f t="shared" si="48"/>
        <v>1.306</v>
      </c>
      <c r="DB13" s="760"/>
      <c r="DC13" s="761"/>
      <c r="DD13" s="761">
        <v>0.13</v>
      </c>
      <c r="DE13" s="761">
        <v>0.13</v>
      </c>
      <c r="DF13" s="761">
        <v>0.39</v>
      </c>
      <c r="DG13" s="761"/>
      <c r="DH13" s="761"/>
      <c r="DI13" s="761">
        <v>9.0999999999999998E-2</v>
      </c>
      <c r="DJ13" s="761">
        <v>0.26</v>
      </c>
      <c r="DK13" s="761">
        <v>0.32500000000000001</v>
      </c>
      <c r="DL13" s="761">
        <v>0.19500000000000001</v>
      </c>
      <c r="DM13" s="761">
        <v>0.26</v>
      </c>
      <c r="DN13" s="766">
        <f t="shared" si="49"/>
        <v>1.7809999999999999</v>
      </c>
      <c r="DO13" s="760"/>
      <c r="DP13" s="761"/>
      <c r="DQ13" s="761"/>
      <c r="DR13" s="761"/>
      <c r="DS13" s="761"/>
      <c r="DT13" s="761"/>
      <c r="DU13" s="761"/>
      <c r="DV13" s="761">
        <v>0.113</v>
      </c>
      <c r="DW13" s="761"/>
      <c r="DX13" s="761"/>
      <c r="DY13" s="761">
        <v>1.7000000000000001E-2</v>
      </c>
      <c r="DZ13" s="761"/>
      <c r="EA13" s="766">
        <f t="shared" si="50"/>
        <v>0.13</v>
      </c>
      <c r="EB13" s="760"/>
      <c r="EC13" s="761">
        <v>0.01</v>
      </c>
      <c r="ED13" s="761"/>
      <c r="EE13" s="761"/>
      <c r="EF13" s="761">
        <v>0.27</v>
      </c>
      <c r="EG13" s="761">
        <v>0.13</v>
      </c>
      <c r="EH13" s="761">
        <v>1.0069999999999999</v>
      </c>
      <c r="EI13" s="761">
        <v>0.223</v>
      </c>
      <c r="EJ13" s="761">
        <v>0.1</v>
      </c>
      <c r="EK13" s="761">
        <v>0.06</v>
      </c>
      <c r="EL13" s="761">
        <v>0.115</v>
      </c>
      <c r="EM13" s="761"/>
      <c r="EN13" s="766">
        <f t="shared" si="51"/>
        <v>1.915</v>
      </c>
      <c r="EO13" s="760">
        <v>0.19375000000000001</v>
      </c>
      <c r="EP13" s="761">
        <v>0.11750000000000001</v>
      </c>
      <c r="EQ13" s="761">
        <v>0</v>
      </c>
      <c r="ER13" s="761">
        <v>0.32999999999999996</v>
      </c>
      <c r="ES13" s="761"/>
      <c r="ET13" s="761"/>
      <c r="EU13" s="761"/>
      <c r="EV13" s="761"/>
      <c r="EW13" s="761"/>
      <c r="EX13" s="761"/>
      <c r="EY13" s="761"/>
      <c r="EZ13" s="761"/>
      <c r="FA13" s="766">
        <f t="shared" si="52"/>
        <v>0.64124999999999999</v>
      </c>
      <c r="FC13" s="549" t="str">
        <f t="shared" si="53"/>
        <v/>
      </c>
      <c r="FD13" s="550">
        <f t="shared" si="54"/>
        <v>3012.5000000000005</v>
      </c>
      <c r="FE13" s="551">
        <f t="shared" si="55"/>
        <v>0.01</v>
      </c>
      <c r="FF13" s="552">
        <f t="shared" si="56"/>
        <v>0.31125000000000003</v>
      </c>
      <c r="FH13" s="917" t="s">
        <v>17</v>
      </c>
      <c r="FI13" s="920" t="str">
        <f t="shared" si="20"/>
        <v>OK</v>
      </c>
    </row>
    <row r="14" spans="1:166" ht="15" customHeight="1" x14ac:dyDescent="0.25">
      <c r="A14" s="349" t="s">
        <v>334</v>
      </c>
      <c r="B14" s="760"/>
      <c r="C14" s="761"/>
      <c r="D14" s="761"/>
      <c r="E14" s="761"/>
      <c r="F14" s="761">
        <v>1</v>
      </c>
      <c r="G14" s="761"/>
      <c r="H14" s="761">
        <v>1</v>
      </c>
      <c r="I14" s="761">
        <v>1</v>
      </c>
      <c r="J14" s="761">
        <v>1</v>
      </c>
      <c r="K14" s="761"/>
      <c r="L14" s="761">
        <v>1</v>
      </c>
      <c r="M14" s="761">
        <v>1</v>
      </c>
      <c r="N14" s="766">
        <f t="shared" si="41"/>
        <v>6</v>
      </c>
      <c r="O14" s="760"/>
      <c r="P14" s="761"/>
      <c r="Q14" s="761"/>
      <c r="R14" s="761"/>
      <c r="S14" s="761">
        <v>2</v>
      </c>
      <c r="T14" s="761">
        <v>2</v>
      </c>
      <c r="U14" s="761">
        <v>2</v>
      </c>
      <c r="V14" s="761">
        <v>1</v>
      </c>
      <c r="W14" s="761"/>
      <c r="X14" s="761">
        <v>2</v>
      </c>
      <c r="Y14" s="761"/>
      <c r="Z14" s="761"/>
      <c r="AA14" s="766">
        <f t="shared" si="42"/>
        <v>9</v>
      </c>
      <c r="AB14" s="760"/>
      <c r="AC14" s="761"/>
      <c r="AD14" s="761"/>
      <c r="AE14" s="761">
        <v>1</v>
      </c>
      <c r="AF14" s="761">
        <v>1</v>
      </c>
      <c r="AG14" s="761"/>
      <c r="AH14" s="761"/>
      <c r="AI14" s="761">
        <v>1</v>
      </c>
      <c r="AJ14" s="761"/>
      <c r="AK14" s="761"/>
      <c r="AL14" s="761">
        <v>2</v>
      </c>
      <c r="AM14" s="761"/>
      <c r="AN14" s="766">
        <f t="shared" si="43"/>
        <v>5</v>
      </c>
      <c r="AO14" s="760"/>
      <c r="AP14" s="761"/>
      <c r="AQ14" s="761"/>
      <c r="AR14" s="761"/>
      <c r="AS14" s="761"/>
      <c r="AT14" s="761">
        <v>1</v>
      </c>
      <c r="AU14" s="761">
        <v>3</v>
      </c>
      <c r="AV14" s="761">
        <v>3</v>
      </c>
      <c r="AW14" s="761"/>
      <c r="AX14" s="761">
        <v>2</v>
      </c>
      <c r="AY14" s="761">
        <v>1</v>
      </c>
      <c r="AZ14" s="761"/>
      <c r="BA14" s="766">
        <f t="shared" si="44"/>
        <v>10</v>
      </c>
      <c r="BB14" s="760"/>
      <c r="BC14" s="761"/>
      <c r="BD14" s="761"/>
      <c r="BE14" s="761"/>
      <c r="BF14" s="761"/>
      <c r="BG14" s="761">
        <v>1</v>
      </c>
      <c r="BH14" s="761">
        <v>3</v>
      </c>
      <c r="BI14" s="761"/>
      <c r="BJ14" s="761"/>
      <c r="BK14" s="761">
        <v>1</v>
      </c>
      <c r="BL14" s="761">
        <v>1</v>
      </c>
      <c r="BM14" s="761"/>
      <c r="BN14" s="766">
        <f t="shared" si="45"/>
        <v>6</v>
      </c>
      <c r="BO14" s="760"/>
      <c r="BP14" s="761"/>
      <c r="BQ14" s="761"/>
      <c r="BR14" s="761"/>
      <c r="BS14" s="761"/>
      <c r="BT14" s="761">
        <v>5</v>
      </c>
      <c r="BU14" s="761">
        <v>2</v>
      </c>
      <c r="BV14" s="761">
        <v>4</v>
      </c>
      <c r="BW14" s="761"/>
      <c r="BX14" s="761"/>
      <c r="BY14" s="761"/>
      <c r="BZ14" s="761"/>
      <c r="CA14" s="766">
        <f t="shared" si="46"/>
        <v>11</v>
      </c>
      <c r="CB14" s="760">
        <v>0.52</v>
      </c>
      <c r="CC14" s="761">
        <v>6.5000000000000002E-2</v>
      </c>
      <c r="CD14" s="761"/>
      <c r="CE14" s="761">
        <v>8.1250000000000003E-2</v>
      </c>
      <c r="CF14" s="761">
        <v>0.82225000000000004</v>
      </c>
      <c r="CG14" s="761"/>
      <c r="CH14" s="761"/>
      <c r="CI14" s="761">
        <v>3.52</v>
      </c>
      <c r="CJ14" s="761"/>
      <c r="CK14" s="761">
        <v>0.35</v>
      </c>
      <c r="CL14" s="761">
        <v>0.85</v>
      </c>
      <c r="CM14" s="761"/>
      <c r="CN14" s="766">
        <f t="shared" si="47"/>
        <v>6.208499999999999</v>
      </c>
      <c r="CO14" s="760"/>
      <c r="CP14" s="761">
        <v>0.14960000000000001</v>
      </c>
      <c r="CQ14" s="761"/>
      <c r="CR14" s="761"/>
      <c r="CS14" s="761">
        <v>1.8459999999999999</v>
      </c>
      <c r="CT14" s="761"/>
      <c r="CU14" s="761">
        <v>1.6835</v>
      </c>
      <c r="CV14" s="761">
        <v>0.13</v>
      </c>
      <c r="CW14" s="761">
        <v>1.2999999999999999E-2</v>
      </c>
      <c r="CX14" s="761">
        <v>0.89700000000000002</v>
      </c>
      <c r="CY14" s="761">
        <v>0.39</v>
      </c>
      <c r="CZ14" s="761"/>
      <c r="DA14" s="766">
        <f t="shared" si="48"/>
        <v>5.1090999999999998</v>
      </c>
      <c r="DB14" s="760"/>
      <c r="DC14" s="761">
        <v>0.13</v>
      </c>
      <c r="DD14" s="761">
        <v>0.26</v>
      </c>
      <c r="DE14" s="761">
        <v>0.20150000000000001</v>
      </c>
      <c r="DF14" s="761">
        <v>0.52</v>
      </c>
      <c r="DG14" s="761">
        <v>0.52649999999999997</v>
      </c>
      <c r="DH14" s="761">
        <v>0.13</v>
      </c>
      <c r="DI14" s="761">
        <v>2.73</v>
      </c>
      <c r="DJ14" s="761">
        <v>1.04</v>
      </c>
      <c r="DK14" s="761">
        <v>1.105</v>
      </c>
      <c r="DL14" s="761">
        <v>1.04</v>
      </c>
      <c r="DM14" s="761">
        <v>1.43</v>
      </c>
      <c r="DN14" s="766">
        <f t="shared" si="49"/>
        <v>9.1129999999999995</v>
      </c>
      <c r="DO14" s="760">
        <v>0.1</v>
      </c>
      <c r="DP14" s="761"/>
      <c r="DQ14" s="761"/>
      <c r="DR14" s="761"/>
      <c r="DS14" s="761"/>
      <c r="DT14" s="761"/>
      <c r="DU14" s="761"/>
      <c r="DV14" s="761">
        <v>1.1800000000000002</v>
      </c>
      <c r="DW14" s="761">
        <v>1.6</v>
      </c>
      <c r="DX14" s="761">
        <v>0.5</v>
      </c>
      <c r="DY14" s="761">
        <v>0.21299999999999999</v>
      </c>
      <c r="DZ14" s="761">
        <v>0.5</v>
      </c>
      <c r="EA14" s="766">
        <f t="shared" si="50"/>
        <v>4.093</v>
      </c>
      <c r="EB14" s="760"/>
      <c r="EC14" s="761">
        <v>0.2</v>
      </c>
      <c r="ED14" s="761">
        <v>0.17199999999999999</v>
      </c>
      <c r="EE14" s="761">
        <v>0.05</v>
      </c>
      <c r="EF14" s="761">
        <v>0.92900000000000005</v>
      </c>
      <c r="EG14" s="761">
        <v>0.45799999999999996</v>
      </c>
      <c r="EH14" s="761">
        <v>2.8319999999999999</v>
      </c>
      <c r="EI14" s="761">
        <v>4.9180000000000001</v>
      </c>
      <c r="EJ14" s="761">
        <v>2.2290000000000001</v>
      </c>
      <c r="EK14" s="761">
        <v>2.0020000000000002</v>
      </c>
      <c r="EL14" s="761">
        <v>1.379</v>
      </c>
      <c r="EM14" s="761">
        <v>0.2</v>
      </c>
      <c r="EN14" s="766">
        <f t="shared" si="51"/>
        <v>15.369</v>
      </c>
      <c r="EO14" s="760">
        <v>0.20874999999999999</v>
      </c>
      <c r="EP14" s="761">
        <v>0</v>
      </c>
      <c r="EQ14" s="761">
        <v>0</v>
      </c>
      <c r="ER14" s="761">
        <v>0.77300000000000002</v>
      </c>
      <c r="ES14" s="761"/>
      <c r="ET14" s="761"/>
      <c r="EU14" s="761"/>
      <c r="EV14" s="761"/>
      <c r="EW14" s="761"/>
      <c r="EX14" s="761"/>
      <c r="EY14" s="761"/>
      <c r="EZ14" s="761"/>
      <c r="FA14" s="766">
        <f t="shared" si="52"/>
        <v>0.98175000000000001</v>
      </c>
      <c r="FC14" s="549">
        <f t="shared" si="53"/>
        <v>-100</v>
      </c>
      <c r="FD14" s="550">
        <f t="shared" si="54"/>
        <v>-43.884408602150536</v>
      </c>
      <c r="FE14" s="551">
        <f t="shared" si="55"/>
        <v>0.372</v>
      </c>
      <c r="FF14" s="552">
        <f t="shared" si="56"/>
        <v>0.20874999999999999</v>
      </c>
      <c r="FH14" s="917" t="s">
        <v>334</v>
      </c>
      <c r="FI14" s="920" t="str">
        <f t="shared" si="20"/>
        <v>OK</v>
      </c>
    </row>
    <row r="15" spans="1:166" ht="15" customHeight="1" x14ac:dyDescent="0.25">
      <c r="A15" s="349" t="s">
        <v>15</v>
      </c>
      <c r="B15" s="760"/>
      <c r="C15" s="761"/>
      <c r="D15" s="761">
        <v>2</v>
      </c>
      <c r="E15" s="761"/>
      <c r="F15" s="761"/>
      <c r="G15" s="761"/>
      <c r="H15" s="761"/>
      <c r="I15" s="761">
        <v>1</v>
      </c>
      <c r="J15" s="761">
        <v>1</v>
      </c>
      <c r="K15" s="761"/>
      <c r="L15" s="761"/>
      <c r="M15" s="761"/>
      <c r="N15" s="766">
        <f t="shared" si="41"/>
        <v>4</v>
      </c>
      <c r="O15" s="760">
        <v>2</v>
      </c>
      <c r="P15" s="761"/>
      <c r="Q15" s="761">
        <v>4</v>
      </c>
      <c r="R15" s="761">
        <v>3</v>
      </c>
      <c r="S15" s="761">
        <v>1</v>
      </c>
      <c r="T15" s="761"/>
      <c r="U15" s="761"/>
      <c r="V15" s="761"/>
      <c r="W15" s="761"/>
      <c r="X15" s="761">
        <v>4</v>
      </c>
      <c r="Y15" s="761">
        <v>10</v>
      </c>
      <c r="Z15" s="761">
        <v>1</v>
      </c>
      <c r="AA15" s="766">
        <f t="shared" si="42"/>
        <v>25</v>
      </c>
      <c r="AB15" s="760">
        <v>36</v>
      </c>
      <c r="AC15" s="761">
        <v>17</v>
      </c>
      <c r="AD15" s="761">
        <v>2</v>
      </c>
      <c r="AE15" s="761">
        <v>3</v>
      </c>
      <c r="AF15" s="761"/>
      <c r="AG15" s="761">
        <v>2</v>
      </c>
      <c r="AH15" s="761">
        <v>4</v>
      </c>
      <c r="AI15" s="761">
        <v>1</v>
      </c>
      <c r="AJ15" s="761">
        <v>1</v>
      </c>
      <c r="AK15" s="761">
        <v>10</v>
      </c>
      <c r="AL15" s="761"/>
      <c r="AM15" s="761">
        <v>4</v>
      </c>
      <c r="AN15" s="766">
        <f t="shared" si="43"/>
        <v>80</v>
      </c>
      <c r="AO15" s="760"/>
      <c r="AP15" s="761">
        <v>3</v>
      </c>
      <c r="AQ15" s="761">
        <v>2</v>
      </c>
      <c r="AR15" s="761">
        <v>3</v>
      </c>
      <c r="AS15" s="761"/>
      <c r="AT15" s="761"/>
      <c r="AU15" s="761"/>
      <c r="AV15" s="761">
        <v>1</v>
      </c>
      <c r="AW15" s="761">
        <v>1</v>
      </c>
      <c r="AX15" s="761">
        <v>1</v>
      </c>
      <c r="AY15" s="761">
        <v>2</v>
      </c>
      <c r="AZ15" s="761"/>
      <c r="BA15" s="766">
        <f t="shared" si="44"/>
        <v>13</v>
      </c>
      <c r="BB15" s="760">
        <v>1</v>
      </c>
      <c r="BC15" s="761">
        <v>2</v>
      </c>
      <c r="BD15" s="761">
        <v>2</v>
      </c>
      <c r="BE15" s="761">
        <v>1</v>
      </c>
      <c r="BF15" s="761"/>
      <c r="BG15" s="761">
        <v>7</v>
      </c>
      <c r="BH15" s="761"/>
      <c r="BI15" s="761"/>
      <c r="BJ15" s="761"/>
      <c r="BK15" s="761">
        <v>10</v>
      </c>
      <c r="BL15" s="761">
        <v>1</v>
      </c>
      <c r="BM15" s="761"/>
      <c r="BN15" s="766">
        <f t="shared" si="45"/>
        <v>24</v>
      </c>
      <c r="BO15" s="760"/>
      <c r="BP15" s="761"/>
      <c r="BQ15" s="761"/>
      <c r="BR15" s="761"/>
      <c r="BS15" s="761"/>
      <c r="BT15" s="761"/>
      <c r="BU15" s="761"/>
      <c r="BV15" s="761"/>
      <c r="BW15" s="761"/>
      <c r="BX15" s="761">
        <v>1</v>
      </c>
      <c r="BY15" s="761">
        <v>1</v>
      </c>
      <c r="BZ15" s="761">
        <v>1</v>
      </c>
      <c r="CA15" s="766">
        <f t="shared" si="46"/>
        <v>3</v>
      </c>
      <c r="CB15" s="760">
        <v>1.885</v>
      </c>
      <c r="CC15" s="761">
        <v>6.5000000000000002E-2</v>
      </c>
      <c r="CD15" s="761">
        <v>0.21124999999999999</v>
      </c>
      <c r="CE15" s="761">
        <v>8.1250000000000003E-2</v>
      </c>
      <c r="CF15" s="761"/>
      <c r="CG15" s="761"/>
      <c r="CH15" s="761">
        <v>2.5</v>
      </c>
      <c r="CI15" s="761">
        <v>1.62</v>
      </c>
      <c r="CJ15" s="761">
        <v>0.24</v>
      </c>
      <c r="CK15" s="761"/>
      <c r="CL15" s="761">
        <v>0.12</v>
      </c>
      <c r="CM15" s="761"/>
      <c r="CN15" s="766">
        <f t="shared" si="47"/>
        <v>6.7225000000000001</v>
      </c>
      <c r="CO15" s="760">
        <v>2.2999999999999998</v>
      </c>
      <c r="CP15" s="761">
        <v>0.56000000000000005</v>
      </c>
      <c r="CQ15" s="761">
        <v>0.3</v>
      </c>
      <c r="CR15" s="761">
        <v>1.0887500000000001</v>
      </c>
      <c r="CS15" s="761"/>
      <c r="CT15" s="761">
        <v>7.085</v>
      </c>
      <c r="CU15" s="761">
        <v>0.13</v>
      </c>
      <c r="CV15" s="761">
        <v>0.26</v>
      </c>
      <c r="CW15" s="761">
        <v>0.40625</v>
      </c>
      <c r="CX15" s="761">
        <v>16.217500000000001</v>
      </c>
      <c r="CY15" s="761">
        <v>8.0210000000000008</v>
      </c>
      <c r="CZ15" s="761">
        <v>2.7462499999999999</v>
      </c>
      <c r="DA15" s="766">
        <f t="shared" si="48"/>
        <v>39.114750000000001</v>
      </c>
      <c r="DB15" s="760">
        <v>1.5275000000000001</v>
      </c>
      <c r="DC15" s="761">
        <v>2.08</v>
      </c>
      <c r="DD15" s="761">
        <v>2.1775000000000002</v>
      </c>
      <c r="DE15" s="761">
        <v>4.42</v>
      </c>
      <c r="DF15" s="761">
        <v>4.3875000000000002</v>
      </c>
      <c r="DG15" s="761">
        <v>5.46</v>
      </c>
      <c r="DH15" s="761">
        <v>23.854999999999997</v>
      </c>
      <c r="DI15" s="761">
        <v>1.9824999999999999</v>
      </c>
      <c r="DJ15" s="761">
        <v>0.74749999999999994</v>
      </c>
      <c r="DK15" s="761">
        <v>1.4495</v>
      </c>
      <c r="DL15" s="761">
        <v>2.5350000000000001</v>
      </c>
      <c r="DM15" s="761">
        <v>7.7675000000000001</v>
      </c>
      <c r="DN15" s="766">
        <f t="shared" si="49"/>
        <v>58.389499999999998</v>
      </c>
      <c r="DO15" s="760">
        <v>2.42</v>
      </c>
      <c r="DP15" s="761">
        <v>4.4000000000000004</v>
      </c>
      <c r="DQ15" s="761">
        <v>0.1</v>
      </c>
      <c r="DR15" s="761">
        <v>0.04</v>
      </c>
      <c r="DS15" s="761">
        <v>1.8</v>
      </c>
      <c r="DT15" s="761"/>
      <c r="DU15" s="761">
        <v>0.4</v>
      </c>
      <c r="DV15" s="761">
        <v>0.15</v>
      </c>
      <c r="DW15" s="761">
        <v>0.35</v>
      </c>
      <c r="DX15" s="761">
        <v>1</v>
      </c>
      <c r="DY15" s="761">
        <v>2.3E-2</v>
      </c>
      <c r="DZ15" s="761"/>
      <c r="EA15" s="766">
        <f t="shared" si="50"/>
        <v>10.683</v>
      </c>
      <c r="EB15" s="760">
        <v>0.6</v>
      </c>
      <c r="EC15" s="761">
        <v>5.07</v>
      </c>
      <c r="ED15" s="761"/>
      <c r="EE15" s="761">
        <v>1.3</v>
      </c>
      <c r="EF15" s="761">
        <v>0.5</v>
      </c>
      <c r="EG15" s="761">
        <v>0.12</v>
      </c>
      <c r="EH15" s="761">
        <v>3.9E-2</v>
      </c>
      <c r="EI15" s="761">
        <v>0.1</v>
      </c>
      <c r="EJ15" s="761">
        <v>0.1</v>
      </c>
      <c r="EK15" s="761">
        <v>1.5</v>
      </c>
      <c r="EL15" s="761">
        <v>2.8849999999999998</v>
      </c>
      <c r="EM15" s="761">
        <v>0.5</v>
      </c>
      <c r="EN15" s="766">
        <f t="shared" si="51"/>
        <v>12.713999999999999</v>
      </c>
      <c r="EO15" s="760">
        <v>0</v>
      </c>
      <c r="EP15" s="761">
        <v>4.1000000000000002E-2</v>
      </c>
      <c r="EQ15" s="761">
        <v>0</v>
      </c>
      <c r="ER15" s="761">
        <v>0.7</v>
      </c>
      <c r="ES15" s="761"/>
      <c r="ET15" s="761"/>
      <c r="EU15" s="761"/>
      <c r="EV15" s="761"/>
      <c r="EW15" s="761"/>
      <c r="EX15" s="761"/>
      <c r="EY15" s="761"/>
      <c r="EZ15" s="761"/>
      <c r="FA15" s="766">
        <f t="shared" si="52"/>
        <v>0.74099999999999999</v>
      </c>
      <c r="FC15" s="549" t="str">
        <f t="shared" si="53"/>
        <v/>
      </c>
      <c r="FD15" s="550">
        <f t="shared" si="54"/>
        <v>-99.276895943562621</v>
      </c>
      <c r="FE15" s="551">
        <f t="shared" si="55"/>
        <v>5.67</v>
      </c>
      <c r="FF15" s="552">
        <f t="shared" si="56"/>
        <v>4.1000000000000002E-2</v>
      </c>
      <c r="FH15" s="917" t="s">
        <v>15</v>
      </c>
      <c r="FI15" s="920" t="str">
        <f t="shared" si="20"/>
        <v>OK</v>
      </c>
    </row>
    <row r="16" spans="1:166" ht="15" customHeight="1" x14ac:dyDescent="0.25">
      <c r="A16" s="349" t="s">
        <v>18</v>
      </c>
      <c r="B16" s="760"/>
      <c r="C16" s="761"/>
      <c r="D16" s="761"/>
      <c r="E16" s="761">
        <v>1</v>
      </c>
      <c r="F16" s="761">
        <v>1</v>
      </c>
      <c r="G16" s="761"/>
      <c r="H16" s="761"/>
      <c r="I16" s="761">
        <v>1</v>
      </c>
      <c r="J16" s="761"/>
      <c r="K16" s="761"/>
      <c r="L16" s="761"/>
      <c r="M16" s="761"/>
      <c r="N16" s="766">
        <f t="shared" si="41"/>
        <v>3</v>
      </c>
      <c r="O16" s="760"/>
      <c r="P16" s="761"/>
      <c r="Q16" s="761"/>
      <c r="R16" s="761"/>
      <c r="S16" s="761">
        <v>1</v>
      </c>
      <c r="T16" s="761">
        <v>1</v>
      </c>
      <c r="U16" s="761"/>
      <c r="V16" s="761"/>
      <c r="W16" s="761"/>
      <c r="X16" s="761"/>
      <c r="Y16" s="761"/>
      <c r="Z16" s="761"/>
      <c r="AA16" s="766">
        <f t="shared" si="42"/>
        <v>2</v>
      </c>
      <c r="AB16" s="760"/>
      <c r="AC16" s="761"/>
      <c r="AD16" s="761"/>
      <c r="AE16" s="761">
        <v>1</v>
      </c>
      <c r="AF16" s="761">
        <v>3</v>
      </c>
      <c r="AG16" s="761"/>
      <c r="AH16" s="761"/>
      <c r="AI16" s="761"/>
      <c r="AJ16" s="761"/>
      <c r="AK16" s="761"/>
      <c r="AL16" s="761"/>
      <c r="AM16" s="761"/>
      <c r="AN16" s="766">
        <f t="shared" si="43"/>
        <v>4</v>
      </c>
      <c r="AO16" s="760"/>
      <c r="AP16" s="761"/>
      <c r="AQ16" s="761"/>
      <c r="AR16" s="761">
        <v>1</v>
      </c>
      <c r="AS16" s="761">
        <v>1</v>
      </c>
      <c r="AT16" s="761"/>
      <c r="AU16" s="761"/>
      <c r="AV16" s="761"/>
      <c r="AW16" s="761">
        <v>1</v>
      </c>
      <c r="AX16" s="761"/>
      <c r="AY16" s="761">
        <v>1</v>
      </c>
      <c r="AZ16" s="761"/>
      <c r="BA16" s="766">
        <f t="shared" si="44"/>
        <v>4</v>
      </c>
      <c r="BB16" s="760"/>
      <c r="BC16" s="761"/>
      <c r="BD16" s="761"/>
      <c r="BE16" s="761"/>
      <c r="BF16" s="761"/>
      <c r="BG16" s="761"/>
      <c r="BH16" s="761"/>
      <c r="BI16" s="761"/>
      <c r="BJ16" s="761"/>
      <c r="BK16" s="761"/>
      <c r="BL16" s="761"/>
      <c r="BM16" s="761"/>
      <c r="BN16" s="766">
        <f t="shared" si="45"/>
        <v>0</v>
      </c>
      <c r="BO16" s="760"/>
      <c r="BP16" s="761">
        <v>1</v>
      </c>
      <c r="BQ16" s="761"/>
      <c r="BR16" s="761"/>
      <c r="BS16" s="761"/>
      <c r="BT16" s="761"/>
      <c r="BU16" s="761"/>
      <c r="BV16" s="761"/>
      <c r="BW16" s="761"/>
      <c r="BX16" s="761"/>
      <c r="BY16" s="761"/>
      <c r="BZ16" s="761"/>
      <c r="CA16" s="766">
        <f t="shared" si="46"/>
        <v>1</v>
      </c>
      <c r="CB16" s="760">
        <v>3.9E-2</v>
      </c>
      <c r="CC16" s="761">
        <v>0.26</v>
      </c>
      <c r="CD16" s="761">
        <v>0.17549999999999999</v>
      </c>
      <c r="CE16" s="761">
        <v>0.13650000000000001</v>
      </c>
      <c r="CF16" s="761">
        <v>0.14624999999999999</v>
      </c>
      <c r="CG16" s="761">
        <v>0.442</v>
      </c>
      <c r="CH16" s="761">
        <v>0.12</v>
      </c>
      <c r="CI16" s="761">
        <v>0.38</v>
      </c>
      <c r="CJ16" s="761"/>
      <c r="CK16" s="761">
        <v>0.06</v>
      </c>
      <c r="CL16" s="761">
        <v>0.08</v>
      </c>
      <c r="CM16" s="761">
        <v>0.02</v>
      </c>
      <c r="CN16" s="766">
        <f t="shared" si="47"/>
        <v>1.8592499999999998</v>
      </c>
      <c r="CO16" s="760">
        <v>0.14940000000000001</v>
      </c>
      <c r="CP16" s="761">
        <v>0.25940000000000002</v>
      </c>
      <c r="CQ16" s="761">
        <v>0.1094</v>
      </c>
      <c r="CR16" s="761"/>
      <c r="CS16" s="761">
        <v>0.28600000000000003</v>
      </c>
      <c r="CT16" s="761">
        <v>6.5000000000000002E-2</v>
      </c>
      <c r="CU16" s="761">
        <v>0.221</v>
      </c>
      <c r="CV16" s="761">
        <v>9.0999999999999998E-2</v>
      </c>
      <c r="CW16" s="761">
        <v>0.27300000000000002</v>
      </c>
      <c r="CX16" s="761">
        <v>2.34</v>
      </c>
      <c r="CY16" s="761">
        <v>1.56</v>
      </c>
      <c r="CZ16" s="761"/>
      <c r="DA16" s="766">
        <f t="shared" si="48"/>
        <v>5.3542000000000005</v>
      </c>
      <c r="DB16" s="760">
        <v>0.30030000000000001</v>
      </c>
      <c r="DC16" s="761">
        <v>0.52</v>
      </c>
      <c r="DD16" s="761">
        <v>0.54600000000000004</v>
      </c>
      <c r="DE16" s="761">
        <v>0.2535</v>
      </c>
      <c r="DF16" s="761">
        <v>0.51090000000000002</v>
      </c>
      <c r="DG16" s="761">
        <v>0.26</v>
      </c>
      <c r="DH16" s="761">
        <v>0.14949999999999999</v>
      </c>
      <c r="DI16" s="761"/>
      <c r="DJ16" s="761">
        <v>0.39</v>
      </c>
      <c r="DK16" s="761">
        <v>0.58499999999999996</v>
      </c>
      <c r="DL16" s="761">
        <v>0.52</v>
      </c>
      <c r="DM16" s="761">
        <v>0.19500000000000001</v>
      </c>
      <c r="DN16" s="766">
        <f t="shared" si="49"/>
        <v>4.2302</v>
      </c>
      <c r="DO16" s="760"/>
      <c r="DP16" s="761">
        <v>0.02</v>
      </c>
      <c r="DQ16" s="761">
        <v>5.5E-2</v>
      </c>
      <c r="DR16" s="761">
        <v>0.15</v>
      </c>
      <c r="DS16" s="761"/>
      <c r="DT16" s="761"/>
      <c r="DU16" s="761"/>
      <c r="DV16" s="761">
        <v>0.05</v>
      </c>
      <c r="DW16" s="761"/>
      <c r="DX16" s="761"/>
      <c r="DY16" s="761">
        <v>1.2999999999999999E-2</v>
      </c>
      <c r="DZ16" s="761"/>
      <c r="EA16" s="766">
        <f t="shared" si="50"/>
        <v>0.28799999999999998</v>
      </c>
      <c r="EB16" s="760"/>
      <c r="EC16" s="761">
        <v>0.10200000000000001</v>
      </c>
      <c r="ED16" s="761">
        <v>0.25800000000000001</v>
      </c>
      <c r="EE16" s="761">
        <v>1.39</v>
      </c>
      <c r="EF16" s="761">
        <v>0.57899999999999996</v>
      </c>
      <c r="EG16" s="761">
        <v>0.28499999999999998</v>
      </c>
      <c r="EH16" s="761">
        <v>1.2149999999999999</v>
      </c>
      <c r="EI16" s="761">
        <v>8.1000000000000003E-2</v>
      </c>
      <c r="EJ16" s="761">
        <v>0.50800000000000001</v>
      </c>
      <c r="EK16" s="761">
        <v>1.974</v>
      </c>
      <c r="EL16" s="761">
        <v>0.05</v>
      </c>
      <c r="EM16" s="761">
        <v>0.41299999999999998</v>
      </c>
      <c r="EN16" s="766">
        <f t="shared" si="51"/>
        <v>6.8549999999999995</v>
      </c>
      <c r="EO16" s="760">
        <v>0.41250000000000003</v>
      </c>
      <c r="EP16" s="761">
        <v>0.01</v>
      </c>
      <c r="EQ16" s="761">
        <v>0.04</v>
      </c>
      <c r="ER16" s="761">
        <v>0.37499999999999994</v>
      </c>
      <c r="ES16" s="761"/>
      <c r="ET16" s="761"/>
      <c r="EU16" s="761"/>
      <c r="EV16" s="761"/>
      <c r="EW16" s="761"/>
      <c r="EX16" s="761"/>
      <c r="EY16" s="761"/>
      <c r="EZ16" s="761"/>
      <c r="FA16" s="766">
        <f t="shared" si="52"/>
        <v>0.83749999999999991</v>
      </c>
      <c r="FC16" s="549">
        <f t="shared" si="53"/>
        <v>-84.496124031007753</v>
      </c>
      <c r="FD16" s="550">
        <f t="shared" si="54"/>
        <v>28.472222222222232</v>
      </c>
      <c r="FE16" s="551">
        <f t="shared" si="55"/>
        <v>0.36</v>
      </c>
      <c r="FF16" s="552">
        <f t="shared" si="56"/>
        <v>0.46250000000000002</v>
      </c>
      <c r="FH16" s="917" t="s">
        <v>18</v>
      </c>
      <c r="FI16" s="920" t="str">
        <f t="shared" si="20"/>
        <v>OK</v>
      </c>
    </row>
    <row r="17" spans="1:165" ht="15" customHeight="1" x14ac:dyDescent="0.25">
      <c r="A17" s="349" t="s">
        <v>87</v>
      </c>
      <c r="B17" s="760">
        <v>2</v>
      </c>
      <c r="C17" s="761">
        <v>1</v>
      </c>
      <c r="D17" s="761">
        <v>3</v>
      </c>
      <c r="E17" s="761">
        <v>9</v>
      </c>
      <c r="F17" s="761">
        <v>39</v>
      </c>
      <c r="G17" s="761">
        <v>112</v>
      </c>
      <c r="H17" s="761">
        <v>169</v>
      </c>
      <c r="I17" s="761">
        <v>290</v>
      </c>
      <c r="J17" s="761">
        <v>235</v>
      </c>
      <c r="K17" s="761">
        <v>169</v>
      </c>
      <c r="L17" s="761">
        <v>37</v>
      </c>
      <c r="M17" s="761">
        <v>23</v>
      </c>
      <c r="N17" s="766">
        <f t="shared" si="41"/>
        <v>1089</v>
      </c>
      <c r="O17" s="760">
        <v>10</v>
      </c>
      <c r="P17" s="761">
        <v>4</v>
      </c>
      <c r="Q17" s="761">
        <v>9</v>
      </c>
      <c r="R17" s="761">
        <v>8</v>
      </c>
      <c r="S17" s="761">
        <v>47</v>
      </c>
      <c r="T17" s="761">
        <v>52</v>
      </c>
      <c r="U17" s="761">
        <v>25</v>
      </c>
      <c r="V17" s="761">
        <v>57</v>
      </c>
      <c r="W17" s="761">
        <v>68</v>
      </c>
      <c r="X17" s="761">
        <v>59</v>
      </c>
      <c r="Y17" s="761">
        <v>16</v>
      </c>
      <c r="Z17" s="761">
        <v>6</v>
      </c>
      <c r="AA17" s="766">
        <f t="shared" si="42"/>
        <v>361</v>
      </c>
      <c r="AB17" s="760">
        <v>10</v>
      </c>
      <c r="AC17" s="761">
        <v>3</v>
      </c>
      <c r="AD17" s="761">
        <v>6</v>
      </c>
      <c r="AE17" s="761">
        <v>37</v>
      </c>
      <c r="AF17" s="761">
        <v>42</v>
      </c>
      <c r="AG17" s="761">
        <v>89</v>
      </c>
      <c r="AH17" s="761">
        <v>146</v>
      </c>
      <c r="AI17" s="761">
        <v>159</v>
      </c>
      <c r="AJ17" s="761">
        <v>193</v>
      </c>
      <c r="AK17" s="761">
        <v>68</v>
      </c>
      <c r="AL17" s="761">
        <v>59</v>
      </c>
      <c r="AM17" s="761">
        <v>16</v>
      </c>
      <c r="AN17" s="766">
        <f t="shared" si="43"/>
        <v>828</v>
      </c>
      <c r="AO17" s="760">
        <v>1</v>
      </c>
      <c r="AP17" s="761">
        <v>1</v>
      </c>
      <c r="AQ17" s="761">
        <v>2</v>
      </c>
      <c r="AR17" s="761">
        <v>9</v>
      </c>
      <c r="AS17" s="761">
        <v>19</v>
      </c>
      <c r="AT17" s="761">
        <v>55</v>
      </c>
      <c r="AU17" s="761">
        <v>93</v>
      </c>
      <c r="AV17" s="761">
        <v>107</v>
      </c>
      <c r="AW17" s="761">
        <v>62</v>
      </c>
      <c r="AX17" s="761">
        <v>19</v>
      </c>
      <c r="AY17" s="761">
        <v>3</v>
      </c>
      <c r="AZ17" s="761">
        <v>3</v>
      </c>
      <c r="BA17" s="766">
        <f t="shared" si="44"/>
        <v>374</v>
      </c>
      <c r="BB17" s="760">
        <v>3</v>
      </c>
      <c r="BC17" s="761">
        <v>1</v>
      </c>
      <c r="BD17" s="761">
        <v>2</v>
      </c>
      <c r="BE17" s="761">
        <v>12</v>
      </c>
      <c r="BF17" s="761">
        <v>59</v>
      </c>
      <c r="BG17" s="761">
        <v>70</v>
      </c>
      <c r="BH17" s="761">
        <v>128</v>
      </c>
      <c r="BI17" s="761">
        <v>101</v>
      </c>
      <c r="BJ17" s="761">
        <v>196</v>
      </c>
      <c r="BK17" s="761">
        <v>132</v>
      </c>
      <c r="BL17" s="761">
        <v>35</v>
      </c>
      <c r="BM17" s="761">
        <v>51</v>
      </c>
      <c r="BN17" s="766">
        <f t="shared" si="45"/>
        <v>790</v>
      </c>
      <c r="BO17" s="760">
        <v>1</v>
      </c>
      <c r="BP17" s="761">
        <v>1</v>
      </c>
      <c r="BQ17" s="761"/>
      <c r="BR17" s="761"/>
      <c r="BS17" s="761"/>
      <c r="BT17" s="761">
        <v>2</v>
      </c>
      <c r="BU17" s="761">
        <v>54</v>
      </c>
      <c r="BV17" s="761">
        <v>51</v>
      </c>
      <c r="BW17" s="761">
        <v>31</v>
      </c>
      <c r="BX17" s="761">
        <v>20</v>
      </c>
      <c r="BY17" s="761">
        <v>9</v>
      </c>
      <c r="BZ17" s="761">
        <v>1</v>
      </c>
      <c r="CA17" s="766">
        <f t="shared" si="46"/>
        <v>170</v>
      </c>
      <c r="CB17" s="760">
        <v>0.14430000000000001</v>
      </c>
      <c r="CC17" s="761">
        <v>0.23400000000000001</v>
      </c>
      <c r="CD17" s="761">
        <v>0.17549999999999999</v>
      </c>
      <c r="CE17" s="761">
        <v>0.13650000000000001</v>
      </c>
      <c r="CF17" s="761">
        <v>6.4284999999999997</v>
      </c>
      <c r="CG17" s="761">
        <v>24.895</v>
      </c>
      <c r="CH17" s="761">
        <v>62.050000000000004</v>
      </c>
      <c r="CI17" s="761">
        <v>52.89</v>
      </c>
      <c r="CJ17" s="761">
        <v>40.651000000000003</v>
      </c>
      <c r="CK17" s="761">
        <v>29.213999999999999</v>
      </c>
      <c r="CL17" s="761">
        <v>8.3849999999999998</v>
      </c>
      <c r="CM17" s="761">
        <v>3.105</v>
      </c>
      <c r="CN17" s="766">
        <f t="shared" si="47"/>
        <v>228.30879999999999</v>
      </c>
      <c r="CO17" s="760">
        <v>0.24960000000000002</v>
      </c>
      <c r="CP17" s="761">
        <v>0.32890000000000003</v>
      </c>
      <c r="CQ17" s="761">
        <v>0.87360000000000015</v>
      </c>
      <c r="CR17" s="761">
        <v>2.6</v>
      </c>
      <c r="CS17" s="761">
        <v>18.6784</v>
      </c>
      <c r="CT17" s="761">
        <v>9.984</v>
      </c>
      <c r="CU17" s="761">
        <v>178.20400000000001</v>
      </c>
      <c r="CV17" s="761">
        <v>174.77200000000002</v>
      </c>
      <c r="CW17" s="761">
        <v>184.34</v>
      </c>
      <c r="CX17" s="761">
        <v>99.501999999999995</v>
      </c>
      <c r="CY17" s="761">
        <v>44.030999999999999</v>
      </c>
      <c r="CZ17" s="761">
        <v>26.325000000000003</v>
      </c>
      <c r="DA17" s="766">
        <f t="shared" si="48"/>
        <v>739.88850000000002</v>
      </c>
      <c r="DB17" s="760">
        <v>0.61750000000000005</v>
      </c>
      <c r="DC17" s="761"/>
      <c r="DD17" s="761">
        <v>1.3090999999999999</v>
      </c>
      <c r="DE17" s="761">
        <v>3.7829999999999999</v>
      </c>
      <c r="DF17" s="761">
        <v>3.12</v>
      </c>
      <c r="DG17" s="761">
        <v>11.141</v>
      </c>
      <c r="DH17" s="761">
        <v>3.2370000000000001</v>
      </c>
      <c r="DI17" s="761">
        <v>44.005000000000003</v>
      </c>
      <c r="DJ17" s="761">
        <v>39.481000000000002</v>
      </c>
      <c r="DK17" s="761">
        <v>28.6</v>
      </c>
      <c r="DL17" s="761">
        <v>6.8250000000000002</v>
      </c>
      <c r="DM17" s="761">
        <v>2.2749999999999999</v>
      </c>
      <c r="DN17" s="766">
        <f t="shared" si="49"/>
        <v>144.39359999999999</v>
      </c>
      <c r="DO17" s="760"/>
      <c r="DP17" s="761">
        <v>0.03</v>
      </c>
      <c r="DQ17" s="761">
        <v>0.15</v>
      </c>
      <c r="DR17" s="761">
        <v>1.823</v>
      </c>
      <c r="DS17" s="761">
        <v>14.144</v>
      </c>
      <c r="DT17" s="761">
        <v>87.106999999999999</v>
      </c>
      <c r="DU17" s="761">
        <v>140.27500000000001</v>
      </c>
      <c r="DV17" s="761">
        <v>76.75</v>
      </c>
      <c r="DW17" s="761">
        <v>124.467</v>
      </c>
      <c r="DX17" s="761">
        <v>30.65</v>
      </c>
      <c r="DY17" s="761">
        <v>6.4740000000000002</v>
      </c>
      <c r="DZ17" s="761">
        <v>0.3</v>
      </c>
      <c r="EA17" s="766">
        <f t="shared" si="50"/>
        <v>482.16999999999996</v>
      </c>
      <c r="EB17" s="760">
        <v>0.214</v>
      </c>
      <c r="EC17" s="761">
        <v>9.4E-2</v>
      </c>
      <c r="ED17" s="761">
        <v>0.05</v>
      </c>
      <c r="EE17" s="761">
        <v>1.2</v>
      </c>
      <c r="EF17" s="761">
        <v>2.3250000000000002</v>
      </c>
      <c r="EG17" s="761">
        <v>13.875</v>
      </c>
      <c r="EH17" s="761">
        <v>20.606000000000002</v>
      </c>
      <c r="EI17" s="761">
        <v>188.79399999999998</v>
      </c>
      <c r="EJ17" s="761">
        <v>116.621</v>
      </c>
      <c r="EK17" s="761">
        <v>165.78899999999999</v>
      </c>
      <c r="EL17" s="761">
        <v>33.679000000000002</v>
      </c>
      <c r="EM17" s="761">
        <v>32.86</v>
      </c>
      <c r="EN17" s="766">
        <f t="shared" si="51"/>
        <v>576.10699999999997</v>
      </c>
      <c r="EO17" s="760">
        <v>13.950000000000001</v>
      </c>
      <c r="EP17" s="761">
        <v>7.5249999999999995</v>
      </c>
      <c r="EQ17" s="761">
        <v>0.86399999999999999</v>
      </c>
      <c r="ER17" s="761">
        <v>0.81</v>
      </c>
      <c r="ES17" s="761"/>
      <c r="ET17" s="761"/>
      <c r="EU17" s="761"/>
      <c r="EV17" s="761"/>
      <c r="EW17" s="761"/>
      <c r="EX17" s="761"/>
      <c r="EY17" s="761"/>
      <c r="EZ17" s="761"/>
      <c r="FA17" s="766">
        <f t="shared" si="52"/>
        <v>23.149000000000001</v>
      </c>
      <c r="FC17" s="549">
        <f t="shared" si="53"/>
        <v>1627.9999999999998</v>
      </c>
      <c r="FD17" s="550">
        <f t="shared" si="54"/>
        <v>6139.9441340782132</v>
      </c>
      <c r="FE17" s="551">
        <f t="shared" si="55"/>
        <v>0.35799999999999998</v>
      </c>
      <c r="FF17" s="552">
        <f t="shared" si="56"/>
        <v>22.339000000000002</v>
      </c>
      <c r="FH17" s="917" t="s">
        <v>87</v>
      </c>
      <c r="FI17" s="920" t="str">
        <f t="shared" si="20"/>
        <v>OK</v>
      </c>
    </row>
    <row r="18" spans="1:165" ht="15" customHeight="1" x14ac:dyDescent="0.25">
      <c r="A18" s="349" t="s">
        <v>20</v>
      </c>
      <c r="B18" s="760">
        <v>1</v>
      </c>
      <c r="C18" s="761"/>
      <c r="D18" s="761"/>
      <c r="E18" s="761"/>
      <c r="F18" s="761">
        <v>1</v>
      </c>
      <c r="G18" s="761"/>
      <c r="H18" s="761"/>
      <c r="I18" s="761"/>
      <c r="J18" s="761"/>
      <c r="K18" s="761"/>
      <c r="L18" s="761"/>
      <c r="M18" s="761">
        <v>1</v>
      </c>
      <c r="N18" s="766">
        <f t="shared" si="41"/>
        <v>3</v>
      </c>
      <c r="O18" s="760">
        <v>1</v>
      </c>
      <c r="P18" s="761"/>
      <c r="Q18" s="761"/>
      <c r="R18" s="761"/>
      <c r="S18" s="761"/>
      <c r="T18" s="761"/>
      <c r="U18" s="761"/>
      <c r="V18" s="761"/>
      <c r="W18" s="761"/>
      <c r="X18" s="761"/>
      <c r="Y18" s="761"/>
      <c r="Z18" s="761"/>
      <c r="AA18" s="766">
        <f t="shared" si="42"/>
        <v>1</v>
      </c>
      <c r="AB18" s="760"/>
      <c r="AC18" s="761"/>
      <c r="AD18" s="761"/>
      <c r="AE18" s="761"/>
      <c r="AF18" s="761"/>
      <c r="AG18" s="761"/>
      <c r="AH18" s="761"/>
      <c r="AI18" s="761"/>
      <c r="AJ18" s="761"/>
      <c r="AK18" s="761"/>
      <c r="AL18" s="761"/>
      <c r="AM18" s="761"/>
      <c r="AN18" s="766">
        <f t="shared" si="43"/>
        <v>0</v>
      </c>
      <c r="AO18" s="760">
        <v>1</v>
      </c>
      <c r="AP18" s="761"/>
      <c r="AQ18" s="761"/>
      <c r="AR18" s="761"/>
      <c r="AS18" s="761"/>
      <c r="AT18" s="761"/>
      <c r="AU18" s="761"/>
      <c r="AV18" s="761"/>
      <c r="AW18" s="761"/>
      <c r="AX18" s="761"/>
      <c r="AY18" s="761">
        <v>1</v>
      </c>
      <c r="AZ18" s="761">
        <v>1</v>
      </c>
      <c r="BA18" s="766">
        <f t="shared" si="44"/>
        <v>3</v>
      </c>
      <c r="BB18" s="760">
        <v>1</v>
      </c>
      <c r="BC18" s="761"/>
      <c r="BD18" s="761"/>
      <c r="BE18" s="761"/>
      <c r="BF18" s="761">
        <v>3</v>
      </c>
      <c r="BG18" s="761">
        <v>1</v>
      </c>
      <c r="BH18" s="761"/>
      <c r="BI18" s="761">
        <v>1</v>
      </c>
      <c r="BJ18" s="761"/>
      <c r="BK18" s="761"/>
      <c r="BL18" s="761">
        <v>1</v>
      </c>
      <c r="BM18" s="761"/>
      <c r="BN18" s="766">
        <f t="shared" si="45"/>
        <v>7</v>
      </c>
      <c r="BO18" s="760">
        <v>1</v>
      </c>
      <c r="BP18" s="761"/>
      <c r="BQ18" s="761"/>
      <c r="BR18" s="761"/>
      <c r="BS18" s="761"/>
      <c r="BT18" s="761"/>
      <c r="BU18" s="761"/>
      <c r="BV18" s="761"/>
      <c r="BW18" s="761"/>
      <c r="BX18" s="761"/>
      <c r="BY18" s="761"/>
      <c r="BZ18" s="761"/>
      <c r="CA18" s="766">
        <f t="shared" si="46"/>
        <v>1</v>
      </c>
      <c r="CB18" s="760">
        <v>0.35620000000000002</v>
      </c>
      <c r="CC18" s="761">
        <v>0.19500000000000001</v>
      </c>
      <c r="CD18" s="761"/>
      <c r="CE18" s="761">
        <v>0.13</v>
      </c>
      <c r="CF18" s="761"/>
      <c r="CG18" s="761"/>
      <c r="CH18" s="761"/>
      <c r="CI18" s="761">
        <v>0.2</v>
      </c>
      <c r="CJ18" s="761"/>
      <c r="CK18" s="761">
        <v>0.25</v>
      </c>
      <c r="CL18" s="761">
        <v>0.47</v>
      </c>
      <c r="CM18" s="761"/>
      <c r="CN18" s="766">
        <f t="shared" si="47"/>
        <v>1.6012</v>
      </c>
      <c r="CO18" s="760">
        <v>0.34839999999999999</v>
      </c>
      <c r="CP18" s="761">
        <v>0.19889999999999999</v>
      </c>
      <c r="CQ18" s="761">
        <v>0.44850000000000001</v>
      </c>
      <c r="CR18" s="761"/>
      <c r="CS18" s="761">
        <v>6.5000000000000002E-2</v>
      </c>
      <c r="CT18" s="761"/>
      <c r="CU18" s="761">
        <v>0.104</v>
      </c>
      <c r="CV18" s="761">
        <v>0.45500000000000002</v>
      </c>
      <c r="CW18" s="761">
        <v>0.32500000000000001</v>
      </c>
      <c r="CX18" s="761">
        <v>3.133</v>
      </c>
      <c r="CY18" s="761">
        <v>2.4504999999999999</v>
      </c>
      <c r="CZ18" s="761">
        <v>0.45500000000000002</v>
      </c>
      <c r="DA18" s="766">
        <f t="shared" si="48"/>
        <v>7.9832999999999998</v>
      </c>
      <c r="DB18" s="760">
        <v>0.40949999999999998</v>
      </c>
      <c r="DC18" s="761">
        <v>0.13</v>
      </c>
      <c r="DD18" s="761">
        <v>2.1775000000000002</v>
      </c>
      <c r="DE18" s="761">
        <v>0.3705</v>
      </c>
      <c r="DF18" s="761">
        <v>2.145</v>
      </c>
      <c r="DG18" s="761">
        <v>0.65</v>
      </c>
      <c r="DH18" s="761">
        <v>0.5655</v>
      </c>
      <c r="DI18" s="761">
        <v>0.19500000000000001</v>
      </c>
      <c r="DJ18" s="761">
        <v>0.91</v>
      </c>
      <c r="DK18" s="761">
        <v>0.97499999999999998</v>
      </c>
      <c r="DL18" s="761">
        <v>0.78</v>
      </c>
      <c r="DM18" s="761">
        <v>2.2359999999999998</v>
      </c>
      <c r="DN18" s="766">
        <f t="shared" si="49"/>
        <v>11.544</v>
      </c>
      <c r="DO18" s="760"/>
      <c r="DP18" s="761"/>
      <c r="DQ18" s="761">
        <v>1.4999999999999999E-2</v>
      </c>
      <c r="DR18" s="761"/>
      <c r="DS18" s="761"/>
      <c r="DT18" s="761"/>
      <c r="DU18" s="761"/>
      <c r="DV18" s="761"/>
      <c r="DW18" s="761"/>
      <c r="DX18" s="761"/>
      <c r="DY18" s="761">
        <v>0.05</v>
      </c>
      <c r="DZ18" s="761">
        <v>0.1</v>
      </c>
      <c r="EA18" s="766">
        <f t="shared" si="50"/>
        <v>0.16500000000000001</v>
      </c>
      <c r="EB18" s="760">
        <v>0.123</v>
      </c>
      <c r="EC18" s="761"/>
      <c r="ED18" s="761">
        <v>0.60299999999999998</v>
      </c>
      <c r="EE18" s="761"/>
      <c r="EF18" s="761">
        <v>0.05</v>
      </c>
      <c r="EG18" s="761">
        <v>0.28000000000000003</v>
      </c>
      <c r="EH18" s="761">
        <v>0.82</v>
      </c>
      <c r="EI18" s="761">
        <v>1.1100000000000001</v>
      </c>
      <c r="EJ18" s="761">
        <v>0.58499999999999996</v>
      </c>
      <c r="EK18" s="761">
        <v>0.51800000000000002</v>
      </c>
      <c r="EL18" s="761">
        <v>0.76400000000000001</v>
      </c>
      <c r="EM18" s="761">
        <v>0.22</v>
      </c>
      <c r="EN18" s="766">
        <f t="shared" si="51"/>
        <v>5.0729999999999995</v>
      </c>
      <c r="EO18" s="760">
        <v>2.12</v>
      </c>
      <c r="EP18" s="761">
        <v>1.427</v>
      </c>
      <c r="EQ18" s="761">
        <v>0.75300000000000011</v>
      </c>
      <c r="ER18" s="761">
        <v>0.57200000000000006</v>
      </c>
      <c r="ES18" s="761"/>
      <c r="ET18" s="761"/>
      <c r="EU18" s="761"/>
      <c r="EV18" s="761"/>
      <c r="EW18" s="761"/>
      <c r="EX18" s="761"/>
      <c r="EY18" s="761"/>
      <c r="EZ18" s="761"/>
      <c r="FA18" s="766">
        <f t="shared" si="52"/>
        <v>4.8720000000000008</v>
      </c>
      <c r="FC18" s="549">
        <f t="shared" si="53"/>
        <v>24.875621890547283</v>
      </c>
      <c r="FD18" s="550">
        <f t="shared" si="54"/>
        <v>492.28650137741062</v>
      </c>
      <c r="FE18" s="551">
        <f t="shared" si="55"/>
        <v>0.72599999999999998</v>
      </c>
      <c r="FF18" s="552">
        <f t="shared" si="56"/>
        <v>4.3000000000000007</v>
      </c>
      <c r="FH18" s="917" t="s">
        <v>20</v>
      </c>
      <c r="FI18" s="920" t="str">
        <f t="shared" si="20"/>
        <v>OK</v>
      </c>
    </row>
    <row r="19" spans="1:165" ht="15" customHeight="1" x14ac:dyDescent="0.25">
      <c r="A19" s="349" t="s">
        <v>19</v>
      </c>
      <c r="B19" s="760">
        <v>51</v>
      </c>
      <c r="C19" s="761">
        <v>38</v>
      </c>
      <c r="D19" s="761">
        <v>47</v>
      </c>
      <c r="E19" s="761">
        <v>35</v>
      </c>
      <c r="F19" s="761">
        <v>47</v>
      </c>
      <c r="G19" s="761">
        <v>90</v>
      </c>
      <c r="H19" s="761">
        <v>183</v>
      </c>
      <c r="I19" s="761">
        <v>294</v>
      </c>
      <c r="J19" s="761">
        <v>307</v>
      </c>
      <c r="K19" s="761">
        <v>554</v>
      </c>
      <c r="L19" s="761">
        <v>159</v>
      </c>
      <c r="M19" s="761">
        <v>148</v>
      </c>
      <c r="N19" s="766">
        <f t="shared" si="41"/>
        <v>1953</v>
      </c>
      <c r="O19" s="760">
        <v>49</v>
      </c>
      <c r="P19" s="761">
        <v>38</v>
      </c>
      <c r="Q19" s="761">
        <v>20</v>
      </c>
      <c r="R19" s="761">
        <v>15</v>
      </c>
      <c r="S19" s="761">
        <v>43</v>
      </c>
      <c r="T19" s="761">
        <v>227</v>
      </c>
      <c r="U19" s="761">
        <v>245</v>
      </c>
      <c r="V19" s="761">
        <v>170</v>
      </c>
      <c r="W19" s="761">
        <v>288</v>
      </c>
      <c r="X19" s="761">
        <v>55</v>
      </c>
      <c r="Y19" s="761">
        <v>53</v>
      </c>
      <c r="Z19" s="761">
        <v>33</v>
      </c>
      <c r="AA19" s="766">
        <f t="shared" si="42"/>
        <v>1236</v>
      </c>
      <c r="AB19" s="760">
        <v>79</v>
      </c>
      <c r="AC19" s="761">
        <v>51</v>
      </c>
      <c r="AD19" s="761">
        <v>24</v>
      </c>
      <c r="AE19" s="761">
        <v>38</v>
      </c>
      <c r="AF19" s="761">
        <v>45</v>
      </c>
      <c r="AG19" s="761">
        <v>71</v>
      </c>
      <c r="AH19" s="761">
        <v>121</v>
      </c>
      <c r="AI19" s="761">
        <v>275</v>
      </c>
      <c r="AJ19" s="761">
        <v>336</v>
      </c>
      <c r="AK19" s="761">
        <v>297</v>
      </c>
      <c r="AL19" s="761">
        <v>63</v>
      </c>
      <c r="AM19" s="761">
        <v>50</v>
      </c>
      <c r="AN19" s="766">
        <f t="shared" si="43"/>
        <v>1450</v>
      </c>
      <c r="AO19" s="760">
        <v>45</v>
      </c>
      <c r="AP19" s="761">
        <v>28</v>
      </c>
      <c r="AQ19" s="761">
        <v>64</v>
      </c>
      <c r="AR19" s="761">
        <v>49</v>
      </c>
      <c r="AS19" s="761">
        <v>60</v>
      </c>
      <c r="AT19" s="761">
        <v>102</v>
      </c>
      <c r="AU19" s="761">
        <v>154</v>
      </c>
      <c r="AV19" s="761">
        <v>174</v>
      </c>
      <c r="AW19" s="761">
        <v>171</v>
      </c>
      <c r="AX19" s="761">
        <v>100</v>
      </c>
      <c r="AY19" s="761">
        <v>46</v>
      </c>
      <c r="AZ19" s="761">
        <v>28</v>
      </c>
      <c r="BA19" s="766">
        <f t="shared" si="44"/>
        <v>1021</v>
      </c>
      <c r="BB19" s="760">
        <v>31</v>
      </c>
      <c r="BC19" s="761">
        <v>48</v>
      </c>
      <c r="BD19" s="761">
        <v>51</v>
      </c>
      <c r="BE19" s="761">
        <v>68</v>
      </c>
      <c r="BF19" s="761">
        <v>77</v>
      </c>
      <c r="BG19" s="761">
        <v>154</v>
      </c>
      <c r="BH19" s="761">
        <v>173</v>
      </c>
      <c r="BI19" s="761">
        <v>149</v>
      </c>
      <c r="BJ19" s="761">
        <v>298</v>
      </c>
      <c r="BK19" s="761">
        <v>348</v>
      </c>
      <c r="BL19" s="761">
        <v>79</v>
      </c>
      <c r="BM19" s="761">
        <v>45</v>
      </c>
      <c r="BN19" s="766">
        <f t="shared" si="45"/>
        <v>1521</v>
      </c>
      <c r="BO19" s="760">
        <v>32</v>
      </c>
      <c r="BP19" s="761">
        <v>43</v>
      </c>
      <c r="BQ19" s="761">
        <v>12</v>
      </c>
      <c r="BR19" s="761">
        <v>1</v>
      </c>
      <c r="BS19" s="761">
        <v>1</v>
      </c>
      <c r="BT19" s="761">
        <v>34</v>
      </c>
      <c r="BU19" s="761">
        <v>110</v>
      </c>
      <c r="BV19" s="761">
        <v>83</v>
      </c>
      <c r="BW19" s="761">
        <v>43</v>
      </c>
      <c r="BX19" s="761">
        <v>137</v>
      </c>
      <c r="BY19" s="761">
        <v>20</v>
      </c>
      <c r="BZ19" s="761">
        <v>21</v>
      </c>
      <c r="CA19" s="766">
        <f t="shared" si="46"/>
        <v>537</v>
      </c>
      <c r="CB19" s="760">
        <v>21.774999999999999</v>
      </c>
      <c r="CC19" s="761">
        <v>11.3828</v>
      </c>
      <c r="CD19" s="761">
        <v>9.7077500000000008</v>
      </c>
      <c r="CE19" s="761">
        <v>14.101749999999999</v>
      </c>
      <c r="CF19" s="761">
        <v>32.564999999999998</v>
      </c>
      <c r="CG19" s="761">
        <v>37.92165</v>
      </c>
      <c r="CH19" s="761">
        <v>108.79349999999999</v>
      </c>
      <c r="CI19" s="761">
        <v>81.08</v>
      </c>
      <c r="CJ19" s="761">
        <v>48.68</v>
      </c>
      <c r="CK19" s="761">
        <v>99.08</v>
      </c>
      <c r="CL19" s="761">
        <v>49.620000000000005</v>
      </c>
      <c r="CM19" s="761">
        <v>14.530000000000001</v>
      </c>
      <c r="CN19" s="766">
        <f t="shared" si="47"/>
        <v>529.23744999999997</v>
      </c>
      <c r="CO19" s="760">
        <v>26.597900000000003</v>
      </c>
      <c r="CP19" s="761">
        <v>24.928899999999999</v>
      </c>
      <c r="CQ19" s="761">
        <v>18.348600000000001</v>
      </c>
      <c r="CR19" s="761">
        <v>49.464999999999996</v>
      </c>
      <c r="CS19" s="761">
        <v>19.0749</v>
      </c>
      <c r="CT19" s="761">
        <v>30.622800000000002</v>
      </c>
      <c r="CU19" s="761">
        <v>122.75575000000001</v>
      </c>
      <c r="CV19" s="761">
        <v>123.83150000000001</v>
      </c>
      <c r="CW19" s="761">
        <v>233.54825</v>
      </c>
      <c r="CX19" s="761">
        <v>129.80175</v>
      </c>
      <c r="CY19" s="761">
        <v>63.332749999999997</v>
      </c>
      <c r="CZ19" s="761">
        <v>25.986999999999998</v>
      </c>
      <c r="DA19" s="766">
        <f t="shared" si="48"/>
        <v>868.29510000000005</v>
      </c>
      <c r="DB19" s="760">
        <v>29.403399999999998</v>
      </c>
      <c r="DC19" s="761">
        <v>20.976799999999997</v>
      </c>
      <c r="DD19" s="761">
        <v>26.822900000000001</v>
      </c>
      <c r="DE19" s="761">
        <v>24.654499999999999</v>
      </c>
      <c r="DF19" s="761">
        <v>22.3184</v>
      </c>
      <c r="DG19" s="761">
        <v>86.443499999999986</v>
      </c>
      <c r="DH19" s="761">
        <v>21.917999999999999</v>
      </c>
      <c r="DI19" s="761">
        <v>182.13649999999998</v>
      </c>
      <c r="DJ19" s="761">
        <v>168.73999999999998</v>
      </c>
      <c r="DK19" s="761">
        <v>26.032499999999999</v>
      </c>
      <c r="DL19" s="761">
        <v>29.945500000000003</v>
      </c>
      <c r="DM19" s="761">
        <v>13.3055</v>
      </c>
      <c r="DN19" s="766">
        <f t="shared" si="49"/>
        <v>652.6975000000001</v>
      </c>
      <c r="DO19" s="760">
        <v>7</v>
      </c>
      <c r="DP19" s="761">
        <v>6.9450000000000003</v>
      </c>
      <c r="DQ19" s="761">
        <v>11.958</v>
      </c>
      <c r="DR19" s="761">
        <v>5.9820000000000002</v>
      </c>
      <c r="DS19" s="761">
        <v>26.226000000000003</v>
      </c>
      <c r="DT19" s="761">
        <v>15.78</v>
      </c>
      <c r="DU19" s="761">
        <v>45.55</v>
      </c>
      <c r="DV19" s="761">
        <v>67.47</v>
      </c>
      <c r="DW19" s="761">
        <v>88.286999999999992</v>
      </c>
      <c r="DX19" s="761">
        <v>15.542</v>
      </c>
      <c r="DY19" s="761">
        <v>16.542999999999999</v>
      </c>
      <c r="DZ19" s="761">
        <v>18.523</v>
      </c>
      <c r="EA19" s="766">
        <f t="shared" si="50"/>
        <v>325.80599999999998</v>
      </c>
      <c r="EB19" s="760">
        <v>20.309999999999999</v>
      </c>
      <c r="EC19" s="761">
        <v>20.292999999999999</v>
      </c>
      <c r="ED19" s="761">
        <v>15.364000000000001</v>
      </c>
      <c r="EE19" s="761">
        <v>32.436</v>
      </c>
      <c r="EF19" s="761">
        <v>10.325999999999999</v>
      </c>
      <c r="EG19" s="761">
        <v>20.350000000000001</v>
      </c>
      <c r="EH19" s="761">
        <v>83.9</v>
      </c>
      <c r="EI19" s="761">
        <v>46.469000000000001</v>
      </c>
      <c r="EJ19" s="761">
        <v>43.885000000000005</v>
      </c>
      <c r="EK19" s="761">
        <v>59.432000000000002</v>
      </c>
      <c r="EL19" s="761">
        <v>20.957999999999998</v>
      </c>
      <c r="EM19" s="761">
        <v>13.809000000000001</v>
      </c>
      <c r="EN19" s="766">
        <f t="shared" si="51"/>
        <v>387.53199999999998</v>
      </c>
      <c r="EO19" s="760">
        <v>14.243749999999999</v>
      </c>
      <c r="EP19" s="761">
        <v>12.654999999999999</v>
      </c>
      <c r="EQ19" s="761">
        <v>26.888000000000002</v>
      </c>
      <c r="ER19" s="761">
        <v>54.605999999999995</v>
      </c>
      <c r="ES19" s="761"/>
      <c r="ET19" s="761"/>
      <c r="EU19" s="761"/>
      <c r="EV19" s="761"/>
      <c r="EW19" s="761"/>
      <c r="EX19" s="761"/>
      <c r="EY19" s="761"/>
      <c r="EZ19" s="761"/>
      <c r="FA19" s="766">
        <f t="shared" si="52"/>
        <v>108.39274999999999</v>
      </c>
      <c r="FC19" s="549">
        <f t="shared" si="53"/>
        <v>75.006508721687055</v>
      </c>
      <c r="FD19" s="550">
        <f t="shared" si="54"/>
        <v>-3.8955991923812272</v>
      </c>
      <c r="FE19" s="551">
        <f t="shared" si="55"/>
        <v>55.966999999999999</v>
      </c>
      <c r="FF19" s="552">
        <f t="shared" si="56"/>
        <v>53.786749999999998</v>
      </c>
      <c r="FH19" s="917" t="s">
        <v>19</v>
      </c>
      <c r="FI19" s="920" t="str">
        <f t="shared" si="20"/>
        <v>OK</v>
      </c>
    </row>
    <row r="20" spans="1:165" ht="15" customHeight="1" x14ac:dyDescent="0.25">
      <c r="A20" s="349" t="s">
        <v>21</v>
      </c>
      <c r="B20" s="760">
        <v>3</v>
      </c>
      <c r="C20" s="761">
        <v>4</v>
      </c>
      <c r="D20" s="761">
        <v>4</v>
      </c>
      <c r="E20" s="761">
        <v>3</v>
      </c>
      <c r="F20" s="761">
        <v>5</v>
      </c>
      <c r="G20" s="761">
        <v>6</v>
      </c>
      <c r="H20" s="761">
        <v>10</v>
      </c>
      <c r="I20" s="761">
        <v>16</v>
      </c>
      <c r="J20" s="761">
        <v>34</v>
      </c>
      <c r="K20" s="761">
        <v>7</v>
      </c>
      <c r="L20" s="761">
        <v>9</v>
      </c>
      <c r="M20" s="761">
        <v>16</v>
      </c>
      <c r="N20" s="766">
        <f t="shared" si="41"/>
        <v>117</v>
      </c>
      <c r="O20" s="760">
        <v>6</v>
      </c>
      <c r="P20" s="761">
        <v>3</v>
      </c>
      <c r="Q20" s="761">
        <v>1</v>
      </c>
      <c r="R20" s="761">
        <v>2</v>
      </c>
      <c r="S20" s="761">
        <v>3</v>
      </c>
      <c r="T20" s="761">
        <v>7</v>
      </c>
      <c r="U20" s="761">
        <v>9</v>
      </c>
      <c r="V20" s="761">
        <v>10</v>
      </c>
      <c r="W20" s="761">
        <v>21</v>
      </c>
      <c r="X20" s="761">
        <v>24</v>
      </c>
      <c r="Y20" s="761">
        <v>21</v>
      </c>
      <c r="Z20" s="761">
        <v>13</v>
      </c>
      <c r="AA20" s="766">
        <f t="shared" si="42"/>
        <v>120</v>
      </c>
      <c r="AB20" s="760">
        <v>9</v>
      </c>
      <c r="AC20" s="761">
        <v>7</v>
      </c>
      <c r="AD20" s="761">
        <v>6</v>
      </c>
      <c r="AE20" s="761">
        <v>4</v>
      </c>
      <c r="AF20" s="761">
        <v>10</v>
      </c>
      <c r="AG20" s="761">
        <v>9</v>
      </c>
      <c r="AH20" s="761">
        <v>12</v>
      </c>
      <c r="AI20" s="761">
        <v>19</v>
      </c>
      <c r="AJ20" s="761">
        <v>33</v>
      </c>
      <c r="AK20" s="761">
        <v>21</v>
      </c>
      <c r="AL20" s="761">
        <v>24</v>
      </c>
      <c r="AM20" s="761">
        <v>18</v>
      </c>
      <c r="AN20" s="766">
        <f t="shared" si="43"/>
        <v>172</v>
      </c>
      <c r="AO20" s="760">
        <v>8</v>
      </c>
      <c r="AP20" s="761">
        <v>3</v>
      </c>
      <c r="AQ20" s="761">
        <v>1</v>
      </c>
      <c r="AR20" s="761">
        <v>5</v>
      </c>
      <c r="AS20" s="761">
        <v>8</v>
      </c>
      <c r="AT20" s="761">
        <v>9</v>
      </c>
      <c r="AU20" s="761">
        <v>19</v>
      </c>
      <c r="AV20" s="761">
        <v>28</v>
      </c>
      <c r="AW20" s="761">
        <v>30</v>
      </c>
      <c r="AX20" s="761">
        <v>22</v>
      </c>
      <c r="AY20" s="761">
        <v>21</v>
      </c>
      <c r="AZ20" s="761">
        <v>9</v>
      </c>
      <c r="BA20" s="766">
        <f t="shared" si="44"/>
        <v>163</v>
      </c>
      <c r="BB20" s="760">
        <v>8</v>
      </c>
      <c r="BC20" s="761">
        <v>14</v>
      </c>
      <c r="BD20" s="761">
        <v>4</v>
      </c>
      <c r="BE20" s="761">
        <v>8</v>
      </c>
      <c r="BF20" s="761">
        <v>6</v>
      </c>
      <c r="BG20" s="761">
        <v>6</v>
      </c>
      <c r="BH20" s="761">
        <v>23</v>
      </c>
      <c r="BI20" s="761">
        <v>23</v>
      </c>
      <c r="BJ20" s="761">
        <v>9</v>
      </c>
      <c r="BK20" s="761">
        <v>11</v>
      </c>
      <c r="BL20" s="761">
        <v>11</v>
      </c>
      <c r="BM20" s="761">
        <v>4</v>
      </c>
      <c r="BN20" s="766">
        <f t="shared" si="45"/>
        <v>127</v>
      </c>
      <c r="BO20" s="760">
        <v>2</v>
      </c>
      <c r="BP20" s="761">
        <v>8</v>
      </c>
      <c r="BQ20" s="761">
        <v>3</v>
      </c>
      <c r="BR20" s="761"/>
      <c r="BS20" s="761"/>
      <c r="BT20" s="761"/>
      <c r="BU20" s="761">
        <v>3</v>
      </c>
      <c r="BV20" s="761"/>
      <c r="BW20" s="761">
        <v>1</v>
      </c>
      <c r="BX20" s="761"/>
      <c r="BY20" s="761"/>
      <c r="BZ20" s="761"/>
      <c r="CA20" s="766">
        <f t="shared" si="46"/>
        <v>17</v>
      </c>
      <c r="CB20" s="760">
        <v>5.0257999999999994</v>
      </c>
      <c r="CC20" s="761">
        <v>0.20800000000000002</v>
      </c>
      <c r="CD20" s="761"/>
      <c r="CE20" s="761">
        <v>0.42249999999999999</v>
      </c>
      <c r="CF20" s="761">
        <v>2.5415000000000001</v>
      </c>
      <c r="CG20" s="761">
        <v>4.1274999999999995</v>
      </c>
      <c r="CH20" s="761">
        <v>2.85</v>
      </c>
      <c r="CI20" s="761">
        <v>0.86299999999999999</v>
      </c>
      <c r="CJ20" s="761">
        <v>1.5</v>
      </c>
      <c r="CK20" s="761">
        <v>3.79</v>
      </c>
      <c r="CL20" s="761">
        <v>5.3999999999999995</v>
      </c>
      <c r="CM20" s="761">
        <v>5.55</v>
      </c>
      <c r="CN20" s="766">
        <f t="shared" si="47"/>
        <v>32.278299999999994</v>
      </c>
      <c r="CO20" s="760">
        <v>6.4181000000000008</v>
      </c>
      <c r="CP20" s="761">
        <v>3.198</v>
      </c>
      <c r="CQ20" s="761">
        <v>6.1984000000000004</v>
      </c>
      <c r="CR20" s="761"/>
      <c r="CS20" s="761">
        <v>2.0891000000000002</v>
      </c>
      <c r="CT20" s="761">
        <v>1.8304000000000002</v>
      </c>
      <c r="CU20" s="761">
        <v>18.928000000000001</v>
      </c>
      <c r="CV20" s="761">
        <v>26.663</v>
      </c>
      <c r="CW20" s="761">
        <v>14.313000000000001</v>
      </c>
      <c r="CX20" s="761">
        <v>3.8090000000000002</v>
      </c>
      <c r="CY20" s="761">
        <v>4.6669999999999998</v>
      </c>
      <c r="CZ20" s="761">
        <v>2.4569999999999999</v>
      </c>
      <c r="DA20" s="766">
        <f t="shared" si="48"/>
        <v>90.570999999999998</v>
      </c>
      <c r="DB20" s="760">
        <v>8.8231000000000002</v>
      </c>
      <c r="DC20" s="761">
        <v>3.6179000000000001</v>
      </c>
      <c r="DD20" s="761">
        <v>2.6013000000000002</v>
      </c>
      <c r="DE20" s="761">
        <v>5.1674999999999995</v>
      </c>
      <c r="DF20" s="761">
        <v>7.5790000000000006</v>
      </c>
      <c r="DG20" s="761">
        <v>4.3680000000000003</v>
      </c>
      <c r="DH20" s="761">
        <v>7.1564999999999994</v>
      </c>
      <c r="DI20" s="761">
        <v>12.714</v>
      </c>
      <c r="DJ20" s="761">
        <v>16.873999999999999</v>
      </c>
      <c r="DK20" s="761">
        <v>8.9049999999999994</v>
      </c>
      <c r="DL20" s="761">
        <v>9.5419999999999998</v>
      </c>
      <c r="DM20" s="761">
        <v>8.9700000000000006</v>
      </c>
      <c r="DN20" s="766">
        <f t="shared" si="49"/>
        <v>96.318300000000008</v>
      </c>
      <c r="DO20" s="760">
        <v>0.3</v>
      </c>
      <c r="DP20" s="761"/>
      <c r="DQ20" s="761">
        <v>0.70500000000000007</v>
      </c>
      <c r="DR20" s="761">
        <v>0.79700000000000004</v>
      </c>
      <c r="DS20" s="761">
        <v>0.77500000000000002</v>
      </c>
      <c r="DT20" s="761"/>
      <c r="DU20" s="761">
        <v>16.646000000000001</v>
      </c>
      <c r="DV20" s="761">
        <v>5.85</v>
      </c>
      <c r="DW20" s="761">
        <v>6.76</v>
      </c>
      <c r="DX20" s="761">
        <v>11.420999999999999</v>
      </c>
      <c r="DY20" s="761">
        <v>7.5789999999999997</v>
      </c>
      <c r="DZ20" s="761">
        <v>8.6269999999999989</v>
      </c>
      <c r="EA20" s="766">
        <f t="shared" si="50"/>
        <v>59.459999999999994</v>
      </c>
      <c r="EB20" s="760">
        <v>0.123</v>
      </c>
      <c r="EC20" s="761">
        <v>1.214</v>
      </c>
      <c r="ED20" s="761">
        <v>9.0999999999999998E-2</v>
      </c>
      <c r="EE20" s="761">
        <v>0.4</v>
      </c>
      <c r="EF20" s="761">
        <v>0.51700000000000002</v>
      </c>
      <c r="EG20" s="761"/>
      <c r="EH20" s="761">
        <v>9.0999999999999998E-2</v>
      </c>
      <c r="EI20" s="761">
        <v>0.91200000000000003</v>
      </c>
      <c r="EJ20" s="761">
        <v>0.55300000000000005</v>
      </c>
      <c r="EK20" s="761">
        <v>2.8420000000000001</v>
      </c>
      <c r="EL20" s="761">
        <v>3.4289999999999998</v>
      </c>
      <c r="EM20" s="761">
        <v>2.0670000000000002</v>
      </c>
      <c r="EN20" s="766">
        <f t="shared" si="51"/>
        <v>12.239000000000001</v>
      </c>
      <c r="EO20" s="760">
        <v>2.1312500000000001</v>
      </c>
      <c r="EP20" s="761">
        <v>3.5</v>
      </c>
      <c r="EQ20" s="761">
        <v>8.2690000000000001</v>
      </c>
      <c r="ER20" s="761">
        <v>8.7460000000000004</v>
      </c>
      <c r="ES20" s="761"/>
      <c r="ET20" s="761"/>
      <c r="EU20" s="761"/>
      <c r="EV20" s="761"/>
      <c r="EW20" s="761"/>
      <c r="EX20" s="761"/>
      <c r="EY20" s="761"/>
      <c r="EZ20" s="761"/>
      <c r="FA20" s="766">
        <f t="shared" si="52"/>
        <v>22.646250000000002</v>
      </c>
      <c r="FC20" s="549">
        <f t="shared" si="53"/>
        <v>8986.8131868131877</v>
      </c>
      <c r="FD20" s="550">
        <f t="shared" si="54"/>
        <v>873.40686274509812</v>
      </c>
      <c r="FE20" s="551">
        <f t="shared" si="55"/>
        <v>1.4279999999999999</v>
      </c>
      <c r="FF20" s="552">
        <f t="shared" si="56"/>
        <v>13.90025</v>
      </c>
      <c r="FH20" s="917" t="s">
        <v>21</v>
      </c>
      <c r="FI20" s="920" t="str">
        <f t="shared" si="20"/>
        <v>OK</v>
      </c>
    </row>
    <row r="21" spans="1:165" ht="15" customHeight="1" x14ac:dyDescent="0.25">
      <c r="A21" s="349" t="s">
        <v>22</v>
      </c>
      <c r="B21" s="760">
        <v>1</v>
      </c>
      <c r="C21" s="761">
        <v>2</v>
      </c>
      <c r="D21" s="761">
        <v>1</v>
      </c>
      <c r="E21" s="761">
        <v>8</v>
      </c>
      <c r="F21" s="761">
        <v>11</v>
      </c>
      <c r="G21" s="761">
        <v>10</v>
      </c>
      <c r="H21" s="761">
        <v>2</v>
      </c>
      <c r="I21" s="761">
        <v>5</v>
      </c>
      <c r="J21" s="761">
        <v>8</v>
      </c>
      <c r="K21" s="761">
        <v>3</v>
      </c>
      <c r="L21" s="761">
        <v>4</v>
      </c>
      <c r="M21" s="761">
        <v>2</v>
      </c>
      <c r="N21" s="766">
        <f t="shared" si="41"/>
        <v>57</v>
      </c>
      <c r="O21" s="760">
        <v>1</v>
      </c>
      <c r="P21" s="761"/>
      <c r="Q21" s="761"/>
      <c r="R21" s="761">
        <v>1</v>
      </c>
      <c r="S21" s="761">
        <v>4</v>
      </c>
      <c r="T21" s="761">
        <v>9</v>
      </c>
      <c r="U21" s="761">
        <v>1</v>
      </c>
      <c r="V21" s="761">
        <v>2</v>
      </c>
      <c r="W21" s="761">
        <v>3</v>
      </c>
      <c r="X21" s="761">
        <v>3</v>
      </c>
      <c r="Y21" s="761">
        <v>1</v>
      </c>
      <c r="Z21" s="761"/>
      <c r="AA21" s="766">
        <f t="shared" si="42"/>
        <v>25</v>
      </c>
      <c r="AB21" s="760">
        <v>1</v>
      </c>
      <c r="AC21" s="761">
        <v>4</v>
      </c>
      <c r="AD21" s="761"/>
      <c r="AE21" s="761">
        <v>4</v>
      </c>
      <c r="AF21" s="761">
        <v>6</v>
      </c>
      <c r="AG21" s="761">
        <v>3</v>
      </c>
      <c r="AH21" s="761"/>
      <c r="AI21" s="761">
        <v>2</v>
      </c>
      <c r="AJ21" s="761">
        <v>2</v>
      </c>
      <c r="AK21" s="761">
        <v>3</v>
      </c>
      <c r="AL21" s="761">
        <v>3</v>
      </c>
      <c r="AM21" s="761"/>
      <c r="AN21" s="766">
        <f t="shared" si="43"/>
        <v>28</v>
      </c>
      <c r="AO21" s="760">
        <v>1</v>
      </c>
      <c r="AP21" s="761"/>
      <c r="AQ21" s="761">
        <v>1</v>
      </c>
      <c r="AR21" s="761">
        <v>3</v>
      </c>
      <c r="AS21" s="761">
        <v>4</v>
      </c>
      <c r="AT21" s="761">
        <v>2</v>
      </c>
      <c r="AU21" s="761">
        <v>1</v>
      </c>
      <c r="AV21" s="761">
        <v>2</v>
      </c>
      <c r="AW21" s="761">
        <v>2</v>
      </c>
      <c r="AX21" s="761">
        <v>1</v>
      </c>
      <c r="AY21" s="761">
        <v>1</v>
      </c>
      <c r="AZ21" s="761">
        <v>1</v>
      </c>
      <c r="BA21" s="766">
        <f t="shared" si="44"/>
        <v>19</v>
      </c>
      <c r="BB21" s="760">
        <v>1</v>
      </c>
      <c r="BC21" s="761"/>
      <c r="BD21" s="761">
        <v>1</v>
      </c>
      <c r="BE21" s="761">
        <v>4</v>
      </c>
      <c r="BF21" s="761">
        <v>13</v>
      </c>
      <c r="BG21" s="761">
        <v>6</v>
      </c>
      <c r="BH21" s="761">
        <v>1</v>
      </c>
      <c r="BI21" s="761">
        <v>2</v>
      </c>
      <c r="BJ21" s="761">
        <v>5</v>
      </c>
      <c r="BK21" s="761">
        <v>1</v>
      </c>
      <c r="BL21" s="761">
        <v>17</v>
      </c>
      <c r="BM21" s="761"/>
      <c r="BN21" s="766">
        <f t="shared" si="45"/>
        <v>51</v>
      </c>
      <c r="BO21" s="760"/>
      <c r="BP21" s="761">
        <v>1</v>
      </c>
      <c r="BQ21" s="761"/>
      <c r="BR21" s="761"/>
      <c r="BS21" s="761"/>
      <c r="BT21" s="761"/>
      <c r="BU21" s="761"/>
      <c r="BV21" s="761">
        <v>2</v>
      </c>
      <c r="BW21" s="761">
        <v>1</v>
      </c>
      <c r="BX21" s="761">
        <v>1</v>
      </c>
      <c r="BY21" s="761">
        <v>2</v>
      </c>
      <c r="BZ21" s="761">
        <v>1</v>
      </c>
      <c r="CA21" s="766">
        <f t="shared" si="46"/>
        <v>8</v>
      </c>
      <c r="CB21" s="760"/>
      <c r="CC21" s="761">
        <v>0.97499999999999998</v>
      </c>
      <c r="CD21" s="761"/>
      <c r="CE21" s="761"/>
      <c r="CF21" s="761">
        <v>0.52</v>
      </c>
      <c r="CG21" s="761">
        <v>0.98150000000000004</v>
      </c>
      <c r="CH21" s="761"/>
      <c r="CI21" s="761">
        <v>3.01</v>
      </c>
      <c r="CJ21" s="761">
        <v>2.2999999999999998</v>
      </c>
      <c r="CK21" s="761">
        <v>0.315</v>
      </c>
      <c r="CL21" s="761">
        <v>1.3420000000000001</v>
      </c>
      <c r="CM21" s="761">
        <v>0.84000000000000008</v>
      </c>
      <c r="CN21" s="766">
        <f t="shared" si="47"/>
        <v>10.2835</v>
      </c>
      <c r="CO21" s="760">
        <v>0.11960000000000001</v>
      </c>
      <c r="CP21" s="761">
        <v>4.4200000000000003E-2</v>
      </c>
      <c r="CQ21" s="761">
        <v>7.9299999999999995E-2</v>
      </c>
      <c r="CR21" s="761">
        <v>1.3</v>
      </c>
      <c r="CS21" s="761">
        <v>0.45760000000000001</v>
      </c>
      <c r="CT21" s="761">
        <v>2.7560000000000002</v>
      </c>
      <c r="CU21" s="761">
        <v>0.68900000000000006</v>
      </c>
      <c r="CV21" s="761">
        <v>2.431</v>
      </c>
      <c r="CW21" s="761">
        <v>5.8889999999999993</v>
      </c>
      <c r="CX21" s="761">
        <v>2.5090000000000003</v>
      </c>
      <c r="CY21" s="761">
        <v>3.484</v>
      </c>
      <c r="CZ21" s="761">
        <v>1.17</v>
      </c>
      <c r="DA21" s="766">
        <f t="shared" si="48"/>
        <v>20.928699999999999</v>
      </c>
      <c r="DB21" s="760">
        <v>0.9425</v>
      </c>
      <c r="DC21" s="761">
        <v>1.2350000000000001</v>
      </c>
      <c r="DD21" s="761">
        <v>1.0010000000000001</v>
      </c>
      <c r="DE21" s="761">
        <v>1.716</v>
      </c>
      <c r="DF21" s="761">
        <v>2.0409999999999999</v>
      </c>
      <c r="DG21" s="761">
        <v>1.56</v>
      </c>
      <c r="DH21" s="761">
        <v>0.63050000000000006</v>
      </c>
      <c r="DI21" s="761">
        <v>1.625</v>
      </c>
      <c r="DJ21" s="761">
        <v>5.3690000000000007</v>
      </c>
      <c r="DK21" s="761">
        <v>3.7959999999999998</v>
      </c>
      <c r="DL21" s="761">
        <v>0.65</v>
      </c>
      <c r="DM21" s="761">
        <v>0.91</v>
      </c>
      <c r="DN21" s="766">
        <f t="shared" si="49"/>
        <v>21.475999999999999</v>
      </c>
      <c r="DO21" s="760"/>
      <c r="DP21" s="761"/>
      <c r="DQ21" s="761"/>
      <c r="DR21" s="761">
        <v>1.95</v>
      </c>
      <c r="DS21" s="761">
        <v>1.9379999999999999</v>
      </c>
      <c r="DT21" s="761">
        <v>1.286</v>
      </c>
      <c r="DU21" s="761"/>
      <c r="DV21" s="761"/>
      <c r="DW21" s="761">
        <v>0.19700000000000001</v>
      </c>
      <c r="DX21" s="761"/>
      <c r="DY21" s="761">
        <v>0.02</v>
      </c>
      <c r="DZ21" s="761">
        <v>2.4910000000000001</v>
      </c>
      <c r="EA21" s="766">
        <f t="shared" si="50"/>
        <v>7.8819999999999997</v>
      </c>
      <c r="EB21" s="760">
        <v>0.10299999999999999</v>
      </c>
      <c r="EC21" s="761">
        <v>0.40500000000000003</v>
      </c>
      <c r="ED21" s="761">
        <v>0.52</v>
      </c>
      <c r="EE21" s="761">
        <v>0.6</v>
      </c>
      <c r="EF21" s="761">
        <v>0.02</v>
      </c>
      <c r="EG21" s="761">
        <v>0.5</v>
      </c>
      <c r="EH21" s="761">
        <v>0.46499999999999997</v>
      </c>
      <c r="EI21" s="761">
        <v>0.39</v>
      </c>
      <c r="EJ21" s="761">
        <v>1.105</v>
      </c>
      <c r="EK21" s="761">
        <v>0.94699999999999995</v>
      </c>
      <c r="EL21" s="761">
        <v>1.51</v>
      </c>
      <c r="EM21" s="761">
        <v>0.41299999999999998</v>
      </c>
      <c r="EN21" s="766">
        <f t="shared" si="51"/>
        <v>6.9780000000000006</v>
      </c>
      <c r="EO21" s="760">
        <v>1.35625</v>
      </c>
      <c r="EP21" s="761">
        <v>0.70000000000000007</v>
      </c>
      <c r="EQ21" s="761">
        <v>0</v>
      </c>
      <c r="ER21" s="761">
        <v>2.6039999999999996</v>
      </c>
      <c r="ES21" s="761"/>
      <c r="ET21" s="761"/>
      <c r="EU21" s="761"/>
      <c r="EV21" s="761"/>
      <c r="EW21" s="761"/>
      <c r="EX21" s="761"/>
      <c r="EY21" s="761"/>
      <c r="EZ21" s="761"/>
      <c r="FA21" s="766">
        <f t="shared" si="52"/>
        <v>4.6602499999999996</v>
      </c>
      <c r="FC21" s="549">
        <f t="shared" si="53"/>
        <v>-100</v>
      </c>
      <c r="FD21" s="550">
        <f t="shared" si="54"/>
        <v>100.02431906614784</v>
      </c>
      <c r="FE21" s="551">
        <f t="shared" si="55"/>
        <v>1.028</v>
      </c>
      <c r="FF21" s="552">
        <f t="shared" si="56"/>
        <v>2.0562499999999999</v>
      </c>
      <c r="FH21" s="917" t="s">
        <v>22</v>
      </c>
      <c r="FI21" s="920" t="str">
        <f t="shared" si="20"/>
        <v>OK</v>
      </c>
    </row>
    <row r="22" spans="1:165" ht="15" customHeight="1" x14ac:dyDescent="0.25">
      <c r="A22" s="349" t="s">
        <v>24</v>
      </c>
      <c r="B22" s="760">
        <v>49</v>
      </c>
      <c r="C22" s="761">
        <v>33</v>
      </c>
      <c r="D22" s="761">
        <v>11</v>
      </c>
      <c r="E22" s="761">
        <v>3</v>
      </c>
      <c r="F22" s="761">
        <v>5</v>
      </c>
      <c r="G22" s="761">
        <v>4</v>
      </c>
      <c r="H22" s="761"/>
      <c r="I22" s="761"/>
      <c r="J22" s="761"/>
      <c r="K22" s="761"/>
      <c r="L22" s="761">
        <v>48</v>
      </c>
      <c r="M22" s="761">
        <v>60</v>
      </c>
      <c r="N22" s="766">
        <f t="shared" si="41"/>
        <v>213</v>
      </c>
      <c r="O22" s="760">
        <v>7</v>
      </c>
      <c r="P22" s="761">
        <v>18</v>
      </c>
      <c r="Q22" s="761">
        <v>3</v>
      </c>
      <c r="R22" s="761">
        <v>8</v>
      </c>
      <c r="S22" s="761">
        <v>18</v>
      </c>
      <c r="T22" s="761">
        <v>2</v>
      </c>
      <c r="U22" s="761">
        <v>2</v>
      </c>
      <c r="V22" s="761">
        <v>1</v>
      </c>
      <c r="W22" s="761">
        <v>4</v>
      </c>
      <c r="X22" s="761">
        <v>26</v>
      </c>
      <c r="Y22" s="761">
        <v>24</v>
      </c>
      <c r="Z22" s="761">
        <v>19</v>
      </c>
      <c r="AA22" s="766">
        <f t="shared" si="42"/>
        <v>132</v>
      </c>
      <c r="AB22" s="760">
        <v>12</v>
      </c>
      <c r="AC22" s="761">
        <v>13</v>
      </c>
      <c r="AD22" s="761">
        <v>17</v>
      </c>
      <c r="AE22" s="761">
        <v>22</v>
      </c>
      <c r="AF22" s="761">
        <v>10</v>
      </c>
      <c r="AG22" s="761">
        <v>5</v>
      </c>
      <c r="AH22" s="761">
        <v>1</v>
      </c>
      <c r="AI22" s="761"/>
      <c r="AJ22" s="761">
        <v>3</v>
      </c>
      <c r="AK22" s="761">
        <v>4</v>
      </c>
      <c r="AL22" s="761">
        <v>26</v>
      </c>
      <c r="AM22" s="761">
        <v>24</v>
      </c>
      <c r="AN22" s="766">
        <f t="shared" si="43"/>
        <v>137</v>
      </c>
      <c r="AO22" s="760">
        <v>30</v>
      </c>
      <c r="AP22" s="761">
        <v>15</v>
      </c>
      <c r="AQ22" s="761">
        <v>71</v>
      </c>
      <c r="AR22" s="761">
        <v>32</v>
      </c>
      <c r="AS22" s="761">
        <v>9</v>
      </c>
      <c r="AT22" s="761">
        <v>6</v>
      </c>
      <c r="AU22" s="761">
        <v>2</v>
      </c>
      <c r="AV22" s="761">
        <v>23</v>
      </c>
      <c r="AW22" s="761">
        <v>5</v>
      </c>
      <c r="AX22" s="761">
        <v>47</v>
      </c>
      <c r="AY22" s="761">
        <v>61</v>
      </c>
      <c r="AZ22" s="761">
        <v>12</v>
      </c>
      <c r="BA22" s="766">
        <f t="shared" si="44"/>
        <v>313</v>
      </c>
      <c r="BB22" s="760">
        <v>24</v>
      </c>
      <c r="BC22" s="761">
        <v>13</v>
      </c>
      <c r="BD22" s="761">
        <v>61</v>
      </c>
      <c r="BE22" s="761">
        <v>9</v>
      </c>
      <c r="BF22" s="761">
        <v>2</v>
      </c>
      <c r="BG22" s="761">
        <v>1</v>
      </c>
      <c r="BH22" s="761">
        <v>2</v>
      </c>
      <c r="BI22" s="761">
        <v>3</v>
      </c>
      <c r="BJ22" s="761">
        <v>1</v>
      </c>
      <c r="BK22" s="761">
        <v>11</v>
      </c>
      <c r="BL22" s="761">
        <v>8</v>
      </c>
      <c r="BM22" s="761">
        <v>27</v>
      </c>
      <c r="BN22" s="766">
        <f t="shared" si="45"/>
        <v>162</v>
      </c>
      <c r="BO22" s="760">
        <v>7</v>
      </c>
      <c r="BP22" s="761">
        <v>22</v>
      </c>
      <c r="BQ22" s="761">
        <v>8</v>
      </c>
      <c r="BR22" s="761"/>
      <c r="BS22" s="761"/>
      <c r="BT22" s="761"/>
      <c r="BU22" s="761"/>
      <c r="BV22" s="761">
        <v>3</v>
      </c>
      <c r="BW22" s="761">
        <v>2</v>
      </c>
      <c r="BX22" s="761">
        <v>8</v>
      </c>
      <c r="BY22" s="761">
        <v>30</v>
      </c>
      <c r="BZ22" s="761">
        <v>13</v>
      </c>
      <c r="CA22" s="766">
        <f t="shared" si="46"/>
        <v>93</v>
      </c>
      <c r="CB22" s="760">
        <v>13.0351</v>
      </c>
      <c r="CC22" s="761">
        <v>37.804000000000002</v>
      </c>
      <c r="CD22" s="761"/>
      <c r="CE22" s="761"/>
      <c r="CF22" s="761">
        <v>0.29249999999999998</v>
      </c>
      <c r="CG22" s="761">
        <v>0.93600000000000005</v>
      </c>
      <c r="CH22" s="761">
        <v>0.33999999999999997</v>
      </c>
      <c r="CI22" s="761">
        <v>6.49</v>
      </c>
      <c r="CJ22" s="761">
        <v>1.8800000000000001</v>
      </c>
      <c r="CK22" s="761">
        <v>12.280000000000001</v>
      </c>
      <c r="CL22" s="761">
        <v>26.22</v>
      </c>
      <c r="CM22" s="761">
        <v>13.39</v>
      </c>
      <c r="CN22" s="766">
        <f t="shared" si="47"/>
        <v>112.66760000000001</v>
      </c>
      <c r="CO22" s="760">
        <v>12.799799999999999</v>
      </c>
      <c r="CP22" s="761">
        <v>44.718700000000005</v>
      </c>
      <c r="CQ22" s="761">
        <v>34.699600000000004</v>
      </c>
      <c r="CR22" s="761">
        <v>19.175000000000001</v>
      </c>
      <c r="CS22" s="761">
        <v>0.26</v>
      </c>
      <c r="CT22" s="761">
        <v>10.192</v>
      </c>
      <c r="CU22" s="761">
        <v>2.7039999999999997</v>
      </c>
      <c r="CV22" s="761">
        <v>3.9129999999999998</v>
      </c>
      <c r="CW22" s="761">
        <v>2.3530000000000002</v>
      </c>
      <c r="CX22" s="761">
        <v>6.4610000000000003</v>
      </c>
      <c r="CY22" s="761">
        <v>30.108000000000001</v>
      </c>
      <c r="CZ22" s="761">
        <v>23.425999999999998</v>
      </c>
      <c r="DA22" s="766">
        <f t="shared" si="48"/>
        <v>190.81010000000001</v>
      </c>
      <c r="DB22" s="760">
        <v>26.257400000000001</v>
      </c>
      <c r="DC22" s="761">
        <v>26.513500000000001</v>
      </c>
      <c r="DD22" s="761">
        <v>16.825900000000001</v>
      </c>
      <c r="DE22" s="761">
        <v>25.155000000000001</v>
      </c>
      <c r="DF22" s="761">
        <v>17.352400000000003</v>
      </c>
      <c r="DG22" s="761">
        <v>12.414999999999999</v>
      </c>
      <c r="DH22" s="761">
        <v>14.635400000000001</v>
      </c>
      <c r="DI22" s="761">
        <v>3.8609999999999998</v>
      </c>
      <c r="DJ22" s="761">
        <v>6.0190000000000001</v>
      </c>
      <c r="DK22" s="761">
        <v>28.424499999999998</v>
      </c>
      <c r="DL22" s="761">
        <v>25.220000000000002</v>
      </c>
      <c r="DM22" s="761">
        <v>21.359000000000002</v>
      </c>
      <c r="DN22" s="766">
        <f t="shared" si="49"/>
        <v>224.03810000000001</v>
      </c>
      <c r="DO22" s="760">
        <v>1.1499999999999999</v>
      </c>
      <c r="DP22" s="761">
        <v>1.6</v>
      </c>
      <c r="DQ22" s="761">
        <v>2.5499999999999998</v>
      </c>
      <c r="DR22" s="761">
        <v>6.2</v>
      </c>
      <c r="DS22" s="761"/>
      <c r="DT22" s="761"/>
      <c r="DU22" s="761">
        <v>2.258</v>
      </c>
      <c r="DV22" s="761">
        <v>1.05</v>
      </c>
      <c r="DW22" s="761">
        <v>0.85</v>
      </c>
      <c r="DX22" s="761">
        <v>2.8959999999999999</v>
      </c>
      <c r="DY22" s="761">
        <v>10.657999999999999</v>
      </c>
      <c r="DZ22" s="761">
        <v>16.867000000000001</v>
      </c>
      <c r="EA22" s="766">
        <f t="shared" si="50"/>
        <v>46.078999999999994</v>
      </c>
      <c r="EB22" s="760">
        <v>18.187000000000001</v>
      </c>
      <c r="EC22" s="761">
        <v>3</v>
      </c>
      <c r="ED22" s="761">
        <v>2.0670000000000002</v>
      </c>
      <c r="EE22" s="761">
        <v>1.6</v>
      </c>
      <c r="EF22" s="761"/>
      <c r="EG22" s="761"/>
      <c r="EH22" s="761"/>
      <c r="EI22" s="761"/>
      <c r="EJ22" s="761"/>
      <c r="EK22" s="761">
        <v>3.1579999999999999</v>
      </c>
      <c r="EL22" s="761">
        <v>19.071000000000002</v>
      </c>
      <c r="EM22" s="761">
        <v>10.54</v>
      </c>
      <c r="EN22" s="766">
        <f t="shared" si="51"/>
        <v>57.623000000000005</v>
      </c>
      <c r="EO22" s="760">
        <v>4.1656249999999995</v>
      </c>
      <c r="EP22" s="761">
        <v>4.0249999999999995</v>
      </c>
      <c r="EQ22" s="761">
        <v>5.859</v>
      </c>
      <c r="ER22" s="761">
        <v>3.577</v>
      </c>
      <c r="ES22" s="761"/>
      <c r="ET22" s="761"/>
      <c r="EU22" s="761"/>
      <c r="EV22" s="761"/>
      <c r="EW22" s="761"/>
      <c r="EX22" s="761"/>
      <c r="EY22" s="761"/>
      <c r="EZ22" s="761"/>
      <c r="FA22" s="766">
        <f t="shared" si="52"/>
        <v>17.626624999999997</v>
      </c>
      <c r="FC22" s="549">
        <f t="shared" si="53"/>
        <v>183.45428156748912</v>
      </c>
      <c r="FD22" s="550">
        <f t="shared" si="54"/>
        <v>-39.581899888191288</v>
      </c>
      <c r="FE22" s="551">
        <f t="shared" si="55"/>
        <v>23.254000000000001</v>
      </c>
      <c r="FF22" s="552">
        <f t="shared" si="56"/>
        <v>14.049624999999999</v>
      </c>
      <c r="FH22" s="917" t="s">
        <v>24</v>
      </c>
      <c r="FI22" s="920" t="str">
        <f t="shared" si="20"/>
        <v>OK</v>
      </c>
    </row>
    <row r="23" spans="1:165" ht="15" customHeight="1" x14ac:dyDescent="0.25">
      <c r="A23" s="349" t="s">
        <v>23</v>
      </c>
      <c r="B23" s="760">
        <v>2</v>
      </c>
      <c r="C23" s="761">
        <v>1</v>
      </c>
      <c r="D23" s="761">
        <v>2</v>
      </c>
      <c r="E23" s="761">
        <v>1</v>
      </c>
      <c r="F23" s="761">
        <v>4</v>
      </c>
      <c r="G23" s="761">
        <v>4</v>
      </c>
      <c r="H23" s="761">
        <v>4</v>
      </c>
      <c r="I23" s="761">
        <v>7</v>
      </c>
      <c r="J23" s="761">
        <v>7</v>
      </c>
      <c r="K23" s="761">
        <v>4</v>
      </c>
      <c r="L23" s="761">
        <v>4</v>
      </c>
      <c r="M23" s="761">
        <v>6</v>
      </c>
      <c r="N23" s="766">
        <f t="shared" si="41"/>
        <v>46</v>
      </c>
      <c r="O23" s="760">
        <v>2</v>
      </c>
      <c r="P23" s="761"/>
      <c r="Q23" s="761">
        <v>1</v>
      </c>
      <c r="R23" s="761">
        <v>2</v>
      </c>
      <c r="S23" s="761">
        <v>4</v>
      </c>
      <c r="T23" s="761">
        <v>3</v>
      </c>
      <c r="U23" s="761">
        <v>4</v>
      </c>
      <c r="V23" s="761">
        <v>3</v>
      </c>
      <c r="W23" s="761">
        <v>4</v>
      </c>
      <c r="X23" s="761">
        <v>2</v>
      </c>
      <c r="Y23" s="761">
        <v>8</v>
      </c>
      <c r="Z23" s="761">
        <v>1</v>
      </c>
      <c r="AA23" s="766">
        <f t="shared" si="42"/>
        <v>34</v>
      </c>
      <c r="AB23" s="760">
        <v>5</v>
      </c>
      <c r="AC23" s="761">
        <v>8</v>
      </c>
      <c r="AD23" s="761">
        <v>1</v>
      </c>
      <c r="AE23" s="761">
        <v>3</v>
      </c>
      <c r="AF23" s="761">
        <v>5</v>
      </c>
      <c r="AG23" s="761">
        <v>2</v>
      </c>
      <c r="AH23" s="761">
        <v>2</v>
      </c>
      <c r="AI23" s="761">
        <v>7</v>
      </c>
      <c r="AJ23" s="761">
        <v>5</v>
      </c>
      <c r="AK23" s="761">
        <v>10</v>
      </c>
      <c r="AL23" s="761">
        <v>2</v>
      </c>
      <c r="AM23" s="761">
        <v>1</v>
      </c>
      <c r="AN23" s="766">
        <f t="shared" si="43"/>
        <v>51</v>
      </c>
      <c r="AO23" s="760">
        <v>1</v>
      </c>
      <c r="AP23" s="761">
        <v>1</v>
      </c>
      <c r="AQ23" s="761"/>
      <c r="AR23" s="761">
        <v>3</v>
      </c>
      <c r="AS23" s="761">
        <v>6</v>
      </c>
      <c r="AT23" s="761">
        <v>3</v>
      </c>
      <c r="AU23" s="761">
        <v>7</v>
      </c>
      <c r="AV23" s="761">
        <v>7</v>
      </c>
      <c r="AW23" s="761">
        <v>5</v>
      </c>
      <c r="AX23" s="761">
        <v>3</v>
      </c>
      <c r="AY23" s="761">
        <v>3</v>
      </c>
      <c r="AZ23" s="761">
        <v>1</v>
      </c>
      <c r="BA23" s="766">
        <f t="shared" si="44"/>
        <v>40</v>
      </c>
      <c r="BB23" s="760">
        <v>2</v>
      </c>
      <c r="BC23" s="761">
        <v>1</v>
      </c>
      <c r="BD23" s="761">
        <v>3</v>
      </c>
      <c r="BE23" s="761">
        <v>3</v>
      </c>
      <c r="BF23" s="761">
        <v>11</v>
      </c>
      <c r="BG23" s="761">
        <v>9</v>
      </c>
      <c r="BH23" s="761">
        <v>11.72275</v>
      </c>
      <c r="BI23" s="761">
        <v>8</v>
      </c>
      <c r="BJ23" s="761">
        <v>9</v>
      </c>
      <c r="BK23" s="761">
        <v>3</v>
      </c>
      <c r="BL23" s="761">
        <v>2</v>
      </c>
      <c r="BM23" s="761">
        <v>1</v>
      </c>
      <c r="BN23" s="766">
        <f t="shared" si="45"/>
        <v>63.722749999999998</v>
      </c>
      <c r="BO23" s="760">
        <v>1</v>
      </c>
      <c r="BP23" s="761">
        <v>1</v>
      </c>
      <c r="BQ23" s="761"/>
      <c r="BR23" s="761"/>
      <c r="BS23" s="761"/>
      <c r="BT23" s="761">
        <v>1</v>
      </c>
      <c r="BU23" s="761">
        <v>5</v>
      </c>
      <c r="BV23" s="761">
        <v>3</v>
      </c>
      <c r="BW23" s="761">
        <v>1</v>
      </c>
      <c r="BX23" s="761">
        <v>2</v>
      </c>
      <c r="BY23" s="761">
        <v>2</v>
      </c>
      <c r="BZ23" s="761">
        <v>1</v>
      </c>
      <c r="CA23" s="766">
        <f t="shared" si="46"/>
        <v>17</v>
      </c>
      <c r="CB23" s="760">
        <v>0.91</v>
      </c>
      <c r="CC23" s="761">
        <v>0.754</v>
      </c>
      <c r="CD23" s="761">
        <v>0.65</v>
      </c>
      <c r="CE23" s="761">
        <v>9.7500000000000003E-2</v>
      </c>
      <c r="CF23" s="761">
        <v>1.534</v>
      </c>
      <c r="CG23" s="761">
        <v>1.5223000000000002</v>
      </c>
      <c r="CH23" s="761">
        <v>3.73</v>
      </c>
      <c r="CI23" s="761">
        <v>4.5299999999999994</v>
      </c>
      <c r="CJ23" s="761">
        <v>2.5700000000000003</v>
      </c>
      <c r="CK23" s="761">
        <v>1.1910000000000001</v>
      </c>
      <c r="CL23" s="761">
        <v>1.01</v>
      </c>
      <c r="CM23" s="761"/>
      <c r="CN23" s="766">
        <f t="shared" si="47"/>
        <v>18.498800000000003</v>
      </c>
      <c r="CO23" s="760">
        <v>1.0113999999999999</v>
      </c>
      <c r="CP23" s="761">
        <v>1.4779</v>
      </c>
      <c r="CQ23" s="761">
        <v>1.9983000000000002</v>
      </c>
      <c r="CR23" s="761">
        <v>0.58499999999999996</v>
      </c>
      <c r="CS23" s="761">
        <v>2.6793000000000005</v>
      </c>
      <c r="CT23" s="761">
        <v>5.1174499999999998</v>
      </c>
      <c r="CU23" s="761">
        <v>9.2592499999999998</v>
      </c>
      <c r="CV23" s="761">
        <v>10.7653</v>
      </c>
      <c r="CW23" s="761">
        <v>9.8221500000000006</v>
      </c>
      <c r="CX23" s="761">
        <v>5.6517499999999998</v>
      </c>
      <c r="CY23" s="761">
        <v>3.76675</v>
      </c>
      <c r="CZ23" s="761">
        <v>2.02475</v>
      </c>
      <c r="DA23" s="766">
        <f t="shared" si="48"/>
        <v>54.159300000000002</v>
      </c>
      <c r="DB23" s="760">
        <v>2.43425</v>
      </c>
      <c r="DC23" s="761">
        <v>0.45500000000000002</v>
      </c>
      <c r="DD23" s="761">
        <v>0.87425000000000008</v>
      </c>
      <c r="DE23" s="761">
        <v>1.0153000000000001</v>
      </c>
      <c r="DF23" s="761">
        <v>2.5740000000000003</v>
      </c>
      <c r="DG23" s="761">
        <v>4.9237500000000001</v>
      </c>
      <c r="DH23" s="761">
        <v>4.4017999999999997</v>
      </c>
      <c r="DI23" s="761">
        <v>5.846750000000001</v>
      </c>
      <c r="DJ23" s="761">
        <v>7.3970000000000002</v>
      </c>
      <c r="DK23" s="761">
        <v>2.7397499999999999</v>
      </c>
      <c r="DL23" s="761">
        <v>9.2949999999999999</v>
      </c>
      <c r="DM23" s="761">
        <v>0.77350000000000008</v>
      </c>
      <c r="DN23" s="766">
        <f t="shared" si="49"/>
        <v>42.730350000000001</v>
      </c>
      <c r="DO23" s="760">
        <v>0.33</v>
      </c>
      <c r="DP23" s="761">
        <v>0.13</v>
      </c>
      <c r="DQ23" s="761">
        <v>0.193</v>
      </c>
      <c r="DR23" s="761">
        <v>0.115</v>
      </c>
      <c r="DS23" s="761">
        <v>1.8110000000000002</v>
      </c>
      <c r="DT23" s="761">
        <v>0.67399999999999993</v>
      </c>
      <c r="DU23" s="761">
        <v>1.4529999999999998</v>
      </c>
      <c r="DV23" s="761">
        <v>1.073</v>
      </c>
      <c r="DW23" s="761">
        <v>0.35</v>
      </c>
      <c r="DX23" s="761">
        <v>0.47</v>
      </c>
      <c r="DY23" s="761">
        <v>0.23399999999999999</v>
      </c>
      <c r="DZ23" s="761">
        <v>3.4849999999999994</v>
      </c>
      <c r="EA23" s="766">
        <f t="shared" si="50"/>
        <v>10.317999999999998</v>
      </c>
      <c r="EB23" s="760">
        <v>5.2000000000000005E-2</v>
      </c>
      <c r="EC23" s="761">
        <v>2.5000000000000001E-2</v>
      </c>
      <c r="ED23" s="761">
        <v>0.17199999999999999</v>
      </c>
      <c r="EE23" s="761">
        <v>0.61</v>
      </c>
      <c r="EF23" s="761">
        <v>0.79600000000000004</v>
      </c>
      <c r="EG23" s="761">
        <v>1.173</v>
      </c>
      <c r="EH23" s="761">
        <v>2.41</v>
      </c>
      <c r="EI23" s="761">
        <v>3.2280000000000002</v>
      </c>
      <c r="EJ23" s="761">
        <v>4.8609999999999998</v>
      </c>
      <c r="EK23" s="761">
        <v>3.5070000000000001</v>
      </c>
      <c r="EL23" s="761">
        <v>1.0089999999999999</v>
      </c>
      <c r="EM23" s="761">
        <v>2.9469999999999996</v>
      </c>
      <c r="EN23" s="766">
        <f t="shared" si="51"/>
        <v>20.790000000000003</v>
      </c>
      <c r="EO23" s="760">
        <v>2.1312500000000001</v>
      </c>
      <c r="EP23" s="761">
        <v>0</v>
      </c>
      <c r="EQ23" s="761">
        <v>0.51300000000000001</v>
      </c>
      <c r="ER23" s="761">
        <v>0.89200000000000002</v>
      </c>
      <c r="ES23" s="761"/>
      <c r="ET23" s="761"/>
      <c r="EU23" s="761"/>
      <c r="EV23" s="761"/>
      <c r="EW23" s="761"/>
      <c r="EX23" s="761"/>
      <c r="EY23" s="761"/>
      <c r="EZ23" s="761"/>
      <c r="FA23" s="766">
        <f t="shared" si="52"/>
        <v>3.5362499999999999</v>
      </c>
      <c r="FC23" s="549">
        <f t="shared" si="53"/>
        <v>198.25581395348843</v>
      </c>
      <c r="FD23" s="550">
        <f t="shared" si="54"/>
        <v>961.94779116465861</v>
      </c>
      <c r="FE23" s="551">
        <f t="shared" si="55"/>
        <v>0.249</v>
      </c>
      <c r="FF23" s="552">
        <f t="shared" si="56"/>
        <v>2.64425</v>
      </c>
      <c r="FH23" s="917" t="s">
        <v>23</v>
      </c>
      <c r="FI23" s="920" t="str">
        <f t="shared" si="20"/>
        <v>OK</v>
      </c>
    </row>
    <row r="24" spans="1:165" ht="15" customHeight="1" x14ac:dyDescent="0.25">
      <c r="A24" s="349" t="s">
        <v>25</v>
      </c>
      <c r="B24" s="760">
        <v>15</v>
      </c>
      <c r="C24" s="761">
        <v>6</v>
      </c>
      <c r="D24" s="761">
        <v>6</v>
      </c>
      <c r="E24" s="761">
        <v>18</v>
      </c>
      <c r="F24" s="761">
        <v>26</v>
      </c>
      <c r="G24" s="761">
        <v>31</v>
      </c>
      <c r="H24" s="761">
        <v>47</v>
      </c>
      <c r="I24" s="761">
        <v>104</v>
      </c>
      <c r="J24" s="761">
        <v>47</v>
      </c>
      <c r="K24" s="761">
        <v>9</v>
      </c>
      <c r="L24" s="761">
        <v>14</v>
      </c>
      <c r="M24" s="761">
        <v>11</v>
      </c>
      <c r="N24" s="766">
        <f t="shared" si="41"/>
        <v>334</v>
      </c>
      <c r="O24" s="760">
        <v>12</v>
      </c>
      <c r="P24" s="761">
        <v>5</v>
      </c>
      <c r="Q24" s="761">
        <v>4</v>
      </c>
      <c r="R24" s="761">
        <v>3</v>
      </c>
      <c r="S24" s="761">
        <v>16</v>
      </c>
      <c r="T24" s="761">
        <v>24</v>
      </c>
      <c r="U24" s="761">
        <v>17</v>
      </c>
      <c r="V24" s="761">
        <v>17</v>
      </c>
      <c r="W24" s="761">
        <v>18</v>
      </c>
      <c r="X24" s="761">
        <v>7</v>
      </c>
      <c r="Y24" s="761">
        <v>8</v>
      </c>
      <c r="Z24" s="761">
        <v>8</v>
      </c>
      <c r="AA24" s="766">
        <f t="shared" si="42"/>
        <v>139</v>
      </c>
      <c r="AB24" s="760">
        <v>32</v>
      </c>
      <c r="AC24" s="761">
        <v>7</v>
      </c>
      <c r="AD24" s="761">
        <v>8</v>
      </c>
      <c r="AE24" s="761">
        <v>13</v>
      </c>
      <c r="AF24" s="761">
        <v>21</v>
      </c>
      <c r="AG24" s="761">
        <v>46</v>
      </c>
      <c r="AH24" s="761">
        <v>15</v>
      </c>
      <c r="AI24" s="761">
        <v>59</v>
      </c>
      <c r="AJ24" s="761">
        <v>12</v>
      </c>
      <c r="AK24" s="761">
        <v>18</v>
      </c>
      <c r="AL24" s="761">
        <v>11</v>
      </c>
      <c r="AM24" s="761">
        <v>10</v>
      </c>
      <c r="AN24" s="766">
        <f t="shared" si="43"/>
        <v>252</v>
      </c>
      <c r="AO24" s="760">
        <v>7</v>
      </c>
      <c r="AP24" s="761">
        <v>5</v>
      </c>
      <c r="AQ24" s="761">
        <v>4</v>
      </c>
      <c r="AR24" s="761">
        <v>10</v>
      </c>
      <c r="AS24" s="761">
        <v>21</v>
      </c>
      <c r="AT24" s="761">
        <v>24</v>
      </c>
      <c r="AU24" s="761">
        <v>21</v>
      </c>
      <c r="AV24" s="761">
        <v>24</v>
      </c>
      <c r="AW24" s="761">
        <v>10</v>
      </c>
      <c r="AX24" s="761">
        <v>9</v>
      </c>
      <c r="AY24" s="761">
        <v>9</v>
      </c>
      <c r="AZ24" s="761">
        <v>11</v>
      </c>
      <c r="BA24" s="766">
        <f t="shared" si="44"/>
        <v>155</v>
      </c>
      <c r="BB24" s="760">
        <v>11</v>
      </c>
      <c r="BC24" s="761">
        <v>8</v>
      </c>
      <c r="BD24" s="761">
        <v>4</v>
      </c>
      <c r="BE24" s="761">
        <v>10</v>
      </c>
      <c r="BF24" s="761">
        <v>22</v>
      </c>
      <c r="BG24" s="761">
        <v>28</v>
      </c>
      <c r="BH24" s="761">
        <v>35</v>
      </c>
      <c r="BI24" s="761">
        <v>23</v>
      </c>
      <c r="BJ24" s="761">
        <v>29</v>
      </c>
      <c r="BK24" s="761">
        <v>7</v>
      </c>
      <c r="BL24" s="761">
        <v>7</v>
      </c>
      <c r="BM24" s="761">
        <v>10</v>
      </c>
      <c r="BN24" s="766">
        <f t="shared" si="45"/>
        <v>194</v>
      </c>
      <c r="BO24" s="760">
        <v>3</v>
      </c>
      <c r="BP24" s="761">
        <v>3</v>
      </c>
      <c r="BQ24" s="761">
        <v>1</v>
      </c>
      <c r="BR24" s="761"/>
      <c r="BS24" s="761"/>
      <c r="BT24" s="761">
        <v>7</v>
      </c>
      <c r="BU24" s="761">
        <v>22</v>
      </c>
      <c r="BV24" s="761">
        <v>13</v>
      </c>
      <c r="BW24" s="761">
        <v>5</v>
      </c>
      <c r="BX24" s="761">
        <v>3</v>
      </c>
      <c r="BY24" s="761">
        <v>4</v>
      </c>
      <c r="BZ24" s="761">
        <v>4</v>
      </c>
      <c r="CA24" s="766">
        <f t="shared" si="46"/>
        <v>65</v>
      </c>
      <c r="CB24" s="760">
        <v>4.2152500000000002</v>
      </c>
      <c r="CC24" s="761">
        <v>1.7446000000000002</v>
      </c>
      <c r="CD24" s="761">
        <v>2.4699999999999998</v>
      </c>
      <c r="CE24" s="761">
        <v>8.4597499999999997</v>
      </c>
      <c r="CF24" s="761">
        <v>11.239800000000001</v>
      </c>
      <c r="CG24" s="761">
        <v>26.644150000000003</v>
      </c>
      <c r="CH24" s="761">
        <v>15.629999999999999</v>
      </c>
      <c r="CI24" s="761">
        <v>9.379999999999999</v>
      </c>
      <c r="CJ24" s="761">
        <v>5.5600000000000005</v>
      </c>
      <c r="CK24" s="761">
        <v>3.5700000000000003</v>
      </c>
      <c r="CL24" s="761">
        <v>4.5950000000000006</v>
      </c>
      <c r="CM24" s="761">
        <v>2.0649999999999999</v>
      </c>
      <c r="CN24" s="766">
        <f t="shared" si="47"/>
        <v>95.573550000000012</v>
      </c>
      <c r="CO24" s="760">
        <v>6.4483000000000006</v>
      </c>
      <c r="CP24" s="761">
        <v>6.9190000000000005</v>
      </c>
      <c r="CQ24" s="761">
        <v>11.4679</v>
      </c>
      <c r="CR24" s="761">
        <v>5.2649999999999997</v>
      </c>
      <c r="CS24" s="761">
        <v>24.306100000000001</v>
      </c>
      <c r="CT24" s="761">
        <v>24.37565</v>
      </c>
      <c r="CU24" s="761">
        <v>30.648150000000001</v>
      </c>
      <c r="CV24" s="761">
        <v>23.108150000000002</v>
      </c>
      <c r="CW24" s="761">
        <v>26.500499999999999</v>
      </c>
      <c r="CX24" s="761">
        <v>13.38025</v>
      </c>
      <c r="CY24" s="761">
        <v>7.5400000000000009</v>
      </c>
      <c r="CZ24" s="761">
        <v>5.8955000000000002</v>
      </c>
      <c r="DA24" s="766">
        <f t="shared" si="48"/>
        <v>185.85449999999997</v>
      </c>
      <c r="DB24" s="760">
        <v>4.7255000000000003</v>
      </c>
      <c r="DC24" s="761">
        <v>3.6945999999999999</v>
      </c>
      <c r="DD24" s="761">
        <v>2.7039999999999997</v>
      </c>
      <c r="DE24" s="761">
        <v>4.1638999999999999</v>
      </c>
      <c r="DF24" s="761">
        <v>7.1343999999999994</v>
      </c>
      <c r="DG24" s="761">
        <v>19.510399999999997</v>
      </c>
      <c r="DH24" s="761">
        <v>6.9094999999999995</v>
      </c>
      <c r="DI24" s="761">
        <v>9.0414999999999992</v>
      </c>
      <c r="DJ24" s="761">
        <v>9.1194999999999986</v>
      </c>
      <c r="DK24" s="761">
        <v>3.8382499999999999</v>
      </c>
      <c r="DL24" s="761">
        <v>8.4760000000000009</v>
      </c>
      <c r="DM24" s="761">
        <v>2.7040000000000002</v>
      </c>
      <c r="DN24" s="766">
        <f t="shared" si="49"/>
        <v>82.021549999999991</v>
      </c>
      <c r="DO24" s="760">
        <v>0.55000000000000004</v>
      </c>
      <c r="DP24" s="761">
        <v>1.05</v>
      </c>
      <c r="DQ24" s="761">
        <v>0.48</v>
      </c>
      <c r="DR24" s="761">
        <v>0.38</v>
      </c>
      <c r="DS24" s="761">
        <v>6.0630000000000006</v>
      </c>
      <c r="DT24" s="761">
        <v>14.794</v>
      </c>
      <c r="DU24" s="761">
        <v>3.72</v>
      </c>
      <c r="DV24" s="761">
        <v>4.085</v>
      </c>
      <c r="DW24" s="761">
        <v>1.5229999999999999</v>
      </c>
      <c r="DX24" s="761">
        <v>1.327</v>
      </c>
      <c r="DY24" s="761">
        <v>1.4180000000000001</v>
      </c>
      <c r="DZ24" s="761">
        <v>1.6579999999999999</v>
      </c>
      <c r="EA24" s="766">
        <f t="shared" si="50"/>
        <v>37.048000000000002</v>
      </c>
      <c r="EB24" s="760">
        <v>0.76200000000000001</v>
      </c>
      <c r="EC24" s="761">
        <v>0.68399999999999994</v>
      </c>
      <c r="ED24" s="761">
        <v>0.78799999999999992</v>
      </c>
      <c r="EE24" s="761">
        <v>1.927</v>
      </c>
      <c r="EF24" s="761">
        <v>3.0979999999999999</v>
      </c>
      <c r="EG24" s="761">
        <v>4.3450000000000006</v>
      </c>
      <c r="EH24" s="761">
        <v>11.231</v>
      </c>
      <c r="EI24" s="761">
        <v>8.2319999999999993</v>
      </c>
      <c r="EJ24" s="761">
        <v>3.2800000000000002</v>
      </c>
      <c r="EK24" s="761">
        <v>5.5030000000000001</v>
      </c>
      <c r="EL24" s="761">
        <v>11.292</v>
      </c>
      <c r="EM24" s="761">
        <v>2.5950000000000002</v>
      </c>
      <c r="EN24" s="766">
        <f t="shared" si="51"/>
        <v>53.737000000000002</v>
      </c>
      <c r="EO24" s="760">
        <v>2.1243750000000001</v>
      </c>
      <c r="EP24" s="761">
        <v>2.9774999999999996</v>
      </c>
      <c r="EQ24" s="761">
        <v>0.84100000000000008</v>
      </c>
      <c r="ER24" s="761">
        <v>5.2850000000000001</v>
      </c>
      <c r="ES24" s="761"/>
      <c r="ET24" s="761"/>
      <c r="EU24" s="761"/>
      <c r="EV24" s="761"/>
      <c r="EW24" s="761"/>
      <c r="EX24" s="761"/>
      <c r="EY24" s="761"/>
      <c r="EZ24" s="761"/>
      <c r="FA24" s="766">
        <f t="shared" si="52"/>
        <v>11.227875000000001</v>
      </c>
      <c r="FC24" s="549">
        <f t="shared" si="53"/>
        <v>6.7258883248731083</v>
      </c>
      <c r="FD24" s="550">
        <f t="shared" si="54"/>
        <v>166.01947179946285</v>
      </c>
      <c r="FE24" s="551">
        <f t="shared" si="55"/>
        <v>2.234</v>
      </c>
      <c r="FF24" s="552">
        <f t="shared" si="56"/>
        <v>5.9428749999999999</v>
      </c>
      <c r="FH24" s="917" t="s">
        <v>25</v>
      </c>
      <c r="FI24" s="920" t="str">
        <f t="shared" si="20"/>
        <v>OK</v>
      </c>
    </row>
    <row r="25" spans="1:165" ht="15" customHeight="1" x14ac:dyDescent="0.25">
      <c r="A25" s="349" t="s">
        <v>26</v>
      </c>
      <c r="B25" s="760">
        <v>2</v>
      </c>
      <c r="C25" s="761">
        <v>1</v>
      </c>
      <c r="D25" s="761">
        <v>1</v>
      </c>
      <c r="E25" s="761"/>
      <c r="F25" s="761"/>
      <c r="G25" s="761">
        <v>1</v>
      </c>
      <c r="H25" s="761">
        <v>1</v>
      </c>
      <c r="I25" s="761">
        <v>1</v>
      </c>
      <c r="J25" s="761">
        <v>8</v>
      </c>
      <c r="K25" s="761"/>
      <c r="L25" s="761">
        <v>1</v>
      </c>
      <c r="M25" s="761"/>
      <c r="N25" s="766">
        <f t="shared" si="41"/>
        <v>16</v>
      </c>
      <c r="O25" s="760">
        <v>1</v>
      </c>
      <c r="P25" s="761"/>
      <c r="Q25" s="761"/>
      <c r="R25" s="761"/>
      <c r="S25" s="761">
        <v>1</v>
      </c>
      <c r="T25" s="761"/>
      <c r="U25" s="761">
        <v>1</v>
      </c>
      <c r="V25" s="761">
        <v>1</v>
      </c>
      <c r="W25" s="761"/>
      <c r="X25" s="761">
        <v>1</v>
      </c>
      <c r="Y25" s="761">
        <v>2</v>
      </c>
      <c r="Z25" s="761">
        <v>1</v>
      </c>
      <c r="AA25" s="766">
        <f t="shared" si="42"/>
        <v>8</v>
      </c>
      <c r="AB25" s="760">
        <v>2</v>
      </c>
      <c r="AC25" s="761">
        <v>1</v>
      </c>
      <c r="AD25" s="761">
        <v>1</v>
      </c>
      <c r="AE25" s="761">
        <v>1</v>
      </c>
      <c r="AF25" s="761"/>
      <c r="AG25" s="761">
        <v>2</v>
      </c>
      <c r="AH25" s="761"/>
      <c r="AI25" s="761">
        <v>4</v>
      </c>
      <c r="AJ25" s="761"/>
      <c r="AK25" s="761">
        <v>2</v>
      </c>
      <c r="AL25" s="761">
        <v>1</v>
      </c>
      <c r="AM25" s="761">
        <v>1</v>
      </c>
      <c r="AN25" s="766">
        <f t="shared" si="43"/>
        <v>15</v>
      </c>
      <c r="AO25" s="760"/>
      <c r="AP25" s="761"/>
      <c r="AQ25" s="761"/>
      <c r="AR25" s="761"/>
      <c r="AS25" s="761"/>
      <c r="AT25" s="761">
        <v>2</v>
      </c>
      <c r="AU25" s="761">
        <v>1</v>
      </c>
      <c r="AV25" s="761">
        <v>1</v>
      </c>
      <c r="AW25" s="761"/>
      <c r="AX25" s="761">
        <v>1</v>
      </c>
      <c r="AY25" s="761">
        <v>1</v>
      </c>
      <c r="AZ25" s="761">
        <v>1</v>
      </c>
      <c r="BA25" s="766">
        <f t="shared" si="44"/>
        <v>7</v>
      </c>
      <c r="BB25" s="760">
        <v>1</v>
      </c>
      <c r="BC25" s="761"/>
      <c r="BD25" s="761"/>
      <c r="BE25" s="761">
        <v>1</v>
      </c>
      <c r="BF25" s="761">
        <v>1</v>
      </c>
      <c r="BG25" s="761">
        <v>1</v>
      </c>
      <c r="BH25" s="761">
        <v>2</v>
      </c>
      <c r="BI25" s="761">
        <v>3</v>
      </c>
      <c r="BJ25" s="761">
        <v>1</v>
      </c>
      <c r="BK25" s="761"/>
      <c r="BL25" s="761">
        <v>3</v>
      </c>
      <c r="BM25" s="761">
        <v>1</v>
      </c>
      <c r="BN25" s="766">
        <f t="shared" si="45"/>
        <v>14</v>
      </c>
      <c r="BO25" s="760"/>
      <c r="BP25" s="761"/>
      <c r="BQ25" s="761"/>
      <c r="BR25" s="761"/>
      <c r="BS25" s="761"/>
      <c r="BT25" s="761">
        <v>2</v>
      </c>
      <c r="BU25" s="761">
        <v>1</v>
      </c>
      <c r="BV25" s="761"/>
      <c r="BW25" s="761"/>
      <c r="BX25" s="761"/>
      <c r="BY25" s="761"/>
      <c r="BZ25" s="761"/>
      <c r="CA25" s="766">
        <f t="shared" si="46"/>
        <v>3</v>
      </c>
      <c r="CB25" s="760">
        <v>0.74620000000000009</v>
      </c>
      <c r="CC25" s="761">
        <v>0.28599999999999998</v>
      </c>
      <c r="CD25" s="761">
        <v>0.104</v>
      </c>
      <c r="CE25" s="761">
        <v>1.4039999999999999</v>
      </c>
      <c r="CF25" s="761">
        <v>1.1375</v>
      </c>
      <c r="CG25" s="761">
        <v>8.3524999999999991</v>
      </c>
      <c r="CH25" s="761">
        <v>0.98</v>
      </c>
      <c r="CI25" s="761">
        <v>0.32999999999999996</v>
      </c>
      <c r="CJ25" s="761">
        <v>0.104</v>
      </c>
      <c r="CK25" s="761">
        <v>0.3</v>
      </c>
      <c r="CL25" s="761"/>
      <c r="CM25" s="761"/>
      <c r="CN25" s="766">
        <f t="shared" si="47"/>
        <v>13.744199999999999</v>
      </c>
      <c r="CO25" s="760">
        <v>1.619</v>
      </c>
      <c r="CP25" s="761">
        <v>0.80900000000000005</v>
      </c>
      <c r="CQ25" s="761">
        <v>2.8721000000000001</v>
      </c>
      <c r="CR25" s="761">
        <v>0.6825</v>
      </c>
      <c r="CS25" s="761">
        <v>1.0660000000000001</v>
      </c>
      <c r="CT25" s="761">
        <v>0.93080000000000007</v>
      </c>
      <c r="CU25" s="761">
        <v>2.7560000000000002</v>
      </c>
      <c r="CV25" s="761">
        <v>2.6</v>
      </c>
      <c r="CW25" s="761">
        <v>2.34</v>
      </c>
      <c r="CX25" s="761">
        <v>0.6825</v>
      </c>
      <c r="CY25" s="761">
        <v>0.55249999999999999</v>
      </c>
      <c r="CZ25" s="761">
        <v>1.43</v>
      </c>
      <c r="DA25" s="766">
        <f t="shared" si="48"/>
        <v>18.340399999999999</v>
      </c>
      <c r="DB25" s="760">
        <v>0.65</v>
      </c>
      <c r="DC25" s="761">
        <v>0.42249999999999999</v>
      </c>
      <c r="DD25" s="761">
        <v>0.52</v>
      </c>
      <c r="DE25" s="761">
        <v>0.312</v>
      </c>
      <c r="DF25" s="761">
        <v>0.91</v>
      </c>
      <c r="DG25" s="761">
        <v>0.78</v>
      </c>
      <c r="DH25" s="761">
        <v>1.04</v>
      </c>
      <c r="DI25" s="761">
        <v>0.78</v>
      </c>
      <c r="DJ25" s="761">
        <v>0.88400000000000001</v>
      </c>
      <c r="DK25" s="761">
        <v>0.58499999999999996</v>
      </c>
      <c r="DL25" s="761">
        <v>0.54925000000000002</v>
      </c>
      <c r="DM25" s="761">
        <v>0.52</v>
      </c>
      <c r="DN25" s="766">
        <f t="shared" si="49"/>
        <v>7.95275</v>
      </c>
      <c r="DO25" s="760">
        <v>0.18</v>
      </c>
      <c r="DP25" s="761">
        <v>0.02</v>
      </c>
      <c r="DQ25" s="761"/>
      <c r="DR25" s="761">
        <v>0.20599999999999999</v>
      </c>
      <c r="DS25" s="761">
        <v>0.7</v>
      </c>
      <c r="DT25" s="761">
        <v>4.9959999999999996</v>
      </c>
      <c r="DU25" s="761">
        <v>0.5</v>
      </c>
      <c r="DV25" s="761">
        <v>0.16</v>
      </c>
      <c r="DW25" s="761"/>
      <c r="DX25" s="761">
        <v>0.1</v>
      </c>
      <c r="DY25" s="761">
        <v>0.25800000000000001</v>
      </c>
      <c r="DZ25" s="761">
        <v>0.245</v>
      </c>
      <c r="EA25" s="766">
        <f t="shared" si="50"/>
        <v>7.3649999999999993</v>
      </c>
      <c r="EB25" s="760">
        <v>0.55700000000000005</v>
      </c>
      <c r="EC25" s="761">
        <v>6.9000000000000006E-2</v>
      </c>
      <c r="ED25" s="761"/>
      <c r="EE25" s="761">
        <v>0.5</v>
      </c>
      <c r="EF25" s="761">
        <v>0.22</v>
      </c>
      <c r="EG25" s="761">
        <v>0.27</v>
      </c>
      <c r="EH25" s="761">
        <v>2.2439999999999998</v>
      </c>
      <c r="EI25" s="761">
        <v>0.67800000000000005</v>
      </c>
      <c r="EJ25" s="761">
        <v>0.53100000000000003</v>
      </c>
      <c r="EK25" s="761">
        <v>0.01</v>
      </c>
      <c r="EL25" s="761"/>
      <c r="EM25" s="761">
        <v>1.0759999999999998</v>
      </c>
      <c r="EN25" s="766">
        <f t="shared" si="51"/>
        <v>6.1549999999999994</v>
      </c>
      <c r="EO25" s="760">
        <v>0.96875</v>
      </c>
      <c r="EP25" s="761">
        <v>5.5E-2</v>
      </c>
      <c r="EQ25" s="761">
        <v>0</v>
      </c>
      <c r="ER25" s="761">
        <v>0.75</v>
      </c>
      <c r="ES25" s="761"/>
      <c r="ET25" s="761"/>
      <c r="EU25" s="761"/>
      <c r="EV25" s="761"/>
      <c r="EW25" s="761"/>
      <c r="EX25" s="761"/>
      <c r="EY25" s="761"/>
      <c r="EZ25" s="761"/>
      <c r="FA25" s="766">
        <f t="shared" si="52"/>
        <v>1.7737499999999999</v>
      </c>
      <c r="FC25" s="549" t="str">
        <f t="shared" si="53"/>
        <v/>
      </c>
      <c r="FD25" s="550">
        <f t="shared" si="54"/>
        <v>63.538338658146934</v>
      </c>
      <c r="FE25" s="551">
        <f t="shared" si="55"/>
        <v>0.62600000000000011</v>
      </c>
      <c r="FF25" s="552">
        <f t="shared" si="56"/>
        <v>1.0237499999999999</v>
      </c>
      <c r="FH25" s="917" t="s">
        <v>26</v>
      </c>
      <c r="FI25" s="920" t="str">
        <f t="shared" si="20"/>
        <v>OK</v>
      </c>
    </row>
    <row r="26" spans="1:165" ht="15" customHeight="1" x14ac:dyDescent="0.25">
      <c r="A26" s="349" t="s">
        <v>27</v>
      </c>
      <c r="B26" s="760">
        <v>14</v>
      </c>
      <c r="C26" s="761">
        <v>7</v>
      </c>
      <c r="D26" s="761">
        <v>7</v>
      </c>
      <c r="E26" s="761">
        <v>10</v>
      </c>
      <c r="F26" s="761">
        <v>9</v>
      </c>
      <c r="G26" s="761">
        <v>7</v>
      </c>
      <c r="H26" s="761">
        <v>4</v>
      </c>
      <c r="I26" s="761">
        <v>15</v>
      </c>
      <c r="J26" s="761">
        <v>27</v>
      </c>
      <c r="K26" s="761">
        <v>18</v>
      </c>
      <c r="L26" s="761">
        <v>17</v>
      </c>
      <c r="M26" s="761">
        <v>14</v>
      </c>
      <c r="N26" s="766">
        <f t="shared" si="41"/>
        <v>149</v>
      </c>
      <c r="O26" s="760">
        <v>15</v>
      </c>
      <c r="P26" s="761">
        <v>4</v>
      </c>
      <c r="Q26" s="761">
        <v>7</v>
      </c>
      <c r="R26" s="761">
        <v>7</v>
      </c>
      <c r="S26" s="761">
        <v>6</v>
      </c>
      <c r="T26" s="761">
        <v>8</v>
      </c>
      <c r="U26" s="761">
        <v>4</v>
      </c>
      <c r="V26" s="761">
        <v>11</v>
      </c>
      <c r="W26" s="761">
        <v>12</v>
      </c>
      <c r="X26" s="761">
        <v>10</v>
      </c>
      <c r="Y26" s="761">
        <v>12</v>
      </c>
      <c r="Z26" s="761">
        <v>5</v>
      </c>
      <c r="AA26" s="766">
        <f t="shared" si="42"/>
        <v>101</v>
      </c>
      <c r="AB26" s="760">
        <v>19</v>
      </c>
      <c r="AC26" s="761">
        <v>13</v>
      </c>
      <c r="AD26" s="761">
        <v>6</v>
      </c>
      <c r="AE26" s="761">
        <v>3</v>
      </c>
      <c r="AF26" s="761">
        <v>8</v>
      </c>
      <c r="AG26" s="761">
        <v>7</v>
      </c>
      <c r="AH26" s="761">
        <v>18</v>
      </c>
      <c r="AI26" s="761">
        <v>27</v>
      </c>
      <c r="AJ26" s="761">
        <v>16</v>
      </c>
      <c r="AK26" s="761">
        <v>16</v>
      </c>
      <c r="AL26" s="761">
        <v>11</v>
      </c>
      <c r="AM26" s="761">
        <v>11</v>
      </c>
      <c r="AN26" s="766">
        <f t="shared" si="43"/>
        <v>155</v>
      </c>
      <c r="AO26" s="760">
        <v>12</v>
      </c>
      <c r="AP26" s="761">
        <v>7</v>
      </c>
      <c r="AQ26" s="761">
        <v>10</v>
      </c>
      <c r="AR26" s="761">
        <v>6</v>
      </c>
      <c r="AS26" s="761">
        <v>6</v>
      </c>
      <c r="AT26" s="761">
        <v>5</v>
      </c>
      <c r="AU26" s="761">
        <v>11</v>
      </c>
      <c r="AV26" s="761">
        <v>18</v>
      </c>
      <c r="AW26" s="761">
        <v>14</v>
      </c>
      <c r="AX26" s="761">
        <v>9</v>
      </c>
      <c r="AY26" s="761">
        <v>9</v>
      </c>
      <c r="AZ26" s="761">
        <v>8</v>
      </c>
      <c r="BA26" s="766">
        <f t="shared" si="44"/>
        <v>115</v>
      </c>
      <c r="BB26" s="760">
        <v>6</v>
      </c>
      <c r="BC26" s="761">
        <v>7</v>
      </c>
      <c r="BD26" s="761">
        <v>11</v>
      </c>
      <c r="BE26" s="761">
        <v>5</v>
      </c>
      <c r="BF26" s="761">
        <v>4</v>
      </c>
      <c r="BG26" s="761">
        <v>5</v>
      </c>
      <c r="BH26" s="761">
        <v>9</v>
      </c>
      <c r="BI26" s="761">
        <v>15</v>
      </c>
      <c r="BJ26" s="761">
        <v>18</v>
      </c>
      <c r="BK26" s="761">
        <v>12</v>
      </c>
      <c r="BL26" s="761">
        <v>13</v>
      </c>
      <c r="BM26" s="761">
        <v>10</v>
      </c>
      <c r="BN26" s="766">
        <f t="shared" si="45"/>
        <v>115</v>
      </c>
      <c r="BO26" s="760">
        <v>5</v>
      </c>
      <c r="BP26" s="761">
        <v>7</v>
      </c>
      <c r="BQ26" s="761">
        <v>2</v>
      </c>
      <c r="BR26" s="761"/>
      <c r="BS26" s="761"/>
      <c r="BT26" s="761">
        <v>5</v>
      </c>
      <c r="BU26" s="761">
        <v>4</v>
      </c>
      <c r="BV26" s="761">
        <v>2</v>
      </c>
      <c r="BW26" s="761">
        <v>7</v>
      </c>
      <c r="BX26" s="761">
        <v>10</v>
      </c>
      <c r="BY26" s="761">
        <v>6</v>
      </c>
      <c r="BZ26" s="761">
        <v>7</v>
      </c>
      <c r="CA26" s="766">
        <f t="shared" si="46"/>
        <v>55</v>
      </c>
      <c r="CB26" s="760">
        <v>8.3277999999999999</v>
      </c>
      <c r="CC26" s="761">
        <v>3.6789999999999998</v>
      </c>
      <c r="CD26" s="761">
        <v>1.43</v>
      </c>
      <c r="CE26" s="761">
        <v>1.5827499999999999</v>
      </c>
      <c r="CF26" s="761">
        <v>5.27475</v>
      </c>
      <c r="CG26" s="761">
        <v>9.8669999999999973</v>
      </c>
      <c r="CH26" s="761">
        <v>22.59</v>
      </c>
      <c r="CI26" s="761">
        <v>10.63</v>
      </c>
      <c r="CJ26" s="761">
        <v>3.17</v>
      </c>
      <c r="CK26" s="761">
        <v>1.2789999999999999</v>
      </c>
      <c r="CL26" s="761">
        <v>0.92999999999999994</v>
      </c>
      <c r="CM26" s="761">
        <v>0.83</v>
      </c>
      <c r="CN26" s="766">
        <f t="shared" si="47"/>
        <v>69.590299999999999</v>
      </c>
      <c r="CO26" s="760">
        <v>10.478300000000001</v>
      </c>
      <c r="CP26" s="761">
        <v>8.8964999999999996</v>
      </c>
      <c r="CQ26" s="761">
        <v>5.6187000000000005</v>
      </c>
      <c r="CR26" s="761">
        <v>16.168749999999999</v>
      </c>
      <c r="CS26" s="761">
        <v>2.4245000000000001</v>
      </c>
      <c r="CT26" s="761">
        <v>5.5542499999999997</v>
      </c>
      <c r="CU26" s="761">
        <v>9.0935000000000006</v>
      </c>
      <c r="CV26" s="761">
        <v>13.39</v>
      </c>
      <c r="CW26" s="761">
        <v>18.765500000000003</v>
      </c>
      <c r="CX26" s="761">
        <v>13.1235</v>
      </c>
      <c r="CY26" s="761">
        <v>7.1435000000000004</v>
      </c>
      <c r="CZ26" s="761">
        <v>8.6709999999999994</v>
      </c>
      <c r="DA26" s="766">
        <f t="shared" si="48"/>
        <v>119.32800000000003</v>
      </c>
      <c r="DB26" s="760">
        <v>7.8767000000000005</v>
      </c>
      <c r="DC26" s="761">
        <v>4.7034000000000002</v>
      </c>
      <c r="DD26" s="761">
        <v>7.9559999999999995</v>
      </c>
      <c r="DE26" s="761">
        <v>4.9763999999999999</v>
      </c>
      <c r="DF26" s="761">
        <v>5.0049999999999999</v>
      </c>
      <c r="DG26" s="761">
        <v>4.4979999999999993</v>
      </c>
      <c r="DH26" s="761">
        <v>9.0844000000000005</v>
      </c>
      <c r="DI26" s="761">
        <v>8.3362499999999997</v>
      </c>
      <c r="DJ26" s="761">
        <v>10.738</v>
      </c>
      <c r="DK26" s="761">
        <v>6.0969999999999995</v>
      </c>
      <c r="DL26" s="761">
        <v>17.0365</v>
      </c>
      <c r="DM26" s="761">
        <v>3.7570000000000001</v>
      </c>
      <c r="DN26" s="766">
        <f t="shared" si="49"/>
        <v>90.064650000000015</v>
      </c>
      <c r="DO26" s="760">
        <v>4.327</v>
      </c>
      <c r="DP26" s="761">
        <v>3.85</v>
      </c>
      <c r="DQ26" s="761">
        <v>0.76</v>
      </c>
      <c r="DR26" s="761">
        <v>1.33</v>
      </c>
      <c r="DS26" s="761">
        <v>2.7060000000000004</v>
      </c>
      <c r="DT26" s="761">
        <v>1.07</v>
      </c>
      <c r="DU26" s="761">
        <v>2.3069999999999999</v>
      </c>
      <c r="DV26" s="761">
        <v>2.7050000000000001</v>
      </c>
      <c r="DW26" s="761">
        <v>2.5169999999999999</v>
      </c>
      <c r="DX26" s="761">
        <v>1.5950000000000002</v>
      </c>
      <c r="DY26" s="761">
        <v>4.032</v>
      </c>
      <c r="DZ26" s="761">
        <v>2.0509999999999997</v>
      </c>
      <c r="EA26" s="766">
        <f t="shared" si="50"/>
        <v>29.249999999999996</v>
      </c>
      <c r="EB26" s="760">
        <v>2.8340000000000001</v>
      </c>
      <c r="EC26" s="761">
        <v>4.5069999999999997</v>
      </c>
      <c r="ED26" s="761">
        <v>2.601</v>
      </c>
      <c r="EE26" s="761">
        <v>2.1800000000000002</v>
      </c>
      <c r="EF26" s="761">
        <v>1.901</v>
      </c>
      <c r="EG26" s="761">
        <v>1.19</v>
      </c>
      <c r="EH26" s="761">
        <v>2.1549999999999998</v>
      </c>
      <c r="EI26" s="761">
        <v>4.8949999999999996</v>
      </c>
      <c r="EJ26" s="761">
        <v>4.3420000000000005</v>
      </c>
      <c r="EK26" s="761">
        <v>7.3860000000000001</v>
      </c>
      <c r="EL26" s="761">
        <v>5.9669999999999996</v>
      </c>
      <c r="EM26" s="761">
        <v>1.7400000000000002</v>
      </c>
      <c r="EN26" s="766">
        <f t="shared" si="51"/>
        <v>41.698</v>
      </c>
      <c r="EO26" s="760">
        <v>2.3106249999999999</v>
      </c>
      <c r="EP26" s="761">
        <v>1.8975000000000002</v>
      </c>
      <c r="EQ26" s="761">
        <v>2.41</v>
      </c>
      <c r="ER26" s="761">
        <v>1.9570000000000001</v>
      </c>
      <c r="ES26" s="761"/>
      <c r="ET26" s="761"/>
      <c r="EU26" s="761"/>
      <c r="EV26" s="761"/>
      <c r="EW26" s="761"/>
      <c r="EX26" s="761"/>
      <c r="EY26" s="761"/>
      <c r="EZ26" s="761"/>
      <c r="FA26" s="766">
        <f t="shared" si="52"/>
        <v>8.5751249999999999</v>
      </c>
      <c r="FC26" s="549">
        <f t="shared" si="53"/>
        <v>-7.3433294886582008</v>
      </c>
      <c r="FD26" s="550">
        <f t="shared" si="54"/>
        <v>-33.432659424663044</v>
      </c>
      <c r="FE26" s="551">
        <f t="shared" si="55"/>
        <v>9.9420000000000002</v>
      </c>
      <c r="FF26" s="552">
        <f t="shared" si="56"/>
        <v>6.618125</v>
      </c>
      <c r="FH26" s="917" t="s">
        <v>27</v>
      </c>
      <c r="FI26" s="920" t="str">
        <f t="shared" si="20"/>
        <v>OK</v>
      </c>
    </row>
    <row r="27" spans="1:165" ht="15" customHeight="1" x14ac:dyDescent="0.25">
      <c r="A27" s="349" t="s">
        <v>28</v>
      </c>
      <c r="B27" s="760">
        <v>1</v>
      </c>
      <c r="C27" s="761">
        <v>1</v>
      </c>
      <c r="D27" s="761">
        <v>1</v>
      </c>
      <c r="E27" s="761">
        <v>2</v>
      </c>
      <c r="F27" s="761">
        <v>2</v>
      </c>
      <c r="G27" s="761">
        <v>1</v>
      </c>
      <c r="H27" s="761">
        <v>1</v>
      </c>
      <c r="I27" s="761">
        <v>2</v>
      </c>
      <c r="J27" s="761">
        <v>2</v>
      </c>
      <c r="K27" s="761"/>
      <c r="L27" s="761"/>
      <c r="M27" s="761"/>
      <c r="N27" s="766">
        <f t="shared" si="41"/>
        <v>13</v>
      </c>
      <c r="O27" s="760"/>
      <c r="P27" s="761"/>
      <c r="Q27" s="761"/>
      <c r="R27" s="761">
        <v>1</v>
      </c>
      <c r="S27" s="761">
        <v>2</v>
      </c>
      <c r="T27" s="761">
        <v>1</v>
      </c>
      <c r="U27" s="761">
        <v>1</v>
      </c>
      <c r="V27" s="761">
        <v>1</v>
      </c>
      <c r="W27" s="761">
        <v>2</v>
      </c>
      <c r="X27" s="761"/>
      <c r="Y27" s="761"/>
      <c r="Z27" s="761"/>
      <c r="AA27" s="766">
        <f t="shared" si="42"/>
        <v>8</v>
      </c>
      <c r="AB27" s="760">
        <v>1</v>
      </c>
      <c r="AC27" s="761"/>
      <c r="AD27" s="761"/>
      <c r="AE27" s="761"/>
      <c r="AF27" s="761">
        <v>3</v>
      </c>
      <c r="AG27" s="761"/>
      <c r="AH27" s="761"/>
      <c r="AI27" s="761">
        <v>4</v>
      </c>
      <c r="AJ27" s="761">
        <v>1</v>
      </c>
      <c r="AK27" s="761">
        <v>1</v>
      </c>
      <c r="AL27" s="761">
        <v>1</v>
      </c>
      <c r="AM27" s="761"/>
      <c r="AN27" s="766">
        <f t="shared" si="43"/>
        <v>11</v>
      </c>
      <c r="AO27" s="760"/>
      <c r="AP27" s="761"/>
      <c r="AQ27" s="761"/>
      <c r="AR27" s="761"/>
      <c r="AS27" s="761"/>
      <c r="AT27" s="761">
        <v>1</v>
      </c>
      <c r="AU27" s="761">
        <v>1</v>
      </c>
      <c r="AV27" s="761"/>
      <c r="AW27" s="761"/>
      <c r="AX27" s="761"/>
      <c r="AY27" s="761">
        <v>1</v>
      </c>
      <c r="AZ27" s="761"/>
      <c r="BA27" s="766">
        <f t="shared" si="44"/>
        <v>3</v>
      </c>
      <c r="BB27" s="760">
        <v>1</v>
      </c>
      <c r="BC27" s="761"/>
      <c r="BD27" s="761"/>
      <c r="BE27" s="761">
        <v>1</v>
      </c>
      <c r="BF27" s="761">
        <v>2</v>
      </c>
      <c r="BG27" s="761">
        <v>1</v>
      </c>
      <c r="BH27" s="761">
        <v>2</v>
      </c>
      <c r="BI27" s="761">
        <v>2</v>
      </c>
      <c r="BJ27" s="761">
        <v>1</v>
      </c>
      <c r="BK27" s="761"/>
      <c r="BL27" s="761">
        <v>1</v>
      </c>
      <c r="BM27" s="761"/>
      <c r="BN27" s="766">
        <f t="shared" si="45"/>
        <v>11</v>
      </c>
      <c r="BO27" s="760"/>
      <c r="BP27" s="761"/>
      <c r="BQ27" s="761"/>
      <c r="BR27" s="761"/>
      <c r="BS27" s="761"/>
      <c r="BT27" s="761"/>
      <c r="BU27" s="761"/>
      <c r="BV27" s="761">
        <v>6</v>
      </c>
      <c r="BW27" s="761"/>
      <c r="BX27" s="761"/>
      <c r="BY27" s="761"/>
      <c r="BZ27" s="761">
        <v>4</v>
      </c>
      <c r="CA27" s="766">
        <f t="shared" si="46"/>
        <v>10</v>
      </c>
      <c r="CB27" s="760">
        <v>0.29249999999999998</v>
      </c>
      <c r="CC27" s="761"/>
      <c r="CD27" s="761"/>
      <c r="CE27" s="761"/>
      <c r="CF27" s="761">
        <v>0.16250000000000001</v>
      </c>
      <c r="CG27" s="761">
        <v>0.78780000000000006</v>
      </c>
      <c r="CH27" s="761">
        <v>0.32</v>
      </c>
      <c r="CI27" s="761">
        <v>0.39</v>
      </c>
      <c r="CJ27" s="761">
        <v>0.66</v>
      </c>
      <c r="CK27" s="761"/>
      <c r="CL27" s="761"/>
      <c r="CM27" s="761"/>
      <c r="CN27" s="766">
        <f t="shared" si="47"/>
        <v>2.6128</v>
      </c>
      <c r="CO27" s="760">
        <v>0.41260000000000002</v>
      </c>
      <c r="CP27" s="761">
        <v>0.87329999999999997</v>
      </c>
      <c r="CQ27" s="761">
        <v>0.65</v>
      </c>
      <c r="CR27" s="761">
        <v>0.45500000000000002</v>
      </c>
      <c r="CS27" s="761">
        <v>1.3325</v>
      </c>
      <c r="CT27" s="761">
        <v>0.48749999999999999</v>
      </c>
      <c r="CU27" s="761">
        <v>1.2999999999999998</v>
      </c>
      <c r="CV27" s="761">
        <v>1.7342</v>
      </c>
      <c r="CW27" s="761">
        <v>1.4950000000000001</v>
      </c>
      <c r="CX27" s="761">
        <v>0.97500000000000009</v>
      </c>
      <c r="CY27" s="761">
        <v>0.35099999999999998</v>
      </c>
      <c r="CZ27" s="761">
        <v>0.46410000000000007</v>
      </c>
      <c r="DA27" s="766">
        <f t="shared" si="48"/>
        <v>10.530200000000002</v>
      </c>
      <c r="DB27" s="760">
        <v>3.7440000000000002</v>
      </c>
      <c r="DC27" s="761">
        <v>0.17875000000000002</v>
      </c>
      <c r="DD27" s="761">
        <v>1.365</v>
      </c>
      <c r="DE27" s="761">
        <v>0.26</v>
      </c>
      <c r="DF27" s="761">
        <v>0.52</v>
      </c>
      <c r="DG27" s="761">
        <v>0.48749999999999999</v>
      </c>
      <c r="DH27" s="761">
        <v>3.25</v>
      </c>
      <c r="DI27" s="761">
        <v>1.3</v>
      </c>
      <c r="DJ27" s="761">
        <v>1.4039999999999999</v>
      </c>
      <c r="DK27" s="761">
        <v>1.0270000000000001</v>
      </c>
      <c r="DL27" s="761">
        <v>6.1002500000000008</v>
      </c>
      <c r="DM27" s="761">
        <v>6.6885000000000003</v>
      </c>
      <c r="DN27" s="766">
        <f t="shared" si="49"/>
        <v>26.325000000000006</v>
      </c>
      <c r="DO27" s="760">
        <v>0.5</v>
      </c>
      <c r="DP27" s="761">
        <v>0.28999999999999998</v>
      </c>
      <c r="DQ27" s="761">
        <v>0.55000000000000004</v>
      </c>
      <c r="DR27" s="761">
        <v>1.07</v>
      </c>
      <c r="DS27" s="761">
        <v>1.26</v>
      </c>
      <c r="DT27" s="761">
        <v>0.08</v>
      </c>
      <c r="DU27" s="761">
        <v>1</v>
      </c>
      <c r="DV27" s="761">
        <v>0.02</v>
      </c>
      <c r="DW27" s="761"/>
      <c r="DX27" s="761"/>
      <c r="DY27" s="761">
        <v>0.25700000000000001</v>
      </c>
      <c r="DZ27" s="761">
        <v>0.32699999999999996</v>
      </c>
      <c r="EA27" s="766">
        <f t="shared" si="50"/>
        <v>5.3539999999999992</v>
      </c>
      <c r="EB27" s="760"/>
      <c r="EC27" s="761"/>
      <c r="ED27" s="761">
        <v>0.1</v>
      </c>
      <c r="EE27" s="761">
        <v>1.25</v>
      </c>
      <c r="EF27" s="761">
        <v>0.97799999999999998</v>
      </c>
      <c r="EG27" s="761">
        <v>0.15</v>
      </c>
      <c r="EH27" s="761">
        <v>0.63500000000000001</v>
      </c>
      <c r="EI27" s="761">
        <v>1.0679999999999998</v>
      </c>
      <c r="EJ27" s="761">
        <v>0.66200000000000003</v>
      </c>
      <c r="EK27" s="761">
        <v>0.316</v>
      </c>
      <c r="EL27" s="761">
        <v>1.75</v>
      </c>
      <c r="EM27" s="761"/>
      <c r="EN27" s="766">
        <f t="shared" si="51"/>
        <v>6.9089999999999998</v>
      </c>
      <c r="EO27" s="760">
        <v>0.69687500000000002</v>
      </c>
      <c r="EP27" s="761">
        <v>1.4999999999999999E-2</v>
      </c>
      <c r="EQ27" s="761">
        <v>0.1</v>
      </c>
      <c r="ER27" s="761">
        <v>0.34300000000000003</v>
      </c>
      <c r="ES27" s="761"/>
      <c r="ET27" s="761"/>
      <c r="EU27" s="761"/>
      <c r="EV27" s="761"/>
      <c r="EW27" s="761"/>
      <c r="EX27" s="761"/>
      <c r="EY27" s="761"/>
      <c r="EZ27" s="761"/>
      <c r="FA27" s="766">
        <f t="shared" si="52"/>
        <v>1.1548750000000001</v>
      </c>
      <c r="FC27" s="549">
        <f t="shared" si="53"/>
        <v>0</v>
      </c>
      <c r="FD27" s="550">
        <f t="shared" si="54"/>
        <v>711.875</v>
      </c>
      <c r="FE27" s="551">
        <f t="shared" si="55"/>
        <v>0.1</v>
      </c>
      <c r="FF27" s="552">
        <f t="shared" si="56"/>
        <v>0.81187500000000001</v>
      </c>
      <c r="FH27" s="917" t="s">
        <v>28</v>
      </c>
      <c r="FI27" s="920" t="str">
        <f t="shared" si="20"/>
        <v>OK</v>
      </c>
    </row>
    <row r="28" spans="1:165" ht="15" customHeight="1" x14ac:dyDescent="0.25">
      <c r="A28" s="349" t="s">
        <v>29</v>
      </c>
      <c r="B28" s="760">
        <v>2</v>
      </c>
      <c r="C28" s="761">
        <v>5</v>
      </c>
      <c r="D28" s="761"/>
      <c r="E28" s="761"/>
      <c r="F28" s="761">
        <v>1</v>
      </c>
      <c r="G28" s="761"/>
      <c r="H28" s="761"/>
      <c r="I28" s="761"/>
      <c r="J28" s="761"/>
      <c r="K28" s="761"/>
      <c r="L28" s="761">
        <v>1</v>
      </c>
      <c r="M28" s="761">
        <v>1</v>
      </c>
      <c r="N28" s="766">
        <f t="shared" si="41"/>
        <v>10</v>
      </c>
      <c r="O28" s="760">
        <v>1</v>
      </c>
      <c r="P28" s="761">
        <v>1</v>
      </c>
      <c r="Q28" s="761">
        <v>2</v>
      </c>
      <c r="R28" s="761"/>
      <c r="S28" s="761"/>
      <c r="T28" s="761"/>
      <c r="U28" s="761"/>
      <c r="V28" s="761">
        <v>3</v>
      </c>
      <c r="W28" s="761">
        <v>5</v>
      </c>
      <c r="X28" s="761"/>
      <c r="Y28" s="761">
        <v>1</v>
      </c>
      <c r="Z28" s="761"/>
      <c r="AA28" s="766">
        <f t="shared" si="42"/>
        <v>13</v>
      </c>
      <c r="AB28" s="760">
        <v>2</v>
      </c>
      <c r="AC28" s="761">
        <v>1</v>
      </c>
      <c r="AD28" s="761"/>
      <c r="AE28" s="761">
        <v>1</v>
      </c>
      <c r="AF28" s="761"/>
      <c r="AG28" s="761"/>
      <c r="AH28" s="761"/>
      <c r="AI28" s="761">
        <v>2</v>
      </c>
      <c r="AJ28" s="761"/>
      <c r="AK28" s="761">
        <v>5</v>
      </c>
      <c r="AL28" s="761"/>
      <c r="AM28" s="761"/>
      <c r="AN28" s="766">
        <f t="shared" si="43"/>
        <v>11</v>
      </c>
      <c r="AO28" s="760">
        <v>2</v>
      </c>
      <c r="AP28" s="761">
        <v>1</v>
      </c>
      <c r="AQ28" s="761">
        <v>1</v>
      </c>
      <c r="AR28" s="761">
        <v>1</v>
      </c>
      <c r="AS28" s="761"/>
      <c r="AT28" s="761"/>
      <c r="AU28" s="761">
        <v>1</v>
      </c>
      <c r="AV28" s="761">
        <v>3</v>
      </c>
      <c r="AW28" s="761">
        <v>1</v>
      </c>
      <c r="AX28" s="761">
        <v>1</v>
      </c>
      <c r="AY28" s="761"/>
      <c r="AZ28" s="761"/>
      <c r="BA28" s="766">
        <f t="shared" si="44"/>
        <v>11</v>
      </c>
      <c r="BB28" s="760"/>
      <c r="BC28" s="761"/>
      <c r="BD28" s="761">
        <v>1</v>
      </c>
      <c r="BE28" s="761"/>
      <c r="BF28" s="761"/>
      <c r="BG28" s="761">
        <v>1</v>
      </c>
      <c r="BH28" s="761"/>
      <c r="BI28" s="761">
        <v>1</v>
      </c>
      <c r="BJ28" s="761"/>
      <c r="BK28" s="761"/>
      <c r="BL28" s="761"/>
      <c r="BM28" s="761">
        <v>3</v>
      </c>
      <c r="BN28" s="766">
        <f t="shared" si="45"/>
        <v>6</v>
      </c>
      <c r="BO28" s="760"/>
      <c r="BP28" s="761">
        <v>4</v>
      </c>
      <c r="BQ28" s="761"/>
      <c r="BR28" s="761"/>
      <c r="BS28" s="761"/>
      <c r="BT28" s="761"/>
      <c r="BU28" s="761"/>
      <c r="BV28" s="761"/>
      <c r="BW28" s="761"/>
      <c r="BX28" s="761"/>
      <c r="BY28" s="761"/>
      <c r="BZ28" s="761"/>
      <c r="CA28" s="766">
        <f t="shared" si="46"/>
        <v>4</v>
      </c>
      <c r="CB28" s="760">
        <v>6.5000000000000002E-2</v>
      </c>
      <c r="CC28" s="761">
        <v>5.33</v>
      </c>
      <c r="CD28" s="761"/>
      <c r="CE28" s="761"/>
      <c r="CF28" s="761"/>
      <c r="CG28" s="761"/>
      <c r="CH28" s="761"/>
      <c r="CI28" s="761"/>
      <c r="CJ28" s="761"/>
      <c r="CK28" s="761">
        <v>1.39</v>
      </c>
      <c r="CL28" s="761">
        <v>0.45</v>
      </c>
      <c r="CM28" s="761">
        <v>0.63</v>
      </c>
      <c r="CN28" s="766">
        <f t="shared" si="47"/>
        <v>7.8650000000000002</v>
      </c>
      <c r="CO28" s="760">
        <v>1.1999000000000002</v>
      </c>
      <c r="CP28" s="761">
        <v>4.2991000000000001</v>
      </c>
      <c r="CQ28" s="761">
        <v>3.1993</v>
      </c>
      <c r="CR28" s="761"/>
      <c r="CS28" s="761"/>
      <c r="CT28" s="761">
        <v>7.8000000000000005E-3</v>
      </c>
      <c r="CU28" s="761">
        <v>0.65</v>
      </c>
      <c r="CV28" s="761">
        <v>2.0020000000000002</v>
      </c>
      <c r="CW28" s="761">
        <v>5.5380000000000003</v>
      </c>
      <c r="CX28" s="761">
        <v>5.0049999999999999</v>
      </c>
      <c r="CY28" s="761">
        <v>5.59</v>
      </c>
      <c r="CZ28" s="761">
        <v>1.69</v>
      </c>
      <c r="DA28" s="766">
        <f t="shared" si="48"/>
        <v>29.181100000000001</v>
      </c>
      <c r="DB28" s="760">
        <v>5.2910000000000004</v>
      </c>
      <c r="DC28" s="761">
        <v>3.38</v>
      </c>
      <c r="DD28" s="761">
        <v>4.9009999999999998</v>
      </c>
      <c r="DE28" s="761">
        <v>1.17</v>
      </c>
      <c r="DF28" s="761">
        <v>5.98</v>
      </c>
      <c r="DG28" s="761">
        <v>6.5</v>
      </c>
      <c r="DH28" s="761">
        <v>3.4449999999999998</v>
      </c>
      <c r="DI28" s="761">
        <v>0.71500000000000008</v>
      </c>
      <c r="DJ28" s="761">
        <v>5.3950000000000005</v>
      </c>
      <c r="DK28" s="761">
        <v>3.7050000000000001</v>
      </c>
      <c r="DL28" s="761">
        <v>5.85</v>
      </c>
      <c r="DM28" s="761">
        <v>3.77</v>
      </c>
      <c r="DN28" s="766">
        <f t="shared" si="49"/>
        <v>50.102000000000004</v>
      </c>
      <c r="DO28" s="760">
        <v>0.4</v>
      </c>
      <c r="DP28" s="761">
        <v>0.05</v>
      </c>
      <c r="DQ28" s="761">
        <v>0.1</v>
      </c>
      <c r="DR28" s="761">
        <v>0.1</v>
      </c>
      <c r="DS28" s="761">
        <v>0.29099999999999998</v>
      </c>
      <c r="DT28" s="761"/>
      <c r="DU28" s="761"/>
      <c r="DV28" s="761"/>
      <c r="DW28" s="761"/>
      <c r="DX28" s="761">
        <v>0.443</v>
      </c>
      <c r="DY28" s="761">
        <v>1.607</v>
      </c>
      <c r="DZ28" s="761">
        <v>1.7569999999999999</v>
      </c>
      <c r="EA28" s="766">
        <f t="shared" si="50"/>
        <v>4.7480000000000002</v>
      </c>
      <c r="EB28" s="760"/>
      <c r="EC28" s="761">
        <v>2.5</v>
      </c>
      <c r="ED28" s="761">
        <v>1.3779999999999999</v>
      </c>
      <c r="EE28" s="761">
        <v>0.3</v>
      </c>
      <c r="EF28" s="761">
        <v>0.51700000000000002</v>
      </c>
      <c r="EG28" s="761"/>
      <c r="EH28" s="761">
        <v>0.54700000000000004</v>
      </c>
      <c r="EI28" s="761"/>
      <c r="EJ28" s="761"/>
      <c r="EK28" s="761">
        <v>2.0529999999999999</v>
      </c>
      <c r="EL28" s="761">
        <v>0.42899999999999999</v>
      </c>
      <c r="EM28" s="761">
        <v>1.4470000000000001</v>
      </c>
      <c r="EN28" s="766">
        <f t="shared" si="51"/>
        <v>9.1709999999999994</v>
      </c>
      <c r="EO28" s="760">
        <v>2.1312500000000001</v>
      </c>
      <c r="EP28" s="761">
        <v>0</v>
      </c>
      <c r="EQ28" s="761">
        <v>3.9E-2</v>
      </c>
      <c r="ER28" s="761"/>
      <c r="ES28" s="761"/>
      <c r="ET28" s="761"/>
      <c r="EU28" s="761"/>
      <c r="EV28" s="761"/>
      <c r="EW28" s="761"/>
      <c r="EX28" s="761"/>
      <c r="EY28" s="761"/>
      <c r="EZ28" s="761"/>
      <c r="FA28" s="766">
        <f t="shared" si="52"/>
        <v>2.1702500000000002</v>
      </c>
      <c r="FC28" s="549">
        <f t="shared" si="53"/>
        <v>-97.169811320754718</v>
      </c>
      <c r="FD28" s="550">
        <f t="shared" si="54"/>
        <v>-44.036874677668905</v>
      </c>
      <c r="FE28" s="551">
        <f t="shared" si="55"/>
        <v>3.8780000000000001</v>
      </c>
      <c r="FF28" s="552">
        <f t="shared" si="56"/>
        <v>2.1702500000000002</v>
      </c>
      <c r="FH28" s="917" t="s">
        <v>29</v>
      </c>
      <c r="FI28" s="920" t="str">
        <f t="shared" si="20"/>
        <v>OK</v>
      </c>
    </row>
    <row r="29" spans="1:165" ht="15" customHeight="1" x14ac:dyDescent="0.25">
      <c r="A29" s="349" t="s">
        <v>564</v>
      </c>
      <c r="B29" s="760">
        <v>2</v>
      </c>
      <c r="C29" s="761">
        <v>2</v>
      </c>
      <c r="D29" s="761">
        <v>5</v>
      </c>
      <c r="E29" s="761">
        <v>9</v>
      </c>
      <c r="F29" s="761">
        <v>9</v>
      </c>
      <c r="G29" s="761">
        <v>10</v>
      </c>
      <c r="H29" s="761">
        <v>22</v>
      </c>
      <c r="I29" s="761">
        <v>25</v>
      </c>
      <c r="J29" s="761">
        <v>44</v>
      </c>
      <c r="K29" s="761">
        <v>32</v>
      </c>
      <c r="L29" s="761">
        <v>13</v>
      </c>
      <c r="M29" s="761">
        <v>6</v>
      </c>
      <c r="N29" s="766">
        <f t="shared" si="41"/>
        <v>179</v>
      </c>
      <c r="O29" s="760">
        <v>5</v>
      </c>
      <c r="P29" s="761">
        <v>4</v>
      </c>
      <c r="Q29" s="761">
        <v>3</v>
      </c>
      <c r="R29" s="761">
        <v>2</v>
      </c>
      <c r="S29" s="761">
        <v>4</v>
      </c>
      <c r="T29" s="761">
        <v>5</v>
      </c>
      <c r="U29" s="761">
        <v>5</v>
      </c>
      <c r="V29" s="761">
        <v>10</v>
      </c>
      <c r="W29" s="761">
        <v>11</v>
      </c>
      <c r="X29" s="761">
        <v>3</v>
      </c>
      <c r="Y29" s="761">
        <v>1</v>
      </c>
      <c r="Z29" s="761">
        <v>2</v>
      </c>
      <c r="AA29" s="766">
        <f t="shared" si="42"/>
        <v>55</v>
      </c>
      <c r="AB29" s="760">
        <v>4</v>
      </c>
      <c r="AC29" s="761">
        <v>2</v>
      </c>
      <c r="AD29" s="761">
        <v>4</v>
      </c>
      <c r="AE29" s="761">
        <v>3</v>
      </c>
      <c r="AF29" s="761">
        <v>2</v>
      </c>
      <c r="AG29" s="761">
        <v>14</v>
      </c>
      <c r="AH29" s="761">
        <v>16</v>
      </c>
      <c r="AI29" s="761">
        <v>21</v>
      </c>
      <c r="AJ29" s="761">
        <v>7</v>
      </c>
      <c r="AK29" s="761">
        <v>8</v>
      </c>
      <c r="AL29" s="761">
        <v>3</v>
      </c>
      <c r="AM29" s="761">
        <v>3</v>
      </c>
      <c r="AN29" s="766">
        <f t="shared" si="43"/>
        <v>87</v>
      </c>
      <c r="AO29" s="760">
        <v>1</v>
      </c>
      <c r="AP29" s="761">
        <v>3</v>
      </c>
      <c r="AQ29" s="761">
        <v>3</v>
      </c>
      <c r="AR29" s="761">
        <v>5</v>
      </c>
      <c r="AS29" s="761">
        <v>6</v>
      </c>
      <c r="AT29" s="761">
        <v>7</v>
      </c>
      <c r="AU29" s="761">
        <v>17</v>
      </c>
      <c r="AV29" s="761">
        <v>12</v>
      </c>
      <c r="AW29" s="761">
        <v>7</v>
      </c>
      <c r="AX29" s="761">
        <v>5</v>
      </c>
      <c r="AY29" s="761">
        <v>2</v>
      </c>
      <c r="AZ29" s="761">
        <v>1</v>
      </c>
      <c r="BA29" s="766">
        <f t="shared" si="44"/>
        <v>69</v>
      </c>
      <c r="BB29" s="760">
        <v>3</v>
      </c>
      <c r="BC29" s="761">
        <v>2</v>
      </c>
      <c r="BD29" s="761">
        <v>2</v>
      </c>
      <c r="BE29" s="761">
        <v>13</v>
      </c>
      <c r="BF29" s="761">
        <v>9</v>
      </c>
      <c r="BG29" s="761">
        <v>17</v>
      </c>
      <c r="BH29" s="761">
        <v>21</v>
      </c>
      <c r="BI29" s="761">
        <v>14</v>
      </c>
      <c r="BJ29" s="761">
        <v>9</v>
      </c>
      <c r="BK29" s="761">
        <v>2</v>
      </c>
      <c r="BL29" s="761">
        <v>5</v>
      </c>
      <c r="BM29" s="761">
        <v>2</v>
      </c>
      <c r="BN29" s="766">
        <f t="shared" si="45"/>
        <v>99</v>
      </c>
      <c r="BO29" s="760">
        <v>1</v>
      </c>
      <c r="BP29" s="761">
        <v>2</v>
      </c>
      <c r="BQ29" s="761">
        <v>1</v>
      </c>
      <c r="BR29" s="761"/>
      <c r="BS29" s="761"/>
      <c r="BT29" s="761">
        <v>1</v>
      </c>
      <c r="BU29" s="761">
        <v>6</v>
      </c>
      <c r="BV29" s="761">
        <v>11</v>
      </c>
      <c r="BW29" s="761">
        <v>5</v>
      </c>
      <c r="BX29" s="761">
        <v>3</v>
      </c>
      <c r="BY29" s="761">
        <v>3</v>
      </c>
      <c r="BZ29" s="761">
        <v>4</v>
      </c>
      <c r="CA29" s="766">
        <f t="shared" si="46"/>
        <v>37</v>
      </c>
      <c r="CB29" s="760">
        <v>1.0308999999999999</v>
      </c>
      <c r="CC29" s="761">
        <v>1.105</v>
      </c>
      <c r="CD29" s="761">
        <v>0.16250000000000001</v>
      </c>
      <c r="CE29" s="761">
        <v>1.0335000000000001</v>
      </c>
      <c r="CF29" s="761">
        <v>4.9465000000000003</v>
      </c>
      <c r="CG29" s="761">
        <v>3.8089999999999997</v>
      </c>
      <c r="CH29" s="761">
        <v>9.07</v>
      </c>
      <c r="CI29" s="761">
        <v>17.009999999999998</v>
      </c>
      <c r="CJ29" s="761">
        <v>8.19</v>
      </c>
      <c r="CK29" s="761">
        <v>0.88</v>
      </c>
      <c r="CL29" s="761">
        <v>0.3</v>
      </c>
      <c r="CM29" s="761">
        <v>1.28</v>
      </c>
      <c r="CN29" s="766">
        <f t="shared" si="47"/>
        <v>48.817399999999999</v>
      </c>
      <c r="CO29" s="760">
        <v>1.0398000000000001</v>
      </c>
      <c r="CP29" s="761">
        <v>2.72</v>
      </c>
      <c r="CQ29" s="761">
        <v>4.0085999999999995</v>
      </c>
      <c r="CR29" s="761">
        <v>3.1037499999999998</v>
      </c>
      <c r="CS29" s="761">
        <v>2.8938000000000001</v>
      </c>
      <c r="CT29" s="761">
        <v>3.2214</v>
      </c>
      <c r="CU29" s="761">
        <v>13.533000000000001</v>
      </c>
      <c r="CV29" s="761">
        <v>9.8605</v>
      </c>
      <c r="CW29" s="761">
        <v>25.181000000000001</v>
      </c>
      <c r="CX29" s="761">
        <v>5.4632499999999995</v>
      </c>
      <c r="CY29" s="761">
        <v>3.8870000000000005</v>
      </c>
      <c r="CZ29" s="761">
        <v>2.6227499999999999</v>
      </c>
      <c r="DA29" s="766">
        <f t="shared" si="48"/>
        <v>77.534850000000006</v>
      </c>
      <c r="DB29" s="760">
        <v>1.0023</v>
      </c>
      <c r="DC29" s="761">
        <v>1.4442999999999999</v>
      </c>
      <c r="DD29" s="761">
        <v>3.081</v>
      </c>
      <c r="DE29" s="761">
        <v>5.6</v>
      </c>
      <c r="DF29" s="761">
        <v>4.8</v>
      </c>
      <c r="DG29" s="761">
        <v>5.3</v>
      </c>
      <c r="DH29" s="761">
        <v>8.6440000000000001</v>
      </c>
      <c r="DI29" s="761">
        <v>8.5</v>
      </c>
      <c r="DJ29" s="761">
        <v>10.199999999999999</v>
      </c>
      <c r="DK29" s="761">
        <v>6.4</v>
      </c>
      <c r="DL29" s="761">
        <v>2.4</v>
      </c>
      <c r="DM29" s="761">
        <v>1.8</v>
      </c>
      <c r="DN29" s="766">
        <f t="shared" si="49"/>
        <v>59.171599999999998</v>
      </c>
      <c r="DO29" s="760">
        <v>0.22500000000000001</v>
      </c>
      <c r="DP29" s="761">
        <v>0.21</v>
      </c>
      <c r="DQ29" s="761">
        <v>1.9830000000000001</v>
      </c>
      <c r="DR29" s="761">
        <v>2.0089999999999999</v>
      </c>
      <c r="DS29" s="761">
        <v>2.1339999999999999</v>
      </c>
      <c r="DT29" s="761">
        <v>1.3360000000000001</v>
      </c>
      <c r="DU29" s="761">
        <v>9.7560000000000002</v>
      </c>
      <c r="DV29" s="761">
        <v>6.0850000000000009</v>
      </c>
      <c r="DW29" s="761">
        <v>3.5369999999999999</v>
      </c>
      <c r="DX29" s="761">
        <v>3.6360000000000001</v>
      </c>
      <c r="DY29" s="761">
        <v>2.6149999999999998</v>
      </c>
      <c r="DZ29" s="761">
        <v>2.46</v>
      </c>
      <c r="EA29" s="766">
        <f t="shared" si="50"/>
        <v>35.985999999999997</v>
      </c>
      <c r="EB29" s="760">
        <v>1.1499999999999999</v>
      </c>
      <c r="EC29" s="761">
        <v>1.48</v>
      </c>
      <c r="ED29" s="761">
        <v>2.33</v>
      </c>
      <c r="EE29" s="761">
        <v>5.7</v>
      </c>
      <c r="EF29" s="761">
        <v>4.7</v>
      </c>
      <c r="EG29" s="761">
        <v>2.8</v>
      </c>
      <c r="EH29" s="761">
        <v>11.2</v>
      </c>
      <c r="EI29" s="761">
        <v>13.8</v>
      </c>
      <c r="EJ29" s="761">
        <v>4.0999999999999996</v>
      </c>
      <c r="EK29" s="761">
        <v>12.1</v>
      </c>
      <c r="EL29" s="761">
        <v>4.5999999999999996</v>
      </c>
      <c r="EM29" s="761">
        <v>4.0999999999999996</v>
      </c>
      <c r="EN29" s="766">
        <f t="shared" si="51"/>
        <v>68.06</v>
      </c>
      <c r="EO29" s="760">
        <v>0.19375000000000001</v>
      </c>
      <c r="EP29" s="761">
        <v>3.0100000000000002</v>
      </c>
      <c r="EQ29" s="761">
        <v>2.6</v>
      </c>
      <c r="ER29" s="761"/>
      <c r="ES29" s="761"/>
      <c r="ET29" s="761"/>
      <c r="EU29" s="761"/>
      <c r="EV29" s="761"/>
      <c r="EW29" s="761"/>
      <c r="EX29" s="761"/>
      <c r="EY29" s="761"/>
      <c r="EZ29" s="761"/>
      <c r="FA29" s="766">
        <f t="shared" si="52"/>
        <v>5.8037500000000009</v>
      </c>
      <c r="FC29" s="549">
        <f t="shared" si="53"/>
        <v>11.587982832618016</v>
      </c>
      <c r="FD29" s="550">
        <f t="shared" si="54"/>
        <v>17.011088709677445</v>
      </c>
      <c r="FE29" s="551">
        <f t="shared" si="55"/>
        <v>4.96</v>
      </c>
      <c r="FF29" s="552">
        <f t="shared" si="56"/>
        <v>5.8037500000000009</v>
      </c>
      <c r="FH29" s="917" t="s">
        <v>564</v>
      </c>
      <c r="FI29" s="920" t="str">
        <f t="shared" si="20"/>
        <v>OK</v>
      </c>
    </row>
    <row r="30" spans="1:165" ht="15" customHeight="1" x14ac:dyDescent="0.25">
      <c r="A30" s="349" t="s">
        <v>669</v>
      </c>
      <c r="B30" s="760">
        <v>95</v>
      </c>
      <c r="C30" s="761">
        <v>49</v>
      </c>
      <c r="D30" s="761">
        <v>47</v>
      </c>
      <c r="E30" s="761">
        <v>10</v>
      </c>
      <c r="F30" s="761">
        <v>12</v>
      </c>
      <c r="G30" s="761">
        <v>9</v>
      </c>
      <c r="H30" s="761"/>
      <c r="I30" s="761">
        <v>1</v>
      </c>
      <c r="J30" s="761">
        <v>1</v>
      </c>
      <c r="K30" s="761">
        <v>1</v>
      </c>
      <c r="L30" s="761">
        <v>30</v>
      </c>
      <c r="M30" s="761">
        <v>36</v>
      </c>
      <c r="N30" s="766">
        <f t="shared" si="41"/>
        <v>291</v>
      </c>
      <c r="O30" s="760">
        <v>30</v>
      </c>
      <c r="P30" s="761">
        <v>27</v>
      </c>
      <c r="Q30" s="761">
        <v>31</v>
      </c>
      <c r="R30" s="761">
        <v>18</v>
      </c>
      <c r="S30" s="761">
        <v>12</v>
      </c>
      <c r="T30" s="761">
        <v>3</v>
      </c>
      <c r="U30" s="761">
        <v>3</v>
      </c>
      <c r="V30" s="761">
        <v>10</v>
      </c>
      <c r="W30" s="761">
        <v>17</v>
      </c>
      <c r="X30" s="761">
        <v>45</v>
      </c>
      <c r="Y30" s="761">
        <v>51</v>
      </c>
      <c r="Z30" s="761">
        <v>69</v>
      </c>
      <c r="AA30" s="766">
        <f t="shared" si="42"/>
        <v>316</v>
      </c>
      <c r="AB30" s="760">
        <v>62</v>
      </c>
      <c r="AC30" s="761">
        <v>66</v>
      </c>
      <c r="AD30" s="761">
        <v>21</v>
      </c>
      <c r="AE30" s="761">
        <v>26</v>
      </c>
      <c r="AF30" s="761">
        <v>7</v>
      </c>
      <c r="AG30" s="761">
        <v>12</v>
      </c>
      <c r="AH30" s="761">
        <v>3</v>
      </c>
      <c r="AI30" s="761">
        <v>9</v>
      </c>
      <c r="AJ30" s="761">
        <v>2</v>
      </c>
      <c r="AK30" s="761">
        <v>40</v>
      </c>
      <c r="AL30" s="761">
        <v>44</v>
      </c>
      <c r="AM30" s="761">
        <v>62</v>
      </c>
      <c r="AN30" s="766">
        <f t="shared" si="43"/>
        <v>354</v>
      </c>
      <c r="AO30" s="760">
        <v>66</v>
      </c>
      <c r="AP30" s="761">
        <v>28</v>
      </c>
      <c r="AQ30" s="761">
        <v>23</v>
      </c>
      <c r="AR30" s="761">
        <v>10</v>
      </c>
      <c r="AS30" s="761">
        <v>6</v>
      </c>
      <c r="AT30" s="761">
        <v>3</v>
      </c>
      <c r="AU30" s="761">
        <v>9</v>
      </c>
      <c r="AV30" s="761">
        <v>11</v>
      </c>
      <c r="AW30" s="761">
        <v>5</v>
      </c>
      <c r="AX30" s="761">
        <v>29</v>
      </c>
      <c r="AY30" s="761">
        <v>70</v>
      </c>
      <c r="AZ30" s="761">
        <v>56</v>
      </c>
      <c r="BA30" s="766">
        <f t="shared" si="44"/>
        <v>316</v>
      </c>
      <c r="BB30" s="760">
        <v>76</v>
      </c>
      <c r="BC30" s="761">
        <v>31</v>
      </c>
      <c r="BD30" s="761">
        <v>26</v>
      </c>
      <c r="BE30" s="761">
        <v>12</v>
      </c>
      <c r="BF30" s="761">
        <v>2</v>
      </c>
      <c r="BG30" s="761"/>
      <c r="BH30" s="761">
        <v>2</v>
      </c>
      <c r="BI30" s="761">
        <v>6</v>
      </c>
      <c r="BJ30" s="761"/>
      <c r="BK30" s="761">
        <v>2</v>
      </c>
      <c r="BL30" s="761">
        <v>12</v>
      </c>
      <c r="BM30" s="761">
        <v>46</v>
      </c>
      <c r="BN30" s="766">
        <f t="shared" si="45"/>
        <v>215</v>
      </c>
      <c r="BO30" s="760">
        <v>22</v>
      </c>
      <c r="BP30" s="761">
        <v>16</v>
      </c>
      <c r="BQ30" s="761">
        <v>3</v>
      </c>
      <c r="BR30" s="761"/>
      <c r="BS30" s="761"/>
      <c r="BT30" s="761">
        <v>1</v>
      </c>
      <c r="BU30" s="761">
        <v>7</v>
      </c>
      <c r="BV30" s="761"/>
      <c r="BW30" s="761">
        <v>1</v>
      </c>
      <c r="BX30" s="761">
        <v>8</v>
      </c>
      <c r="BY30" s="761">
        <v>17</v>
      </c>
      <c r="BZ30" s="761">
        <v>11</v>
      </c>
      <c r="CA30" s="766">
        <f t="shared" si="46"/>
        <v>86</v>
      </c>
      <c r="CB30" s="760">
        <v>26.596699999999998</v>
      </c>
      <c r="CC30" s="761">
        <v>29.445</v>
      </c>
      <c r="CD30" s="761">
        <v>4.46875</v>
      </c>
      <c r="CE30" s="761">
        <v>1.3260000000000001</v>
      </c>
      <c r="CF30" s="761">
        <v>5.9117499999999996</v>
      </c>
      <c r="CG30" s="761">
        <v>3.2824999999999998</v>
      </c>
      <c r="CH30" s="761">
        <v>15.649999999999999</v>
      </c>
      <c r="CI30" s="761">
        <v>11.120000000000001</v>
      </c>
      <c r="CJ30" s="761">
        <v>10.530000000000001</v>
      </c>
      <c r="CK30" s="761">
        <v>6.669999999999999</v>
      </c>
      <c r="CL30" s="761">
        <v>11.08</v>
      </c>
      <c r="CM30" s="761">
        <v>5.1499999999999995</v>
      </c>
      <c r="CN30" s="766">
        <f t="shared" si="47"/>
        <v>131.23070000000001</v>
      </c>
      <c r="CO30" s="760">
        <v>26.7487195</v>
      </c>
      <c r="CP30" s="761">
        <v>37.808799999999998</v>
      </c>
      <c r="CQ30" s="761">
        <v>25.335299999999997</v>
      </c>
      <c r="CR30" s="761">
        <v>16.282499999999999</v>
      </c>
      <c r="CS30" s="761">
        <v>4.1483000000000008</v>
      </c>
      <c r="CT30" s="761">
        <v>2.2489999999999997</v>
      </c>
      <c r="CU30" s="761">
        <v>1.716</v>
      </c>
      <c r="CV30" s="761">
        <v>8.1054999999999993</v>
      </c>
      <c r="CW30" s="761">
        <v>1.4690000000000001</v>
      </c>
      <c r="CX30" s="761">
        <v>7.2605000000000004</v>
      </c>
      <c r="CY30" s="761">
        <v>22.655750000000001</v>
      </c>
      <c r="CZ30" s="761">
        <v>34.007999999999996</v>
      </c>
      <c r="DA30" s="766">
        <f t="shared" si="48"/>
        <v>187.78736950000001</v>
      </c>
      <c r="DB30" s="760">
        <v>46.692100000000003</v>
      </c>
      <c r="DC30" s="761">
        <v>17.968599999999999</v>
      </c>
      <c r="DD30" s="761">
        <v>32.877000000000002</v>
      </c>
      <c r="DE30" s="761">
        <v>25.850500000000004</v>
      </c>
      <c r="DF30" s="761">
        <v>22.3171</v>
      </c>
      <c r="DG30" s="761">
        <v>10.9655</v>
      </c>
      <c r="DH30" s="761">
        <v>12.057499999999999</v>
      </c>
      <c r="DI30" s="761">
        <v>13.598000000000001</v>
      </c>
      <c r="DJ30" s="761">
        <v>11.465999999999999</v>
      </c>
      <c r="DK30" s="761">
        <v>20.813000000000002</v>
      </c>
      <c r="DL30" s="761">
        <v>27.976000000000003</v>
      </c>
      <c r="DM30" s="761">
        <v>18.59</v>
      </c>
      <c r="DN30" s="766">
        <f t="shared" si="49"/>
        <v>261.17130000000003</v>
      </c>
      <c r="DO30" s="760">
        <v>25.61</v>
      </c>
      <c r="DP30" s="761">
        <v>32.455999999999996</v>
      </c>
      <c r="DQ30" s="761">
        <v>11.54</v>
      </c>
      <c r="DR30" s="761">
        <v>6.1</v>
      </c>
      <c r="DS30" s="761">
        <v>3.6509999999999998</v>
      </c>
      <c r="DT30" s="761">
        <v>1</v>
      </c>
      <c r="DU30" s="761">
        <v>2.62</v>
      </c>
      <c r="DV30" s="761">
        <v>1.54</v>
      </c>
      <c r="DW30" s="761">
        <v>11.077</v>
      </c>
      <c r="DX30" s="761">
        <v>39.679000000000002</v>
      </c>
      <c r="DY30" s="761">
        <v>28.662000000000003</v>
      </c>
      <c r="DZ30" s="761">
        <v>45.910000000000004</v>
      </c>
      <c r="EA30" s="766">
        <f t="shared" si="50"/>
        <v>209.845</v>
      </c>
      <c r="EB30" s="760">
        <v>39.030999999999999</v>
      </c>
      <c r="EC30" s="761">
        <v>21.081</v>
      </c>
      <c r="ED30" s="761">
        <v>8.3710000000000004</v>
      </c>
      <c r="EE30" s="761">
        <v>5.8</v>
      </c>
      <c r="EF30" s="761">
        <v>20.663</v>
      </c>
      <c r="EG30" s="761">
        <v>0.1</v>
      </c>
      <c r="EH30" s="761"/>
      <c r="EI30" s="761"/>
      <c r="EJ30" s="761">
        <v>0.32</v>
      </c>
      <c r="EK30" s="761">
        <v>14.783999999999999</v>
      </c>
      <c r="EL30" s="761">
        <v>36.293999999999997</v>
      </c>
      <c r="EM30" s="761">
        <v>17.773</v>
      </c>
      <c r="EN30" s="766">
        <f t="shared" si="51"/>
        <v>164.21699999999996</v>
      </c>
      <c r="EO30" s="760">
        <v>18.462499999999999</v>
      </c>
      <c r="EP30" s="761">
        <v>6.6499999999999995</v>
      </c>
      <c r="EQ30" s="761">
        <v>9.3689999999999998</v>
      </c>
      <c r="ER30" s="761">
        <v>10.946</v>
      </c>
      <c r="ES30" s="761"/>
      <c r="ET30" s="761"/>
      <c r="EU30" s="761"/>
      <c r="EV30" s="761"/>
      <c r="EW30" s="761"/>
      <c r="EX30" s="761"/>
      <c r="EY30" s="761"/>
      <c r="EZ30" s="761"/>
      <c r="FA30" s="766">
        <f t="shared" si="52"/>
        <v>45.427499999999995</v>
      </c>
      <c r="FC30" s="549">
        <f t="shared" si="53"/>
        <v>11.922112053518097</v>
      </c>
      <c r="FD30" s="550">
        <f t="shared" si="54"/>
        <v>-49.649548063022941</v>
      </c>
      <c r="FE30" s="551">
        <f t="shared" si="55"/>
        <v>68.48299999999999</v>
      </c>
      <c r="FF30" s="552">
        <f t="shared" si="56"/>
        <v>34.481499999999997</v>
      </c>
      <c r="FH30" s="917" t="s">
        <v>669</v>
      </c>
      <c r="FI30" s="920" t="str">
        <f t="shared" si="20"/>
        <v>OK</v>
      </c>
    </row>
    <row r="31" spans="1:165" ht="15" customHeight="1" x14ac:dyDescent="0.25">
      <c r="A31" s="349" t="s">
        <v>30</v>
      </c>
      <c r="B31" s="760">
        <v>4</v>
      </c>
      <c r="C31" s="761">
        <v>2</v>
      </c>
      <c r="D31" s="761">
        <v>3</v>
      </c>
      <c r="E31" s="761">
        <v>4</v>
      </c>
      <c r="F31" s="761">
        <v>5</v>
      </c>
      <c r="G31" s="761">
        <v>10</v>
      </c>
      <c r="H31" s="761">
        <v>8</v>
      </c>
      <c r="I31" s="761">
        <v>17</v>
      </c>
      <c r="J31" s="761">
        <v>19</v>
      </c>
      <c r="K31" s="761">
        <v>2</v>
      </c>
      <c r="L31" s="761">
        <v>9</v>
      </c>
      <c r="M31" s="761">
        <v>6</v>
      </c>
      <c r="N31" s="766">
        <f t="shared" si="41"/>
        <v>89</v>
      </c>
      <c r="O31" s="760">
        <v>5</v>
      </c>
      <c r="P31" s="761">
        <v>1</v>
      </c>
      <c r="Q31" s="761">
        <v>1</v>
      </c>
      <c r="R31" s="761">
        <v>2</v>
      </c>
      <c r="S31" s="761">
        <v>2</v>
      </c>
      <c r="T31" s="761">
        <v>8</v>
      </c>
      <c r="U31" s="761">
        <v>5</v>
      </c>
      <c r="V31" s="761">
        <v>9</v>
      </c>
      <c r="W31" s="761">
        <v>9</v>
      </c>
      <c r="X31" s="761">
        <v>4</v>
      </c>
      <c r="Y31" s="761">
        <v>3</v>
      </c>
      <c r="Z31" s="761">
        <v>4</v>
      </c>
      <c r="AA31" s="766">
        <f t="shared" si="42"/>
        <v>53</v>
      </c>
      <c r="AB31" s="760">
        <v>7</v>
      </c>
      <c r="AC31" s="761">
        <v>5</v>
      </c>
      <c r="AD31" s="761">
        <v>3</v>
      </c>
      <c r="AE31" s="761">
        <v>2</v>
      </c>
      <c r="AF31" s="761">
        <v>6</v>
      </c>
      <c r="AG31" s="761">
        <v>20</v>
      </c>
      <c r="AH31" s="761">
        <v>8</v>
      </c>
      <c r="AI31" s="761">
        <v>37</v>
      </c>
      <c r="AJ31" s="761">
        <v>6</v>
      </c>
      <c r="AK31" s="761">
        <v>4</v>
      </c>
      <c r="AL31" s="761">
        <v>8</v>
      </c>
      <c r="AM31" s="761">
        <v>8</v>
      </c>
      <c r="AN31" s="766">
        <f t="shared" si="43"/>
        <v>114</v>
      </c>
      <c r="AO31" s="760">
        <v>2</v>
      </c>
      <c r="AP31" s="761">
        <v>1</v>
      </c>
      <c r="AQ31" s="761">
        <v>4</v>
      </c>
      <c r="AR31" s="761">
        <v>2</v>
      </c>
      <c r="AS31" s="761">
        <v>5</v>
      </c>
      <c r="AT31" s="761">
        <v>13</v>
      </c>
      <c r="AU31" s="761">
        <v>9</v>
      </c>
      <c r="AV31" s="761">
        <v>6</v>
      </c>
      <c r="AW31" s="761">
        <v>4</v>
      </c>
      <c r="AX31" s="761">
        <v>4</v>
      </c>
      <c r="AY31" s="761">
        <v>4</v>
      </c>
      <c r="AZ31" s="761">
        <v>4</v>
      </c>
      <c r="BA31" s="766">
        <f t="shared" si="44"/>
        <v>58</v>
      </c>
      <c r="BB31" s="760">
        <v>3</v>
      </c>
      <c r="BC31" s="761">
        <v>4</v>
      </c>
      <c r="BD31" s="761">
        <v>1</v>
      </c>
      <c r="BE31" s="761">
        <v>3</v>
      </c>
      <c r="BF31" s="761">
        <v>7</v>
      </c>
      <c r="BG31" s="761">
        <v>9</v>
      </c>
      <c r="BH31" s="761">
        <v>7</v>
      </c>
      <c r="BI31" s="761">
        <v>12</v>
      </c>
      <c r="BJ31" s="761">
        <v>11</v>
      </c>
      <c r="BK31" s="761">
        <v>2</v>
      </c>
      <c r="BL31" s="761">
        <v>3</v>
      </c>
      <c r="BM31" s="761">
        <v>3</v>
      </c>
      <c r="BN31" s="766">
        <f t="shared" si="45"/>
        <v>65</v>
      </c>
      <c r="BO31" s="760">
        <v>2</v>
      </c>
      <c r="BP31" s="761"/>
      <c r="BQ31" s="761"/>
      <c r="BR31" s="761"/>
      <c r="BS31" s="761"/>
      <c r="BT31" s="761">
        <v>2</v>
      </c>
      <c r="BU31" s="761">
        <v>3</v>
      </c>
      <c r="BV31" s="761">
        <v>4</v>
      </c>
      <c r="BW31" s="761">
        <v>1</v>
      </c>
      <c r="BX31" s="761">
        <v>1</v>
      </c>
      <c r="BY31" s="761">
        <v>1</v>
      </c>
      <c r="BZ31" s="761">
        <v>2</v>
      </c>
      <c r="CA31" s="766">
        <f t="shared" si="46"/>
        <v>16</v>
      </c>
      <c r="CB31" s="760">
        <v>4.16</v>
      </c>
      <c r="CC31" s="761">
        <v>1.17</v>
      </c>
      <c r="CD31" s="761">
        <v>1.16025</v>
      </c>
      <c r="CE31" s="761">
        <v>3.6237499999999998</v>
      </c>
      <c r="CF31" s="761">
        <v>2.5330500000000002</v>
      </c>
      <c r="CG31" s="761">
        <v>9.8475000000000001</v>
      </c>
      <c r="CH31" s="761">
        <v>5.01</v>
      </c>
      <c r="CI31" s="761">
        <v>2.74</v>
      </c>
      <c r="CJ31" s="761">
        <v>3.75</v>
      </c>
      <c r="CK31" s="761">
        <v>0.4</v>
      </c>
      <c r="CL31" s="761">
        <v>0.65999999999999992</v>
      </c>
      <c r="CM31" s="761">
        <v>0.12</v>
      </c>
      <c r="CN31" s="766">
        <f t="shared" si="47"/>
        <v>35.174549999999996</v>
      </c>
      <c r="CO31" s="760">
        <v>4.1598000000000006</v>
      </c>
      <c r="CP31" s="761">
        <v>4.2292000000000005</v>
      </c>
      <c r="CQ31" s="761">
        <v>4.7684999999999995</v>
      </c>
      <c r="CR31" s="761">
        <v>2.8925000000000001</v>
      </c>
      <c r="CS31" s="761">
        <v>6.5357500000000002</v>
      </c>
      <c r="CT31" s="761">
        <v>8.9440000000000008</v>
      </c>
      <c r="CU31" s="761">
        <v>6.2074999999999996</v>
      </c>
      <c r="CV31" s="761">
        <v>11.9795</v>
      </c>
      <c r="CW31" s="761">
        <v>10.399999999999999</v>
      </c>
      <c r="CX31" s="761">
        <v>2.75535</v>
      </c>
      <c r="CY31" s="761">
        <v>5.1220000000000008</v>
      </c>
      <c r="CZ31" s="761">
        <v>2.2424999999999997</v>
      </c>
      <c r="DA31" s="766">
        <f t="shared" si="48"/>
        <v>70.23660000000001</v>
      </c>
      <c r="DB31" s="760">
        <v>2.4049999999999998</v>
      </c>
      <c r="DC31" s="761">
        <v>3.0497999999999998</v>
      </c>
      <c r="DD31" s="761">
        <v>0.41535</v>
      </c>
      <c r="DE31" s="761">
        <v>1.8199999999999998</v>
      </c>
      <c r="DF31" s="761">
        <v>3.07125</v>
      </c>
      <c r="DG31" s="761">
        <v>6.5324999999999998</v>
      </c>
      <c r="DH31" s="761">
        <v>3.9325000000000001</v>
      </c>
      <c r="DI31" s="761">
        <v>4.0105000000000004</v>
      </c>
      <c r="DJ31" s="761">
        <v>2.665</v>
      </c>
      <c r="DK31" s="761">
        <v>2.6845000000000003</v>
      </c>
      <c r="DL31" s="761">
        <v>10.1335</v>
      </c>
      <c r="DM31" s="761">
        <v>0.65</v>
      </c>
      <c r="DN31" s="766">
        <f t="shared" si="49"/>
        <v>41.369899999999994</v>
      </c>
      <c r="DO31" s="760">
        <v>0.18</v>
      </c>
      <c r="DP31" s="761">
        <v>0.22</v>
      </c>
      <c r="DQ31" s="761">
        <v>0.27600000000000002</v>
      </c>
      <c r="DR31" s="761">
        <v>1.365</v>
      </c>
      <c r="DS31" s="761"/>
      <c r="DT31" s="761">
        <v>5.173</v>
      </c>
      <c r="DU31" s="761">
        <v>1.4240000000000002</v>
      </c>
      <c r="DV31" s="761">
        <v>0.96399999999999997</v>
      </c>
      <c r="DW31" s="761">
        <v>1.33</v>
      </c>
      <c r="DX31" s="761">
        <v>0.47299999999999998</v>
      </c>
      <c r="DY31" s="761">
        <v>0.12</v>
      </c>
      <c r="DZ31" s="761">
        <v>0.62</v>
      </c>
      <c r="EA31" s="766">
        <f t="shared" si="50"/>
        <v>12.145</v>
      </c>
      <c r="EB31" s="760">
        <v>0.371</v>
      </c>
      <c r="EC31" s="761">
        <v>7.8E-2</v>
      </c>
      <c r="ED31" s="761">
        <v>2.8000000000000001E-2</v>
      </c>
      <c r="EE31" s="761">
        <v>0.32</v>
      </c>
      <c r="EF31" s="761">
        <v>0.96899999999999997</v>
      </c>
      <c r="EG31" s="761">
        <v>1.7749999999999999</v>
      </c>
      <c r="EH31" s="761">
        <v>6.2090000000000005</v>
      </c>
      <c r="EI31" s="761">
        <v>0.58699999999999997</v>
      </c>
      <c r="EJ31" s="761">
        <v>0.41</v>
      </c>
      <c r="EK31" s="761">
        <v>0.25</v>
      </c>
      <c r="EL31" s="761">
        <v>0.46399999999999997</v>
      </c>
      <c r="EM31" s="761">
        <v>0.05</v>
      </c>
      <c r="EN31" s="766">
        <f t="shared" si="51"/>
        <v>11.511000000000001</v>
      </c>
      <c r="EO31" s="760">
        <v>0.55437500000000006</v>
      </c>
      <c r="EP31" s="761">
        <v>0.03</v>
      </c>
      <c r="EQ31" s="761">
        <v>0.1</v>
      </c>
      <c r="ER31" s="761">
        <v>3.052</v>
      </c>
      <c r="ES31" s="761"/>
      <c r="ET31" s="761"/>
      <c r="EU31" s="761"/>
      <c r="EV31" s="761"/>
      <c r="EW31" s="761"/>
      <c r="EX31" s="761"/>
      <c r="EY31" s="761"/>
      <c r="EZ31" s="761"/>
      <c r="FA31" s="766">
        <f t="shared" si="52"/>
        <v>3.7363750000000002</v>
      </c>
      <c r="FC31" s="549">
        <f t="shared" si="53"/>
        <v>257.14285714285717</v>
      </c>
      <c r="FD31" s="550">
        <f t="shared" si="54"/>
        <v>43.474842767295605</v>
      </c>
      <c r="FE31" s="551">
        <f t="shared" si="55"/>
        <v>0.47700000000000004</v>
      </c>
      <c r="FF31" s="552">
        <f t="shared" si="56"/>
        <v>0.68437500000000007</v>
      </c>
      <c r="FH31" s="917" t="s">
        <v>30</v>
      </c>
      <c r="FI31" s="920" t="str">
        <f t="shared" si="20"/>
        <v>OK</v>
      </c>
    </row>
    <row r="32" spans="1:165" ht="15" customHeight="1" x14ac:dyDescent="0.25">
      <c r="A32" s="349" t="s">
        <v>31</v>
      </c>
      <c r="B32" s="760"/>
      <c r="C32" s="761"/>
      <c r="D32" s="761"/>
      <c r="E32" s="761"/>
      <c r="F32" s="761"/>
      <c r="G32" s="761"/>
      <c r="H32" s="761"/>
      <c r="I32" s="761"/>
      <c r="J32" s="761"/>
      <c r="K32" s="761"/>
      <c r="L32" s="761">
        <v>3</v>
      </c>
      <c r="M32" s="761">
        <v>1</v>
      </c>
      <c r="N32" s="766">
        <f t="shared" si="41"/>
        <v>4</v>
      </c>
      <c r="O32" s="760"/>
      <c r="P32" s="761"/>
      <c r="Q32" s="761"/>
      <c r="R32" s="761"/>
      <c r="S32" s="761">
        <v>1</v>
      </c>
      <c r="T32" s="761"/>
      <c r="U32" s="761"/>
      <c r="V32" s="761"/>
      <c r="W32" s="761"/>
      <c r="X32" s="761"/>
      <c r="Y32" s="761"/>
      <c r="Z32" s="761">
        <v>19</v>
      </c>
      <c r="AA32" s="766">
        <f t="shared" si="42"/>
        <v>20</v>
      </c>
      <c r="AB32" s="760"/>
      <c r="AC32" s="761"/>
      <c r="AD32" s="761"/>
      <c r="AE32" s="761">
        <v>1</v>
      </c>
      <c r="AF32" s="761"/>
      <c r="AG32" s="761"/>
      <c r="AH32" s="761"/>
      <c r="AI32" s="761"/>
      <c r="AJ32" s="761"/>
      <c r="AK32" s="761"/>
      <c r="AL32" s="761"/>
      <c r="AM32" s="761">
        <v>19</v>
      </c>
      <c r="AN32" s="766">
        <f t="shared" si="43"/>
        <v>20</v>
      </c>
      <c r="AO32" s="760"/>
      <c r="AP32" s="761"/>
      <c r="AQ32" s="761"/>
      <c r="AR32" s="761"/>
      <c r="AS32" s="761"/>
      <c r="AT32" s="761"/>
      <c r="AU32" s="761"/>
      <c r="AV32" s="761"/>
      <c r="AW32" s="761"/>
      <c r="AX32" s="761"/>
      <c r="AY32" s="761"/>
      <c r="AZ32" s="761">
        <v>1</v>
      </c>
      <c r="BA32" s="766">
        <f t="shared" si="44"/>
        <v>1</v>
      </c>
      <c r="BB32" s="760"/>
      <c r="BC32" s="761"/>
      <c r="BD32" s="761"/>
      <c r="BE32" s="761"/>
      <c r="BF32" s="761"/>
      <c r="BG32" s="761"/>
      <c r="BH32" s="761"/>
      <c r="BI32" s="761"/>
      <c r="BJ32" s="761"/>
      <c r="BK32" s="761"/>
      <c r="BL32" s="761">
        <v>5</v>
      </c>
      <c r="BM32" s="761"/>
      <c r="BN32" s="766">
        <f t="shared" si="45"/>
        <v>5</v>
      </c>
      <c r="BO32" s="760">
        <v>2</v>
      </c>
      <c r="BP32" s="761"/>
      <c r="BQ32" s="761"/>
      <c r="BR32" s="761"/>
      <c r="BS32" s="761"/>
      <c r="BT32" s="761"/>
      <c r="BU32" s="761"/>
      <c r="BV32" s="761">
        <v>3</v>
      </c>
      <c r="BW32" s="761"/>
      <c r="BX32" s="761"/>
      <c r="BY32" s="761"/>
      <c r="BZ32" s="761"/>
      <c r="CA32" s="766">
        <f t="shared" si="46"/>
        <v>5</v>
      </c>
      <c r="CB32" s="760">
        <v>0.26</v>
      </c>
      <c r="CC32" s="761"/>
      <c r="CD32" s="761"/>
      <c r="CE32" s="761">
        <v>0.97499999999999998</v>
      </c>
      <c r="CF32" s="761"/>
      <c r="CG32" s="761"/>
      <c r="CH32" s="761"/>
      <c r="CI32" s="761"/>
      <c r="CJ32" s="761"/>
      <c r="CK32" s="761"/>
      <c r="CL32" s="761"/>
      <c r="CM32" s="761"/>
      <c r="CN32" s="766">
        <f t="shared" si="47"/>
        <v>1.2349999999999999</v>
      </c>
      <c r="CO32" s="760">
        <v>0.32890000000000003</v>
      </c>
      <c r="CP32" s="761">
        <v>1.2</v>
      </c>
      <c r="CQ32" s="761">
        <v>0.5</v>
      </c>
      <c r="CR32" s="761"/>
      <c r="CS32" s="761"/>
      <c r="CT32" s="761"/>
      <c r="CU32" s="761"/>
      <c r="CV32" s="761">
        <v>5.1999999999999998E-2</v>
      </c>
      <c r="CW32" s="761">
        <v>6.5000000000000002E-2</v>
      </c>
      <c r="CX32" s="761">
        <v>0.29899999999999999</v>
      </c>
      <c r="CY32" s="761">
        <v>0.39</v>
      </c>
      <c r="CZ32" s="761">
        <v>0.26</v>
      </c>
      <c r="DA32" s="766">
        <f t="shared" si="48"/>
        <v>3.0949</v>
      </c>
      <c r="DB32" s="760">
        <v>0.19500000000000001</v>
      </c>
      <c r="DC32" s="761"/>
      <c r="DD32" s="761"/>
      <c r="DE32" s="761">
        <v>6.5000000000000002E-2</v>
      </c>
      <c r="DF32" s="761"/>
      <c r="DG32" s="761"/>
      <c r="DH32" s="761"/>
      <c r="DI32" s="761"/>
      <c r="DJ32" s="761">
        <v>0.26</v>
      </c>
      <c r="DK32" s="761">
        <v>0.13</v>
      </c>
      <c r="DL32" s="761">
        <v>0.26</v>
      </c>
      <c r="DM32" s="761"/>
      <c r="DN32" s="766">
        <f t="shared" si="49"/>
        <v>0.91</v>
      </c>
      <c r="DO32" s="760"/>
      <c r="DP32" s="761">
        <v>0.05</v>
      </c>
      <c r="DQ32" s="761"/>
      <c r="DR32" s="761"/>
      <c r="DS32" s="761">
        <v>3.6</v>
      </c>
      <c r="DT32" s="761"/>
      <c r="DU32" s="761">
        <v>0.31</v>
      </c>
      <c r="DV32" s="761">
        <v>6.2709999999999999</v>
      </c>
      <c r="DW32" s="761">
        <v>25.7</v>
      </c>
      <c r="DX32" s="761">
        <v>222.851</v>
      </c>
      <c r="DY32" s="761">
        <v>163.166</v>
      </c>
      <c r="DZ32" s="761">
        <v>26.922000000000001</v>
      </c>
      <c r="EA32" s="766">
        <f t="shared" si="50"/>
        <v>448.87</v>
      </c>
      <c r="EB32" s="760">
        <v>5.1020000000000003</v>
      </c>
      <c r="EC32" s="761">
        <v>1.8</v>
      </c>
      <c r="ED32" s="761">
        <v>1.294</v>
      </c>
      <c r="EE32" s="761">
        <v>9.14</v>
      </c>
      <c r="EF32" s="761">
        <v>5.2619999999999996</v>
      </c>
      <c r="EG32" s="761">
        <v>1.24</v>
      </c>
      <c r="EH32" s="761">
        <v>6.1659999999999995</v>
      </c>
      <c r="EI32" s="761">
        <v>5.641</v>
      </c>
      <c r="EJ32" s="761">
        <v>1.702</v>
      </c>
      <c r="EK32" s="761">
        <v>25.696999999999999</v>
      </c>
      <c r="EL32" s="761">
        <v>49.003999999999998</v>
      </c>
      <c r="EM32" s="761">
        <v>64.521000000000001</v>
      </c>
      <c r="EN32" s="766">
        <f t="shared" si="51"/>
        <v>176.56900000000002</v>
      </c>
      <c r="EO32" s="760">
        <v>7.1000000000000005</v>
      </c>
      <c r="EP32" s="761">
        <v>2.234</v>
      </c>
      <c r="EQ32" s="761">
        <v>1.294</v>
      </c>
      <c r="ER32" s="761">
        <v>0.46</v>
      </c>
      <c r="ES32" s="761"/>
      <c r="ET32" s="761"/>
      <c r="EU32" s="761"/>
      <c r="EV32" s="761"/>
      <c r="EW32" s="761"/>
      <c r="EX32" s="761"/>
      <c r="EY32" s="761"/>
      <c r="EZ32" s="761"/>
      <c r="FA32" s="766">
        <f t="shared" si="52"/>
        <v>11.088000000000001</v>
      </c>
      <c r="FC32" s="549">
        <f t="shared" si="53"/>
        <v>0</v>
      </c>
      <c r="FD32" s="550">
        <f t="shared" si="54"/>
        <v>29.6730112249878</v>
      </c>
      <c r="FE32" s="551">
        <f t="shared" si="55"/>
        <v>8.1959999999999997</v>
      </c>
      <c r="FF32" s="552">
        <f t="shared" si="56"/>
        <v>10.628</v>
      </c>
      <c r="FH32" s="917" t="s">
        <v>31</v>
      </c>
      <c r="FI32" s="920" t="str">
        <f t="shared" si="20"/>
        <v>OK</v>
      </c>
    </row>
    <row r="33" spans="1:165" ht="15" customHeight="1" x14ac:dyDescent="0.25">
      <c r="A33" s="349" t="s">
        <v>32</v>
      </c>
      <c r="B33" s="760">
        <v>9</v>
      </c>
      <c r="C33" s="761">
        <v>10</v>
      </c>
      <c r="D33" s="761">
        <v>9</v>
      </c>
      <c r="E33" s="761">
        <v>11</v>
      </c>
      <c r="F33" s="761">
        <v>14</v>
      </c>
      <c r="G33" s="761">
        <v>8</v>
      </c>
      <c r="H33" s="761">
        <v>5</v>
      </c>
      <c r="I33" s="761">
        <v>10</v>
      </c>
      <c r="J33" s="761">
        <v>13</v>
      </c>
      <c r="K33" s="761">
        <v>21</v>
      </c>
      <c r="L33" s="761">
        <v>18</v>
      </c>
      <c r="M33" s="761">
        <v>21</v>
      </c>
      <c r="N33" s="766">
        <f t="shared" si="41"/>
        <v>149</v>
      </c>
      <c r="O33" s="760">
        <v>10</v>
      </c>
      <c r="P33" s="761">
        <v>10</v>
      </c>
      <c r="Q33" s="761">
        <v>7</v>
      </c>
      <c r="R33" s="761">
        <v>5</v>
      </c>
      <c r="S33" s="761">
        <v>5</v>
      </c>
      <c r="T33" s="761">
        <v>7</v>
      </c>
      <c r="U33" s="761">
        <v>7</v>
      </c>
      <c r="V33" s="761">
        <v>25</v>
      </c>
      <c r="W33" s="761">
        <v>16</v>
      </c>
      <c r="X33" s="761">
        <v>20</v>
      </c>
      <c r="Y33" s="761">
        <v>21</v>
      </c>
      <c r="Z33" s="761">
        <v>8</v>
      </c>
      <c r="AA33" s="766">
        <f t="shared" si="42"/>
        <v>141</v>
      </c>
      <c r="AB33" s="760">
        <v>14</v>
      </c>
      <c r="AC33" s="761">
        <v>9</v>
      </c>
      <c r="AD33" s="761">
        <v>8</v>
      </c>
      <c r="AE33" s="761">
        <v>8</v>
      </c>
      <c r="AF33" s="761">
        <v>4</v>
      </c>
      <c r="AG33" s="761">
        <v>7</v>
      </c>
      <c r="AH33" s="761">
        <v>20</v>
      </c>
      <c r="AI33" s="761">
        <v>26</v>
      </c>
      <c r="AJ33" s="761">
        <v>26</v>
      </c>
      <c r="AK33" s="761">
        <v>28</v>
      </c>
      <c r="AL33" s="761">
        <v>16</v>
      </c>
      <c r="AM33" s="761">
        <v>19</v>
      </c>
      <c r="AN33" s="766">
        <f t="shared" si="43"/>
        <v>185</v>
      </c>
      <c r="AO33" s="760">
        <v>4</v>
      </c>
      <c r="AP33" s="761">
        <v>7</v>
      </c>
      <c r="AQ33" s="761">
        <v>6</v>
      </c>
      <c r="AR33" s="761">
        <v>9</v>
      </c>
      <c r="AS33" s="761">
        <v>12</v>
      </c>
      <c r="AT33" s="761">
        <v>17</v>
      </c>
      <c r="AU33" s="761">
        <v>7</v>
      </c>
      <c r="AV33" s="761">
        <v>26</v>
      </c>
      <c r="AW33" s="761">
        <v>24</v>
      </c>
      <c r="AX33" s="761">
        <v>30</v>
      </c>
      <c r="AY33" s="761">
        <v>13</v>
      </c>
      <c r="AZ33" s="761">
        <v>8</v>
      </c>
      <c r="BA33" s="766">
        <f t="shared" si="44"/>
        <v>163</v>
      </c>
      <c r="BB33" s="760">
        <v>6</v>
      </c>
      <c r="BC33" s="761">
        <v>10</v>
      </c>
      <c r="BD33" s="761">
        <v>5</v>
      </c>
      <c r="BE33" s="761">
        <v>5</v>
      </c>
      <c r="BF33" s="761">
        <v>7</v>
      </c>
      <c r="BG33" s="761">
        <v>6</v>
      </c>
      <c r="BH33" s="761">
        <v>8</v>
      </c>
      <c r="BI33" s="761">
        <v>11</v>
      </c>
      <c r="BJ33" s="761">
        <v>15</v>
      </c>
      <c r="BK33" s="761">
        <v>22</v>
      </c>
      <c r="BL33" s="761">
        <v>22</v>
      </c>
      <c r="BM33" s="761">
        <v>19</v>
      </c>
      <c r="BN33" s="766">
        <f t="shared" si="45"/>
        <v>136</v>
      </c>
      <c r="BO33" s="760">
        <v>8</v>
      </c>
      <c r="BP33" s="761">
        <v>14</v>
      </c>
      <c r="BQ33" s="761">
        <v>2</v>
      </c>
      <c r="BR33" s="761">
        <v>1</v>
      </c>
      <c r="BS33" s="761"/>
      <c r="BT33" s="761">
        <v>2</v>
      </c>
      <c r="BU33" s="761">
        <v>7</v>
      </c>
      <c r="BV33" s="761">
        <v>5</v>
      </c>
      <c r="BW33" s="761">
        <v>8</v>
      </c>
      <c r="BX33" s="761">
        <v>8</v>
      </c>
      <c r="BY33" s="761">
        <v>10</v>
      </c>
      <c r="BZ33" s="761">
        <v>7</v>
      </c>
      <c r="CA33" s="766">
        <f t="shared" si="46"/>
        <v>72</v>
      </c>
      <c r="CB33" s="760">
        <v>3.9130000000000003</v>
      </c>
      <c r="CC33" s="761">
        <v>2.4049999999999998</v>
      </c>
      <c r="CD33" s="761">
        <v>1.3650000000000002</v>
      </c>
      <c r="CE33" s="761">
        <v>2.7235</v>
      </c>
      <c r="CF33" s="761">
        <v>4.5142500000000005</v>
      </c>
      <c r="CG33" s="761">
        <v>5.8142499999999995</v>
      </c>
      <c r="CH33" s="761">
        <v>10.32</v>
      </c>
      <c r="CI33" s="761">
        <v>8.92</v>
      </c>
      <c r="CJ33" s="761">
        <v>4.41</v>
      </c>
      <c r="CK33" s="761">
        <v>7.05</v>
      </c>
      <c r="CL33" s="761">
        <v>4.93</v>
      </c>
      <c r="CM33" s="761">
        <v>58.3</v>
      </c>
      <c r="CN33" s="766">
        <f t="shared" si="47"/>
        <v>114.66499999999999</v>
      </c>
      <c r="CO33" s="760">
        <v>4.4584000000000001</v>
      </c>
      <c r="CP33" s="761">
        <v>4.9496000000000002</v>
      </c>
      <c r="CQ33" s="761">
        <v>7.5999000000000008</v>
      </c>
      <c r="CR33" s="761">
        <v>7.4749999999999996</v>
      </c>
      <c r="CS33" s="761">
        <v>6.2075000000000005</v>
      </c>
      <c r="CT33" s="761">
        <v>4.9984999999999999</v>
      </c>
      <c r="CU33" s="761">
        <v>4.6604999999999999</v>
      </c>
      <c r="CV33" s="761">
        <v>11.986000000000001</v>
      </c>
      <c r="CW33" s="761">
        <v>12.649000000000001</v>
      </c>
      <c r="CX33" s="761">
        <v>12.0185</v>
      </c>
      <c r="CY33" s="761">
        <v>10.842000000000001</v>
      </c>
      <c r="CZ33" s="761">
        <v>11.036999999999999</v>
      </c>
      <c r="DA33" s="766">
        <f t="shared" si="48"/>
        <v>98.881900000000002</v>
      </c>
      <c r="DB33" s="760">
        <v>11.116299999999999</v>
      </c>
      <c r="DC33" s="761">
        <v>6.8965000000000005</v>
      </c>
      <c r="DD33" s="761">
        <v>11.6974</v>
      </c>
      <c r="DE33" s="761">
        <v>6.3959999999999999</v>
      </c>
      <c r="DF33" s="761">
        <v>16.7895</v>
      </c>
      <c r="DG33" s="761">
        <v>6.0125000000000002</v>
      </c>
      <c r="DH33" s="761">
        <v>37.946999999999996</v>
      </c>
      <c r="DI33" s="761">
        <v>11.010999999999999</v>
      </c>
      <c r="DJ33" s="761">
        <v>23.237499999999997</v>
      </c>
      <c r="DK33" s="761">
        <v>18.586750000000002</v>
      </c>
      <c r="DL33" s="761">
        <v>52.558999999999997</v>
      </c>
      <c r="DM33" s="761">
        <v>5.2</v>
      </c>
      <c r="DN33" s="766">
        <f t="shared" si="49"/>
        <v>207.44944999999998</v>
      </c>
      <c r="DO33" s="760">
        <v>3.5</v>
      </c>
      <c r="DP33" s="761">
        <v>1.55</v>
      </c>
      <c r="DQ33" s="761">
        <v>0.27500000000000002</v>
      </c>
      <c r="DR33" s="761">
        <v>3.3409999999999997</v>
      </c>
      <c r="DS33" s="761">
        <v>2.5190000000000001</v>
      </c>
      <c r="DT33" s="761">
        <v>6.6970000000000001</v>
      </c>
      <c r="DU33" s="761">
        <v>3.282</v>
      </c>
      <c r="DV33" s="761">
        <v>0.44700000000000001</v>
      </c>
      <c r="DW33" s="761">
        <v>5.9329999999999998</v>
      </c>
      <c r="DX33" s="761">
        <v>6.0509999999999993</v>
      </c>
      <c r="DY33" s="761">
        <v>5.1999999999999993</v>
      </c>
      <c r="DZ33" s="761">
        <v>8.1329999999999991</v>
      </c>
      <c r="EA33" s="766">
        <f t="shared" si="50"/>
        <v>46.927999999999997</v>
      </c>
      <c r="EB33" s="760">
        <v>2.5329999999999999</v>
      </c>
      <c r="EC33" s="761">
        <v>1.8</v>
      </c>
      <c r="ED33" s="761">
        <v>0.03</v>
      </c>
      <c r="EE33" s="761">
        <v>7.6</v>
      </c>
      <c r="EF33" s="761">
        <v>2.347</v>
      </c>
      <c r="EG33" s="761">
        <v>0.4</v>
      </c>
      <c r="EH33" s="761">
        <v>3.6</v>
      </c>
      <c r="EI33" s="761">
        <v>0.91200000000000003</v>
      </c>
      <c r="EJ33" s="761">
        <v>7.0000000000000007E-2</v>
      </c>
      <c r="EK33" s="761">
        <v>6.9770000000000003</v>
      </c>
      <c r="EL33" s="761">
        <v>5.9830000000000005</v>
      </c>
      <c r="EM33" s="761">
        <v>4.173</v>
      </c>
      <c r="EN33" s="766">
        <f t="shared" si="51"/>
        <v>36.425000000000004</v>
      </c>
      <c r="EO33" s="760">
        <v>3.7906249999999999</v>
      </c>
      <c r="EP33" s="761">
        <v>0.49249999999999999</v>
      </c>
      <c r="EQ33" s="761">
        <v>1.7110000000000001</v>
      </c>
      <c r="ER33" s="761">
        <v>2.3970000000000002</v>
      </c>
      <c r="ES33" s="761"/>
      <c r="ET33" s="761"/>
      <c r="EU33" s="761"/>
      <c r="EV33" s="761"/>
      <c r="EW33" s="761"/>
      <c r="EX33" s="761"/>
      <c r="EY33" s="761"/>
      <c r="EZ33" s="761"/>
      <c r="FA33" s="766">
        <f t="shared" si="52"/>
        <v>8.3911250000000006</v>
      </c>
      <c r="FC33" s="549">
        <f t="shared" si="53"/>
        <v>5603.3333333333339</v>
      </c>
      <c r="FD33" s="550">
        <f t="shared" si="54"/>
        <v>37.385399954159972</v>
      </c>
      <c r="FE33" s="551">
        <f t="shared" si="55"/>
        <v>4.3630000000000004</v>
      </c>
      <c r="FF33" s="552">
        <f t="shared" si="56"/>
        <v>5.9941250000000004</v>
      </c>
      <c r="FH33" s="917" t="s">
        <v>32</v>
      </c>
      <c r="FI33" s="920" t="str">
        <f t="shared" si="20"/>
        <v>OK</v>
      </c>
    </row>
    <row r="34" spans="1:165" ht="15" customHeight="1" x14ac:dyDescent="0.25">
      <c r="A34" s="349" t="s">
        <v>33</v>
      </c>
      <c r="B34" s="760">
        <v>12</v>
      </c>
      <c r="C34" s="761">
        <v>12</v>
      </c>
      <c r="D34" s="761">
        <v>10</v>
      </c>
      <c r="E34" s="761">
        <v>11</v>
      </c>
      <c r="F34" s="761">
        <v>20</v>
      </c>
      <c r="G34" s="761">
        <v>20</v>
      </c>
      <c r="H34" s="761">
        <v>21</v>
      </c>
      <c r="I34" s="761">
        <v>35</v>
      </c>
      <c r="J34" s="761">
        <v>25</v>
      </c>
      <c r="K34" s="761">
        <v>33</v>
      </c>
      <c r="L34" s="761">
        <v>17</v>
      </c>
      <c r="M34" s="761">
        <v>12</v>
      </c>
      <c r="N34" s="766">
        <f t="shared" si="41"/>
        <v>228</v>
      </c>
      <c r="O34" s="760">
        <v>29</v>
      </c>
      <c r="P34" s="761">
        <v>36</v>
      </c>
      <c r="Q34" s="761">
        <v>12</v>
      </c>
      <c r="R34" s="761">
        <v>7</v>
      </c>
      <c r="S34" s="761">
        <v>22</v>
      </c>
      <c r="T34" s="761">
        <v>29</v>
      </c>
      <c r="U34" s="761">
        <v>14</v>
      </c>
      <c r="V34" s="761">
        <v>24</v>
      </c>
      <c r="W34" s="761">
        <v>24</v>
      </c>
      <c r="X34" s="761">
        <v>16</v>
      </c>
      <c r="Y34" s="761">
        <v>17</v>
      </c>
      <c r="Z34" s="761">
        <v>14</v>
      </c>
      <c r="AA34" s="766">
        <f t="shared" si="42"/>
        <v>244</v>
      </c>
      <c r="AB34" s="760">
        <v>36</v>
      </c>
      <c r="AC34" s="761">
        <v>7</v>
      </c>
      <c r="AD34" s="761">
        <v>9</v>
      </c>
      <c r="AE34" s="761">
        <v>18</v>
      </c>
      <c r="AF34" s="761">
        <v>14</v>
      </c>
      <c r="AG34" s="761">
        <v>22</v>
      </c>
      <c r="AH34" s="761">
        <v>23</v>
      </c>
      <c r="AI34" s="761">
        <v>34</v>
      </c>
      <c r="AJ34" s="761">
        <v>14</v>
      </c>
      <c r="AK34" s="761">
        <v>28</v>
      </c>
      <c r="AL34" s="761">
        <v>20</v>
      </c>
      <c r="AM34" s="761">
        <v>17</v>
      </c>
      <c r="AN34" s="766">
        <f t="shared" si="43"/>
        <v>242</v>
      </c>
      <c r="AO34" s="760">
        <v>8</v>
      </c>
      <c r="AP34" s="761">
        <v>5</v>
      </c>
      <c r="AQ34" s="761">
        <v>12</v>
      </c>
      <c r="AR34" s="761">
        <v>8</v>
      </c>
      <c r="AS34" s="761">
        <v>15</v>
      </c>
      <c r="AT34" s="761">
        <v>24</v>
      </c>
      <c r="AU34" s="761">
        <v>18</v>
      </c>
      <c r="AV34" s="761">
        <v>24</v>
      </c>
      <c r="AW34" s="761">
        <v>12</v>
      </c>
      <c r="AX34" s="761">
        <v>15</v>
      </c>
      <c r="AY34" s="761">
        <v>9</v>
      </c>
      <c r="AZ34" s="761">
        <v>7</v>
      </c>
      <c r="BA34" s="766">
        <f t="shared" si="44"/>
        <v>157</v>
      </c>
      <c r="BB34" s="760">
        <v>9</v>
      </c>
      <c r="BC34" s="761">
        <v>7</v>
      </c>
      <c r="BD34" s="761">
        <v>8</v>
      </c>
      <c r="BE34" s="761">
        <v>5</v>
      </c>
      <c r="BF34" s="761">
        <v>12</v>
      </c>
      <c r="BG34" s="761">
        <v>18</v>
      </c>
      <c r="BH34" s="761">
        <v>19</v>
      </c>
      <c r="BI34" s="761">
        <v>18</v>
      </c>
      <c r="BJ34" s="761">
        <v>23</v>
      </c>
      <c r="BK34" s="761">
        <v>19</v>
      </c>
      <c r="BL34" s="761">
        <v>23</v>
      </c>
      <c r="BM34" s="761">
        <v>22</v>
      </c>
      <c r="BN34" s="766">
        <f t="shared" si="45"/>
        <v>183</v>
      </c>
      <c r="BO34" s="760">
        <v>9</v>
      </c>
      <c r="BP34" s="761">
        <v>10</v>
      </c>
      <c r="BQ34" s="761">
        <v>3</v>
      </c>
      <c r="BR34" s="761"/>
      <c r="BS34" s="761"/>
      <c r="BT34" s="761">
        <v>12</v>
      </c>
      <c r="BU34" s="761">
        <v>10</v>
      </c>
      <c r="BV34" s="761">
        <v>10</v>
      </c>
      <c r="BW34" s="761">
        <v>3</v>
      </c>
      <c r="BX34" s="761">
        <v>2</v>
      </c>
      <c r="BY34" s="761">
        <v>9</v>
      </c>
      <c r="BZ34" s="761">
        <v>12</v>
      </c>
      <c r="CA34" s="766">
        <f t="shared" si="46"/>
        <v>80</v>
      </c>
      <c r="CB34" s="760">
        <v>6.5545999999999998</v>
      </c>
      <c r="CC34" s="761">
        <v>6.3218999999999994</v>
      </c>
      <c r="CD34" s="761">
        <v>4.3744999999999994</v>
      </c>
      <c r="CE34" s="761">
        <v>6.1099999999999994</v>
      </c>
      <c r="CF34" s="761">
        <v>14.088749999999999</v>
      </c>
      <c r="CG34" s="761">
        <v>9.4705000000000013</v>
      </c>
      <c r="CH34" s="761">
        <v>18.09</v>
      </c>
      <c r="CI34" s="761">
        <v>13.829999999999998</v>
      </c>
      <c r="CJ34" s="761">
        <v>5.7799999999999994</v>
      </c>
      <c r="CK34" s="761">
        <v>3.0349999999999997</v>
      </c>
      <c r="CL34" s="761">
        <v>3.56</v>
      </c>
      <c r="CM34" s="761">
        <v>0.66500000000000004</v>
      </c>
      <c r="CN34" s="766">
        <f t="shared" si="47"/>
        <v>91.880250000000004</v>
      </c>
      <c r="CO34" s="760">
        <v>5.0489999999999995</v>
      </c>
      <c r="CP34" s="761">
        <v>8.0160999999999998</v>
      </c>
      <c r="CQ34" s="761">
        <v>7.6086999999999998</v>
      </c>
      <c r="CR34" s="761">
        <v>8.9862500000000001</v>
      </c>
      <c r="CS34" s="761">
        <v>9.6369000000000007</v>
      </c>
      <c r="CT34" s="761">
        <v>21.228999999999999</v>
      </c>
      <c r="CU34" s="761">
        <v>19.896500000000003</v>
      </c>
      <c r="CV34" s="761">
        <v>21.866</v>
      </c>
      <c r="CW34" s="761">
        <v>29.965</v>
      </c>
      <c r="CX34" s="761">
        <v>11.117599999999999</v>
      </c>
      <c r="CY34" s="761">
        <v>15.301000000000002</v>
      </c>
      <c r="CZ34" s="761">
        <v>10.841999999999999</v>
      </c>
      <c r="DA34" s="766">
        <f t="shared" si="48"/>
        <v>169.51405</v>
      </c>
      <c r="DB34" s="760">
        <v>9.3053999999999988</v>
      </c>
      <c r="DC34" s="761">
        <v>10.020399999999999</v>
      </c>
      <c r="DD34" s="761">
        <v>11.467300000000002</v>
      </c>
      <c r="DE34" s="761">
        <v>6.8795999999999999</v>
      </c>
      <c r="DF34" s="761">
        <v>12.590499999999999</v>
      </c>
      <c r="DG34" s="761">
        <v>17.465499999999999</v>
      </c>
      <c r="DH34" s="761">
        <v>4.5662500000000001</v>
      </c>
      <c r="DI34" s="761">
        <v>6.1749999999999998</v>
      </c>
      <c r="DJ34" s="761">
        <v>7.2117499999999994</v>
      </c>
      <c r="DK34" s="761">
        <v>3.6205000000000003</v>
      </c>
      <c r="DL34" s="761">
        <v>17.797000000000001</v>
      </c>
      <c r="DM34" s="761">
        <v>40.716000000000001</v>
      </c>
      <c r="DN34" s="766">
        <f t="shared" si="49"/>
        <v>147.8152</v>
      </c>
      <c r="DO34" s="760">
        <v>0.83000000000000007</v>
      </c>
      <c r="DP34" s="761">
        <v>10.46</v>
      </c>
      <c r="DQ34" s="761">
        <v>2.19</v>
      </c>
      <c r="DR34" s="761">
        <v>2.73</v>
      </c>
      <c r="DS34" s="761">
        <v>2.7060000000000004</v>
      </c>
      <c r="DT34" s="761">
        <v>4.8570000000000002</v>
      </c>
      <c r="DU34" s="761">
        <v>2.5140000000000002</v>
      </c>
      <c r="DV34" s="761">
        <v>4.9400000000000004</v>
      </c>
      <c r="DW34" s="761">
        <v>4.2119999999999997</v>
      </c>
      <c r="DX34" s="761">
        <v>8.6199999999999992</v>
      </c>
      <c r="DY34" s="761">
        <v>10.386999999999999</v>
      </c>
      <c r="DZ34" s="761">
        <v>5.0500000000000007</v>
      </c>
      <c r="EA34" s="766">
        <f t="shared" si="50"/>
        <v>59.495999999999995</v>
      </c>
      <c r="EB34" s="760">
        <v>2.2730000000000001</v>
      </c>
      <c r="EC34" s="761">
        <v>6.51</v>
      </c>
      <c r="ED34" s="761">
        <v>4.2460000000000004</v>
      </c>
      <c r="EE34" s="761">
        <v>5.07</v>
      </c>
      <c r="EF34" s="761">
        <v>3.21</v>
      </c>
      <c r="EG34" s="761">
        <v>0.39500000000000002</v>
      </c>
      <c r="EH34" s="761">
        <v>5.8079999999999998</v>
      </c>
      <c r="EI34" s="761">
        <v>9.2330000000000005</v>
      </c>
      <c r="EJ34" s="761">
        <v>18.036000000000001</v>
      </c>
      <c r="EK34" s="761">
        <v>15.067</v>
      </c>
      <c r="EL34" s="761">
        <v>5.2290000000000001</v>
      </c>
      <c r="EM34" s="761">
        <v>10.758000000000001</v>
      </c>
      <c r="EN34" s="766">
        <f t="shared" si="51"/>
        <v>85.835000000000008</v>
      </c>
      <c r="EO34" s="760">
        <v>3.9875000000000003</v>
      </c>
      <c r="EP34" s="761">
        <v>2.3925000000000001</v>
      </c>
      <c r="EQ34" s="761">
        <v>3.2780000000000005</v>
      </c>
      <c r="ER34" s="761">
        <v>1.8240000000000001</v>
      </c>
      <c r="ES34" s="761"/>
      <c r="ET34" s="761"/>
      <c r="EU34" s="761"/>
      <c r="EV34" s="761"/>
      <c r="EW34" s="761"/>
      <c r="EX34" s="761"/>
      <c r="EY34" s="761"/>
      <c r="EZ34" s="761"/>
      <c r="FA34" s="766">
        <f t="shared" si="52"/>
        <v>11.482000000000001</v>
      </c>
      <c r="FC34" s="549">
        <f t="shared" si="53"/>
        <v>-22.797927461139889</v>
      </c>
      <c r="FD34" s="550">
        <f t="shared" si="54"/>
        <v>-25.873052421521216</v>
      </c>
      <c r="FE34" s="551">
        <f t="shared" si="55"/>
        <v>13.029</v>
      </c>
      <c r="FF34" s="552">
        <f t="shared" si="56"/>
        <v>9.6580000000000013</v>
      </c>
      <c r="FH34" s="917" t="s">
        <v>33</v>
      </c>
      <c r="FI34" s="920" t="str">
        <f t="shared" si="20"/>
        <v>OK</v>
      </c>
    </row>
    <row r="35" spans="1:165" ht="15" customHeight="1" x14ac:dyDescent="0.25">
      <c r="A35" s="349" t="s">
        <v>34</v>
      </c>
      <c r="B35" s="760"/>
      <c r="C35" s="761"/>
      <c r="D35" s="761">
        <v>1</v>
      </c>
      <c r="E35" s="761">
        <v>1</v>
      </c>
      <c r="F35" s="761">
        <v>1</v>
      </c>
      <c r="G35" s="761">
        <v>1</v>
      </c>
      <c r="H35" s="761"/>
      <c r="I35" s="761"/>
      <c r="J35" s="761">
        <v>1</v>
      </c>
      <c r="K35" s="761"/>
      <c r="L35" s="761"/>
      <c r="M35" s="761"/>
      <c r="N35" s="766">
        <f t="shared" si="41"/>
        <v>5</v>
      </c>
      <c r="O35" s="760"/>
      <c r="P35" s="761"/>
      <c r="Q35" s="761"/>
      <c r="R35" s="761"/>
      <c r="S35" s="761"/>
      <c r="T35" s="761"/>
      <c r="U35" s="761"/>
      <c r="V35" s="761"/>
      <c r="W35" s="761"/>
      <c r="X35" s="761"/>
      <c r="Y35" s="761"/>
      <c r="Z35" s="761"/>
      <c r="AA35" s="766">
        <f t="shared" si="42"/>
        <v>0</v>
      </c>
      <c r="AB35" s="760"/>
      <c r="AC35" s="761">
        <v>1</v>
      </c>
      <c r="AD35" s="761">
        <v>1</v>
      </c>
      <c r="AE35" s="761">
        <v>1</v>
      </c>
      <c r="AF35" s="761"/>
      <c r="AG35" s="761"/>
      <c r="AH35" s="761"/>
      <c r="AI35" s="761"/>
      <c r="AJ35" s="761"/>
      <c r="AK35" s="761"/>
      <c r="AL35" s="761"/>
      <c r="AM35" s="761"/>
      <c r="AN35" s="766">
        <f t="shared" si="43"/>
        <v>3</v>
      </c>
      <c r="AO35" s="760"/>
      <c r="AP35" s="761"/>
      <c r="AQ35" s="761"/>
      <c r="AR35" s="761">
        <v>1</v>
      </c>
      <c r="AS35" s="761"/>
      <c r="AT35" s="761"/>
      <c r="AU35" s="761"/>
      <c r="AV35" s="761"/>
      <c r="AW35" s="761"/>
      <c r="AX35" s="761"/>
      <c r="AY35" s="761"/>
      <c r="AZ35" s="761"/>
      <c r="BA35" s="766">
        <f t="shared" si="44"/>
        <v>1</v>
      </c>
      <c r="BB35" s="760"/>
      <c r="BC35" s="761"/>
      <c r="BD35" s="761"/>
      <c r="BE35" s="761">
        <v>3</v>
      </c>
      <c r="BF35" s="761">
        <v>1</v>
      </c>
      <c r="BG35" s="761"/>
      <c r="BH35" s="761"/>
      <c r="BI35" s="761">
        <v>1</v>
      </c>
      <c r="BJ35" s="761"/>
      <c r="BK35" s="761"/>
      <c r="BL35" s="761"/>
      <c r="BM35" s="761"/>
      <c r="BN35" s="766">
        <f t="shared" si="45"/>
        <v>5</v>
      </c>
      <c r="BO35" s="760"/>
      <c r="BP35" s="761"/>
      <c r="BQ35" s="761"/>
      <c r="BR35" s="761"/>
      <c r="BS35" s="761"/>
      <c r="BT35" s="761"/>
      <c r="BU35" s="761"/>
      <c r="BV35" s="761"/>
      <c r="BW35" s="761"/>
      <c r="BX35" s="761"/>
      <c r="BY35" s="761"/>
      <c r="BZ35" s="761"/>
      <c r="CA35" s="766">
        <f t="shared" si="46"/>
        <v>0</v>
      </c>
      <c r="CB35" s="760">
        <v>0.10919999999999999</v>
      </c>
      <c r="CC35" s="761"/>
      <c r="CD35" s="761"/>
      <c r="CE35" s="761"/>
      <c r="CF35" s="761">
        <v>7.8E-2</v>
      </c>
      <c r="CG35" s="761"/>
      <c r="CH35" s="761">
        <v>0.26</v>
      </c>
      <c r="CI35" s="761">
        <v>2.5999999999999999E-2</v>
      </c>
      <c r="CJ35" s="761">
        <v>0.05</v>
      </c>
      <c r="CK35" s="761">
        <v>0.04</v>
      </c>
      <c r="CL35" s="761">
        <v>0.27</v>
      </c>
      <c r="CM35" s="761">
        <v>0.11</v>
      </c>
      <c r="CN35" s="766">
        <f t="shared" si="47"/>
        <v>0.94320000000000004</v>
      </c>
      <c r="CO35" s="760">
        <v>0.2535</v>
      </c>
      <c r="CP35" s="761"/>
      <c r="CQ35" s="761">
        <v>0.24959999999999999</v>
      </c>
      <c r="CR35" s="761">
        <v>0.13</v>
      </c>
      <c r="CS35" s="761">
        <v>0.28599999999999998</v>
      </c>
      <c r="CT35" s="761">
        <v>0.29899999999999999</v>
      </c>
      <c r="CU35" s="761">
        <v>0.104</v>
      </c>
      <c r="CV35" s="761">
        <v>0.13</v>
      </c>
      <c r="CW35" s="761">
        <v>1.95</v>
      </c>
      <c r="CX35" s="761">
        <v>2.5999999999999999E-2</v>
      </c>
      <c r="CY35" s="761">
        <v>0.29899999999999999</v>
      </c>
      <c r="CZ35" s="761">
        <v>0.36399999999999999</v>
      </c>
      <c r="DA35" s="766">
        <f t="shared" si="48"/>
        <v>4.0911</v>
      </c>
      <c r="DB35" s="760">
        <v>0.33800000000000002</v>
      </c>
      <c r="DC35" s="761"/>
      <c r="DD35" s="761">
        <v>0.2132</v>
      </c>
      <c r="DE35" s="761">
        <v>0.66299999999999992</v>
      </c>
      <c r="DF35" s="761">
        <v>1.339</v>
      </c>
      <c r="DG35" s="761"/>
      <c r="DH35" s="761">
        <v>0.16900000000000001</v>
      </c>
      <c r="DI35" s="761"/>
      <c r="DJ35" s="761"/>
      <c r="DK35" s="761">
        <v>9.0999999999999998E-2</v>
      </c>
      <c r="DL35" s="761">
        <v>6.5000000000000002E-2</v>
      </c>
      <c r="DM35" s="761">
        <v>2.5999999999999999E-2</v>
      </c>
      <c r="DN35" s="766">
        <f t="shared" si="49"/>
        <v>2.9041999999999999</v>
      </c>
      <c r="DO35" s="760"/>
      <c r="DP35" s="761">
        <v>0.1</v>
      </c>
      <c r="DQ35" s="761">
        <v>0.15</v>
      </c>
      <c r="DR35" s="761">
        <v>0.4</v>
      </c>
      <c r="DS35" s="761"/>
      <c r="DT35" s="761"/>
      <c r="DU35" s="761"/>
      <c r="DV35" s="761">
        <v>0.25</v>
      </c>
      <c r="DW35" s="761">
        <v>0.25</v>
      </c>
      <c r="DX35" s="761">
        <v>0.81599999999999995</v>
      </c>
      <c r="DY35" s="761">
        <v>7.9000000000000001E-2</v>
      </c>
      <c r="DZ35" s="761"/>
      <c r="EA35" s="766">
        <f t="shared" si="50"/>
        <v>2.0449999999999999</v>
      </c>
      <c r="EB35" s="760"/>
      <c r="EC35" s="761"/>
      <c r="ED35" s="761"/>
      <c r="EE35" s="761"/>
      <c r="EF35" s="761">
        <v>0.51700000000000002</v>
      </c>
      <c r="EG35" s="761"/>
      <c r="EH35" s="761"/>
      <c r="EI35" s="761"/>
      <c r="EJ35" s="761"/>
      <c r="EK35" s="761">
        <v>0.63200000000000001</v>
      </c>
      <c r="EL35" s="761">
        <v>0.42899999999999999</v>
      </c>
      <c r="EM35" s="761"/>
      <c r="EN35" s="766">
        <f t="shared" si="51"/>
        <v>1.5780000000000001</v>
      </c>
      <c r="EO35" s="760">
        <v>0.38750000000000001</v>
      </c>
      <c r="EP35" s="761">
        <v>0</v>
      </c>
      <c r="EQ35" s="761">
        <v>0.64700000000000002</v>
      </c>
      <c r="ER35" s="761">
        <v>3.6520000000000001</v>
      </c>
      <c r="ES35" s="761"/>
      <c r="ET35" s="761"/>
      <c r="EU35" s="761"/>
      <c r="EV35" s="761"/>
      <c r="EW35" s="761"/>
      <c r="EX35" s="761"/>
      <c r="EY35" s="761"/>
      <c r="EZ35" s="761"/>
      <c r="FA35" s="766">
        <f t="shared" si="52"/>
        <v>4.6865000000000006</v>
      </c>
      <c r="FC35" s="549" t="str">
        <f t="shared" si="53"/>
        <v/>
      </c>
      <c r="FD35" s="550" t="str">
        <f t="shared" si="54"/>
        <v/>
      </c>
      <c r="FE35" s="551">
        <f t="shared" si="55"/>
        <v>0</v>
      </c>
      <c r="FF35" s="552">
        <f t="shared" si="56"/>
        <v>1.0345</v>
      </c>
      <c r="FH35" s="917" t="s">
        <v>34</v>
      </c>
      <c r="FI35" s="920" t="str">
        <f t="shared" si="20"/>
        <v>OK</v>
      </c>
    </row>
    <row r="36" spans="1:165" ht="15" customHeight="1" x14ac:dyDescent="0.25">
      <c r="A36" s="349" t="s">
        <v>36</v>
      </c>
      <c r="B36" s="760">
        <v>1</v>
      </c>
      <c r="C36" s="761">
        <v>1</v>
      </c>
      <c r="D36" s="761">
        <v>1</v>
      </c>
      <c r="E36" s="761">
        <v>2</v>
      </c>
      <c r="F36" s="761">
        <v>5</v>
      </c>
      <c r="G36" s="761">
        <v>3</v>
      </c>
      <c r="H36" s="761">
        <v>2</v>
      </c>
      <c r="I36" s="761">
        <v>7</v>
      </c>
      <c r="J36" s="761">
        <v>3</v>
      </c>
      <c r="K36" s="761">
        <v>6</v>
      </c>
      <c r="L36" s="761">
        <v>1</v>
      </c>
      <c r="M36" s="761">
        <v>2</v>
      </c>
      <c r="N36" s="766">
        <f t="shared" si="41"/>
        <v>34</v>
      </c>
      <c r="O36" s="760">
        <v>1</v>
      </c>
      <c r="P36" s="761"/>
      <c r="Q36" s="761">
        <v>2</v>
      </c>
      <c r="R36" s="761">
        <v>1</v>
      </c>
      <c r="S36" s="761">
        <v>1</v>
      </c>
      <c r="T36" s="761">
        <v>2</v>
      </c>
      <c r="U36" s="761">
        <v>1</v>
      </c>
      <c r="V36" s="761">
        <v>4</v>
      </c>
      <c r="W36" s="761">
        <v>1</v>
      </c>
      <c r="X36" s="761">
        <v>1</v>
      </c>
      <c r="Y36" s="761">
        <v>3</v>
      </c>
      <c r="Z36" s="761"/>
      <c r="AA36" s="766">
        <f t="shared" si="42"/>
        <v>17</v>
      </c>
      <c r="AB36" s="760">
        <v>7</v>
      </c>
      <c r="AC36" s="761">
        <v>1</v>
      </c>
      <c r="AD36" s="761"/>
      <c r="AE36" s="761">
        <v>1</v>
      </c>
      <c r="AF36" s="761">
        <v>1</v>
      </c>
      <c r="AG36" s="761">
        <v>1</v>
      </c>
      <c r="AH36" s="761">
        <v>1</v>
      </c>
      <c r="AI36" s="761">
        <v>9</v>
      </c>
      <c r="AJ36" s="761"/>
      <c r="AK36" s="761">
        <v>4</v>
      </c>
      <c r="AL36" s="761">
        <v>2</v>
      </c>
      <c r="AM36" s="761"/>
      <c r="AN36" s="766">
        <f t="shared" si="43"/>
        <v>27</v>
      </c>
      <c r="AO36" s="760"/>
      <c r="AP36" s="761"/>
      <c r="AQ36" s="761">
        <v>1</v>
      </c>
      <c r="AR36" s="761">
        <v>1</v>
      </c>
      <c r="AS36" s="761">
        <v>1</v>
      </c>
      <c r="AT36" s="761">
        <v>1</v>
      </c>
      <c r="AU36" s="761">
        <v>1</v>
      </c>
      <c r="AV36" s="761">
        <v>1</v>
      </c>
      <c r="AW36" s="761"/>
      <c r="AX36" s="761">
        <v>3</v>
      </c>
      <c r="AY36" s="761">
        <v>2</v>
      </c>
      <c r="AZ36" s="761"/>
      <c r="BA36" s="766">
        <f t="shared" si="44"/>
        <v>11</v>
      </c>
      <c r="BB36" s="760">
        <v>1</v>
      </c>
      <c r="BC36" s="761">
        <v>1</v>
      </c>
      <c r="BD36" s="761">
        <v>1</v>
      </c>
      <c r="BE36" s="761">
        <v>2</v>
      </c>
      <c r="BF36" s="761">
        <v>3</v>
      </c>
      <c r="BG36" s="761">
        <v>1</v>
      </c>
      <c r="BH36" s="761">
        <v>2</v>
      </c>
      <c r="BI36" s="761">
        <v>3</v>
      </c>
      <c r="BJ36" s="761">
        <v>3</v>
      </c>
      <c r="BK36" s="761"/>
      <c r="BL36" s="761">
        <v>1</v>
      </c>
      <c r="BM36" s="761"/>
      <c r="BN36" s="766">
        <f t="shared" si="45"/>
        <v>18</v>
      </c>
      <c r="BO36" s="760">
        <v>3</v>
      </c>
      <c r="BP36" s="761"/>
      <c r="BQ36" s="761"/>
      <c r="BR36" s="761"/>
      <c r="BS36" s="761"/>
      <c r="BT36" s="761"/>
      <c r="BU36" s="761"/>
      <c r="BV36" s="761">
        <v>2</v>
      </c>
      <c r="BW36" s="761"/>
      <c r="BX36" s="761"/>
      <c r="BY36" s="761">
        <v>2</v>
      </c>
      <c r="BZ36" s="761">
        <v>3</v>
      </c>
      <c r="CA36" s="766">
        <f t="shared" si="46"/>
        <v>10</v>
      </c>
      <c r="CB36" s="760">
        <v>0.26650000000000001</v>
      </c>
      <c r="CC36" s="761">
        <v>0.32500000000000001</v>
      </c>
      <c r="CD36" s="761"/>
      <c r="CE36" s="761">
        <v>1.56</v>
      </c>
      <c r="CF36" s="761">
        <v>0.13</v>
      </c>
      <c r="CG36" s="761">
        <v>0.91000000000000014</v>
      </c>
      <c r="CH36" s="761">
        <v>0.87</v>
      </c>
      <c r="CI36" s="761">
        <v>2.17</v>
      </c>
      <c r="CJ36" s="761"/>
      <c r="CK36" s="761">
        <v>1.52</v>
      </c>
      <c r="CL36" s="761">
        <v>0.02</v>
      </c>
      <c r="CM36" s="761">
        <v>1.2E-2</v>
      </c>
      <c r="CN36" s="766">
        <f t="shared" si="47"/>
        <v>7.7834999999999992</v>
      </c>
      <c r="CO36" s="760">
        <v>0.29899999999999999</v>
      </c>
      <c r="CP36" s="761">
        <v>3.5106999999999999</v>
      </c>
      <c r="CQ36" s="761">
        <v>2.9561999999999999</v>
      </c>
      <c r="CR36" s="761">
        <v>1.625</v>
      </c>
      <c r="CS36" s="761">
        <v>1.794</v>
      </c>
      <c r="CT36" s="761">
        <v>0.87749999999999995</v>
      </c>
      <c r="CU36" s="761">
        <v>1.5145</v>
      </c>
      <c r="CV36" s="761">
        <v>2.4375</v>
      </c>
      <c r="CW36" s="761">
        <v>1.8915</v>
      </c>
      <c r="CX36" s="761">
        <v>0.74750000000000005</v>
      </c>
      <c r="CY36" s="761">
        <v>0.71499999999999997</v>
      </c>
      <c r="CZ36" s="761">
        <v>0.27300000000000002</v>
      </c>
      <c r="DA36" s="766">
        <f t="shared" si="48"/>
        <v>18.641399999999997</v>
      </c>
      <c r="DB36" s="760">
        <v>0.61099999999999999</v>
      </c>
      <c r="DC36" s="761"/>
      <c r="DD36" s="761">
        <v>0.34320000000000001</v>
      </c>
      <c r="DE36" s="761">
        <v>0.52</v>
      </c>
      <c r="DF36" s="761">
        <v>0.52390000000000003</v>
      </c>
      <c r="DG36" s="761">
        <v>0.46800000000000003</v>
      </c>
      <c r="DH36" s="761">
        <v>0.8125</v>
      </c>
      <c r="DI36" s="761">
        <v>1.04</v>
      </c>
      <c r="DJ36" s="761">
        <v>0.45500000000000002</v>
      </c>
      <c r="DK36" s="761">
        <v>0.9425</v>
      </c>
      <c r="DL36" s="761">
        <v>7.02</v>
      </c>
      <c r="DM36" s="761">
        <v>0.65</v>
      </c>
      <c r="DN36" s="766">
        <f t="shared" si="49"/>
        <v>13.386100000000001</v>
      </c>
      <c r="DO36" s="760">
        <v>1.9E-2</v>
      </c>
      <c r="DP36" s="761">
        <v>0.02</v>
      </c>
      <c r="DQ36" s="761">
        <v>0.05</v>
      </c>
      <c r="DR36" s="761">
        <v>0.2</v>
      </c>
      <c r="DS36" s="761">
        <v>1.0529999999999999</v>
      </c>
      <c r="DT36" s="761">
        <v>0.01</v>
      </c>
      <c r="DU36" s="761"/>
      <c r="DV36" s="761">
        <v>8.5000000000000006E-2</v>
      </c>
      <c r="DW36" s="761">
        <v>0.2</v>
      </c>
      <c r="DX36" s="761"/>
      <c r="DY36" s="761">
        <v>1.571</v>
      </c>
      <c r="DZ36" s="761"/>
      <c r="EA36" s="766">
        <f t="shared" si="50"/>
        <v>3.2080000000000002</v>
      </c>
      <c r="EB36" s="760">
        <v>8.2000000000000003E-2</v>
      </c>
      <c r="EC36" s="761">
        <v>0.38200000000000001</v>
      </c>
      <c r="ED36" s="761"/>
      <c r="EE36" s="761">
        <v>0.2</v>
      </c>
      <c r="EF36" s="761">
        <v>1.0920000000000001</v>
      </c>
      <c r="EG36" s="761"/>
      <c r="EH36" s="761">
        <v>2.4970000000000003</v>
      </c>
      <c r="EI36" s="761">
        <v>1.2330000000000001</v>
      </c>
      <c r="EJ36" s="761">
        <v>0.63200000000000001</v>
      </c>
      <c r="EK36" s="761">
        <v>0.158</v>
      </c>
      <c r="EL36" s="761">
        <v>0.53600000000000003</v>
      </c>
      <c r="EM36" s="761">
        <v>0.51700000000000002</v>
      </c>
      <c r="EN36" s="766">
        <f t="shared" si="51"/>
        <v>7.3290000000000015</v>
      </c>
      <c r="EO36" s="760">
        <v>0.19375000000000001</v>
      </c>
      <c r="EP36" s="761">
        <v>0.05</v>
      </c>
      <c r="EQ36" s="761">
        <v>0.84300000000000008</v>
      </c>
      <c r="ER36" s="761">
        <v>0.18</v>
      </c>
      <c r="ES36" s="761"/>
      <c r="ET36" s="761"/>
      <c r="EU36" s="761"/>
      <c r="EV36" s="761"/>
      <c r="EW36" s="761"/>
      <c r="EX36" s="761"/>
      <c r="EY36" s="761"/>
      <c r="EZ36" s="761"/>
      <c r="FA36" s="766">
        <f t="shared" si="52"/>
        <v>1.26675</v>
      </c>
      <c r="FC36" s="549" t="str">
        <f t="shared" si="53"/>
        <v/>
      </c>
      <c r="FD36" s="550">
        <f t="shared" si="54"/>
        <v>134.21336206896552</v>
      </c>
      <c r="FE36" s="551">
        <f t="shared" si="55"/>
        <v>0.46400000000000002</v>
      </c>
      <c r="FF36" s="552">
        <f t="shared" si="56"/>
        <v>1.0867500000000001</v>
      </c>
      <c r="FH36" s="917" t="s">
        <v>36</v>
      </c>
      <c r="FI36" s="920" t="str">
        <f t="shared" si="20"/>
        <v>OK</v>
      </c>
    </row>
    <row r="37" spans="1:165" ht="15" customHeight="1" x14ac:dyDescent="0.25">
      <c r="A37" s="349" t="s">
        <v>35</v>
      </c>
      <c r="B37" s="760"/>
      <c r="C37" s="761"/>
      <c r="D37" s="761"/>
      <c r="E37" s="761">
        <v>6</v>
      </c>
      <c r="F37" s="761">
        <v>5</v>
      </c>
      <c r="G37" s="761">
        <v>3</v>
      </c>
      <c r="H37" s="761">
        <v>2</v>
      </c>
      <c r="I37" s="761">
        <v>6</v>
      </c>
      <c r="J37" s="761">
        <v>4</v>
      </c>
      <c r="K37" s="761"/>
      <c r="L37" s="761"/>
      <c r="M37" s="761"/>
      <c r="N37" s="766">
        <f t="shared" si="41"/>
        <v>26</v>
      </c>
      <c r="O37" s="760"/>
      <c r="P37" s="761"/>
      <c r="Q37" s="761"/>
      <c r="R37" s="761">
        <v>2</v>
      </c>
      <c r="S37" s="761">
        <v>8</v>
      </c>
      <c r="T37" s="761">
        <v>8</v>
      </c>
      <c r="U37" s="761">
        <v>2</v>
      </c>
      <c r="V37" s="761">
        <v>7</v>
      </c>
      <c r="W37" s="761">
        <v>2</v>
      </c>
      <c r="X37" s="761"/>
      <c r="Y37" s="761"/>
      <c r="Z37" s="761"/>
      <c r="AA37" s="766">
        <f t="shared" si="42"/>
        <v>29</v>
      </c>
      <c r="AB37" s="760"/>
      <c r="AC37" s="761"/>
      <c r="AD37" s="761">
        <v>2</v>
      </c>
      <c r="AE37" s="761">
        <v>3</v>
      </c>
      <c r="AF37" s="761">
        <v>2</v>
      </c>
      <c r="AG37" s="761">
        <v>4</v>
      </c>
      <c r="AH37" s="761">
        <v>4</v>
      </c>
      <c r="AI37" s="761">
        <v>13</v>
      </c>
      <c r="AJ37" s="761">
        <v>6</v>
      </c>
      <c r="AK37" s="761">
        <v>2</v>
      </c>
      <c r="AL37" s="761">
        <v>7</v>
      </c>
      <c r="AM37" s="761"/>
      <c r="AN37" s="766">
        <f t="shared" si="43"/>
        <v>43</v>
      </c>
      <c r="AO37" s="760">
        <v>2</v>
      </c>
      <c r="AP37" s="761"/>
      <c r="AQ37" s="761">
        <v>5</v>
      </c>
      <c r="AR37" s="761">
        <v>4</v>
      </c>
      <c r="AS37" s="761">
        <v>1</v>
      </c>
      <c r="AT37" s="761">
        <v>13</v>
      </c>
      <c r="AU37" s="761">
        <v>9</v>
      </c>
      <c r="AV37" s="761">
        <v>10</v>
      </c>
      <c r="AW37" s="761">
        <v>7</v>
      </c>
      <c r="AX37" s="761"/>
      <c r="AY37" s="761">
        <v>1</v>
      </c>
      <c r="AZ37" s="761">
        <v>2</v>
      </c>
      <c r="BA37" s="766">
        <f t="shared" si="44"/>
        <v>54</v>
      </c>
      <c r="BB37" s="760">
        <v>5</v>
      </c>
      <c r="BC37" s="761">
        <v>2</v>
      </c>
      <c r="BD37" s="761">
        <v>8</v>
      </c>
      <c r="BE37" s="761">
        <v>4</v>
      </c>
      <c r="BF37" s="761">
        <v>4</v>
      </c>
      <c r="BG37" s="761">
        <v>3</v>
      </c>
      <c r="BH37" s="761">
        <v>12</v>
      </c>
      <c r="BI37" s="761">
        <v>9</v>
      </c>
      <c r="BJ37" s="761">
        <v>3</v>
      </c>
      <c r="BK37" s="761"/>
      <c r="BL37" s="761"/>
      <c r="BM37" s="761"/>
      <c r="BN37" s="766">
        <f t="shared" si="45"/>
        <v>50</v>
      </c>
      <c r="BO37" s="760"/>
      <c r="BP37" s="761"/>
      <c r="BQ37" s="761"/>
      <c r="BR37" s="761"/>
      <c r="BS37" s="761"/>
      <c r="BT37" s="761">
        <v>2</v>
      </c>
      <c r="BU37" s="761">
        <v>1</v>
      </c>
      <c r="BV37" s="761"/>
      <c r="BW37" s="761"/>
      <c r="BX37" s="761"/>
      <c r="BY37" s="761"/>
      <c r="BZ37" s="761"/>
      <c r="CA37" s="766">
        <f t="shared" si="46"/>
        <v>3</v>
      </c>
      <c r="CB37" s="760"/>
      <c r="CC37" s="761"/>
      <c r="CD37" s="761">
        <v>0.14624999999999999</v>
      </c>
      <c r="CE37" s="761">
        <v>1.625</v>
      </c>
      <c r="CF37" s="761">
        <v>0.42249999999999999</v>
      </c>
      <c r="CG37" s="761">
        <v>1.2675000000000001</v>
      </c>
      <c r="CH37" s="761">
        <v>2.36</v>
      </c>
      <c r="CI37" s="761">
        <v>6.4</v>
      </c>
      <c r="CJ37" s="761">
        <v>1.2</v>
      </c>
      <c r="CK37" s="761"/>
      <c r="CL37" s="761"/>
      <c r="CM37" s="761"/>
      <c r="CN37" s="766">
        <f t="shared" si="47"/>
        <v>13.421250000000001</v>
      </c>
      <c r="CO37" s="760"/>
      <c r="CP37" s="761"/>
      <c r="CQ37" s="761">
        <v>2.4496000000000002</v>
      </c>
      <c r="CR37" s="761">
        <v>3.25</v>
      </c>
      <c r="CS37" s="761">
        <v>3.2370000000000001</v>
      </c>
      <c r="CT37" s="761">
        <v>3.38</v>
      </c>
      <c r="CU37" s="761">
        <v>7.0278000000000009</v>
      </c>
      <c r="CV37" s="761">
        <v>5.9474999999999998</v>
      </c>
      <c r="CW37" s="761">
        <v>2.7300000000000004</v>
      </c>
      <c r="CX37" s="761"/>
      <c r="CY37" s="761"/>
      <c r="CZ37" s="761"/>
      <c r="DA37" s="766">
        <f t="shared" si="48"/>
        <v>28.021899999999999</v>
      </c>
      <c r="DB37" s="760"/>
      <c r="DC37" s="761"/>
      <c r="DD37" s="761">
        <v>6.2725</v>
      </c>
      <c r="DE37" s="761">
        <v>17.270500000000002</v>
      </c>
      <c r="DF37" s="761">
        <v>1.0529999999999999</v>
      </c>
      <c r="DG37" s="761">
        <v>3.38</v>
      </c>
      <c r="DH37" s="761">
        <v>4.3224999999999998</v>
      </c>
      <c r="DI37" s="761">
        <v>5.7069999999999999</v>
      </c>
      <c r="DJ37" s="761">
        <v>7.8</v>
      </c>
      <c r="DK37" s="761"/>
      <c r="DL37" s="761"/>
      <c r="DM37" s="761"/>
      <c r="DN37" s="766">
        <f t="shared" si="49"/>
        <v>45.805500000000002</v>
      </c>
      <c r="DO37" s="760"/>
      <c r="DP37" s="761"/>
      <c r="DQ37" s="761">
        <v>0.47</v>
      </c>
      <c r="DR37" s="761">
        <v>0.42</v>
      </c>
      <c r="DS37" s="761">
        <v>2.63</v>
      </c>
      <c r="DT37" s="761">
        <v>1.9590000000000001</v>
      </c>
      <c r="DU37" s="761">
        <v>1.0620000000000001</v>
      </c>
      <c r="DV37" s="761">
        <v>0.439</v>
      </c>
      <c r="DW37" s="761">
        <v>0.12</v>
      </c>
      <c r="DX37" s="761"/>
      <c r="DY37" s="761"/>
      <c r="DZ37" s="761"/>
      <c r="EA37" s="766">
        <f t="shared" si="50"/>
        <v>7.1</v>
      </c>
      <c r="EB37" s="760"/>
      <c r="EC37" s="761"/>
      <c r="ED37" s="761"/>
      <c r="EE37" s="761">
        <v>0.3</v>
      </c>
      <c r="EF37" s="761">
        <v>0.33</v>
      </c>
      <c r="EG37" s="761">
        <v>0.5</v>
      </c>
      <c r="EH37" s="761">
        <v>0.13900000000000001</v>
      </c>
      <c r="EI37" s="761">
        <v>1.93</v>
      </c>
      <c r="EJ37" s="761">
        <v>0.5</v>
      </c>
      <c r="EK37" s="761"/>
      <c r="EL37" s="761"/>
      <c r="EM37" s="761"/>
      <c r="EN37" s="766">
        <f t="shared" si="51"/>
        <v>3.6989999999999998</v>
      </c>
      <c r="EO37" s="760">
        <v>0</v>
      </c>
      <c r="EP37" s="761">
        <v>0.15</v>
      </c>
      <c r="EQ37" s="761">
        <v>3</v>
      </c>
      <c r="ER37" s="761">
        <v>0.51300000000000001</v>
      </c>
      <c r="ES37" s="761"/>
      <c r="ET37" s="761"/>
      <c r="EU37" s="761"/>
      <c r="EV37" s="761"/>
      <c r="EW37" s="761"/>
      <c r="EX37" s="761"/>
      <c r="EY37" s="761"/>
      <c r="EZ37" s="761"/>
      <c r="FA37" s="766">
        <f t="shared" si="52"/>
        <v>3.6629999999999998</v>
      </c>
      <c r="FC37" s="549" t="str">
        <f t="shared" si="53"/>
        <v/>
      </c>
      <c r="FD37" s="550" t="str">
        <f t="shared" si="54"/>
        <v/>
      </c>
      <c r="FE37" s="551">
        <f t="shared" si="55"/>
        <v>0</v>
      </c>
      <c r="FF37" s="552">
        <f t="shared" si="56"/>
        <v>3.15</v>
      </c>
      <c r="FH37" s="917" t="s">
        <v>35</v>
      </c>
      <c r="FI37" s="920" t="str">
        <f t="shared" si="20"/>
        <v>OK</v>
      </c>
    </row>
    <row r="38" spans="1:165" ht="15" customHeight="1" x14ac:dyDescent="0.25">
      <c r="A38" s="349" t="s">
        <v>37</v>
      </c>
      <c r="B38" s="760">
        <v>3</v>
      </c>
      <c r="C38" s="761">
        <v>4</v>
      </c>
      <c r="D38" s="761">
        <v>4</v>
      </c>
      <c r="E38" s="761">
        <v>10</v>
      </c>
      <c r="F38" s="761">
        <v>36</v>
      </c>
      <c r="G38" s="761">
        <v>61</v>
      </c>
      <c r="H38" s="761">
        <v>64</v>
      </c>
      <c r="I38" s="761">
        <v>62</v>
      </c>
      <c r="J38" s="761">
        <v>48</v>
      </c>
      <c r="K38" s="761">
        <v>27</v>
      </c>
      <c r="L38" s="761">
        <v>2</v>
      </c>
      <c r="M38" s="761">
        <v>1</v>
      </c>
      <c r="N38" s="766">
        <f t="shared" si="41"/>
        <v>322</v>
      </c>
      <c r="O38" s="760">
        <v>3</v>
      </c>
      <c r="P38" s="761">
        <v>3</v>
      </c>
      <c r="Q38" s="761">
        <v>4</v>
      </c>
      <c r="R38" s="761">
        <v>4</v>
      </c>
      <c r="S38" s="761">
        <v>15</v>
      </c>
      <c r="T38" s="761">
        <v>28</v>
      </c>
      <c r="U38" s="761">
        <v>13</v>
      </c>
      <c r="V38" s="761">
        <v>22</v>
      </c>
      <c r="W38" s="761">
        <v>21</v>
      </c>
      <c r="X38" s="761">
        <v>11</v>
      </c>
      <c r="Y38" s="761">
        <v>9</v>
      </c>
      <c r="Z38" s="761">
        <v>3</v>
      </c>
      <c r="AA38" s="766">
        <f t="shared" si="42"/>
        <v>136</v>
      </c>
      <c r="AB38" s="760">
        <v>13</v>
      </c>
      <c r="AC38" s="761">
        <v>36</v>
      </c>
      <c r="AD38" s="761">
        <v>7</v>
      </c>
      <c r="AE38" s="761">
        <v>9</v>
      </c>
      <c r="AF38" s="761">
        <v>17</v>
      </c>
      <c r="AG38" s="761">
        <v>19</v>
      </c>
      <c r="AH38" s="761">
        <v>31</v>
      </c>
      <c r="AI38" s="761">
        <v>39</v>
      </c>
      <c r="AJ38" s="761">
        <v>18</v>
      </c>
      <c r="AK38" s="761">
        <v>28</v>
      </c>
      <c r="AL38" s="761">
        <v>8</v>
      </c>
      <c r="AM38" s="761">
        <v>5</v>
      </c>
      <c r="AN38" s="766">
        <f t="shared" si="43"/>
        <v>230</v>
      </c>
      <c r="AO38" s="760">
        <v>2</v>
      </c>
      <c r="AP38" s="761">
        <v>4</v>
      </c>
      <c r="AQ38" s="761">
        <v>7</v>
      </c>
      <c r="AR38" s="761">
        <v>8</v>
      </c>
      <c r="AS38" s="761">
        <v>18</v>
      </c>
      <c r="AT38" s="761">
        <v>27</v>
      </c>
      <c r="AU38" s="761">
        <v>31</v>
      </c>
      <c r="AV38" s="761">
        <v>50</v>
      </c>
      <c r="AW38" s="761">
        <v>25</v>
      </c>
      <c r="AX38" s="761">
        <v>24</v>
      </c>
      <c r="AY38" s="761">
        <v>10</v>
      </c>
      <c r="AZ38" s="761">
        <v>9</v>
      </c>
      <c r="BA38" s="766">
        <f t="shared" si="44"/>
        <v>215</v>
      </c>
      <c r="BB38" s="760">
        <v>3</v>
      </c>
      <c r="BC38" s="761">
        <v>8</v>
      </c>
      <c r="BD38" s="761">
        <v>7</v>
      </c>
      <c r="BE38" s="761">
        <v>21</v>
      </c>
      <c r="BF38" s="761">
        <v>30</v>
      </c>
      <c r="BG38" s="761">
        <v>72</v>
      </c>
      <c r="BH38" s="761">
        <v>35</v>
      </c>
      <c r="BI38" s="761">
        <v>38</v>
      </c>
      <c r="BJ38" s="761">
        <v>27</v>
      </c>
      <c r="BK38" s="761">
        <v>3</v>
      </c>
      <c r="BL38" s="761">
        <v>9</v>
      </c>
      <c r="BM38" s="761">
        <v>2</v>
      </c>
      <c r="BN38" s="766">
        <f t="shared" si="45"/>
        <v>255</v>
      </c>
      <c r="BO38" s="760">
        <v>21</v>
      </c>
      <c r="BP38" s="761">
        <v>20</v>
      </c>
      <c r="BQ38" s="761">
        <v>1</v>
      </c>
      <c r="BR38" s="761"/>
      <c r="BS38" s="761"/>
      <c r="BT38" s="761">
        <v>9</v>
      </c>
      <c r="BU38" s="761">
        <v>31</v>
      </c>
      <c r="BV38" s="761">
        <v>9</v>
      </c>
      <c r="BW38" s="761">
        <v>2</v>
      </c>
      <c r="BX38" s="761">
        <v>2</v>
      </c>
      <c r="BY38" s="761">
        <v>2</v>
      </c>
      <c r="BZ38" s="761">
        <v>4</v>
      </c>
      <c r="CA38" s="766">
        <f t="shared" si="46"/>
        <v>101</v>
      </c>
      <c r="CB38" s="760">
        <v>3.8050999999999999</v>
      </c>
      <c r="CC38" s="761">
        <v>2.0150000000000001</v>
      </c>
      <c r="CD38" s="761">
        <v>0.32500000000000001</v>
      </c>
      <c r="CE38" s="761">
        <v>1.3129999999999999</v>
      </c>
      <c r="CF38" s="761">
        <v>9.2852500000000013</v>
      </c>
      <c r="CG38" s="761">
        <v>9.5289999999999999</v>
      </c>
      <c r="CH38" s="761">
        <v>35.93</v>
      </c>
      <c r="CI38" s="761">
        <v>5.13</v>
      </c>
      <c r="CJ38" s="761">
        <v>7.54</v>
      </c>
      <c r="CK38" s="761">
        <v>2.5</v>
      </c>
      <c r="CL38" s="761">
        <v>1.1599999999999999</v>
      </c>
      <c r="CM38" s="761">
        <v>0.11</v>
      </c>
      <c r="CN38" s="766">
        <f t="shared" si="47"/>
        <v>78.642349999999993</v>
      </c>
      <c r="CO38" s="760">
        <v>3.3185000000000002</v>
      </c>
      <c r="CP38" s="761">
        <v>2.5475999999999996</v>
      </c>
      <c r="CQ38" s="761">
        <v>1.1516000000000002</v>
      </c>
      <c r="CR38" s="761">
        <v>4.3875000000000002</v>
      </c>
      <c r="CS38" s="761">
        <v>11.778</v>
      </c>
      <c r="CT38" s="761">
        <v>10.8329</v>
      </c>
      <c r="CU38" s="761">
        <v>34.242000000000004</v>
      </c>
      <c r="CV38" s="761">
        <v>34.486400000000003</v>
      </c>
      <c r="CW38" s="761">
        <v>33.475000000000001</v>
      </c>
      <c r="CX38" s="761">
        <v>9.6687499999999993</v>
      </c>
      <c r="CY38" s="761">
        <v>13.890499999999999</v>
      </c>
      <c r="CZ38" s="761">
        <v>4.3744999999999994</v>
      </c>
      <c r="DA38" s="766">
        <f t="shared" si="48"/>
        <v>164.15325000000001</v>
      </c>
      <c r="DB38" s="760">
        <v>6.2855000000000008</v>
      </c>
      <c r="DC38" s="761">
        <v>10.036</v>
      </c>
      <c r="DD38" s="761">
        <v>2.4036999999999997</v>
      </c>
      <c r="DE38" s="761">
        <v>15.203500000000002</v>
      </c>
      <c r="DF38" s="761">
        <v>10.53</v>
      </c>
      <c r="DG38" s="761">
        <v>16.783000000000001</v>
      </c>
      <c r="DH38" s="761">
        <v>72.120750000000001</v>
      </c>
      <c r="DI38" s="761">
        <v>13.052</v>
      </c>
      <c r="DJ38" s="761">
        <v>15.112500000000001</v>
      </c>
      <c r="DK38" s="761">
        <v>6.9842500000000003</v>
      </c>
      <c r="DL38" s="761">
        <v>11.674000000000001</v>
      </c>
      <c r="DM38" s="761">
        <v>5.0895000000000001</v>
      </c>
      <c r="DN38" s="766">
        <f t="shared" si="49"/>
        <v>185.27470000000002</v>
      </c>
      <c r="DO38" s="760">
        <v>1.05</v>
      </c>
      <c r="DP38" s="761">
        <v>7.56</v>
      </c>
      <c r="DQ38" s="761">
        <v>1.3220000000000001</v>
      </c>
      <c r="DR38" s="761">
        <v>4.5469999999999997</v>
      </c>
      <c r="DS38" s="761">
        <v>4.7469999999999999</v>
      </c>
      <c r="DT38" s="761">
        <v>4.2859999999999996</v>
      </c>
      <c r="DU38" s="761">
        <v>11.06</v>
      </c>
      <c r="DV38" s="761">
        <v>8.6</v>
      </c>
      <c r="DW38" s="761">
        <v>2.7669999999999999</v>
      </c>
      <c r="DX38" s="761">
        <v>2.6110000000000002</v>
      </c>
      <c r="DY38" s="761"/>
      <c r="DZ38" s="761">
        <v>1.2070000000000001</v>
      </c>
      <c r="EA38" s="766">
        <f t="shared" si="50"/>
        <v>49.757000000000005</v>
      </c>
      <c r="EB38" s="760">
        <v>2.2730000000000001</v>
      </c>
      <c r="EC38" s="761">
        <v>2E-3</v>
      </c>
      <c r="ED38" s="761">
        <v>0.86099999999999999</v>
      </c>
      <c r="EE38" s="761">
        <v>5.5</v>
      </c>
      <c r="EF38" s="761">
        <v>7.4269999999999996</v>
      </c>
      <c r="EG38" s="761">
        <v>3.415</v>
      </c>
      <c r="EH38" s="761">
        <v>27.038999999999998</v>
      </c>
      <c r="EI38" s="761">
        <v>35.744</v>
      </c>
      <c r="EJ38" s="761">
        <v>11.961</v>
      </c>
      <c r="EK38" s="761">
        <v>3.5629999999999997</v>
      </c>
      <c r="EL38" s="761">
        <v>0.53600000000000003</v>
      </c>
      <c r="EM38" s="761">
        <v>1.86</v>
      </c>
      <c r="EN38" s="766">
        <f t="shared" si="51"/>
        <v>100.181</v>
      </c>
      <c r="EO38" s="760">
        <v>2.9156249999999999</v>
      </c>
      <c r="EP38" s="761">
        <v>0.90500000000000003</v>
      </c>
      <c r="EQ38" s="761">
        <v>0.628</v>
      </c>
      <c r="ER38" s="761">
        <v>2.8000000000000003</v>
      </c>
      <c r="ES38" s="761"/>
      <c r="ET38" s="761"/>
      <c r="EU38" s="761"/>
      <c r="EV38" s="761"/>
      <c r="EW38" s="761"/>
      <c r="EX38" s="761"/>
      <c r="EY38" s="761"/>
      <c r="EZ38" s="761"/>
      <c r="FA38" s="766">
        <f t="shared" si="52"/>
        <v>7.2486250000000005</v>
      </c>
      <c r="FC38" s="549">
        <f t="shared" si="53"/>
        <v>-27.061556329849012</v>
      </c>
      <c r="FD38" s="550">
        <f t="shared" si="54"/>
        <v>41.856664540816311</v>
      </c>
      <c r="FE38" s="551">
        <f t="shared" si="55"/>
        <v>3.1360000000000001</v>
      </c>
      <c r="FF38" s="552">
        <f t="shared" si="56"/>
        <v>4.4486249999999998</v>
      </c>
      <c r="FH38" s="917" t="s">
        <v>37</v>
      </c>
      <c r="FI38" s="920" t="str">
        <f t="shared" si="20"/>
        <v>OK</v>
      </c>
    </row>
    <row r="39" spans="1:165" ht="15" customHeight="1" x14ac:dyDescent="0.25">
      <c r="A39" s="349" t="s">
        <v>38</v>
      </c>
      <c r="B39" s="760"/>
      <c r="C39" s="761"/>
      <c r="D39" s="761"/>
      <c r="E39" s="761"/>
      <c r="F39" s="761">
        <v>1</v>
      </c>
      <c r="G39" s="761">
        <v>1</v>
      </c>
      <c r="H39" s="761"/>
      <c r="I39" s="761"/>
      <c r="J39" s="761"/>
      <c r="K39" s="761">
        <v>1</v>
      </c>
      <c r="L39" s="761"/>
      <c r="M39" s="761">
        <v>1</v>
      </c>
      <c r="N39" s="766">
        <f t="shared" si="41"/>
        <v>4</v>
      </c>
      <c r="O39" s="760"/>
      <c r="P39" s="761"/>
      <c r="Q39" s="761"/>
      <c r="R39" s="761"/>
      <c r="S39" s="761"/>
      <c r="T39" s="761"/>
      <c r="U39" s="761"/>
      <c r="V39" s="761"/>
      <c r="W39" s="761"/>
      <c r="X39" s="761"/>
      <c r="Y39" s="761"/>
      <c r="Z39" s="761"/>
      <c r="AA39" s="766">
        <f t="shared" si="42"/>
        <v>0</v>
      </c>
      <c r="AB39" s="760"/>
      <c r="AC39" s="761"/>
      <c r="AD39" s="761"/>
      <c r="AE39" s="761"/>
      <c r="AF39" s="761"/>
      <c r="AG39" s="761"/>
      <c r="AH39" s="761"/>
      <c r="AI39" s="761"/>
      <c r="AJ39" s="761"/>
      <c r="AK39" s="761"/>
      <c r="AL39" s="761"/>
      <c r="AM39" s="761"/>
      <c r="AN39" s="766">
        <f t="shared" si="43"/>
        <v>0</v>
      </c>
      <c r="AO39" s="760"/>
      <c r="AP39" s="761"/>
      <c r="AQ39" s="761"/>
      <c r="AR39" s="761"/>
      <c r="AS39" s="761"/>
      <c r="AT39" s="761"/>
      <c r="AU39" s="761"/>
      <c r="AV39" s="761"/>
      <c r="AW39" s="761">
        <v>1</v>
      </c>
      <c r="AX39" s="761"/>
      <c r="AY39" s="761"/>
      <c r="AZ39" s="761"/>
      <c r="BA39" s="766">
        <f t="shared" si="44"/>
        <v>1</v>
      </c>
      <c r="BB39" s="760"/>
      <c r="BC39" s="761"/>
      <c r="BD39" s="761"/>
      <c r="BE39" s="761"/>
      <c r="BF39" s="761">
        <v>1</v>
      </c>
      <c r="BG39" s="761"/>
      <c r="BH39" s="761"/>
      <c r="BI39" s="761"/>
      <c r="BJ39" s="761"/>
      <c r="BK39" s="761"/>
      <c r="BL39" s="761"/>
      <c r="BM39" s="761"/>
      <c r="BN39" s="766">
        <f t="shared" si="45"/>
        <v>1</v>
      </c>
      <c r="BO39" s="760"/>
      <c r="BP39" s="761"/>
      <c r="BQ39" s="761"/>
      <c r="BR39" s="761"/>
      <c r="BS39" s="761"/>
      <c r="BT39" s="761"/>
      <c r="BU39" s="761"/>
      <c r="BV39" s="761"/>
      <c r="BW39" s="761"/>
      <c r="BX39" s="761"/>
      <c r="BY39" s="761"/>
      <c r="BZ39" s="761"/>
      <c r="CA39" s="766">
        <f t="shared" si="46"/>
        <v>0</v>
      </c>
      <c r="CB39" s="760"/>
      <c r="CC39" s="761">
        <v>9.3600000000000003E-2</v>
      </c>
      <c r="CD39" s="761"/>
      <c r="CE39" s="761"/>
      <c r="CF39" s="761"/>
      <c r="CG39" s="761">
        <v>5.1999999999999998E-3</v>
      </c>
      <c r="CH39" s="761"/>
      <c r="CI39" s="761">
        <v>0.01</v>
      </c>
      <c r="CJ39" s="761"/>
      <c r="CK39" s="761">
        <v>0.15</v>
      </c>
      <c r="CL39" s="761">
        <v>0.36</v>
      </c>
      <c r="CM39" s="761"/>
      <c r="CN39" s="766">
        <f t="shared" si="47"/>
        <v>0.61880000000000002</v>
      </c>
      <c r="CO39" s="760">
        <v>1.17E-2</v>
      </c>
      <c r="CP39" s="761">
        <v>0.11960000000000001</v>
      </c>
      <c r="CQ39" s="761">
        <v>0.14949999999999999</v>
      </c>
      <c r="CR39" s="761">
        <v>0.13</v>
      </c>
      <c r="CS39" s="761">
        <v>1.04E-2</v>
      </c>
      <c r="CT39" s="761"/>
      <c r="CU39" s="761">
        <v>0.377</v>
      </c>
      <c r="CV39" s="761">
        <v>0.19500000000000001</v>
      </c>
      <c r="CW39" s="761">
        <v>0.156</v>
      </c>
      <c r="CX39" s="761">
        <v>1.2999999999999999E-2</v>
      </c>
      <c r="CY39" s="761">
        <v>0.13</v>
      </c>
      <c r="CZ39" s="761">
        <v>7.8E-2</v>
      </c>
      <c r="DA39" s="766">
        <f t="shared" si="48"/>
        <v>1.3701999999999999</v>
      </c>
      <c r="DB39" s="760"/>
      <c r="DC39" s="761"/>
      <c r="DD39" s="761">
        <v>0.13</v>
      </c>
      <c r="DE39" s="761">
        <v>6.5000000000000002E-2</v>
      </c>
      <c r="DF39" s="761">
        <v>6.5000000000000002E-2</v>
      </c>
      <c r="DG39" s="761"/>
      <c r="DH39" s="761">
        <v>0.19500000000000001</v>
      </c>
      <c r="DI39" s="761"/>
      <c r="DJ39" s="761">
        <v>0.26</v>
      </c>
      <c r="DK39" s="761">
        <v>6.5000000000000002E-2</v>
      </c>
      <c r="DL39" s="761">
        <v>3.9E-2</v>
      </c>
      <c r="DM39" s="761">
        <v>0.13</v>
      </c>
      <c r="DN39" s="766">
        <f t="shared" si="49"/>
        <v>0.94900000000000007</v>
      </c>
      <c r="DO39" s="760"/>
      <c r="DP39" s="761"/>
      <c r="DQ39" s="761"/>
      <c r="DR39" s="761">
        <v>0.15</v>
      </c>
      <c r="DS39" s="761">
        <v>1.268</v>
      </c>
      <c r="DT39" s="761"/>
      <c r="DU39" s="761"/>
      <c r="DV39" s="761">
        <v>0.8</v>
      </c>
      <c r="DW39" s="761"/>
      <c r="DX39" s="761"/>
      <c r="DY39" s="761">
        <v>0.32100000000000001</v>
      </c>
      <c r="DZ39" s="761"/>
      <c r="EA39" s="766">
        <f t="shared" si="50"/>
        <v>2.5390000000000001</v>
      </c>
      <c r="EB39" s="760"/>
      <c r="EC39" s="761"/>
      <c r="ED39" s="761">
        <v>8.5999999999999993E-2</v>
      </c>
      <c r="EE39" s="761">
        <v>0.02</v>
      </c>
      <c r="EF39" s="761">
        <v>0.129</v>
      </c>
      <c r="EG39" s="761"/>
      <c r="EH39" s="761"/>
      <c r="EI39" s="761"/>
      <c r="EJ39" s="761">
        <v>0.05</v>
      </c>
      <c r="EK39" s="761"/>
      <c r="EL39" s="761"/>
      <c r="EM39" s="761"/>
      <c r="EN39" s="766">
        <f t="shared" si="51"/>
        <v>0.28499999999999998</v>
      </c>
      <c r="EO39" s="760">
        <v>0</v>
      </c>
      <c r="EP39" s="761">
        <v>0</v>
      </c>
      <c r="EQ39" s="761">
        <v>0</v>
      </c>
      <c r="ER39" s="761">
        <v>4.03</v>
      </c>
      <c r="ES39" s="761"/>
      <c r="ET39" s="761"/>
      <c r="EU39" s="761"/>
      <c r="EV39" s="761"/>
      <c r="EW39" s="761"/>
      <c r="EX39" s="761"/>
      <c r="EY39" s="761"/>
      <c r="EZ39" s="761"/>
      <c r="FA39" s="766">
        <f t="shared" si="52"/>
        <v>4.03</v>
      </c>
      <c r="FC39" s="549">
        <f t="shared" si="53"/>
        <v>-100</v>
      </c>
      <c r="FD39" s="550">
        <f t="shared" si="54"/>
        <v>-100</v>
      </c>
      <c r="FE39" s="551">
        <f t="shared" si="55"/>
        <v>8.5999999999999993E-2</v>
      </c>
      <c r="FF39" s="552">
        <f t="shared" si="56"/>
        <v>0</v>
      </c>
      <c r="FH39" s="917" t="s">
        <v>38</v>
      </c>
      <c r="FI39" s="920" t="str">
        <f t="shared" si="20"/>
        <v>OK</v>
      </c>
    </row>
    <row r="40" spans="1:165" ht="15" customHeight="1" x14ac:dyDescent="0.25">
      <c r="A40" s="349" t="s">
        <v>39</v>
      </c>
      <c r="B40" s="760">
        <v>13</v>
      </c>
      <c r="C40" s="761">
        <v>9</v>
      </c>
      <c r="D40" s="761">
        <v>7</v>
      </c>
      <c r="E40" s="761">
        <v>8</v>
      </c>
      <c r="F40" s="761">
        <v>10</v>
      </c>
      <c r="G40" s="761">
        <v>5</v>
      </c>
      <c r="H40" s="761">
        <v>5</v>
      </c>
      <c r="I40" s="761">
        <v>5</v>
      </c>
      <c r="J40" s="761">
        <v>4</v>
      </c>
      <c r="K40" s="761">
        <v>8</v>
      </c>
      <c r="L40" s="761">
        <v>8</v>
      </c>
      <c r="M40" s="761">
        <v>12</v>
      </c>
      <c r="N40" s="766">
        <f t="shared" si="41"/>
        <v>94</v>
      </c>
      <c r="O40" s="760">
        <v>15</v>
      </c>
      <c r="P40" s="761">
        <v>6</v>
      </c>
      <c r="Q40" s="761">
        <v>3</v>
      </c>
      <c r="R40" s="761">
        <v>3</v>
      </c>
      <c r="S40" s="761">
        <v>9</v>
      </c>
      <c r="T40" s="761">
        <v>9</v>
      </c>
      <c r="U40" s="761">
        <v>2</v>
      </c>
      <c r="V40" s="761">
        <v>11</v>
      </c>
      <c r="W40" s="761">
        <v>12</v>
      </c>
      <c r="X40" s="761">
        <v>13</v>
      </c>
      <c r="Y40" s="761">
        <v>9</v>
      </c>
      <c r="Z40" s="761">
        <v>8</v>
      </c>
      <c r="AA40" s="766">
        <f t="shared" si="42"/>
        <v>100</v>
      </c>
      <c r="AB40" s="760">
        <v>14</v>
      </c>
      <c r="AC40" s="761">
        <v>7</v>
      </c>
      <c r="AD40" s="761">
        <v>3</v>
      </c>
      <c r="AE40" s="761">
        <v>3</v>
      </c>
      <c r="AF40" s="761">
        <v>5</v>
      </c>
      <c r="AG40" s="761">
        <v>6</v>
      </c>
      <c r="AH40" s="761">
        <v>14</v>
      </c>
      <c r="AI40" s="761">
        <v>13</v>
      </c>
      <c r="AJ40" s="761">
        <v>5</v>
      </c>
      <c r="AK40" s="761">
        <v>10</v>
      </c>
      <c r="AL40" s="761">
        <v>12</v>
      </c>
      <c r="AM40" s="761">
        <v>16</v>
      </c>
      <c r="AN40" s="766">
        <f t="shared" si="43"/>
        <v>108</v>
      </c>
      <c r="AO40" s="760">
        <v>6</v>
      </c>
      <c r="AP40" s="761">
        <v>6</v>
      </c>
      <c r="AQ40" s="761">
        <v>6</v>
      </c>
      <c r="AR40" s="761">
        <v>6</v>
      </c>
      <c r="AS40" s="761">
        <v>6</v>
      </c>
      <c r="AT40" s="761">
        <v>5</v>
      </c>
      <c r="AU40" s="761">
        <v>6</v>
      </c>
      <c r="AV40" s="761">
        <v>7</v>
      </c>
      <c r="AW40" s="761">
        <v>2</v>
      </c>
      <c r="AX40" s="761">
        <v>11</v>
      </c>
      <c r="AY40" s="761">
        <v>8</v>
      </c>
      <c r="AZ40" s="761">
        <v>8</v>
      </c>
      <c r="BA40" s="766">
        <f t="shared" si="44"/>
        <v>77</v>
      </c>
      <c r="BB40" s="760">
        <v>6</v>
      </c>
      <c r="BC40" s="761">
        <v>3</v>
      </c>
      <c r="BD40" s="761">
        <v>6</v>
      </c>
      <c r="BE40" s="761">
        <v>2</v>
      </c>
      <c r="BF40" s="761">
        <v>2</v>
      </c>
      <c r="BG40" s="761">
        <v>2</v>
      </c>
      <c r="BH40" s="761">
        <v>4</v>
      </c>
      <c r="BI40" s="761">
        <v>5</v>
      </c>
      <c r="BJ40" s="761">
        <v>3</v>
      </c>
      <c r="BK40" s="761">
        <v>3</v>
      </c>
      <c r="BL40" s="761">
        <v>8</v>
      </c>
      <c r="BM40" s="761">
        <v>5</v>
      </c>
      <c r="BN40" s="766">
        <f t="shared" si="45"/>
        <v>49</v>
      </c>
      <c r="BO40" s="760">
        <v>4</v>
      </c>
      <c r="BP40" s="761">
        <v>4</v>
      </c>
      <c r="BQ40" s="761">
        <v>1</v>
      </c>
      <c r="BR40" s="761"/>
      <c r="BS40" s="761"/>
      <c r="BT40" s="761"/>
      <c r="BU40" s="761">
        <v>5</v>
      </c>
      <c r="BV40" s="761">
        <v>1</v>
      </c>
      <c r="BW40" s="761">
        <v>1</v>
      </c>
      <c r="BX40" s="761">
        <v>2</v>
      </c>
      <c r="BY40" s="761">
        <v>1</v>
      </c>
      <c r="BZ40" s="761">
        <v>1</v>
      </c>
      <c r="CA40" s="766">
        <f t="shared" si="46"/>
        <v>20</v>
      </c>
      <c r="CB40" s="760">
        <v>2.9763500000000001</v>
      </c>
      <c r="CC40" s="761">
        <v>3.3149999999999999</v>
      </c>
      <c r="CD40" s="761">
        <v>0.8125</v>
      </c>
      <c r="CE40" s="761">
        <v>0.56874999999999998</v>
      </c>
      <c r="CF40" s="761">
        <v>0.77350000000000008</v>
      </c>
      <c r="CG40" s="761">
        <v>1.5405</v>
      </c>
      <c r="CH40" s="761">
        <v>8.35</v>
      </c>
      <c r="CI40" s="761">
        <v>1.8</v>
      </c>
      <c r="CJ40" s="761">
        <v>1.4849999999999999</v>
      </c>
      <c r="CK40" s="761">
        <v>0.68</v>
      </c>
      <c r="CL40" s="761">
        <v>1.7869999999999999</v>
      </c>
      <c r="CM40" s="761">
        <v>0.51</v>
      </c>
      <c r="CN40" s="766">
        <f t="shared" si="47"/>
        <v>24.598599999999998</v>
      </c>
      <c r="CO40" s="760">
        <v>4.0287999999999995</v>
      </c>
      <c r="CP40" s="761">
        <v>5.7481</v>
      </c>
      <c r="CQ40" s="761">
        <v>3.2941000000000007</v>
      </c>
      <c r="CR40" s="761">
        <v>7.4587500000000002</v>
      </c>
      <c r="CS40" s="761">
        <v>0.95290000000000008</v>
      </c>
      <c r="CT40" s="761">
        <v>1.1999</v>
      </c>
      <c r="CU40" s="761">
        <v>2.9575</v>
      </c>
      <c r="CV40" s="761">
        <v>5.2195</v>
      </c>
      <c r="CW40" s="761">
        <v>3.2695000000000003</v>
      </c>
      <c r="CX40" s="761">
        <v>3.9097499999999998</v>
      </c>
      <c r="CY40" s="761">
        <v>3.3345000000000002</v>
      </c>
      <c r="CZ40" s="761">
        <v>4.4882500000000007</v>
      </c>
      <c r="DA40" s="766">
        <f t="shared" si="48"/>
        <v>45.861550000000001</v>
      </c>
      <c r="DB40" s="760">
        <v>4.0436500000000004</v>
      </c>
      <c r="DC40" s="761">
        <v>2.8912</v>
      </c>
      <c r="DD40" s="761">
        <v>1.2402</v>
      </c>
      <c r="DE40" s="761">
        <v>1.7289999999999996</v>
      </c>
      <c r="DF40" s="761">
        <v>2.2957999999999998</v>
      </c>
      <c r="DG40" s="761">
        <v>1.3780000000000001</v>
      </c>
      <c r="DH40" s="761">
        <v>1.625</v>
      </c>
      <c r="DI40" s="761">
        <v>0.8125</v>
      </c>
      <c r="DJ40" s="761">
        <v>1.2577499999999999</v>
      </c>
      <c r="DK40" s="761">
        <v>3.2759999999999998</v>
      </c>
      <c r="DL40" s="761">
        <v>0.78</v>
      </c>
      <c r="DM40" s="761">
        <v>0.29899999999999999</v>
      </c>
      <c r="DN40" s="766">
        <f t="shared" si="49"/>
        <v>21.6281</v>
      </c>
      <c r="DO40" s="760">
        <v>0.55000000000000004</v>
      </c>
      <c r="DP40" s="761">
        <v>2.09</v>
      </c>
      <c r="DQ40" s="761">
        <v>1.175</v>
      </c>
      <c r="DR40" s="761">
        <v>1.3</v>
      </c>
      <c r="DS40" s="761">
        <v>1.163</v>
      </c>
      <c r="DT40" s="761">
        <v>0.56999999999999995</v>
      </c>
      <c r="DU40" s="761">
        <v>0.14000000000000001</v>
      </c>
      <c r="DV40" s="761">
        <v>0.78</v>
      </c>
      <c r="DW40" s="761">
        <v>1.8</v>
      </c>
      <c r="DX40" s="761">
        <v>1.6320000000000001</v>
      </c>
      <c r="DY40" s="761">
        <v>1.093</v>
      </c>
      <c r="DZ40" s="761">
        <v>1.1000000000000001</v>
      </c>
      <c r="EA40" s="766">
        <f t="shared" si="50"/>
        <v>13.392999999999999</v>
      </c>
      <c r="EB40" s="760">
        <v>1.3699999999999999</v>
      </c>
      <c r="EC40" s="761">
        <v>2.0349999999999997</v>
      </c>
      <c r="ED40" s="761">
        <v>0.60300000000000009</v>
      </c>
      <c r="EE40" s="761">
        <v>1.6</v>
      </c>
      <c r="EF40" s="761">
        <v>2.028</v>
      </c>
      <c r="EG40" s="761">
        <v>1.125</v>
      </c>
      <c r="EH40" s="761">
        <v>1.25</v>
      </c>
      <c r="EI40" s="761">
        <v>1.2210000000000001</v>
      </c>
      <c r="EJ40" s="761">
        <v>1.6829999999999998</v>
      </c>
      <c r="EK40" s="761">
        <v>3.145</v>
      </c>
      <c r="EL40" s="761">
        <v>1.46</v>
      </c>
      <c r="EM40" s="761">
        <v>1.1000000000000001</v>
      </c>
      <c r="EN40" s="766">
        <f t="shared" si="51"/>
        <v>18.62</v>
      </c>
      <c r="EO40" s="760">
        <v>0.60062499999999996</v>
      </c>
      <c r="EP40" s="761">
        <v>2.3845000000000001</v>
      </c>
      <c r="EQ40" s="761">
        <v>3.6910000000000003</v>
      </c>
      <c r="ER40" s="761">
        <v>0.06</v>
      </c>
      <c r="ES40" s="761"/>
      <c r="ET40" s="761"/>
      <c r="EU40" s="761"/>
      <c r="EV40" s="761"/>
      <c r="EW40" s="761"/>
      <c r="EX40" s="761"/>
      <c r="EY40" s="761"/>
      <c r="EZ40" s="761"/>
      <c r="FA40" s="766">
        <f t="shared" si="52"/>
        <v>6.7361250000000004</v>
      </c>
      <c r="FC40" s="549">
        <f t="shared" si="53"/>
        <v>512.10613598673297</v>
      </c>
      <c r="FD40" s="550">
        <f t="shared" si="54"/>
        <v>66.569985029940185</v>
      </c>
      <c r="FE40" s="551">
        <f t="shared" si="55"/>
        <v>4.0079999999999991</v>
      </c>
      <c r="FF40" s="552">
        <f t="shared" si="56"/>
        <v>6.6761250000000008</v>
      </c>
      <c r="FH40" s="917" t="s">
        <v>39</v>
      </c>
      <c r="FI40" s="920" t="str">
        <f t="shared" si="20"/>
        <v>OK</v>
      </c>
    </row>
    <row r="41" spans="1:165" ht="15" customHeight="1" x14ac:dyDescent="0.25">
      <c r="A41" s="349" t="s">
        <v>40</v>
      </c>
      <c r="B41" s="760">
        <v>29</v>
      </c>
      <c r="C41" s="761">
        <v>29</v>
      </c>
      <c r="D41" s="761">
        <v>37</v>
      </c>
      <c r="E41" s="761">
        <v>20</v>
      </c>
      <c r="F41" s="761">
        <v>28</v>
      </c>
      <c r="G41" s="761">
        <v>19</v>
      </c>
      <c r="H41" s="761">
        <v>25</v>
      </c>
      <c r="I41" s="761">
        <v>44</v>
      </c>
      <c r="J41" s="761">
        <v>40</v>
      </c>
      <c r="K41" s="761">
        <v>23</v>
      </c>
      <c r="L41" s="761">
        <v>30</v>
      </c>
      <c r="M41" s="761">
        <v>31</v>
      </c>
      <c r="N41" s="766">
        <f t="shared" si="41"/>
        <v>355</v>
      </c>
      <c r="O41" s="760">
        <v>9</v>
      </c>
      <c r="P41" s="761">
        <v>23</v>
      </c>
      <c r="Q41" s="761">
        <v>12</v>
      </c>
      <c r="R41" s="761">
        <v>7</v>
      </c>
      <c r="S41" s="761">
        <v>8</v>
      </c>
      <c r="T41" s="761">
        <v>8</v>
      </c>
      <c r="U41" s="761">
        <v>3</v>
      </c>
      <c r="V41" s="761">
        <v>19</v>
      </c>
      <c r="W41" s="761">
        <v>12</v>
      </c>
      <c r="X41" s="761">
        <v>25</v>
      </c>
      <c r="Y41" s="761">
        <v>32</v>
      </c>
      <c r="Z41" s="761">
        <v>9</v>
      </c>
      <c r="AA41" s="766">
        <f t="shared" si="42"/>
        <v>167</v>
      </c>
      <c r="AB41" s="760">
        <v>28</v>
      </c>
      <c r="AC41" s="761">
        <v>18</v>
      </c>
      <c r="AD41" s="761">
        <v>16</v>
      </c>
      <c r="AE41" s="761">
        <v>16</v>
      </c>
      <c r="AF41" s="761">
        <v>10</v>
      </c>
      <c r="AG41" s="761">
        <v>39</v>
      </c>
      <c r="AH41" s="761"/>
      <c r="AI41" s="761"/>
      <c r="AJ41" s="761"/>
      <c r="AK41" s="761"/>
      <c r="AL41" s="761"/>
      <c r="AM41" s="761"/>
      <c r="AN41" s="766">
        <f t="shared" si="43"/>
        <v>127</v>
      </c>
      <c r="AO41" s="760"/>
      <c r="AP41" s="761"/>
      <c r="AQ41" s="761"/>
      <c r="AR41" s="761"/>
      <c r="AS41" s="761">
        <v>1</v>
      </c>
      <c r="AT41" s="761"/>
      <c r="AU41" s="761">
        <v>1</v>
      </c>
      <c r="AV41" s="761">
        <v>1</v>
      </c>
      <c r="AW41" s="761">
        <v>1</v>
      </c>
      <c r="AX41" s="761">
        <v>1</v>
      </c>
      <c r="AY41" s="761"/>
      <c r="AZ41" s="761">
        <v>2</v>
      </c>
      <c r="BA41" s="766">
        <f t="shared" si="44"/>
        <v>7</v>
      </c>
      <c r="BB41" s="760"/>
      <c r="BC41" s="761">
        <v>1</v>
      </c>
      <c r="BD41" s="761"/>
      <c r="BE41" s="761"/>
      <c r="BF41" s="761"/>
      <c r="BG41" s="761"/>
      <c r="BH41" s="761">
        <v>1</v>
      </c>
      <c r="BI41" s="761">
        <v>1</v>
      </c>
      <c r="BJ41" s="761"/>
      <c r="BK41" s="761">
        <v>2</v>
      </c>
      <c r="BL41" s="761">
        <v>1</v>
      </c>
      <c r="BM41" s="761">
        <v>1</v>
      </c>
      <c r="BN41" s="766">
        <f t="shared" si="45"/>
        <v>7</v>
      </c>
      <c r="BO41" s="760">
        <v>2</v>
      </c>
      <c r="BP41" s="761">
        <v>5</v>
      </c>
      <c r="BQ41" s="761"/>
      <c r="BR41" s="761"/>
      <c r="BS41" s="761"/>
      <c r="BT41" s="761"/>
      <c r="BU41" s="761"/>
      <c r="BV41" s="761">
        <v>11</v>
      </c>
      <c r="BW41" s="761">
        <v>7</v>
      </c>
      <c r="BX41" s="761">
        <v>5</v>
      </c>
      <c r="BY41" s="761"/>
      <c r="BZ41" s="761"/>
      <c r="CA41" s="766">
        <f t="shared" si="46"/>
        <v>30</v>
      </c>
      <c r="CB41" s="760"/>
      <c r="CC41" s="761"/>
      <c r="CD41" s="761"/>
      <c r="CE41" s="761"/>
      <c r="CF41" s="761"/>
      <c r="CG41" s="761"/>
      <c r="CH41" s="761"/>
      <c r="CI41" s="761"/>
      <c r="CJ41" s="761"/>
      <c r="CK41" s="761"/>
      <c r="CL41" s="761"/>
      <c r="CM41" s="761"/>
      <c r="CN41" s="766">
        <f t="shared" si="47"/>
        <v>0</v>
      </c>
      <c r="CO41" s="760"/>
      <c r="CP41" s="761"/>
      <c r="CQ41" s="761"/>
      <c r="CR41" s="761"/>
      <c r="CS41" s="761"/>
      <c r="CT41" s="761"/>
      <c r="CU41" s="761">
        <v>0.40300000000000002</v>
      </c>
      <c r="CV41" s="761">
        <v>0.13</v>
      </c>
      <c r="CW41" s="761">
        <v>0.312</v>
      </c>
      <c r="CX41" s="761">
        <v>0.79300000000000004</v>
      </c>
      <c r="CY41" s="761">
        <v>0.156</v>
      </c>
      <c r="CZ41" s="761">
        <v>1.5860000000000001</v>
      </c>
      <c r="DA41" s="766">
        <f t="shared" si="48"/>
        <v>3.38</v>
      </c>
      <c r="DB41" s="760">
        <v>0.13</v>
      </c>
      <c r="DC41" s="761">
        <v>0.19500000000000001</v>
      </c>
      <c r="DD41" s="761">
        <v>0.13</v>
      </c>
      <c r="DE41" s="761">
        <v>1.5275000000000001</v>
      </c>
      <c r="DF41" s="761">
        <v>0.42249999999999999</v>
      </c>
      <c r="DG41" s="761">
        <v>0.19500000000000001</v>
      </c>
      <c r="DH41" s="761">
        <v>0.79300000000000004</v>
      </c>
      <c r="DI41" s="761">
        <v>0.14299999999999999</v>
      </c>
      <c r="DJ41" s="761"/>
      <c r="DK41" s="761">
        <v>0.28600000000000003</v>
      </c>
      <c r="DL41" s="761">
        <v>0.16900000000000001</v>
      </c>
      <c r="DM41" s="761">
        <v>0.78</v>
      </c>
      <c r="DN41" s="766">
        <f t="shared" si="49"/>
        <v>4.7709999999999999</v>
      </c>
      <c r="DO41" s="760">
        <v>2.4359999999999999</v>
      </c>
      <c r="DP41" s="761">
        <v>4.91</v>
      </c>
      <c r="DQ41" s="761">
        <v>3.3529999999999998</v>
      </c>
      <c r="DR41" s="761">
        <v>5.8</v>
      </c>
      <c r="DS41" s="761">
        <v>0.52300000000000002</v>
      </c>
      <c r="DT41" s="761">
        <v>5.6070000000000002</v>
      </c>
      <c r="DU41" s="761">
        <v>2.5229999999999997</v>
      </c>
      <c r="DV41" s="761">
        <v>3.2589999999999999</v>
      </c>
      <c r="DW41" s="761">
        <v>3.55</v>
      </c>
      <c r="DX41" s="761">
        <v>4.5</v>
      </c>
      <c r="DY41" s="761">
        <v>2.58</v>
      </c>
      <c r="DZ41" s="761">
        <v>0.68699999999999994</v>
      </c>
      <c r="EA41" s="766">
        <f t="shared" si="50"/>
        <v>39.727999999999994</v>
      </c>
      <c r="EB41" s="760">
        <v>1.462</v>
      </c>
      <c r="EC41" s="761">
        <v>1.9410000000000001</v>
      </c>
      <c r="ED41" s="761">
        <v>0.65500000000000003</v>
      </c>
      <c r="EE41" s="761">
        <v>0.27</v>
      </c>
      <c r="EF41" s="761">
        <v>2.0249999999999999</v>
      </c>
      <c r="EG41" s="761">
        <v>2.42</v>
      </c>
      <c r="EH41" s="761">
        <v>10.553000000000001</v>
      </c>
      <c r="EI41" s="761">
        <v>2.0569999999999999</v>
      </c>
      <c r="EJ41" s="761">
        <v>1.0900000000000001</v>
      </c>
      <c r="EK41" s="761">
        <v>1.1000000000000001</v>
      </c>
      <c r="EL41" s="761">
        <v>1.905</v>
      </c>
      <c r="EM41" s="761">
        <v>1.0149999999999999</v>
      </c>
      <c r="EN41" s="766">
        <f t="shared" si="51"/>
        <v>26.493000000000002</v>
      </c>
      <c r="EO41" s="760">
        <v>1.17625</v>
      </c>
      <c r="EP41" s="761">
        <v>0.57000000000000006</v>
      </c>
      <c r="EQ41" s="761">
        <v>2.3250000000000002</v>
      </c>
      <c r="ER41" s="761">
        <v>2.254</v>
      </c>
      <c r="ES41" s="761"/>
      <c r="ET41" s="761"/>
      <c r="EU41" s="761"/>
      <c r="EV41" s="761"/>
      <c r="EW41" s="761"/>
      <c r="EX41" s="761"/>
      <c r="EY41" s="761"/>
      <c r="EZ41" s="761"/>
      <c r="FA41" s="766">
        <f t="shared" si="52"/>
        <v>6.3252500000000005</v>
      </c>
      <c r="FC41" s="549">
        <f t="shared" si="53"/>
        <v>254.96183206106872</v>
      </c>
      <c r="FD41" s="550">
        <f t="shared" si="54"/>
        <v>0.32651552488911495</v>
      </c>
      <c r="FE41" s="551">
        <f t="shared" si="55"/>
        <v>4.0579999999999998</v>
      </c>
      <c r="FF41" s="552">
        <f t="shared" si="56"/>
        <v>4.07125</v>
      </c>
      <c r="FH41" s="917" t="s">
        <v>40</v>
      </c>
      <c r="FI41" s="920" t="str">
        <f t="shared" si="20"/>
        <v>OK</v>
      </c>
    </row>
    <row r="42" spans="1:165" ht="15" customHeight="1" x14ac:dyDescent="0.25">
      <c r="A42" s="349" t="s">
        <v>41</v>
      </c>
      <c r="B42" s="760"/>
      <c r="C42" s="761"/>
      <c r="D42" s="761"/>
      <c r="E42" s="761"/>
      <c r="F42" s="761"/>
      <c r="G42" s="761"/>
      <c r="H42" s="761"/>
      <c r="I42" s="761"/>
      <c r="J42" s="761"/>
      <c r="K42" s="761">
        <v>1</v>
      </c>
      <c r="L42" s="761">
        <v>1</v>
      </c>
      <c r="M42" s="761">
        <v>1</v>
      </c>
      <c r="N42" s="766">
        <f t="shared" si="41"/>
        <v>3</v>
      </c>
      <c r="O42" s="760">
        <v>12</v>
      </c>
      <c r="P42" s="761">
        <v>4</v>
      </c>
      <c r="Q42" s="761">
        <v>2</v>
      </c>
      <c r="R42" s="761">
        <v>2</v>
      </c>
      <c r="S42" s="761"/>
      <c r="T42" s="761">
        <v>1</v>
      </c>
      <c r="U42" s="761">
        <v>1</v>
      </c>
      <c r="V42" s="761">
        <v>1</v>
      </c>
      <c r="W42" s="761">
        <v>4</v>
      </c>
      <c r="X42" s="761">
        <v>21</v>
      </c>
      <c r="Y42" s="761">
        <v>11</v>
      </c>
      <c r="Z42" s="761">
        <v>8</v>
      </c>
      <c r="AA42" s="766">
        <f t="shared" si="42"/>
        <v>67</v>
      </c>
      <c r="AB42" s="760">
        <v>12</v>
      </c>
      <c r="AC42" s="761">
        <v>5</v>
      </c>
      <c r="AD42" s="761"/>
      <c r="AE42" s="761">
        <v>1</v>
      </c>
      <c r="AF42" s="761"/>
      <c r="AG42" s="761">
        <v>1</v>
      </c>
      <c r="AH42" s="761"/>
      <c r="AI42" s="761">
        <v>1</v>
      </c>
      <c r="AJ42" s="761"/>
      <c r="AK42" s="761">
        <v>12</v>
      </c>
      <c r="AL42" s="761">
        <v>21</v>
      </c>
      <c r="AM42" s="761">
        <v>8</v>
      </c>
      <c r="AN42" s="766">
        <f t="shared" si="43"/>
        <v>61</v>
      </c>
      <c r="AO42" s="760">
        <v>9</v>
      </c>
      <c r="AP42" s="761"/>
      <c r="AQ42" s="761">
        <v>5</v>
      </c>
      <c r="AR42" s="761">
        <v>1</v>
      </c>
      <c r="AS42" s="761"/>
      <c r="AT42" s="761"/>
      <c r="AU42" s="761">
        <v>2</v>
      </c>
      <c r="AV42" s="761">
        <v>4</v>
      </c>
      <c r="AW42" s="761"/>
      <c r="AX42" s="761">
        <v>22</v>
      </c>
      <c r="AY42" s="761">
        <v>9</v>
      </c>
      <c r="AZ42" s="761">
        <v>1</v>
      </c>
      <c r="BA42" s="766">
        <f t="shared" si="44"/>
        <v>53</v>
      </c>
      <c r="BB42" s="760"/>
      <c r="BC42" s="761"/>
      <c r="BD42" s="761">
        <v>4</v>
      </c>
      <c r="BE42" s="761"/>
      <c r="BF42" s="761"/>
      <c r="BG42" s="761"/>
      <c r="BH42" s="761">
        <v>2</v>
      </c>
      <c r="BI42" s="761"/>
      <c r="BJ42" s="761"/>
      <c r="BK42" s="761"/>
      <c r="BL42" s="761"/>
      <c r="BM42" s="761">
        <v>2</v>
      </c>
      <c r="BN42" s="766">
        <f t="shared" si="45"/>
        <v>8</v>
      </c>
      <c r="BO42" s="760"/>
      <c r="BP42" s="761"/>
      <c r="BQ42" s="761"/>
      <c r="BR42" s="761"/>
      <c r="BS42" s="761"/>
      <c r="BT42" s="761"/>
      <c r="BU42" s="761">
        <v>4</v>
      </c>
      <c r="BV42" s="761"/>
      <c r="BW42" s="761"/>
      <c r="BX42" s="761"/>
      <c r="BY42" s="761"/>
      <c r="BZ42" s="761"/>
      <c r="CA42" s="766">
        <f t="shared" si="46"/>
        <v>4</v>
      </c>
      <c r="CB42" s="760">
        <v>0.78</v>
      </c>
      <c r="CC42" s="761"/>
      <c r="CD42" s="761"/>
      <c r="CE42" s="761"/>
      <c r="CF42" s="761"/>
      <c r="CG42" s="761"/>
      <c r="CH42" s="761">
        <v>5.09</v>
      </c>
      <c r="CI42" s="761"/>
      <c r="CJ42" s="761"/>
      <c r="CK42" s="761"/>
      <c r="CL42" s="761">
        <v>0.44</v>
      </c>
      <c r="CM42" s="761"/>
      <c r="CN42" s="766">
        <f t="shared" si="47"/>
        <v>6.3100000000000005</v>
      </c>
      <c r="CO42" s="760">
        <v>0.62140000000000006</v>
      </c>
      <c r="CP42" s="761">
        <v>0.79949999999999999</v>
      </c>
      <c r="CQ42" s="761">
        <v>1.4989000000000001</v>
      </c>
      <c r="CR42" s="761">
        <v>3.64</v>
      </c>
      <c r="CS42" s="761">
        <v>0.29899999999999999</v>
      </c>
      <c r="CT42" s="761">
        <v>0.33800000000000002</v>
      </c>
      <c r="CU42" s="761"/>
      <c r="CV42" s="761">
        <v>0.19500000000000001</v>
      </c>
      <c r="CW42" s="761">
        <v>0.65</v>
      </c>
      <c r="CX42" s="761">
        <v>2.9379999999999997</v>
      </c>
      <c r="CY42" s="761">
        <v>0.156</v>
      </c>
      <c r="CZ42" s="761">
        <v>17.290000000000003</v>
      </c>
      <c r="DA42" s="766">
        <f t="shared" si="48"/>
        <v>28.425800000000002</v>
      </c>
      <c r="DB42" s="760">
        <v>16.12</v>
      </c>
      <c r="DC42" s="761">
        <v>3.835</v>
      </c>
      <c r="DD42" s="761">
        <v>0.74099999999999999</v>
      </c>
      <c r="DE42" s="761">
        <v>12.768599999999999</v>
      </c>
      <c r="DF42" s="761">
        <v>4.875</v>
      </c>
      <c r="DG42" s="761">
        <v>8.58</v>
      </c>
      <c r="DH42" s="761">
        <v>0.57979999999999998</v>
      </c>
      <c r="DI42" s="761">
        <v>4.16</v>
      </c>
      <c r="DJ42" s="761">
        <v>3.77</v>
      </c>
      <c r="DK42" s="761">
        <v>2.86</v>
      </c>
      <c r="DL42" s="761">
        <v>5.5250000000000004</v>
      </c>
      <c r="DM42" s="761">
        <v>3.9130000000000003</v>
      </c>
      <c r="DN42" s="766">
        <f t="shared" si="49"/>
        <v>67.727400000000003</v>
      </c>
      <c r="DO42" s="760">
        <v>0.5</v>
      </c>
      <c r="DP42" s="761">
        <v>2.88</v>
      </c>
      <c r="DQ42" s="761">
        <v>3.8359999999999999</v>
      </c>
      <c r="DR42" s="761">
        <v>0.3</v>
      </c>
      <c r="DS42" s="761"/>
      <c r="DT42" s="761"/>
      <c r="DU42" s="761">
        <v>1.085</v>
      </c>
      <c r="DV42" s="761"/>
      <c r="DW42" s="761">
        <v>0.1</v>
      </c>
      <c r="DX42" s="761">
        <v>5.2290000000000001</v>
      </c>
      <c r="DY42" s="761">
        <v>4.9290000000000003</v>
      </c>
      <c r="DZ42" s="761">
        <v>9.3000000000000007</v>
      </c>
      <c r="EA42" s="766">
        <f t="shared" si="50"/>
        <v>28.159000000000002</v>
      </c>
      <c r="EB42" s="760">
        <v>4.96</v>
      </c>
      <c r="EC42" s="761">
        <v>4</v>
      </c>
      <c r="ED42" s="761">
        <v>3.7029999999999998</v>
      </c>
      <c r="EE42" s="761">
        <v>0.8</v>
      </c>
      <c r="EF42" s="761"/>
      <c r="EG42" s="761"/>
      <c r="EH42" s="761"/>
      <c r="EI42" s="761"/>
      <c r="EJ42" s="761"/>
      <c r="EK42" s="761">
        <v>3.1579999999999999</v>
      </c>
      <c r="EL42" s="761">
        <v>14.464</v>
      </c>
      <c r="EM42" s="761">
        <v>3.1</v>
      </c>
      <c r="EN42" s="766">
        <f t="shared" si="51"/>
        <v>34.185000000000002</v>
      </c>
      <c r="EO42" s="760">
        <v>1.55</v>
      </c>
      <c r="EP42" s="761">
        <v>1.595</v>
      </c>
      <c r="EQ42" s="761">
        <v>6.2E-2</v>
      </c>
      <c r="ER42" s="761">
        <v>0.61499999999999999</v>
      </c>
      <c r="ES42" s="761"/>
      <c r="ET42" s="761"/>
      <c r="EU42" s="761"/>
      <c r="EV42" s="761"/>
      <c r="EW42" s="761"/>
      <c r="EX42" s="761"/>
      <c r="EY42" s="761"/>
      <c r="EZ42" s="761"/>
      <c r="FA42" s="766">
        <f t="shared" si="52"/>
        <v>3.8220000000000001</v>
      </c>
      <c r="FC42" s="549">
        <f t="shared" si="53"/>
        <v>-98.325681879557109</v>
      </c>
      <c r="FD42" s="550">
        <f t="shared" si="54"/>
        <v>-74.674247808576169</v>
      </c>
      <c r="FE42" s="551">
        <f t="shared" si="55"/>
        <v>12.663</v>
      </c>
      <c r="FF42" s="552">
        <f t="shared" si="56"/>
        <v>3.2069999999999999</v>
      </c>
      <c r="FH42" s="917" t="s">
        <v>41</v>
      </c>
      <c r="FI42" s="920" t="str">
        <f t="shared" si="20"/>
        <v>OK</v>
      </c>
    </row>
    <row r="43" spans="1:165" ht="15" customHeight="1" x14ac:dyDescent="0.25">
      <c r="A43" s="349" t="s">
        <v>42</v>
      </c>
      <c r="B43" s="760"/>
      <c r="C43" s="761"/>
      <c r="D43" s="761"/>
      <c r="E43" s="761">
        <v>1</v>
      </c>
      <c r="F43" s="761"/>
      <c r="G43" s="761">
        <v>1</v>
      </c>
      <c r="H43" s="761">
        <v>1</v>
      </c>
      <c r="I43" s="761">
        <v>2</v>
      </c>
      <c r="J43" s="761">
        <v>3</v>
      </c>
      <c r="K43" s="761"/>
      <c r="L43" s="761"/>
      <c r="M43" s="761"/>
      <c r="N43" s="766">
        <f t="shared" si="41"/>
        <v>8</v>
      </c>
      <c r="O43" s="760"/>
      <c r="P43" s="761"/>
      <c r="Q43" s="761"/>
      <c r="R43" s="761"/>
      <c r="S43" s="761"/>
      <c r="T43" s="761">
        <v>1</v>
      </c>
      <c r="U43" s="761"/>
      <c r="V43" s="761"/>
      <c r="W43" s="761"/>
      <c r="X43" s="761"/>
      <c r="Y43" s="761"/>
      <c r="Z43" s="761"/>
      <c r="AA43" s="766">
        <f t="shared" si="42"/>
        <v>1</v>
      </c>
      <c r="AB43" s="760"/>
      <c r="AC43" s="761"/>
      <c r="AD43" s="761">
        <v>1</v>
      </c>
      <c r="AE43" s="761"/>
      <c r="AF43" s="761"/>
      <c r="AG43" s="761">
        <v>1</v>
      </c>
      <c r="AH43" s="761">
        <v>1</v>
      </c>
      <c r="AI43" s="761">
        <v>1</v>
      </c>
      <c r="AJ43" s="761">
        <v>2</v>
      </c>
      <c r="AK43" s="761"/>
      <c r="AL43" s="761"/>
      <c r="AM43" s="761"/>
      <c r="AN43" s="766">
        <f t="shared" si="43"/>
        <v>6</v>
      </c>
      <c r="AO43" s="760"/>
      <c r="AP43" s="761"/>
      <c r="AQ43" s="761"/>
      <c r="AR43" s="761"/>
      <c r="AS43" s="761"/>
      <c r="AT43" s="761">
        <v>1</v>
      </c>
      <c r="AU43" s="761">
        <v>2</v>
      </c>
      <c r="AV43" s="761">
        <v>1</v>
      </c>
      <c r="AW43" s="761">
        <v>1</v>
      </c>
      <c r="AX43" s="761"/>
      <c r="AY43" s="761"/>
      <c r="AZ43" s="761"/>
      <c r="BA43" s="766">
        <f t="shared" si="44"/>
        <v>5</v>
      </c>
      <c r="BB43" s="760"/>
      <c r="BC43" s="761"/>
      <c r="BD43" s="761"/>
      <c r="BE43" s="761">
        <v>3</v>
      </c>
      <c r="BF43" s="761">
        <v>2</v>
      </c>
      <c r="BG43" s="761">
        <v>2</v>
      </c>
      <c r="BH43" s="761">
        <v>2</v>
      </c>
      <c r="BI43" s="761">
        <v>1</v>
      </c>
      <c r="BJ43" s="761">
        <v>1</v>
      </c>
      <c r="BK43" s="761">
        <v>3</v>
      </c>
      <c r="BL43" s="761"/>
      <c r="BM43" s="761"/>
      <c r="BN43" s="766">
        <f t="shared" si="45"/>
        <v>14</v>
      </c>
      <c r="BO43" s="760"/>
      <c r="BP43" s="761"/>
      <c r="BQ43" s="761"/>
      <c r="BR43" s="761"/>
      <c r="BS43" s="761"/>
      <c r="BT43" s="761"/>
      <c r="BU43" s="761">
        <v>7</v>
      </c>
      <c r="BV43" s="761"/>
      <c r="BW43" s="761"/>
      <c r="BX43" s="761"/>
      <c r="BY43" s="761"/>
      <c r="BZ43" s="761"/>
      <c r="CA43" s="766">
        <f t="shared" si="46"/>
        <v>7</v>
      </c>
      <c r="CB43" s="760"/>
      <c r="CC43" s="761"/>
      <c r="CD43" s="761"/>
      <c r="CE43" s="761"/>
      <c r="CF43" s="761">
        <v>1.196</v>
      </c>
      <c r="CG43" s="761">
        <v>1.0244</v>
      </c>
      <c r="CH43" s="761">
        <v>4.5</v>
      </c>
      <c r="CI43" s="761"/>
      <c r="CJ43" s="761">
        <v>0.01</v>
      </c>
      <c r="CK43" s="761">
        <v>0.01</v>
      </c>
      <c r="CL43" s="761"/>
      <c r="CM43" s="761">
        <v>0.13</v>
      </c>
      <c r="CN43" s="766">
        <f t="shared" si="47"/>
        <v>6.8703999999999992</v>
      </c>
      <c r="CO43" s="760"/>
      <c r="CP43" s="761">
        <v>0.39779999999999999</v>
      </c>
      <c r="CQ43" s="761">
        <v>2.5999999999999999E-2</v>
      </c>
      <c r="CR43" s="761">
        <v>0.52</v>
      </c>
      <c r="CS43" s="761">
        <v>0.18330000000000002</v>
      </c>
      <c r="CT43" s="761">
        <v>0.1404</v>
      </c>
      <c r="CU43" s="761">
        <v>0.72799999999999998</v>
      </c>
      <c r="CV43" s="761">
        <v>0.68899999999999995</v>
      </c>
      <c r="CW43" s="761">
        <v>0.70199999999999996</v>
      </c>
      <c r="CX43" s="761"/>
      <c r="CY43" s="761"/>
      <c r="CZ43" s="761"/>
      <c r="DA43" s="766">
        <f t="shared" si="48"/>
        <v>3.3864999999999998</v>
      </c>
      <c r="DB43" s="760"/>
      <c r="DC43" s="761">
        <v>1.2999999999999999E-2</v>
      </c>
      <c r="DD43" s="761">
        <v>2.5999999999999999E-2</v>
      </c>
      <c r="DE43" s="761">
        <v>9.0999999999999998E-2</v>
      </c>
      <c r="DF43" s="761">
        <v>6.5000000000000002E-2</v>
      </c>
      <c r="DG43" s="761">
        <v>0.156</v>
      </c>
      <c r="DH43" s="761"/>
      <c r="DI43" s="761"/>
      <c r="DJ43" s="761"/>
      <c r="DK43" s="761"/>
      <c r="DL43" s="761">
        <v>6.5000000000000002E-2</v>
      </c>
      <c r="DM43" s="761"/>
      <c r="DN43" s="766">
        <f t="shared" si="49"/>
        <v>0.41599999999999998</v>
      </c>
      <c r="DO43" s="760"/>
      <c r="DP43" s="761">
        <v>2.5000000000000001E-2</v>
      </c>
      <c r="DQ43" s="761">
        <v>8.1000000000000003E-2</v>
      </c>
      <c r="DR43" s="761"/>
      <c r="DS43" s="761"/>
      <c r="DT43" s="761"/>
      <c r="DU43" s="761"/>
      <c r="DV43" s="761"/>
      <c r="DW43" s="761">
        <v>0.5</v>
      </c>
      <c r="DX43" s="761"/>
      <c r="DY43" s="761"/>
      <c r="DZ43" s="761"/>
      <c r="EA43" s="766">
        <f t="shared" si="50"/>
        <v>0.60599999999999998</v>
      </c>
      <c r="EB43" s="760">
        <v>0.157</v>
      </c>
      <c r="EC43" s="761">
        <v>0.113</v>
      </c>
      <c r="ED43" s="761">
        <v>0.14199999999999999</v>
      </c>
      <c r="EE43" s="761">
        <v>0.91</v>
      </c>
      <c r="EF43" s="761">
        <v>0.15</v>
      </c>
      <c r="EG43" s="761">
        <v>0.5</v>
      </c>
      <c r="EH43" s="761">
        <v>2.5910000000000002</v>
      </c>
      <c r="EI43" s="761">
        <v>0.81200000000000006</v>
      </c>
      <c r="EJ43" s="761">
        <v>0.316</v>
      </c>
      <c r="EK43" s="761">
        <v>1.389</v>
      </c>
      <c r="EL43" s="761"/>
      <c r="EM43" s="761"/>
      <c r="EN43" s="766">
        <f t="shared" si="51"/>
        <v>7.080000000000001</v>
      </c>
      <c r="EO43" s="760">
        <v>0</v>
      </c>
      <c r="EP43" s="761">
        <v>1.4999999999999999E-2</v>
      </c>
      <c r="EQ43" s="761">
        <v>0.01</v>
      </c>
      <c r="ER43" s="761">
        <v>8.5999999999999993E-2</v>
      </c>
      <c r="ES43" s="761"/>
      <c r="ET43" s="761"/>
      <c r="EU43" s="761"/>
      <c r="EV43" s="761"/>
      <c r="EW43" s="761"/>
      <c r="EX43" s="761"/>
      <c r="EY43" s="761"/>
      <c r="EZ43" s="761"/>
      <c r="FA43" s="766">
        <f t="shared" si="52"/>
        <v>0.11099999999999999</v>
      </c>
      <c r="FC43" s="549">
        <f t="shared" si="53"/>
        <v>-92.957746478873233</v>
      </c>
      <c r="FD43" s="550">
        <f t="shared" si="54"/>
        <v>-93.932038834951456</v>
      </c>
      <c r="FE43" s="551">
        <f t="shared" si="55"/>
        <v>0.41200000000000003</v>
      </c>
      <c r="FF43" s="552">
        <f t="shared" si="56"/>
        <v>2.5000000000000001E-2</v>
      </c>
      <c r="FH43" s="917" t="s">
        <v>42</v>
      </c>
      <c r="FI43" s="920" t="str">
        <f t="shared" si="20"/>
        <v>OK</v>
      </c>
    </row>
    <row r="44" spans="1:165" ht="15" customHeight="1" x14ac:dyDescent="0.25">
      <c r="A44" s="349" t="s">
        <v>43</v>
      </c>
      <c r="B44" s="760"/>
      <c r="C44" s="761"/>
      <c r="D44" s="761"/>
      <c r="E44" s="761"/>
      <c r="F44" s="761"/>
      <c r="G44" s="761"/>
      <c r="H44" s="761"/>
      <c r="I44" s="761">
        <v>7</v>
      </c>
      <c r="J44" s="761"/>
      <c r="K44" s="761"/>
      <c r="L44" s="761"/>
      <c r="M44" s="761"/>
      <c r="N44" s="766">
        <f t="shared" si="41"/>
        <v>7</v>
      </c>
      <c r="O44" s="760"/>
      <c r="P44" s="761"/>
      <c r="Q44" s="761"/>
      <c r="R44" s="761"/>
      <c r="S44" s="761"/>
      <c r="T44" s="761">
        <v>1</v>
      </c>
      <c r="U44" s="761"/>
      <c r="V44" s="761">
        <v>1</v>
      </c>
      <c r="W44" s="761"/>
      <c r="X44" s="761"/>
      <c r="Y44" s="761"/>
      <c r="Z44" s="761"/>
      <c r="AA44" s="766">
        <f t="shared" si="42"/>
        <v>2</v>
      </c>
      <c r="AB44" s="760"/>
      <c r="AC44" s="761"/>
      <c r="AD44" s="761"/>
      <c r="AE44" s="761"/>
      <c r="AF44" s="761"/>
      <c r="AG44" s="761"/>
      <c r="AH44" s="761"/>
      <c r="AI44" s="761"/>
      <c r="AJ44" s="761"/>
      <c r="AK44" s="761"/>
      <c r="AL44" s="761"/>
      <c r="AM44" s="761"/>
      <c r="AN44" s="766">
        <f t="shared" si="43"/>
        <v>0</v>
      </c>
      <c r="AO44" s="760"/>
      <c r="AP44" s="761"/>
      <c r="AQ44" s="761"/>
      <c r="AR44" s="761"/>
      <c r="AS44" s="761">
        <v>1</v>
      </c>
      <c r="AT44" s="761"/>
      <c r="AU44" s="761"/>
      <c r="AV44" s="761"/>
      <c r="AW44" s="761"/>
      <c r="AX44" s="761"/>
      <c r="AY44" s="761"/>
      <c r="AZ44" s="761"/>
      <c r="BA44" s="766">
        <f t="shared" si="44"/>
        <v>1</v>
      </c>
      <c r="BB44" s="760"/>
      <c r="BC44" s="761"/>
      <c r="BD44" s="761"/>
      <c r="BE44" s="761"/>
      <c r="BF44" s="761"/>
      <c r="BG44" s="761"/>
      <c r="BH44" s="761"/>
      <c r="BI44" s="761"/>
      <c r="BJ44" s="761"/>
      <c r="BK44" s="761"/>
      <c r="BL44" s="761"/>
      <c r="BM44" s="761"/>
      <c r="BN44" s="766">
        <f t="shared" si="45"/>
        <v>0</v>
      </c>
      <c r="BO44" s="760"/>
      <c r="BP44" s="761"/>
      <c r="BQ44" s="761"/>
      <c r="BR44" s="761"/>
      <c r="BS44" s="761"/>
      <c r="BT44" s="761"/>
      <c r="BU44" s="761"/>
      <c r="BV44" s="761"/>
      <c r="BW44" s="761"/>
      <c r="BX44" s="761"/>
      <c r="BY44" s="761"/>
      <c r="BZ44" s="761"/>
      <c r="CA44" s="766">
        <f t="shared" si="46"/>
        <v>0</v>
      </c>
      <c r="CB44" s="760"/>
      <c r="CC44" s="761"/>
      <c r="CD44" s="761"/>
      <c r="CE44" s="761"/>
      <c r="CF44" s="761"/>
      <c r="CG44" s="761">
        <v>2.5999999999999999E-2</v>
      </c>
      <c r="CH44" s="761"/>
      <c r="CI44" s="761"/>
      <c r="CJ44" s="761"/>
      <c r="CK44" s="761"/>
      <c r="CL44" s="761"/>
      <c r="CM44" s="761"/>
      <c r="CN44" s="766">
        <f t="shared" si="47"/>
        <v>2.5999999999999999E-2</v>
      </c>
      <c r="CO44" s="760"/>
      <c r="CP44" s="761"/>
      <c r="CQ44" s="761">
        <v>0.13389999999999999</v>
      </c>
      <c r="CR44" s="761"/>
      <c r="CS44" s="761"/>
      <c r="CT44" s="761"/>
      <c r="CU44" s="761"/>
      <c r="CV44" s="761"/>
      <c r="CW44" s="761">
        <v>6.5000000000000002E-2</v>
      </c>
      <c r="CX44" s="761"/>
      <c r="CY44" s="761"/>
      <c r="CZ44" s="761"/>
      <c r="DA44" s="766">
        <f t="shared" si="48"/>
        <v>0.19889999999999999</v>
      </c>
      <c r="DB44" s="760"/>
      <c r="DC44" s="761"/>
      <c r="DD44" s="761"/>
      <c r="DE44" s="761"/>
      <c r="DF44" s="761"/>
      <c r="DG44" s="761"/>
      <c r="DH44" s="761"/>
      <c r="DI44" s="761"/>
      <c r="DJ44" s="761">
        <v>0.39</v>
      </c>
      <c r="DK44" s="761"/>
      <c r="DL44" s="761">
        <v>0.13</v>
      </c>
      <c r="DM44" s="761"/>
      <c r="DN44" s="766">
        <f t="shared" si="49"/>
        <v>0.52</v>
      </c>
      <c r="DO44" s="760"/>
      <c r="DP44" s="761"/>
      <c r="DQ44" s="761"/>
      <c r="DR44" s="761"/>
      <c r="DS44" s="761"/>
      <c r="DT44" s="761"/>
      <c r="DU44" s="761"/>
      <c r="DV44" s="761"/>
      <c r="DW44" s="761"/>
      <c r="DX44" s="761"/>
      <c r="DY44" s="761"/>
      <c r="DZ44" s="761">
        <v>0.20699999999999999</v>
      </c>
      <c r="EA44" s="766">
        <f t="shared" si="50"/>
        <v>0.20699999999999999</v>
      </c>
      <c r="EB44" s="760"/>
      <c r="EC44" s="761"/>
      <c r="ED44" s="761"/>
      <c r="EE44" s="761"/>
      <c r="EF44" s="761"/>
      <c r="EG44" s="761"/>
      <c r="EH44" s="761"/>
      <c r="EI44" s="761"/>
      <c r="EJ44" s="761"/>
      <c r="EK44" s="761"/>
      <c r="EL44" s="761"/>
      <c r="EM44" s="761"/>
      <c r="EN44" s="766">
        <f t="shared" si="51"/>
        <v>0</v>
      </c>
      <c r="EO44" s="760">
        <v>0</v>
      </c>
      <c r="EP44" s="761">
        <v>0</v>
      </c>
      <c r="EQ44" s="761">
        <v>0</v>
      </c>
      <c r="ER44" s="761">
        <v>0.41200000000000003</v>
      </c>
      <c r="ES44" s="761"/>
      <c r="ET44" s="761"/>
      <c r="EU44" s="761"/>
      <c r="EV44" s="761"/>
      <c r="EW44" s="761"/>
      <c r="EX44" s="761"/>
      <c r="EY44" s="761"/>
      <c r="EZ44" s="761"/>
      <c r="FA44" s="766">
        <f t="shared" si="52"/>
        <v>0.41200000000000003</v>
      </c>
      <c r="FC44" s="549" t="str">
        <f t="shared" si="53"/>
        <v/>
      </c>
      <c r="FD44" s="550" t="str">
        <f t="shared" si="54"/>
        <v/>
      </c>
      <c r="FE44" s="551">
        <f t="shared" si="55"/>
        <v>0</v>
      </c>
      <c r="FF44" s="552">
        <f t="shared" si="56"/>
        <v>0</v>
      </c>
      <c r="FH44" s="917" t="s">
        <v>43</v>
      </c>
      <c r="FI44" s="920" t="str">
        <f t="shared" si="20"/>
        <v>OK</v>
      </c>
    </row>
    <row r="45" spans="1:165" ht="15" customHeight="1" x14ac:dyDescent="0.25">
      <c r="A45" s="349" t="s">
        <v>44</v>
      </c>
      <c r="B45" s="760"/>
      <c r="C45" s="761">
        <v>1</v>
      </c>
      <c r="D45" s="761">
        <v>1</v>
      </c>
      <c r="E45" s="761">
        <v>7</v>
      </c>
      <c r="F45" s="761">
        <v>31</v>
      </c>
      <c r="G45" s="761">
        <v>31</v>
      </c>
      <c r="H45" s="761">
        <v>32</v>
      </c>
      <c r="I45" s="761">
        <v>11</v>
      </c>
      <c r="J45" s="761">
        <v>26</v>
      </c>
      <c r="K45" s="761">
        <v>13</v>
      </c>
      <c r="L45" s="761">
        <v>30</v>
      </c>
      <c r="M45" s="761">
        <v>17</v>
      </c>
      <c r="N45" s="766">
        <f t="shared" si="41"/>
        <v>200</v>
      </c>
      <c r="O45" s="760">
        <v>3</v>
      </c>
      <c r="P45" s="761">
        <v>3</v>
      </c>
      <c r="Q45" s="761">
        <v>1</v>
      </c>
      <c r="R45" s="761">
        <v>1</v>
      </c>
      <c r="S45" s="761">
        <v>22</v>
      </c>
      <c r="T45" s="761">
        <v>22</v>
      </c>
      <c r="U45" s="761">
        <v>13</v>
      </c>
      <c r="V45" s="761">
        <v>37</v>
      </c>
      <c r="W45" s="761">
        <v>26</v>
      </c>
      <c r="X45" s="761">
        <v>19</v>
      </c>
      <c r="Y45" s="761">
        <v>16</v>
      </c>
      <c r="Z45" s="761">
        <v>12</v>
      </c>
      <c r="AA45" s="766">
        <f t="shared" si="42"/>
        <v>175</v>
      </c>
      <c r="AB45" s="760">
        <v>3</v>
      </c>
      <c r="AC45" s="761">
        <v>2</v>
      </c>
      <c r="AD45" s="761">
        <v>3</v>
      </c>
      <c r="AE45" s="761">
        <v>14</v>
      </c>
      <c r="AF45" s="761">
        <v>24</v>
      </c>
      <c r="AG45" s="761">
        <v>17</v>
      </c>
      <c r="AH45" s="761">
        <v>26</v>
      </c>
      <c r="AI45" s="761">
        <v>24</v>
      </c>
      <c r="AJ45" s="761">
        <v>15</v>
      </c>
      <c r="AK45" s="761">
        <v>26</v>
      </c>
      <c r="AL45" s="761">
        <v>19</v>
      </c>
      <c r="AM45" s="761">
        <v>16</v>
      </c>
      <c r="AN45" s="766">
        <f t="shared" si="43"/>
        <v>189</v>
      </c>
      <c r="AO45" s="760">
        <v>1</v>
      </c>
      <c r="AP45" s="761">
        <v>1</v>
      </c>
      <c r="AQ45" s="761">
        <v>2</v>
      </c>
      <c r="AR45" s="761">
        <v>9</v>
      </c>
      <c r="AS45" s="761">
        <v>26</v>
      </c>
      <c r="AT45" s="761">
        <v>28</v>
      </c>
      <c r="AU45" s="761">
        <v>19</v>
      </c>
      <c r="AV45" s="761">
        <v>28</v>
      </c>
      <c r="AW45" s="761">
        <v>18</v>
      </c>
      <c r="AX45" s="761">
        <v>19</v>
      </c>
      <c r="AY45" s="761">
        <v>9</v>
      </c>
      <c r="AZ45" s="761">
        <v>2</v>
      </c>
      <c r="BA45" s="766">
        <f t="shared" si="44"/>
        <v>162</v>
      </c>
      <c r="BB45" s="760">
        <v>6</v>
      </c>
      <c r="BC45" s="761"/>
      <c r="BD45" s="761">
        <v>2</v>
      </c>
      <c r="BE45" s="761">
        <v>10</v>
      </c>
      <c r="BF45" s="761">
        <v>39</v>
      </c>
      <c r="BG45" s="761">
        <v>50</v>
      </c>
      <c r="BH45" s="761">
        <v>27</v>
      </c>
      <c r="BI45" s="761">
        <v>24</v>
      </c>
      <c r="BJ45" s="761">
        <v>25</v>
      </c>
      <c r="BK45" s="761">
        <v>18</v>
      </c>
      <c r="BL45" s="761">
        <v>11</v>
      </c>
      <c r="BM45" s="761">
        <v>1</v>
      </c>
      <c r="BN45" s="766">
        <f t="shared" si="45"/>
        <v>213</v>
      </c>
      <c r="BO45" s="760"/>
      <c r="BP45" s="761">
        <v>1</v>
      </c>
      <c r="BQ45" s="761"/>
      <c r="BR45" s="761"/>
      <c r="BS45" s="761"/>
      <c r="BT45" s="761">
        <v>6</v>
      </c>
      <c r="BU45" s="761">
        <v>21</v>
      </c>
      <c r="BV45" s="761">
        <v>15</v>
      </c>
      <c r="BW45" s="761">
        <v>6</v>
      </c>
      <c r="BX45" s="761">
        <v>7</v>
      </c>
      <c r="BY45" s="761">
        <v>5</v>
      </c>
      <c r="BZ45" s="761">
        <v>1</v>
      </c>
      <c r="CA45" s="766">
        <f t="shared" si="46"/>
        <v>62</v>
      </c>
      <c r="CB45" s="760">
        <v>0.40560000000000002</v>
      </c>
      <c r="CC45" s="761">
        <v>0.13</v>
      </c>
      <c r="CD45" s="761"/>
      <c r="CE45" s="761">
        <v>0.14299999999999999</v>
      </c>
      <c r="CF45" s="761">
        <v>11.933999999999999</v>
      </c>
      <c r="CG45" s="761">
        <v>10.653499999999999</v>
      </c>
      <c r="CH45" s="761">
        <v>0.2</v>
      </c>
      <c r="CI45" s="761">
        <v>1.2</v>
      </c>
      <c r="CJ45" s="761">
        <v>3.08</v>
      </c>
      <c r="CK45" s="761">
        <v>0.55000000000000004</v>
      </c>
      <c r="CL45" s="761">
        <v>3.4200000000000004</v>
      </c>
      <c r="CM45" s="761">
        <v>0.82000000000000006</v>
      </c>
      <c r="CN45" s="766">
        <f t="shared" si="47"/>
        <v>32.536099999999998</v>
      </c>
      <c r="CO45" s="760">
        <v>0.78520000000000001</v>
      </c>
      <c r="CP45" s="761">
        <v>0.72929999999999995</v>
      </c>
      <c r="CQ45" s="761">
        <v>3.6582000000000003</v>
      </c>
      <c r="CR45" s="761">
        <v>1.4950000000000001</v>
      </c>
      <c r="CS45" s="761">
        <v>19.347899999999999</v>
      </c>
      <c r="CT45" s="761">
        <v>13.552499999999998</v>
      </c>
      <c r="CU45" s="761">
        <v>22.125999999999998</v>
      </c>
      <c r="CV45" s="761">
        <v>37.401000000000003</v>
      </c>
      <c r="CW45" s="761">
        <v>20.8</v>
      </c>
      <c r="CX45" s="761">
        <v>6.2</v>
      </c>
      <c r="CY45" s="761">
        <v>6.7210000000000001</v>
      </c>
      <c r="CZ45" s="761">
        <v>2.1710000000000003</v>
      </c>
      <c r="DA45" s="766">
        <f t="shared" si="48"/>
        <v>134.9871</v>
      </c>
      <c r="DB45" s="760">
        <v>0.83460000000000001</v>
      </c>
      <c r="DC45" s="761">
        <v>0.54469999999999996</v>
      </c>
      <c r="DD45" s="761">
        <v>0.66949999999999998</v>
      </c>
      <c r="DE45" s="761">
        <v>3.8090000000000002</v>
      </c>
      <c r="DF45" s="761">
        <v>10.3337</v>
      </c>
      <c r="DG45" s="761">
        <v>4.1859999999999999</v>
      </c>
      <c r="DH45" s="761">
        <v>1.794</v>
      </c>
      <c r="DI45" s="761">
        <v>18.986499999999999</v>
      </c>
      <c r="DJ45" s="761">
        <v>19.37</v>
      </c>
      <c r="DK45" s="761">
        <v>6.5</v>
      </c>
      <c r="DL45" s="761">
        <v>5.4</v>
      </c>
      <c r="DM45" s="761">
        <v>0.4</v>
      </c>
      <c r="DN45" s="766">
        <f t="shared" si="49"/>
        <v>72.828000000000017</v>
      </c>
      <c r="DO45" s="760">
        <v>0.7</v>
      </c>
      <c r="DP45" s="761">
        <v>0.75</v>
      </c>
      <c r="DQ45" s="761">
        <v>1.27</v>
      </c>
      <c r="DR45" s="761">
        <v>6.25</v>
      </c>
      <c r="DS45" s="761">
        <v>3.875</v>
      </c>
      <c r="DT45" s="761">
        <v>4.3929999999999998</v>
      </c>
      <c r="DU45" s="761">
        <v>18.929000000000002</v>
      </c>
      <c r="DV45" s="761">
        <v>6.35</v>
      </c>
      <c r="DW45" s="761">
        <v>15.483000000000001</v>
      </c>
      <c r="DX45" s="761">
        <v>11.391999999999999</v>
      </c>
      <c r="DY45" s="761">
        <v>6.4390000000000001</v>
      </c>
      <c r="DZ45" s="761">
        <v>1.6</v>
      </c>
      <c r="EA45" s="766">
        <f t="shared" si="50"/>
        <v>77.430999999999983</v>
      </c>
      <c r="EB45" s="760">
        <v>3.0000000000000001E-3</v>
      </c>
      <c r="EC45" s="761">
        <v>1.2029999999999998</v>
      </c>
      <c r="ED45" s="761">
        <v>1.3789999999999998</v>
      </c>
      <c r="EE45" s="761">
        <v>3</v>
      </c>
      <c r="EF45" s="761">
        <v>17.05</v>
      </c>
      <c r="EG45" s="761">
        <v>12.125</v>
      </c>
      <c r="EH45" s="761">
        <v>20.515000000000001</v>
      </c>
      <c r="EI45" s="761">
        <v>29.905999999999999</v>
      </c>
      <c r="EJ45" s="761">
        <v>31.736999999999998</v>
      </c>
      <c r="EK45" s="761">
        <v>14.683999999999999</v>
      </c>
      <c r="EL45" s="761">
        <v>2.8929999999999998</v>
      </c>
      <c r="EM45" s="761">
        <v>3.3069999999999999</v>
      </c>
      <c r="EN45" s="766">
        <f t="shared" si="51"/>
        <v>137.80199999999999</v>
      </c>
      <c r="EO45" s="760">
        <v>0</v>
      </c>
      <c r="EP45" s="761">
        <v>0.36000000000000004</v>
      </c>
      <c r="EQ45" s="761">
        <v>3.6790000000000003</v>
      </c>
      <c r="ER45" s="761"/>
      <c r="ES45" s="761"/>
      <c r="ET45" s="761"/>
      <c r="EU45" s="761"/>
      <c r="EV45" s="761"/>
      <c r="EW45" s="761"/>
      <c r="EX45" s="761"/>
      <c r="EY45" s="761"/>
      <c r="EZ45" s="761"/>
      <c r="FA45" s="766">
        <f t="shared" si="52"/>
        <v>4.0390000000000006</v>
      </c>
      <c r="FC45" s="549">
        <f t="shared" si="53"/>
        <v>166.78752719361864</v>
      </c>
      <c r="FD45" s="550">
        <f t="shared" si="54"/>
        <v>56.247582205029055</v>
      </c>
      <c r="FE45" s="551">
        <f t="shared" si="55"/>
        <v>2.5849999999999995</v>
      </c>
      <c r="FF45" s="552">
        <f t="shared" si="56"/>
        <v>4.0390000000000006</v>
      </c>
      <c r="FH45" s="917" t="s">
        <v>44</v>
      </c>
      <c r="FI45" s="920" t="str">
        <f t="shared" si="20"/>
        <v>OK</v>
      </c>
    </row>
    <row r="46" spans="1:165" ht="15" customHeight="1" x14ac:dyDescent="0.25">
      <c r="A46" s="349" t="s">
        <v>45</v>
      </c>
      <c r="B46" s="760">
        <v>1</v>
      </c>
      <c r="C46" s="761"/>
      <c r="D46" s="761"/>
      <c r="E46" s="761">
        <v>2</v>
      </c>
      <c r="F46" s="761">
        <v>8</v>
      </c>
      <c r="G46" s="761">
        <v>6</v>
      </c>
      <c r="H46" s="761">
        <v>10</v>
      </c>
      <c r="I46" s="761">
        <v>9</v>
      </c>
      <c r="J46" s="761">
        <v>6</v>
      </c>
      <c r="K46" s="761">
        <v>2</v>
      </c>
      <c r="L46" s="761">
        <v>2</v>
      </c>
      <c r="M46" s="761">
        <v>1</v>
      </c>
      <c r="N46" s="766">
        <f t="shared" si="41"/>
        <v>47</v>
      </c>
      <c r="O46" s="760">
        <v>1</v>
      </c>
      <c r="P46" s="761"/>
      <c r="Q46" s="761">
        <v>1</v>
      </c>
      <c r="R46" s="761">
        <v>1</v>
      </c>
      <c r="S46" s="761">
        <v>8</v>
      </c>
      <c r="T46" s="761">
        <v>7</v>
      </c>
      <c r="U46" s="761">
        <v>2</v>
      </c>
      <c r="V46" s="761">
        <v>7</v>
      </c>
      <c r="W46" s="761">
        <v>5</v>
      </c>
      <c r="X46" s="761">
        <v>3</v>
      </c>
      <c r="Y46" s="761">
        <v>3</v>
      </c>
      <c r="Z46" s="761">
        <v>1</v>
      </c>
      <c r="AA46" s="766">
        <f t="shared" si="42"/>
        <v>39</v>
      </c>
      <c r="AB46" s="760">
        <v>1</v>
      </c>
      <c r="AC46" s="761">
        <v>1</v>
      </c>
      <c r="AD46" s="761"/>
      <c r="AE46" s="761">
        <v>5</v>
      </c>
      <c r="AF46" s="761">
        <v>6</v>
      </c>
      <c r="AG46" s="761">
        <v>4</v>
      </c>
      <c r="AH46" s="761">
        <v>5</v>
      </c>
      <c r="AI46" s="761">
        <v>13</v>
      </c>
      <c r="AJ46" s="761">
        <v>12</v>
      </c>
      <c r="AK46" s="761">
        <v>5</v>
      </c>
      <c r="AL46" s="761">
        <v>3</v>
      </c>
      <c r="AM46" s="761">
        <v>1</v>
      </c>
      <c r="AN46" s="766">
        <f t="shared" si="43"/>
        <v>56</v>
      </c>
      <c r="AO46" s="760">
        <v>1</v>
      </c>
      <c r="AP46" s="761"/>
      <c r="AQ46" s="761">
        <v>1</v>
      </c>
      <c r="AR46" s="761">
        <v>2</v>
      </c>
      <c r="AS46" s="761">
        <v>5</v>
      </c>
      <c r="AT46" s="761">
        <v>3</v>
      </c>
      <c r="AU46" s="761">
        <v>2</v>
      </c>
      <c r="AV46" s="761">
        <v>5</v>
      </c>
      <c r="AW46" s="761">
        <v>3</v>
      </c>
      <c r="AX46" s="761">
        <v>1</v>
      </c>
      <c r="AY46" s="761">
        <v>1</v>
      </c>
      <c r="AZ46" s="761">
        <v>1</v>
      </c>
      <c r="BA46" s="766">
        <f t="shared" si="44"/>
        <v>25</v>
      </c>
      <c r="BB46" s="760">
        <v>1</v>
      </c>
      <c r="BC46" s="761"/>
      <c r="BD46" s="761">
        <v>1</v>
      </c>
      <c r="BE46" s="761">
        <v>5</v>
      </c>
      <c r="BF46" s="761">
        <v>5</v>
      </c>
      <c r="BG46" s="761">
        <v>6</v>
      </c>
      <c r="BH46" s="761">
        <v>3</v>
      </c>
      <c r="BI46" s="761">
        <v>6</v>
      </c>
      <c r="BJ46" s="761">
        <v>13</v>
      </c>
      <c r="BK46" s="761">
        <v>4</v>
      </c>
      <c r="BL46" s="761">
        <v>1</v>
      </c>
      <c r="BM46" s="761"/>
      <c r="BN46" s="766">
        <f t="shared" si="45"/>
        <v>45</v>
      </c>
      <c r="BO46" s="760"/>
      <c r="BP46" s="761"/>
      <c r="BQ46" s="761"/>
      <c r="BR46" s="761"/>
      <c r="BS46" s="761"/>
      <c r="BT46" s="761"/>
      <c r="BU46" s="761"/>
      <c r="BV46" s="761">
        <v>2</v>
      </c>
      <c r="BW46" s="761">
        <v>1</v>
      </c>
      <c r="BX46" s="761">
        <v>1</v>
      </c>
      <c r="BY46" s="761">
        <v>1</v>
      </c>
      <c r="BZ46" s="761"/>
      <c r="CA46" s="766">
        <f t="shared" si="46"/>
        <v>5</v>
      </c>
      <c r="CB46" s="760">
        <v>0.59149999999999991</v>
      </c>
      <c r="CC46" s="761"/>
      <c r="CD46" s="761"/>
      <c r="CE46" s="761">
        <v>0.16900000000000001</v>
      </c>
      <c r="CF46" s="761">
        <v>0.87880000000000003</v>
      </c>
      <c r="CG46" s="761">
        <v>1.3325</v>
      </c>
      <c r="CH46" s="761">
        <v>20.137999999999998</v>
      </c>
      <c r="CI46" s="761">
        <v>10.555</v>
      </c>
      <c r="CJ46" s="761">
        <v>3.42</v>
      </c>
      <c r="CK46" s="761">
        <v>4.5</v>
      </c>
      <c r="CL46" s="761">
        <v>3.9984999999999999</v>
      </c>
      <c r="CM46" s="761">
        <v>1.1125</v>
      </c>
      <c r="CN46" s="766">
        <f t="shared" si="47"/>
        <v>46.695799999999998</v>
      </c>
      <c r="CO46" s="760">
        <v>0.60710000000000008</v>
      </c>
      <c r="CP46" s="761">
        <v>0.74880000000000002</v>
      </c>
      <c r="CQ46" s="761">
        <v>2.6546000000000003</v>
      </c>
      <c r="CR46" s="761"/>
      <c r="CS46" s="761">
        <v>3.1616</v>
      </c>
      <c r="CT46" s="761">
        <v>1.5730000000000002</v>
      </c>
      <c r="CU46" s="761">
        <v>3.9845000000000002</v>
      </c>
      <c r="CV46" s="761">
        <v>1.9435000000000002</v>
      </c>
      <c r="CW46" s="761">
        <v>8.6189999999999998</v>
      </c>
      <c r="CX46" s="761">
        <v>1.4014</v>
      </c>
      <c r="CY46" s="761">
        <v>0.29899999999999999</v>
      </c>
      <c r="CZ46" s="761">
        <v>5.1999999999999998E-2</v>
      </c>
      <c r="DA46" s="766">
        <f t="shared" si="48"/>
        <v>25.044499999999999</v>
      </c>
      <c r="DB46" s="760">
        <v>0.12480000000000001</v>
      </c>
      <c r="DC46" s="761">
        <v>0.24440000000000001</v>
      </c>
      <c r="DD46" s="761">
        <v>0.1807</v>
      </c>
      <c r="DE46" s="761">
        <v>0.73450000000000004</v>
      </c>
      <c r="DF46" s="761">
        <v>1.3780000000000001</v>
      </c>
      <c r="DG46" s="761">
        <v>0.754</v>
      </c>
      <c r="DH46" s="761">
        <v>9.7500000000000003E-2</v>
      </c>
      <c r="DI46" s="761">
        <v>4.29</v>
      </c>
      <c r="DJ46" s="761">
        <v>2.0149999999999997</v>
      </c>
      <c r="DK46" s="761">
        <v>0.55900000000000005</v>
      </c>
      <c r="DL46" s="761">
        <v>0.39</v>
      </c>
      <c r="DM46" s="761"/>
      <c r="DN46" s="766">
        <f t="shared" si="49"/>
        <v>10.767899999999999</v>
      </c>
      <c r="DO46" s="760">
        <v>0.05</v>
      </c>
      <c r="DP46" s="761">
        <v>0.05</v>
      </c>
      <c r="DQ46" s="761">
        <v>0.52</v>
      </c>
      <c r="DR46" s="761">
        <v>0.15</v>
      </c>
      <c r="DS46" s="761">
        <v>1.3560000000000001</v>
      </c>
      <c r="DT46" s="761">
        <v>7.2859999999999996</v>
      </c>
      <c r="DU46" s="761">
        <v>3.1</v>
      </c>
      <c r="DV46" s="761">
        <v>1.2499999999999998</v>
      </c>
      <c r="DW46" s="761">
        <v>5.0250000000000004</v>
      </c>
      <c r="DX46" s="761">
        <v>2.2489999999999997</v>
      </c>
      <c r="DY46" s="761">
        <v>1.1680000000000001</v>
      </c>
      <c r="DZ46" s="761">
        <v>0.80699999999999994</v>
      </c>
      <c r="EA46" s="766">
        <f t="shared" si="50"/>
        <v>23.010999999999996</v>
      </c>
      <c r="EB46" s="760">
        <v>9.7000000000000003E-2</v>
      </c>
      <c r="EC46" s="761">
        <v>0.115</v>
      </c>
      <c r="ED46" s="761">
        <v>0.252</v>
      </c>
      <c r="EE46" s="761"/>
      <c r="EF46" s="761"/>
      <c r="EG46" s="761"/>
      <c r="EH46" s="761"/>
      <c r="EI46" s="761">
        <v>1.532</v>
      </c>
      <c r="EJ46" s="761">
        <v>1.6579999999999999</v>
      </c>
      <c r="EK46" s="761">
        <v>4.2629999999999999</v>
      </c>
      <c r="EL46" s="761">
        <v>0.42899999999999999</v>
      </c>
      <c r="EM46" s="761"/>
      <c r="EN46" s="766">
        <f t="shared" si="51"/>
        <v>8.3460000000000001</v>
      </c>
      <c r="EO46" s="760">
        <v>0</v>
      </c>
      <c r="EP46" s="761">
        <v>0.35000000000000003</v>
      </c>
      <c r="EQ46" s="761">
        <v>2.1000000000000001E-2</v>
      </c>
      <c r="ER46" s="761">
        <v>2.2409999999999997</v>
      </c>
      <c r="ES46" s="761"/>
      <c r="ET46" s="761"/>
      <c r="EU46" s="761"/>
      <c r="EV46" s="761"/>
      <c r="EW46" s="761"/>
      <c r="EX46" s="761"/>
      <c r="EY46" s="761"/>
      <c r="EZ46" s="761"/>
      <c r="FA46" s="766">
        <f t="shared" si="52"/>
        <v>2.6119999999999997</v>
      </c>
      <c r="FC46" s="549">
        <f t="shared" si="53"/>
        <v>-91.666666666666657</v>
      </c>
      <c r="FD46" s="550">
        <f t="shared" si="54"/>
        <v>-20.043103448275858</v>
      </c>
      <c r="FE46" s="551">
        <f t="shared" si="55"/>
        <v>0.46400000000000002</v>
      </c>
      <c r="FF46" s="552">
        <f t="shared" si="56"/>
        <v>0.37100000000000005</v>
      </c>
      <c r="FH46" s="917" t="s">
        <v>45</v>
      </c>
      <c r="FI46" s="920" t="str">
        <f t="shared" si="20"/>
        <v>OK</v>
      </c>
    </row>
    <row r="47" spans="1:165" ht="15" customHeight="1" x14ac:dyDescent="0.25">
      <c r="A47" s="349" t="s">
        <v>47</v>
      </c>
      <c r="B47" s="760">
        <v>1</v>
      </c>
      <c r="C47" s="761"/>
      <c r="D47" s="761"/>
      <c r="E47" s="761"/>
      <c r="F47" s="761"/>
      <c r="G47" s="761"/>
      <c r="H47" s="761"/>
      <c r="I47" s="761"/>
      <c r="J47" s="761">
        <v>7</v>
      </c>
      <c r="K47" s="761"/>
      <c r="L47" s="761"/>
      <c r="M47" s="761"/>
      <c r="N47" s="766">
        <f t="shared" si="41"/>
        <v>8</v>
      </c>
      <c r="O47" s="760">
        <v>1</v>
      </c>
      <c r="P47" s="761"/>
      <c r="Q47" s="761"/>
      <c r="R47" s="761"/>
      <c r="S47" s="761">
        <v>1</v>
      </c>
      <c r="T47" s="761">
        <v>1</v>
      </c>
      <c r="U47" s="761"/>
      <c r="V47" s="761"/>
      <c r="W47" s="761"/>
      <c r="X47" s="761"/>
      <c r="Y47" s="761"/>
      <c r="Z47" s="761">
        <v>1</v>
      </c>
      <c r="AA47" s="766">
        <f t="shared" si="42"/>
        <v>4</v>
      </c>
      <c r="AB47" s="760">
        <v>1</v>
      </c>
      <c r="AC47" s="761"/>
      <c r="AD47" s="761">
        <v>1</v>
      </c>
      <c r="AE47" s="761">
        <v>2</v>
      </c>
      <c r="AF47" s="761">
        <v>1</v>
      </c>
      <c r="AG47" s="761"/>
      <c r="AH47" s="761"/>
      <c r="AI47" s="761"/>
      <c r="AJ47" s="761"/>
      <c r="AK47" s="761"/>
      <c r="AL47" s="761"/>
      <c r="AM47" s="761">
        <v>1</v>
      </c>
      <c r="AN47" s="766">
        <f t="shared" si="43"/>
        <v>6</v>
      </c>
      <c r="AO47" s="760">
        <v>1</v>
      </c>
      <c r="AP47" s="761"/>
      <c r="AQ47" s="761"/>
      <c r="AR47" s="761">
        <v>1</v>
      </c>
      <c r="AS47" s="761"/>
      <c r="AT47" s="761"/>
      <c r="AU47" s="761"/>
      <c r="AV47" s="761"/>
      <c r="AW47" s="761"/>
      <c r="AX47" s="761"/>
      <c r="AY47" s="761"/>
      <c r="AZ47" s="761"/>
      <c r="BA47" s="766">
        <f t="shared" si="44"/>
        <v>2</v>
      </c>
      <c r="BB47" s="760">
        <v>1</v>
      </c>
      <c r="BC47" s="761"/>
      <c r="BD47" s="761"/>
      <c r="BE47" s="761"/>
      <c r="BF47" s="761"/>
      <c r="BG47" s="761"/>
      <c r="BH47" s="761"/>
      <c r="BI47" s="761"/>
      <c r="BJ47" s="761"/>
      <c r="BK47" s="761"/>
      <c r="BL47" s="761"/>
      <c r="BM47" s="761">
        <v>1</v>
      </c>
      <c r="BN47" s="766">
        <f t="shared" si="45"/>
        <v>2</v>
      </c>
      <c r="BO47" s="760"/>
      <c r="BP47" s="761"/>
      <c r="BQ47" s="761"/>
      <c r="BR47" s="761"/>
      <c r="BS47" s="761"/>
      <c r="BT47" s="761"/>
      <c r="BU47" s="761"/>
      <c r="BV47" s="761"/>
      <c r="BW47" s="761"/>
      <c r="BX47" s="761"/>
      <c r="BY47" s="761"/>
      <c r="BZ47" s="761"/>
      <c r="CA47" s="766">
        <f t="shared" si="46"/>
        <v>0</v>
      </c>
      <c r="CB47" s="760">
        <v>0.182</v>
      </c>
      <c r="CC47" s="761"/>
      <c r="CD47" s="761">
        <v>4.8750000000000002E-2</v>
      </c>
      <c r="CE47" s="761"/>
      <c r="CF47" s="761">
        <v>0.16250000000000001</v>
      </c>
      <c r="CG47" s="761">
        <v>0.97500000000000009</v>
      </c>
      <c r="CH47" s="761">
        <v>1.84</v>
      </c>
      <c r="CI47" s="761">
        <v>1.35</v>
      </c>
      <c r="CJ47" s="761">
        <v>0.84</v>
      </c>
      <c r="CK47" s="761">
        <v>0.25</v>
      </c>
      <c r="CL47" s="761">
        <v>0.05</v>
      </c>
      <c r="CM47" s="761"/>
      <c r="CN47" s="766">
        <f t="shared" si="47"/>
        <v>5.6982500000000007</v>
      </c>
      <c r="CO47" s="760">
        <v>0.27929999999999999</v>
      </c>
      <c r="CP47" s="761">
        <v>0.15529999999999999</v>
      </c>
      <c r="CQ47" s="761">
        <v>1.7989000000000002</v>
      </c>
      <c r="CR47" s="761"/>
      <c r="CS47" s="761">
        <v>1.6900000000000002E-2</v>
      </c>
      <c r="CT47" s="761">
        <v>0.23399999999999999</v>
      </c>
      <c r="CU47" s="761">
        <v>0.24049999999999999</v>
      </c>
      <c r="CV47" s="761"/>
      <c r="CW47" s="761">
        <v>2.5999999999999999E-2</v>
      </c>
      <c r="CX47" s="761">
        <v>0.36399999999999999</v>
      </c>
      <c r="CY47" s="761">
        <v>0.11700000000000001</v>
      </c>
      <c r="CZ47" s="761">
        <v>0.27300000000000002</v>
      </c>
      <c r="DA47" s="766">
        <f t="shared" si="48"/>
        <v>3.5049000000000001</v>
      </c>
      <c r="DB47" s="760"/>
      <c r="DC47" s="761"/>
      <c r="DD47" s="761">
        <v>2.5999999999999999E-2</v>
      </c>
      <c r="DE47" s="761">
        <v>4.5499999999999999E-2</v>
      </c>
      <c r="DF47" s="761"/>
      <c r="DG47" s="761">
        <v>6.4999999999999997E-3</v>
      </c>
      <c r="DH47" s="761"/>
      <c r="DI47" s="761"/>
      <c r="DJ47" s="761">
        <v>0.26</v>
      </c>
      <c r="DK47" s="761">
        <v>0.13</v>
      </c>
      <c r="DL47" s="761">
        <v>0.13</v>
      </c>
      <c r="DM47" s="761"/>
      <c r="DN47" s="766">
        <f t="shared" si="49"/>
        <v>0.59800000000000009</v>
      </c>
      <c r="DO47" s="760"/>
      <c r="DP47" s="761"/>
      <c r="DQ47" s="761"/>
      <c r="DR47" s="761"/>
      <c r="DS47" s="761">
        <v>1.853</v>
      </c>
      <c r="DT47" s="761"/>
      <c r="DU47" s="761">
        <v>0.31</v>
      </c>
      <c r="DV47" s="761">
        <v>0.14000000000000001</v>
      </c>
      <c r="DW47" s="761">
        <v>0.51</v>
      </c>
      <c r="DX47" s="761"/>
      <c r="DY47" s="761">
        <v>5.8000000000000003E-2</v>
      </c>
      <c r="DZ47" s="761"/>
      <c r="EA47" s="766">
        <f t="shared" si="50"/>
        <v>2.8709999999999996</v>
      </c>
      <c r="EB47" s="760"/>
      <c r="EC47" s="761"/>
      <c r="ED47" s="761"/>
      <c r="EE47" s="761"/>
      <c r="EF47" s="761">
        <v>0.16</v>
      </c>
      <c r="EG47" s="761">
        <v>0.01</v>
      </c>
      <c r="EH47" s="761">
        <v>0.43</v>
      </c>
      <c r="EI47" s="761">
        <v>0.157</v>
      </c>
      <c r="EJ47" s="761">
        <v>0.13</v>
      </c>
      <c r="EK47" s="761">
        <v>0.02</v>
      </c>
      <c r="EL47" s="761">
        <v>8.6999999999999994E-2</v>
      </c>
      <c r="EM47" s="761">
        <v>0.04</v>
      </c>
      <c r="EN47" s="766">
        <f t="shared" si="51"/>
        <v>1.034</v>
      </c>
      <c r="EO47" s="760">
        <v>0</v>
      </c>
      <c r="EP47" s="761">
        <v>2.5000000000000001E-2</v>
      </c>
      <c r="EQ47" s="761">
        <v>0</v>
      </c>
      <c r="ER47" s="761">
        <v>0.74399999999999999</v>
      </c>
      <c r="ES47" s="761"/>
      <c r="ET47" s="761"/>
      <c r="EU47" s="761"/>
      <c r="EV47" s="761"/>
      <c r="EW47" s="761"/>
      <c r="EX47" s="761"/>
      <c r="EY47" s="761"/>
      <c r="EZ47" s="761"/>
      <c r="FA47" s="766">
        <f t="shared" si="52"/>
        <v>0.76900000000000002</v>
      </c>
      <c r="FC47" s="549" t="str">
        <f t="shared" si="53"/>
        <v/>
      </c>
      <c r="FD47" s="550" t="str">
        <f t="shared" si="54"/>
        <v/>
      </c>
      <c r="FE47" s="551">
        <f t="shared" si="55"/>
        <v>0</v>
      </c>
      <c r="FF47" s="552">
        <f t="shared" si="56"/>
        <v>2.5000000000000001E-2</v>
      </c>
      <c r="FH47" s="917" t="s">
        <v>47</v>
      </c>
      <c r="FI47" s="920" t="str">
        <f t="shared" si="20"/>
        <v>OK</v>
      </c>
    </row>
    <row r="48" spans="1:165" ht="15" customHeight="1" x14ac:dyDescent="0.25">
      <c r="A48" s="349" t="s">
        <v>46</v>
      </c>
      <c r="B48" s="760"/>
      <c r="C48" s="761">
        <v>1</v>
      </c>
      <c r="D48" s="761">
        <v>1</v>
      </c>
      <c r="E48" s="761">
        <v>1</v>
      </c>
      <c r="F48" s="761"/>
      <c r="G48" s="761"/>
      <c r="H48" s="761">
        <v>1</v>
      </c>
      <c r="I48" s="761">
        <v>1</v>
      </c>
      <c r="J48" s="761">
        <v>3</v>
      </c>
      <c r="K48" s="761">
        <v>2</v>
      </c>
      <c r="L48" s="761"/>
      <c r="M48" s="761"/>
      <c r="N48" s="766">
        <f t="shared" si="41"/>
        <v>10</v>
      </c>
      <c r="O48" s="760"/>
      <c r="P48" s="761"/>
      <c r="Q48" s="761"/>
      <c r="R48" s="761">
        <v>1</v>
      </c>
      <c r="S48" s="761">
        <v>1</v>
      </c>
      <c r="T48" s="761"/>
      <c r="U48" s="761">
        <v>1</v>
      </c>
      <c r="V48" s="761">
        <v>1</v>
      </c>
      <c r="W48" s="761">
        <v>1</v>
      </c>
      <c r="X48" s="761">
        <v>1</v>
      </c>
      <c r="Y48" s="761">
        <v>3</v>
      </c>
      <c r="Z48" s="761"/>
      <c r="AA48" s="766">
        <f t="shared" si="42"/>
        <v>9</v>
      </c>
      <c r="AB48" s="760">
        <v>12</v>
      </c>
      <c r="AC48" s="761">
        <v>8</v>
      </c>
      <c r="AD48" s="761"/>
      <c r="AE48" s="761"/>
      <c r="AF48" s="761">
        <v>1</v>
      </c>
      <c r="AG48" s="761"/>
      <c r="AH48" s="761">
        <v>1</v>
      </c>
      <c r="AI48" s="761">
        <v>4</v>
      </c>
      <c r="AJ48" s="761">
        <v>1</v>
      </c>
      <c r="AK48" s="761">
        <v>4</v>
      </c>
      <c r="AL48" s="761"/>
      <c r="AM48" s="761">
        <v>1</v>
      </c>
      <c r="AN48" s="766">
        <f t="shared" si="43"/>
        <v>32</v>
      </c>
      <c r="AO48" s="760">
        <v>1</v>
      </c>
      <c r="AP48" s="761"/>
      <c r="AQ48" s="761"/>
      <c r="AR48" s="761">
        <v>1</v>
      </c>
      <c r="AS48" s="761"/>
      <c r="AT48" s="761">
        <v>1</v>
      </c>
      <c r="AU48" s="761">
        <v>3</v>
      </c>
      <c r="AV48" s="761">
        <v>2</v>
      </c>
      <c r="AW48" s="761">
        <v>1</v>
      </c>
      <c r="AX48" s="761">
        <v>1</v>
      </c>
      <c r="AY48" s="761">
        <v>1</v>
      </c>
      <c r="AZ48" s="761">
        <v>3</v>
      </c>
      <c r="BA48" s="766">
        <f t="shared" si="44"/>
        <v>14</v>
      </c>
      <c r="BB48" s="760"/>
      <c r="BC48" s="761"/>
      <c r="BD48" s="761"/>
      <c r="BE48" s="761"/>
      <c r="BF48" s="761"/>
      <c r="BG48" s="761"/>
      <c r="BH48" s="761">
        <v>2</v>
      </c>
      <c r="BI48" s="761">
        <v>1</v>
      </c>
      <c r="BJ48" s="761">
        <v>2</v>
      </c>
      <c r="BK48" s="761"/>
      <c r="BL48" s="761">
        <v>1</v>
      </c>
      <c r="BM48" s="761">
        <v>1</v>
      </c>
      <c r="BN48" s="766">
        <f t="shared" si="45"/>
        <v>7</v>
      </c>
      <c r="BO48" s="760"/>
      <c r="BP48" s="761">
        <v>1</v>
      </c>
      <c r="BQ48" s="761"/>
      <c r="BR48" s="761"/>
      <c r="BS48" s="761"/>
      <c r="BT48" s="761"/>
      <c r="BU48" s="761"/>
      <c r="BV48" s="761">
        <v>2</v>
      </c>
      <c r="BW48" s="761"/>
      <c r="BX48" s="761"/>
      <c r="BY48" s="761">
        <v>2</v>
      </c>
      <c r="BZ48" s="761">
        <v>1</v>
      </c>
      <c r="CA48" s="766">
        <f t="shared" si="46"/>
        <v>6</v>
      </c>
      <c r="CB48" s="760">
        <v>0.624</v>
      </c>
      <c r="CC48" s="761">
        <v>0.54600000000000004</v>
      </c>
      <c r="CD48" s="761"/>
      <c r="CE48" s="761">
        <v>0.104</v>
      </c>
      <c r="CF48" s="761"/>
      <c r="CG48" s="761"/>
      <c r="CH48" s="761">
        <v>3.28</v>
      </c>
      <c r="CI48" s="761"/>
      <c r="CJ48" s="761"/>
      <c r="CK48" s="761">
        <v>0.01</v>
      </c>
      <c r="CL48" s="761"/>
      <c r="CM48" s="761"/>
      <c r="CN48" s="766">
        <f t="shared" si="47"/>
        <v>4.5640000000000001</v>
      </c>
      <c r="CO48" s="760">
        <v>0.84889999999999999</v>
      </c>
      <c r="CP48" s="761">
        <v>1.4599</v>
      </c>
      <c r="CQ48" s="761">
        <v>0.55900000000000005</v>
      </c>
      <c r="CR48" s="761">
        <v>0.11375</v>
      </c>
      <c r="CS48" s="761">
        <v>9.7500000000000003E-2</v>
      </c>
      <c r="CT48" s="761">
        <v>1.4950000000000001</v>
      </c>
      <c r="CU48" s="761">
        <v>1.69</v>
      </c>
      <c r="CV48" s="761">
        <v>0.85150000000000003</v>
      </c>
      <c r="CW48" s="761">
        <v>1.04</v>
      </c>
      <c r="CX48" s="761">
        <v>0.31850000000000001</v>
      </c>
      <c r="CY48" s="761">
        <v>0.37375000000000003</v>
      </c>
      <c r="CZ48" s="761">
        <v>4.5499999999999999E-2</v>
      </c>
      <c r="DA48" s="766">
        <f t="shared" si="48"/>
        <v>8.8932999999999982</v>
      </c>
      <c r="DB48" s="760">
        <v>0.65</v>
      </c>
      <c r="DC48" s="761">
        <v>0.41405000000000003</v>
      </c>
      <c r="DD48" s="761">
        <v>2.2749999999999999</v>
      </c>
      <c r="DE48" s="761">
        <v>0.42899999999999999</v>
      </c>
      <c r="DF48" s="761">
        <v>1.8525</v>
      </c>
      <c r="DG48" s="761">
        <v>0.624</v>
      </c>
      <c r="DH48" s="761">
        <v>1.9922500000000001</v>
      </c>
      <c r="DI48" s="761">
        <v>0.40625</v>
      </c>
      <c r="DJ48" s="761">
        <v>2.1937500000000001</v>
      </c>
      <c r="DK48" s="761">
        <v>1.3260000000000001</v>
      </c>
      <c r="DL48" s="761">
        <v>0.13</v>
      </c>
      <c r="DM48" s="761">
        <v>0.1</v>
      </c>
      <c r="DN48" s="766">
        <f t="shared" si="49"/>
        <v>12.392799999999999</v>
      </c>
      <c r="DO48" s="760">
        <v>0.1</v>
      </c>
      <c r="DP48" s="761"/>
      <c r="DQ48" s="761"/>
      <c r="DR48" s="761">
        <v>3.6999999999999998E-2</v>
      </c>
      <c r="DS48" s="761">
        <v>1.333</v>
      </c>
      <c r="DT48" s="761"/>
      <c r="DU48" s="761">
        <v>0.1</v>
      </c>
      <c r="DV48" s="761">
        <v>0.2</v>
      </c>
      <c r="DW48" s="761">
        <v>0.2</v>
      </c>
      <c r="DX48" s="761"/>
      <c r="DY48" s="761">
        <v>0.375</v>
      </c>
      <c r="DZ48" s="761">
        <v>0.35</v>
      </c>
      <c r="EA48" s="766">
        <f t="shared" si="50"/>
        <v>2.6949999999999998</v>
      </c>
      <c r="EB48" s="760">
        <v>0.41299999999999998</v>
      </c>
      <c r="EC48" s="761"/>
      <c r="ED48" s="761">
        <v>1.7000000000000001E-2</v>
      </c>
      <c r="EE48" s="761"/>
      <c r="EF48" s="761">
        <v>7.0000000000000007E-2</v>
      </c>
      <c r="EG48" s="761"/>
      <c r="EH48" s="761">
        <v>0.36499999999999999</v>
      </c>
      <c r="EI48" s="761">
        <v>1.9119999999999999</v>
      </c>
      <c r="EJ48" s="761">
        <v>0.15</v>
      </c>
      <c r="EK48" s="761">
        <v>0.55099999999999993</v>
      </c>
      <c r="EL48" s="761">
        <v>0.46899999999999997</v>
      </c>
      <c r="EM48" s="761">
        <v>0.01</v>
      </c>
      <c r="EN48" s="766">
        <f t="shared" si="51"/>
        <v>3.9569999999999994</v>
      </c>
      <c r="EO48" s="760">
        <v>0</v>
      </c>
      <c r="EP48" s="761">
        <v>0.02</v>
      </c>
      <c r="EQ48" s="761">
        <v>0.2</v>
      </c>
      <c r="ER48" s="761"/>
      <c r="ES48" s="761"/>
      <c r="ET48" s="761"/>
      <c r="EU48" s="761"/>
      <c r="EV48" s="761"/>
      <c r="EW48" s="761"/>
      <c r="EX48" s="761"/>
      <c r="EY48" s="761"/>
      <c r="EZ48" s="761"/>
      <c r="FA48" s="766">
        <f t="shared" si="52"/>
        <v>0.22</v>
      </c>
      <c r="FC48" s="549">
        <f t="shared" si="53"/>
        <v>1076.4705882352939</v>
      </c>
      <c r="FD48" s="550">
        <f t="shared" si="54"/>
        <v>-48.837209302325576</v>
      </c>
      <c r="FE48" s="551">
        <f t="shared" si="55"/>
        <v>0.43</v>
      </c>
      <c r="FF48" s="552">
        <f t="shared" si="56"/>
        <v>0.22</v>
      </c>
      <c r="FH48" s="917" t="s">
        <v>46</v>
      </c>
      <c r="FI48" s="920" t="str">
        <f t="shared" si="20"/>
        <v>OK</v>
      </c>
    </row>
    <row r="49" spans="1:168" ht="15" customHeight="1" x14ac:dyDescent="0.25">
      <c r="A49" s="349" t="s">
        <v>48</v>
      </c>
      <c r="B49" s="760">
        <v>3</v>
      </c>
      <c r="C49" s="761">
        <v>1</v>
      </c>
      <c r="D49" s="761">
        <v>1</v>
      </c>
      <c r="E49" s="761">
        <v>1</v>
      </c>
      <c r="F49" s="761">
        <v>1</v>
      </c>
      <c r="G49" s="761"/>
      <c r="H49" s="761">
        <v>1</v>
      </c>
      <c r="I49" s="761">
        <v>1</v>
      </c>
      <c r="J49" s="761">
        <v>1</v>
      </c>
      <c r="K49" s="761">
        <v>1</v>
      </c>
      <c r="L49" s="761">
        <v>4</v>
      </c>
      <c r="M49" s="761">
        <v>6</v>
      </c>
      <c r="N49" s="766">
        <f t="shared" si="41"/>
        <v>21</v>
      </c>
      <c r="O49" s="760">
        <v>3</v>
      </c>
      <c r="P49" s="761"/>
      <c r="Q49" s="761">
        <v>1</v>
      </c>
      <c r="R49" s="761">
        <v>1</v>
      </c>
      <c r="S49" s="761">
        <v>2</v>
      </c>
      <c r="T49" s="761"/>
      <c r="U49" s="761"/>
      <c r="V49" s="761">
        <v>2</v>
      </c>
      <c r="W49" s="761">
        <v>1</v>
      </c>
      <c r="X49" s="761">
        <v>6</v>
      </c>
      <c r="Y49" s="761">
        <v>13</v>
      </c>
      <c r="Z49" s="761">
        <v>1</v>
      </c>
      <c r="AA49" s="766">
        <f t="shared" si="42"/>
        <v>30</v>
      </c>
      <c r="AB49" s="760">
        <v>14</v>
      </c>
      <c r="AC49" s="761">
        <v>1</v>
      </c>
      <c r="AD49" s="761"/>
      <c r="AE49" s="761">
        <v>1</v>
      </c>
      <c r="AF49" s="761">
        <v>1</v>
      </c>
      <c r="AG49" s="761">
        <v>3</v>
      </c>
      <c r="AH49" s="761">
        <v>7</v>
      </c>
      <c r="AI49" s="761">
        <v>7</v>
      </c>
      <c r="AJ49" s="761">
        <v>1</v>
      </c>
      <c r="AK49" s="761">
        <v>12</v>
      </c>
      <c r="AL49" s="761">
        <v>3</v>
      </c>
      <c r="AM49" s="761">
        <v>7</v>
      </c>
      <c r="AN49" s="766">
        <f t="shared" si="43"/>
        <v>57</v>
      </c>
      <c r="AO49" s="760">
        <v>1</v>
      </c>
      <c r="AP49" s="761">
        <v>10</v>
      </c>
      <c r="AQ49" s="761">
        <v>2</v>
      </c>
      <c r="AR49" s="761">
        <v>1</v>
      </c>
      <c r="AS49" s="761">
        <v>2</v>
      </c>
      <c r="AT49" s="761">
        <v>12</v>
      </c>
      <c r="AU49" s="761">
        <v>4</v>
      </c>
      <c r="AV49" s="761">
        <v>4</v>
      </c>
      <c r="AW49" s="761">
        <v>3</v>
      </c>
      <c r="AX49" s="761">
        <v>4</v>
      </c>
      <c r="AY49" s="761">
        <v>4</v>
      </c>
      <c r="AZ49" s="761">
        <v>7</v>
      </c>
      <c r="BA49" s="766">
        <f t="shared" si="44"/>
        <v>54</v>
      </c>
      <c r="BB49" s="760">
        <v>1</v>
      </c>
      <c r="BC49" s="761">
        <v>3</v>
      </c>
      <c r="BD49" s="761">
        <v>4</v>
      </c>
      <c r="BE49" s="761">
        <v>2</v>
      </c>
      <c r="BF49" s="761">
        <v>2</v>
      </c>
      <c r="BG49" s="761">
        <v>3</v>
      </c>
      <c r="BH49" s="761">
        <v>1</v>
      </c>
      <c r="BI49" s="761">
        <v>3</v>
      </c>
      <c r="BJ49" s="761">
        <v>3</v>
      </c>
      <c r="BK49" s="761"/>
      <c r="BL49" s="761">
        <v>2</v>
      </c>
      <c r="BM49" s="761">
        <v>2</v>
      </c>
      <c r="BN49" s="766">
        <f t="shared" si="45"/>
        <v>26</v>
      </c>
      <c r="BO49" s="760"/>
      <c r="BP49" s="761"/>
      <c r="BQ49" s="761"/>
      <c r="BR49" s="761"/>
      <c r="BS49" s="761"/>
      <c r="BT49" s="761"/>
      <c r="BU49" s="761"/>
      <c r="BV49" s="761"/>
      <c r="BW49" s="761">
        <v>2</v>
      </c>
      <c r="BX49" s="761">
        <v>1</v>
      </c>
      <c r="BY49" s="761"/>
      <c r="BZ49" s="761"/>
      <c r="CA49" s="766">
        <f t="shared" si="46"/>
        <v>3</v>
      </c>
      <c r="CB49" s="760">
        <v>0.13390000000000002</v>
      </c>
      <c r="CC49" s="761">
        <v>6.5000000000000002E-2</v>
      </c>
      <c r="CD49" s="761">
        <v>0.42249999999999999</v>
      </c>
      <c r="CE49" s="761">
        <v>0.13</v>
      </c>
      <c r="CF49" s="761"/>
      <c r="CG49" s="761">
        <v>0.48749999999999999</v>
      </c>
      <c r="CH49" s="761">
        <v>0.63</v>
      </c>
      <c r="CI49" s="761">
        <v>1.85</v>
      </c>
      <c r="CJ49" s="761">
        <v>0.46</v>
      </c>
      <c r="CK49" s="761">
        <v>0.1</v>
      </c>
      <c r="CL49" s="761">
        <v>0.2</v>
      </c>
      <c r="CM49" s="761">
        <v>0.2</v>
      </c>
      <c r="CN49" s="766">
        <f t="shared" si="47"/>
        <v>4.6789000000000005</v>
      </c>
      <c r="CO49" s="760">
        <v>0.63280000000000003</v>
      </c>
      <c r="CP49" s="761">
        <v>0.61930000000000007</v>
      </c>
      <c r="CQ49" s="761">
        <v>0.26979999999999998</v>
      </c>
      <c r="CR49" s="761">
        <v>0.97499999999999998</v>
      </c>
      <c r="CS49" s="761">
        <v>1.7224999999999999</v>
      </c>
      <c r="CT49" s="761">
        <v>2.8827500000000006</v>
      </c>
      <c r="CU49" s="761">
        <v>1.2350000000000001</v>
      </c>
      <c r="CV49" s="761">
        <v>3.1069999999999998</v>
      </c>
      <c r="CW49" s="761">
        <v>3.081</v>
      </c>
      <c r="CX49" s="761">
        <v>0.86125000000000007</v>
      </c>
      <c r="CY49" s="761">
        <v>0.31524999999999997</v>
      </c>
      <c r="CZ49" s="761">
        <v>2.4537499999999999</v>
      </c>
      <c r="DA49" s="766">
        <f t="shared" si="48"/>
        <v>18.1554</v>
      </c>
      <c r="DB49" s="760">
        <v>1.4664000000000001</v>
      </c>
      <c r="DC49" s="761">
        <v>3.1850000000000001</v>
      </c>
      <c r="DD49" s="761"/>
      <c r="DE49" s="761">
        <v>0.48749999999999999</v>
      </c>
      <c r="DF49" s="761">
        <v>1.4624999999999999</v>
      </c>
      <c r="DG49" s="761">
        <v>1.97275</v>
      </c>
      <c r="DH49" s="761">
        <v>0.53625</v>
      </c>
      <c r="DI49" s="761">
        <v>0.71499999999999997</v>
      </c>
      <c r="DJ49" s="761">
        <v>1.94675</v>
      </c>
      <c r="DK49" s="761">
        <v>2.6520000000000001</v>
      </c>
      <c r="DL49" s="761">
        <v>2.34</v>
      </c>
      <c r="DM49" s="761">
        <v>1</v>
      </c>
      <c r="DN49" s="766">
        <f t="shared" si="49"/>
        <v>17.764150000000001</v>
      </c>
      <c r="DO49" s="760">
        <v>0.85</v>
      </c>
      <c r="DP49" s="761">
        <v>0.79</v>
      </c>
      <c r="DQ49" s="761">
        <v>4.05</v>
      </c>
      <c r="DR49" s="761">
        <v>3.6500000000000004</v>
      </c>
      <c r="DS49" s="761">
        <v>0.19400000000000001</v>
      </c>
      <c r="DT49" s="761">
        <v>1.1299999999999999</v>
      </c>
      <c r="DU49" s="761">
        <v>0.57699999999999996</v>
      </c>
      <c r="DV49" s="761">
        <v>1.1100000000000001</v>
      </c>
      <c r="DW49" s="761">
        <v>0.2</v>
      </c>
      <c r="DX49" s="761">
        <v>0.443</v>
      </c>
      <c r="DY49" s="761">
        <v>0.51400000000000001</v>
      </c>
      <c r="DZ49" s="761"/>
      <c r="EA49" s="766">
        <f t="shared" si="50"/>
        <v>13.507999999999999</v>
      </c>
      <c r="EB49" s="760"/>
      <c r="EC49" s="761"/>
      <c r="ED49" s="761">
        <v>0.32199999999999995</v>
      </c>
      <c r="EE49" s="761">
        <v>0.3</v>
      </c>
      <c r="EF49" s="761">
        <v>0.41</v>
      </c>
      <c r="EG49" s="761">
        <v>0.1</v>
      </c>
      <c r="EH49" s="761">
        <v>0.75600000000000001</v>
      </c>
      <c r="EI49" s="761">
        <v>0.04</v>
      </c>
      <c r="EJ49" s="761">
        <v>0.15</v>
      </c>
      <c r="EK49" s="761">
        <v>0.02</v>
      </c>
      <c r="EL49" s="761">
        <v>1.52</v>
      </c>
      <c r="EM49" s="761">
        <v>4.7E-2</v>
      </c>
      <c r="EN49" s="766">
        <f t="shared" si="51"/>
        <v>3.665</v>
      </c>
      <c r="EO49" s="760">
        <v>0.01</v>
      </c>
      <c r="EP49" s="761">
        <v>0.03</v>
      </c>
      <c r="EQ49" s="761">
        <v>0</v>
      </c>
      <c r="ER49" s="761">
        <v>0.3</v>
      </c>
      <c r="ES49" s="761"/>
      <c r="ET49" s="761"/>
      <c r="EU49" s="761"/>
      <c r="EV49" s="761"/>
      <c r="EW49" s="761"/>
      <c r="EX49" s="761"/>
      <c r="EY49" s="761"/>
      <c r="EZ49" s="761"/>
      <c r="FA49" s="766">
        <f t="shared" si="52"/>
        <v>0.33999999999999997</v>
      </c>
      <c r="FC49" s="549">
        <f t="shared" si="53"/>
        <v>-100</v>
      </c>
      <c r="FD49" s="550">
        <f t="shared" si="54"/>
        <v>-87.577639751552795</v>
      </c>
      <c r="FE49" s="551">
        <f t="shared" si="55"/>
        <v>0.32199999999999995</v>
      </c>
      <c r="FF49" s="552">
        <f t="shared" si="56"/>
        <v>0.04</v>
      </c>
      <c r="FH49" s="917" t="s">
        <v>48</v>
      </c>
      <c r="FI49" s="920" t="str">
        <f t="shared" si="20"/>
        <v>OK</v>
      </c>
    </row>
    <row r="50" spans="1:168" ht="15" customHeight="1" x14ac:dyDescent="0.25">
      <c r="A50" s="349" t="s">
        <v>49</v>
      </c>
      <c r="B50" s="760"/>
      <c r="C50" s="761"/>
      <c r="D50" s="761"/>
      <c r="E50" s="761"/>
      <c r="F50" s="761"/>
      <c r="G50" s="761"/>
      <c r="H50" s="761"/>
      <c r="I50" s="761">
        <v>1</v>
      </c>
      <c r="J50" s="761"/>
      <c r="K50" s="761"/>
      <c r="L50" s="761">
        <v>1</v>
      </c>
      <c r="M50" s="761">
        <v>1</v>
      </c>
      <c r="N50" s="766">
        <f t="shared" si="41"/>
        <v>3</v>
      </c>
      <c r="O50" s="760"/>
      <c r="P50" s="761"/>
      <c r="Q50" s="761"/>
      <c r="R50" s="761"/>
      <c r="S50" s="761"/>
      <c r="T50" s="761"/>
      <c r="U50" s="761"/>
      <c r="V50" s="761">
        <v>1</v>
      </c>
      <c r="W50" s="761">
        <v>1</v>
      </c>
      <c r="X50" s="761"/>
      <c r="Y50" s="761"/>
      <c r="Z50" s="761"/>
      <c r="AA50" s="766">
        <f t="shared" si="42"/>
        <v>2</v>
      </c>
      <c r="AB50" s="760"/>
      <c r="AC50" s="761"/>
      <c r="AD50" s="761"/>
      <c r="AE50" s="761"/>
      <c r="AF50" s="761"/>
      <c r="AG50" s="761"/>
      <c r="AH50" s="761"/>
      <c r="AI50" s="761"/>
      <c r="AJ50" s="761"/>
      <c r="AK50" s="761">
        <v>1</v>
      </c>
      <c r="AL50" s="761"/>
      <c r="AM50" s="761"/>
      <c r="AN50" s="766">
        <f t="shared" si="43"/>
        <v>1</v>
      </c>
      <c r="AO50" s="760"/>
      <c r="AP50" s="761"/>
      <c r="AQ50" s="761"/>
      <c r="AR50" s="761"/>
      <c r="AS50" s="761"/>
      <c r="AT50" s="761"/>
      <c r="AU50" s="761"/>
      <c r="AV50" s="761"/>
      <c r="AW50" s="761"/>
      <c r="AX50" s="761"/>
      <c r="AY50" s="761"/>
      <c r="AZ50" s="761"/>
      <c r="BA50" s="766">
        <f t="shared" si="44"/>
        <v>0</v>
      </c>
      <c r="BB50" s="760">
        <v>1</v>
      </c>
      <c r="BC50" s="761"/>
      <c r="BD50" s="761"/>
      <c r="BE50" s="761"/>
      <c r="BF50" s="761"/>
      <c r="BG50" s="761"/>
      <c r="BH50" s="761"/>
      <c r="BI50" s="761"/>
      <c r="BJ50" s="761">
        <v>1</v>
      </c>
      <c r="BK50" s="761"/>
      <c r="BL50" s="761"/>
      <c r="BM50" s="761"/>
      <c r="BN50" s="766">
        <f t="shared" si="45"/>
        <v>2</v>
      </c>
      <c r="BO50" s="760"/>
      <c r="BP50" s="761"/>
      <c r="BQ50" s="761"/>
      <c r="BR50" s="761"/>
      <c r="BS50" s="761"/>
      <c r="BT50" s="761"/>
      <c r="BU50" s="761"/>
      <c r="BV50" s="761"/>
      <c r="BW50" s="761"/>
      <c r="BX50" s="761"/>
      <c r="BY50" s="761">
        <v>1</v>
      </c>
      <c r="BZ50" s="761"/>
      <c r="CA50" s="766">
        <f t="shared" si="46"/>
        <v>1</v>
      </c>
      <c r="CB50" s="760">
        <v>0.19500000000000001</v>
      </c>
      <c r="CC50" s="761"/>
      <c r="CD50" s="761"/>
      <c r="CE50" s="761"/>
      <c r="CF50" s="761"/>
      <c r="CG50" s="761"/>
      <c r="CH50" s="761"/>
      <c r="CI50" s="761"/>
      <c r="CJ50" s="761"/>
      <c r="CK50" s="761">
        <v>0.08</v>
      </c>
      <c r="CL50" s="761">
        <v>0.3</v>
      </c>
      <c r="CM50" s="761"/>
      <c r="CN50" s="766">
        <f t="shared" si="47"/>
        <v>0.57499999999999996</v>
      </c>
      <c r="CO50" s="760">
        <v>0.32890000000000003</v>
      </c>
      <c r="CP50" s="761">
        <v>0.41990000000000005</v>
      </c>
      <c r="CQ50" s="761">
        <v>0.54989999999999994</v>
      </c>
      <c r="CR50" s="761"/>
      <c r="CS50" s="761">
        <v>0.71500000000000008</v>
      </c>
      <c r="CT50" s="761"/>
      <c r="CU50" s="761">
        <v>0.14299999999999999</v>
      </c>
      <c r="CV50" s="761">
        <v>0.13</v>
      </c>
      <c r="CW50" s="761"/>
      <c r="CX50" s="761">
        <v>1.2999999999999999E-2</v>
      </c>
      <c r="CY50" s="761"/>
      <c r="CZ50" s="761">
        <v>0.52</v>
      </c>
      <c r="DA50" s="766">
        <f t="shared" si="48"/>
        <v>2.8196999999999997</v>
      </c>
      <c r="DB50" s="760">
        <v>1.3</v>
      </c>
      <c r="DC50" s="761"/>
      <c r="DD50" s="761">
        <v>0.13</v>
      </c>
      <c r="DE50" s="761"/>
      <c r="DF50" s="761"/>
      <c r="DG50" s="761"/>
      <c r="DH50" s="761"/>
      <c r="DI50" s="761"/>
      <c r="DJ50" s="761">
        <v>0.26</v>
      </c>
      <c r="DK50" s="761">
        <v>0.26</v>
      </c>
      <c r="DL50" s="761">
        <v>0.39</v>
      </c>
      <c r="DM50" s="761"/>
      <c r="DN50" s="766">
        <f t="shared" si="49"/>
        <v>2.3400000000000003</v>
      </c>
      <c r="DO50" s="760"/>
      <c r="DP50" s="761"/>
      <c r="DQ50" s="761"/>
      <c r="DR50" s="761"/>
      <c r="DS50" s="761"/>
      <c r="DT50" s="761"/>
      <c r="DU50" s="761"/>
      <c r="DV50" s="761">
        <v>0.22</v>
      </c>
      <c r="DW50" s="761">
        <v>0.5</v>
      </c>
      <c r="DX50" s="761">
        <v>0.03</v>
      </c>
      <c r="DY50" s="761"/>
      <c r="DZ50" s="761"/>
      <c r="EA50" s="766">
        <f t="shared" si="50"/>
        <v>0.75</v>
      </c>
      <c r="EB50" s="760">
        <v>0.155</v>
      </c>
      <c r="EC50" s="761"/>
      <c r="ED50" s="761"/>
      <c r="EE50" s="761">
        <v>0.08</v>
      </c>
      <c r="EF50" s="761">
        <v>0.189</v>
      </c>
      <c r="EG50" s="761"/>
      <c r="EH50" s="761">
        <v>0.45600000000000002</v>
      </c>
      <c r="EI50" s="761">
        <v>0.8620000000000001</v>
      </c>
      <c r="EJ50" s="761">
        <v>0.22</v>
      </c>
      <c r="EK50" s="761"/>
      <c r="EL50" s="761"/>
      <c r="EM50" s="761"/>
      <c r="EN50" s="766">
        <f t="shared" si="51"/>
        <v>1.962</v>
      </c>
      <c r="EO50" s="760">
        <v>0</v>
      </c>
      <c r="EP50" s="761">
        <v>0.78749999999999998</v>
      </c>
      <c r="EQ50" s="761">
        <v>0</v>
      </c>
      <c r="ER50" s="761"/>
      <c r="ES50" s="761"/>
      <c r="ET50" s="761"/>
      <c r="EU50" s="761"/>
      <c r="EV50" s="761"/>
      <c r="EW50" s="761"/>
      <c r="EX50" s="761"/>
      <c r="EY50" s="761"/>
      <c r="EZ50" s="761"/>
      <c r="FA50" s="766">
        <f t="shared" si="52"/>
        <v>0.78749999999999998</v>
      </c>
      <c r="FC50" s="549" t="str">
        <f t="shared" si="53"/>
        <v/>
      </c>
      <c r="FD50" s="550">
        <f t="shared" si="54"/>
        <v>408.0645161290322</v>
      </c>
      <c r="FE50" s="551">
        <f t="shared" si="55"/>
        <v>0.155</v>
      </c>
      <c r="FF50" s="552">
        <f t="shared" si="56"/>
        <v>0.78749999999999998</v>
      </c>
      <c r="FH50" s="917" t="s">
        <v>49</v>
      </c>
      <c r="FI50" s="920" t="str">
        <f t="shared" si="20"/>
        <v>OK</v>
      </c>
    </row>
    <row r="51" spans="1:168" ht="15" customHeight="1" x14ac:dyDescent="0.25">
      <c r="A51" s="349" t="s">
        <v>50</v>
      </c>
      <c r="B51" s="760">
        <v>3</v>
      </c>
      <c r="C51" s="761">
        <v>6</v>
      </c>
      <c r="D51" s="761">
        <v>3</v>
      </c>
      <c r="E51" s="761">
        <v>2</v>
      </c>
      <c r="F51" s="761">
        <v>2</v>
      </c>
      <c r="G51" s="761"/>
      <c r="H51" s="761"/>
      <c r="I51" s="761"/>
      <c r="J51" s="761">
        <v>1</v>
      </c>
      <c r="K51" s="761">
        <v>2</v>
      </c>
      <c r="L51" s="761">
        <v>4</v>
      </c>
      <c r="M51" s="761">
        <v>7</v>
      </c>
      <c r="N51" s="766">
        <f t="shared" si="41"/>
        <v>30</v>
      </c>
      <c r="O51" s="760">
        <v>3</v>
      </c>
      <c r="P51" s="761">
        <v>6</v>
      </c>
      <c r="Q51" s="761">
        <v>1</v>
      </c>
      <c r="R51" s="761">
        <v>3</v>
      </c>
      <c r="S51" s="761">
        <v>1</v>
      </c>
      <c r="T51" s="761">
        <v>2</v>
      </c>
      <c r="U51" s="761">
        <v>2</v>
      </c>
      <c r="V51" s="761">
        <v>7</v>
      </c>
      <c r="W51" s="761">
        <v>6</v>
      </c>
      <c r="X51" s="761">
        <v>11</v>
      </c>
      <c r="Y51" s="761">
        <v>14</v>
      </c>
      <c r="Z51" s="761">
        <v>3</v>
      </c>
      <c r="AA51" s="766">
        <f t="shared" si="42"/>
        <v>59</v>
      </c>
      <c r="AB51" s="760">
        <v>8</v>
      </c>
      <c r="AC51" s="761">
        <v>4</v>
      </c>
      <c r="AD51" s="761">
        <v>2</v>
      </c>
      <c r="AE51" s="761">
        <v>4</v>
      </c>
      <c r="AF51" s="761"/>
      <c r="AG51" s="761"/>
      <c r="AH51" s="761">
        <v>6</v>
      </c>
      <c r="AI51" s="761">
        <v>4</v>
      </c>
      <c r="AJ51" s="761">
        <v>2</v>
      </c>
      <c r="AK51" s="761">
        <v>13</v>
      </c>
      <c r="AL51" s="761">
        <v>8</v>
      </c>
      <c r="AM51" s="761">
        <v>11</v>
      </c>
      <c r="AN51" s="766">
        <f t="shared" si="43"/>
        <v>62</v>
      </c>
      <c r="AO51" s="760">
        <v>3</v>
      </c>
      <c r="AP51" s="761">
        <v>3</v>
      </c>
      <c r="AQ51" s="761">
        <v>4</v>
      </c>
      <c r="AR51" s="761">
        <v>2</v>
      </c>
      <c r="AS51" s="761">
        <v>1</v>
      </c>
      <c r="AT51" s="761">
        <v>1</v>
      </c>
      <c r="AU51" s="761">
        <v>1</v>
      </c>
      <c r="AV51" s="761">
        <v>4</v>
      </c>
      <c r="AW51" s="761">
        <v>5</v>
      </c>
      <c r="AX51" s="761">
        <v>6</v>
      </c>
      <c r="AY51" s="761">
        <v>3</v>
      </c>
      <c r="AZ51" s="761">
        <v>5</v>
      </c>
      <c r="BA51" s="766">
        <f t="shared" si="44"/>
        <v>38</v>
      </c>
      <c r="BB51" s="760">
        <v>4</v>
      </c>
      <c r="BC51" s="761">
        <v>2</v>
      </c>
      <c r="BD51" s="761">
        <v>3</v>
      </c>
      <c r="BE51" s="761">
        <v>1</v>
      </c>
      <c r="BF51" s="761"/>
      <c r="BG51" s="761"/>
      <c r="BH51" s="761">
        <v>2</v>
      </c>
      <c r="BI51" s="761">
        <v>3</v>
      </c>
      <c r="BJ51" s="761">
        <v>1</v>
      </c>
      <c r="BK51" s="761">
        <v>2</v>
      </c>
      <c r="BL51" s="761">
        <v>3</v>
      </c>
      <c r="BM51" s="761">
        <v>4</v>
      </c>
      <c r="BN51" s="766">
        <f t="shared" si="45"/>
        <v>25</v>
      </c>
      <c r="BO51" s="760">
        <v>5</v>
      </c>
      <c r="BP51" s="761">
        <v>5</v>
      </c>
      <c r="BQ51" s="761"/>
      <c r="BR51" s="761"/>
      <c r="BS51" s="761"/>
      <c r="BT51" s="761">
        <v>1</v>
      </c>
      <c r="BU51" s="761">
        <v>3</v>
      </c>
      <c r="BV51" s="761">
        <v>1</v>
      </c>
      <c r="BW51" s="761">
        <v>1</v>
      </c>
      <c r="BX51" s="761">
        <v>1</v>
      </c>
      <c r="BY51" s="761">
        <v>2</v>
      </c>
      <c r="BZ51" s="761">
        <v>1</v>
      </c>
      <c r="CA51" s="766">
        <f t="shared" si="46"/>
        <v>20</v>
      </c>
      <c r="CB51" s="760">
        <v>6.2919999999999998</v>
      </c>
      <c r="CC51" s="761">
        <v>2.1970000000000001</v>
      </c>
      <c r="CD51" s="761">
        <v>2.21</v>
      </c>
      <c r="CE51" s="761"/>
      <c r="CF51" s="761">
        <v>0.27300000000000002</v>
      </c>
      <c r="CG51" s="761">
        <v>1.3</v>
      </c>
      <c r="CH51" s="761">
        <v>0.85</v>
      </c>
      <c r="CI51" s="761">
        <v>0.65999999999999992</v>
      </c>
      <c r="CJ51" s="761"/>
      <c r="CK51" s="761">
        <v>0.35</v>
      </c>
      <c r="CL51" s="761">
        <v>0.81</v>
      </c>
      <c r="CM51" s="761">
        <v>0.16999999999999998</v>
      </c>
      <c r="CN51" s="766">
        <f t="shared" si="47"/>
        <v>15.112000000000002</v>
      </c>
      <c r="CO51" s="760">
        <v>8.8991000000000007</v>
      </c>
      <c r="CP51" s="761">
        <v>4.6993</v>
      </c>
      <c r="CQ51" s="761">
        <v>7.7796000000000012</v>
      </c>
      <c r="CR51" s="761">
        <v>5.46</v>
      </c>
      <c r="CS51" s="761"/>
      <c r="CT51" s="761">
        <v>6.5000000000000002E-2</v>
      </c>
      <c r="CU51" s="761">
        <v>0.42899999999999999</v>
      </c>
      <c r="CV51" s="761">
        <v>2.6390000000000002</v>
      </c>
      <c r="CW51" s="761">
        <v>3.0549999999999997</v>
      </c>
      <c r="CX51" s="761">
        <v>1.8199999999999998</v>
      </c>
      <c r="CY51" s="761">
        <v>1.4105000000000001</v>
      </c>
      <c r="CZ51" s="761">
        <v>2.548</v>
      </c>
      <c r="DA51" s="766">
        <f t="shared" si="48"/>
        <v>38.804500000000004</v>
      </c>
      <c r="DB51" s="760">
        <v>3.8818000000000001</v>
      </c>
      <c r="DC51" s="761">
        <v>1.7875000000000001</v>
      </c>
      <c r="DD51" s="761">
        <v>0.99709999999999999</v>
      </c>
      <c r="DE51" s="761">
        <v>2.1970000000000001</v>
      </c>
      <c r="DF51" s="761">
        <v>2.899</v>
      </c>
      <c r="DG51" s="761">
        <v>0.13</v>
      </c>
      <c r="DH51" s="761">
        <v>0.83200000000000007</v>
      </c>
      <c r="DI51" s="761">
        <v>0.78</v>
      </c>
      <c r="DJ51" s="761">
        <v>2.9249999999999998</v>
      </c>
      <c r="DK51" s="761">
        <v>5.2650000000000006</v>
      </c>
      <c r="DL51" s="761">
        <v>3.835</v>
      </c>
      <c r="DM51" s="761">
        <v>1.7</v>
      </c>
      <c r="DN51" s="766">
        <f t="shared" si="49"/>
        <v>27.229400000000002</v>
      </c>
      <c r="DO51" s="760">
        <v>0.2</v>
      </c>
      <c r="DP51" s="761">
        <v>1.1200000000000001</v>
      </c>
      <c r="DQ51" s="761">
        <v>0.4</v>
      </c>
      <c r="DR51" s="761">
        <v>0.2</v>
      </c>
      <c r="DS51" s="761">
        <v>0.19400000000000001</v>
      </c>
      <c r="DT51" s="761">
        <v>0.1</v>
      </c>
      <c r="DU51" s="761">
        <v>0.13500000000000001</v>
      </c>
      <c r="DV51" s="761">
        <v>0.21700000000000003</v>
      </c>
      <c r="DW51" s="761">
        <v>0.16700000000000001</v>
      </c>
      <c r="DX51" s="761">
        <v>0.77500000000000002</v>
      </c>
      <c r="DY51" s="761">
        <v>0.57200000000000006</v>
      </c>
      <c r="DZ51" s="761">
        <v>0.71700000000000008</v>
      </c>
      <c r="EA51" s="766">
        <f t="shared" si="50"/>
        <v>4.7970000000000006</v>
      </c>
      <c r="EB51" s="760">
        <v>1.0499999999999998</v>
      </c>
      <c r="EC51" s="761">
        <v>0.01</v>
      </c>
      <c r="ED51" s="761">
        <v>3.0000000000000001E-3</v>
      </c>
      <c r="EE51" s="761">
        <v>0.65</v>
      </c>
      <c r="EF51" s="761">
        <v>0.05</v>
      </c>
      <c r="EG51" s="761"/>
      <c r="EH51" s="761"/>
      <c r="EI51" s="761"/>
      <c r="EJ51" s="761"/>
      <c r="EK51" s="761">
        <v>0.03</v>
      </c>
      <c r="EL51" s="761"/>
      <c r="EM51" s="761"/>
      <c r="EN51" s="766">
        <f t="shared" si="51"/>
        <v>1.7929999999999997</v>
      </c>
      <c r="EO51" s="760">
        <v>0.38750000000000001</v>
      </c>
      <c r="EP51" s="761">
        <v>1.6724999999999999</v>
      </c>
      <c r="EQ51" s="761">
        <v>0.95200000000000007</v>
      </c>
      <c r="ER51" s="761">
        <v>0.48099999999999998</v>
      </c>
      <c r="ES51" s="761"/>
      <c r="ET51" s="761"/>
      <c r="EU51" s="761"/>
      <c r="EV51" s="761"/>
      <c r="EW51" s="761"/>
      <c r="EX51" s="761"/>
      <c r="EY51" s="761"/>
      <c r="EZ51" s="761"/>
      <c r="FA51" s="766">
        <f t="shared" si="52"/>
        <v>3.4929999999999999</v>
      </c>
      <c r="FC51" s="549">
        <f t="shared" si="53"/>
        <v>31633.333333333336</v>
      </c>
      <c r="FD51" s="550">
        <f t="shared" si="54"/>
        <v>183.34901222953908</v>
      </c>
      <c r="FE51" s="551">
        <f t="shared" si="55"/>
        <v>1.0629999999999997</v>
      </c>
      <c r="FF51" s="552">
        <f t="shared" si="56"/>
        <v>3.012</v>
      </c>
      <c r="FH51" s="917" t="s">
        <v>50</v>
      </c>
      <c r="FI51" s="920" t="str">
        <f t="shared" si="20"/>
        <v>OK</v>
      </c>
    </row>
    <row r="52" spans="1:168" ht="15" customHeight="1" x14ac:dyDescent="0.25">
      <c r="A52" s="349" t="s">
        <v>71</v>
      </c>
      <c r="B52" s="760"/>
      <c r="C52" s="761">
        <v>1</v>
      </c>
      <c r="D52" s="761"/>
      <c r="E52" s="761"/>
      <c r="F52" s="761">
        <v>1</v>
      </c>
      <c r="G52" s="761">
        <v>2</v>
      </c>
      <c r="H52" s="761">
        <v>4</v>
      </c>
      <c r="I52" s="761">
        <v>2</v>
      </c>
      <c r="J52" s="761"/>
      <c r="K52" s="761">
        <v>1</v>
      </c>
      <c r="L52" s="761"/>
      <c r="M52" s="761">
        <v>1</v>
      </c>
      <c r="N52" s="766">
        <f t="shared" si="1"/>
        <v>12</v>
      </c>
      <c r="O52" s="760">
        <v>2</v>
      </c>
      <c r="P52" s="761">
        <v>2</v>
      </c>
      <c r="Q52" s="761">
        <v>3</v>
      </c>
      <c r="R52" s="761"/>
      <c r="S52" s="761">
        <v>1</v>
      </c>
      <c r="T52" s="761">
        <v>2</v>
      </c>
      <c r="U52" s="761">
        <v>1</v>
      </c>
      <c r="V52" s="761">
        <v>2</v>
      </c>
      <c r="W52" s="761">
        <v>1</v>
      </c>
      <c r="X52" s="761">
        <v>1</v>
      </c>
      <c r="Y52" s="761">
        <v>2</v>
      </c>
      <c r="Z52" s="761">
        <v>2</v>
      </c>
      <c r="AA52" s="766">
        <f t="shared" si="2"/>
        <v>19</v>
      </c>
      <c r="AB52" s="760"/>
      <c r="AC52" s="761">
        <v>3</v>
      </c>
      <c r="AD52" s="761"/>
      <c r="AE52" s="761"/>
      <c r="AF52" s="761">
        <v>7</v>
      </c>
      <c r="AG52" s="761">
        <v>1</v>
      </c>
      <c r="AH52" s="761">
        <v>39</v>
      </c>
      <c r="AI52" s="761">
        <v>37</v>
      </c>
      <c r="AJ52" s="761">
        <v>20</v>
      </c>
      <c r="AK52" s="761">
        <v>38</v>
      </c>
      <c r="AL52" s="761">
        <v>24</v>
      </c>
      <c r="AM52" s="761">
        <v>25</v>
      </c>
      <c r="AN52" s="766">
        <f t="shared" si="4"/>
        <v>194</v>
      </c>
      <c r="AO52" s="760">
        <v>18</v>
      </c>
      <c r="AP52" s="761">
        <v>18</v>
      </c>
      <c r="AQ52" s="761">
        <v>15</v>
      </c>
      <c r="AR52" s="761">
        <v>15</v>
      </c>
      <c r="AS52" s="761">
        <v>15</v>
      </c>
      <c r="AT52" s="761">
        <v>14</v>
      </c>
      <c r="AU52" s="761">
        <v>14</v>
      </c>
      <c r="AV52" s="761">
        <v>19</v>
      </c>
      <c r="AW52" s="761">
        <v>24</v>
      </c>
      <c r="AX52" s="761">
        <v>22</v>
      </c>
      <c r="AY52" s="761">
        <v>25</v>
      </c>
      <c r="AZ52" s="761">
        <v>29</v>
      </c>
      <c r="BA52" s="766">
        <f t="shared" si="14"/>
        <v>228</v>
      </c>
      <c r="BB52" s="760">
        <v>23</v>
      </c>
      <c r="BC52" s="761">
        <v>27</v>
      </c>
      <c r="BD52" s="761">
        <v>17</v>
      </c>
      <c r="BE52" s="761">
        <v>13</v>
      </c>
      <c r="BF52" s="761">
        <v>14</v>
      </c>
      <c r="BG52" s="761">
        <v>22</v>
      </c>
      <c r="BH52" s="761">
        <v>20</v>
      </c>
      <c r="BI52" s="761">
        <v>14</v>
      </c>
      <c r="BJ52" s="761">
        <v>44</v>
      </c>
      <c r="BK52" s="761">
        <v>37</v>
      </c>
      <c r="BL52" s="761">
        <v>22</v>
      </c>
      <c r="BM52" s="761">
        <v>11</v>
      </c>
      <c r="BN52" s="766">
        <f t="shared" ref="BN52" si="57">SUM(BB52:BM52)</f>
        <v>264</v>
      </c>
      <c r="BO52" s="760">
        <v>17</v>
      </c>
      <c r="BP52" s="761">
        <v>13</v>
      </c>
      <c r="BQ52" s="761">
        <v>5</v>
      </c>
      <c r="BR52" s="761"/>
      <c r="BS52" s="761"/>
      <c r="BT52" s="761">
        <v>5</v>
      </c>
      <c r="BU52" s="761">
        <v>8</v>
      </c>
      <c r="BV52" s="761">
        <v>5</v>
      </c>
      <c r="BW52" s="761">
        <v>1</v>
      </c>
      <c r="BX52" s="761">
        <v>2</v>
      </c>
      <c r="BY52" s="761">
        <v>14</v>
      </c>
      <c r="BZ52" s="761">
        <v>13</v>
      </c>
      <c r="CA52" s="766">
        <f t="shared" si="15"/>
        <v>83</v>
      </c>
      <c r="CB52" s="760">
        <v>19</v>
      </c>
      <c r="CC52" s="761">
        <v>4</v>
      </c>
      <c r="CD52" s="761">
        <v>22</v>
      </c>
      <c r="CE52" s="761">
        <v>21</v>
      </c>
      <c r="CF52" s="761">
        <v>26.1</v>
      </c>
      <c r="CG52" s="761">
        <v>8</v>
      </c>
      <c r="CH52" s="761">
        <v>24.2</v>
      </c>
      <c r="CI52" s="761">
        <v>11.4</v>
      </c>
      <c r="CJ52" s="761">
        <v>5.9</v>
      </c>
      <c r="CK52" s="761">
        <v>1</v>
      </c>
      <c r="CL52" s="761">
        <v>5.2</v>
      </c>
      <c r="CM52" s="761">
        <v>3.7</v>
      </c>
      <c r="CN52" s="766">
        <f t="shared" si="16"/>
        <v>151.49999999999997</v>
      </c>
      <c r="CO52" s="760">
        <f>153-134</f>
        <v>19</v>
      </c>
      <c r="CP52" s="761">
        <f>208-178.6</f>
        <v>29.400000000000006</v>
      </c>
      <c r="CQ52" s="761">
        <v>15.5</v>
      </c>
      <c r="CR52" s="761">
        <v>14.9</v>
      </c>
      <c r="CS52" s="761">
        <v>12.4</v>
      </c>
      <c r="CT52" s="761">
        <v>21.6</v>
      </c>
      <c r="CU52" s="761">
        <v>14.5</v>
      </c>
      <c r="CV52" s="761">
        <v>14.7</v>
      </c>
      <c r="CW52" s="761">
        <v>11</v>
      </c>
      <c r="CX52" s="761">
        <v>16.5</v>
      </c>
      <c r="CY52" s="761">
        <v>14.5</v>
      </c>
      <c r="CZ52" s="761">
        <v>19</v>
      </c>
      <c r="DA52" s="766">
        <f t="shared" si="30"/>
        <v>203</v>
      </c>
      <c r="DB52" s="760">
        <f t="shared" ref="DB52:DH52" si="58">-1*(SUM(DB12:DB51)-DB7)</f>
        <v>18.382000000000005</v>
      </c>
      <c r="DC52" s="761">
        <f t="shared" si="58"/>
        <v>15.912000000000006</v>
      </c>
      <c r="DD52" s="761">
        <f t="shared" si="58"/>
        <v>24.56219999999999</v>
      </c>
      <c r="DE52" s="761">
        <f t="shared" si="58"/>
        <v>21.774100000000004</v>
      </c>
      <c r="DF52" s="761">
        <f t="shared" si="58"/>
        <v>14.712999999999994</v>
      </c>
      <c r="DG52" s="761">
        <f t="shared" si="58"/>
        <v>13.920500000000004</v>
      </c>
      <c r="DH52" s="761">
        <f t="shared" si="58"/>
        <v>15.831749999999971</v>
      </c>
      <c r="DI52" s="761">
        <v>12</v>
      </c>
      <c r="DJ52" s="761">
        <v>18.899999999999999</v>
      </c>
      <c r="DK52" s="761">
        <v>13</v>
      </c>
      <c r="DL52" s="761">
        <v>39.5</v>
      </c>
      <c r="DM52" s="761">
        <v>9.1999999999999993</v>
      </c>
      <c r="DN52" s="766">
        <f t="shared" si="32"/>
        <v>217.69554999999997</v>
      </c>
      <c r="DO52" s="760">
        <v>3.15</v>
      </c>
      <c r="DP52" s="761">
        <v>0.9</v>
      </c>
      <c r="DQ52" s="761">
        <v>1.2</v>
      </c>
      <c r="DR52" s="761">
        <v>3</v>
      </c>
      <c r="DS52" s="761">
        <v>5.5</v>
      </c>
      <c r="DT52" s="761">
        <v>0.2</v>
      </c>
      <c r="DU52" s="761">
        <v>0.435</v>
      </c>
      <c r="DV52" s="761">
        <v>3.7</v>
      </c>
      <c r="DW52" s="761">
        <v>3.1</v>
      </c>
      <c r="DX52" s="761">
        <v>5.2560000000001423</v>
      </c>
      <c r="DY52" s="761">
        <v>4.4000000000000004</v>
      </c>
      <c r="DZ52" s="761">
        <v>1.2</v>
      </c>
      <c r="EA52" s="766">
        <f t="shared" si="11"/>
        <v>32.041000000000146</v>
      </c>
      <c r="EB52" s="760">
        <v>2.2000000000000002</v>
      </c>
      <c r="EC52" s="761">
        <v>3</v>
      </c>
      <c r="ED52" s="761">
        <v>1.7</v>
      </c>
      <c r="EE52" s="761">
        <v>2</v>
      </c>
      <c r="EF52" s="761">
        <v>4.5999999999999996</v>
      </c>
      <c r="EG52" s="761">
        <v>2.1</v>
      </c>
      <c r="EH52" s="761">
        <v>3.5</v>
      </c>
      <c r="EI52" s="761">
        <v>4.7</v>
      </c>
      <c r="EJ52" s="761">
        <v>1.6</v>
      </c>
      <c r="EK52" s="761">
        <v>1.4</v>
      </c>
      <c r="EL52" s="761">
        <v>2.7</v>
      </c>
      <c r="EM52" s="761">
        <v>1.3</v>
      </c>
      <c r="EN52" s="766">
        <f t="shared" ref="EN52" si="59">SUM(EB52:EM52)</f>
        <v>30.8</v>
      </c>
      <c r="EO52" s="760">
        <v>1.953125</v>
      </c>
      <c r="EP52" s="761">
        <v>2.9539999999999997</v>
      </c>
      <c r="EQ52" s="761">
        <v>5.0799999999999992</v>
      </c>
      <c r="ER52" s="761">
        <v>2.577</v>
      </c>
      <c r="ES52" s="761"/>
      <c r="ET52" s="761"/>
      <c r="EU52" s="761"/>
      <c r="EV52" s="761"/>
      <c r="EW52" s="761"/>
      <c r="EX52" s="761"/>
      <c r="EY52" s="761"/>
      <c r="EZ52" s="761"/>
      <c r="FA52" s="766">
        <f t="shared" si="18"/>
        <v>12.564124999999999</v>
      </c>
      <c r="FC52" s="549">
        <f t="shared" si="37"/>
        <v>198.82352941176467</v>
      </c>
      <c r="FD52" s="550">
        <f t="shared" si="38"/>
        <v>44.740942028985486</v>
      </c>
      <c r="FE52" s="551">
        <f t="shared" si="39"/>
        <v>6.9</v>
      </c>
      <c r="FF52" s="552">
        <f t="shared" si="40"/>
        <v>9.9871249999999989</v>
      </c>
      <c r="FH52" s="917"/>
      <c r="FI52" s="920" t="str">
        <f t="shared" si="20"/>
        <v>RESIVAR</v>
      </c>
    </row>
    <row r="53" spans="1:168" ht="15" customHeight="1" x14ac:dyDescent="0.25">
      <c r="A53" s="121"/>
      <c r="B53" s="760"/>
      <c r="C53" s="761"/>
      <c r="D53" s="761"/>
      <c r="E53" s="761"/>
      <c r="F53" s="761"/>
      <c r="G53" s="761"/>
      <c r="H53" s="761"/>
      <c r="I53" s="761"/>
      <c r="J53" s="761"/>
      <c r="K53" s="761"/>
      <c r="L53" s="761"/>
      <c r="M53" s="761"/>
      <c r="N53" s="766"/>
      <c r="O53" s="760"/>
      <c r="P53" s="761"/>
      <c r="Q53" s="761"/>
      <c r="R53" s="761"/>
      <c r="S53" s="761"/>
      <c r="T53" s="761"/>
      <c r="U53" s="761"/>
      <c r="V53" s="761"/>
      <c r="W53" s="761"/>
      <c r="X53" s="761"/>
      <c r="Y53" s="761"/>
      <c r="Z53" s="761"/>
      <c r="AA53" s="766"/>
      <c r="AB53" s="760"/>
      <c r="AC53" s="761"/>
      <c r="AD53" s="761"/>
      <c r="AE53" s="761"/>
      <c r="AF53" s="761"/>
      <c r="AG53" s="761"/>
      <c r="AH53" s="761"/>
      <c r="AI53" s="761"/>
      <c r="AJ53" s="761"/>
      <c r="AK53" s="761"/>
      <c r="AL53" s="761"/>
      <c r="AM53" s="761"/>
      <c r="AN53" s="766"/>
      <c r="AO53" s="760"/>
      <c r="AP53" s="761"/>
      <c r="AQ53" s="761"/>
      <c r="AR53" s="761"/>
      <c r="AS53" s="761"/>
      <c r="AT53" s="761"/>
      <c r="AU53" s="761"/>
      <c r="AV53" s="761"/>
      <c r="AW53" s="761"/>
      <c r="AX53" s="761"/>
      <c r="AY53" s="761"/>
      <c r="AZ53" s="761"/>
      <c r="BA53" s="766"/>
      <c r="BB53" s="760"/>
      <c r="BC53" s="761"/>
      <c r="BD53" s="761"/>
      <c r="BE53" s="761"/>
      <c r="BF53" s="761"/>
      <c r="BG53" s="761"/>
      <c r="BH53" s="761"/>
      <c r="BI53" s="761"/>
      <c r="BJ53" s="761"/>
      <c r="BK53" s="761"/>
      <c r="BL53" s="761"/>
      <c r="BM53" s="761"/>
      <c r="BN53" s="766"/>
      <c r="BO53" s="760"/>
      <c r="BP53" s="761"/>
      <c r="BQ53" s="761"/>
      <c r="BR53" s="761"/>
      <c r="BS53" s="761"/>
      <c r="BT53" s="761"/>
      <c r="BU53" s="761"/>
      <c r="BV53" s="761"/>
      <c r="BW53" s="761"/>
      <c r="BX53" s="761"/>
      <c r="BY53" s="761"/>
      <c r="BZ53" s="761"/>
      <c r="CA53" s="766"/>
      <c r="CB53" s="760"/>
      <c r="CC53" s="761"/>
      <c r="CD53" s="761"/>
      <c r="CE53" s="761"/>
      <c r="CF53" s="761"/>
      <c r="CG53" s="761"/>
      <c r="CH53" s="761"/>
      <c r="CI53" s="761"/>
      <c r="CJ53" s="761"/>
      <c r="CK53" s="761"/>
      <c r="CL53" s="761"/>
      <c r="CM53" s="761"/>
      <c r="CN53" s="766"/>
      <c r="CO53" s="760"/>
      <c r="CP53" s="761"/>
      <c r="CQ53" s="761"/>
      <c r="CR53" s="761"/>
      <c r="CS53" s="761"/>
      <c r="CT53" s="761"/>
      <c r="CU53" s="761"/>
      <c r="CV53" s="761"/>
      <c r="CW53" s="761"/>
      <c r="CX53" s="761"/>
      <c r="CY53" s="761"/>
      <c r="CZ53" s="761"/>
      <c r="DA53" s="766"/>
      <c r="DB53" s="760"/>
      <c r="DC53" s="761"/>
      <c r="DD53" s="761"/>
      <c r="DE53" s="761"/>
      <c r="DF53" s="761"/>
      <c r="DG53" s="761"/>
      <c r="DH53" s="761"/>
      <c r="DI53" s="761"/>
      <c r="DJ53" s="761"/>
      <c r="DK53" s="761"/>
      <c r="DL53" s="761"/>
      <c r="DM53" s="761"/>
      <c r="DN53" s="766"/>
      <c r="DO53" s="760"/>
      <c r="DP53" s="761"/>
      <c r="DQ53" s="761"/>
      <c r="DR53" s="761"/>
      <c r="DS53" s="761"/>
      <c r="DT53" s="761"/>
      <c r="DU53" s="761"/>
      <c r="DV53" s="761"/>
      <c r="DW53" s="761"/>
      <c r="DX53" s="761"/>
      <c r="DY53" s="761"/>
      <c r="DZ53" s="761"/>
      <c r="EA53" s="766"/>
      <c r="EB53" s="760"/>
      <c r="EC53" s="761"/>
      <c r="ED53" s="761"/>
      <c r="EE53" s="761"/>
      <c r="EF53" s="761"/>
      <c r="EG53" s="761"/>
      <c r="EH53" s="761"/>
      <c r="EI53" s="761"/>
      <c r="EJ53" s="761"/>
      <c r="EK53" s="761"/>
      <c r="EL53" s="761"/>
      <c r="EM53" s="761"/>
      <c r="EN53" s="766"/>
      <c r="EO53" s="760"/>
      <c r="EP53" s="761"/>
      <c r="EQ53" s="761"/>
      <c r="ER53" s="761"/>
      <c r="ES53" s="761"/>
      <c r="ET53" s="761"/>
      <c r="EU53" s="761"/>
      <c r="EV53" s="761"/>
      <c r="EW53" s="761"/>
      <c r="EX53" s="761"/>
      <c r="EY53" s="761"/>
      <c r="EZ53" s="761"/>
      <c r="FA53" s="766"/>
      <c r="FC53" s="549"/>
      <c r="FD53" s="550"/>
      <c r="FE53" s="551"/>
      <c r="FF53" s="552"/>
      <c r="FH53" s="917"/>
      <c r="FI53" s="920"/>
    </row>
    <row r="54" spans="1:168" s="753" customFormat="1" ht="15" customHeight="1" x14ac:dyDescent="0.25">
      <c r="A54" s="756" t="s">
        <v>549</v>
      </c>
      <c r="B54" s="763">
        <v>1400</v>
      </c>
      <c r="C54" s="764">
        <v>1375</v>
      </c>
      <c r="D54" s="764">
        <v>36811</v>
      </c>
      <c r="E54" s="764">
        <v>42687</v>
      </c>
      <c r="F54" s="764">
        <v>32016</v>
      </c>
      <c r="G54" s="764">
        <v>62995</v>
      </c>
      <c r="H54" s="764">
        <v>67805</v>
      </c>
      <c r="I54" s="764">
        <v>61587</v>
      </c>
      <c r="J54" s="764">
        <v>52239</v>
      </c>
      <c r="K54" s="764">
        <v>42400</v>
      </c>
      <c r="L54" s="764">
        <v>54307</v>
      </c>
      <c r="M54" s="764">
        <v>15509</v>
      </c>
      <c r="N54" s="765">
        <f t="shared" si="1"/>
        <v>471131</v>
      </c>
      <c r="O54" s="763">
        <v>3191</v>
      </c>
      <c r="P54" s="764">
        <v>6369</v>
      </c>
      <c r="Q54" s="764">
        <v>1620</v>
      </c>
      <c r="R54" s="764">
        <v>29735</v>
      </c>
      <c r="S54" s="764">
        <v>30556</v>
      </c>
      <c r="T54" s="764">
        <v>31069</v>
      </c>
      <c r="U54" s="764">
        <v>19994</v>
      </c>
      <c r="V54" s="764">
        <v>20361</v>
      </c>
      <c r="W54" s="764">
        <v>17616</v>
      </c>
      <c r="X54" s="764">
        <v>12010</v>
      </c>
      <c r="Y54" s="764">
        <v>4158</v>
      </c>
      <c r="Z54" s="764">
        <v>4335</v>
      </c>
      <c r="AA54" s="765">
        <f t="shared" si="2"/>
        <v>181014</v>
      </c>
      <c r="AB54" s="763">
        <v>568</v>
      </c>
      <c r="AC54" s="764">
        <v>26466</v>
      </c>
      <c r="AD54" s="764">
        <v>14698</v>
      </c>
      <c r="AE54" s="764">
        <v>35538</v>
      </c>
      <c r="AF54" s="764">
        <v>49000</v>
      </c>
      <c r="AG54" s="764">
        <v>32791</v>
      </c>
      <c r="AH54" s="764">
        <v>28148</v>
      </c>
      <c r="AI54" s="764">
        <v>48046</v>
      </c>
      <c r="AJ54" s="764">
        <v>37140</v>
      </c>
      <c r="AK54" s="764">
        <v>34170</v>
      </c>
      <c r="AL54" s="764">
        <v>33090</v>
      </c>
      <c r="AM54" s="764">
        <v>15442</v>
      </c>
      <c r="AN54" s="765">
        <f>SUM(AB54:AM54)</f>
        <v>355097</v>
      </c>
      <c r="AO54" s="763">
        <v>31931</v>
      </c>
      <c r="AP54" s="764">
        <v>30802</v>
      </c>
      <c r="AQ54" s="764">
        <v>29101</v>
      </c>
      <c r="AR54" s="764">
        <v>25230</v>
      </c>
      <c r="AS54" s="764">
        <v>67563</v>
      </c>
      <c r="AT54" s="764">
        <v>139834</v>
      </c>
      <c r="AU54" s="764">
        <v>43656</v>
      </c>
      <c r="AV54" s="764">
        <v>25245</v>
      </c>
      <c r="AW54" s="764">
        <v>35844</v>
      </c>
      <c r="AX54" s="764">
        <v>27021</v>
      </c>
      <c r="AY54" s="764">
        <v>10917</v>
      </c>
      <c r="AZ54" s="764">
        <v>8705</v>
      </c>
      <c r="BA54" s="765">
        <f>SUM(AO54:AZ54)</f>
        <v>475849</v>
      </c>
      <c r="BB54" s="763">
        <v>8769</v>
      </c>
      <c r="BC54" s="764">
        <v>15541</v>
      </c>
      <c r="BD54" s="764">
        <v>8237</v>
      </c>
      <c r="BE54" s="764">
        <v>29445</v>
      </c>
      <c r="BF54" s="764">
        <v>22301</v>
      </c>
      <c r="BG54" s="764">
        <v>38800</v>
      </c>
      <c r="BH54" s="764">
        <v>111164</v>
      </c>
      <c r="BI54" s="764">
        <v>78978</v>
      </c>
      <c r="BJ54" s="764">
        <v>67080</v>
      </c>
      <c r="BK54" s="764">
        <v>45153</v>
      </c>
      <c r="BL54" s="764">
        <v>18574</v>
      </c>
      <c r="BM54" s="764">
        <v>43255</v>
      </c>
      <c r="BN54" s="765">
        <f>SUM(BB54:BM54)</f>
        <v>487297</v>
      </c>
      <c r="BO54" s="763">
        <v>83434</v>
      </c>
      <c r="BP54" s="764">
        <v>7245</v>
      </c>
      <c r="BQ54" s="764">
        <v>547</v>
      </c>
      <c r="BR54" s="764"/>
      <c r="BS54" s="764"/>
      <c r="BT54" s="764">
        <v>4731</v>
      </c>
      <c r="BU54" s="764">
        <v>9680</v>
      </c>
      <c r="BV54" s="764">
        <v>28573</v>
      </c>
      <c r="BW54" s="764">
        <v>25693</v>
      </c>
      <c r="BX54" s="764">
        <v>50239</v>
      </c>
      <c r="BY54" s="764">
        <v>70870</v>
      </c>
      <c r="BZ54" s="764">
        <v>38200</v>
      </c>
      <c r="CA54" s="765">
        <f t="shared" si="15"/>
        <v>319212</v>
      </c>
      <c r="CB54" s="763">
        <v>43740</v>
      </c>
      <c r="CC54" s="764">
        <v>2670</v>
      </c>
      <c r="CD54" s="764">
        <v>10438</v>
      </c>
      <c r="CE54" s="764">
        <v>14041</v>
      </c>
      <c r="CF54" s="764">
        <v>32077</v>
      </c>
      <c r="CG54" s="764">
        <v>16477</v>
      </c>
      <c r="CH54" s="764">
        <v>36183</v>
      </c>
      <c r="CI54" s="764">
        <v>54819</v>
      </c>
      <c r="CJ54" s="764">
        <v>62555</v>
      </c>
      <c r="CK54" s="764">
        <v>38518</v>
      </c>
      <c r="CL54" s="764">
        <v>23828</v>
      </c>
      <c r="CM54" s="764">
        <v>3987</v>
      </c>
      <c r="CN54" s="765">
        <f t="shared" si="16"/>
        <v>339333</v>
      </c>
      <c r="CO54" s="763">
        <v>23450</v>
      </c>
      <c r="CP54" s="764">
        <v>3259</v>
      </c>
      <c r="CQ54" s="764">
        <v>6997</v>
      </c>
      <c r="CR54" s="764">
        <v>9222</v>
      </c>
      <c r="CS54" s="764">
        <v>55207</v>
      </c>
      <c r="CT54" s="764">
        <v>51554</v>
      </c>
      <c r="CU54" s="764">
        <v>49365</v>
      </c>
      <c r="CV54" s="764">
        <v>23216</v>
      </c>
      <c r="CW54" s="764">
        <v>77324</v>
      </c>
      <c r="CX54" s="764">
        <v>73299</v>
      </c>
      <c r="CY54" s="764">
        <v>76762</v>
      </c>
      <c r="CZ54" s="764">
        <v>37732</v>
      </c>
      <c r="DA54" s="765">
        <f>SUM(CO54:CZ54)</f>
        <v>487387</v>
      </c>
      <c r="DB54" s="763">
        <v>40481</v>
      </c>
      <c r="DC54" s="764">
        <v>37111</v>
      </c>
      <c r="DD54" s="764">
        <v>66320</v>
      </c>
      <c r="DE54" s="764">
        <v>75016</v>
      </c>
      <c r="DF54" s="764">
        <v>95209</v>
      </c>
      <c r="DG54" s="764">
        <v>62076</v>
      </c>
      <c r="DH54" s="764">
        <v>14976</v>
      </c>
      <c r="DI54" s="764">
        <v>76691</v>
      </c>
      <c r="DJ54" s="764">
        <v>51292</v>
      </c>
      <c r="DK54" s="764">
        <v>43932</v>
      </c>
      <c r="DL54" s="764">
        <v>48504</v>
      </c>
      <c r="DM54" s="764">
        <v>38780</v>
      </c>
      <c r="DN54" s="765">
        <f>SUM(DB54:DM54)</f>
        <v>650388</v>
      </c>
      <c r="DO54" s="763">
        <v>36686</v>
      </c>
      <c r="DP54" s="764">
        <v>34285</v>
      </c>
      <c r="DQ54" s="764">
        <v>67970</v>
      </c>
      <c r="DR54" s="764">
        <v>10322</v>
      </c>
      <c r="DS54" s="764">
        <v>26880</v>
      </c>
      <c r="DT54" s="764">
        <v>10930</v>
      </c>
      <c r="DU54" s="764">
        <v>132852</v>
      </c>
      <c r="DV54" s="764">
        <v>46660</v>
      </c>
      <c r="DW54" s="764">
        <v>61159</v>
      </c>
      <c r="DX54" s="764">
        <v>77041</v>
      </c>
      <c r="DY54" s="764">
        <v>96334</v>
      </c>
      <c r="DZ54" s="764">
        <v>40862</v>
      </c>
      <c r="EA54" s="765">
        <f t="shared" si="11"/>
        <v>641981</v>
      </c>
      <c r="EB54" s="763">
        <v>35049</v>
      </c>
      <c r="EC54" s="764">
        <v>988</v>
      </c>
      <c r="ED54" s="764">
        <v>3412</v>
      </c>
      <c r="EE54" s="764">
        <v>6778</v>
      </c>
      <c r="EF54" s="764">
        <v>10965</v>
      </c>
      <c r="EG54" s="764">
        <v>16072</v>
      </c>
      <c r="EH54" s="764">
        <v>125659</v>
      </c>
      <c r="EI54" s="764">
        <v>51239</v>
      </c>
      <c r="EJ54" s="764">
        <v>51721</v>
      </c>
      <c r="EK54" s="764">
        <v>77914</v>
      </c>
      <c r="EL54" s="764">
        <v>34720</v>
      </c>
      <c r="EM54" s="764">
        <v>86971</v>
      </c>
      <c r="EN54" s="765">
        <f t="shared" ref="EN54" si="60">SUM(EB54:EM54)</f>
        <v>501488</v>
      </c>
      <c r="EO54" s="763">
        <v>141476</v>
      </c>
      <c r="EP54" s="764">
        <v>126494</v>
      </c>
      <c r="EQ54" s="764">
        <v>49564</v>
      </c>
      <c r="ER54" s="764">
        <v>11542</v>
      </c>
      <c r="ES54" s="764"/>
      <c r="ET54" s="764"/>
      <c r="EU54" s="764"/>
      <c r="EV54" s="764"/>
      <c r="EW54" s="764"/>
      <c r="EX54" s="764"/>
      <c r="EY54" s="764"/>
      <c r="EZ54" s="764"/>
      <c r="FA54" s="765">
        <f t="shared" si="18"/>
        <v>329076</v>
      </c>
      <c r="FB54" s="757"/>
      <c r="FC54" s="544">
        <f>IFERROR(((
_xlfn.XLOOKUP((DATE(YEAR($FC$5),MONTH($FC$5),1)),UCA.PESCA.DATE,$B54:$FA54) /
_xlfn.XLOOKUP((DATE(YEAR($FC$5)-1,MONTH($FC$5),1)),UCA.PESCA.DATE,$B54:$FA54)
)-1)*100,"")</f>
        <v>1352.6377491207504</v>
      </c>
      <c r="FD54" s="545">
        <f>IFERROR(((FF54/FE54)-1)*100,"")</f>
        <v>704.92281173160279</v>
      </c>
      <c r="FE54" s="546">
        <f>SUMIFS($B54:$FA54,UCA.PESCA.DATE,"&gt;="&amp;DATE(YEAR($FC$5)-1,1,1),UCA.PESCA.DATE,"&lt;="&amp;DATE(YEAR($FC$5)-1,MONTH($FC$5),1))</f>
        <v>39449</v>
      </c>
      <c r="FF54" s="547">
        <f>SUMIFS($B54:$FA54,UCA.PESCA.DATE,"&gt;="&amp;DATE(YEAR($FC$5),1,1),UCA.PESCA.DATE,"&lt;="&amp;$FC$5)</f>
        <v>317534</v>
      </c>
      <c r="FG54" s="757"/>
      <c r="FH54" s="919"/>
      <c r="FI54" s="921" t="str">
        <f t="shared" si="20"/>
        <v>RESIVAR</v>
      </c>
      <c r="FL54"/>
    </row>
    <row r="55" spans="1:168" ht="15" customHeight="1" x14ac:dyDescent="0.25">
      <c r="A55" s="120" t="s">
        <v>229</v>
      </c>
      <c r="B55" s="767"/>
      <c r="C55" s="768"/>
      <c r="D55" s="768"/>
      <c r="E55" s="768"/>
      <c r="F55" s="768"/>
      <c r="G55" s="768"/>
      <c r="H55" s="768"/>
      <c r="I55" s="768"/>
      <c r="J55" s="768"/>
      <c r="K55" s="768"/>
      <c r="L55" s="768"/>
      <c r="M55" s="768"/>
      <c r="N55" s="769"/>
      <c r="O55" s="767"/>
      <c r="P55" s="768"/>
      <c r="Q55" s="768"/>
      <c r="R55" s="768"/>
      <c r="S55" s="768"/>
      <c r="T55" s="768"/>
      <c r="U55" s="768"/>
      <c r="V55" s="768"/>
      <c r="W55" s="768"/>
      <c r="X55" s="768"/>
      <c r="Y55" s="768"/>
      <c r="Z55" s="768"/>
      <c r="AA55" s="769"/>
      <c r="AB55" s="767"/>
      <c r="AC55" s="768"/>
      <c r="AD55" s="768"/>
      <c r="AE55" s="768"/>
      <c r="AF55" s="768"/>
      <c r="AG55" s="768"/>
      <c r="AH55" s="768"/>
      <c r="AI55" s="768"/>
      <c r="AJ55" s="768"/>
      <c r="AK55" s="768"/>
      <c r="AL55" s="768"/>
      <c r="AM55" s="768"/>
      <c r="AN55" s="769"/>
      <c r="AO55" s="767"/>
      <c r="AP55" s="768"/>
      <c r="AQ55" s="768"/>
      <c r="AR55" s="768"/>
      <c r="AS55" s="768"/>
      <c r="AT55" s="768"/>
      <c r="AU55" s="768"/>
      <c r="AV55" s="768"/>
      <c r="AW55" s="768"/>
      <c r="AX55" s="768"/>
      <c r="AY55" s="768"/>
      <c r="AZ55" s="768"/>
      <c r="BA55" s="769"/>
      <c r="BB55" s="767"/>
      <c r="BC55" s="768"/>
      <c r="BD55" s="768"/>
      <c r="BE55" s="768"/>
      <c r="BF55" s="768"/>
      <c r="BG55" s="768"/>
      <c r="BH55" s="768"/>
      <c r="BI55" s="768"/>
      <c r="BJ55" s="768"/>
      <c r="BK55" s="768"/>
      <c r="BL55" s="768"/>
      <c r="BM55" s="768"/>
      <c r="BN55" s="769"/>
      <c r="BO55" s="767"/>
      <c r="BP55" s="768"/>
      <c r="BQ55" s="768"/>
      <c r="BR55" s="768"/>
      <c r="BS55" s="768"/>
      <c r="BT55" s="768"/>
      <c r="BU55" s="768"/>
      <c r="BV55" s="768"/>
      <c r="BW55" s="768"/>
      <c r="BX55" s="768"/>
      <c r="BY55" s="768"/>
      <c r="BZ55" s="768"/>
      <c r="CA55" s="769"/>
      <c r="CB55" s="767"/>
      <c r="CC55" s="768"/>
      <c r="CD55" s="768"/>
      <c r="CE55" s="768"/>
      <c r="CF55" s="768"/>
      <c r="CG55" s="768"/>
      <c r="CH55" s="768"/>
      <c r="CI55" s="768"/>
      <c r="CJ55" s="768"/>
      <c r="CK55" s="768"/>
      <c r="CL55" s="768"/>
      <c r="CM55" s="768"/>
      <c r="CN55" s="769"/>
      <c r="CO55" s="767"/>
      <c r="CP55" s="768"/>
      <c r="CQ55" s="768"/>
      <c r="CR55" s="768"/>
      <c r="CS55" s="768"/>
      <c r="CT55" s="768"/>
      <c r="CU55" s="768"/>
      <c r="CV55" s="768"/>
      <c r="CW55" s="768"/>
      <c r="CX55" s="768"/>
      <c r="CY55" s="768"/>
      <c r="CZ55" s="768"/>
      <c r="DA55" s="769"/>
      <c r="DB55" s="767"/>
      <c r="DC55" s="768"/>
      <c r="DD55" s="768"/>
      <c r="DE55" s="768"/>
      <c r="DF55" s="768"/>
      <c r="DG55" s="768"/>
      <c r="DH55" s="768"/>
      <c r="DI55" s="768"/>
      <c r="DJ55" s="768"/>
      <c r="DK55" s="768"/>
      <c r="DL55" s="768"/>
      <c r="DM55" s="768"/>
      <c r="DN55" s="769"/>
      <c r="DO55" s="767"/>
      <c r="DP55" s="768"/>
      <c r="DQ55" s="768"/>
      <c r="DR55" s="768"/>
      <c r="DS55" s="768"/>
      <c r="DT55" s="768"/>
      <c r="DU55" s="768"/>
      <c r="DV55" s="768"/>
      <c r="DW55" s="768"/>
      <c r="DX55" s="768"/>
      <c r="DY55" s="768"/>
      <c r="DZ55" s="768"/>
      <c r="EA55" s="769"/>
      <c r="EB55" s="767"/>
      <c r="EC55" s="768"/>
      <c r="ED55" s="768"/>
      <c r="EE55" s="768"/>
      <c r="EF55" s="768"/>
      <c r="EG55" s="768"/>
      <c r="EH55" s="768"/>
      <c r="EI55" s="768"/>
      <c r="EJ55" s="768"/>
      <c r="EK55" s="768"/>
      <c r="EL55" s="768"/>
      <c r="EM55" s="768"/>
      <c r="EN55" s="769"/>
      <c r="EO55" s="767"/>
      <c r="EP55" s="768"/>
      <c r="EQ55" s="768"/>
      <c r="ER55" s="768"/>
      <c r="ES55" s="768"/>
      <c r="ET55" s="768"/>
      <c r="EU55" s="768"/>
      <c r="EV55" s="768"/>
      <c r="EW55" s="768"/>
      <c r="EX55" s="768"/>
      <c r="EY55" s="768"/>
      <c r="EZ55" s="768"/>
      <c r="FA55" s="769"/>
      <c r="FC55" s="676"/>
      <c r="FD55" s="677"/>
      <c r="FE55" s="618"/>
      <c r="FF55" s="678"/>
      <c r="FH55" s="918"/>
      <c r="FI55" s="922"/>
    </row>
    <row r="56" spans="1:168" ht="15" customHeight="1" x14ac:dyDescent="0.25">
      <c r="A56" s="119" t="s">
        <v>150</v>
      </c>
      <c r="N56" s="353"/>
      <c r="AB56" s="350"/>
      <c r="AC56" s="350"/>
      <c r="AD56" s="350"/>
      <c r="AE56" s="350"/>
      <c r="AF56" s="350"/>
      <c r="AG56" s="350"/>
      <c r="AH56" s="350"/>
      <c r="AI56" s="350"/>
      <c r="AJ56" s="350"/>
      <c r="AK56" s="350"/>
      <c r="AL56" s="350"/>
      <c r="AM56" s="350"/>
      <c r="AN56" s="350"/>
      <c r="AO56" s="350"/>
      <c r="AP56" s="350"/>
      <c r="AQ56" s="350"/>
      <c r="AR56" s="350"/>
      <c r="AS56" s="350"/>
      <c r="AT56" s="350"/>
      <c r="AU56" s="350"/>
      <c r="AV56" s="350"/>
      <c r="AW56" s="350"/>
      <c r="AX56" s="350"/>
      <c r="AY56" s="350"/>
      <c r="AZ56" s="350"/>
      <c r="BA56" s="350"/>
      <c r="BB56" s="350"/>
      <c r="BC56" s="350"/>
      <c r="BD56" s="350"/>
      <c r="BE56" s="350"/>
      <c r="BF56" s="350"/>
      <c r="BG56" s="350"/>
      <c r="BH56" s="350"/>
      <c r="BI56" s="350"/>
      <c r="BJ56" s="350"/>
      <c r="BK56" s="350"/>
      <c r="BL56" s="350"/>
      <c r="BM56" s="350"/>
      <c r="BN56" s="350"/>
      <c r="BO56" s="350"/>
      <c r="BP56" s="350"/>
      <c r="BQ56" s="350"/>
      <c r="BR56" s="350"/>
      <c r="BS56" s="351"/>
      <c r="BT56" s="351"/>
      <c r="BU56" s="351"/>
      <c r="BV56" s="351"/>
      <c r="BW56" s="351"/>
      <c r="BX56" s="351"/>
      <c r="BY56" s="351"/>
      <c r="BZ56" s="351"/>
      <c r="CA56" s="351"/>
      <c r="CB56" s="351"/>
      <c r="CC56" s="351"/>
      <c r="CD56" s="351"/>
      <c r="CE56" s="351"/>
      <c r="CF56" s="351"/>
      <c r="CG56" s="351"/>
      <c r="CH56" s="351"/>
      <c r="CI56" s="351"/>
      <c r="CJ56" s="351"/>
      <c r="CK56" s="351"/>
      <c r="CL56" s="351"/>
      <c r="CM56" s="351"/>
      <c r="CN56" s="351"/>
      <c r="CO56" s="351"/>
      <c r="CP56" s="351"/>
      <c r="CQ56" s="351"/>
      <c r="CR56" s="351"/>
      <c r="CS56" s="351"/>
      <c r="CT56" s="351"/>
      <c r="CU56" s="351"/>
      <c r="CV56" s="351"/>
      <c r="CW56" s="351"/>
      <c r="CX56" s="351"/>
      <c r="CY56" s="351"/>
      <c r="CZ56" s="351"/>
      <c r="DA56" s="351"/>
      <c r="DB56" s="351"/>
      <c r="DC56" s="351"/>
      <c r="DD56" s="351"/>
      <c r="DE56" s="351"/>
      <c r="DF56" s="351"/>
      <c r="DG56" s="351"/>
      <c r="DH56" s="351"/>
      <c r="DI56" s="351"/>
      <c r="DJ56" s="351"/>
      <c r="DK56" s="351"/>
      <c r="DL56" s="351"/>
      <c r="DM56" s="351"/>
      <c r="DN56" s="351"/>
      <c r="DO56" s="351"/>
      <c r="DP56" s="351"/>
      <c r="DQ56" s="351"/>
      <c r="DR56" s="351"/>
      <c r="DS56" s="351"/>
      <c r="DT56" s="351"/>
      <c r="DU56" s="351"/>
      <c r="DV56" s="351"/>
      <c r="DW56" s="351"/>
      <c r="DX56" s="351"/>
      <c r="DY56" s="351"/>
      <c r="DZ56" s="351"/>
      <c r="EA56" s="351"/>
      <c r="EB56" s="351"/>
      <c r="EC56" s="351"/>
      <c r="ED56" s="351"/>
      <c r="EE56" s="351"/>
      <c r="EF56" s="351"/>
      <c r="EG56" s="351"/>
      <c r="EH56" s="351"/>
      <c r="EI56" s="351"/>
      <c r="EJ56" s="351"/>
      <c r="EK56" s="351"/>
      <c r="EL56" s="351"/>
      <c r="EM56" s="351"/>
      <c r="EN56" s="351"/>
      <c r="EO56" s="351"/>
      <c r="EP56" s="351"/>
      <c r="EQ56" s="351"/>
      <c r="ER56" s="351"/>
      <c r="ES56" s="351"/>
      <c r="ET56" s="351"/>
      <c r="EU56" s="351"/>
      <c r="EV56" s="351"/>
      <c r="EW56" s="351"/>
      <c r="EX56" s="351"/>
      <c r="EY56" s="351"/>
      <c r="EZ56" s="351"/>
      <c r="FA56" s="351"/>
      <c r="FC56" s="363"/>
      <c r="FD56" s="357"/>
      <c r="FE56" s="358"/>
      <c r="FF56" s="358"/>
      <c r="FI56" s="923"/>
    </row>
    <row r="57" spans="1:168" ht="15" customHeight="1" x14ac:dyDescent="0.25">
      <c r="A57" s="117" t="s">
        <v>162</v>
      </c>
      <c r="AB57" s="350"/>
      <c r="AC57" s="350"/>
      <c r="AD57" s="350"/>
      <c r="AE57" s="350"/>
      <c r="AF57" s="350"/>
      <c r="AG57" s="350"/>
      <c r="AH57" s="350"/>
      <c r="AI57" s="350"/>
      <c r="AJ57" s="350"/>
      <c r="AK57" s="350"/>
      <c r="AL57" s="350"/>
      <c r="AM57" s="350"/>
      <c r="AN57" s="350"/>
      <c r="AO57" s="350"/>
      <c r="AP57" s="350"/>
      <c r="AQ57" s="350"/>
      <c r="AR57" s="350"/>
      <c r="AS57" s="350"/>
      <c r="AT57" s="350"/>
      <c r="AU57" s="350"/>
      <c r="AV57" s="350"/>
      <c r="AW57" s="350"/>
      <c r="AX57" s="350"/>
      <c r="AY57" s="350"/>
      <c r="AZ57" s="350"/>
      <c r="BA57" s="350"/>
      <c r="BB57" s="350"/>
      <c r="BC57" s="350"/>
      <c r="BD57" s="350"/>
      <c r="BE57" s="350"/>
      <c r="BF57" s="350"/>
      <c r="BG57" s="350"/>
      <c r="BH57" s="350"/>
      <c r="BI57" s="350"/>
      <c r="BJ57" s="350"/>
      <c r="BK57" s="350"/>
      <c r="BL57" s="350"/>
      <c r="BM57" s="350"/>
      <c r="BN57" s="350"/>
      <c r="BO57" s="350"/>
      <c r="BP57" s="350"/>
      <c r="BQ57" s="350"/>
      <c r="BR57" s="350"/>
      <c r="BS57" s="351"/>
      <c r="BT57" s="351"/>
      <c r="BU57" s="351"/>
      <c r="BV57" s="351"/>
      <c r="BW57" s="351"/>
      <c r="BX57" s="351"/>
      <c r="BY57" s="351"/>
      <c r="BZ57" s="351"/>
      <c r="CA57" s="351"/>
      <c r="CB57" s="351"/>
      <c r="CC57" s="351"/>
      <c r="CD57" s="351"/>
      <c r="CE57" s="351"/>
      <c r="CF57" s="351"/>
      <c r="CG57" s="351"/>
      <c r="CH57" s="351"/>
      <c r="CI57" s="351"/>
      <c r="CJ57" s="351"/>
      <c r="CK57" s="351"/>
      <c r="CL57" s="351"/>
      <c r="CM57" s="351"/>
      <c r="CN57" s="351"/>
      <c r="CO57" s="351"/>
      <c r="CP57" s="351"/>
      <c r="CQ57" s="351"/>
      <c r="CR57" s="351"/>
      <c r="CS57" s="351"/>
      <c r="CT57" s="351"/>
      <c r="CU57" s="351"/>
      <c r="CV57" s="351"/>
      <c r="CW57" s="351"/>
      <c r="CX57" s="351"/>
      <c r="CY57" s="351"/>
      <c r="CZ57" s="351"/>
      <c r="DA57" s="351"/>
      <c r="DB57" s="351"/>
      <c r="DC57" s="351"/>
      <c r="DD57" s="351"/>
      <c r="DE57" s="351"/>
      <c r="DF57" s="351"/>
      <c r="DG57" s="351"/>
      <c r="DH57" s="351"/>
      <c r="DI57" s="351"/>
      <c r="DJ57" s="351"/>
      <c r="DK57" s="351"/>
      <c r="DL57" s="351"/>
      <c r="DM57" s="351"/>
      <c r="DN57" s="351"/>
      <c r="DO57" s="351"/>
      <c r="DP57" s="351"/>
      <c r="DQ57" s="351"/>
      <c r="DR57" s="351"/>
      <c r="DS57" s="351"/>
      <c r="DT57" s="351"/>
      <c r="DU57" s="351"/>
      <c r="DV57" s="351"/>
      <c r="DW57" s="351"/>
      <c r="DX57" s="351"/>
      <c r="DY57" s="351"/>
      <c r="DZ57" s="351"/>
      <c r="EA57" s="351"/>
      <c r="EB57" s="351"/>
      <c r="EC57" s="351"/>
      <c r="ED57" s="351"/>
      <c r="EE57" s="351"/>
      <c r="EF57" s="351"/>
      <c r="EG57" s="351"/>
      <c r="EH57" s="351"/>
      <c r="EI57" s="351"/>
      <c r="EJ57" s="351"/>
      <c r="EK57" s="351"/>
      <c r="EL57" s="351"/>
      <c r="EM57" s="351"/>
      <c r="EN57" s="351"/>
      <c r="EO57" s="351"/>
      <c r="EP57" s="351"/>
      <c r="EQ57" s="351"/>
      <c r="ER57" s="351"/>
      <c r="ES57" s="351"/>
      <c r="ET57" s="351"/>
      <c r="EU57" s="351"/>
      <c r="EV57" s="351"/>
      <c r="EW57" s="351"/>
      <c r="EX57" s="351"/>
      <c r="EY57" s="351"/>
      <c r="EZ57" s="351"/>
      <c r="FA57" s="351"/>
      <c r="FC57" s="363"/>
      <c r="FD57" s="357"/>
      <c r="FE57" s="358"/>
      <c r="FF57" s="358"/>
      <c r="FI57" s="923"/>
    </row>
    <row r="58" spans="1:168" ht="15" customHeight="1" x14ac:dyDescent="0.25">
      <c r="A58" s="117" t="s">
        <v>336</v>
      </c>
      <c r="AB58" s="350"/>
      <c r="AC58" s="350"/>
      <c r="AD58" s="350"/>
      <c r="AE58" s="350"/>
      <c r="AF58" s="350"/>
      <c r="AG58" s="350"/>
      <c r="AH58" s="350"/>
      <c r="AI58" s="350"/>
      <c r="AJ58" s="350"/>
      <c r="AK58" s="350"/>
      <c r="AL58" s="350"/>
      <c r="AM58" s="350"/>
      <c r="AN58" s="350"/>
      <c r="AO58" s="350"/>
      <c r="AP58" s="350"/>
      <c r="AQ58" s="350"/>
      <c r="AR58" s="350"/>
      <c r="AS58" s="350"/>
      <c r="AT58" s="350"/>
      <c r="AU58" s="350"/>
      <c r="AV58" s="350"/>
      <c r="AW58" s="350"/>
      <c r="AX58" s="350"/>
      <c r="AY58" s="350"/>
      <c r="AZ58" s="350"/>
      <c r="BA58" s="350"/>
      <c r="BB58" s="350"/>
      <c r="BC58" s="350"/>
      <c r="BD58" s="350"/>
      <c r="BE58" s="350"/>
      <c r="BF58" s="350"/>
      <c r="BG58" s="350"/>
      <c r="BH58" s="350"/>
      <c r="BI58" s="350"/>
      <c r="BJ58" s="350"/>
      <c r="BK58" s="350"/>
      <c r="BL58" s="350"/>
      <c r="BM58" s="350"/>
      <c r="BN58" s="350"/>
      <c r="BO58" s="350"/>
      <c r="BP58" s="350"/>
      <c r="BQ58" s="350"/>
      <c r="BR58" s="350"/>
      <c r="BS58" s="351"/>
      <c r="BT58" s="351"/>
      <c r="BU58" s="351"/>
      <c r="BV58" s="351"/>
      <c r="BW58" s="351"/>
      <c r="BX58" s="351"/>
      <c r="BY58" s="351"/>
      <c r="BZ58" s="351"/>
      <c r="CA58" s="351"/>
      <c r="CB58" s="351"/>
      <c r="CC58" s="351"/>
      <c r="CD58" s="351"/>
      <c r="CE58" s="351"/>
      <c r="CF58" s="351"/>
      <c r="CG58" s="351"/>
      <c r="CH58" s="351"/>
      <c r="CI58" s="351"/>
      <c r="CJ58" s="351"/>
      <c r="CK58" s="351"/>
      <c r="CL58" s="351"/>
      <c r="CM58" s="351"/>
      <c r="CN58" s="351"/>
      <c r="CO58" s="351"/>
      <c r="CP58" s="351"/>
      <c r="CQ58" s="351"/>
      <c r="CR58" s="351"/>
      <c r="CS58" s="351"/>
      <c r="CT58" s="351"/>
      <c r="CU58" s="351"/>
      <c r="CV58" s="351"/>
      <c r="CW58" s="351"/>
      <c r="CX58" s="351"/>
      <c r="CY58" s="351"/>
      <c r="CZ58" s="351"/>
      <c r="DA58" s="351"/>
      <c r="DB58" s="351"/>
      <c r="DC58" s="351"/>
      <c r="DD58" s="351"/>
      <c r="DE58" s="351"/>
      <c r="DF58" s="351"/>
      <c r="DG58" s="351"/>
      <c r="DH58" s="351"/>
      <c r="DI58" s="351"/>
      <c r="DJ58" s="351"/>
      <c r="DK58" s="351"/>
      <c r="DL58" s="351"/>
      <c r="DM58" s="351"/>
      <c r="DN58" s="351"/>
      <c r="DO58" s="351"/>
      <c r="DP58" s="351"/>
      <c r="DQ58" s="351"/>
      <c r="DR58" s="351"/>
      <c r="DS58" s="351"/>
      <c r="DT58" s="351"/>
      <c r="DU58" s="351"/>
      <c r="DV58" s="351"/>
      <c r="DW58" s="351"/>
      <c r="DX58" s="351"/>
      <c r="DY58" s="351"/>
      <c r="DZ58" s="351"/>
      <c r="EA58" s="351"/>
      <c r="EB58" s="351"/>
      <c r="EC58" s="351"/>
      <c r="ED58" s="351"/>
      <c r="EE58" s="351"/>
      <c r="EF58" s="351"/>
      <c r="EG58" s="351"/>
      <c r="EH58" s="351"/>
      <c r="EI58" s="351"/>
      <c r="EJ58" s="351"/>
      <c r="EK58" s="351"/>
      <c r="EL58" s="351"/>
      <c r="EM58" s="351"/>
      <c r="EN58" s="351"/>
      <c r="EO58" s="351"/>
      <c r="EP58" s="351"/>
      <c r="EQ58" s="351"/>
      <c r="ER58" s="351"/>
      <c r="ES58" s="351"/>
      <c r="ET58" s="351"/>
      <c r="EU58" s="351"/>
      <c r="EV58" s="351"/>
      <c r="EW58" s="351"/>
      <c r="EX58" s="351"/>
      <c r="EY58" s="351"/>
      <c r="EZ58" s="351"/>
      <c r="FA58" s="351"/>
      <c r="FC58" s="363"/>
      <c r="FD58" s="357"/>
      <c r="FE58" s="358"/>
      <c r="FF58" s="358"/>
      <c r="FI58" s="923"/>
    </row>
    <row r="59" spans="1:168" ht="15" customHeigh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C59"/>
      <c r="FD59"/>
      <c r="FE59"/>
      <c r="FF59"/>
      <c r="FG59"/>
      <c r="FI59" s="923"/>
    </row>
    <row r="60" spans="1:168" ht="15" customHeight="1" x14ac:dyDescent="0.25">
      <c r="A60" s="116" t="s">
        <v>550</v>
      </c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  <c r="AH60" s="347"/>
      <c r="AI60" s="347"/>
      <c r="AJ60" s="347"/>
      <c r="AK60" s="347"/>
      <c r="AL60" s="347"/>
      <c r="AM60" s="347"/>
      <c r="AN60" s="347"/>
      <c r="AO60" s="347"/>
      <c r="AP60" s="347"/>
      <c r="AQ60" s="347"/>
      <c r="AR60" s="347"/>
      <c r="AS60" s="347"/>
      <c r="AT60" s="347"/>
      <c r="AU60" s="347"/>
      <c r="AV60" s="347"/>
      <c r="AW60" s="347"/>
      <c r="AX60" s="347"/>
      <c r="AY60" s="347"/>
      <c r="AZ60" s="347"/>
      <c r="BA60" s="347"/>
      <c r="BB60" s="347"/>
      <c r="BC60" s="347"/>
      <c r="BD60" s="347"/>
      <c r="BE60" s="347"/>
      <c r="BF60" s="347"/>
      <c r="BG60" s="347"/>
      <c r="BH60" s="347"/>
      <c r="BI60" s="347"/>
      <c r="BJ60" s="347"/>
      <c r="BK60" s="347"/>
      <c r="BL60" s="347"/>
      <c r="BM60" s="347"/>
      <c r="BN60" s="347"/>
      <c r="BO60" s="347"/>
      <c r="BP60" s="347"/>
      <c r="BQ60" s="347"/>
      <c r="BR60" s="347"/>
      <c r="BS60" s="347"/>
      <c r="BT60" s="347"/>
      <c r="BU60" s="347"/>
      <c r="BV60" s="347"/>
      <c r="BW60" s="347"/>
      <c r="BX60" s="347"/>
      <c r="BY60" s="347"/>
      <c r="BZ60" s="347"/>
      <c r="CA60" s="347"/>
      <c r="CB60" s="347"/>
      <c r="CC60" s="347"/>
      <c r="CD60" s="347"/>
      <c r="CE60" s="347"/>
      <c r="CF60" s="347"/>
      <c r="CG60" s="347"/>
      <c r="CH60" s="347"/>
      <c r="CI60" s="347"/>
      <c r="CJ60" s="347"/>
      <c r="CK60" s="347"/>
      <c r="CL60" s="347"/>
      <c r="CM60" s="347"/>
      <c r="CN60" s="347"/>
      <c r="CO60" s="347"/>
      <c r="CP60" s="347"/>
      <c r="CQ60" s="347"/>
      <c r="CR60" s="347"/>
      <c r="CS60" s="347"/>
      <c r="CT60" s="347"/>
      <c r="CU60" s="347"/>
      <c r="CV60" s="347"/>
      <c r="CW60" s="347"/>
      <c r="CX60" s="347"/>
      <c r="CY60" s="347"/>
      <c r="CZ60" s="347"/>
      <c r="DA60" s="347"/>
      <c r="DB60" s="347"/>
      <c r="DC60" s="347"/>
      <c r="DD60" s="347"/>
      <c r="DE60" s="347"/>
      <c r="DF60" s="347"/>
      <c r="DG60" s="347"/>
      <c r="DH60" s="347"/>
      <c r="DI60" s="347"/>
      <c r="DJ60" s="347"/>
      <c r="DK60" s="347"/>
      <c r="DL60" s="347"/>
      <c r="DM60" s="347"/>
      <c r="DN60" s="347"/>
      <c r="DO60" s="347"/>
      <c r="DP60" s="347"/>
      <c r="DQ60" s="347"/>
      <c r="DR60" s="347"/>
      <c r="DS60" s="347"/>
      <c r="DT60" s="347"/>
      <c r="DU60" s="347"/>
      <c r="DV60" s="347"/>
      <c r="DW60" s="347"/>
      <c r="DX60" s="347"/>
      <c r="DY60" s="347"/>
      <c r="DZ60" s="347"/>
      <c r="EA60" s="347"/>
      <c r="EB60" s="347"/>
      <c r="EC60" s="347"/>
      <c r="ED60" s="347"/>
      <c r="EE60" s="347"/>
      <c r="EF60" s="347"/>
      <c r="EG60" s="347"/>
      <c r="EH60" s="347"/>
      <c r="EI60" s="347"/>
      <c r="EJ60" s="347"/>
      <c r="EK60" s="347"/>
      <c r="EL60" s="347"/>
      <c r="EM60" s="347"/>
      <c r="EN60" s="347"/>
      <c r="EO60" s="347"/>
      <c r="EP60" s="347"/>
      <c r="EQ60" s="347"/>
      <c r="ER60" s="347"/>
      <c r="ES60" s="347"/>
      <c r="ET60" s="347"/>
      <c r="EU60" s="347"/>
      <c r="EV60" s="347"/>
      <c r="EW60" s="347"/>
      <c r="EX60" s="347"/>
      <c r="EY60" s="347"/>
      <c r="EZ60" s="347"/>
      <c r="FA60" s="347"/>
      <c r="FC60" s="369"/>
      <c r="FD60" s="370"/>
      <c r="FE60" s="371"/>
      <c r="FF60" s="371"/>
      <c r="FI60" s="923"/>
    </row>
    <row r="61" spans="1:168" ht="15" customHeight="1" x14ac:dyDescent="0.25">
      <c r="A61" s="373" t="s">
        <v>87</v>
      </c>
      <c r="B61" s="343">
        <v>2</v>
      </c>
      <c r="C61" s="342">
        <v>1</v>
      </c>
      <c r="D61" s="342">
        <v>3</v>
      </c>
      <c r="E61" s="342">
        <v>9</v>
      </c>
      <c r="F61" s="342">
        <v>39</v>
      </c>
      <c r="G61" s="342">
        <v>112</v>
      </c>
      <c r="H61" s="342">
        <v>169</v>
      </c>
      <c r="I61" s="342">
        <v>290</v>
      </c>
      <c r="J61" s="342">
        <v>235</v>
      </c>
      <c r="K61" s="342">
        <v>169</v>
      </c>
      <c r="L61" s="342">
        <v>37</v>
      </c>
      <c r="M61" s="344">
        <v>23</v>
      </c>
      <c r="N61" s="344">
        <f t="shared" ref="N61:N66" si="61">SUM(B61:M61)</f>
        <v>1089</v>
      </c>
      <c r="O61" s="343">
        <v>10</v>
      </c>
      <c r="P61" s="342">
        <v>4</v>
      </c>
      <c r="Q61" s="342">
        <v>9</v>
      </c>
      <c r="R61" s="342">
        <v>8</v>
      </c>
      <c r="S61" s="342">
        <v>47</v>
      </c>
      <c r="T61" s="342">
        <v>52</v>
      </c>
      <c r="U61" s="342">
        <v>25</v>
      </c>
      <c r="V61" s="342">
        <v>57</v>
      </c>
      <c r="W61" s="342">
        <v>68</v>
      </c>
      <c r="X61" s="342">
        <v>59</v>
      </c>
      <c r="Y61" s="342">
        <v>16</v>
      </c>
      <c r="Z61" s="344">
        <v>6</v>
      </c>
      <c r="AA61" s="344">
        <f t="shared" ref="AA61:AA66" si="62">SUM(O61:Z61)</f>
        <v>361</v>
      </c>
      <c r="AB61" s="343">
        <v>10</v>
      </c>
      <c r="AC61" s="342">
        <v>3</v>
      </c>
      <c r="AD61" s="342">
        <v>6</v>
      </c>
      <c r="AE61" s="342">
        <v>37</v>
      </c>
      <c r="AF61" s="342">
        <v>42</v>
      </c>
      <c r="AG61" s="342">
        <v>89</v>
      </c>
      <c r="AH61" s="342">
        <v>146</v>
      </c>
      <c r="AI61" s="342">
        <v>159</v>
      </c>
      <c r="AJ61" s="342">
        <v>193</v>
      </c>
      <c r="AK61" s="342">
        <v>68</v>
      </c>
      <c r="AL61" s="342">
        <v>59</v>
      </c>
      <c r="AM61" s="344">
        <v>16</v>
      </c>
      <c r="AN61" s="344">
        <f t="shared" ref="AN61:AN66" si="63">SUM(AB61:AM61)</f>
        <v>828</v>
      </c>
      <c r="AO61" s="343">
        <v>1</v>
      </c>
      <c r="AP61" s="342">
        <v>1</v>
      </c>
      <c r="AQ61" s="342">
        <v>2</v>
      </c>
      <c r="AR61" s="342">
        <v>9</v>
      </c>
      <c r="AS61" s="342">
        <v>19</v>
      </c>
      <c r="AT61" s="342">
        <v>55</v>
      </c>
      <c r="AU61" s="342">
        <v>93</v>
      </c>
      <c r="AV61" s="342">
        <v>107</v>
      </c>
      <c r="AW61" s="342">
        <v>62</v>
      </c>
      <c r="AX61" s="342">
        <v>19</v>
      </c>
      <c r="AY61" s="342">
        <v>3</v>
      </c>
      <c r="AZ61" s="344">
        <v>3</v>
      </c>
      <c r="BA61" s="344">
        <f t="shared" ref="BA61:BA66" si="64">SUM(AO61:AZ61)</f>
        <v>374</v>
      </c>
      <c r="BB61" s="343">
        <v>3</v>
      </c>
      <c r="BC61" s="342">
        <v>1</v>
      </c>
      <c r="BD61" s="342">
        <v>2</v>
      </c>
      <c r="BE61" s="342">
        <v>12</v>
      </c>
      <c r="BF61" s="342">
        <v>59</v>
      </c>
      <c r="BG61" s="342">
        <v>70</v>
      </c>
      <c r="BH61" s="342">
        <v>128</v>
      </c>
      <c r="BI61" s="342">
        <v>101</v>
      </c>
      <c r="BJ61" s="342">
        <v>196</v>
      </c>
      <c r="BK61" s="342">
        <v>132</v>
      </c>
      <c r="BL61" s="342">
        <v>35</v>
      </c>
      <c r="BM61" s="344">
        <v>51</v>
      </c>
      <c r="BN61" s="344">
        <f t="shared" ref="BN61:BN66" si="65">SUM(BB61:BM61)</f>
        <v>790</v>
      </c>
      <c r="BO61" s="343"/>
      <c r="BP61" s="342">
        <v>1</v>
      </c>
      <c r="BQ61" s="342"/>
      <c r="BR61" s="342"/>
      <c r="BS61" s="342"/>
      <c r="BT61" s="342"/>
      <c r="BU61" s="342"/>
      <c r="BV61" s="342"/>
      <c r="BW61" s="342"/>
      <c r="BX61" s="342"/>
      <c r="BY61" s="342"/>
      <c r="BZ61" s="344"/>
      <c r="CA61" s="344">
        <f t="shared" ref="CA61:CA66" si="66">SUM(BO61:BZ61)</f>
        <v>1</v>
      </c>
      <c r="CB61" s="343">
        <v>0.14000000000000001</v>
      </c>
      <c r="CC61" s="342">
        <v>0.23</v>
      </c>
      <c r="CD61" s="342"/>
      <c r="CE61" s="342"/>
      <c r="CF61" s="342">
        <v>6.43</v>
      </c>
      <c r="CG61" s="342">
        <v>24.9</v>
      </c>
      <c r="CH61" s="342">
        <v>62.05</v>
      </c>
      <c r="CI61" s="342">
        <v>52.89</v>
      </c>
      <c r="CJ61" s="342">
        <v>40.65</v>
      </c>
      <c r="CK61" s="342">
        <v>23.4</v>
      </c>
      <c r="CL61" s="342">
        <v>8.39</v>
      </c>
      <c r="CM61" s="344">
        <v>3.11</v>
      </c>
      <c r="CN61" s="344">
        <f t="shared" ref="CN61:CN66" si="67">SUM(CB61:CM61)</f>
        <v>222.19</v>
      </c>
      <c r="CO61" s="343">
        <v>0.24960000000000002</v>
      </c>
      <c r="CP61" s="342">
        <v>0.32890000000000003</v>
      </c>
      <c r="CQ61" s="342">
        <v>0.87360000000000015</v>
      </c>
      <c r="CR61" s="342">
        <v>2.6</v>
      </c>
      <c r="CS61" s="342">
        <v>18.6784</v>
      </c>
      <c r="CT61" s="342">
        <v>9.984</v>
      </c>
      <c r="CU61" s="342">
        <v>178.20400000000001</v>
      </c>
      <c r="CV61" s="342">
        <v>174.77200000000002</v>
      </c>
      <c r="CW61" s="342">
        <v>184.34</v>
      </c>
      <c r="CX61" s="342">
        <v>99.501999999999995</v>
      </c>
      <c r="CY61" s="342">
        <v>44.030999999999999</v>
      </c>
      <c r="CZ61" s="344">
        <v>26.325000000000003</v>
      </c>
      <c r="DA61" s="344">
        <f t="shared" ref="DA61:DA66" si="68">SUM(CO61:CZ61)</f>
        <v>739.88850000000002</v>
      </c>
      <c r="DB61" s="343">
        <v>0.61750000000000005</v>
      </c>
      <c r="DC61" s="342"/>
      <c r="DD61" s="342">
        <v>1.3090999999999999</v>
      </c>
      <c r="DE61" s="342">
        <v>3.7829999999999999</v>
      </c>
      <c r="DF61" s="342">
        <v>3.12</v>
      </c>
      <c r="DG61" s="342">
        <v>11.141</v>
      </c>
      <c r="DH61" s="342">
        <v>3.2370000000000001</v>
      </c>
      <c r="DI61" s="342">
        <v>44.005000000000003</v>
      </c>
      <c r="DJ61" s="342">
        <v>39.481000000000002</v>
      </c>
      <c r="DK61" s="342">
        <v>28.6</v>
      </c>
      <c r="DL61" s="342">
        <v>6.8250000000000002</v>
      </c>
      <c r="DM61" s="344">
        <v>2.2999999999999998</v>
      </c>
      <c r="DN61" s="344">
        <f t="shared" ref="DN61:DN66" si="69">SUM(DB61:DM61)</f>
        <v>144.4186</v>
      </c>
      <c r="DO61" s="343"/>
      <c r="DP61" s="342">
        <v>0.03</v>
      </c>
      <c r="DQ61" s="342">
        <v>0.15</v>
      </c>
      <c r="DR61" s="342">
        <v>1.823</v>
      </c>
      <c r="DS61" s="342">
        <v>14.144</v>
      </c>
      <c r="DT61" s="342">
        <v>87.106999999999999</v>
      </c>
      <c r="DU61" s="342">
        <v>140.27500000000001</v>
      </c>
      <c r="DV61" s="342">
        <v>76.75</v>
      </c>
      <c r="DW61" s="342">
        <v>123.367</v>
      </c>
      <c r="DX61" s="342">
        <v>30.65</v>
      </c>
      <c r="DY61" s="342">
        <v>6.4740000000000002</v>
      </c>
      <c r="DZ61" s="344">
        <v>0.3</v>
      </c>
      <c r="EA61" s="344">
        <f t="shared" ref="EA61:EA66" si="70">SUM(DO61:DZ61)</f>
        <v>481.07</v>
      </c>
      <c r="EB61" s="343">
        <v>0.214</v>
      </c>
      <c r="EC61" s="342">
        <v>9.4E-2</v>
      </c>
      <c r="ED61" s="342">
        <v>0.05</v>
      </c>
      <c r="EE61" s="342">
        <v>1.2</v>
      </c>
      <c r="EF61" s="342">
        <v>2.3250000000000002</v>
      </c>
      <c r="EG61" s="342">
        <v>13.875</v>
      </c>
      <c r="EH61" s="342">
        <v>20.606000000000002</v>
      </c>
      <c r="EI61" s="342">
        <v>187.09399999999999</v>
      </c>
      <c r="EJ61" s="342">
        <v>114.521</v>
      </c>
      <c r="EK61" s="342">
        <v>165.78899999999999</v>
      </c>
      <c r="EL61" s="342">
        <v>23.678999999999998</v>
      </c>
      <c r="EM61" s="342">
        <v>32.86</v>
      </c>
      <c r="EN61" s="341">
        <f t="shared" ref="EN61:EN66" si="71">SUM(EB61:EM61)</f>
        <v>562.30700000000002</v>
      </c>
      <c r="EO61" s="343">
        <v>13.950000000000001</v>
      </c>
      <c r="EP61" s="342">
        <v>7.5249999999999995</v>
      </c>
      <c r="EQ61" s="342">
        <v>0.86399999999999999</v>
      </c>
      <c r="ER61" s="342">
        <v>0.81</v>
      </c>
      <c r="ES61" s="342"/>
      <c r="ET61" s="342"/>
      <c r="EU61" s="342"/>
      <c r="EV61" s="342"/>
      <c r="EW61" s="342"/>
      <c r="EX61" s="342"/>
      <c r="EY61" s="342"/>
      <c r="EZ61" s="344"/>
      <c r="FA61" s="341">
        <f t="shared" ref="FA61:FA66" si="72">SUM(EO61:EZ61)</f>
        <v>23.149000000000001</v>
      </c>
      <c r="FC61" s="364">
        <f t="shared" ref="FC61:FC66" si="73">IFERROR(((EY61/DY61)-1)*100,"")</f>
        <v>-100</v>
      </c>
      <c r="FD61" s="364">
        <f t="shared" ref="FD61:FD66" si="74">IFERROR(((FF61/FE61)-1)*100,"")</f>
        <v>-95.185015703974869</v>
      </c>
      <c r="FE61" s="365">
        <f t="shared" ref="FE61:FE66" si="75">SUM(DO61:DY61)</f>
        <v>480.77</v>
      </c>
      <c r="FF61" s="365">
        <f t="shared" ref="FF61:FF66" si="76">SUM(EO61:EY61)</f>
        <v>23.149000000000001</v>
      </c>
      <c r="FH61" s="916" t="s">
        <v>87</v>
      </c>
      <c r="FI61" s="924" t="str">
        <f t="shared" si="20"/>
        <v>OK</v>
      </c>
    </row>
    <row r="62" spans="1:168" ht="15" customHeight="1" x14ac:dyDescent="0.25">
      <c r="A62" s="374" t="s">
        <v>19</v>
      </c>
      <c r="B62" s="346">
        <v>39</v>
      </c>
      <c r="C62" s="122">
        <v>29</v>
      </c>
      <c r="D62" s="122">
        <v>33</v>
      </c>
      <c r="E62" s="122">
        <v>9</v>
      </c>
      <c r="F62" s="122">
        <v>28</v>
      </c>
      <c r="G62" s="122">
        <v>55</v>
      </c>
      <c r="H62" s="122">
        <v>160</v>
      </c>
      <c r="I62" s="122">
        <v>265</v>
      </c>
      <c r="J62" s="122">
        <v>292</v>
      </c>
      <c r="K62" s="122">
        <v>530</v>
      </c>
      <c r="L62" s="122">
        <v>144</v>
      </c>
      <c r="M62" s="361">
        <v>129</v>
      </c>
      <c r="N62" s="361">
        <f t="shared" si="61"/>
        <v>1713</v>
      </c>
      <c r="O62" s="346">
        <v>33</v>
      </c>
      <c r="P62" s="122">
        <v>15</v>
      </c>
      <c r="Q62" s="122">
        <v>12</v>
      </c>
      <c r="R62" s="122">
        <v>8</v>
      </c>
      <c r="S62" s="122">
        <v>37</v>
      </c>
      <c r="T62" s="122">
        <v>214</v>
      </c>
      <c r="U62" s="122">
        <v>234</v>
      </c>
      <c r="V62" s="122">
        <v>137</v>
      </c>
      <c r="W62" s="122">
        <v>261</v>
      </c>
      <c r="X62" s="122">
        <v>29</v>
      </c>
      <c r="Y62" s="122">
        <v>18</v>
      </c>
      <c r="Z62" s="361">
        <v>26</v>
      </c>
      <c r="AA62" s="361">
        <f t="shared" si="62"/>
        <v>1024</v>
      </c>
      <c r="AB62" s="346">
        <v>33</v>
      </c>
      <c r="AC62" s="122">
        <v>13</v>
      </c>
      <c r="AD62" s="122">
        <v>21</v>
      </c>
      <c r="AE62" s="122">
        <v>27</v>
      </c>
      <c r="AF62" s="122">
        <v>36</v>
      </c>
      <c r="AG62" s="122">
        <v>52</v>
      </c>
      <c r="AH62" s="122">
        <v>78</v>
      </c>
      <c r="AI62" s="122">
        <v>175</v>
      </c>
      <c r="AJ62" s="122">
        <v>288</v>
      </c>
      <c r="AK62" s="122">
        <v>261</v>
      </c>
      <c r="AL62" s="122">
        <v>29</v>
      </c>
      <c r="AM62" s="361">
        <v>24</v>
      </c>
      <c r="AN62" s="361">
        <f t="shared" si="63"/>
        <v>1037</v>
      </c>
      <c r="AO62" s="346">
        <v>41</v>
      </c>
      <c r="AP62" s="122">
        <v>20</v>
      </c>
      <c r="AQ62" s="122">
        <v>59</v>
      </c>
      <c r="AR62" s="122">
        <v>37</v>
      </c>
      <c r="AS62" s="122">
        <v>54</v>
      </c>
      <c r="AT62" s="122">
        <v>79</v>
      </c>
      <c r="AU62" s="122">
        <v>127</v>
      </c>
      <c r="AV62" s="122">
        <v>146</v>
      </c>
      <c r="AW62" s="122">
        <v>140</v>
      </c>
      <c r="AX62" s="122">
        <v>67</v>
      </c>
      <c r="AY62" s="122">
        <v>30</v>
      </c>
      <c r="AZ62" s="361">
        <v>19</v>
      </c>
      <c r="BA62" s="361">
        <f t="shared" si="64"/>
        <v>819</v>
      </c>
      <c r="BB62" s="346">
        <v>27</v>
      </c>
      <c r="BC62" s="122">
        <v>40</v>
      </c>
      <c r="BD62" s="122">
        <v>44</v>
      </c>
      <c r="BE62" s="122">
        <v>56</v>
      </c>
      <c r="BF62" s="122">
        <v>66</v>
      </c>
      <c r="BG62" s="122">
        <v>144</v>
      </c>
      <c r="BH62" s="122">
        <v>154</v>
      </c>
      <c r="BI62" s="122">
        <v>131</v>
      </c>
      <c r="BJ62" s="122">
        <v>278</v>
      </c>
      <c r="BK62" s="122">
        <v>330</v>
      </c>
      <c r="BL62" s="122">
        <v>70</v>
      </c>
      <c r="BM62" s="361">
        <v>31</v>
      </c>
      <c r="BN62" s="361">
        <f t="shared" si="65"/>
        <v>1371</v>
      </c>
      <c r="BO62" s="346">
        <v>22</v>
      </c>
      <c r="BP62" s="122">
        <v>30</v>
      </c>
      <c r="BQ62" s="122">
        <v>4</v>
      </c>
      <c r="BR62" s="122"/>
      <c r="BS62" s="122"/>
      <c r="BT62" s="122">
        <v>10</v>
      </c>
      <c r="BU62" s="122">
        <v>84</v>
      </c>
      <c r="BV62" s="122">
        <v>53</v>
      </c>
      <c r="BW62" s="122">
        <v>31</v>
      </c>
      <c r="BX62" s="122">
        <v>112</v>
      </c>
      <c r="BY62" s="122">
        <v>15</v>
      </c>
      <c r="BZ62" s="361">
        <v>2</v>
      </c>
      <c r="CA62" s="361">
        <f t="shared" si="66"/>
        <v>363</v>
      </c>
      <c r="CB62" s="346">
        <v>13.13</v>
      </c>
      <c r="CC62" s="122">
        <v>11.38</v>
      </c>
      <c r="CD62" s="122"/>
      <c r="CE62" s="122">
        <v>1.22</v>
      </c>
      <c r="CF62" s="122">
        <v>8.66</v>
      </c>
      <c r="CG62" s="122">
        <v>28.48</v>
      </c>
      <c r="CH62" s="122">
        <v>96.53</v>
      </c>
      <c r="CI62" s="122">
        <v>64.64</v>
      </c>
      <c r="CJ62" s="122">
        <v>43.4</v>
      </c>
      <c r="CK62" s="122">
        <v>96.75</v>
      </c>
      <c r="CL62" s="122">
        <v>45.92</v>
      </c>
      <c r="CM62" s="361">
        <v>12.73</v>
      </c>
      <c r="CN62" s="361">
        <f t="shared" si="67"/>
        <v>422.84000000000003</v>
      </c>
      <c r="CO62" s="346">
        <v>16.097900000000003</v>
      </c>
      <c r="CP62" s="122">
        <v>15.928900000000001</v>
      </c>
      <c r="CQ62" s="122">
        <v>3.1486000000000005</v>
      </c>
      <c r="CR62" s="122">
        <v>37.44</v>
      </c>
      <c r="CS62" s="122">
        <v>8.5123999999999995</v>
      </c>
      <c r="CT62" s="122">
        <v>20.898800000000001</v>
      </c>
      <c r="CU62" s="122">
        <v>104.3185</v>
      </c>
      <c r="CV62" s="122">
        <v>106.444</v>
      </c>
      <c r="CW62" s="122">
        <v>213.38200000000001</v>
      </c>
      <c r="CX62" s="122">
        <v>97.317999999999998</v>
      </c>
      <c r="CY62" s="122">
        <v>43.127499999999998</v>
      </c>
      <c r="CZ62" s="361">
        <v>15.911999999999999</v>
      </c>
      <c r="DA62" s="361">
        <f t="shared" si="68"/>
        <v>682.5286000000001</v>
      </c>
      <c r="DB62" s="346">
        <v>16.071899999999999</v>
      </c>
      <c r="DC62" s="122">
        <v>13.501799999999999</v>
      </c>
      <c r="DD62" s="122">
        <v>14.635400000000001</v>
      </c>
      <c r="DE62" s="122">
        <v>20.429499999999997</v>
      </c>
      <c r="DF62" s="122">
        <v>16.695900000000002</v>
      </c>
      <c r="DG62" s="122">
        <v>79.455999999999989</v>
      </c>
      <c r="DH62" s="122">
        <v>6.7729999999999997</v>
      </c>
      <c r="DI62" s="122">
        <v>162.47399999999999</v>
      </c>
      <c r="DJ62" s="122">
        <v>150.60499999999999</v>
      </c>
      <c r="DK62" s="122">
        <v>14.43</v>
      </c>
      <c r="DL62" s="122">
        <v>11.908000000000001</v>
      </c>
      <c r="DM62" s="361">
        <v>9.1999999999999993</v>
      </c>
      <c r="DN62" s="361">
        <f t="shared" si="69"/>
        <v>516.18049999999994</v>
      </c>
      <c r="DO62" s="346">
        <v>4.7</v>
      </c>
      <c r="DP62" s="122">
        <v>4.9249999999999998</v>
      </c>
      <c r="DQ62" s="122">
        <v>10.974</v>
      </c>
      <c r="DR62" s="122">
        <v>5.202</v>
      </c>
      <c r="DS62" s="122">
        <v>24.606000000000002</v>
      </c>
      <c r="DT62" s="122">
        <v>13.5</v>
      </c>
      <c r="DU62" s="122">
        <v>40.339999999999996</v>
      </c>
      <c r="DV62" s="122">
        <v>57.55</v>
      </c>
      <c r="DW62" s="122">
        <v>86.966999999999999</v>
      </c>
      <c r="DX62" s="122">
        <v>15.092000000000001</v>
      </c>
      <c r="DY62" s="122">
        <v>15.26</v>
      </c>
      <c r="DZ62" s="361">
        <v>17.713000000000001</v>
      </c>
      <c r="EA62" s="361">
        <f t="shared" si="70"/>
        <v>296.82900000000001</v>
      </c>
      <c r="EB62" s="346">
        <v>18.899999999999999</v>
      </c>
      <c r="EC62" s="122">
        <v>19.323</v>
      </c>
      <c r="ED62" s="122">
        <v>13.634</v>
      </c>
      <c r="EE62" s="122">
        <v>30.3</v>
      </c>
      <c r="EF62" s="122">
        <v>9.1709999999999994</v>
      </c>
      <c r="EG62" s="122">
        <v>19.25</v>
      </c>
      <c r="EH62" s="122">
        <v>77.135000000000005</v>
      </c>
      <c r="EI62" s="122">
        <v>44.859000000000002</v>
      </c>
      <c r="EJ62" s="122">
        <v>40.295000000000002</v>
      </c>
      <c r="EK62" s="122">
        <v>56.841999999999999</v>
      </c>
      <c r="EL62" s="122">
        <v>16.928999999999998</v>
      </c>
      <c r="EM62" s="122">
        <v>11.987</v>
      </c>
      <c r="EN62" s="345">
        <f t="shared" si="71"/>
        <v>358.625</v>
      </c>
      <c r="EO62" s="346">
        <v>4.1656249999999995</v>
      </c>
      <c r="EP62" s="122">
        <v>4.0249999999999995</v>
      </c>
      <c r="EQ62" s="122">
        <v>5.859</v>
      </c>
      <c r="ER62" s="122">
        <v>51.214999999999996</v>
      </c>
      <c r="ES62" s="122"/>
      <c r="ET62" s="122"/>
      <c r="EU62" s="122"/>
      <c r="EV62" s="122"/>
      <c r="EW62" s="122"/>
      <c r="EX62" s="122"/>
      <c r="EY62" s="122"/>
      <c r="EZ62" s="361"/>
      <c r="FA62" s="345">
        <f t="shared" si="72"/>
        <v>65.264624999999995</v>
      </c>
      <c r="FC62" s="123">
        <f t="shared" si="73"/>
        <v>-100</v>
      </c>
      <c r="FD62" s="123">
        <f t="shared" si="74"/>
        <v>-76.617383095200566</v>
      </c>
      <c r="FE62" s="354">
        <f t="shared" si="75"/>
        <v>279.11599999999999</v>
      </c>
      <c r="FF62" s="354">
        <f t="shared" si="76"/>
        <v>65.264624999999995</v>
      </c>
      <c r="FH62" s="917" t="s">
        <v>19</v>
      </c>
      <c r="FI62" s="920" t="str">
        <f t="shared" si="20"/>
        <v>OK</v>
      </c>
    </row>
    <row r="63" spans="1:168" ht="15" customHeight="1" x14ac:dyDescent="0.25">
      <c r="A63" s="374" t="s">
        <v>24</v>
      </c>
      <c r="B63" s="346">
        <v>49</v>
      </c>
      <c r="C63" s="122">
        <v>33</v>
      </c>
      <c r="D63" s="122">
        <v>11</v>
      </c>
      <c r="E63" s="122">
        <v>3</v>
      </c>
      <c r="F63" s="122">
        <v>5</v>
      </c>
      <c r="G63" s="122">
        <v>4</v>
      </c>
      <c r="H63" s="122"/>
      <c r="I63" s="122"/>
      <c r="J63" s="122"/>
      <c r="K63" s="122"/>
      <c r="L63" s="122">
        <v>48</v>
      </c>
      <c r="M63" s="361">
        <v>60</v>
      </c>
      <c r="N63" s="361">
        <f t="shared" si="61"/>
        <v>213</v>
      </c>
      <c r="O63" s="346">
        <v>7</v>
      </c>
      <c r="P63" s="122">
        <v>18</v>
      </c>
      <c r="Q63" s="122">
        <v>3</v>
      </c>
      <c r="R63" s="122">
        <v>8</v>
      </c>
      <c r="S63" s="122">
        <v>18</v>
      </c>
      <c r="T63" s="122">
        <v>2</v>
      </c>
      <c r="U63" s="122">
        <v>2</v>
      </c>
      <c r="V63" s="122">
        <v>1</v>
      </c>
      <c r="W63" s="122">
        <v>4</v>
      </c>
      <c r="X63" s="122">
        <v>26</v>
      </c>
      <c r="Y63" s="122">
        <v>24</v>
      </c>
      <c r="Z63" s="361">
        <v>19</v>
      </c>
      <c r="AA63" s="361">
        <f t="shared" si="62"/>
        <v>132</v>
      </c>
      <c r="AB63" s="346">
        <v>12</v>
      </c>
      <c r="AC63" s="122">
        <v>13</v>
      </c>
      <c r="AD63" s="122">
        <v>17</v>
      </c>
      <c r="AE63" s="122">
        <v>22</v>
      </c>
      <c r="AF63" s="122">
        <v>10</v>
      </c>
      <c r="AG63" s="122">
        <v>5</v>
      </c>
      <c r="AH63" s="122">
        <v>1</v>
      </c>
      <c r="AI63" s="122"/>
      <c r="AJ63" s="122">
        <v>2</v>
      </c>
      <c r="AK63" s="122">
        <v>4</v>
      </c>
      <c r="AL63" s="122">
        <v>26</v>
      </c>
      <c r="AM63" s="361">
        <v>24</v>
      </c>
      <c r="AN63" s="361">
        <f t="shared" si="63"/>
        <v>136</v>
      </c>
      <c r="AO63" s="346">
        <v>30</v>
      </c>
      <c r="AP63" s="122">
        <v>15</v>
      </c>
      <c r="AQ63" s="122">
        <v>71</v>
      </c>
      <c r="AR63" s="122">
        <v>32</v>
      </c>
      <c r="AS63" s="122">
        <v>9</v>
      </c>
      <c r="AT63" s="122">
        <v>6</v>
      </c>
      <c r="AU63" s="122">
        <v>2</v>
      </c>
      <c r="AV63" s="122">
        <v>23</v>
      </c>
      <c r="AW63" s="122">
        <v>5</v>
      </c>
      <c r="AX63" s="122">
        <v>47</v>
      </c>
      <c r="AY63" s="122">
        <v>61</v>
      </c>
      <c r="AZ63" s="361">
        <v>12</v>
      </c>
      <c r="BA63" s="361">
        <f t="shared" si="64"/>
        <v>313</v>
      </c>
      <c r="BB63" s="346">
        <v>24</v>
      </c>
      <c r="BC63" s="122">
        <v>13</v>
      </c>
      <c r="BD63" s="122">
        <v>61</v>
      </c>
      <c r="BE63" s="122">
        <v>9</v>
      </c>
      <c r="BF63" s="122">
        <v>2</v>
      </c>
      <c r="BG63" s="122">
        <v>1</v>
      </c>
      <c r="BH63" s="122">
        <v>2</v>
      </c>
      <c r="BI63" s="122">
        <v>3</v>
      </c>
      <c r="BJ63" s="122">
        <v>1</v>
      </c>
      <c r="BK63" s="122">
        <v>11</v>
      </c>
      <c r="BL63" s="122">
        <v>8</v>
      </c>
      <c r="BM63" s="361">
        <v>27</v>
      </c>
      <c r="BN63" s="361">
        <f t="shared" si="65"/>
        <v>162</v>
      </c>
      <c r="BO63" s="346">
        <v>5</v>
      </c>
      <c r="BP63" s="122">
        <v>10</v>
      </c>
      <c r="BQ63" s="122">
        <v>1</v>
      </c>
      <c r="BR63" s="122"/>
      <c r="BS63" s="122"/>
      <c r="BT63" s="122"/>
      <c r="BU63" s="122"/>
      <c r="BV63" s="122">
        <v>3</v>
      </c>
      <c r="BW63" s="122"/>
      <c r="BX63" s="122">
        <v>8</v>
      </c>
      <c r="BY63" s="122">
        <v>30</v>
      </c>
      <c r="BZ63" s="361">
        <v>13</v>
      </c>
      <c r="CA63" s="361">
        <f t="shared" si="66"/>
        <v>70</v>
      </c>
      <c r="CB63" s="346">
        <v>13.04</v>
      </c>
      <c r="CC63" s="122">
        <v>37.799999999999997</v>
      </c>
      <c r="CD63" s="122"/>
      <c r="CE63" s="122"/>
      <c r="CF63" s="122">
        <v>0.28999999999999998</v>
      </c>
      <c r="CG63" s="122">
        <v>0.93600000000000005</v>
      </c>
      <c r="CH63" s="122">
        <v>0.34</v>
      </c>
      <c r="CI63" s="122">
        <v>6.49</v>
      </c>
      <c r="CJ63" s="122">
        <v>1.88</v>
      </c>
      <c r="CK63" s="122">
        <v>12.28</v>
      </c>
      <c r="CL63" s="122">
        <v>26.22</v>
      </c>
      <c r="CM63" s="361">
        <v>13.39</v>
      </c>
      <c r="CN63" s="361">
        <f t="shared" si="67"/>
        <v>112.666</v>
      </c>
      <c r="CO63" s="346">
        <v>12.799799999999999</v>
      </c>
      <c r="CP63" s="122">
        <v>44.718700000000005</v>
      </c>
      <c r="CQ63" s="122">
        <v>34.699600000000004</v>
      </c>
      <c r="CR63" s="122">
        <v>19.175000000000001</v>
      </c>
      <c r="CS63" s="122">
        <v>0.26</v>
      </c>
      <c r="CT63" s="122">
        <v>10.192</v>
      </c>
      <c r="CU63" s="122">
        <v>2.7039999999999997</v>
      </c>
      <c r="CV63" s="122">
        <v>3.9129999999999998</v>
      </c>
      <c r="CW63" s="122">
        <v>2.3530000000000002</v>
      </c>
      <c r="CX63" s="122">
        <v>6.4610000000000003</v>
      </c>
      <c r="CY63" s="122">
        <v>30.108000000000001</v>
      </c>
      <c r="CZ63" s="361">
        <v>23.425999999999998</v>
      </c>
      <c r="DA63" s="361">
        <f t="shared" si="68"/>
        <v>190.81010000000001</v>
      </c>
      <c r="DB63" s="346">
        <v>26.257400000000001</v>
      </c>
      <c r="DC63" s="122">
        <v>26.513500000000001</v>
      </c>
      <c r="DD63" s="122">
        <v>16.825900000000001</v>
      </c>
      <c r="DE63" s="122">
        <v>25.155000000000001</v>
      </c>
      <c r="DF63" s="122">
        <v>17.352400000000003</v>
      </c>
      <c r="DG63" s="122">
        <v>12.414999999999999</v>
      </c>
      <c r="DH63" s="122">
        <v>14.635400000000001</v>
      </c>
      <c r="DI63" s="122">
        <v>3.8609999999999998</v>
      </c>
      <c r="DJ63" s="122">
        <v>6.0190000000000001</v>
      </c>
      <c r="DK63" s="122">
        <v>28.424499999999998</v>
      </c>
      <c r="DL63" s="122">
        <v>25.220000000000002</v>
      </c>
      <c r="DM63" s="361">
        <v>21.4</v>
      </c>
      <c r="DN63" s="361">
        <f t="shared" si="69"/>
        <v>224.07910000000001</v>
      </c>
      <c r="DO63" s="346">
        <v>1.1499999999999999</v>
      </c>
      <c r="DP63" s="122">
        <v>1.6</v>
      </c>
      <c r="DQ63" s="122">
        <v>2.5499999999999998</v>
      </c>
      <c r="DR63" s="122">
        <v>6.2</v>
      </c>
      <c r="DS63" s="122"/>
      <c r="DT63" s="122"/>
      <c r="DU63" s="122">
        <v>2.258</v>
      </c>
      <c r="DV63" s="122">
        <v>1.05</v>
      </c>
      <c r="DW63" s="122">
        <v>0.85</v>
      </c>
      <c r="DX63" s="122">
        <v>2.8959999999999999</v>
      </c>
      <c r="DY63" s="122">
        <v>10.657999999999999</v>
      </c>
      <c r="DZ63" s="361">
        <v>16.867000000000001</v>
      </c>
      <c r="EA63" s="361">
        <f t="shared" si="70"/>
        <v>46.078999999999994</v>
      </c>
      <c r="EB63" s="346">
        <v>18.187000000000001</v>
      </c>
      <c r="EC63" s="122">
        <v>3</v>
      </c>
      <c r="ED63" s="122">
        <v>2.0670000000000002</v>
      </c>
      <c r="EE63" s="122">
        <v>1.6</v>
      </c>
      <c r="EF63" s="122"/>
      <c r="EG63" s="122"/>
      <c r="EH63" s="122"/>
      <c r="EI63" s="122"/>
      <c r="EJ63" s="122"/>
      <c r="EK63" s="122">
        <v>3.1579999999999999</v>
      </c>
      <c r="EL63" s="122">
        <v>19.071000000000002</v>
      </c>
      <c r="EM63" s="122">
        <v>10.54</v>
      </c>
      <c r="EN63" s="345">
        <f t="shared" si="71"/>
        <v>57.623000000000005</v>
      </c>
      <c r="EO63" s="346">
        <v>1.55</v>
      </c>
      <c r="EP63" s="122">
        <v>1.575</v>
      </c>
      <c r="EQ63" s="122">
        <v>6.2E-2</v>
      </c>
      <c r="ER63" s="122">
        <v>3.577</v>
      </c>
      <c r="ES63" s="122"/>
      <c r="ET63" s="122"/>
      <c r="EU63" s="122"/>
      <c r="EV63" s="122"/>
      <c r="EW63" s="122"/>
      <c r="EX63" s="122"/>
      <c r="EY63" s="122"/>
      <c r="EZ63" s="361"/>
      <c r="FA63" s="345">
        <f t="shared" si="72"/>
        <v>6.7639999999999993</v>
      </c>
      <c r="FC63" s="123">
        <f t="shared" si="73"/>
        <v>-100</v>
      </c>
      <c r="FD63" s="123">
        <f t="shared" si="74"/>
        <v>-76.845132137477748</v>
      </c>
      <c r="FE63" s="354">
        <f t="shared" si="75"/>
        <v>29.211999999999996</v>
      </c>
      <c r="FF63" s="354">
        <f t="shared" si="76"/>
        <v>6.7639999999999993</v>
      </c>
      <c r="FH63" s="917" t="s">
        <v>24</v>
      </c>
      <c r="FI63" s="920" t="str">
        <f t="shared" si="20"/>
        <v>OK</v>
      </c>
    </row>
    <row r="64" spans="1:168" ht="15" customHeight="1" x14ac:dyDescent="0.25">
      <c r="A64" s="374" t="s">
        <v>37</v>
      </c>
      <c r="B64" s="346">
        <v>2</v>
      </c>
      <c r="C64" s="122">
        <v>2</v>
      </c>
      <c r="D64" s="122">
        <v>2</v>
      </c>
      <c r="E64" s="122">
        <v>9</v>
      </c>
      <c r="F64" s="122">
        <v>31</v>
      </c>
      <c r="G64" s="122">
        <v>37</v>
      </c>
      <c r="H64" s="122">
        <v>51</v>
      </c>
      <c r="I64" s="122">
        <v>39</v>
      </c>
      <c r="J64" s="122">
        <v>38</v>
      </c>
      <c r="K64" s="122">
        <v>15</v>
      </c>
      <c r="L64" s="122">
        <v>1</v>
      </c>
      <c r="M64" s="361"/>
      <c r="N64" s="361">
        <f t="shared" si="61"/>
        <v>227</v>
      </c>
      <c r="O64" s="346">
        <v>2</v>
      </c>
      <c r="P64" s="122">
        <v>1</v>
      </c>
      <c r="Q64" s="122">
        <v>1</v>
      </c>
      <c r="R64" s="122">
        <v>1</v>
      </c>
      <c r="S64" s="122">
        <v>12</v>
      </c>
      <c r="T64" s="122">
        <v>27</v>
      </c>
      <c r="U64" s="122">
        <v>13</v>
      </c>
      <c r="V64" s="122">
        <v>21</v>
      </c>
      <c r="W64" s="122">
        <v>20</v>
      </c>
      <c r="X64" s="122">
        <v>8</v>
      </c>
      <c r="Y64" s="122">
        <v>1</v>
      </c>
      <c r="Z64" s="361">
        <v>3</v>
      </c>
      <c r="AA64" s="361">
        <f t="shared" si="62"/>
        <v>110</v>
      </c>
      <c r="AB64" s="346">
        <v>2</v>
      </c>
      <c r="AC64" s="122">
        <v>3</v>
      </c>
      <c r="AD64" s="122">
        <v>2</v>
      </c>
      <c r="AE64" s="122">
        <v>9</v>
      </c>
      <c r="AF64" s="122">
        <v>17</v>
      </c>
      <c r="AG64" s="122">
        <v>15</v>
      </c>
      <c r="AH64" s="122">
        <v>27</v>
      </c>
      <c r="AI64" s="122">
        <v>30</v>
      </c>
      <c r="AJ64" s="122">
        <v>10</v>
      </c>
      <c r="AK64" s="122">
        <v>20</v>
      </c>
      <c r="AL64" s="122">
        <v>8</v>
      </c>
      <c r="AM64" s="361">
        <v>2</v>
      </c>
      <c r="AN64" s="361">
        <f t="shared" si="63"/>
        <v>145</v>
      </c>
      <c r="AO64" s="346">
        <v>1</v>
      </c>
      <c r="AP64" s="122">
        <v>1</v>
      </c>
      <c r="AQ64" s="122">
        <v>7</v>
      </c>
      <c r="AR64" s="122">
        <v>8</v>
      </c>
      <c r="AS64" s="122">
        <v>17</v>
      </c>
      <c r="AT64" s="122">
        <v>24</v>
      </c>
      <c r="AU64" s="122">
        <v>30</v>
      </c>
      <c r="AV64" s="122">
        <v>47</v>
      </c>
      <c r="AW64" s="122">
        <v>22</v>
      </c>
      <c r="AX64" s="122">
        <v>19</v>
      </c>
      <c r="AY64" s="122">
        <v>2</v>
      </c>
      <c r="AZ64" s="361">
        <v>2</v>
      </c>
      <c r="BA64" s="361">
        <f t="shared" si="64"/>
        <v>180</v>
      </c>
      <c r="BB64" s="346">
        <v>2</v>
      </c>
      <c r="BC64" s="122">
        <v>2</v>
      </c>
      <c r="BD64" s="122">
        <v>1</v>
      </c>
      <c r="BE64" s="122">
        <v>18</v>
      </c>
      <c r="BF64" s="122">
        <v>27</v>
      </c>
      <c r="BG64" s="122">
        <v>67</v>
      </c>
      <c r="BH64" s="122">
        <v>30</v>
      </c>
      <c r="BI64" s="122">
        <v>26</v>
      </c>
      <c r="BJ64" s="122">
        <v>13</v>
      </c>
      <c r="BK64" s="122">
        <v>2</v>
      </c>
      <c r="BL64" s="122">
        <v>1</v>
      </c>
      <c r="BM64" s="361">
        <v>1</v>
      </c>
      <c r="BN64" s="361">
        <f t="shared" si="65"/>
        <v>190</v>
      </c>
      <c r="BO64" s="346">
        <v>21</v>
      </c>
      <c r="BP64" s="122">
        <v>20</v>
      </c>
      <c r="BQ64" s="122"/>
      <c r="BR64" s="122"/>
      <c r="BS64" s="122"/>
      <c r="BT64" s="122">
        <v>4</v>
      </c>
      <c r="BU64" s="122">
        <v>28</v>
      </c>
      <c r="BV64" s="122">
        <v>2</v>
      </c>
      <c r="BW64" s="122">
        <v>2</v>
      </c>
      <c r="BX64" s="122">
        <v>2</v>
      </c>
      <c r="BY64" s="122">
        <v>1</v>
      </c>
      <c r="BZ64" s="361"/>
      <c r="CA64" s="361">
        <f t="shared" si="66"/>
        <v>80</v>
      </c>
      <c r="CB64" s="346">
        <v>0.56000000000000005</v>
      </c>
      <c r="CC64" s="122">
        <v>2.02</v>
      </c>
      <c r="CD64" s="122"/>
      <c r="CE64" s="122">
        <v>0.83</v>
      </c>
      <c r="CF64" s="122">
        <v>6.55</v>
      </c>
      <c r="CG64" s="122">
        <v>9.5299999999999994</v>
      </c>
      <c r="CH64" s="122">
        <v>33.33</v>
      </c>
      <c r="CI64" s="122">
        <v>4.25</v>
      </c>
      <c r="CJ64" s="122">
        <v>5.74</v>
      </c>
      <c r="CK64" s="122">
        <v>2.27</v>
      </c>
      <c r="CL64" s="122">
        <v>1.1599999999999999</v>
      </c>
      <c r="CM64" s="361">
        <v>0.11</v>
      </c>
      <c r="CN64" s="361">
        <f t="shared" si="67"/>
        <v>66.349999999999994</v>
      </c>
      <c r="CO64" s="346">
        <v>0.31850000000000001</v>
      </c>
      <c r="CP64" s="122">
        <v>2.1475999999999997</v>
      </c>
      <c r="CQ64" s="122">
        <v>0.95160000000000011</v>
      </c>
      <c r="CR64" s="122">
        <v>1.04</v>
      </c>
      <c r="CS64" s="122">
        <v>8.4305000000000003</v>
      </c>
      <c r="CT64" s="122">
        <v>6.3479000000000001</v>
      </c>
      <c r="CU64" s="122">
        <v>29.237000000000002</v>
      </c>
      <c r="CV64" s="122">
        <v>22.7864</v>
      </c>
      <c r="CW64" s="122">
        <v>19.824999999999999</v>
      </c>
      <c r="CX64" s="122">
        <v>8.5149999999999988</v>
      </c>
      <c r="CY64" s="122">
        <v>10.5755</v>
      </c>
      <c r="CZ64" s="361">
        <v>4.2119999999999997</v>
      </c>
      <c r="DA64" s="361">
        <f t="shared" si="68"/>
        <v>114.38700000000001</v>
      </c>
      <c r="DB64" s="346">
        <v>0.17549999999999999</v>
      </c>
      <c r="DC64" s="122">
        <v>4.1859999999999999</v>
      </c>
      <c r="DD64" s="122">
        <v>1.2662</v>
      </c>
      <c r="DE64" s="122">
        <v>7.2085000000000008</v>
      </c>
      <c r="DF64" s="122">
        <v>6.4674999999999994</v>
      </c>
      <c r="DG64" s="122">
        <v>12.948</v>
      </c>
      <c r="DH64" s="122">
        <v>3.5945</v>
      </c>
      <c r="DI64" s="122">
        <v>12.2005</v>
      </c>
      <c r="DJ64" s="122">
        <v>10.530000000000001</v>
      </c>
      <c r="DK64" s="122">
        <v>3.3930000000000002</v>
      </c>
      <c r="DL64" s="122">
        <v>1.4365000000000001</v>
      </c>
      <c r="DM64" s="361">
        <v>1.5</v>
      </c>
      <c r="DN64" s="361">
        <f t="shared" si="69"/>
        <v>64.906199999999998</v>
      </c>
      <c r="DO64" s="346">
        <v>0.1</v>
      </c>
      <c r="DP64" s="122">
        <v>0.35</v>
      </c>
      <c r="DQ64" s="122">
        <v>1.21</v>
      </c>
      <c r="DR64" s="122">
        <v>2.42</v>
      </c>
      <c r="DS64" s="122">
        <v>4.7469999999999999</v>
      </c>
      <c r="DT64" s="122">
        <v>4.2859999999999996</v>
      </c>
      <c r="DU64" s="122">
        <v>10.040000000000001</v>
      </c>
      <c r="DV64" s="122">
        <v>8.4499999999999993</v>
      </c>
      <c r="DW64" s="122">
        <v>2.6669999999999998</v>
      </c>
      <c r="DX64" s="122">
        <v>2.6110000000000002</v>
      </c>
      <c r="DY64" s="122"/>
      <c r="DZ64" s="361">
        <v>1.2070000000000001</v>
      </c>
      <c r="EA64" s="361">
        <f t="shared" si="70"/>
        <v>38.087999999999994</v>
      </c>
      <c r="EB64" s="346">
        <v>2.2730000000000001</v>
      </c>
      <c r="EC64" s="122">
        <v>2E-3</v>
      </c>
      <c r="ED64" s="122">
        <v>0.86099999999999999</v>
      </c>
      <c r="EE64" s="122">
        <v>4.5</v>
      </c>
      <c r="EF64" s="122">
        <v>6.7169999999999996</v>
      </c>
      <c r="EG64" s="122">
        <v>3.125</v>
      </c>
      <c r="EH64" s="122">
        <v>26.623999999999999</v>
      </c>
      <c r="EI64" s="122">
        <v>35.194000000000003</v>
      </c>
      <c r="EJ64" s="122">
        <v>11.526</v>
      </c>
      <c r="EK64" s="122">
        <v>3.5529999999999999</v>
      </c>
      <c r="EL64" s="122">
        <v>0.53600000000000003</v>
      </c>
      <c r="EM64" s="122">
        <v>1.86</v>
      </c>
      <c r="EN64" s="345">
        <f t="shared" si="71"/>
        <v>96.771000000000001</v>
      </c>
      <c r="EO64" s="346">
        <v>2.6156250000000001</v>
      </c>
      <c r="EP64" s="122">
        <v>0.875</v>
      </c>
      <c r="EQ64" s="122">
        <v>0.628</v>
      </c>
      <c r="ER64" s="122">
        <v>3.91</v>
      </c>
      <c r="ES64" s="122"/>
      <c r="ET64" s="122"/>
      <c r="EU64" s="122"/>
      <c r="EV64" s="122"/>
      <c r="EW64" s="122"/>
      <c r="EX64" s="122"/>
      <c r="EY64" s="122"/>
      <c r="EZ64" s="361"/>
      <c r="FA64" s="345">
        <f t="shared" si="72"/>
        <v>8.0286249999999999</v>
      </c>
      <c r="FC64" s="123" t="str">
        <f t="shared" si="73"/>
        <v/>
      </c>
      <c r="FD64" s="123">
        <f t="shared" si="74"/>
        <v>-78.230999701743443</v>
      </c>
      <c r="FE64" s="354">
        <f t="shared" si="75"/>
        <v>36.880999999999993</v>
      </c>
      <c r="FF64" s="354">
        <f t="shared" si="76"/>
        <v>8.0286249999999999</v>
      </c>
      <c r="FH64" s="917" t="s">
        <v>37</v>
      </c>
      <c r="FI64" s="920" t="str">
        <f t="shared" si="20"/>
        <v>OK</v>
      </c>
    </row>
    <row r="65" spans="1:165" ht="15" customHeight="1" x14ac:dyDescent="0.25">
      <c r="A65" s="374" t="s">
        <v>41</v>
      </c>
      <c r="B65" s="346"/>
      <c r="C65" s="122"/>
      <c r="D65" s="122"/>
      <c r="E65" s="122"/>
      <c r="F65" s="122"/>
      <c r="G65" s="122"/>
      <c r="H65" s="122"/>
      <c r="I65" s="122"/>
      <c r="J65" s="122"/>
      <c r="K65" s="122">
        <v>1</v>
      </c>
      <c r="L65" s="122">
        <v>1</v>
      </c>
      <c r="M65" s="361">
        <v>1</v>
      </c>
      <c r="N65" s="361">
        <f t="shared" si="61"/>
        <v>3</v>
      </c>
      <c r="O65" s="346">
        <v>12</v>
      </c>
      <c r="P65" s="122">
        <v>5</v>
      </c>
      <c r="Q65" s="122">
        <v>2</v>
      </c>
      <c r="R65" s="122">
        <v>2</v>
      </c>
      <c r="S65" s="122"/>
      <c r="T65" s="122">
        <v>1</v>
      </c>
      <c r="U65" s="122">
        <v>1</v>
      </c>
      <c r="V65" s="122">
        <v>1</v>
      </c>
      <c r="W65" s="122">
        <v>4</v>
      </c>
      <c r="X65" s="122">
        <v>21</v>
      </c>
      <c r="Y65" s="122">
        <v>11</v>
      </c>
      <c r="Z65" s="361">
        <v>8</v>
      </c>
      <c r="AA65" s="361">
        <f t="shared" si="62"/>
        <v>68</v>
      </c>
      <c r="AB65" s="346">
        <v>12</v>
      </c>
      <c r="AC65" s="122">
        <v>5</v>
      </c>
      <c r="AD65" s="122"/>
      <c r="AE65" s="122">
        <v>1</v>
      </c>
      <c r="AF65" s="122"/>
      <c r="AG65" s="122">
        <v>1</v>
      </c>
      <c r="AH65" s="122"/>
      <c r="AI65" s="122">
        <v>1</v>
      </c>
      <c r="AJ65" s="122"/>
      <c r="AK65" s="122">
        <v>12</v>
      </c>
      <c r="AL65" s="122">
        <v>21</v>
      </c>
      <c r="AM65" s="361">
        <v>8</v>
      </c>
      <c r="AN65" s="361">
        <f t="shared" si="63"/>
        <v>61</v>
      </c>
      <c r="AO65" s="346">
        <v>9</v>
      </c>
      <c r="AP65" s="122"/>
      <c r="AQ65" s="122">
        <v>5</v>
      </c>
      <c r="AR65" s="122">
        <v>1</v>
      </c>
      <c r="AS65" s="122"/>
      <c r="AT65" s="122"/>
      <c r="AU65" s="122">
        <v>2</v>
      </c>
      <c r="AV65" s="122">
        <v>4</v>
      </c>
      <c r="AW65" s="122"/>
      <c r="AX65" s="122">
        <v>22</v>
      </c>
      <c r="AY65" s="122">
        <v>9</v>
      </c>
      <c r="AZ65" s="361">
        <v>1</v>
      </c>
      <c r="BA65" s="361">
        <f t="shared" si="64"/>
        <v>53</v>
      </c>
      <c r="BB65" s="346"/>
      <c r="BC65" s="122"/>
      <c r="BD65" s="122">
        <v>4</v>
      </c>
      <c r="BE65" s="122"/>
      <c r="BF65" s="122"/>
      <c r="BG65" s="122"/>
      <c r="BH65" s="122">
        <v>2</v>
      </c>
      <c r="BI65" s="122"/>
      <c r="BJ65" s="122"/>
      <c r="BK65" s="122"/>
      <c r="BL65" s="122"/>
      <c r="BM65" s="361">
        <v>2</v>
      </c>
      <c r="BN65" s="361">
        <f t="shared" si="65"/>
        <v>8</v>
      </c>
      <c r="BO65" s="346"/>
      <c r="BP65" s="122"/>
      <c r="BQ65" s="122"/>
      <c r="BR65" s="122"/>
      <c r="BS65" s="122"/>
      <c r="BT65" s="122"/>
      <c r="BU65" s="122">
        <v>4</v>
      </c>
      <c r="BV65" s="122"/>
      <c r="BW65" s="122"/>
      <c r="BX65" s="122"/>
      <c r="BY65" s="122"/>
      <c r="BZ65" s="361"/>
      <c r="CA65" s="361">
        <f t="shared" si="66"/>
        <v>4</v>
      </c>
      <c r="CB65" s="346">
        <v>0.78</v>
      </c>
      <c r="CC65" s="122"/>
      <c r="CD65" s="122"/>
      <c r="CE65" s="122"/>
      <c r="CF65" s="122"/>
      <c r="CG65" s="122"/>
      <c r="CH65" s="122">
        <v>5.09</v>
      </c>
      <c r="CI65" s="122"/>
      <c r="CJ65" s="122"/>
      <c r="CK65" s="122"/>
      <c r="CL65" s="122">
        <v>0.44</v>
      </c>
      <c r="CM65" s="361"/>
      <c r="CN65" s="361">
        <f t="shared" si="67"/>
        <v>6.3100000000000005</v>
      </c>
      <c r="CO65" s="346">
        <v>0.62140000000000006</v>
      </c>
      <c r="CP65" s="122">
        <v>0.79949999999999999</v>
      </c>
      <c r="CQ65" s="122">
        <v>1.4989000000000001</v>
      </c>
      <c r="CR65" s="122">
        <v>3.64</v>
      </c>
      <c r="CS65" s="122">
        <v>0.29899999999999999</v>
      </c>
      <c r="CT65" s="122">
        <v>0.33800000000000002</v>
      </c>
      <c r="CU65" s="122"/>
      <c r="CV65" s="122">
        <v>0.19500000000000001</v>
      </c>
      <c r="CW65" s="122">
        <v>0.65</v>
      </c>
      <c r="CX65" s="122">
        <v>2.9379999999999997</v>
      </c>
      <c r="CY65" s="122">
        <v>0.156</v>
      </c>
      <c r="CZ65" s="361">
        <v>17.290000000000003</v>
      </c>
      <c r="DA65" s="361">
        <f t="shared" si="68"/>
        <v>28.425800000000002</v>
      </c>
      <c r="DB65" s="346">
        <v>16.12</v>
      </c>
      <c r="DC65" s="122">
        <v>3.835</v>
      </c>
      <c r="DD65" s="122">
        <v>0.74099999999999999</v>
      </c>
      <c r="DE65" s="122">
        <v>12.768599999999999</v>
      </c>
      <c r="DF65" s="122">
        <v>4.875</v>
      </c>
      <c r="DG65" s="122">
        <v>8.58</v>
      </c>
      <c r="DH65" s="122">
        <v>0.57979999999999998</v>
      </c>
      <c r="DI65" s="122">
        <v>4.16</v>
      </c>
      <c r="DJ65" s="122">
        <v>3.77</v>
      </c>
      <c r="DK65" s="122">
        <v>2.86</v>
      </c>
      <c r="DL65" s="122">
        <v>5.5250000000000004</v>
      </c>
      <c r="DM65" s="361">
        <v>3.9</v>
      </c>
      <c r="DN65" s="361">
        <f t="shared" si="69"/>
        <v>67.714400000000012</v>
      </c>
      <c r="DO65" s="346">
        <v>0.5</v>
      </c>
      <c r="DP65" s="122">
        <v>2.88</v>
      </c>
      <c r="DQ65" s="122">
        <v>3.8359999999999999</v>
      </c>
      <c r="DR65" s="122">
        <v>0.3</v>
      </c>
      <c r="DS65" s="122"/>
      <c r="DT65" s="122"/>
      <c r="DU65" s="122">
        <v>1.085</v>
      </c>
      <c r="DV65" s="122"/>
      <c r="DW65" s="122">
        <v>0.1</v>
      </c>
      <c r="DX65" s="122">
        <v>4.4290000000000003</v>
      </c>
      <c r="DY65" s="122">
        <v>4.9290000000000003</v>
      </c>
      <c r="DZ65" s="361">
        <v>9.3000000000000007</v>
      </c>
      <c r="EA65" s="361">
        <f t="shared" si="70"/>
        <v>27.358999999999998</v>
      </c>
      <c r="EB65" s="346">
        <v>4.96</v>
      </c>
      <c r="EC65" s="122">
        <v>4</v>
      </c>
      <c r="ED65" s="122">
        <v>3.7029999999999998</v>
      </c>
      <c r="EE65" s="122">
        <v>0.8</v>
      </c>
      <c r="EF65" s="122"/>
      <c r="EG65" s="122"/>
      <c r="EH65" s="122"/>
      <c r="EI65" s="122"/>
      <c r="EJ65" s="122"/>
      <c r="EK65" s="122">
        <v>3.1579999999999999</v>
      </c>
      <c r="EL65" s="122">
        <v>14.464</v>
      </c>
      <c r="EM65" s="122">
        <v>3.1</v>
      </c>
      <c r="EN65" s="345">
        <f t="shared" si="71"/>
        <v>34.185000000000002</v>
      </c>
      <c r="EO65" s="346">
        <v>14.143749999999999</v>
      </c>
      <c r="EP65" s="122">
        <v>12.6</v>
      </c>
      <c r="EQ65" s="122">
        <v>26.288</v>
      </c>
      <c r="ER65" s="122">
        <v>8.5999999999999993E-2</v>
      </c>
      <c r="ES65" s="122"/>
      <c r="ET65" s="122"/>
      <c r="EU65" s="122"/>
      <c r="EV65" s="122"/>
      <c r="EW65" s="122"/>
      <c r="EX65" s="122"/>
      <c r="EY65" s="122"/>
      <c r="EZ65" s="361"/>
      <c r="FA65" s="345">
        <f t="shared" si="72"/>
        <v>53.117750000000001</v>
      </c>
      <c r="FC65" s="123">
        <f t="shared" si="73"/>
        <v>-100</v>
      </c>
      <c r="FD65" s="123">
        <f t="shared" si="74"/>
        <v>194.1345035716264</v>
      </c>
      <c r="FE65" s="354">
        <f t="shared" si="75"/>
        <v>18.058999999999997</v>
      </c>
      <c r="FF65" s="354">
        <f t="shared" si="76"/>
        <v>53.117750000000001</v>
      </c>
      <c r="FH65" s="917" t="s">
        <v>41</v>
      </c>
      <c r="FI65" s="920" t="str">
        <f t="shared" si="20"/>
        <v>OK</v>
      </c>
    </row>
    <row r="66" spans="1:165" ht="15" customHeight="1" x14ac:dyDescent="0.25">
      <c r="A66" s="374" t="s">
        <v>44</v>
      </c>
      <c r="B66" s="346"/>
      <c r="C66" s="122">
        <v>1</v>
      </c>
      <c r="D66" s="122">
        <v>1</v>
      </c>
      <c r="E66" s="122">
        <v>7</v>
      </c>
      <c r="F66" s="122">
        <v>31</v>
      </c>
      <c r="G66" s="122">
        <v>31</v>
      </c>
      <c r="H66" s="122">
        <v>32</v>
      </c>
      <c r="I66" s="122">
        <v>11</v>
      </c>
      <c r="J66" s="122">
        <v>26</v>
      </c>
      <c r="K66" s="122">
        <v>13</v>
      </c>
      <c r="L66" s="122">
        <v>30</v>
      </c>
      <c r="M66" s="361">
        <v>17</v>
      </c>
      <c r="N66" s="361">
        <f t="shared" si="61"/>
        <v>200</v>
      </c>
      <c r="O66" s="346">
        <v>3</v>
      </c>
      <c r="P66" s="122">
        <v>3</v>
      </c>
      <c r="Q66" s="122">
        <v>1</v>
      </c>
      <c r="R66" s="122">
        <v>1</v>
      </c>
      <c r="S66" s="122">
        <v>22</v>
      </c>
      <c r="T66" s="122">
        <v>22</v>
      </c>
      <c r="U66" s="122">
        <v>13</v>
      </c>
      <c r="V66" s="122">
        <v>37</v>
      </c>
      <c r="W66" s="122">
        <v>26</v>
      </c>
      <c r="X66" s="122">
        <v>19</v>
      </c>
      <c r="Y66" s="122">
        <v>16</v>
      </c>
      <c r="Z66" s="361">
        <v>12</v>
      </c>
      <c r="AA66" s="361">
        <f t="shared" si="62"/>
        <v>175</v>
      </c>
      <c r="AB66" s="346">
        <v>3</v>
      </c>
      <c r="AC66" s="122">
        <v>2</v>
      </c>
      <c r="AD66" s="122">
        <v>3</v>
      </c>
      <c r="AE66" s="122">
        <v>14</v>
      </c>
      <c r="AF66" s="122">
        <v>24</v>
      </c>
      <c r="AG66" s="122">
        <v>17</v>
      </c>
      <c r="AH66" s="122">
        <v>26</v>
      </c>
      <c r="AI66" s="122">
        <v>24</v>
      </c>
      <c r="AJ66" s="122">
        <v>15</v>
      </c>
      <c r="AK66" s="122">
        <v>26</v>
      </c>
      <c r="AL66" s="122">
        <v>19</v>
      </c>
      <c r="AM66" s="361">
        <v>16</v>
      </c>
      <c r="AN66" s="361">
        <f t="shared" si="63"/>
        <v>189</v>
      </c>
      <c r="AO66" s="346">
        <v>1</v>
      </c>
      <c r="AP66" s="122">
        <v>1</v>
      </c>
      <c r="AQ66" s="122">
        <v>2</v>
      </c>
      <c r="AR66" s="122">
        <v>9</v>
      </c>
      <c r="AS66" s="122">
        <v>26</v>
      </c>
      <c r="AT66" s="122">
        <v>28</v>
      </c>
      <c r="AU66" s="122">
        <v>19</v>
      </c>
      <c r="AV66" s="122">
        <v>28</v>
      </c>
      <c r="AW66" s="122">
        <v>18</v>
      </c>
      <c r="AX66" s="122">
        <v>19</v>
      </c>
      <c r="AY66" s="122">
        <v>9</v>
      </c>
      <c r="AZ66" s="361">
        <v>2</v>
      </c>
      <c r="BA66" s="361">
        <f t="shared" si="64"/>
        <v>162</v>
      </c>
      <c r="BB66" s="346">
        <v>6</v>
      </c>
      <c r="BC66" s="122"/>
      <c r="BD66" s="122">
        <v>2</v>
      </c>
      <c r="BE66" s="122">
        <v>10</v>
      </c>
      <c r="BF66" s="122">
        <v>39</v>
      </c>
      <c r="BG66" s="122">
        <v>50</v>
      </c>
      <c r="BH66" s="122">
        <v>27</v>
      </c>
      <c r="BI66" s="122">
        <v>24</v>
      </c>
      <c r="BJ66" s="122">
        <v>25</v>
      </c>
      <c r="BK66" s="122">
        <v>18</v>
      </c>
      <c r="BL66" s="122">
        <v>11</v>
      </c>
      <c r="BM66" s="361">
        <v>1</v>
      </c>
      <c r="BN66" s="361">
        <f t="shared" si="65"/>
        <v>213</v>
      </c>
      <c r="BO66" s="346"/>
      <c r="BP66" s="122"/>
      <c r="BQ66" s="122"/>
      <c r="BR66" s="122"/>
      <c r="BS66" s="122"/>
      <c r="BT66" s="122">
        <v>6</v>
      </c>
      <c r="BU66" s="122">
        <v>21</v>
      </c>
      <c r="BV66" s="122">
        <v>15</v>
      </c>
      <c r="BW66" s="122">
        <v>5</v>
      </c>
      <c r="BX66" s="122">
        <v>7</v>
      </c>
      <c r="BY66" s="122">
        <v>4</v>
      </c>
      <c r="BZ66" s="361">
        <v>1</v>
      </c>
      <c r="CA66" s="361">
        <f t="shared" si="66"/>
        <v>59</v>
      </c>
      <c r="CB66" s="346">
        <v>0.4</v>
      </c>
      <c r="CC66" s="122">
        <v>0.13</v>
      </c>
      <c r="CD66" s="122"/>
      <c r="CE66" s="122">
        <v>0.14000000000000001</v>
      </c>
      <c r="CF66" s="122">
        <v>11.93</v>
      </c>
      <c r="CG66" s="122">
        <v>10.65</v>
      </c>
      <c r="CH66" s="122">
        <v>0.2</v>
      </c>
      <c r="CI66" s="122">
        <v>1.2</v>
      </c>
      <c r="CJ66" s="122">
        <v>3.08</v>
      </c>
      <c r="CK66" s="122">
        <v>0.55000000000000004</v>
      </c>
      <c r="CL66" s="122">
        <v>3.42</v>
      </c>
      <c r="CM66" s="361">
        <v>0.82</v>
      </c>
      <c r="CN66" s="361">
        <f t="shared" si="67"/>
        <v>32.519999999999996</v>
      </c>
      <c r="CO66" s="346">
        <v>0.78520000000000001</v>
      </c>
      <c r="CP66" s="122">
        <v>0.72929999999999995</v>
      </c>
      <c r="CQ66" s="122">
        <v>3.6582000000000003</v>
      </c>
      <c r="CR66" s="122">
        <v>1.4950000000000001</v>
      </c>
      <c r="CS66" s="122">
        <v>19.347899999999999</v>
      </c>
      <c r="CT66" s="122">
        <v>13.552499999999998</v>
      </c>
      <c r="CU66" s="122">
        <v>22.125999999999998</v>
      </c>
      <c r="CV66" s="122">
        <v>37.401000000000003</v>
      </c>
      <c r="CW66" s="122">
        <v>20.8</v>
      </c>
      <c r="CX66" s="122">
        <v>6.0969999999999995</v>
      </c>
      <c r="CY66" s="122">
        <v>6.7210000000000001</v>
      </c>
      <c r="CZ66" s="361">
        <v>2.1710000000000003</v>
      </c>
      <c r="DA66" s="361">
        <f t="shared" si="68"/>
        <v>134.88409999999999</v>
      </c>
      <c r="DB66" s="346">
        <v>0.83460000000000001</v>
      </c>
      <c r="DC66" s="122">
        <v>0.54469999999999996</v>
      </c>
      <c r="DD66" s="122">
        <v>0.66949999999999998</v>
      </c>
      <c r="DE66" s="122">
        <v>3.8090000000000002</v>
      </c>
      <c r="DF66" s="122">
        <v>10.3337</v>
      </c>
      <c r="DG66" s="122">
        <v>4.1859999999999999</v>
      </c>
      <c r="DH66" s="122">
        <v>1.794</v>
      </c>
      <c r="DI66" s="122">
        <v>18.986499999999999</v>
      </c>
      <c r="DJ66" s="122">
        <v>19.37</v>
      </c>
      <c r="DK66" s="122">
        <v>6.5389999999999997</v>
      </c>
      <c r="DL66" s="122">
        <f>4.719+0.7</f>
        <v>5.4190000000000005</v>
      </c>
      <c r="DM66" s="361">
        <v>0.4</v>
      </c>
      <c r="DN66" s="361">
        <f t="shared" si="69"/>
        <v>72.88600000000001</v>
      </c>
      <c r="DO66" s="346">
        <v>0.7</v>
      </c>
      <c r="DP66" s="122">
        <v>0.75</v>
      </c>
      <c r="DQ66" s="122">
        <v>1.22</v>
      </c>
      <c r="DR66" s="122">
        <v>6.25</v>
      </c>
      <c r="DS66" s="122">
        <v>3.875</v>
      </c>
      <c r="DT66" s="122">
        <v>4.3929999999999998</v>
      </c>
      <c r="DU66" s="122">
        <v>18.929000000000002</v>
      </c>
      <c r="DV66" s="122">
        <v>6.35</v>
      </c>
      <c r="DW66" s="122">
        <v>15.083</v>
      </c>
      <c r="DX66" s="122">
        <v>11.391999999999999</v>
      </c>
      <c r="DY66" s="122">
        <v>6.4390000000000001</v>
      </c>
      <c r="DZ66" s="361">
        <v>1.6</v>
      </c>
      <c r="EA66" s="361">
        <f t="shared" si="70"/>
        <v>76.980999999999995</v>
      </c>
      <c r="EB66" s="346">
        <v>3.0000000000000001E-3</v>
      </c>
      <c r="EC66" s="122">
        <v>1.2029999999999998</v>
      </c>
      <c r="ED66" s="122">
        <v>1.3789999999999998</v>
      </c>
      <c r="EE66" s="122">
        <v>3</v>
      </c>
      <c r="EF66" s="122">
        <v>17.05</v>
      </c>
      <c r="EG66" s="122">
        <v>12.125</v>
      </c>
      <c r="EH66" s="122">
        <v>20.515000000000001</v>
      </c>
      <c r="EI66" s="122">
        <v>29.905999999999999</v>
      </c>
      <c r="EJ66" s="122">
        <v>31.736999999999998</v>
      </c>
      <c r="EK66" s="122">
        <v>14.683999999999999</v>
      </c>
      <c r="EL66" s="122">
        <v>2.8929999999999998</v>
      </c>
      <c r="EM66" s="122">
        <v>3.3069999999999999</v>
      </c>
      <c r="EN66" s="345">
        <f t="shared" si="71"/>
        <v>137.80199999999999</v>
      </c>
      <c r="EO66" s="346">
        <v>0</v>
      </c>
      <c r="EP66" s="122">
        <v>0.35000000000000003</v>
      </c>
      <c r="EQ66" s="122">
        <v>3.6790000000000003</v>
      </c>
      <c r="ER66" s="122">
        <v>2.2409999999999997</v>
      </c>
      <c r="ES66" s="122"/>
      <c r="ET66" s="122"/>
      <c r="EU66" s="122"/>
      <c r="EV66" s="122"/>
      <c r="EW66" s="122"/>
      <c r="EX66" s="122"/>
      <c r="EY66" s="122"/>
      <c r="EZ66" s="361"/>
      <c r="FA66" s="345">
        <f t="shared" si="72"/>
        <v>6.27</v>
      </c>
      <c r="FC66" s="123">
        <f t="shared" si="73"/>
        <v>-100</v>
      </c>
      <c r="FD66" s="123">
        <f t="shared" si="74"/>
        <v>-91.682254148923477</v>
      </c>
      <c r="FE66" s="354">
        <f t="shared" si="75"/>
        <v>75.381</v>
      </c>
      <c r="FF66" s="354">
        <f t="shared" si="76"/>
        <v>6.27</v>
      </c>
      <c r="FH66" s="917" t="s">
        <v>44</v>
      </c>
      <c r="FI66" s="920" t="str">
        <f t="shared" si="20"/>
        <v>OK</v>
      </c>
    </row>
    <row r="67" spans="1:165" ht="15" customHeight="1" x14ac:dyDescent="0.25">
      <c r="A67" s="374" t="s">
        <v>71</v>
      </c>
      <c r="B67" s="346">
        <v>148</v>
      </c>
      <c r="C67" s="122">
        <v>90</v>
      </c>
      <c r="D67" s="122">
        <v>73</v>
      </c>
      <c r="E67" s="122">
        <v>67</v>
      </c>
      <c r="F67" s="122">
        <v>94</v>
      </c>
      <c r="G67" s="122">
        <v>77</v>
      </c>
      <c r="H67" s="122">
        <v>74</v>
      </c>
      <c r="I67" s="122">
        <v>124</v>
      </c>
      <c r="J67" s="122">
        <v>123</v>
      </c>
      <c r="K67" s="122">
        <v>79</v>
      </c>
      <c r="L67" s="122">
        <v>103</v>
      </c>
      <c r="M67" s="361">
        <v>112</v>
      </c>
      <c r="N67" s="361">
        <f t="shared" ref="N67:N68" si="77">SUM(B67:M67)</f>
        <v>1164</v>
      </c>
      <c r="O67" s="346">
        <v>88</v>
      </c>
      <c r="P67" s="122">
        <v>56</v>
      </c>
      <c r="Q67" s="122">
        <v>51</v>
      </c>
      <c r="R67" s="122">
        <v>42</v>
      </c>
      <c r="S67" s="122">
        <v>84</v>
      </c>
      <c r="T67" s="122">
        <v>93</v>
      </c>
      <c r="U67" s="122">
        <v>64</v>
      </c>
      <c r="V67" s="122">
        <v>98</v>
      </c>
      <c r="W67" s="122">
        <v>137</v>
      </c>
      <c r="X67" s="122">
        <v>113</v>
      </c>
      <c r="Y67" s="122">
        <v>86</v>
      </c>
      <c r="Z67" s="361">
        <v>138</v>
      </c>
      <c r="AA67" s="361">
        <f t="shared" ref="AA67:AA68" si="78">SUM(O67:Z67)</f>
        <v>1050</v>
      </c>
      <c r="AB67" s="346">
        <v>102</v>
      </c>
      <c r="AC67" s="122">
        <v>115</v>
      </c>
      <c r="AD67" s="122">
        <v>68</v>
      </c>
      <c r="AE67" s="122">
        <v>95</v>
      </c>
      <c r="AF67" s="122">
        <v>105</v>
      </c>
      <c r="AG67" s="122">
        <v>63</v>
      </c>
      <c r="AH67" s="122">
        <v>55</v>
      </c>
      <c r="AI67" s="122">
        <v>96</v>
      </c>
      <c r="AJ67" s="122">
        <v>96</v>
      </c>
      <c r="AK67" s="122">
        <v>137</v>
      </c>
      <c r="AL67" s="122">
        <v>113</v>
      </c>
      <c r="AM67" s="361">
        <v>147</v>
      </c>
      <c r="AN67" s="361">
        <f t="shared" ref="AN67:AN68" si="79">SUM(AB67:AM67)</f>
        <v>1192</v>
      </c>
      <c r="AO67" s="346">
        <v>108</v>
      </c>
      <c r="AP67" s="122">
        <v>59</v>
      </c>
      <c r="AQ67" s="122">
        <v>64</v>
      </c>
      <c r="AR67" s="122">
        <v>74</v>
      </c>
      <c r="AS67" s="122">
        <v>90</v>
      </c>
      <c r="AT67" s="122">
        <v>55</v>
      </c>
      <c r="AU67" s="122">
        <v>89</v>
      </c>
      <c r="AV67" s="122">
        <v>139</v>
      </c>
      <c r="AW67" s="122">
        <v>94</v>
      </c>
      <c r="AX67" s="122">
        <v>101</v>
      </c>
      <c r="AY67" s="122">
        <v>132</v>
      </c>
      <c r="AZ67" s="361">
        <v>89</v>
      </c>
      <c r="BA67" s="361">
        <f t="shared" ref="BA67" si="80">SUM(AO67:AZ67)</f>
        <v>1094</v>
      </c>
      <c r="BB67" s="346">
        <v>135</v>
      </c>
      <c r="BC67" s="122">
        <v>89</v>
      </c>
      <c r="BD67" s="122">
        <v>71</v>
      </c>
      <c r="BE67" s="122">
        <v>74</v>
      </c>
      <c r="BF67" s="122">
        <v>81</v>
      </c>
      <c r="BG67" s="122">
        <v>64</v>
      </c>
      <c r="BH67" s="122">
        <v>114</v>
      </c>
      <c r="BI67" s="122">
        <v>93</v>
      </c>
      <c r="BJ67" s="122">
        <v>104</v>
      </c>
      <c r="BK67" s="122">
        <v>72</v>
      </c>
      <c r="BL67" s="122">
        <v>97</v>
      </c>
      <c r="BM67" s="361">
        <v>83</v>
      </c>
      <c r="BN67" s="361">
        <f t="shared" ref="BN67:BN68" si="81">SUM(BB67:BM67)</f>
        <v>1077</v>
      </c>
      <c r="BO67" s="346">
        <v>58</v>
      </c>
      <c r="BP67" s="122">
        <v>101</v>
      </c>
      <c r="BQ67" s="122">
        <v>36</v>
      </c>
      <c r="BR67" s="122"/>
      <c r="BS67" s="122">
        <v>1</v>
      </c>
      <c r="BT67" s="122">
        <v>5</v>
      </c>
      <c r="BU67" s="122">
        <v>111</v>
      </c>
      <c r="BV67" s="122">
        <v>73</v>
      </c>
      <c r="BW67" s="122">
        <v>49</v>
      </c>
      <c r="BX67" s="122">
        <v>46</v>
      </c>
      <c r="BY67" s="122">
        <v>50</v>
      </c>
      <c r="BZ67" s="361">
        <v>12</v>
      </c>
      <c r="CA67" s="361">
        <f t="shared" si="15"/>
        <v>542</v>
      </c>
      <c r="CB67" s="346">
        <v>67</v>
      </c>
      <c r="CC67" s="122">
        <v>64</v>
      </c>
      <c r="CD67" s="122"/>
      <c r="CE67" s="122">
        <v>4</v>
      </c>
      <c r="CF67" s="122">
        <v>15</v>
      </c>
      <c r="CG67" s="122">
        <v>53</v>
      </c>
      <c r="CH67" s="122">
        <v>99</v>
      </c>
      <c r="CI67" s="122">
        <v>56</v>
      </c>
      <c r="CJ67" s="122">
        <v>35</v>
      </c>
      <c r="CK67" s="122">
        <v>35</v>
      </c>
      <c r="CL67" s="122">
        <v>45</v>
      </c>
      <c r="CM67" s="361">
        <v>80.400000000000006</v>
      </c>
      <c r="CN67" s="361">
        <f t="shared" si="16"/>
        <v>553.4</v>
      </c>
      <c r="CO67" s="346">
        <f>104-30.8</f>
        <v>73.2</v>
      </c>
      <c r="CP67" s="122">
        <f>150-64.5</f>
        <v>85.5</v>
      </c>
      <c r="CQ67" s="122">
        <f>120-45.1</f>
        <v>74.900000000000006</v>
      </c>
      <c r="CR67" s="122">
        <f>132-65.2</f>
        <v>66.8</v>
      </c>
      <c r="CS67" s="122">
        <v>37.9</v>
      </c>
      <c r="CT67" s="122">
        <v>30.4</v>
      </c>
      <c r="CU67" s="122">
        <v>77.8</v>
      </c>
      <c r="CV67" s="122">
        <v>91.4</v>
      </c>
      <c r="CW67" s="122">
        <v>102.8</v>
      </c>
      <c r="CX67" s="122">
        <v>59.3</v>
      </c>
      <c r="CY67" s="122">
        <v>76.3</v>
      </c>
      <c r="CZ67" s="361">
        <v>62.1</v>
      </c>
      <c r="DA67" s="361">
        <f t="shared" ref="DA67:DA68" si="82">SUM(CO67:CZ67)</f>
        <v>838.39999999999986</v>
      </c>
      <c r="DB67" s="346">
        <v>76</v>
      </c>
      <c r="DC67" s="122">
        <v>48</v>
      </c>
      <c r="DD67" s="122">
        <v>65</v>
      </c>
      <c r="DE67" s="122">
        <v>64</v>
      </c>
      <c r="DF67" s="122">
        <v>77</v>
      </c>
      <c r="DG67" s="122">
        <v>47</v>
      </c>
      <c r="DH67" s="122">
        <v>44</v>
      </c>
      <c r="DI67" s="122">
        <v>75</v>
      </c>
      <c r="DJ67" s="122">
        <v>93</v>
      </c>
      <c r="DK67" s="122">
        <v>77</v>
      </c>
      <c r="DL67" s="122">
        <v>65.900000000000006</v>
      </c>
      <c r="DM67" s="361">
        <v>47.5</v>
      </c>
      <c r="DN67" s="361">
        <f t="shared" ref="DN67:DN68" si="83">SUM(DB67:DM67)</f>
        <v>779.4</v>
      </c>
      <c r="DO67" s="346">
        <v>35</v>
      </c>
      <c r="DP67" s="122">
        <v>44.4</v>
      </c>
      <c r="DQ67" s="122">
        <v>24.4</v>
      </c>
      <c r="DR67" s="122">
        <v>23.9</v>
      </c>
      <c r="DS67" s="122">
        <v>20.8</v>
      </c>
      <c r="DT67" s="122">
        <v>35.299999999999997</v>
      </c>
      <c r="DU67" s="122">
        <v>35.799999999999997</v>
      </c>
      <c r="DV67" s="122">
        <v>24.7</v>
      </c>
      <c r="DW67" s="122">
        <v>37.6</v>
      </c>
      <c r="DX67" s="122">
        <v>279.5</v>
      </c>
      <c r="DY67" s="122">
        <v>219.5</v>
      </c>
      <c r="DZ67" s="361">
        <v>108.9</v>
      </c>
      <c r="EA67" s="361">
        <f t="shared" ref="EA67" si="84">SUM(DO67:DZ67)</f>
        <v>889.80000000000007</v>
      </c>
      <c r="EB67" s="346">
        <v>55</v>
      </c>
      <c r="EC67" s="122">
        <v>41.1</v>
      </c>
      <c r="ED67" s="122">
        <v>22.9</v>
      </c>
      <c r="EE67" s="122">
        <v>32.4</v>
      </c>
      <c r="EF67" s="122">
        <v>42</v>
      </c>
      <c r="EG67" s="122">
        <v>8</v>
      </c>
      <c r="EH67" s="122">
        <v>43.5</v>
      </c>
      <c r="EI67" s="122">
        <v>53.4</v>
      </c>
      <c r="EJ67" s="122">
        <v>37.200000000000003</v>
      </c>
      <c r="EK67" s="122">
        <v>99.2</v>
      </c>
      <c r="EL67" s="122">
        <v>113.5</v>
      </c>
      <c r="EM67" s="122">
        <v>114.3</v>
      </c>
      <c r="EN67" s="345">
        <f t="shared" ref="EN67:EN68" si="85">SUM(EB67:EM67)</f>
        <v>662.5</v>
      </c>
      <c r="EO67" s="346">
        <f>EO8-SUM(EO61:EO66)</f>
        <v>48.824999999999996</v>
      </c>
      <c r="EP67" s="122">
        <f>EP8-SUM(EP61:EP66)</f>
        <v>31.150000000000002</v>
      </c>
      <c r="EQ67" s="122">
        <f>EQ8-SUM(EQ61:EQ66)</f>
        <v>40.473999999999997</v>
      </c>
      <c r="ER67" s="122">
        <v>47.920000000000016</v>
      </c>
      <c r="ES67" s="122"/>
      <c r="ET67" s="122"/>
      <c r="EU67" s="122"/>
      <c r="EV67" s="122"/>
      <c r="EW67" s="122"/>
      <c r="EX67" s="122"/>
      <c r="EY67" s="122"/>
      <c r="EZ67" s="361"/>
      <c r="FA67" s="345">
        <f t="shared" ref="FA67:FA68" si="86">SUM(EO67:EZ67)</f>
        <v>168.369</v>
      </c>
      <c r="FC67" s="123">
        <f t="shared" ref="FC67:FC68" si="87">IFERROR(((EY67/DY67)-1)*100,"")</f>
        <v>-100</v>
      </c>
      <c r="FD67" s="123">
        <f t="shared" ref="FD67:FD68" si="88">IFERROR(((FF67/FE67)-1)*100,"")</f>
        <v>-78.439108720706869</v>
      </c>
      <c r="FE67" s="354">
        <f t="shared" ref="FE67:FE68" si="89">SUM(DO67:DY67)</f>
        <v>780.90000000000009</v>
      </c>
      <c r="FF67" s="354">
        <f t="shared" ref="FF67:FF68" si="90">SUM(EO67:EY67)</f>
        <v>168.369</v>
      </c>
      <c r="FH67" s="917"/>
      <c r="FI67" s="920" t="str">
        <f t="shared" si="20"/>
        <v>RESIVAR</v>
      </c>
    </row>
    <row r="68" spans="1:165" ht="15" customHeight="1" x14ac:dyDescent="0.25">
      <c r="A68" s="362" t="s">
        <v>0</v>
      </c>
      <c r="B68" s="366">
        <f>SUM(B61:B67)</f>
        <v>240</v>
      </c>
      <c r="C68" s="367">
        <f t="shared" ref="C68:M68" si="91">SUM(C61:C67)</f>
        <v>156</v>
      </c>
      <c r="D68" s="367">
        <f t="shared" si="91"/>
        <v>123</v>
      </c>
      <c r="E68" s="367">
        <f t="shared" si="91"/>
        <v>104</v>
      </c>
      <c r="F68" s="367">
        <f t="shared" si="91"/>
        <v>228</v>
      </c>
      <c r="G68" s="367">
        <f t="shared" si="91"/>
        <v>316</v>
      </c>
      <c r="H68" s="367">
        <f t="shared" si="91"/>
        <v>486</v>
      </c>
      <c r="I68" s="367">
        <f t="shared" si="91"/>
        <v>729</v>
      </c>
      <c r="J68" s="367">
        <f t="shared" si="91"/>
        <v>714</v>
      </c>
      <c r="K68" s="367">
        <f t="shared" si="91"/>
        <v>807</v>
      </c>
      <c r="L68" s="367">
        <f t="shared" si="91"/>
        <v>364</v>
      </c>
      <c r="M68" s="368">
        <f t="shared" si="91"/>
        <v>342</v>
      </c>
      <c r="N68" s="368">
        <f t="shared" si="77"/>
        <v>4609</v>
      </c>
      <c r="O68" s="366">
        <f t="shared" ref="O68:Z68" si="92">SUM(O61:O67)</f>
        <v>155</v>
      </c>
      <c r="P68" s="367">
        <f t="shared" si="92"/>
        <v>102</v>
      </c>
      <c r="Q68" s="367">
        <f t="shared" si="92"/>
        <v>79</v>
      </c>
      <c r="R68" s="367">
        <f t="shared" si="92"/>
        <v>70</v>
      </c>
      <c r="S68" s="367">
        <f t="shared" si="92"/>
        <v>220</v>
      </c>
      <c r="T68" s="367">
        <f t="shared" si="92"/>
        <v>411</v>
      </c>
      <c r="U68" s="367">
        <f t="shared" si="92"/>
        <v>352</v>
      </c>
      <c r="V68" s="367">
        <f t="shared" si="92"/>
        <v>352</v>
      </c>
      <c r="W68" s="367">
        <f t="shared" si="92"/>
        <v>520</v>
      </c>
      <c r="X68" s="367">
        <f t="shared" si="92"/>
        <v>275</v>
      </c>
      <c r="Y68" s="367">
        <f t="shared" si="92"/>
        <v>172</v>
      </c>
      <c r="Z68" s="368">
        <f t="shared" si="92"/>
        <v>212</v>
      </c>
      <c r="AA68" s="368">
        <f t="shared" si="78"/>
        <v>2920</v>
      </c>
      <c r="AB68" s="366">
        <f t="shared" ref="AB68:AZ68" si="93">SUM(AB61:AB67)</f>
        <v>174</v>
      </c>
      <c r="AC68" s="367">
        <f t="shared" si="93"/>
        <v>154</v>
      </c>
      <c r="AD68" s="367">
        <f t="shared" si="93"/>
        <v>117</v>
      </c>
      <c r="AE68" s="367">
        <f t="shared" si="93"/>
        <v>205</v>
      </c>
      <c r="AF68" s="367">
        <f t="shared" si="93"/>
        <v>234</v>
      </c>
      <c r="AG68" s="367">
        <f t="shared" si="93"/>
        <v>242</v>
      </c>
      <c r="AH68" s="367">
        <f t="shared" si="93"/>
        <v>333</v>
      </c>
      <c r="AI68" s="367">
        <f t="shared" si="93"/>
        <v>485</v>
      </c>
      <c r="AJ68" s="367">
        <f t="shared" si="93"/>
        <v>604</v>
      </c>
      <c r="AK68" s="367">
        <f t="shared" si="93"/>
        <v>528</v>
      </c>
      <c r="AL68" s="367">
        <f t="shared" si="93"/>
        <v>275</v>
      </c>
      <c r="AM68" s="368">
        <f t="shared" si="93"/>
        <v>237</v>
      </c>
      <c r="AN68" s="368">
        <f t="shared" si="79"/>
        <v>3588</v>
      </c>
      <c r="AO68" s="366">
        <f>SUM(AO61:AO67)</f>
        <v>191</v>
      </c>
      <c r="AP68" s="367">
        <f>SUM(AP61:AP67)</f>
        <v>97</v>
      </c>
      <c r="AQ68" s="367">
        <f>SUM(AQ61:AQ67)</f>
        <v>210</v>
      </c>
      <c r="AR68" s="367">
        <f t="shared" si="93"/>
        <v>170</v>
      </c>
      <c r="AS68" s="367">
        <f t="shared" si="93"/>
        <v>215</v>
      </c>
      <c r="AT68" s="367">
        <f t="shared" si="93"/>
        <v>247</v>
      </c>
      <c r="AU68" s="367">
        <f t="shared" si="93"/>
        <v>362</v>
      </c>
      <c r="AV68" s="367">
        <f t="shared" si="93"/>
        <v>494</v>
      </c>
      <c r="AW68" s="367">
        <f>SUM(AW61:AW67)</f>
        <v>341</v>
      </c>
      <c r="AX68" s="367">
        <f t="shared" si="93"/>
        <v>294</v>
      </c>
      <c r="AY68" s="367">
        <f t="shared" si="93"/>
        <v>246</v>
      </c>
      <c r="AZ68" s="368">
        <f t="shared" si="93"/>
        <v>128</v>
      </c>
      <c r="BA68" s="368">
        <f>SUM(AO68:AZ68)</f>
        <v>2995</v>
      </c>
      <c r="BB68" s="366">
        <f t="shared" ref="BB68:BL68" si="94">SUM(BB61:BB67)</f>
        <v>197</v>
      </c>
      <c r="BC68" s="367">
        <f t="shared" si="94"/>
        <v>145</v>
      </c>
      <c r="BD68" s="367">
        <f t="shared" si="94"/>
        <v>185</v>
      </c>
      <c r="BE68" s="367">
        <f t="shared" si="94"/>
        <v>179</v>
      </c>
      <c r="BF68" s="367">
        <f t="shared" si="94"/>
        <v>274</v>
      </c>
      <c r="BG68" s="367">
        <f t="shared" si="94"/>
        <v>396</v>
      </c>
      <c r="BH68" s="367">
        <f t="shared" si="94"/>
        <v>457</v>
      </c>
      <c r="BI68" s="367">
        <f t="shared" si="94"/>
        <v>378</v>
      </c>
      <c r="BJ68" s="367">
        <f t="shared" si="94"/>
        <v>617</v>
      </c>
      <c r="BK68" s="367">
        <f t="shared" si="94"/>
        <v>565</v>
      </c>
      <c r="BL68" s="367">
        <f t="shared" si="94"/>
        <v>222</v>
      </c>
      <c r="BM68" s="368">
        <f>SUM(BM61:BM67)</f>
        <v>196</v>
      </c>
      <c r="BN68" s="368">
        <f t="shared" si="81"/>
        <v>3811</v>
      </c>
      <c r="BO68" s="366">
        <f>SUM(BO61:BO67)</f>
        <v>106</v>
      </c>
      <c r="BP68" s="367">
        <f>SUM(BP61:BP67)</f>
        <v>162</v>
      </c>
      <c r="BQ68" s="367">
        <f>SUM(BQ61:BQ67)</f>
        <v>41</v>
      </c>
      <c r="BR68" s="367">
        <f>SUM(BR61:BR67)</f>
        <v>0</v>
      </c>
      <c r="BS68" s="367">
        <f>SUM(BS61:BS67)</f>
        <v>1</v>
      </c>
      <c r="BT68" s="367">
        <f t="shared" ref="BT68:BZ68" si="95">SUM(BT61:BT67)</f>
        <v>25</v>
      </c>
      <c r="BU68" s="367">
        <f t="shared" si="95"/>
        <v>248</v>
      </c>
      <c r="BV68" s="367">
        <f t="shared" si="95"/>
        <v>146</v>
      </c>
      <c r="BW68" s="367">
        <f t="shared" si="95"/>
        <v>87</v>
      </c>
      <c r="BX68" s="367">
        <f t="shared" si="95"/>
        <v>175</v>
      </c>
      <c r="BY68" s="367">
        <f t="shared" si="95"/>
        <v>100</v>
      </c>
      <c r="BZ68" s="368">
        <f t="shared" si="95"/>
        <v>28</v>
      </c>
      <c r="CA68" s="368">
        <f t="shared" si="15"/>
        <v>1119</v>
      </c>
      <c r="CB68" s="366">
        <f>SUM(CB61:CB67)</f>
        <v>95.05</v>
      </c>
      <c r="CC68" s="367">
        <f t="shared" ref="CC68:CZ68" si="96">SUM(CC61:CC67)</f>
        <v>115.56</v>
      </c>
      <c r="CD68" s="367">
        <f t="shared" si="96"/>
        <v>0</v>
      </c>
      <c r="CE68" s="367">
        <f t="shared" si="96"/>
        <v>6.1899999999999995</v>
      </c>
      <c r="CF68" s="367">
        <f t="shared" si="96"/>
        <v>48.86</v>
      </c>
      <c r="CG68" s="367">
        <f t="shared" si="96"/>
        <v>127.496</v>
      </c>
      <c r="CH68" s="367">
        <f t="shared" si="96"/>
        <v>296.53999999999996</v>
      </c>
      <c r="CI68" s="367">
        <f t="shared" si="96"/>
        <v>185.46999999999997</v>
      </c>
      <c r="CJ68" s="367">
        <f t="shared" si="96"/>
        <v>129.75</v>
      </c>
      <c r="CK68" s="367">
        <f t="shared" si="96"/>
        <v>170.25000000000003</v>
      </c>
      <c r="CL68" s="367">
        <f t="shared" si="96"/>
        <v>130.55000000000001</v>
      </c>
      <c r="CM68" s="368">
        <f t="shared" si="96"/>
        <v>110.56</v>
      </c>
      <c r="CN68" s="368">
        <f t="shared" si="16"/>
        <v>1416.2759999999998</v>
      </c>
      <c r="CO68" s="366">
        <f t="shared" si="96"/>
        <v>104.0724</v>
      </c>
      <c r="CP68" s="367">
        <f t="shared" si="96"/>
        <v>150.15289999999999</v>
      </c>
      <c r="CQ68" s="367">
        <f t="shared" si="96"/>
        <v>119.73050000000001</v>
      </c>
      <c r="CR68" s="367">
        <f t="shared" si="96"/>
        <v>132.19</v>
      </c>
      <c r="CS68" s="367">
        <f t="shared" si="96"/>
        <v>93.428200000000004</v>
      </c>
      <c r="CT68" s="367">
        <f t="shared" si="96"/>
        <v>91.713200000000001</v>
      </c>
      <c r="CU68" s="367">
        <f t="shared" si="96"/>
        <v>414.38950000000006</v>
      </c>
      <c r="CV68" s="367">
        <f t="shared" si="96"/>
        <v>436.91140000000007</v>
      </c>
      <c r="CW68" s="367">
        <f t="shared" si="96"/>
        <v>544.15</v>
      </c>
      <c r="CX68" s="367">
        <f t="shared" si="96"/>
        <v>280.13099999999997</v>
      </c>
      <c r="CY68" s="367">
        <f t="shared" si="96"/>
        <v>211.01900000000001</v>
      </c>
      <c r="CZ68" s="368">
        <f t="shared" si="96"/>
        <v>151.43600000000001</v>
      </c>
      <c r="DA68" s="368">
        <f t="shared" si="82"/>
        <v>2729.3241000000003</v>
      </c>
      <c r="DB68" s="366">
        <f t="shared" ref="DB68:DI68" si="97">SUM(DB61:DB67)</f>
        <v>136.07689999999999</v>
      </c>
      <c r="DC68" s="367">
        <f t="shared" si="97"/>
        <v>96.580999999999989</v>
      </c>
      <c r="DD68" s="367">
        <f t="shared" si="97"/>
        <v>100.44710000000001</v>
      </c>
      <c r="DE68" s="367">
        <f t="shared" si="97"/>
        <v>137.15359999999998</v>
      </c>
      <c r="DF68" s="367">
        <f t="shared" si="97"/>
        <v>135.84450000000001</v>
      </c>
      <c r="DG68" s="367">
        <f t="shared" si="97"/>
        <v>175.726</v>
      </c>
      <c r="DH68" s="367">
        <f t="shared" si="97"/>
        <v>74.613699999999994</v>
      </c>
      <c r="DI68" s="367">
        <f t="shared" si="97"/>
        <v>320.68700000000001</v>
      </c>
      <c r="DJ68" s="367">
        <f t="shared" ref="DJ68:DW68" si="98">SUM(DJ61:DJ67)</f>
        <v>322.77499999999998</v>
      </c>
      <c r="DK68" s="367">
        <f t="shared" si="98"/>
        <v>161.2465</v>
      </c>
      <c r="DL68" s="367">
        <f t="shared" si="98"/>
        <v>122.23350000000001</v>
      </c>
      <c r="DM68" s="368">
        <f t="shared" si="98"/>
        <v>86.199999999999989</v>
      </c>
      <c r="DN68" s="368">
        <f t="shared" si="83"/>
        <v>1869.5848000000003</v>
      </c>
      <c r="DO68" s="366">
        <f t="shared" si="98"/>
        <v>42.15</v>
      </c>
      <c r="DP68" s="367">
        <f t="shared" si="98"/>
        <v>54.935000000000002</v>
      </c>
      <c r="DQ68" s="367">
        <f t="shared" si="98"/>
        <v>44.339999999999996</v>
      </c>
      <c r="DR68" s="367">
        <f t="shared" si="98"/>
        <v>46.094999999999999</v>
      </c>
      <c r="DS68" s="367">
        <f t="shared" si="98"/>
        <v>68.171999999999997</v>
      </c>
      <c r="DT68" s="367">
        <f t="shared" si="98"/>
        <v>144.58600000000001</v>
      </c>
      <c r="DU68" s="367">
        <f t="shared" si="98"/>
        <v>248.72700000000003</v>
      </c>
      <c r="DV68" s="367">
        <f t="shared" si="98"/>
        <v>174.85</v>
      </c>
      <c r="DW68" s="367">
        <f t="shared" si="98"/>
        <v>266.63400000000001</v>
      </c>
      <c r="DX68" s="367">
        <f t="shared" ref="DX68:EZ68" si="99">SUM(DX61:DX67)</f>
        <v>346.57</v>
      </c>
      <c r="DY68" s="367">
        <f t="shared" si="99"/>
        <v>263.26</v>
      </c>
      <c r="DZ68" s="368">
        <f t="shared" si="99"/>
        <v>155.887</v>
      </c>
      <c r="EA68" s="368">
        <f>SUM(DO68:DZ68)</f>
        <v>1856.2059999999999</v>
      </c>
      <c r="EB68" s="366">
        <f t="shared" ref="EB68:EM68" si="100">SUM(EB61:EB67)</f>
        <v>99.537000000000006</v>
      </c>
      <c r="EC68" s="367">
        <f t="shared" si="100"/>
        <v>68.722000000000008</v>
      </c>
      <c r="ED68" s="367">
        <f t="shared" si="100"/>
        <v>44.594000000000001</v>
      </c>
      <c r="EE68" s="367">
        <f t="shared" si="100"/>
        <v>73.8</v>
      </c>
      <c r="EF68" s="367">
        <f t="shared" si="100"/>
        <v>77.263000000000005</v>
      </c>
      <c r="EG68" s="367">
        <f t="shared" si="100"/>
        <v>56.375</v>
      </c>
      <c r="EH68" s="367">
        <f t="shared" si="100"/>
        <v>188.38</v>
      </c>
      <c r="EI68" s="367">
        <f t="shared" si="100"/>
        <v>350.45299999999997</v>
      </c>
      <c r="EJ68" s="367">
        <f t="shared" si="100"/>
        <v>235.279</v>
      </c>
      <c r="EK68" s="367">
        <f t="shared" si="100"/>
        <v>346.38399999999996</v>
      </c>
      <c r="EL68" s="367">
        <f t="shared" si="100"/>
        <v>191.072</v>
      </c>
      <c r="EM68" s="367">
        <f t="shared" si="100"/>
        <v>177.95400000000001</v>
      </c>
      <c r="EN68" s="372">
        <f t="shared" si="85"/>
        <v>1909.8129999999999</v>
      </c>
      <c r="EO68" s="366">
        <f t="shared" si="99"/>
        <v>85.25</v>
      </c>
      <c r="EP68" s="367">
        <f t="shared" si="99"/>
        <v>58.1</v>
      </c>
      <c r="EQ68" s="367">
        <f t="shared" si="99"/>
        <v>77.853999999999999</v>
      </c>
      <c r="ER68" s="367">
        <f t="shared" si="99"/>
        <v>109.75900000000001</v>
      </c>
      <c r="ES68" s="367">
        <f t="shared" si="99"/>
        <v>0</v>
      </c>
      <c r="ET68" s="367">
        <f t="shared" si="99"/>
        <v>0</v>
      </c>
      <c r="EU68" s="367">
        <f t="shared" si="99"/>
        <v>0</v>
      </c>
      <c r="EV68" s="367">
        <f t="shared" si="99"/>
        <v>0</v>
      </c>
      <c r="EW68" s="367">
        <f t="shared" si="99"/>
        <v>0</v>
      </c>
      <c r="EX68" s="367">
        <f t="shared" si="99"/>
        <v>0</v>
      </c>
      <c r="EY68" s="367">
        <f t="shared" si="99"/>
        <v>0</v>
      </c>
      <c r="EZ68" s="368">
        <f t="shared" si="99"/>
        <v>0</v>
      </c>
      <c r="FA68" s="372">
        <f t="shared" si="86"/>
        <v>330.96300000000002</v>
      </c>
      <c r="FB68" s="111"/>
      <c r="FC68" s="355">
        <f t="shared" si="87"/>
        <v>-100</v>
      </c>
      <c r="FD68" s="355">
        <f t="shared" si="88"/>
        <v>-80.535240740119946</v>
      </c>
      <c r="FE68" s="356">
        <f t="shared" si="89"/>
        <v>1700.319</v>
      </c>
      <c r="FF68" s="356">
        <f t="shared" si="90"/>
        <v>330.96300000000002</v>
      </c>
      <c r="FG68" s="348"/>
      <c r="FH68" s="918"/>
      <c r="FI68" s="922"/>
    </row>
    <row r="69" spans="1:165" ht="15" customHeight="1" x14ac:dyDescent="0.25"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22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C69" s="352"/>
    </row>
    <row r="70" spans="1:165" ht="15" customHeight="1" x14ac:dyDescent="0.25">
      <c r="CB70" s="122">
        <f t="shared" ref="CB70:DG70" si="101">CB68-CB8</f>
        <v>-0.19060000000001764</v>
      </c>
      <c r="CC70" s="122">
        <f t="shared" si="101"/>
        <v>-0.3896000000000015</v>
      </c>
      <c r="CD70" s="122">
        <f t="shared" si="101"/>
        <v>-0.44</v>
      </c>
      <c r="CE70" s="122">
        <f t="shared" si="101"/>
        <v>5.3999999999998494E-2</v>
      </c>
      <c r="CF70" s="122">
        <f t="shared" si="101"/>
        <v>0.30759999999999366</v>
      </c>
      <c r="CG70" s="122">
        <f t="shared" si="101"/>
        <v>2.0600000000015939E-2</v>
      </c>
      <c r="CH70" s="122">
        <f t="shared" si="101"/>
        <v>0.2963999999999487</v>
      </c>
      <c r="CI70" s="122">
        <f t="shared" si="101"/>
        <v>1.5999999999934289E-2</v>
      </c>
      <c r="CJ70" s="122">
        <f t="shared" si="101"/>
        <v>-0.15000000000000568</v>
      </c>
      <c r="CK70" s="122">
        <f t="shared" si="101"/>
        <v>-0.19399999999995998</v>
      </c>
      <c r="CL70" s="122">
        <f t="shared" si="101"/>
        <v>3.4499999999979991E-2</v>
      </c>
      <c r="CM70" s="122">
        <f t="shared" si="101"/>
        <v>0.28050000000001774</v>
      </c>
      <c r="CN70" s="122">
        <f t="shared" si="101"/>
        <v>-0.3546000000001186</v>
      </c>
      <c r="CO70" s="359">
        <f t="shared" si="101"/>
        <v>2.4280499999946414E-2</v>
      </c>
      <c r="CP70" s="359">
        <f t="shared" si="101"/>
        <v>4.4499999999942474E-2</v>
      </c>
      <c r="CQ70" s="359">
        <f t="shared" si="101"/>
        <v>-2.8099999999994907E-2</v>
      </c>
      <c r="CR70" s="359">
        <f t="shared" si="101"/>
        <v>-1.999999999998181E-2</v>
      </c>
      <c r="CS70" s="359">
        <f t="shared" si="101"/>
        <v>-2.7999999999934744E-3</v>
      </c>
      <c r="CT70" s="359">
        <f t="shared" si="101"/>
        <v>3.7199999999970146E-2</v>
      </c>
      <c r="CU70" s="359">
        <f t="shared" si="101"/>
        <v>3.5300000000120235E-2</v>
      </c>
      <c r="CV70" s="359">
        <f t="shared" si="101"/>
        <v>3.8600000000087675E-2</v>
      </c>
      <c r="CW70" s="359">
        <f t="shared" si="101"/>
        <v>-2.7399999999943248E-2</v>
      </c>
      <c r="CX70" s="359">
        <f t="shared" si="101"/>
        <v>4.3400000000019645E-2</v>
      </c>
      <c r="CY70" s="359">
        <f t="shared" si="101"/>
        <v>2.250000000003638E-2</v>
      </c>
      <c r="CZ70" s="359">
        <f t="shared" si="101"/>
        <v>-3.6000000000342425E-3</v>
      </c>
      <c r="DA70" s="122">
        <f t="shared" si="101"/>
        <v>0.16388050000023213</v>
      </c>
      <c r="DB70" s="122">
        <f t="shared" si="101"/>
        <v>8.259999999998513E-2</v>
      </c>
      <c r="DC70" s="122">
        <f t="shared" si="101"/>
        <v>0.36410000000000764</v>
      </c>
      <c r="DD70" s="122">
        <f t="shared" si="101"/>
        <v>0.41080000000002315</v>
      </c>
      <c r="DE70" s="122">
        <f t="shared" si="101"/>
        <v>0.17519999999998959</v>
      </c>
      <c r="DF70" s="122">
        <f t="shared" si="101"/>
        <v>-0.25509999999997035</v>
      </c>
      <c r="DG70" s="122">
        <f t="shared" si="101"/>
        <v>0.30660000000003151</v>
      </c>
      <c r="DH70" s="122">
        <f t="shared" ref="DH70:EM70" si="102">DH68-DH8</f>
        <v>-0.27670000000000528</v>
      </c>
      <c r="DI70" s="122">
        <f t="shared" si="102"/>
        <v>-2.2999999999967713E-2</v>
      </c>
      <c r="DJ70" s="122">
        <f t="shared" si="102"/>
        <v>-0.29449999999985721</v>
      </c>
      <c r="DK70" s="122">
        <f t="shared" si="102"/>
        <v>-0.32500000000001705</v>
      </c>
      <c r="DL70" s="122">
        <f t="shared" si="102"/>
        <v>0.11149999999997817</v>
      </c>
      <c r="DM70" s="122">
        <f t="shared" si="102"/>
        <v>-0.17850000000001387</v>
      </c>
      <c r="DN70" s="122">
        <f t="shared" si="102"/>
        <v>9.8000000000411092E-2</v>
      </c>
      <c r="DO70" s="122">
        <f t="shared" si="102"/>
        <v>-3.0000000000008242E-2</v>
      </c>
      <c r="DP70" s="122">
        <f t="shared" si="102"/>
        <v>2.9000000000010573E-2</v>
      </c>
      <c r="DQ70" s="122">
        <f t="shared" si="102"/>
        <v>1.300000000000523E-2</v>
      </c>
      <c r="DR70" s="122">
        <f t="shared" si="102"/>
        <v>-1.2999999999983913E-2</v>
      </c>
      <c r="DS70" s="122">
        <f t="shared" si="102"/>
        <v>9.0000000000003411E-3</v>
      </c>
      <c r="DT70" s="122">
        <f t="shared" si="102"/>
        <v>4.9000000000006594E-2</v>
      </c>
      <c r="DU70" s="122">
        <f t="shared" si="102"/>
        <v>-1.2000000000028876E-2</v>
      </c>
      <c r="DV70" s="122">
        <f t="shared" si="102"/>
        <v>4.5999999999992269E-2</v>
      </c>
      <c r="DW70" s="122">
        <f t="shared" si="102"/>
        <v>3.1999999999982265E-2</v>
      </c>
      <c r="DX70" s="122">
        <f t="shared" si="102"/>
        <v>3.6000000000001364E-2</v>
      </c>
      <c r="DY70" s="122">
        <f t="shared" si="102"/>
        <v>1.9000000000005457E-2</v>
      </c>
      <c r="DZ70" s="122">
        <f t="shared" si="102"/>
        <v>-7.9999999999813554E-3</v>
      </c>
      <c r="EA70" s="122">
        <f t="shared" si="102"/>
        <v>0.16999999999984539</v>
      </c>
      <c r="EB70" s="359">
        <f t="shared" si="102"/>
        <v>-4.7999999999987608E-2</v>
      </c>
      <c r="EC70" s="359">
        <f t="shared" si="102"/>
        <v>4.6999999999997044E-2</v>
      </c>
      <c r="ED70" s="359">
        <f t="shared" si="102"/>
        <v>-1.4999999999993463E-2</v>
      </c>
      <c r="EE70" s="359">
        <f t="shared" si="102"/>
        <v>0</v>
      </c>
      <c r="EF70" s="359">
        <f t="shared" si="102"/>
        <v>-3.1999999999996476E-2</v>
      </c>
      <c r="EG70" s="359">
        <f t="shared" si="102"/>
        <v>0</v>
      </c>
      <c r="EH70" s="359">
        <f t="shared" si="102"/>
        <v>4.6000000000077534E-2</v>
      </c>
      <c r="EI70" s="359">
        <f t="shared" si="102"/>
        <v>-2.8000000000076852E-2</v>
      </c>
      <c r="EJ70" s="359">
        <f t="shared" si="102"/>
        <v>1.4999999999986358E-2</v>
      </c>
      <c r="EK70" s="359">
        <f t="shared" si="102"/>
        <v>-3.7000000000091404E-2</v>
      </c>
      <c r="EL70" s="359">
        <f t="shared" si="102"/>
        <v>3.3999999999991815E-2</v>
      </c>
      <c r="EM70" s="359">
        <f t="shared" si="102"/>
        <v>1.5000000000014779E-2</v>
      </c>
      <c r="EN70" s="359"/>
      <c r="EO70" s="359">
        <f t="shared" ref="EO70:EZ70" si="103">EO68-EO8</f>
        <v>0</v>
      </c>
      <c r="EP70" s="359">
        <f t="shared" si="103"/>
        <v>0</v>
      </c>
      <c r="EQ70" s="359">
        <f t="shared" si="103"/>
        <v>0</v>
      </c>
      <c r="ER70" s="359">
        <f t="shared" si="103"/>
        <v>0</v>
      </c>
      <c r="ES70" s="359">
        <f t="shared" si="103"/>
        <v>0</v>
      </c>
      <c r="ET70" s="359">
        <f t="shared" si="103"/>
        <v>0</v>
      </c>
      <c r="EU70" s="359">
        <f t="shared" si="103"/>
        <v>0</v>
      </c>
      <c r="EV70" s="359">
        <f t="shared" si="103"/>
        <v>0</v>
      </c>
      <c r="EW70" s="359">
        <f t="shared" si="103"/>
        <v>0</v>
      </c>
      <c r="EX70" s="359">
        <f t="shared" si="103"/>
        <v>0</v>
      </c>
      <c r="EY70" s="359">
        <f t="shared" si="103"/>
        <v>0</v>
      </c>
      <c r="EZ70" s="359">
        <f t="shared" si="103"/>
        <v>0</v>
      </c>
      <c r="FA70" s="359"/>
      <c r="FC70" s="122"/>
      <c r="FE70" s="360"/>
      <c r="FF70" s="360"/>
    </row>
    <row r="71" spans="1:165" ht="15" customHeight="1" x14ac:dyDescent="0.25"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22"/>
      <c r="BS71" s="122"/>
      <c r="BT71" s="122"/>
      <c r="BU71" s="122"/>
      <c r="BV71" s="122"/>
      <c r="BW71" s="122"/>
      <c r="BX71" s="122"/>
      <c r="BY71" s="122"/>
      <c r="BZ71" s="122"/>
      <c r="CA71" s="122"/>
      <c r="CB71" s="122">
        <f t="shared" ref="CB71:DG71" si="104">CB7-CB11</f>
        <v>-0.30144999999993161</v>
      </c>
      <c r="CC71" s="122">
        <f t="shared" si="104"/>
        <v>0.10370000000001767</v>
      </c>
      <c r="CD71" s="122">
        <f t="shared" si="104"/>
        <v>-5.1499999999990109E-2</v>
      </c>
      <c r="CE71" s="122">
        <f t="shared" si="104"/>
        <v>-0.30725000000002467</v>
      </c>
      <c r="CF71" s="122">
        <f t="shared" si="104"/>
        <v>-0.32749999999998636</v>
      </c>
      <c r="CG71" s="122">
        <f t="shared" si="104"/>
        <v>-5.6350000000065847E-2</v>
      </c>
      <c r="CH71" s="122">
        <f t="shared" si="104"/>
        <v>0.38085000000017999</v>
      </c>
      <c r="CI71" s="122">
        <f t="shared" si="104"/>
        <v>0.16875000000004547</v>
      </c>
      <c r="CJ71" s="122">
        <f t="shared" si="104"/>
        <v>0.14775000000000205</v>
      </c>
      <c r="CK71" s="122">
        <f t="shared" si="104"/>
        <v>-0.32124999999999204</v>
      </c>
      <c r="CL71" s="122">
        <f t="shared" si="104"/>
        <v>4.975000000001728E-2</v>
      </c>
      <c r="CM71" s="122">
        <f t="shared" si="104"/>
        <v>7.8749999999985221E-2</v>
      </c>
      <c r="CN71" s="122">
        <f t="shared" si="104"/>
        <v>-0.43574999999987085</v>
      </c>
      <c r="CO71" s="359">
        <f t="shared" si="104"/>
        <v>1.1999999999829924E-3</v>
      </c>
      <c r="CP71" s="359">
        <f t="shared" si="104"/>
        <v>1.000000000007617E-2</v>
      </c>
      <c r="CQ71" s="359">
        <f t="shared" si="104"/>
        <v>-2.4999999999977263E-2</v>
      </c>
      <c r="CR71" s="359">
        <f t="shared" si="104"/>
        <v>1.7499999999984084E-2</v>
      </c>
      <c r="CS71" s="359">
        <f t="shared" si="104"/>
        <v>-4.0899999999965075E-2</v>
      </c>
      <c r="CT71" s="359">
        <f t="shared" si="104"/>
        <v>1.2500000000017053E-2</v>
      </c>
      <c r="CU71" s="359">
        <f t="shared" si="104"/>
        <v>2.7499999999804459E-2</v>
      </c>
      <c r="CV71" s="359">
        <f t="shared" si="104"/>
        <v>3.5499999999956344E-2</v>
      </c>
      <c r="CW71" s="359">
        <f t="shared" si="104"/>
        <v>1.7499999999813554E-2</v>
      </c>
      <c r="CX71" s="359">
        <f t="shared" si="104"/>
        <v>-4.4249999999976808E-2</v>
      </c>
      <c r="CY71" s="359">
        <f t="shared" si="104"/>
        <v>5.999999999994543E-2</v>
      </c>
      <c r="CZ71" s="359">
        <f t="shared" si="104"/>
        <v>1.249999999996021E-2</v>
      </c>
      <c r="DA71" s="122">
        <f t="shared" si="104"/>
        <v>8.4049999998114799E-2</v>
      </c>
      <c r="DB71" s="122">
        <f t="shared" si="104"/>
        <v>0</v>
      </c>
      <c r="DC71" s="122">
        <f t="shared" si="104"/>
        <v>0</v>
      </c>
      <c r="DD71" s="122">
        <f t="shared" si="104"/>
        <v>0</v>
      </c>
      <c r="DE71" s="122">
        <f t="shared" si="104"/>
        <v>0</v>
      </c>
      <c r="DF71" s="122">
        <f t="shared" si="104"/>
        <v>0</v>
      </c>
      <c r="DG71" s="122">
        <f t="shared" si="104"/>
        <v>0</v>
      </c>
      <c r="DH71" s="122">
        <f t="shared" ref="DH71:EZ71" si="105">DH7-DH11</f>
        <v>0</v>
      </c>
      <c r="DI71" s="122">
        <f t="shared" si="105"/>
        <v>-8.9999999999974989E-2</v>
      </c>
      <c r="DJ71" s="122">
        <f t="shared" si="105"/>
        <v>1.9999999999924967E-2</v>
      </c>
      <c r="DK71" s="122">
        <f t="shared" si="105"/>
        <v>2.500000000509317E-4</v>
      </c>
      <c r="DL71" s="122">
        <f t="shared" si="105"/>
        <v>7.5250000000210093E-2</v>
      </c>
      <c r="DM71" s="122">
        <f t="shared" si="105"/>
        <v>0.14224999999999</v>
      </c>
      <c r="DN71" s="122">
        <f t="shared" si="105"/>
        <v>0.14775000000054206</v>
      </c>
      <c r="DO71" s="122">
        <f t="shared" si="105"/>
        <v>-4.9999999999990052E-2</v>
      </c>
      <c r="DP71" s="122">
        <f t="shared" si="105"/>
        <v>-2.0000000000010232E-2</v>
      </c>
      <c r="DQ71" s="122">
        <f t="shared" si="105"/>
        <v>2.1999999999984254E-2</v>
      </c>
      <c r="DR71" s="122">
        <f t="shared" si="105"/>
        <v>-2.4999999999998579E-2</v>
      </c>
      <c r="DS71" s="122">
        <f t="shared" si="105"/>
        <v>3.1000000000020123E-2</v>
      </c>
      <c r="DT71" s="122">
        <f t="shared" si="105"/>
        <v>-4.9999999999954525E-2</v>
      </c>
      <c r="DU71" s="122">
        <f t="shared" si="105"/>
        <v>-2.3000000000024556E-2</v>
      </c>
      <c r="DV71" s="122">
        <f t="shared" si="105"/>
        <v>-4.5000000000015916E-2</v>
      </c>
      <c r="DW71" s="122">
        <f t="shared" si="105"/>
        <v>-9.9999999998772182E-3</v>
      </c>
      <c r="DX71" s="122">
        <f t="shared" si="105"/>
        <v>0</v>
      </c>
      <c r="DY71" s="122">
        <f t="shared" si="105"/>
        <v>4.0999999999939973E-2</v>
      </c>
      <c r="DZ71" s="122">
        <f t="shared" si="105"/>
        <v>1.6999999999967486E-2</v>
      </c>
      <c r="EA71" s="122">
        <f t="shared" si="105"/>
        <v>-0.11199999999962529</v>
      </c>
      <c r="EB71" s="359">
        <f t="shared" ref="EB71:EM71" si="106">EB7-EB11</f>
        <v>4.0000000000020464E-2</v>
      </c>
      <c r="EC71" s="359">
        <f t="shared" si="106"/>
        <v>4.1000000000011028E-2</v>
      </c>
      <c r="ED71" s="359">
        <f t="shared" si="106"/>
        <v>-2.6000000000017565E-2</v>
      </c>
      <c r="EE71" s="359">
        <f t="shared" si="106"/>
        <v>0</v>
      </c>
      <c r="EF71" s="359">
        <f t="shared" si="106"/>
        <v>-8.9999999999861302E-3</v>
      </c>
      <c r="EG71" s="359">
        <f t="shared" si="106"/>
        <v>-4.9999999999997158E-2</v>
      </c>
      <c r="EH71" s="359">
        <f t="shared" si="106"/>
        <v>-3.200000000006753E-2</v>
      </c>
      <c r="EI71" s="359">
        <f t="shared" si="106"/>
        <v>5.0000000000522959E-3</v>
      </c>
      <c r="EJ71" s="359">
        <f t="shared" si="106"/>
        <v>3.900000000004411E-2</v>
      </c>
      <c r="EK71" s="359">
        <f t="shared" si="106"/>
        <v>-4.0999999999826287E-2</v>
      </c>
      <c r="EL71" s="359">
        <f t="shared" si="106"/>
        <v>-3.8999999999987267E-2</v>
      </c>
      <c r="EM71" s="359">
        <f t="shared" si="106"/>
        <v>-2.9999999999972715E-2</v>
      </c>
      <c r="EN71" s="359"/>
      <c r="EO71" s="359">
        <f t="shared" si="105"/>
        <v>0</v>
      </c>
      <c r="EP71" s="359">
        <f t="shared" si="105"/>
        <v>9.9999999999980105E-3</v>
      </c>
      <c r="EQ71" s="359">
        <f t="shared" si="105"/>
        <v>0</v>
      </c>
      <c r="ER71" s="359">
        <f t="shared" si="105"/>
        <v>0.15000000000003411</v>
      </c>
      <c r="ES71" s="359">
        <f t="shared" si="105"/>
        <v>0</v>
      </c>
      <c r="ET71" s="359">
        <f t="shared" si="105"/>
        <v>0</v>
      </c>
      <c r="EU71" s="359">
        <f t="shared" si="105"/>
        <v>0</v>
      </c>
      <c r="EV71" s="359">
        <f t="shared" si="105"/>
        <v>0</v>
      </c>
      <c r="EW71" s="359">
        <f t="shared" si="105"/>
        <v>0</v>
      </c>
      <c r="EX71" s="359">
        <f t="shared" si="105"/>
        <v>0</v>
      </c>
      <c r="EY71" s="359">
        <f t="shared" si="105"/>
        <v>0</v>
      </c>
      <c r="EZ71" s="359">
        <f t="shared" si="105"/>
        <v>0</v>
      </c>
      <c r="FA71" s="359"/>
      <c r="FC71" s="122"/>
    </row>
    <row r="72" spans="1:165" ht="15" customHeight="1" x14ac:dyDescent="0.25"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22"/>
      <c r="BS72" s="122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</row>
    <row r="118" spans="1:1" ht="15" customHeight="1" x14ac:dyDescent="0.25">
      <c r="A118"/>
    </row>
    <row r="119" spans="1:1" ht="15" customHeight="1" x14ac:dyDescent="0.25">
      <c r="A119"/>
    </row>
    <row r="120" spans="1:1" ht="15" customHeight="1" x14ac:dyDescent="0.25">
      <c r="A120"/>
    </row>
    <row r="121" spans="1:1" ht="15" customHeight="1" x14ac:dyDescent="0.25">
      <c r="A121"/>
    </row>
    <row r="122" spans="1:1" ht="15" customHeight="1" x14ac:dyDescent="0.25">
      <c r="A122"/>
    </row>
  </sheetData>
  <sortState xmlns:xlrd2="http://schemas.microsoft.com/office/spreadsheetml/2017/richdata2" ref="FI12:FI74">
    <sortCondition ref="FI12:FI74"/>
  </sortState>
  <phoneticPr fontId="11" type="noConversion"/>
  <conditionalFormatting sqref="A78:A117 A12:A51">
    <cfRule type="duplicateValues" dxfId="3" priority="1"/>
  </conditionalFormatting>
  <printOptions horizontalCentered="1" verticalCentered="1"/>
  <pageMargins left="0.18" right="0.15748031496062992" top="0.19685039370078741" bottom="0.35433070866141736" header="0" footer="0"/>
  <pageSetup paperSize="9" scale="10" orientation="landscape" r:id="rId1"/>
  <headerFooter alignWithMargins="0"/>
  <ignoredErrors>
    <ignoredError sqref="AN7 AN11 BA7:BA9 BA1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499984740745262"/>
  </sheetPr>
  <dimension ref="A1:FJ61"/>
  <sheetViews>
    <sheetView showGridLines="0" view="pageBreakPreview" zoomScaleNormal="100" zoomScaleSheetLayoutView="100" workbookViewId="0">
      <pane xSplit="1" topLeftCell="B1" activePane="topRight" state="frozen"/>
      <selection activeCell="DO55" sqref="DO55:EP55"/>
      <selection pane="topRight"/>
    </sheetView>
  </sheetViews>
  <sheetFormatPr baseColWidth="10" defaultColWidth="9.7109375" defaultRowHeight="15" customHeight="1" x14ac:dyDescent="0.25"/>
  <cols>
    <col min="1" max="1" width="20.7109375" style="624" customWidth="1"/>
    <col min="2" max="157" width="9.7109375" style="624"/>
    <col min="159" max="163" width="9.7109375" style="624"/>
    <col min="164" max="164" width="9.7109375" style="621"/>
    <col min="165" max="165" width="11.85546875" style="621" bestFit="1" customWidth="1"/>
  </cols>
  <sheetData>
    <row r="1" spans="1:166" ht="15" customHeight="1" x14ac:dyDescent="0.25">
      <c r="A1" s="682" t="s">
        <v>164</v>
      </c>
    </row>
    <row r="2" spans="1:166" ht="15" customHeight="1" x14ac:dyDescent="0.25">
      <c r="A2" s="682" t="s">
        <v>565</v>
      </c>
    </row>
    <row r="3" spans="1:166" ht="15" customHeight="1" x14ac:dyDescent="0.25">
      <c r="A3" s="774" t="s">
        <v>92</v>
      </c>
    </row>
    <row r="4" spans="1:166" ht="15" customHeight="1" x14ac:dyDescent="0.25">
      <c r="A4" s="592"/>
      <c r="B4" s="683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683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683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683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683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683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683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683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683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683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683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683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C4" s="476" t="str">
        <f>CONCATENATE("Var.% ",FF4,"/",FF4-1)</f>
        <v>Var.% 2025/2024</v>
      </c>
      <c r="FD4" s="477"/>
      <c r="FE4" s="478">
        <f>FF4-1</f>
        <v>2024</v>
      </c>
      <c r="FF4" s="478">
        <f>YEAR(FC5)</f>
        <v>2025</v>
      </c>
      <c r="FH4" s="479" t="s">
        <v>620</v>
      </c>
      <c r="FI4" s="480"/>
      <c r="FJ4" s="481"/>
    </row>
    <row r="5" spans="1:166" ht="15" customHeight="1" x14ac:dyDescent="0.25">
      <c r="A5" s="593"/>
      <c r="B5" s="684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>YEAR(M5)</f>
        <v>2015</v>
      </c>
      <c r="O5" s="684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>YEAR(Z5)</f>
        <v>2016</v>
      </c>
      <c r="AB5" s="684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>YEAR(AM5)</f>
        <v>2017</v>
      </c>
      <c r="AO5" s="684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>YEAR(AZ5)</f>
        <v>2018</v>
      </c>
      <c r="BB5" s="684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>YEAR(BM5)</f>
        <v>2019</v>
      </c>
      <c r="BO5" s="684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>YEAR(BZ5)</f>
        <v>2020</v>
      </c>
      <c r="CB5" s="684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>YEAR(CM5)</f>
        <v>2021</v>
      </c>
      <c r="CO5" s="684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>YEAR(CZ5)</f>
        <v>2022</v>
      </c>
      <c r="DB5" s="684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>YEAR(DM5)</f>
        <v>2023</v>
      </c>
      <c r="DO5" s="684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>YEAR(DZ5)</f>
        <v>2024</v>
      </c>
      <c r="EB5" s="684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684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C5" s="485">
        <f>EM5</f>
        <v>45992</v>
      </c>
      <c r="FD5" s="486" t="str">
        <f>CONCATENATE("Ene.-",TEXT(FC5,"MMM."))</f>
        <v>Ene.-Dic.</v>
      </c>
      <c r="FE5" s="487" t="str">
        <f>FD5</f>
        <v>Ene.-Dic.</v>
      </c>
      <c r="FF5" s="487" t="str">
        <f>FD5</f>
        <v>Ene.-Dic.</v>
      </c>
      <c r="FG5" s="685"/>
      <c r="FH5" s="488" t="s">
        <v>621</v>
      </c>
      <c r="FI5" s="489"/>
      <c r="FJ5" s="490"/>
    </row>
    <row r="6" spans="1:166" ht="15" customHeight="1" x14ac:dyDescent="0.25">
      <c r="A6" s="594"/>
      <c r="B6" s="656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656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656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656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656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656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656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656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656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656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656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656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C6" s="494"/>
      <c r="FD6" s="495"/>
      <c r="FE6" s="496"/>
      <c r="FF6" s="497"/>
      <c r="FG6" s="685"/>
      <c r="FH6" s="686"/>
      <c r="FI6" s="491"/>
      <c r="FJ6" s="628"/>
    </row>
    <row r="7" spans="1:166" ht="15" customHeight="1" x14ac:dyDescent="0.25">
      <c r="A7" s="606" t="s">
        <v>0</v>
      </c>
      <c r="B7" s="546">
        <f t="shared" ref="B7:M7" si="0">SUM(B9:B41)</f>
        <v>5866.4570000000003</v>
      </c>
      <c r="C7" s="541">
        <f t="shared" si="0"/>
        <v>5081.2750000000005</v>
      </c>
      <c r="D7" s="541">
        <f t="shared" si="0"/>
        <v>6933</v>
      </c>
      <c r="E7" s="541">
        <f t="shared" si="0"/>
        <v>4793</v>
      </c>
      <c r="F7" s="541">
        <f t="shared" si="0"/>
        <v>5626</v>
      </c>
      <c r="G7" s="541">
        <f t="shared" si="0"/>
        <v>5699</v>
      </c>
      <c r="H7" s="541">
        <f t="shared" si="0"/>
        <v>6364</v>
      </c>
      <c r="I7" s="541">
        <f t="shared" si="0"/>
        <v>7852</v>
      </c>
      <c r="J7" s="541">
        <f t="shared" si="0"/>
        <v>16000</v>
      </c>
      <c r="K7" s="541">
        <f t="shared" si="0"/>
        <v>9822</v>
      </c>
      <c r="L7" s="541">
        <f t="shared" si="0"/>
        <v>5927</v>
      </c>
      <c r="M7" s="541">
        <f t="shared" si="0"/>
        <v>10372</v>
      </c>
      <c r="N7" s="542">
        <f>SUM(B7:M7)</f>
        <v>90335.732000000004</v>
      </c>
      <c r="O7" s="546">
        <f t="shared" ref="O7:Z7" si="1">SUM(O9:O41)</f>
        <v>10220</v>
      </c>
      <c r="P7" s="541">
        <f t="shared" si="1"/>
        <v>7158</v>
      </c>
      <c r="Q7" s="541">
        <f t="shared" si="1"/>
        <v>4973</v>
      </c>
      <c r="R7" s="541">
        <f t="shared" si="1"/>
        <v>8909</v>
      </c>
      <c r="S7" s="541">
        <f t="shared" si="1"/>
        <v>2821</v>
      </c>
      <c r="T7" s="541">
        <f t="shared" si="1"/>
        <v>1915</v>
      </c>
      <c r="U7" s="541">
        <f t="shared" si="1"/>
        <v>2966</v>
      </c>
      <c r="V7" s="541">
        <f t="shared" si="1"/>
        <v>3413</v>
      </c>
      <c r="W7" s="541">
        <f t="shared" si="1"/>
        <v>20457.190000000002</v>
      </c>
      <c r="X7" s="541">
        <f t="shared" si="1"/>
        <v>13972.680999999999</v>
      </c>
      <c r="Y7" s="541">
        <f t="shared" si="1"/>
        <v>16688</v>
      </c>
      <c r="Z7" s="541">
        <f t="shared" si="1"/>
        <v>11643</v>
      </c>
      <c r="AA7" s="542">
        <f>SUM(O7:Z7)</f>
        <v>105135.871</v>
      </c>
      <c r="AB7" s="546">
        <f t="shared" ref="AB7:AM7" si="2">SUM(AB9:AB41)</f>
        <v>9054</v>
      </c>
      <c r="AC7" s="541">
        <f t="shared" si="2"/>
        <v>7383</v>
      </c>
      <c r="AD7" s="541">
        <f t="shared" si="2"/>
        <v>8081</v>
      </c>
      <c r="AE7" s="541">
        <f t="shared" si="2"/>
        <v>7426.1079999999993</v>
      </c>
      <c r="AF7" s="541">
        <f t="shared" si="2"/>
        <v>5241.4920000000002</v>
      </c>
      <c r="AG7" s="541">
        <f t="shared" si="2"/>
        <v>4218</v>
      </c>
      <c r="AH7" s="541">
        <f t="shared" si="2"/>
        <v>3458</v>
      </c>
      <c r="AI7" s="541">
        <f t="shared" si="2"/>
        <v>12241</v>
      </c>
      <c r="AJ7" s="541">
        <f t="shared" si="2"/>
        <v>29628</v>
      </c>
      <c r="AK7" s="541">
        <f t="shared" si="2"/>
        <v>27972</v>
      </c>
      <c r="AL7" s="541">
        <f t="shared" si="2"/>
        <v>33631</v>
      </c>
      <c r="AM7" s="541">
        <f t="shared" si="2"/>
        <v>33729</v>
      </c>
      <c r="AN7" s="542">
        <f>SUM(AB7:AM7)</f>
        <v>182062.6</v>
      </c>
      <c r="AO7" s="546">
        <f t="shared" ref="AO7:AZ7" si="3">SUM(AO9:AO41)</f>
        <v>26772.043999999987</v>
      </c>
      <c r="AP7" s="541">
        <f t="shared" si="3"/>
        <v>8483.2309999999998</v>
      </c>
      <c r="AQ7" s="541">
        <f t="shared" si="3"/>
        <v>16725.350999999999</v>
      </c>
      <c r="AR7" s="541">
        <f t="shared" si="3"/>
        <v>13607.300999999998</v>
      </c>
      <c r="AS7" s="541">
        <f t="shared" si="3"/>
        <v>8861.8890000000029</v>
      </c>
      <c r="AT7" s="541">
        <f t="shared" si="3"/>
        <v>3754.9339999999984</v>
      </c>
      <c r="AU7" s="541">
        <f t="shared" si="3"/>
        <v>7772.6870000000054</v>
      </c>
      <c r="AV7" s="541">
        <f t="shared" si="3"/>
        <v>13787.495999999996</v>
      </c>
      <c r="AW7" s="541">
        <f t="shared" si="3"/>
        <v>22715.381999999972</v>
      </c>
      <c r="AX7" s="541">
        <f t="shared" si="3"/>
        <v>18978.750000000011</v>
      </c>
      <c r="AY7" s="541">
        <f t="shared" si="3"/>
        <v>27259.715999999989</v>
      </c>
      <c r="AZ7" s="541">
        <f t="shared" si="3"/>
        <v>20907.368999999992</v>
      </c>
      <c r="BA7" s="542">
        <f>SUM(AO7:AZ7)</f>
        <v>189626.14999999997</v>
      </c>
      <c r="BB7" s="546">
        <f t="shared" ref="BB7:BM7" si="4">SUM(BB9:BB41)</f>
        <v>11961.603999999999</v>
      </c>
      <c r="BC7" s="541">
        <f t="shared" si="4"/>
        <v>8042.7919999999995</v>
      </c>
      <c r="BD7" s="541">
        <f t="shared" si="4"/>
        <v>13442.447000000002</v>
      </c>
      <c r="BE7" s="541">
        <f t="shared" si="4"/>
        <v>14361.061</v>
      </c>
      <c r="BF7" s="541">
        <f t="shared" si="4"/>
        <v>26834.968999999997</v>
      </c>
      <c r="BG7" s="541">
        <f t="shared" si="4"/>
        <v>16091.395</v>
      </c>
      <c r="BH7" s="541">
        <f t="shared" si="4"/>
        <v>24245.722000000002</v>
      </c>
      <c r="BI7" s="541">
        <f t="shared" si="4"/>
        <v>40710.124000000003</v>
      </c>
      <c r="BJ7" s="541">
        <f t="shared" si="4"/>
        <v>67916.842000000004</v>
      </c>
      <c r="BK7" s="541">
        <f t="shared" si="4"/>
        <v>67473.766000000003</v>
      </c>
      <c r="BL7" s="541">
        <f t="shared" si="4"/>
        <v>93816.361999999994</v>
      </c>
      <c r="BM7" s="541">
        <f t="shared" si="4"/>
        <v>61797.987999999998</v>
      </c>
      <c r="BN7" s="542">
        <f>SUM(BB7:BM7)</f>
        <v>446695.07200000004</v>
      </c>
      <c r="BO7" s="546">
        <f t="shared" ref="BO7:BZ7" si="5">SUM(BO9:BO41)</f>
        <v>50180</v>
      </c>
      <c r="BP7" s="541">
        <f t="shared" si="5"/>
        <v>55818</v>
      </c>
      <c r="BQ7" s="541">
        <f t="shared" si="5"/>
        <v>47873</v>
      </c>
      <c r="BR7" s="541">
        <f t="shared" si="5"/>
        <v>0</v>
      </c>
      <c r="BS7" s="541">
        <f t="shared" si="5"/>
        <v>1764</v>
      </c>
      <c r="BT7" s="541">
        <f t="shared" si="5"/>
        <v>30138</v>
      </c>
      <c r="BU7" s="541">
        <f t="shared" si="5"/>
        <v>34531</v>
      </c>
      <c r="BV7" s="541">
        <f t="shared" si="5"/>
        <v>44778</v>
      </c>
      <c r="BW7" s="541">
        <f t="shared" si="5"/>
        <v>57555</v>
      </c>
      <c r="BX7" s="541">
        <f t="shared" si="5"/>
        <v>2188.5390000000002</v>
      </c>
      <c r="BY7" s="541">
        <f t="shared" si="5"/>
        <v>2864.8360000000002</v>
      </c>
      <c r="BZ7" s="541">
        <f t="shared" si="5"/>
        <v>3449.0879999999997</v>
      </c>
      <c r="CA7" s="542">
        <f>SUM(BO7:BZ7)</f>
        <v>331139.46299999999</v>
      </c>
      <c r="CB7" s="546">
        <f t="shared" ref="CB7:CM7" si="6">SUM(CB9:CB41)</f>
        <v>1993.395</v>
      </c>
      <c r="CC7" s="541">
        <f t="shared" si="6"/>
        <v>3021.922</v>
      </c>
      <c r="CD7" s="541">
        <f t="shared" si="6"/>
        <v>1497.0019999999997</v>
      </c>
      <c r="CE7" s="541">
        <f t="shared" si="6"/>
        <v>1566.9969999999998</v>
      </c>
      <c r="CF7" s="541">
        <f t="shared" si="6"/>
        <v>2206.4960000000001</v>
      </c>
      <c r="CG7" s="541">
        <f t="shared" si="6"/>
        <v>3055.2549999999997</v>
      </c>
      <c r="CH7" s="541">
        <f t="shared" si="6"/>
        <v>2398.2030000000004</v>
      </c>
      <c r="CI7" s="541">
        <f t="shared" si="6"/>
        <v>650.37900000000002</v>
      </c>
      <c r="CJ7" s="541">
        <f t="shared" si="6"/>
        <v>2059.84</v>
      </c>
      <c r="CK7" s="541">
        <f t="shared" si="6"/>
        <v>810.17399999999998</v>
      </c>
      <c r="CL7" s="541">
        <f t="shared" si="6"/>
        <v>750.75</v>
      </c>
      <c r="CM7" s="541">
        <f t="shared" si="6"/>
        <v>1194.527</v>
      </c>
      <c r="CN7" s="542">
        <f>SUM(CB7:CM7)</f>
        <v>21204.939999999995</v>
      </c>
      <c r="CO7" s="546">
        <f t="shared" ref="CO7:CZ7" si="7">SUM(CO9:CO41)</f>
        <v>3385.1579999999999</v>
      </c>
      <c r="CP7" s="541">
        <f t="shared" si="7"/>
        <v>3387.2670000000007</v>
      </c>
      <c r="CQ7" s="541">
        <f t="shared" si="7"/>
        <v>4552.1379999999999</v>
      </c>
      <c r="CR7" s="541">
        <f t="shared" si="7"/>
        <v>2128.3939999999998</v>
      </c>
      <c r="CS7" s="541">
        <f t="shared" si="7"/>
        <v>3485.0360000000001</v>
      </c>
      <c r="CT7" s="541">
        <f t="shared" si="7"/>
        <v>1582.3389999999999</v>
      </c>
      <c r="CU7" s="541">
        <f t="shared" si="7"/>
        <v>1168.0720000000001</v>
      </c>
      <c r="CV7" s="541">
        <f t="shared" si="7"/>
        <v>1504.4269999999999</v>
      </c>
      <c r="CW7" s="541">
        <f t="shared" si="7"/>
        <v>4742.6290000000008</v>
      </c>
      <c r="CX7" s="541">
        <f t="shared" si="7"/>
        <v>2690.5349999999999</v>
      </c>
      <c r="CY7" s="541">
        <f t="shared" si="7"/>
        <v>3161.1119999999996</v>
      </c>
      <c r="CZ7" s="541">
        <f t="shared" si="7"/>
        <v>2182.8960000000002</v>
      </c>
      <c r="DA7" s="542">
        <f>SUM(CO7:CZ7)</f>
        <v>33970.003000000004</v>
      </c>
      <c r="DB7" s="546">
        <f t="shared" ref="DB7:DM7" si="8">SUM(DB9:DB41)</f>
        <v>976.09500000000003</v>
      </c>
      <c r="DC7" s="541">
        <f t="shared" si="8"/>
        <v>4145.6850000000004</v>
      </c>
      <c r="DD7" s="541">
        <f t="shared" si="8"/>
        <v>1878.519</v>
      </c>
      <c r="DE7" s="541">
        <f t="shared" si="8"/>
        <v>2220.2939999999999</v>
      </c>
      <c r="DF7" s="541">
        <f t="shared" si="8"/>
        <v>28848.879999999997</v>
      </c>
      <c r="DG7" s="541">
        <f t="shared" si="8"/>
        <v>20216.076000000001</v>
      </c>
      <c r="DH7" s="541">
        <f t="shared" si="8"/>
        <v>26369</v>
      </c>
      <c r="DI7" s="541">
        <f t="shared" si="8"/>
        <v>47127.466999999997</v>
      </c>
      <c r="DJ7" s="541">
        <f t="shared" si="8"/>
        <v>38872.412999999993</v>
      </c>
      <c r="DK7" s="541">
        <f t="shared" si="8"/>
        <v>35440.89</v>
      </c>
      <c r="DL7" s="541">
        <f t="shared" si="8"/>
        <v>30716.329000000002</v>
      </c>
      <c r="DM7" s="541">
        <f t="shared" si="8"/>
        <v>27526.722000000002</v>
      </c>
      <c r="DN7" s="542">
        <f>SUM(DB7:DM7)</f>
        <v>264338.37</v>
      </c>
      <c r="DO7" s="546">
        <f t="shared" ref="DO7:DZ7" si="9">SUM(DO9:DO41)</f>
        <v>44563.807000000001</v>
      </c>
      <c r="DP7" s="541">
        <f t="shared" si="9"/>
        <v>37424.201999999997</v>
      </c>
      <c r="DQ7" s="541">
        <f t="shared" si="9"/>
        <v>19285.290999999997</v>
      </c>
      <c r="DR7" s="541">
        <f t="shared" si="9"/>
        <v>27335.722999999998</v>
      </c>
      <c r="DS7" s="541">
        <f t="shared" si="9"/>
        <v>18712.858</v>
      </c>
      <c r="DT7" s="541">
        <f t="shared" si="9"/>
        <v>11481.378999999999</v>
      </c>
      <c r="DU7" s="541">
        <f t="shared" si="9"/>
        <v>12739.731000000002</v>
      </c>
      <c r="DV7" s="541">
        <f t="shared" si="9"/>
        <v>55140.697</v>
      </c>
      <c r="DW7" s="541">
        <f t="shared" si="9"/>
        <v>68732.210000000006</v>
      </c>
      <c r="DX7" s="541">
        <f t="shared" si="9"/>
        <v>29954.499</v>
      </c>
      <c r="DY7" s="541">
        <f t="shared" si="9"/>
        <v>38424.103000000003</v>
      </c>
      <c r="DZ7" s="541">
        <f t="shared" si="9"/>
        <v>38145.428</v>
      </c>
      <c r="EA7" s="542">
        <f>SUM(DO7:DZ7)</f>
        <v>401939.92800000001</v>
      </c>
      <c r="EB7" s="546">
        <f t="shared" ref="EB7:EM7" si="10">SUM(EB9:EB41)</f>
        <v>23469.946</v>
      </c>
      <c r="EC7" s="541">
        <f t="shared" si="10"/>
        <v>26501.257999999994</v>
      </c>
      <c r="ED7" s="541">
        <f t="shared" si="10"/>
        <v>5944.9570000000012</v>
      </c>
      <c r="EE7" s="541">
        <f t="shared" si="10"/>
        <v>9610.2159999999967</v>
      </c>
      <c r="EF7" s="541">
        <f t="shared" si="10"/>
        <v>19604.195</v>
      </c>
      <c r="EG7" s="541">
        <f t="shared" si="10"/>
        <v>15592.960000000005</v>
      </c>
      <c r="EH7" s="541">
        <f t="shared" si="10"/>
        <v>9870.16</v>
      </c>
      <c r="EI7" s="541">
        <f t="shared" si="10"/>
        <v>28664.357999999993</v>
      </c>
      <c r="EJ7" s="541">
        <f t="shared" si="10"/>
        <v>31463.748999999996</v>
      </c>
      <c r="EK7" s="541">
        <f t="shared" si="10"/>
        <v>33400.313000000002</v>
      </c>
      <c r="EL7" s="541">
        <f t="shared" si="10"/>
        <v>47926.104928571418</v>
      </c>
      <c r="EM7" s="541">
        <f t="shared" si="10"/>
        <v>47648.726999999984</v>
      </c>
      <c r="EN7" s="542">
        <f>SUM(EB7:EM7)</f>
        <v>299696.94392857142</v>
      </c>
      <c r="EO7" s="546">
        <f t="shared" ref="EO7:EZ7" si="11">SUM(EO9:EO41)</f>
        <v>0</v>
      </c>
      <c r="EP7" s="541">
        <f t="shared" si="11"/>
        <v>0</v>
      </c>
      <c r="EQ7" s="541">
        <f t="shared" si="11"/>
        <v>0</v>
      </c>
      <c r="ER7" s="541">
        <f t="shared" si="11"/>
        <v>0</v>
      </c>
      <c r="ES7" s="541">
        <f t="shared" si="11"/>
        <v>0</v>
      </c>
      <c r="ET7" s="541">
        <f t="shared" si="11"/>
        <v>0</v>
      </c>
      <c r="EU7" s="541">
        <f t="shared" si="11"/>
        <v>0</v>
      </c>
      <c r="EV7" s="541">
        <f t="shared" si="11"/>
        <v>0</v>
      </c>
      <c r="EW7" s="541">
        <f t="shared" si="11"/>
        <v>0</v>
      </c>
      <c r="EX7" s="541">
        <f t="shared" si="11"/>
        <v>0</v>
      </c>
      <c r="EY7" s="541">
        <f t="shared" si="11"/>
        <v>0</v>
      </c>
      <c r="EZ7" s="541">
        <f t="shared" si="11"/>
        <v>0</v>
      </c>
      <c r="FA7" s="542">
        <f>SUM(EO7:EZ7)</f>
        <v>0</v>
      </c>
      <c r="FC7" s="544">
        <f>IFERROR(((
_xlfn.XLOOKUP((DATE(YEAR($FC$5),MONTH($FC$5),1)),UCA.ROLLIZA.DATE,$B7:$FA7) /
_xlfn.XLOOKUP((DATE(YEAR($FC$5)-1,MONTH($FC$5),1)),UCA.ROLLIZA.DATE,$B7:$FA7)
)-1)*100,"")</f>
        <v>24.913336927298289</v>
      </c>
      <c r="FD7" s="545">
        <f>IFERROR(((FF7/FE7)-1)*100,"")</f>
        <v>-25.437379306946728</v>
      </c>
      <c r="FE7" s="546">
        <f>SUMIFS($B7:$FA7,UCA.ROLLIZA.DATE,"&gt;="&amp;DATE(YEAR($FC$5)-1,1,1),UCA.ROLLIZA.DATE,"&lt;="&amp;DATE(YEAR($FC$5)-1,MONTH($FC$5),1))</f>
        <v>401939.92800000001</v>
      </c>
      <c r="FF7" s="547">
        <f>SUMIFS($B7:$FA7,UCA.ROLLIZA.DATE,"&gt;="&amp;DATE(YEAR($FC$5),1,1),UCA.ROLLIZA.DATE,"&lt;="&amp;$FC$5)</f>
        <v>299696.94392857142</v>
      </c>
      <c r="FG7" s="113"/>
      <c r="FH7" s="688"/>
      <c r="FI7" s="689"/>
      <c r="FJ7" s="628"/>
    </row>
    <row r="8" spans="1:166" ht="15" customHeight="1" x14ac:dyDescent="0.25">
      <c r="A8" s="594"/>
      <c r="B8" s="498"/>
      <c r="C8" s="633"/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493"/>
      <c r="O8" s="498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493"/>
      <c r="AB8" s="498"/>
      <c r="AC8" s="633"/>
      <c r="AD8" s="633"/>
      <c r="AE8" s="633"/>
      <c r="AF8" s="633"/>
      <c r="AG8" s="633"/>
      <c r="AH8" s="633"/>
      <c r="AI8" s="633"/>
      <c r="AJ8" s="633"/>
      <c r="AK8" s="633"/>
      <c r="AL8" s="633"/>
      <c r="AM8" s="633"/>
      <c r="AN8" s="493"/>
      <c r="AO8" s="498"/>
      <c r="AP8" s="633"/>
      <c r="AQ8" s="633"/>
      <c r="AR8" s="633"/>
      <c r="AS8" s="633"/>
      <c r="AT8" s="633"/>
      <c r="AU8" s="633"/>
      <c r="AV8" s="633"/>
      <c r="AW8" s="633"/>
      <c r="AX8" s="633"/>
      <c r="AY8" s="633"/>
      <c r="AZ8" s="633"/>
      <c r="BA8" s="493"/>
      <c r="BB8" s="498"/>
      <c r="BC8" s="633"/>
      <c r="BD8" s="633"/>
      <c r="BE8" s="633"/>
      <c r="BF8" s="633"/>
      <c r="BG8" s="633"/>
      <c r="BH8" s="633"/>
      <c r="BI8" s="633"/>
      <c r="BJ8" s="633"/>
      <c r="BK8" s="633"/>
      <c r="BL8" s="633"/>
      <c r="BM8" s="633"/>
      <c r="BN8" s="493"/>
      <c r="BO8" s="498"/>
      <c r="BP8" s="633"/>
      <c r="BQ8" s="633"/>
      <c r="BR8" s="633"/>
      <c r="BS8" s="633"/>
      <c r="BT8" s="633"/>
      <c r="BU8" s="633"/>
      <c r="BV8" s="633"/>
      <c r="BW8" s="633"/>
      <c r="BX8" s="633"/>
      <c r="BY8" s="633"/>
      <c r="BZ8" s="633"/>
      <c r="CA8" s="493"/>
      <c r="CB8" s="498"/>
      <c r="CC8" s="633"/>
      <c r="CD8" s="633"/>
      <c r="CE8" s="633"/>
      <c r="CF8" s="633"/>
      <c r="CG8" s="633"/>
      <c r="CH8" s="633"/>
      <c r="CI8" s="633"/>
      <c r="CJ8" s="633"/>
      <c r="CK8" s="633"/>
      <c r="CL8" s="633"/>
      <c r="CM8" s="633"/>
      <c r="CN8" s="493"/>
      <c r="CO8" s="498"/>
      <c r="CP8" s="633"/>
      <c r="CQ8" s="633"/>
      <c r="CR8" s="633"/>
      <c r="CS8" s="633"/>
      <c r="CT8" s="633"/>
      <c r="CU8" s="633"/>
      <c r="CV8" s="633"/>
      <c r="CW8" s="633"/>
      <c r="CX8" s="633"/>
      <c r="CY8" s="633"/>
      <c r="CZ8" s="633"/>
      <c r="DA8" s="493"/>
      <c r="DB8" s="498"/>
      <c r="DC8" s="633"/>
      <c r="DD8" s="633"/>
      <c r="DE8" s="633"/>
      <c r="DF8" s="633"/>
      <c r="DG8" s="633"/>
      <c r="DH8" s="633"/>
      <c r="DI8" s="633"/>
      <c r="DJ8" s="633"/>
      <c r="DK8" s="633"/>
      <c r="DL8" s="633"/>
      <c r="DM8" s="633"/>
      <c r="DN8" s="493"/>
      <c r="DO8" s="498"/>
      <c r="DP8" s="633"/>
      <c r="DQ8" s="633"/>
      <c r="DR8" s="633"/>
      <c r="DS8" s="633"/>
      <c r="DT8" s="633"/>
      <c r="DU8" s="633"/>
      <c r="DV8" s="633"/>
      <c r="DW8" s="633"/>
      <c r="DX8" s="633"/>
      <c r="DY8" s="633"/>
      <c r="DZ8" s="633"/>
      <c r="EA8" s="493"/>
      <c r="EB8" s="498"/>
      <c r="EC8" s="633"/>
      <c r="ED8" s="633"/>
      <c r="EE8" s="633"/>
      <c r="EF8" s="633"/>
      <c r="EG8" s="633"/>
      <c r="EH8" s="633"/>
      <c r="EI8" s="633"/>
      <c r="EJ8" s="633"/>
      <c r="EK8" s="633"/>
      <c r="EL8" s="633"/>
      <c r="EM8" s="633"/>
      <c r="EN8" s="493"/>
      <c r="EO8" s="498"/>
      <c r="EP8" s="633"/>
      <c r="EQ8" s="633"/>
      <c r="ER8" s="633"/>
      <c r="ES8" s="633"/>
      <c r="ET8" s="633"/>
      <c r="EU8" s="633"/>
      <c r="EV8" s="633"/>
      <c r="EW8" s="633"/>
      <c r="EX8" s="633"/>
      <c r="EY8" s="633"/>
      <c r="EZ8" s="633"/>
      <c r="FA8" s="493"/>
      <c r="FC8" s="549"/>
      <c r="FD8" s="550"/>
      <c r="FE8" s="551"/>
      <c r="FF8" s="552"/>
      <c r="FG8" s="113"/>
      <c r="FH8" s="688"/>
      <c r="FI8" s="491"/>
      <c r="FJ8" s="628"/>
    </row>
    <row r="9" spans="1:166" ht="15" customHeight="1" x14ac:dyDescent="0.25">
      <c r="A9" s="610" t="s">
        <v>101</v>
      </c>
      <c r="B9" s="656"/>
      <c r="C9" s="492"/>
      <c r="D9" s="492"/>
      <c r="E9" s="492"/>
      <c r="F9" s="492"/>
      <c r="G9" s="492">
        <v>9</v>
      </c>
      <c r="H9" s="492"/>
      <c r="I9" s="492">
        <v>43</v>
      </c>
      <c r="J9" s="492">
        <v>111</v>
      </c>
      <c r="K9" s="492">
        <v>14</v>
      </c>
      <c r="L9" s="492">
        <v>10</v>
      </c>
      <c r="M9" s="492"/>
      <c r="N9" s="493">
        <f t="shared" ref="N9:N41" si="12">SUM(B9:M9)</f>
        <v>187</v>
      </c>
      <c r="O9" s="656"/>
      <c r="P9" s="492"/>
      <c r="Q9" s="492"/>
      <c r="R9" s="492"/>
      <c r="S9" s="492"/>
      <c r="T9" s="492"/>
      <c r="U9" s="492">
        <v>2</v>
      </c>
      <c r="V9" s="492"/>
      <c r="W9" s="492">
        <v>102</v>
      </c>
      <c r="X9" s="492"/>
      <c r="Y9" s="492">
        <v>485</v>
      </c>
      <c r="Z9" s="492">
        <v>42</v>
      </c>
      <c r="AA9" s="493">
        <f t="shared" ref="AA9:AA41" si="13">SUM(O9:Z9)</f>
        <v>631</v>
      </c>
      <c r="AB9" s="656"/>
      <c r="AC9" s="492"/>
      <c r="AD9" s="492">
        <v>83</v>
      </c>
      <c r="AE9" s="492">
        <v>35.99</v>
      </c>
      <c r="AF9" s="492">
        <v>25</v>
      </c>
      <c r="AG9" s="492">
        <v>69</v>
      </c>
      <c r="AH9" s="492">
        <v>9</v>
      </c>
      <c r="AI9" s="492">
        <v>22</v>
      </c>
      <c r="AJ9" s="492">
        <v>2</v>
      </c>
      <c r="AK9" s="492">
        <v>14</v>
      </c>
      <c r="AL9" s="492"/>
      <c r="AM9" s="492">
        <v>39</v>
      </c>
      <c r="AN9" s="493">
        <f t="shared" ref="AN9:AN41" si="14">SUM(AB9:AM9)</f>
        <v>298.99</v>
      </c>
      <c r="AO9" s="656">
        <v>5.3220000000000001</v>
      </c>
      <c r="AP9" s="492">
        <v>4.1890000000000001</v>
      </c>
      <c r="AQ9" s="492">
        <v>3.6459999999999999</v>
      </c>
      <c r="AR9" s="492">
        <v>4.3570000000000002</v>
      </c>
      <c r="AS9" s="492"/>
      <c r="AT9" s="492">
        <v>46.979000000000006</v>
      </c>
      <c r="AU9" s="492">
        <v>222.72299999999998</v>
      </c>
      <c r="AV9" s="492">
        <v>188.251</v>
      </c>
      <c r="AW9" s="492">
        <v>689.42199999999991</v>
      </c>
      <c r="AX9" s="492">
        <v>156.56700000000004</v>
      </c>
      <c r="AY9" s="492">
        <v>190.96299999999999</v>
      </c>
      <c r="AZ9" s="492">
        <v>70.074999999999989</v>
      </c>
      <c r="BA9" s="493">
        <f t="shared" ref="BA9:BA41" si="15">SUM(AO9:AZ9)</f>
        <v>1582.4939999999999</v>
      </c>
      <c r="BB9" s="656">
        <v>399.62800000000004</v>
      </c>
      <c r="BC9" s="492"/>
      <c r="BD9" s="492">
        <v>47.802</v>
      </c>
      <c r="BE9" s="492"/>
      <c r="BF9" s="492"/>
      <c r="BG9" s="492">
        <v>6.7510000000000003</v>
      </c>
      <c r="BH9" s="492"/>
      <c r="BI9" s="492">
        <v>519.62199999999996</v>
      </c>
      <c r="BJ9" s="492">
        <v>354.14400000000001</v>
      </c>
      <c r="BK9" s="492">
        <v>313.16199999999998</v>
      </c>
      <c r="BL9" s="492">
        <v>334.68899999999996</v>
      </c>
      <c r="BM9" s="492">
        <v>134.33000000000001</v>
      </c>
      <c r="BN9" s="493">
        <f t="shared" ref="BN9:BN41" si="16">SUM(BB9:BM9)</f>
        <v>2110.1280000000002</v>
      </c>
      <c r="BO9" s="656">
        <v>117</v>
      </c>
      <c r="BP9" s="492">
        <v>54</v>
      </c>
      <c r="BQ9" s="492">
        <v>67</v>
      </c>
      <c r="BR9" s="492"/>
      <c r="BS9" s="492"/>
      <c r="BT9" s="492"/>
      <c r="BU9" s="492">
        <v>15</v>
      </c>
      <c r="BV9" s="492">
        <f>52+226</f>
        <v>278</v>
      </c>
      <c r="BW9" s="492">
        <f>38+159</f>
        <v>197</v>
      </c>
      <c r="BX9" s="492"/>
      <c r="BY9" s="492"/>
      <c r="BZ9" s="492">
        <v>345.58100000000002</v>
      </c>
      <c r="CA9" s="493">
        <f t="shared" ref="CA9:CA41" si="17">SUM(BO9:BZ9)</f>
        <v>1073.5810000000001</v>
      </c>
      <c r="CB9" s="656"/>
      <c r="CC9" s="492"/>
      <c r="CD9" s="492"/>
      <c r="CE9" s="492"/>
      <c r="CF9" s="492"/>
      <c r="CG9" s="492"/>
      <c r="CH9" s="492"/>
      <c r="CI9" s="492"/>
      <c r="CJ9" s="492"/>
      <c r="CK9" s="492"/>
      <c r="CL9" s="492"/>
      <c r="CM9" s="492"/>
      <c r="CN9" s="493">
        <f t="shared" ref="CN9:CN41" si="18">SUM(CB9:CM9)</f>
        <v>0</v>
      </c>
      <c r="CO9" s="656"/>
      <c r="CP9" s="492"/>
      <c r="CQ9" s="492"/>
      <c r="CR9" s="492"/>
      <c r="CS9" s="492"/>
      <c r="CT9" s="492"/>
      <c r="CU9" s="492"/>
      <c r="CV9" s="492">
        <v>50.015999999999998</v>
      </c>
      <c r="CW9" s="492"/>
      <c r="CX9" s="492"/>
      <c r="CY9" s="492"/>
      <c r="CZ9" s="492">
        <v>2.0019999999999998</v>
      </c>
      <c r="DA9" s="493">
        <f t="shared" ref="DA9:DA41" si="19">SUM(CO9:CZ9)</f>
        <v>52.018000000000001</v>
      </c>
      <c r="DB9" s="656"/>
      <c r="DC9" s="492"/>
      <c r="DD9" s="492"/>
      <c r="DE9" s="492"/>
      <c r="DF9" s="492">
        <v>83.326999999999998</v>
      </c>
      <c r="DG9" s="492">
        <v>4.8520000000000003</v>
      </c>
      <c r="DH9" s="492"/>
      <c r="DI9" s="492">
        <v>43.622999999999998</v>
      </c>
      <c r="DJ9" s="492"/>
      <c r="DK9" s="492"/>
      <c r="DL9" s="492"/>
      <c r="DM9" s="492"/>
      <c r="DN9" s="493">
        <f t="shared" ref="DN9:DN41" si="20">SUM(DB9:DM9)</f>
        <v>131.80199999999999</v>
      </c>
      <c r="DO9" s="656">
        <v>344.71</v>
      </c>
      <c r="DP9" s="492">
        <v>37.296999999999997</v>
      </c>
      <c r="DQ9" s="492">
        <v>11.266999999999999</v>
      </c>
      <c r="DR9" s="492">
        <v>1.7929999999999999</v>
      </c>
      <c r="DS9" s="492">
        <v>40.832000000000001</v>
      </c>
      <c r="DT9" s="492">
        <v>35.628</v>
      </c>
      <c r="DU9" s="492">
        <f>4.109+5.299</f>
        <v>9.4080000000000013</v>
      </c>
      <c r="DV9" s="492">
        <f>7.633+6.896</f>
        <v>14.529</v>
      </c>
      <c r="DW9" s="492">
        <v>372.75</v>
      </c>
      <c r="DX9" s="492">
        <v>778.56200000000001</v>
      </c>
      <c r="DY9" s="492">
        <v>37.823</v>
      </c>
      <c r="DZ9" s="492">
        <v>186.12</v>
      </c>
      <c r="EA9" s="493">
        <f t="shared" ref="EA9:EA41" si="21">SUM(DO9:DZ9)</f>
        <v>1870.7190000000001</v>
      </c>
      <c r="EB9" s="656">
        <v>29.009</v>
      </c>
      <c r="EC9" s="492">
        <v>45.877000000000002</v>
      </c>
      <c r="ED9" s="492"/>
      <c r="EE9" s="492"/>
      <c r="EF9" s="492">
        <v>21.202999999999999</v>
      </c>
      <c r="EG9" s="492">
        <v>57</v>
      </c>
      <c r="EH9" s="492">
        <v>15</v>
      </c>
      <c r="EI9" s="492">
        <v>93.515000000000001</v>
      </c>
      <c r="EJ9" s="492">
        <v>23.843</v>
      </c>
      <c r="EK9" s="492">
        <v>29</v>
      </c>
      <c r="EL9" s="492">
        <v>255</v>
      </c>
      <c r="EM9" s="492">
        <v>97</v>
      </c>
      <c r="EN9" s="493">
        <f t="shared" ref="EN9:EN41" si="22">SUM(EB9:EM9)</f>
        <v>666.447</v>
      </c>
      <c r="EO9" s="656"/>
      <c r="EP9" s="492"/>
      <c r="EQ9" s="492"/>
      <c r="ER9" s="492"/>
      <c r="ES9" s="492"/>
      <c r="ET9" s="492"/>
      <c r="EU9" s="492"/>
      <c r="EV9" s="492"/>
      <c r="EW9" s="492"/>
      <c r="EX9" s="492"/>
      <c r="EY9" s="492"/>
      <c r="EZ9" s="492"/>
      <c r="FA9" s="493">
        <f t="shared" ref="FA9:FA41" si="23">SUM(EO9:EZ9)</f>
        <v>0</v>
      </c>
      <c r="FC9" s="595">
        <f t="shared" ref="FC9:FC41" si="24">IFERROR(((
_xlfn.XLOOKUP((DATE(YEAR($FC$5),MONTH($FC$5),1)),UCA.ROLLIZA.DATE,$B9:$FA9) /
_xlfn.XLOOKUP((DATE(YEAR($FC$5)-1,MONTH($FC$5),1)),UCA.ROLLIZA.DATE,$B9:$FA9)
)-1)*100,"")</f>
        <v>-47.883086180958522</v>
      </c>
      <c r="FD9" s="596">
        <f t="shared" ref="FD9:FD40" si="25">IFERROR(((FF9/FE9)-1)*100,"")</f>
        <v>-64.374820590371939</v>
      </c>
      <c r="FE9" s="498">
        <f t="shared" ref="FE9:FE41" si="26">SUMIFS($B9:$FA9,UCA.ROLLIZA.DATE,"&gt;="&amp;DATE(YEAR($FC$5)-1,1,1),UCA.ROLLIZA.DATE,"&lt;="&amp;DATE(YEAR($FC$5)-1,MONTH($FC$5),1))</f>
        <v>1870.7190000000001</v>
      </c>
      <c r="FF9" s="597">
        <f t="shared" ref="FF9:FF41" si="27">SUMIFS($B9:$FA9,UCA.ROLLIZA.DATE,"&gt;="&amp;DATE(YEAR($FC$5),1,1),UCA.ROLLIZA.DATE,"&lt;="&amp;$FC$5)</f>
        <v>666.447</v>
      </c>
      <c r="FH9" s="551">
        <f t="shared" ref="FH9:FH40" si="28">SUM(B9:FA9)</f>
        <v>17208.358</v>
      </c>
      <c r="FI9" s="491" t="s">
        <v>101</v>
      </c>
      <c r="FJ9" s="554" t="str">
        <f t="shared" ref="FJ9:FJ40" si="29">IF(EXACT(A9,FI9)=TRUE,"OK","VER")</f>
        <v>OK</v>
      </c>
    </row>
    <row r="10" spans="1:166" ht="15" customHeight="1" x14ac:dyDescent="0.25">
      <c r="A10" s="610" t="s">
        <v>648</v>
      </c>
      <c r="B10" s="656">
        <v>403</v>
      </c>
      <c r="C10" s="492">
        <v>114</v>
      </c>
      <c r="D10" s="492">
        <v>943</v>
      </c>
      <c r="E10" s="492">
        <v>1689</v>
      </c>
      <c r="F10" s="492">
        <v>3705</v>
      </c>
      <c r="G10" s="492">
        <f>2059+641</f>
        <v>2700</v>
      </c>
      <c r="H10" s="492">
        <v>3544</v>
      </c>
      <c r="I10" s="492">
        <v>2330</v>
      </c>
      <c r="J10" s="492">
        <v>1577</v>
      </c>
      <c r="K10" s="492">
        <v>1695</v>
      </c>
      <c r="L10" s="492">
        <v>971</v>
      </c>
      <c r="M10" s="492">
        <v>1779</v>
      </c>
      <c r="N10" s="493">
        <f t="shared" si="12"/>
        <v>21450</v>
      </c>
      <c r="O10" s="656">
        <v>2037</v>
      </c>
      <c r="P10" s="492">
        <v>705</v>
      </c>
      <c r="Q10" s="492">
        <v>2100</v>
      </c>
      <c r="R10" s="492">
        <v>2062</v>
      </c>
      <c r="S10" s="492"/>
      <c r="T10" s="492">
        <f>846+250</f>
        <v>1096</v>
      </c>
      <c r="U10" s="492">
        <v>805</v>
      </c>
      <c r="V10" s="492">
        <v>789</v>
      </c>
      <c r="W10" s="492">
        <v>522</v>
      </c>
      <c r="X10" s="492">
        <v>827</v>
      </c>
      <c r="Y10" s="492">
        <v>875</v>
      </c>
      <c r="Z10" s="492">
        <v>313</v>
      </c>
      <c r="AA10" s="493">
        <f t="shared" si="13"/>
        <v>12131</v>
      </c>
      <c r="AB10" s="656">
        <v>189</v>
      </c>
      <c r="AC10" s="492">
        <v>1031</v>
      </c>
      <c r="AD10" s="492">
        <v>752</v>
      </c>
      <c r="AE10" s="492">
        <v>1018.004</v>
      </c>
      <c r="AF10" s="492">
        <v>950.00700000000006</v>
      </c>
      <c r="AG10" s="492">
        <v>1720</v>
      </c>
      <c r="AH10" s="492">
        <v>814</v>
      </c>
      <c r="AI10" s="492">
        <v>1401</v>
      </c>
      <c r="AJ10" s="492">
        <v>419</v>
      </c>
      <c r="AK10" s="492">
        <v>1061</v>
      </c>
      <c r="AL10" s="492">
        <v>664</v>
      </c>
      <c r="AM10" s="492">
        <v>891</v>
      </c>
      <c r="AN10" s="493">
        <f t="shared" si="14"/>
        <v>10910.011</v>
      </c>
      <c r="AO10" s="656">
        <v>654.11300000000006</v>
      </c>
      <c r="AP10" s="492">
        <v>385.50900000000001</v>
      </c>
      <c r="AQ10" s="492">
        <v>981.89999999999986</v>
      </c>
      <c r="AR10" s="492">
        <v>1706.3609999999999</v>
      </c>
      <c r="AS10" s="492">
        <v>315</v>
      </c>
      <c r="AT10" s="492">
        <v>462.38400000000001</v>
      </c>
      <c r="AU10" s="492">
        <v>385.4</v>
      </c>
      <c r="AV10" s="492">
        <v>1056.8510000000001</v>
      </c>
      <c r="AW10" s="492">
        <v>929.54</v>
      </c>
      <c r="AX10" s="492">
        <v>874.31500000000005</v>
      </c>
      <c r="AY10" s="492">
        <v>446.45200000000006</v>
      </c>
      <c r="AZ10" s="492">
        <v>1710.318</v>
      </c>
      <c r="BA10" s="493">
        <f t="shared" si="15"/>
        <v>9908.1429999999982</v>
      </c>
      <c r="BB10" s="656">
        <v>844.53300000000002</v>
      </c>
      <c r="BC10" s="492">
        <v>675.27199999999993</v>
      </c>
      <c r="BD10" s="492">
        <v>485.01300000000003</v>
      </c>
      <c r="BE10" s="492">
        <v>130.60300000000001</v>
      </c>
      <c r="BF10" s="492">
        <v>1719.1859999999999</v>
      </c>
      <c r="BG10" s="492">
        <v>840.36500000000001</v>
      </c>
      <c r="BH10" s="492">
        <v>1682.6479999999999</v>
      </c>
      <c r="BI10" s="492">
        <v>1170.2929999999999</v>
      </c>
      <c r="BJ10" s="492">
        <v>2277.828</v>
      </c>
      <c r="BK10" s="492">
        <v>1990.9469999999999</v>
      </c>
      <c r="BL10" s="492">
        <v>1230.96</v>
      </c>
      <c r="BM10" s="492">
        <v>1529.877</v>
      </c>
      <c r="BN10" s="493">
        <f t="shared" si="16"/>
        <v>14577.525000000001</v>
      </c>
      <c r="BO10" s="656">
        <v>353</v>
      </c>
      <c r="BP10" s="492"/>
      <c r="BQ10" s="492"/>
      <c r="BR10" s="492"/>
      <c r="BS10" s="492"/>
      <c r="BT10" s="492">
        <v>298</v>
      </c>
      <c r="BU10" s="492">
        <v>782</v>
      </c>
      <c r="BV10" s="492">
        <v>1211</v>
      </c>
      <c r="BW10" s="492">
        <v>935</v>
      </c>
      <c r="BX10" s="492"/>
      <c r="BY10" s="492"/>
      <c r="BZ10" s="492"/>
      <c r="CA10" s="493">
        <f t="shared" si="17"/>
        <v>3579</v>
      </c>
      <c r="CB10" s="656"/>
      <c r="CC10" s="492"/>
      <c r="CD10" s="492"/>
      <c r="CE10" s="492"/>
      <c r="CF10" s="492"/>
      <c r="CG10" s="492"/>
      <c r="CH10" s="492"/>
      <c r="CI10" s="492"/>
      <c r="CJ10" s="492"/>
      <c r="CK10" s="492">
        <v>92.55</v>
      </c>
      <c r="CL10" s="492"/>
      <c r="CM10" s="492"/>
      <c r="CN10" s="493">
        <f t="shared" si="18"/>
        <v>92.55</v>
      </c>
      <c r="CO10" s="656"/>
      <c r="CP10" s="492"/>
      <c r="CQ10" s="492"/>
      <c r="CR10" s="492"/>
      <c r="CS10" s="492"/>
      <c r="CT10" s="492"/>
      <c r="CU10" s="492"/>
      <c r="CV10" s="492">
        <v>53.002000000000002</v>
      </c>
      <c r="CW10" s="492"/>
      <c r="CX10" s="492"/>
      <c r="CY10" s="492"/>
      <c r="CZ10" s="492"/>
      <c r="DA10" s="493">
        <f t="shared" si="19"/>
        <v>53.002000000000002</v>
      </c>
      <c r="DB10" s="656"/>
      <c r="DC10" s="492"/>
      <c r="DD10" s="492"/>
      <c r="DE10" s="492"/>
      <c r="DF10" s="492">
        <v>106.45</v>
      </c>
      <c r="DG10" s="492">
        <v>1638.393</v>
      </c>
      <c r="DH10" s="492">
        <v>1084</v>
      </c>
      <c r="DI10" s="492">
        <v>1378.386</v>
      </c>
      <c r="DJ10" s="492">
        <v>1249.203</v>
      </c>
      <c r="DK10" s="492">
        <v>1090.2529999999999</v>
      </c>
      <c r="DL10" s="492">
        <v>1284.0920000000001</v>
      </c>
      <c r="DM10" s="492">
        <v>1741</v>
      </c>
      <c r="DN10" s="493">
        <f t="shared" si="20"/>
        <v>9571.7769999999982</v>
      </c>
      <c r="DO10" s="656">
        <v>736.197</v>
      </c>
      <c r="DP10" s="492">
        <v>1326.3040000000001</v>
      </c>
      <c r="DQ10" s="492">
        <v>1862.7850000000001</v>
      </c>
      <c r="DR10" s="492">
        <v>1167.396</v>
      </c>
      <c r="DS10" s="492">
        <v>1371.0730000000001</v>
      </c>
      <c r="DT10" s="492">
        <v>1851.4970000000001</v>
      </c>
      <c r="DU10" s="492">
        <v>200.017</v>
      </c>
      <c r="DV10" s="492">
        <f>1340.314+740.059</f>
        <v>2080.373</v>
      </c>
      <c r="DW10" s="492"/>
      <c r="DX10" s="492">
        <v>1303.5509999999999</v>
      </c>
      <c r="DY10" s="492">
        <v>961.67700000000002</v>
      </c>
      <c r="DZ10" s="492">
        <v>534.20299999999997</v>
      </c>
      <c r="EA10" s="493">
        <f t="shared" si="21"/>
        <v>13395.072999999999</v>
      </c>
      <c r="EB10" s="656">
        <v>1117.386</v>
      </c>
      <c r="EC10" s="492">
        <v>621.81600000000003</v>
      </c>
      <c r="ED10" s="492">
        <v>210.58700000000002</v>
      </c>
      <c r="EE10" s="492">
        <v>2016.6310000000003</v>
      </c>
      <c r="EF10" s="492">
        <v>452.22199999999998</v>
      </c>
      <c r="EG10" s="492">
        <v>1062.538</v>
      </c>
      <c r="EH10" s="492">
        <v>1052.653</v>
      </c>
      <c r="EI10" s="492">
        <v>431.26600000000002</v>
      </c>
      <c r="EJ10" s="492">
        <v>888.63499999999999</v>
      </c>
      <c r="EK10" s="492">
        <v>117.22500000000001</v>
      </c>
      <c r="EL10" s="492">
        <v>398.42</v>
      </c>
      <c r="EM10" s="492">
        <v>737.46499999999992</v>
      </c>
      <c r="EN10" s="493">
        <f t="shared" si="22"/>
        <v>9106.844000000001</v>
      </c>
      <c r="EO10" s="656"/>
      <c r="EP10" s="492"/>
      <c r="EQ10" s="492"/>
      <c r="ER10" s="492"/>
      <c r="ES10" s="492"/>
      <c r="ET10" s="492"/>
      <c r="EU10" s="492"/>
      <c r="EV10" s="492"/>
      <c r="EW10" s="492"/>
      <c r="EX10" s="492"/>
      <c r="EY10" s="492"/>
      <c r="EZ10" s="492"/>
      <c r="FA10" s="493">
        <f t="shared" si="23"/>
        <v>0</v>
      </c>
      <c r="FC10" s="560">
        <f t="shared" si="24"/>
        <v>38.049580402955428</v>
      </c>
      <c r="FD10" s="561">
        <f t="shared" si="25"/>
        <v>-32.013479881744566</v>
      </c>
      <c r="FE10" s="562">
        <f t="shared" si="26"/>
        <v>13395.072999999999</v>
      </c>
      <c r="FF10" s="665">
        <f t="shared" si="27"/>
        <v>9106.844000000001</v>
      </c>
      <c r="FH10" s="551">
        <f t="shared" si="28"/>
        <v>209549.85000000006</v>
      </c>
      <c r="FI10" s="491" t="s">
        <v>648</v>
      </c>
      <c r="FJ10" s="554" t="str">
        <f t="shared" si="29"/>
        <v>OK</v>
      </c>
    </row>
    <row r="11" spans="1:166" ht="15" customHeight="1" x14ac:dyDescent="0.25">
      <c r="A11" s="610" t="s">
        <v>147</v>
      </c>
      <c r="B11" s="656">
        <v>1170.8809999999999</v>
      </c>
      <c r="C11" s="492">
        <v>526.04300000000001</v>
      </c>
      <c r="D11" s="492">
        <v>650</v>
      </c>
      <c r="E11" s="492">
        <v>855</v>
      </c>
      <c r="F11" s="492">
        <v>392</v>
      </c>
      <c r="G11" s="492">
        <v>1006</v>
      </c>
      <c r="H11" s="492">
        <v>813</v>
      </c>
      <c r="I11" s="492">
        <v>2114</v>
      </c>
      <c r="J11" s="492">
        <v>3951</v>
      </c>
      <c r="K11" s="492">
        <v>2240</v>
      </c>
      <c r="L11" s="492">
        <v>1748</v>
      </c>
      <c r="M11" s="492">
        <v>2477</v>
      </c>
      <c r="N11" s="493">
        <f t="shared" si="12"/>
        <v>17942.923999999999</v>
      </c>
      <c r="O11" s="656">
        <v>2379</v>
      </c>
      <c r="P11" s="492">
        <v>2544</v>
      </c>
      <c r="Q11" s="492">
        <v>1763</v>
      </c>
      <c r="R11" s="492">
        <v>2473</v>
      </c>
      <c r="S11" s="492">
        <v>230</v>
      </c>
      <c r="T11" s="492"/>
      <c r="U11" s="492"/>
      <c r="V11" s="492">
        <v>451</v>
      </c>
      <c r="W11" s="492">
        <v>5538</v>
      </c>
      <c r="X11" s="492">
        <v>4242</v>
      </c>
      <c r="Y11" s="492">
        <v>3816</v>
      </c>
      <c r="Z11" s="492">
        <v>1245</v>
      </c>
      <c r="AA11" s="493">
        <f t="shared" si="13"/>
        <v>24681</v>
      </c>
      <c r="AB11" s="656">
        <v>4257</v>
      </c>
      <c r="AC11" s="492">
        <v>1603</v>
      </c>
      <c r="AD11" s="492">
        <v>423</v>
      </c>
      <c r="AE11" s="492">
        <v>649.61599999999999</v>
      </c>
      <c r="AF11" s="492">
        <v>463.38499999999999</v>
      </c>
      <c r="AG11" s="492">
        <v>13</v>
      </c>
      <c r="AH11" s="492">
        <v>259</v>
      </c>
      <c r="AI11" s="492">
        <v>2286</v>
      </c>
      <c r="AJ11" s="492">
        <v>8709</v>
      </c>
      <c r="AK11" s="492">
        <v>3631</v>
      </c>
      <c r="AL11" s="492">
        <v>5876</v>
      </c>
      <c r="AM11" s="492">
        <v>2223</v>
      </c>
      <c r="AN11" s="493">
        <f t="shared" si="14"/>
        <v>30393.001</v>
      </c>
      <c r="AO11" s="656">
        <v>5119</v>
      </c>
      <c r="AP11" s="492">
        <v>2798</v>
      </c>
      <c r="AQ11" s="492">
        <v>2187</v>
      </c>
      <c r="AR11" s="492">
        <v>1264</v>
      </c>
      <c r="AS11" s="492">
        <v>1757</v>
      </c>
      <c r="AT11" s="492">
        <v>515</v>
      </c>
      <c r="AU11" s="492">
        <v>809</v>
      </c>
      <c r="AV11" s="492">
        <v>2122</v>
      </c>
      <c r="AW11" s="492">
        <v>2353</v>
      </c>
      <c r="AX11" s="492">
        <v>3224</v>
      </c>
      <c r="AY11" s="492">
        <v>4281.3540000000003</v>
      </c>
      <c r="AZ11" s="492">
        <v>2987.308</v>
      </c>
      <c r="BA11" s="493">
        <f t="shared" si="15"/>
        <v>29416.662</v>
      </c>
      <c r="BB11" s="656">
        <v>1759</v>
      </c>
      <c r="BC11" s="492">
        <v>617</v>
      </c>
      <c r="BD11" s="492">
        <v>556</v>
      </c>
      <c r="BE11" s="492">
        <v>2841.2330000000002</v>
      </c>
      <c r="BF11" s="492">
        <v>1993.373</v>
      </c>
      <c r="BG11" s="492">
        <v>1638.752</v>
      </c>
      <c r="BH11" s="492">
        <v>2810.3029999999999</v>
      </c>
      <c r="BI11" s="492">
        <v>3430.4569999999999</v>
      </c>
      <c r="BJ11" s="492">
        <v>7723.7190000000001</v>
      </c>
      <c r="BK11" s="492">
        <v>11075.746999999999</v>
      </c>
      <c r="BL11" s="492">
        <v>13019.82</v>
      </c>
      <c r="BM11" s="492">
        <v>8221.1049999999996</v>
      </c>
      <c r="BN11" s="493">
        <f t="shared" si="16"/>
        <v>55686.509000000005</v>
      </c>
      <c r="BO11" s="656">
        <v>8617</v>
      </c>
      <c r="BP11" s="492">
        <v>4974</v>
      </c>
      <c r="BQ11" s="492">
        <v>2927</v>
      </c>
      <c r="BR11" s="492"/>
      <c r="BS11" s="492"/>
      <c r="BT11" s="492">
        <v>3538</v>
      </c>
      <c r="BU11" s="492">
        <v>2486</v>
      </c>
      <c r="BV11" s="492">
        <f>4779+2172+241</f>
        <v>7192</v>
      </c>
      <c r="BW11" s="492">
        <f>7624+2167+454</f>
        <v>10245</v>
      </c>
      <c r="BX11" s="492"/>
      <c r="BY11" s="492"/>
      <c r="BZ11" s="492">
        <v>434.30200000000002</v>
      </c>
      <c r="CA11" s="493">
        <f t="shared" si="17"/>
        <v>40413.302000000003</v>
      </c>
      <c r="CB11" s="656"/>
      <c r="CC11" s="492"/>
      <c r="CD11" s="492"/>
      <c r="CE11" s="492"/>
      <c r="CF11" s="492">
        <v>339.51100000000002</v>
      </c>
      <c r="CG11" s="492"/>
      <c r="CH11" s="492">
        <v>14.365</v>
      </c>
      <c r="CI11" s="492"/>
      <c r="CJ11" s="492"/>
      <c r="CK11" s="492"/>
      <c r="CL11" s="492"/>
      <c r="CM11" s="492"/>
      <c r="CN11" s="493">
        <f t="shared" si="18"/>
        <v>353.87600000000003</v>
      </c>
      <c r="CO11" s="656">
        <v>328.23200000000003</v>
      </c>
      <c r="CP11" s="492"/>
      <c r="CQ11" s="492"/>
      <c r="CR11" s="492"/>
      <c r="CS11" s="492">
        <v>22.606000000000002</v>
      </c>
      <c r="CT11" s="492"/>
      <c r="CU11" s="492"/>
      <c r="CV11" s="492">
        <v>38.667000000000002</v>
      </c>
      <c r="CW11" s="492">
        <v>161.21199999999999</v>
      </c>
      <c r="CX11" s="492">
        <v>130.17599999999999</v>
      </c>
      <c r="CY11" s="492">
        <v>939.947</v>
      </c>
      <c r="CZ11" s="492">
        <v>76.570999999999998</v>
      </c>
      <c r="DA11" s="493">
        <f t="shared" si="19"/>
        <v>1697.4110000000001</v>
      </c>
      <c r="DB11" s="656">
        <f>236.379+8.695</f>
        <v>245.07399999999998</v>
      </c>
      <c r="DC11" s="492">
        <f>572.59+9.593</f>
        <v>582.18299999999999</v>
      </c>
      <c r="DD11" s="492"/>
      <c r="DE11" s="492">
        <v>249.91300000000001</v>
      </c>
      <c r="DF11" s="492">
        <v>1764.3240000000001</v>
      </c>
      <c r="DG11" s="492">
        <f>424+208</f>
        <v>632</v>
      </c>
      <c r="DH11" s="492">
        <f>914+214</f>
        <v>1128</v>
      </c>
      <c r="DI11" s="492">
        <f>3296.958+260.475</f>
        <v>3557.433</v>
      </c>
      <c r="DJ11" s="492">
        <f>2907.757+413.576</f>
        <v>3321.3330000000001</v>
      </c>
      <c r="DK11" s="492">
        <f>1846.871+125.711</f>
        <v>1972.5820000000001</v>
      </c>
      <c r="DL11" s="492">
        <f>2391.06+38.862</f>
        <v>2429.922</v>
      </c>
      <c r="DM11" s="492">
        <v>4103.4930000000004</v>
      </c>
      <c r="DN11" s="493">
        <f t="shared" si="20"/>
        <v>19986.257000000001</v>
      </c>
      <c r="DO11" s="656">
        <f>811.329+212.997</f>
        <v>1024.326</v>
      </c>
      <c r="DP11" s="492">
        <v>666.24800000000005</v>
      </c>
      <c r="DQ11" s="492">
        <f>1775.236+99.342</f>
        <v>1874.5780000000002</v>
      </c>
      <c r="DR11" s="492">
        <v>101.434</v>
      </c>
      <c r="DS11" s="492">
        <v>1052.4380000000001</v>
      </c>
      <c r="DT11" s="492">
        <f>11.954+4.413</f>
        <v>16.367000000000001</v>
      </c>
      <c r="DU11" s="492">
        <v>1206.8219999999999</v>
      </c>
      <c r="DV11" s="492">
        <f>1760.576+144.27</f>
        <v>1904.846</v>
      </c>
      <c r="DW11" s="492">
        <f>2588.565+76.87</f>
        <v>2665.4349999999999</v>
      </c>
      <c r="DX11" s="492">
        <v>5863.6260000000002</v>
      </c>
      <c r="DY11" s="492">
        <v>6399.9870000000001</v>
      </c>
      <c r="DZ11" s="492">
        <v>5816.0659999999998</v>
      </c>
      <c r="EA11" s="493">
        <f t="shared" si="21"/>
        <v>28592.172999999999</v>
      </c>
      <c r="EB11" s="656">
        <v>3111</v>
      </c>
      <c r="EC11" s="492">
        <v>1488</v>
      </c>
      <c r="ED11" s="492">
        <v>18</v>
      </c>
      <c r="EE11" s="492">
        <v>2406.6509999999998</v>
      </c>
      <c r="EF11" s="492">
        <v>1141.6679999999999</v>
      </c>
      <c r="EG11" s="492">
        <v>61.25</v>
      </c>
      <c r="EH11" s="492">
        <v>446</v>
      </c>
      <c r="EI11" s="492">
        <v>4839</v>
      </c>
      <c r="EJ11" s="492">
        <v>2421</v>
      </c>
      <c r="EK11" s="492">
        <v>6591</v>
      </c>
      <c r="EL11" s="492">
        <v>10288</v>
      </c>
      <c r="EM11" s="492">
        <v>11008</v>
      </c>
      <c r="EN11" s="493">
        <f t="shared" si="22"/>
        <v>43819.569000000003</v>
      </c>
      <c r="EO11" s="656"/>
      <c r="EP11" s="492"/>
      <c r="EQ11" s="492"/>
      <c r="ER11" s="492"/>
      <c r="ES11" s="492"/>
      <c r="ET11" s="492"/>
      <c r="EU11" s="492"/>
      <c r="EV11" s="492"/>
      <c r="EW11" s="492"/>
      <c r="EX11" s="492"/>
      <c r="EY11" s="492"/>
      <c r="EZ11" s="492"/>
      <c r="FA11" s="493">
        <f t="shared" si="23"/>
        <v>0</v>
      </c>
      <c r="FC11" s="595">
        <f t="shared" si="24"/>
        <v>89.26882879252058</v>
      </c>
      <c r="FD11" s="596">
        <f t="shared" si="25"/>
        <v>53.257218330345182</v>
      </c>
      <c r="FE11" s="498">
        <f t="shared" si="26"/>
        <v>28592.172999999999</v>
      </c>
      <c r="FF11" s="597">
        <f t="shared" si="27"/>
        <v>43819.569000000003</v>
      </c>
      <c r="FH11" s="551">
        <f t="shared" si="28"/>
        <v>585965.36800000025</v>
      </c>
      <c r="FI11" s="491" t="s">
        <v>147</v>
      </c>
      <c r="FJ11" s="554" t="str">
        <f t="shared" si="29"/>
        <v>OK</v>
      </c>
    </row>
    <row r="12" spans="1:166" ht="15" customHeight="1" x14ac:dyDescent="0.25">
      <c r="A12" s="610" t="s">
        <v>51</v>
      </c>
      <c r="B12" s="656"/>
      <c r="C12" s="492"/>
      <c r="D12" s="492"/>
      <c r="E12" s="492"/>
      <c r="F12" s="492"/>
      <c r="G12" s="492"/>
      <c r="H12" s="492"/>
      <c r="I12" s="492"/>
      <c r="J12" s="492">
        <v>69</v>
      </c>
      <c r="K12" s="492"/>
      <c r="L12" s="492"/>
      <c r="M12" s="492"/>
      <c r="N12" s="493">
        <f t="shared" si="12"/>
        <v>69</v>
      </c>
      <c r="O12" s="656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3">
        <f t="shared" si="13"/>
        <v>0</v>
      </c>
      <c r="AB12" s="656"/>
      <c r="AC12" s="492"/>
      <c r="AD12" s="492"/>
      <c r="AE12" s="492"/>
      <c r="AF12" s="492"/>
      <c r="AG12" s="492"/>
      <c r="AH12" s="492"/>
      <c r="AI12" s="492"/>
      <c r="AJ12" s="492"/>
      <c r="AK12" s="492"/>
      <c r="AL12" s="492"/>
      <c r="AM12" s="492"/>
      <c r="AN12" s="493">
        <f t="shared" si="14"/>
        <v>0</v>
      </c>
      <c r="AO12" s="656"/>
      <c r="AP12" s="492"/>
      <c r="AQ12" s="492"/>
      <c r="AR12" s="492"/>
      <c r="AS12" s="492"/>
      <c r="AT12" s="492"/>
      <c r="AU12" s="492"/>
      <c r="AV12" s="492"/>
      <c r="AW12" s="492"/>
      <c r="AX12" s="492"/>
      <c r="AY12" s="492"/>
      <c r="AZ12" s="492"/>
      <c r="BA12" s="493">
        <f t="shared" si="15"/>
        <v>0</v>
      </c>
      <c r="BB12" s="656"/>
      <c r="BC12" s="492"/>
      <c r="BD12" s="492"/>
      <c r="BE12" s="492"/>
      <c r="BF12" s="492"/>
      <c r="BG12" s="492"/>
      <c r="BH12" s="492"/>
      <c r="BI12" s="492"/>
      <c r="BJ12" s="492"/>
      <c r="BK12" s="492"/>
      <c r="BL12" s="492"/>
      <c r="BM12" s="492"/>
      <c r="BN12" s="493">
        <f t="shared" si="16"/>
        <v>0</v>
      </c>
      <c r="BO12" s="656"/>
      <c r="BP12" s="492"/>
      <c r="BQ12" s="492"/>
      <c r="BR12" s="492"/>
      <c r="BS12" s="492"/>
      <c r="BT12" s="492"/>
      <c r="BU12" s="492"/>
      <c r="BV12" s="492"/>
      <c r="BW12" s="492"/>
      <c r="BX12" s="492"/>
      <c r="BY12" s="492"/>
      <c r="BZ12" s="492"/>
      <c r="CA12" s="493">
        <f t="shared" si="17"/>
        <v>0</v>
      </c>
      <c r="CB12" s="656"/>
      <c r="CC12" s="492"/>
      <c r="CD12" s="492"/>
      <c r="CE12" s="492"/>
      <c r="CF12" s="492"/>
      <c r="CG12" s="492"/>
      <c r="CH12" s="492"/>
      <c r="CI12" s="492"/>
      <c r="CJ12" s="492"/>
      <c r="CK12" s="492"/>
      <c r="CL12" s="492"/>
      <c r="CM12" s="492"/>
      <c r="CN12" s="493">
        <f t="shared" si="18"/>
        <v>0</v>
      </c>
      <c r="CO12" s="656"/>
      <c r="CP12" s="492"/>
      <c r="CQ12" s="492"/>
      <c r="CR12" s="492"/>
      <c r="CS12" s="492"/>
      <c r="CT12" s="492"/>
      <c r="CU12" s="492"/>
      <c r="CV12" s="492"/>
      <c r="CW12" s="492"/>
      <c r="CX12" s="492"/>
      <c r="CY12" s="492"/>
      <c r="CZ12" s="492"/>
      <c r="DA12" s="493">
        <f t="shared" si="19"/>
        <v>0</v>
      </c>
      <c r="DB12" s="656"/>
      <c r="DC12" s="492"/>
      <c r="DD12" s="492"/>
      <c r="DE12" s="492"/>
      <c r="DF12" s="492"/>
      <c r="DG12" s="492"/>
      <c r="DH12" s="492"/>
      <c r="DI12" s="492"/>
      <c r="DJ12" s="492"/>
      <c r="DK12" s="492"/>
      <c r="DL12" s="492"/>
      <c r="DM12" s="492"/>
      <c r="DN12" s="493">
        <f t="shared" si="20"/>
        <v>0</v>
      </c>
      <c r="DO12" s="656"/>
      <c r="DP12" s="492"/>
      <c r="DQ12" s="492"/>
      <c r="DR12" s="492"/>
      <c r="DS12" s="492"/>
      <c r="DT12" s="492"/>
      <c r="DU12" s="492"/>
      <c r="DV12" s="492"/>
      <c r="DW12" s="492"/>
      <c r="DX12" s="492"/>
      <c r="DY12" s="492"/>
      <c r="DZ12" s="492"/>
      <c r="EA12" s="493">
        <f t="shared" si="21"/>
        <v>0</v>
      </c>
      <c r="EB12" s="656"/>
      <c r="EC12" s="492"/>
      <c r="ED12" s="492"/>
      <c r="EE12" s="492"/>
      <c r="EF12" s="492"/>
      <c r="EG12" s="492"/>
      <c r="EH12" s="492"/>
      <c r="EI12" s="492"/>
      <c r="EJ12" s="492"/>
      <c r="EK12" s="492"/>
      <c r="EL12" s="492"/>
      <c r="EM12" s="492"/>
      <c r="EN12" s="493">
        <f t="shared" si="22"/>
        <v>0</v>
      </c>
      <c r="EO12" s="656"/>
      <c r="EP12" s="492"/>
      <c r="EQ12" s="492"/>
      <c r="ER12" s="492"/>
      <c r="ES12" s="492"/>
      <c r="ET12" s="492"/>
      <c r="EU12" s="492"/>
      <c r="EV12" s="492"/>
      <c r="EW12" s="492"/>
      <c r="EX12" s="492"/>
      <c r="EY12" s="492"/>
      <c r="EZ12" s="492"/>
      <c r="FA12" s="493">
        <f t="shared" si="23"/>
        <v>0</v>
      </c>
      <c r="FC12" s="549" t="str">
        <f t="shared" si="24"/>
        <v/>
      </c>
      <c r="FD12" s="550" t="str">
        <f t="shared" si="25"/>
        <v/>
      </c>
      <c r="FE12" s="551">
        <f t="shared" si="26"/>
        <v>0</v>
      </c>
      <c r="FF12" s="552">
        <f t="shared" si="27"/>
        <v>0</v>
      </c>
      <c r="FH12" s="551">
        <f t="shared" si="28"/>
        <v>138</v>
      </c>
      <c r="FI12" s="491" t="s">
        <v>51</v>
      </c>
      <c r="FJ12" s="554" t="str">
        <f t="shared" si="29"/>
        <v>OK</v>
      </c>
    </row>
    <row r="13" spans="1:166" ht="15" customHeight="1" x14ac:dyDescent="0.25">
      <c r="A13" s="610" t="s">
        <v>52</v>
      </c>
      <c r="B13" s="656"/>
      <c r="C13" s="492"/>
      <c r="D13" s="492">
        <v>30</v>
      </c>
      <c r="E13" s="492"/>
      <c r="F13" s="492"/>
      <c r="G13" s="492">
        <v>20</v>
      </c>
      <c r="H13" s="492">
        <v>22</v>
      </c>
      <c r="I13" s="492"/>
      <c r="J13" s="492">
        <v>49</v>
      </c>
      <c r="K13" s="492">
        <v>65</v>
      </c>
      <c r="L13" s="492"/>
      <c r="M13" s="492"/>
      <c r="N13" s="493">
        <f t="shared" si="12"/>
        <v>186</v>
      </c>
      <c r="O13" s="656"/>
      <c r="P13" s="492"/>
      <c r="Q13" s="492"/>
      <c r="R13" s="492"/>
      <c r="S13" s="492"/>
      <c r="T13" s="492"/>
      <c r="U13" s="492">
        <v>10</v>
      </c>
      <c r="V13" s="492">
        <v>17</v>
      </c>
      <c r="W13" s="492">
        <v>313</v>
      </c>
      <c r="X13" s="492">
        <v>12</v>
      </c>
      <c r="Y13" s="492"/>
      <c r="Z13" s="492">
        <v>426</v>
      </c>
      <c r="AA13" s="493">
        <f t="shared" si="13"/>
        <v>778</v>
      </c>
      <c r="AB13" s="656">
        <v>5</v>
      </c>
      <c r="AC13" s="492">
        <v>8</v>
      </c>
      <c r="AD13" s="492">
        <v>29</v>
      </c>
      <c r="AE13" s="492">
        <v>5.21</v>
      </c>
      <c r="AF13" s="492">
        <v>21.130000000000003</v>
      </c>
      <c r="AG13" s="492">
        <v>93</v>
      </c>
      <c r="AH13" s="492">
        <v>42</v>
      </c>
      <c r="AI13" s="492">
        <v>645</v>
      </c>
      <c r="AJ13" s="492">
        <v>689</v>
      </c>
      <c r="AK13" s="492">
        <v>11122</v>
      </c>
      <c r="AL13" s="492">
        <v>14651</v>
      </c>
      <c r="AM13" s="492">
        <v>12618</v>
      </c>
      <c r="AN13" s="493">
        <f t="shared" si="14"/>
        <v>39928.339999999997</v>
      </c>
      <c r="AO13" s="656">
        <v>8523.1200000000008</v>
      </c>
      <c r="AP13" s="492">
        <v>4.1259999999999994</v>
      </c>
      <c r="AQ13" s="492">
        <v>485.41999999999996</v>
      </c>
      <c r="AR13" s="492">
        <v>331.303</v>
      </c>
      <c r="AS13" s="492">
        <v>143.82400000000001</v>
      </c>
      <c r="AT13" s="492">
        <v>102.57</v>
      </c>
      <c r="AU13" s="492">
        <v>13.07</v>
      </c>
      <c r="AV13" s="492">
        <v>122.303</v>
      </c>
      <c r="AW13" s="492">
        <v>79.555000000000007</v>
      </c>
      <c r="AX13" s="492">
        <v>7.569</v>
      </c>
      <c r="AY13" s="492">
        <v>67.282000000000011</v>
      </c>
      <c r="AZ13" s="492">
        <v>460.61399999999998</v>
      </c>
      <c r="BA13" s="493">
        <f t="shared" si="15"/>
        <v>10340.755999999999</v>
      </c>
      <c r="BB13" s="656">
        <v>248.73599999999999</v>
      </c>
      <c r="BC13" s="492">
        <v>99.997</v>
      </c>
      <c r="BD13" s="492">
        <v>267.66899999999998</v>
      </c>
      <c r="BE13" s="492">
        <v>231.374</v>
      </c>
      <c r="BF13" s="492">
        <v>706.56600000000003</v>
      </c>
      <c r="BG13" s="492">
        <v>1625.7919999999999</v>
      </c>
      <c r="BH13" s="492">
        <v>1160.269</v>
      </c>
      <c r="BI13" s="492">
        <v>978.53700000000015</v>
      </c>
      <c r="BJ13" s="492">
        <v>1299.44</v>
      </c>
      <c r="BK13" s="492">
        <v>932.31399999999996</v>
      </c>
      <c r="BL13" s="492">
        <v>2958.4189999999999</v>
      </c>
      <c r="BM13" s="492">
        <v>1955.8630000000001</v>
      </c>
      <c r="BN13" s="493">
        <f t="shared" si="16"/>
        <v>12464.976000000001</v>
      </c>
      <c r="BO13" s="656">
        <v>503</v>
      </c>
      <c r="BP13" s="492">
        <v>2277</v>
      </c>
      <c r="BQ13" s="492">
        <v>1563</v>
      </c>
      <c r="BR13" s="492"/>
      <c r="BS13" s="492"/>
      <c r="BT13" s="492">
        <v>146</v>
      </c>
      <c r="BU13" s="492">
        <v>30</v>
      </c>
      <c r="BV13" s="492">
        <v>662</v>
      </c>
      <c r="BW13" s="492"/>
      <c r="BX13" s="492"/>
      <c r="BY13" s="492"/>
      <c r="BZ13" s="492"/>
      <c r="CA13" s="493">
        <f t="shared" si="17"/>
        <v>5181</v>
      </c>
      <c r="CB13" s="656"/>
      <c r="CC13" s="492">
        <v>33.156999999999996</v>
      </c>
      <c r="CD13" s="492">
        <v>21.503</v>
      </c>
      <c r="CE13" s="492"/>
      <c r="CF13" s="492"/>
      <c r="CG13" s="492">
        <v>2.661</v>
      </c>
      <c r="CH13" s="492">
        <v>5.9359999999999999</v>
      </c>
      <c r="CI13" s="492"/>
      <c r="CJ13" s="492"/>
      <c r="CK13" s="492"/>
      <c r="CL13" s="492"/>
      <c r="CM13" s="492"/>
      <c r="CN13" s="493">
        <f t="shared" si="18"/>
        <v>63.256999999999998</v>
      </c>
      <c r="CO13" s="656">
        <v>257.22000000000003</v>
      </c>
      <c r="CP13" s="492">
        <v>180.64599999999999</v>
      </c>
      <c r="CQ13" s="492"/>
      <c r="CR13" s="492"/>
      <c r="CS13" s="492">
        <v>3.9449999999999998</v>
      </c>
      <c r="CT13" s="492">
        <v>25.280999999999999</v>
      </c>
      <c r="CU13" s="492"/>
      <c r="CV13" s="492"/>
      <c r="CW13" s="492"/>
      <c r="CX13" s="492"/>
      <c r="CY13" s="492"/>
      <c r="CZ13" s="492"/>
      <c r="DA13" s="493">
        <f t="shared" si="19"/>
        <v>467.09199999999998</v>
      </c>
      <c r="DB13" s="656"/>
      <c r="DC13" s="492"/>
      <c r="DD13" s="492"/>
      <c r="DE13" s="492"/>
      <c r="DF13" s="492">
        <v>100</v>
      </c>
      <c r="DG13" s="492">
        <v>99.816999999999993</v>
      </c>
      <c r="DH13" s="492">
        <v>283</v>
      </c>
      <c r="DI13" s="492">
        <v>147.833</v>
      </c>
      <c r="DJ13" s="492">
        <v>206.21</v>
      </c>
      <c r="DK13" s="492">
        <v>339.60399999999998</v>
      </c>
      <c r="DL13" s="492">
        <v>255.703</v>
      </c>
      <c r="DM13" s="492">
        <v>353.995</v>
      </c>
      <c r="DN13" s="493">
        <f t="shared" si="20"/>
        <v>1786.1619999999998</v>
      </c>
      <c r="DO13" s="656"/>
      <c r="DP13" s="492"/>
      <c r="DQ13" s="492"/>
      <c r="DR13" s="492"/>
      <c r="DS13" s="492">
        <v>155.982</v>
      </c>
      <c r="DT13" s="492"/>
      <c r="DU13" s="492"/>
      <c r="DV13" s="492">
        <v>37.944000000000003</v>
      </c>
      <c r="DW13" s="492"/>
      <c r="DX13" s="492">
        <v>235.72</v>
      </c>
      <c r="DY13" s="492">
        <v>381.53199999999998</v>
      </c>
      <c r="DZ13" s="492">
        <v>137.596</v>
      </c>
      <c r="EA13" s="493">
        <f t="shared" si="21"/>
        <v>948.77399999999989</v>
      </c>
      <c r="EB13" s="656">
        <v>227.13500000000002</v>
      </c>
      <c r="EC13" s="492">
        <v>530.12099999999998</v>
      </c>
      <c r="ED13" s="492">
        <v>93.498000000000005</v>
      </c>
      <c r="EE13" s="492">
        <v>91.426000000000002</v>
      </c>
      <c r="EF13" s="492"/>
      <c r="EG13" s="492">
        <v>775.75599999999997</v>
      </c>
      <c r="EH13" s="492">
        <v>665.39399999999989</v>
      </c>
      <c r="EI13" s="492">
        <v>11.040999999999999</v>
      </c>
      <c r="EJ13" s="492">
        <v>720.82400000000007</v>
      </c>
      <c r="EK13" s="492">
        <v>442.58299999999997</v>
      </c>
      <c r="EL13" s="492">
        <v>0.48392857142857143</v>
      </c>
      <c r="EM13" s="492">
        <v>24.341999999999999</v>
      </c>
      <c r="EN13" s="493">
        <f t="shared" si="22"/>
        <v>3582.6039285714287</v>
      </c>
      <c r="EO13" s="656"/>
      <c r="EP13" s="492"/>
      <c r="EQ13" s="492"/>
      <c r="ER13" s="492"/>
      <c r="ES13" s="492"/>
      <c r="ET13" s="492"/>
      <c r="EU13" s="492"/>
      <c r="EV13" s="492"/>
      <c r="EW13" s="492"/>
      <c r="EX13" s="492"/>
      <c r="EY13" s="492"/>
      <c r="EZ13" s="492"/>
      <c r="FA13" s="493">
        <f t="shared" si="23"/>
        <v>0</v>
      </c>
      <c r="FC13" s="595">
        <f t="shared" si="24"/>
        <v>-82.309078752289309</v>
      </c>
      <c r="FD13" s="596">
        <f t="shared" si="25"/>
        <v>277.60351027446256</v>
      </c>
      <c r="FE13" s="498">
        <f t="shared" si="26"/>
        <v>948.77399999999989</v>
      </c>
      <c r="FF13" s="597">
        <f t="shared" si="27"/>
        <v>3582.6039285714287</v>
      </c>
      <c r="FH13" s="551">
        <f t="shared" si="28"/>
        <v>151453.92185714285</v>
      </c>
      <c r="FI13" s="491" t="s">
        <v>52</v>
      </c>
      <c r="FJ13" s="554" t="str">
        <f t="shared" si="29"/>
        <v>OK</v>
      </c>
    </row>
    <row r="14" spans="1:166" ht="15" customHeight="1" x14ac:dyDescent="0.25">
      <c r="A14" s="610" t="s">
        <v>53</v>
      </c>
      <c r="B14" s="656">
        <v>160</v>
      </c>
      <c r="C14" s="492">
        <v>148.518</v>
      </c>
      <c r="D14" s="492">
        <v>81</v>
      </c>
      <c r="E14" s="492">
        <v>13</v>
      </c>
      <c r="F14" s="492"/>
      <c r="G14" s="492"/>
      <c r="H14" s="492"/>
      <c r="I14" s="492"/>
      <c r="J14" s="492"/>
      <c r="K14" s="492">
        <v>47</v>
      </c>
      <c r="L14" s="492"/>
      <c r="M14" s="492"/>
      <c r="N14" s="493">
        <f t="shared" si="12"/>
        <v>449.51800000000003</v>
      </c>
      <c r="O14" s="656">
        <v>56</v>
      </c>
      <c r="P14" s="492">
        <v>60</v>
      </c>
      <c r="Q14" s="492"/>
      <c r="R14" s="492"/>
      <c r="S14" s="492">
        <v>17</v>
      </c>
      <c r="T14" s="492"/>
      <c r="U14" s="492">
        <v>62</v>
      </c>
      <c r="V14" s="492"/>
      <c r="W14" s="492">
        <v>690</v>
      </c>
      <c r="X14" s="492">
        <v>110</v>
      </c>
      <c r="Y14" s="492">
        <v>6</v>
      </c>
      <c r="Z14" s="492">
        <v>31</v>
      </c>
      <c r="AA14" s="493">
        <f t="shared" si="13"/>
        <v>1032</v>
      </c>
      <c r="AB14" s="656">
        <v>464</v>
      </c>
      <c r="AC14" s="492">
        <v>58</v>
      </c>
      <c r="AD14" s="492">
        <v>215</v>
      </c>
      <c r="AE14" s="492">
        <v>329.72899999999998</v>
      </c>
      <c r="AF14" s="492">
        <v>165.31899999999999</v>
      </c>
      <c r="AG14" s="492"/>
      <c r="AH14" s="492"/>
      <c r="AI14" s="492"/>
      <c r="AJ14" s="492">
        <v>481</v>
      </c>
      <c r="AK14" s="492">
        <v>1010</v>
      </c>
      <c r="AL14" s="492"/>
      <c r="AM14" s="492">
        <v>1099</v>
      </c>
      <c r="AN14" s="493">
        <f t="shared" si="14"/>
        <v>3822.0479999999998</v>
      </c>
      <c r="AO14" s="656"/>
      <c r="AP14" s="492"/>
      <c r="AQ14" s="492">
        <v>82.450999999999993</v>
      </c>
      <c r="AR14" s="492">
        <v>124.20399999999999</v>
      </c>
      <c r="AS14" s="492">
        <v>66.034999999999997</v>
      </c>
      <c r="AT14" s="492"/>
      <c r="AU14" s="492">
        <v>26.506</v>
      </c>
      <c r="AV14" s="492">
        <v>46.439</v>
      </c>
      <c r="AW14" s="492">
        <v>92.584999999999994</v>
      </c>
      <c r="AX14" s="492">
        <v>10.344999999999999</v>
      </c>
      <c r="AY14" s="492">
        <v>32.994999999999997</v>
      </c>
      <c r="AZ14" s="492">
        <v>22.512999999999998</v>
      </c>
      <c r="BA14" s="493">
        <f t="shared" si="15"/>
        <v>504.07299999999992</v>
      </c>
      <c r="BB14" s="656">
        <v>63.989999999999995</v>
      </c>
      <c r="BC14" s="492">
        <v>118.7</v>
      </c>
      <c r="BD14" s="492">
        <v>87.376000000000005</v>
      </c>
      <c r="BE14" s="492">
        <v>272.01</v>
      </c>
      <c r="BF14" s="492">
        <v>937.37599999999998</v>
      </c>
      <c r="BG14" s="492">
        <v>347.05200000000002</v>
      </c>
      <c r="BH14" s="492">
        <v>358.06200000000001</v>
      </c>
      <c r="BI14" s="492">
        <v>794.36800000000005</v>
      </c>
      <c r="BJ14" s="492">
        <v>2481.2810000000004</v>
      </c>
      <c r="BK14" s="492">
        <v>1660.0289999999998</v>
      </c>
      <c r="BL14" s="492">
        <v>2464.8469999999998</v>
      </c>
      <c r="BM14" s="492">
        <v>1040.8710000000001</v>
      </c>
      <c r="BN14" s="493">
        <f t="shared" si="16"/>
        <v>10625.962</v>
      </c>
      <c r="BO14" s="656">
        <v>992</v>
      </c>
      <c r="BP14" s="492">
        <v>808</v>
      </c>
      <c r="BQ14" s="492">
        <v>997</v>
      </c>
      <c r="BR14" s="492"/>
      <c r="BS14" s="492"/>
      <c r="BT14" s="492">
        <v>477</v>
      </c>
      <c r="BU14" s="492">
        <v>947</v>
      </c>
      <c r="BV14" s="492">
        <v>284</v>
      </c>
      <c r="BW14" s="492">
        <v>716</v>
      </c>
      <c r="BX14" s="492"/>
      <c r="BY14" s="492"/>
      <c r="BZ14" s="492"/>
      <c r="CA14" s="493">
        <f t="shared" si="17"/>
        <v>5221</v>
      </c>
      <c r="CB14" s="656"/>
      <c r="CC14" s="492">
        <v>133.64099999999999</v>
      </c>
      <c r="CD14" s="492">
        <v>133.64099999999999</v>
      </c>
      <c r="CE14" s="492"/>
      <c r="CF14" s="492"/>
      <c r="CG14" s="492"/>
      <c r="CH14" s="492"/>
      <c r="CI14" s="492"/>
      <c r="CJ14" s="492"/>
      <c r="CK14" s="492"/>
      <c r="CL14" s="492"/>
      <c r="CM14" s="492"/>
      <c r="CN14" s="493">
        <f t="shared" si="18"/>
        <v>267.28199999999998</v>
      </c>
      <c r="CO14" s="656"/>
      <c r="CP14" s="492"/>
      <c r="CQ14" s="492"/>
      <c r="CR14" s="492"/>
      <c r="CS14" s="492"/>
      <c r="CT14" s="492"/>
      <c r="CU14" s="492"/>
      <c r="CV14" s="492"/>
      <c r="CW14" s="492"/>
      <c r="CX14" s="492"/>
      <c r="CY14" s="492"/>
      <c r="CZ14" s="492"/>
      <c r="DA14" s="493">
        <f t="shared" si="19"/>
        <v>0</v>
      </c>
      <c r="DB14" s="656"/>
      <c r="DC14" s="492"/>
      <c r="DD14" s="492">
        <v>47.726999999999997</v>
      </c>
      <c r="DE14" s="492"/>
      <c r="DF14" s="492"/>
      <c r="DG14" s="492">
        <v>206.74700000000001</v>
      </c>
      <c r="DH14" s="492"/>
      <c r="DI14" s="492">
        <v>96.617000000000004</v>
      </c>
      <c r="DJ14" s="492">
        <v>337.39499999999998</v>
      </c>
      <c r="DK14" s="492">
        <v>153.381</v>
      </c>
      <c r="DL14" s="492">
        <v>11.161</v>
      </c>
      <c r="DM14" s="492">
        <v>172.09299999999999</v>
      </c>
      <c r="DN14" s="493">
        <f t="shared" si="20"/>
        <v>1025.1209999999999</v>
      </c>
      <c r="DO14" s="656">
        <v>446.86399999999998</v>
      </c>
      <c r="DP14" s="492">
        <v>249.465</v>
      </c>
      <c r="DQ14" s="492">
        <v>393.44099999999997</v>
      </c>
      <c r="DR14" s="492">
        <v>9.0459999999999994</v>
      </c>
      <c r="DS14" s="492">
        <v>61.4</v>
      </c>
      <c r="DT14" s="492">
        <v>10.196</v>
      </c>
      <c r="DU14" s="492">
        <v>8.5990000000000002</v>
      </c>
      <c r="DV14" s="492">
        <v>19.495000000000001</v>
      </c>
      <c r="DW14" s="492">
        <v>18.981000000000002</v>
      </c>
      <c r="DX14" s="492">
        <v>23.541</v>
      </c>
      <c r="DY14" s="492"/>
      <c r="DZ14" s="492"/>
      <c r="EA14" s="493">
        <f t="shared" si="21"/>
        <v>1241.0279999999998</v>
      </c>
      <c r="EB14" s="656">
        <v>16.433</v>
      </c>
      <c r="EC14" s="492">
        <v>570.73</v>
      </c>
      <c r="ED14" s="492">
        <v>19.21</v>
      </c>
      <c r="EE14" s="492"/>
      <c r="EF14" s="492"/>
      <c r="EG14" s="492">
        <v>7.835</v>
      </c>
      <c r="EH14" s="492">
        <v>12.154</v>
      </c>
      <c r="EI14" s="492">
        <v>77.646000000000001</v>
      </c>
      <c r="EJ14" s="492">
        <v>38.506</v>
      </c>
      <c r="EK14" s="492">
        <v>309.26099999999997</v>
      </c>
      <c r="EL14" s="492">
        <v>502.83899999999994</v>
      </c>
      <c r="EM14" s="492">
        <v>491.6330000000001</v>
      </c>
      <c r="EN14" s="493">
        <f t="shared" si="22"/>
        <v>2046.2470000000001</v>
      </c>
      <c r="EO14" s="656"/>
      <c r="EP14" s="492"/>
      <c r="EQ14" s="492"/>
      <c r="ER14" s="492"/>
      <c r="ES14" s="492"/>
      <c r="ET14" s="492"/>
      <c r="EU14" s="492"/>
      <c r="EV14" s="492"/>
      <c r="EW14" s="492"/>
      <c r="EX14" s="492"/>
      <c r="EY14" s="492"/>
      <c r="EZ14" s="492"/>
      <c r="FA14" s="493">
        <f t="shared" si="23"/>
        <v>0</v>
      </c>
      <c r="FC14" s="595" t="str">
        <f t="shared" si="24"/>
        <v/>
      </c>
      <c r="FD14" s="596">
        <f t="shared" si="25"/>
        <v>64.883225841802144</v>
      </c>
      <c r="FE14" s="498">
        <f t="shared" si="26"/>
        <v>1241.0279999999998</v>
      </c>
      <c r="FF14" s="597">
        <f t="shared" si="27"/>
        <v>2046.2470000000001</v>
      </c>
      <c r="FH14" s="551">
        <f t="shared" si="28"/>
        <v>52468.558000000012</v>
      </c>
      <c r="FI14" s="491" t="s">
        <v>53</v>
      </c>
      <c r="FJ14" s="554" t="str">
        <f t="shared" si="29"/>
        <v>OK</v>
      </c>
    </row>
    <row r="15" spans="1:166" ht="15" customHeight="1" x14ac:dyDescent="0.25">
      <c r="A15" s="610" t="s">
        <v>54</v>
      </c>
      <c r="B15" s="656">
        <v>68.03</v>
      </c>
      <c r="C15" s="492">
        <v>88.156000000000006</v>
      </c>
      <c r="D15" s="492"/>
      <c r="E15" s="492"/>
      <c r="F15" s="492">
        <v>21</v>
      </c>
      <c r="G15" s="492">
        <v>5</v>
      </c>
      <c r="H15" s="492"/>
      <c r="I15" s="492"/>
      <c r="J15" s="492"/>
      <c r="K15" s="492"/>
      <c r="L15" s="492"/>
      <c r="M15" s="492">
        <v>54</v>
      </c>
      <c r="N15" s="493">
        <f t="shared" si="12"/>
        <v>236.18600000000001</v>
      </c>
      <c r="O15" s="656"/>
      <c r="P15" s="492"/>
      <c r="Q15" s="492">
        <v>35</v>
      </c>
      <c r="R15" s="492"/>
      <c r="S15" s="492"/>
      <c r="T15" s="492"/>
      <c r="U15" s="492"/>
      <c r="V15" s="492"/>
      <c r="W15" s="492"/>
      <c r="X15" s="492"/>
      <c r="Y15" s="492">
        <v>1</v>
      </c>
      <c r="Z15" s="492"/>
      <c r="AA15" s="493">
        <f t="shared" si="13"/>
        <v>36</v>
      </c>
      <c r="AB15" s="656">
        <v>120</v>
      </c>
      <c r="AC15" s="492"/>
      <c r="AD15" s="492">
        <v>60</v>
      </c>
      <c r="AE15" s="492"/>
      <c r="AF15" s="492"/>
      <c r="AG15" s="492"/>
      <c r="AH15" s="492"/>
      <c r="AI15" s="492"/>
      <c r="AJ15" s="492"/>
      <c r="AK15" s="492"/>
      <c r="AL15" s="492"/>
      <c r="AM15" s="492"/>
      <c r="AN15" s="493">
        <f t="shared" si="14"/>
        <v>180</v>
      </c>
      <c r="AO15" s="656"/>
      <c r="AP15" s="492"/>
      <c r="AQ15" s="492"/>
      <c r="AR15" s="492"/>
      <c r="AS15" s="492"/>
      <c r="AT15" s="492"/>
      <c r="AU15" s="492"/>
      <c r="AV15" s="492"/>
      <c r="AW15" s="492"/>
      <c r="AX15" s="492"/>
      <c r="AY15" s="492"/>
      <c r="AZ15" s="492"/>
      <c r="BA15" s="493">
        <f t="shared" si="15"/>
        <v>0</v>
      </c>
      <c r="BB15" s="656"/>
      <c r="BC15" s="492">
        <v>53.218000000000004</v>
      </c>
      <c r="BD15" s="492"/>
      <c r="BE15" s="492"/>
      <c r="BF15" s="492"/>
      <c r="BG15" s="492"/>
      <c r="BH15" s="492"/>
      <c r="BI15" s="492"/>
      <c r="BJ15" s="492">
        <v>53.954999999999998</v>
      </c>
      <c r="BK15" s="492">
        <v>12.718</v>
      </c>
      <c r="BL15" s="492">
        <v>59.338000000000001</v>
      </c>
      <c r="BM15" s="492">
        <v>57.411999999999999</v>
      </c>
      <c r="BN15" s="493">
        <f t="shared" si="16"/>
        <v>236.64100000000002</v>
      </c>
      <c r="BO15" s="656">
        <v>171</v>
      </c>
      <c r="BP15" s="492">
        <v>376</v>
      </c>
      <c r="BQ15" s="492">
        <v>104</v>
      </c>
      <c r="BR15" s="492"/>
      <c r="BS15" s="492"/>
      <c r="BT15" s="492">
        <v>62</v>
      </c>
      <c r="BU15" s="492"/>
      <c r="BV15" s="492">
        <v>3</v>
      </c>
      <c r="BW15" s="492">
        <v>2</v>
      </c>
      <c r="BX15" s="492"/>
      <c r="BY15" s="492"/>
      <c r="BZ15" s="492"/>
      <c r="CA15" s="493">
        <f t="shared" si="17"/>
        <v>718</v>
      </c>
      <c r="CB15" s="656"/>
      <c r="CC15" s="492"/>
      <c r="CD15" s="492"/>
      <c r="CE15" s="492"/>
      <c r="CF15" s="492"/>
      <c r="CG15" s="492"/>
      <c r="CH15" s="492"/>
      <c r="CI15" s="492"/>
      <c r="CJ15" s="492"/>
      <c r="CK15" s="492"/>
      <c r="CL15" s="492"/>
      <c r="CM15" s="492"/>
      <c r="CN15" s="493">
        <f t="shared" si="18"/>
        <v>0</v>
      </c>
      <c r="CO15" s="656"/>
      <c r="CP15" s="492"/>
      <c r="CQ15" s="492"/>
      <c r="CR15" s="492"/>
      <c r="CS15" s="492"/>
      <c r="CT15" s="492"/>
      <c r="CU15" s="492"/>
      <c r="CV15" s="492"/>
      <c r="CW15" s="492"/>
      <c r="CX15" s="492"/>
      <c r="CY15" s="492"/>
      <c r="CZ15" s="492"/>
      <c r="DA15" s="493">
        <f t="shared" si="19"/>
        <v>0</v>
      </c>
      <c r="DB15" s="656"/>
      <c r="DC15" s="492"/>
      <c r="DD15" s="492"/>
      <c r="DE15" s="492"/>
      <c r="DF15" s="492"/>
      <c r="DG15" s="492"/>
      <c r="DH15" s="492">
        <v>20</v>
      </c>
      <c r="DI15" s="492">
        <v>203.17599999999999</v>
      </c>
      <c r="DJ15" s="492"/>
      <c r="DK15" s="492"/>
      <c r="DL15" s="492"/>
      <c r="DM15" s="492"/>
      <c r="DN15" s="493">
        <f t="shared" si="20"/>
        <v>223.17599999999999</v>
      </c>
      <c r="DO15" s="656">
        <v>258.49099999999999</v>
      </c>
      <c r="DP15" s="492">
        <v>528.904</v>
      </c>
      <c r="DQ15" s="492">
        <v>80.42</v>
      </c>
      <c r="DR15" s="492">
        <v>3.915</v>
      </c>
      <c r="DS15" s="492"/>
      <c r="DT15" s="492"/>
      <c r="DU15" s="492"/>
      <c r="DV15" s="492"/>
      <c r="DW15" s="492"/>
      <c r="DX15" s="492"/>
      <c r="DY15" s="492"/>
      <c r="DZ15" s="492">
        <v>109.85599999999999</v>
      </c>
      <c r="EA15" s="493">
        <f t="shared" si="21"/>
        <v>981.5859999999999</v>
      </c>
      <c r="EB15" s="656">
        <v>135</v>
      </c>
      <c r="EC15" s="492">
        <v>100</v>
      </c>
      <c r="ED15" s="492">
        <v>32</v>
      </c>
      <c r="EE15" s="492"/>
      <c r="EF15" s="492"/>
      <c r="EG15" s="492"/>
      <c r="EH15" s="492"/>
      <c r="EI15" s="492"/>
      <c r="EJ15" s="492"/>
      <c r="EK15" s="492"/>
      <c r="EL15" s="492"/>
      <c r="EM15" s="492">
        <v>71</v>
      </c>
      <c r="EN15" s="493">
        <f t="shared" si="22"/>
        <v>338</v>
      </c>
      <c r="EO15" s="656"/>
      <c r="EP15" s="492"/>
      <c r="EQ15" s="492"/>
      <c r="ER15" s="492"/>
      <c r="ES15" s="492"/>
      <c r="ET15" s="492"/>
      <c r="EU15" s="492"/>
      <c r="EV15" s="492"/>
      <c r="EW15" s="492"/>
      <c r="EX15" s="492"/>
      <c r="EY15" s="492"/>
      <c r="EZ15" s="492"/>
      <c r="FA15" s="493">
        <f t="shared" si="23"/>
        <v>0</v>
      </c>
      <c r="FC15" s="595">
        <f t="shared" si="24"/>
        <v>-35.369938829012526</v>
      </c>
      <c r="FD15" s="596">
        <f t="shared" si="25"/>
        <v>-65.56593105443639</v>
      </c>
      <c r="FE15" s="498">
        <f t="shared" si="26"/>
        <v>981.5859999999999</v>
      </c>
      <c r="FF15" s="597">
        <f t="shared" si="27"/>
        <v>338</v>
      </c>
      <c r="FH15" s="551">
        <f t="shared" si="28"/>
        <v>5899.1779999999999</v>
      </c>
      <c r="FI15" s="491" t="s">
        <v>54</v>
      </c>
      <c r="FJ15" s="554" t="str">
        <f t="shared" si="29"/>
        <v>OK</v>
      </c>
    </row>
    <row r="16" spans="1:166" ht="15" customHeight="1" x14ac:dyDescent="0.25">
      <c r="A16" s="610" t="s">
        <v>55</v>
      </c>
      <c r="B16" s="656">
        <v>354.06799999999998</v>
      </c>
      <c r="C16" s="492">
        <v>749.17099999999994</v>
      </c>
      <c r="D16" s="492"/>
      <c r="E16" s="492">
        <v>107</v>
      </c>
      <c r="F16" s="492">
        <v>449</v>
      </c>
      <c r="G16" s="492"/>
      <c r="H16" s="492">
        <v>206</v>
      </c>
      <c r="I16" s="492">
        <v>250</v>
      </c>
      <c r="J16" s="492">
        <v>1347</v>
      </c>
      <c r="K16" s="492">
        <v>564</v>
      </c>
      <c r="L16" s="492">
        <v>955</v>
      </c>
      <c r="M16" s="492">
        <v>462</v>
      </c>
      <c r="N16" s="493">
        <f t="shared" si="12"/>
        <v>5443.2389999999996</v>
      </c>
      <c r="O16" s="656">
        <v>973</v>
      </c>
      <c r="P16" s="492">
        <v>1467</v>
      </c>
      <c r="Q16" s="492">
        <v>275</v>
      </c>
      <c r="R16" s="492">
        <v>527</v>
      </c>
      <c r="S16" s="492">
        <v>716</v>
      </c>
      <c r="T16" s="492">
        <v>179</v>
      </c>
      <c r="U16" s="492">
        <v>1026</v>
      </c>
      <c r="V16" s="492">
        <v>172</v>
      </c>
      <c r="W16" s="492">
        <v>1887</v>
      </c>
      <c r="X16" s="492">
        <v>340</v>
      </c>
      <c r="Y16" s="492">
        <v>795</v>
      </c>
      <c r="Z16" s="492">
        <v>498</v>
      </c>
      <c r="AA16" s="493">
        <f t="shared" si="13"/>
        <v>8855</v>
      </c>
      <c r="AB16" s="656">
        <v>442</v>
      </c>
      <c r="AC16" s="492">
        <v>634</v>
      </c>
      <c r="AD16" s="492">
        <v>770</v>
      </c>
      <c r="AE16" s="492">
        <v>267.29999999999995</v>
      </c>
      <c r="AF16" s="492">
        <v>852.05799999999999</v>
      </c>
      <c r="AG16" s="492">
        <v>146</v>
      </c>
      <c r="AH16" s="492">
        <v>626</v>
      </c>
      <c r="AI16" s="492">
        <v>1655</v>
      </c>
      <c r="AJ16" s="492">
        <v>1201</v>
      </c>
      <c r="AK16" s="492">
        <v>994</v>
      </c>
      <c r="AL16" s="492">
        <v>763</v>
      </c>
      <c r="AM16" s="492">
        <v>1714</v>
      </c>
      <c r="AN16" s="493">
        <f t="shared" si="14"/>
        <v>10064.358</v>
      </c>
      <c r="AO16" s="656">
        <v>1432.3089999999997</v>
      </c>
      <c r="AP16" s="492">
        <v>307.33600000000001</v>
      </c>
      <c r="AQ16" s="492">
        <v>3122.199000000001</v>
      </c>
      <c r="AR16" s="492">
        <v>1714.4750000000001</v>
      </c>
      <c r="AS16" s="492">
        <v>800.62200000000007</v>
      </c>
      <c r="AT16" s="492">
        <v>783.33799999999997</v>
      </c>
      <c r="AU16" s="492">
        <v>1041.2190000000005</v>
      </c>
      <c r="AV16" s="492">
        <v>1406.3449999999996</v>
      </c>
      <c r="AW16" s="492">
        <v>2103.4089999999997</v>
      </c>
      <c r="AX16" s="492">
        <v>1695.7900000000002</v>
      </c>
      <c r="AY16" s="492">
        <v>2529.0330000000004</v>
      </c>
      <c r="AZ16" s="492">
        <v>828.23100000000011</v>
      </c>
      <c r="BA16" s="493">
        <f t="shared" si="15"/>
        <v>17764.306</v>
      </c>
      <c r="BB16" s="656">
        <v>548.50400000000002</v>
      </c>
      <c r="BC16" s="492">
        <v>235.06700000000001</v>
      </c>
      <c r="BD16" s="492">
        <v>1340.9840000000002</v>
      </c>
      <c r="BE16" s="492">
        <v>470.63299999999998</v>
      </c>
      <c r="BF16" s="492">
        <v>3572.8050000000003</v>
      </c>
      <c r="BG16" s="492">
        <v>329.536</v>
      </c>
      <c r="BH16" s="492">
        <v>1457.1310000000001</v>
      </c>
      <c r="BI16" s="492">
        <v>6280.7890000000025</v>
      </c>
      <c r="BJ16" s="492">
        <v>7224.034999999998</v>
      </c>
      <c r="BK16" s="492">
        <v>5659.7619999999988</v>
      </c>
      <c r="BL16" s="492">
        <v>7172.9700000000012</v>
      </c>
      <c r="BM16" s="492">
        <v>7375.8810000000012</v>
      </c>
      <c r="BN16" s="493">
        <f t="shared" si="16"/>
        <v>41668.097000000002</v>
      </c>
      <c r="BO16" s="656">
        <v>5384</v>
      </c>
      <c r="BP16" s="492">
        <v>3049</v>
      </c>
      <c r="BQ16" s="492">
        <v>2448</v>
      </c>
      <c r="BR16" s="492"/>
      <c r="BS16" s="492"/>
      <c r="BT16" s="492">
        <v>1967</v>
      </c>
      <c r="BU16" s="492">
        <v>4203</v>
      </c>
      <c r="BV16" s="492">
        <v>2567</v>
      </c>
      <c r="BW16" s="492">
        <v>2557</v>
      </c>
      <c r="BX16" s="492"/>
      <c r="BY16" s="492">
        <v>261.54399999999998</v>
      </c>
      <c r="BZ16" s="492">
        <v>106.479</v>
      </c>
      <c r="CA16" s="493">
        <f t="shared" si="17"/>
        <v>22543.023000000001</v>
      </c>
      <c r="CB16" s="656">
        <v>13.795</v>
      </c>
      <c r="CC16" s="492">
        <v>2.3130000000000002</v>
      </c>
      <c r="CD16" s="492"/>
      <c r="CE16" s="492">
        <v>170.99700000000001</v>
      </c>
      <c r="CF16" s="492"/>
      <c r="CG16" s="492">
        <v>82.432000000000002</v>
      </c>
      <c r="CH16" s="492">
        <v>81.349000000000004</v>
      </c>
      <c r="CI16" s="492"/>
      <c r="CJ16" s="492"/>
      <c r="CK16" s="492"/>
      <c r="CL16" s="492"/>
      <c r="CM16" s="492"/>
      <c r="CN16" s="493">
        <f t="shared" si="18"/>
        <v>350.88600000000002</v>
      </c>
      <c r="CO16" s="656">
        <v>136.196</v>
      </c>
      <c r="CP16" s="492"/>
      <c r="CQ16" s="492">
        <v>57.414000000000001</v>
      </c>
      <c r="CR16" s="492"/>
      <c r="CS16" s="492">
        <v>174.05099999999999</v>
      </c>
      <c r="CT16" s="492"/>
      <c r="CU16" s="492"/>
      <c r="CV16" s="492">
        <v>63.136000000000003</v>
      </c>
      <c r="CW16" s="492">
        <v>1.63</v>
      </c>
      <c r="CX16" s="492">
        <v>52.374000000000002</v>
      </c>
      <c r="CY16" s="492"/>
      <c r="CZ16" s="492"/>
      <c r="DA16" s="493">
        <f t="shared" si="19"/>
        <v>484.80100000000004</v>
      </c>
      <c r="DB16" s="656">
        <v>8.8510000000000009</v>
      </c>
      <c r="DC16" s="492">
        <v>1.2330000000000001</v>
      </c>
      <c r="DD16" s="492">
        <v>4.4619999999999997</v>
      </c>
      <c r="DE16" s="492">
        <v>214.93799999999999</v>
      </c>
      <c r="DF16" s="492">
        <v>1176.002</v>
      </c>
      <c r="DG16" s="492">
        <v>524.50199999999995</v>
      </c>
      <c r="DH16" s="492">
        <v>1410</v>
      </c>
      <c r="DI16" s="492">
        <f>1262.94+292.775</f>
        <v>1555.7150000000001</v>
      </c>
      <c r="DJ16" s="492">
        <v>344.88299999999998</v>
      </c>
      <c r="DK16" s="492">
        <v>1284.356</v>
      </c>
      <c r="DL16" s="492">
        <v>2210.0349999999999</v>
      </c>
      <c r="DM16" s="492">
        <v>519.76099999999997</v>
      </c>
      <c r="DN16" s="493">
        <f t="shared" si="20"/>
        <v>9254.7379999999994</v>
      </c>
      <c r="DO16" s="656">
        <v>2191.3420000000001</v>
      </c>
      <c r="DP16" s="492">
        <v>2506.1779999999999</v>
      </c>
      <c r="DQ16" s="492">
        <v>347.11700000000002</v>
      </c>
      <c r="DR16" s="492">
        <v>2593.4079999999999</v>
      </c>
      <c r="DS16" s="492">
        <v>3283.13</v>
      </c>
      <c r="DT16" s="492">
        <v>435.48899999999998</v>
      </c>
      <c r="DU16" s="492">
        <v>844.63699999999994</v>
      </c>
      <c r="DV16" s="492">
        <v>1261.6130000000001</v>
      </c>
      <c r="DW16" s="492">
        <v>1550.337</v>
      </c>
      <c r="DX16" s="492">
        <v>930.31500000000005</v>
      </c>
      <c r="DY16" s="492">
        <v>1452.886</v>
      </c>
      <c r="DZ16" s="492">
        <v>1217.5340000000001</v>
      </c>
      <c r="EA16" s="493">
        <f t="shared" si="21"/>
        <v>18613.985999999997</v>
      </c>
      <c r="EB16" s="656">
        <v>2127.9250000000002</v>
      </c>
      <c r="EC16" s="492">
        <v>2939.3940000000002</v>
      </c>
      <c r="ED16" s="492">
        <v>419.50700000000001</v>
      </c>
      <c r="EE16" s="492"/>
      <c r="EF16" s="492">
        <v>2821.3169999999991</v>
      </c>
      <c r="EG16" s="492">
        <v>3484.0070000000001</v>
      </c>
      <c r="EH16" s="492">
        <v>1052.7690000000005</v>
      </c>
      <c r="EI16" s="492">
        <v>1069.0089999999998</v>
      </c>
      <c r="EJ16" s="492">
        <v>1242.1069999999995</v>
      </c>
      <c r="EK16" s="492">
        <v>537.38499999999988</v>
      </c>
      <c r="EL16" s="492">
        <v>1163.8920000000003</v>
      </c>
      <c r="EM16" s="492">
        <v>1323.6669999999999</v>
      </c>
      <c r="EN16" s="493">
        <f t="shared" si="22"/>
        <v>18180.979000000003</v>
      </c>
      <c r="EO16" s="656"/>
      <c r="EP16" s="492"/>
      <c r="EQ16" s="492"/>
      <c r="ER16" s="492"/>
      <c r="ES16" s="492"/>
      <c r="ET16" s="492"/>
      <c r="EU16" s="492"/>
      <c r="EV16" s="492"/>
      <c r="EW16" s="492"/>
      <c r="EX16" s="492"/>
      <c r="EY16" s="492"/>
      <c r="EZ16" s="492"/>
      <c r="FA16" s="493">
        <f t="shared" si="23"/>
        <v>0</v>
      </c>
      <c r="FC16" s="595">
        <f t="shared" si="24"/>
        <v>8.7170460948112982</v>
      </c>
      <c r="FD16" s="596">
        <f t="shared" si="25"/>
        <v>-2.3262454371674846</v>
      </c>
      <c r="FE16" s="498">
        <f t="shared" si="26"/>
        <v>18613.985999999997</v>
      </c>
      <c r="FF16" s="597">
        <f t="shared" si="27"/>
        <v>18180.979000000003</v>
      </c>
      <c r="FH16" s="551">
        <f t="shared" si="28"/>
        <v>306446.82600000006</v>
      </c>
      <c r="FI16" s="491" t="s">
        <v>55</v>
      </c>
      <c r="FJ16" s="554" t="str">
        <f t="shared" si="29"/>
        <v>OK</v>
      </c>
    </row>
    <row r="17" spans="1:166" ht="15" customHeight="1" x14ac:dyDescent="0.25">
      <c r="A17" s="610" t="s">
        <v>56</v>
      </c>
      <c r="B17" s="656">
        <v>415</v>
      </c>
      <c r="C17" s="492">
        <v>979.37699999999995</v>
      </c>
      <c r="D17" s="492">
        <v>75</v>
      </c>
      <c r="E17" s="492">
        <v>194</v>
      </c>
      <c r="F17" s="492"/>
      <c r="G17" s="492">
        <v>91</v>
      </c>
      <c r="H17" s="492">
        <v>29</v>
      </c>
      <c r="I17" s="492"/>
      <c r="J17" s="492">
        <v>89</v>
      </c>
      <c r="K17" s="492"/>
      <c r="L17" s="492">
        <v>1</v>
      </c>
      <c r="M17" s="492">
        <v>1</v>
      </c>
      <c r="N17" s="493">
        <f t="shared" si="12"/>
        <v>1874.377</v>
      </c>
      <c r="O17" s="656"/>
      <c r="P17" s="492">
        <v>2</v>
      </c>
      <c r="Q17" s="492"/>
      <c r="R17" s="492">
        <v>100</v>
      </c>
      <c r="S17" s="492"/>
      <c r="T17" s="492">
        <v>81</v>
      </c>
      <c r="U17" s="492"/>
      <c r="V17" s="492">
        <v>46</v>
      </c>
      <c r="W17" s="492">
        <v>442</v>
      </c>
      <c r="X17" s="492">
        <v>331</v>
      </c>
      <c r="Y17" s="492">
        <v>524</v>
      </c>
      <c r="Z17" s="492">
        <v>134</v>
      </c>
      <c r="AA17" s="493">
        <f t="shared" si="13"/>
        <v>1660</v>
      </c>
      <c r="AB17" s="656"/>
      <c r="AC17" s="492">
        <v>28</v>
      </c>
      <c r="AD17" s="492"/>
      <c r="AE17" s="492">
        <v>165.74100000000001</v>
      </c>
      <c r="AF17" s="492">
        <v>37.198</v>
      </c>
      <c r="AG17" s="492">
        <v>275</v>
      </c>
      <c r="AH17" s="492"/>
      <c r="AI17" s="492">
        <v>13</v>
      </c>
      <c r="AJ17" s="492">
        <v>166</v>
      </c>
      <c r="AK17" s="492">
        <v>52</v>
      </c>
      <c r="AL17" s="492">
        <v>923</v>
      </c>
      <c r="AM17" s="492">
        <v>100</v>
      </c>
      <c r="AN17" s="493">
        <f t="shared" si="14"/>
        <v>1759.9390000000001</v>
      </c>
      <c r="AO17" s="656">
        <v>231</v>
      </c>
      <c r="AP17" s="492">
        <v>221</v>
      </c>
      <c r="AQ17" s="492">
        <v>389</v>
      </c>
      <c r="AR17" s="492">
        <v>45</v>
      </c>
      <c r="AS17" s="492">
        <v>32</v>
      </c>
      <c r="AT17" s="492">
        <v>44</v>
      </c>
      <c r="AU17" s="492">
        <v>29</v>
      </c>
      <c r="AV17" s="492">
        <v>951.93399999999997</v>
      </c>
      <c r="AW17" s="492">
        <v>1360.671</v>
      </c>
      <c r="AX17" s="492">
        <v>84</v>
      </c>
      <c r="AY17" s="492">
        <v>1348.413</v>
      </c>
      <c r="AZ17" s="492">
        <v>542.101</v>
      </c>
      <c r="BA17" s="493">
        <f t="shared" si="15"/>
        <v>5278.1189999999997</v>
      </c>
      <c r="BB17" s="656">
        <v>1602</v>
      </c>
      <c r="BC17" s="492">
        <v>487</v>
      </c>
      <c r="BD17" s="492">
        <v>393</v>
      </c>
      <c r="BE17" s="492">
        <v>668</v>
      </c>
      <c r="BF17" s="492">
        <v>217.33500000000001</v>
      </c>
      <c r="BG17" s="492">
        <v>49.911999999999999</v>
      </c>
      <c r="BH17" s="492">
        <v>1516.3630000000001</v>
      </c>
      <c r="BI17" s="492">
        <v>4118.4359999999997</v>
      </c>
      <c r="BJ17" s="492">
        <v>4072.4290000000001</v>
      </c>
      <c r="BK17" s="492">
        <v>4736.4799999999996</v>
      </c>
      <c r="BL17" s="492">
        <v>3553.5880000000002</v>
      </c>
      <c r="BM17" s="492">
        <v>4116.6850000000004</v>
      </c>
      <c r="BN17" s="493">
        <f t="shared" si="16"/>
        <v>25531.227999999999</v>
      </c>
      <c r="BO17" s="656">
        <v>3228</v>
      </c>
      <c r="BP17" s="492">
        <v>1971</v>
      </c>
      <c r="BQ17" s="492">
        <v>1405</v>
      </c>
      <c r="BR17" s="492"/>
      <c r="BS17" s="492">
        <v>629</v>
      </c>
      <c r="BT17" s="492">
        <v>302</v>
      </c>
      <c r="BU17" s="492">
        <v>144</v>
      </c>
      <c r="BV17" s="492">
        <f>90+506</f>
        <v>596</v>
      </c>
      <c r="BW17" s="492">
        <f>1082+417+437</f>
        <v>1936</v>
      </c>
      <c r="BX17" s="492"/>
      <c r="BY17" s="492">
        <v>33.36</v>
      </c>
      <c r="BZ17" s="492">
        <v>109.114</v>
      </c>
      <c r="CA17" s="493">
        <f t="shared" si="17"/>
        <v>10353.474</v>
      </c>
      <c r="CB17" s="656">
        <v>28.734000000000002</v>
      </c>
      <c r="CC17" s="492">
        <v>447.82900000000001</v>
      </c>
      <c r="CD17" s="492">
        <v>447.82900000000001</v>
      </c>
      <c r="CE17" s="492"/>
      <c r="CF17" s="492">
        <v>357.39800000000002</v>
      </c>
      <c r="CG17" s="492">
        <v>8.8379999999999992</v>
      </c>
      <c r="CH17" s="492">
        <v>36.020000000000003</v>
      </c>
      <c r="CI17" s="492"/>
      <c r="CJ17" s="492"/>
      <c r="CK17" s="492"/>
      <c r="CL17" s="492"/>
      <c r="CM17" s="492">
        <v>33.563000000000002</v>
      </c>
      <c r="CN17" s="493">
        <f t="shared" si="18"/>
        <v>1360.211</v>
      </c>
      <c r="CO17" s="656"/>
      <c r="CP17" s="492">
        <v>749.92200000000003</v>
      </c>
      <c r="CQ17" s="492">
        <v>620.51199999999994</v>
      </c>
      <c r="CR17" s="492">
        <v>297.245</v>
      </c>
      <c r="CS17" s="492">
        <v>17.509</v>
      </c>
      <c r="CT17" s="492">
        <v>196.41499999999999</v>
      </c>
      <c r="CU17" s="492">
        <v>64.44</v>
      </c>
      <c r="CV17" s="492">
        <v>365.13799999999998</v>
      </c>
      <c r="CW17" s="492">
        <v>1917.722</v>
      </c>
      <c r="CX17" s="492">
        <v>326.97300000000001</v>
      </c>
      <c r="CY17" s="492">
        <v>349.88299999999998</v>
      </c>
      <c r="CZ17" s="492">
        <v>112.28700000000001</v>
      </c>
      <c r="DA17" s="493">
        <f t="shared" si="19"/>
        <v>5018.0460000000003</v>
      </c>
      <c r="DB17" s="656"/>
      <c r="DC17" s="492">
        <f>55.349+19.973+110.45+63.076+3.824</f>
        <v>252.672</v>
      </c>
      <c r="DD17" s="492">
        <v>239.411</v>
      </c>
      <c r="DE17" s="492">
        <v>219.94399999999999</v>
      </c>
      <c r="DF17" s="492">
        <v>255</v>
      </c>
      <c r="DG17" s="492">
        <f>431+303</f>
        <v>734</v>
      </c>
      <c r="DH17" s="492">
        <f>269+848</f>
        <v>1117</v>
      </c>
      <c r="DI17" s="492">
        <f>1262.942+1198.162</f>
        <v>2461.1040000000003</v>
      </c>
      <c r="DJ17" s="492">
        <f>876.543+772.917+1774.492</f>
        <v>3423.9520000000002</v>
      </c>
      <c r="DK17" s="492">
        <f>2317.844+47.195+141.364+312.447</f>
        <v>2818.8500000000004</v>
      </c>
      <c r="DL17" s="492">
        <f>2011.433+1204.76</f>
        <v>3216.1930000000002</v>
      </c>
      <c r="DM17" s="492">
        <f>630.641+84.156</f>
        <v>714.79700000000003</v>
      </c>
      <c r="DN17" s="493">
        <f t="shared" si="20"/>
        <v>15452.923000000001</v>
      </c>
      <c r="DO17" s="656">
        <f>2992.83+2087.754</f>
        <v>5080.5839999999998</v>
      </c>
      <c r="DP17" s="492">
        <f>469.072+217.026</f>
        <v>686.09799999999996</v>
      </c>
      <c r="DQ17" s="492">
        <f>49.055+7.609</f>
        <v>56.664000000000001</v>
      </c>
      <c r="DR17" s="492">
        <f>42.239+58.472</f>
        <v>100.711</v>
      </c>
      <c r="DS17" s="492">
        <f>56.723+19.918</f>
        <v>76.640999999999991</v>
      </c>
      <c r="DT17" s="492">
        <f>56.013+9.743</f>
        <v>65.756</v>
      </c>
      <c r="DU17" s="492">
        <v>30.576000000000001</v>
      </c>
      <c r="DV17" s="492">
        <v>31.856000000000002</v>
      </c>
      <c r="DW17" s="492">
        <f>34.828+253.338</f>
        <v>288.166</v>
      </c>
      <c r="DX17" s="492">
        <v>594.52599999999995</v>
      </c>
      <c r="DY17" s="492">
        <v>2094.808</v>
      </c>
      <c r="DZ17" s="492">
        <v>274.108</v>
      </c>
      <c r="EA17" s="493">
        <f t="shared" si="21"/>
        <v>9380.4939999999988</v>
      </c>
      <c r="EB17" s="656">
        <v>155</v>
      </c>
      <c r="EC17" s="492">
        <v>286</v>
      </c>
      <c r="ED17" s="492">
        <v>275</v>
      </c>
      <c r="EE17" s="492">
        <v>1.673</v>
      </c>
      <c r="EF17" s="492">
        <v>16.126000000000001</v>
      </c>
      <c r="EG17" s="492">
        <v>9.6999999999999993</v>
      </c>
      <c r="EH17" s="492"/>
      <c r="EI17" s="492">
        <v>199</v>
      </c>
      <c r="EJ17" s="492">
        <v>183</v>
      </c>
      <c r="EK17" s="492">
        <v>195</v>
      </c>
      <c r="EL17" s="492">
        <v>383</v>
      </c>
      <c r="EM17" s="492">
        <v>137</v>
      </c>
      <c r="EN17" s="493">
        <f t="shared" si="22"/>
        <v>1840.499</v>
      </c>
      <c r="EO17" s="656"/>
      <c r="EP17" s="492"/>
      <c r="EQ17" s="492"/>
      <c r="ER17" s="492"/>
      <c r="ES17" s="492"/>
      <c r="ET17" s="492"/>
      <c r="EU17" s="492"/>
      <c r="EV17" s="492"/>
      <c r="EW17" s="492"/>
      <c r="EX17" s="492"/>
      <c r="EY17" s="492"/>
      <c r="EZ17" s="492"/>
      <c r="FA17" s="493">
        <f t="shared" si="23"/>
        <v>0</v>
      </c>
      <c r="FC17" s="595">
        <f t="shared" si="24"/>
        <v>-50.019700264129476</v>
      </c>
      <c r="FD17" s="596">
        <f t="shared" si="25"/>
        <v>-80.379508797724299</v>
      </c>
      <c r="FE17" s="498">
        <f t="shared" si="26"/>
        <v>9380.4939999999988</v>
      </c>
      <c r="FF17" s="597">
        <f t="shared" si="27"/>
        <v>1840.499</v>
      </c>
      <c r="FH17" s="551">
        <f t="shared" si="28"/>
        <v>159018.62000000005</v>
      </c>
      <c r="FI17" s="491" t="s">
        <v>56</v>
      </c>
      <c r="FJ17" s="554" t="str">
        <f t="shared" si="29"/>
        <v>OK</v>
      </c>
    </row>
    <row r="18" spans="1:166" ht="15" customHeight="1" x14ac:dyDescent="0.25">
      <c r="A18" s="610" t="s">
        <v>57</v>
      </c>
      <c r="B18" s="656"/>
      <c r="C18" s="492">
        <v>12.013999999999999</v>
      </c>
      <c r="D18" s="492"/>
      <c r="E18" s="492"/>
      <c r="F18" s="492">
        <v>58</v>
      </c>
      <c r="G18" s="492"/>
      <c r="H18" s="492"/>
      <c r="I18" s="492"/>
      <c r="J18" s="492">
        <v>157</v>
      </c>
      <c r="K18" s="492">
        <v>91</v>
      </c>
      <c r="L18" s="492">
        <v>19</v>
      </c>
      <c r="M18" s="492">
        <v>24</v>
      </c>
      <c r="N18" s="493">
        <f t="shared" si="12"/>
        <v>361.01400000000001</v>
      </c>
      <c r="O18" s="656">
        <v>143</v>
      </c>
      <c r="P18" s="492">
        <v>19</v>
      </c>
      <c r="Q18" s="492">
        <v>123</v>
      </c>
      <c r="R18" s="492"/>
      <c r="S18" s="492">
        <v>36</v>
      </c>
      <c r="T18" s="492"/>
      <c r="U18" s="492">
        <v>36</v>
      </c>
      <c r="V18" s="492">
        <v>13</v>
      </c>
      <c r="W18" s="492">
        <v>102</v>
      </c>
      <c r="X18" s="492">
        <v>49</v>
      </c>
      <c r="Y18" s="492">
        <v>7</v>
      </c>
      <c r="Z18" s="492">
        <v>57</v>
      </c>
      <c r="AA18" s="493">
        <f t="shared" si="13"/>
        <v>585</v>
      </c>
      <c r="AB18" s="656">
        <v>15</v>
      </c>
      <c r="AC18" s="492"/>
      <c r="AD18" s="492">
        <v>181</v>
      </c>
      <c r="AE18" s="492">
        <v>34.630000000000003</v>
      </c>
      <c r="AF18" s="492"/>
      <c r="AG18" s="492"/>
      <c r="AH18" s="492">
        <v>15</v>
      </c>
      <c r="AI18" s="492"/>
      <c r="AJ18" s="492">
        <v>71</v>
      </c>
      <c r="AK18" s="492">
        <v>170</v>
      </c>
      <c r="AL18" s="492">
        <v>76</v>
      </c>
      <c r="AM18" s="492">
        <v>88</v>
      </c>
      <c r="AN18" s="493">
        <f t="shared" si="14"/>
        <v>650.63</v>
      </c>
      <c r="AO18" s="656">
        <v>60.140000000000008</v>
      </c>
      <c r="AP18" s="492">
        <v>217.55799999999999</v>
      </c>
      <c r="AQ18" s="492">
        <v>580.63000000000011</v>
      </c>
      <c r="AR18" s="492">
        <v>161.63899999999998</v>
      </c>
      <c r="AS18" s="492">
        <v>320.74</v>
      </c>
      <c r="AT18" s="492">
        <v>214.273</v>
      </c>
      <c r="AU18" s="492">
        <v>88.405000000000001</v>
      </c>
      <c r="AV18" s="492">
        <v>63.402999999999999</v>
      </c>
      <c r="AW18" s="492">
        <v>123.51099999999997</v>
      </c>
      <c r="AX18" s="492">
        <v>400.24299999999999</v>
      </c>
      <c r="AY18" s="492">
        <v>139.52199999999999</v>
      </c>
      <c r="AZ18" s="492">
        <v>108.661</v>
      </c>
      <c r="BA18" s="493">
        <f t="shared" si="15"/>
        <v>2478.7249999999999</v>
      </c>
      <c r="BB18" s="656">
        <v>15.129000000000001</v>
      </c>
      <c r="BC18" s="492">
        <v>173.53399999999999</v>
      </c>
      <c r="BD18" s="492">
        <v>371.02800000000002</v>
      </c>
      <c r="BE18" s="492">
        <v>179.97399999999999</v>
      </c>
      <c r="BF18" s="492">
        <v>599.41399999999999</v>
      </c>
      <c r="BG18" s="492">
        <v>55.593000000000004</v>
      </c>
      <c r="BH18" s="492">
        <v>44.594999999999999</v>
      </c>
      <c r="BI18" s="492">
        <v>263.49400000000003</v>
      </c>
      <c r="BJ18" s="492">
        <v>518.83100000000002</v>
      </c>
      <c r="BK18" s="492">
        <v>2219.422</v>
      </c>
      <c r="BL18" s="492">
        <v>790.73299999999972</v>
      </c>
      <c r="BM18" s="492">
        <v>1401.5349999999996</v>
      </c>
      <c r="BN18" s="493">
        <f t="shared" si="16"/>
        <v>6633.2819999999992</v>
      </c>
      <c r="BO18" s="656">
        <v>622</v>
      </c>
      <c r="BP18" s="492">
        <v>349</v>
      </c>
      <c r="BQ18" s="492">
        <v>369</v>
      </c>
      <c r="BR18" s="492"/>
      <c r="BS18" s="492">
        <v>87</v>
      </c>
      <c r="BT18" s="492">
        <v>1323</v>
      </c>
      <c r="BU18" s="492">
        <v>96</v>
      </c>
      <c r="BV18" s="492">
        <v>158</v>
      </c>
      <c r="BW18" s="492">
        <v>523</v>
      </c>
      <c r="BX18" s="492">
        <v>198.53299999999999</v>
      </c>
      <c r="BY18" s="492">
        <v>20.010999999999999</v>
      </c>
      <c r="BZ18" s="492"/>
      <c r="CA18" s="493">
        <f t="shared" si="17"/>
        <v>3745.5439999999999</v>
      </c>
      <c r="CB18" s="656">
        <v>48.259</v>
      </c>
      <c r="CC18" s="492">
        <v>116.383</v>
      </c>
      <c r="CD18" s="492">
        <v>76.031000000000006</v>
      </c>
      <c r="CE18" s="492"/>
      <c r="CF18" s="492">
        <v>79.506</v>
      </c>
      <c r="CG18" s="492">
        <v>372.911</v>
      </c>
      <c r="CH18" s="492">
        <v>8.6069999999999993</v>
      </c>
      <c r="CI18" s="492">
        <v>27.713999999999999</v>
      </c>
      <c r="CJ18" s="492">
        <v>84.573999999999998</v>
      </c>
      <c r="CK18" s="492"/>
      <c r="CL18" s="492">
        <v>44.338999999999999</v>
      </c>
      <c r="CM18" s="492">
        <v>118.867</v>
      </c>
      <c r="CN18" s="493">
        <f t="shared" si="18"/>
        <v>977.1909999999998</v>
      </c>
      <c r="CO18" s="656">
        <v>71.183000000000007</v>
      </c>
      <c r="CP18" s="492">
        <v>29.417999999999999</v>
      </c>
      <c r="CQ18" s="492">
        <v>234.71</v>
      </c>
      <c r="CR18" s="492">
        <v>240.68600000000001</v>
      </c>
      <c r="CS18" s="492">
        <v>8.8369999999999997</v>
      </c>
      <c r="CT18" s="492"/>
      <c r="CU18" s="492"/>
      <c r="CV18" s="492">
        <v>60.786999999999999</v>
      </c>
      <c r="CW18" s="492"/>
      <c r="CX18" s="492"/>
      <c r="CY18" s="492">
        <v>164.95599999999999</v>
      </c>
      <c r="CZ18" s="492">
        <v>3.3439999999999999</v>
      </c>
      <c r="DA18" s="493">
        <f t="shared" si="19"/>
        <v>813.92100000000016</v>
      </c>
      <c r="DB18" s="656"/>
      <c r="DC18" s="492">
        <v>55.831000000000003</v>
      </c>
      <c r="DD18" s="492">
        <v>21.372</v>
      </c>
      <c r="DE18" s="492"/>
      <c r="DF18" s="492">
        <v>803.15300000000002</v>
      </c>
      <c r="DG18" s="492">
        <v>3.64</v>
      </c>
      <c r="DH18" s="492">
        <v>93</v>
      </c>
      <c r="DI18" s="492">
        <v>277.142</v>
      </c>
      <c r="DJ18" s="492">
        <v>314.76600000000002</v>
      </c>
      <c r="DK18" s="492">
        <v>680.80600000000004</v>
      </c>
      <c r="DL18" s="492">
        <v>326.96199999999999</v>
      </c>
      <c r="DM18" s="492">
        <v>1254.241</v>
      </c>
      <c r="DN18" s="493">
        <f t="shared" si="20"/>
        <v>3830.913</v>
      </c>
      <c r="DO18" s="656">
        <v>71.698999999999998</v>
      </c>
      <c r="DP18" s="492">
        <v>1006.3579999999999</v>
      </c>
      <c r="DQ18" s="492">
        <v>344.79899999999998</v>
      </c>
      <c r="DR18" s="492">
        <v>157.95400000000001</v>
      </c>
      <c r="DS18" s="492">
        <v>524.34299999999996</v>
      </c>
      <c r="DT18" s="492">
        <v>302.69</v>
      </c>
      <c r="DU18" s="492">
        <v>908.10299999999995</v>
      </c>
      <c r="DV18" s="492">
        <v>90.9</v>
      </c>
      <c r="DW18" s="492">
        <v>167.876</v>
      </c>
      <c r="DX18" s="492">
        <v>207.69800000000001</v>
      </c>
      <c r="DY18" s="492">
        <v>111.577</v>
      </c>
      <c r="DZ18" s="492">
        <v>588.27300000000002</v>
      </c>
      <c r="EA18" s="493">
        <f t="shared" si="21"/>
        <v>4482.2700000000004</v>
      </c>
      <c r="EB18" s="656">
        <v>1457.4269999999999</v>
      </c>
      <c r="EC18" s="492">
        <v>641.61099999999999</v>
      </c>
      <c r="ED18" s="492">
        <v>143.61700000000002</v>
      </c>
      <c r="EE18" s="492"/>
      <c r="EF18" s="492">
        <v>172.792</v>
      </c>
      <c r="EG18" s="492"/>
      <c r="EH18" s="492">
        <v>0.95399999999999996</v>
      </c>
      <c r="EI18" s="492"/>
      <c r="EJ18" s="492">
        <v>83.771000000000001</v>
      </c>
      <c r="EK18" s="492">
        <v>150.86799999999999</v>
      </c>
      <c r="EL18" s="492">
        <v>3.3449999999999998</v>
      </c>
      <c r="EM18" s="492">
        <v>352.15499999999997</v>
      </c>
      <c r="EN18" s="493">
        <f t="shared" si="22"/>
        <v>3006.54</v>
      </c>
      <c r="EO18" s="656"/>
      <c r="EP18" s="492"/>
      <c r="EQ18" s="492"/>
      <c r="ER18" s="492"/>
      <c r="ES18" s="492"/>
      <c r="ET18" s="492"/>
      <c r="EU18" s="492"/>
      <c r="EV18" s="492"/>
      <c r="EW18" s="492"/>
      <c r="EX18" s="492"/>
      <c r="EY18" s="492"/>
      <c r="EZ18" s="492"/>
      <c r="FA18" s="493">
        <f t="shared" si="23"/>
        <v>0</v>
      </c>
      <c r="FC18" s="595">
        <f t="shared" si="24"/>
        <v>-40.137487187071322</v>
      </c>
      <c r="FD18" s="596">
        <f t="shared" si="25"/>
        <v>-32.923719454651334</v>
      </c>
      <c r="FE18" s="498">
        <f t="shared" si="26"/>
        <v>4482.2700000000004</v>
      </c>
      <c r="FF18" s="597">
        <f t="shared" si="27"/>
        <v>3006.54</v>
      </c>
      <c r="FH18" s="551">
        <f t="shared" si="28"/>
        <v>55130.06</v>
      </c>
      <c r="FI18" s="491" t="s">
        <v>57</v>
      </c>
      <c r="FJ18" s="554" t="str">
        <f t="shared" si="29"/>
        <v>OK</v>
      </c>
    </row>
    <row r="19" spans="1:166" ht="15" customHeight="1" x14ac:dyDescent="0.25">
      <c r="A19" s="610" t="s">
        <v>58</v>
      </c>
      <c r="B19" s="656">
        <v>1454.1300000000003</v>
      </c>
      <c r="C19" s="492">
        <v>159</v>
      </c>
      <c r="D19" s="492">
        <v>179</v>
      </c>
      <c r="E19" s="492">
        <v>328</v>
      </c>
      <c r="F19" s="492">
        <v>93</v>
      </c>
      <c r="G19" s="492">
        <v>380</v>
      </c>
      <c r="H19" s="492">
        <v>440</v>
      </c>
      <c r="I19" s="492">
        <v>681</v>
      </c>
      <c r="J19" s="492">
        <v>3786</v>
      </c>
      <c r="K19" s="492">
        <v>1290</v>
      </c>
      <c r="L19" s="492">
        <v>696</v>
      </c>
      <c r="M19" s="492">
        <v>905</v>
      </c>
      <c r="N19" s="493">
        <f t="shared" si="12"/>
        <v>10391.130000000001</v>
      </c>
      <c r="O19" s="656">
        <v>815</v>
      </c>
      <c r="P19" s="492"/>
      <c r="Q19" s="492"/>
      <c r="R19" s="492">
        <v>154</v>
      </c>
      <c r="S19" s="492">
        <v>397</v>
      </c>
      <c r="T19" s="492">
        <v>14</v>
      </c>
      <c r="U19" s="492"/>
      <c r="V19" s="492">
        <v>419</v>
      </c>
      <c r="W19" s="492">
        <v>2819</v>
      </c>
      <c r="X19" s="492">
        <v>2169</v>
      </c>
      <c r="Y19" s="492">
        <v>2906</v>
      </c>
      <c r="Z19" s="492">
        <v>1344</v>
      </c>
      <c r="AA19" s="493">
        <f t="shared" si="13"/>
        <v>11037</v>
      </c>
      <c r="AB19" s="656">
        <v>432</v>
      </c>
      <c r="AC19" s="492">
        <v>629</v>
      </c>
      <c r="AD19" s="492">
        <v>1146</v>
      </c>
      <c r="AE19" s="492">
        <v>1282.5039999999999</v>
      </c>
      <c r="AF19" s="492">
        <v>702.91200000000003</v>
      </c>
      <c r="AG19" s="492">
        <v>111</v>
      </c>
      <c r="AH19" s="492">
        <v>450</v>
      </c>
      <c r="AI19" s="492">
        <v>1336</v>
      </c>
      <c r="AJ19" s="492">
        <v>6727</v>
      </c>
      <c r="AK19" s="492">
        <v>811</v>
      </c>
      <c r="AL19" s="492">
        <v>2963</v>
      </c>
      <c r="AM19" s="492">
        <v>2337</v>
      </c>
      <c r="AN19" s="493">
        <f t="shared" si="14"/>
        <v>18927.416000000001</v>
      </c>
      <c r="AO19" s="656">
        <v>972</v>
      </c>
      <c r="AP19" s="492">
        <v>961</v>
      </c>
      <c r="AQ19" s="492">
        <v>1815</v>
      </c>
      <c r="AR19" s="492">
        <v>1590</v>
      </c>
      <c r="AS19" s="492">
        <v>2490</v>
      </c>
      <c r="AT19" s="492">
        <v>42</v>
      </c>
      <c r="AU19" s="492">
        <v>256</v>
      </c>
      <c r="AV19" s="492">
        <v>2080</v>
      </c>
      <c r="AW19" s="492">
        <v>1707</v>
      </c>
      <c r="AX19" s="492">
        <v>2640</v>
      </c>
      <c r="AY19" s="492">
        <v>2447.73</v>
      </c>
      <c r="AZ19" s="492">
        <v>1147.3969999999999</v>
      </c>
      <c r="BA19" s="493">
        <f t="shared" si="15"/>
        <v>18148.127</v>
      </c>
      <c r="BB19" s="656">
        <v>690.07099999999991</v>
      </c>
      <c r="BC19" s="492">
        <v>993.904</v>
      </c>
      <c r="BD19" s="492">
        <v>1500</v>
      </c>
      <c r="BE19" s="492">
        <v>490.80200000000002</v>
      </c>
      <c r="BF19" s="492">
        <v>730.76700000000005</v>
      </c>
      <c r="BG19" s="492">
        <v>70.521000000000001</v>
      </c>
      <c r="BH19" s="492">
        <v>1684.58</v>
      </c>
      <c r="BI19" s="492">
        <v>1929.6289999999999</v>
      </c>
      <c r="BJ19" s="492">
        <v>4197.7439999999997</v>
      </c>
      <c r="BK19" s="492">
        <v>3392.6570000000002</v>
      </c>
      <c r="BL19" s="492">
        <v>7365.549</v>
      </c>
      <c r="BM19" s="492">
        <v>2722.098</v>
      </c>
      <c r="BN19" s="493">
        <f t="shared" si="16"/>
        <v>25768.322</v>
      </c>
      <c r="BO19" s="656">
        <v>2014</v>
      </c>
      <c r="BP19" s="492">
        <v>1820</v>
      </c>
      <c r="BQ19" s="492">
        <v>1404</v>
      </c>
      <c r="BR19" s="492"/>
      <c r="BS19" s="492"/>
      <c r="BT19" s="492">
        <v>2460</v>
      </c>
      <c r="BU19" s="492">
        <v>2811</v>
      </c>
      <c r="BV19" s="492">
        <f>121+3814</f>
        <v>3935</v>
      </c>
      <c r="BW19" s="492">
        <v>5109</v>
      </c>
      <c r="BX19" s="492"/>
      <c r="BY19" s="492"/>
      <c r="BZ19" s="492">
        <v>37.926000000000002</v>
      </c>
      <c r="CA19" s="493">
        <f t="shared" si="17"/>
        <v>19590.925999999999</v>
      </c>
      <c r="CB19" s="656">
        <v>26.213999999999999</v>
      </c>
      <c r="CC19" s="492">
        <v>170.37</v>
      </c>
      <c r="CD19" s="492"/>
      <c r="CE19" s="492"/>
      <c r="CF19" s="492"/>
      <c r="CG19" s="492"/>
      <c r="CH19" s="492">
        <v>4.6120000000000001</v>
      </c>
      <c r="CI19" s="492"/>
      <c r="CJ19" s="492"/>
      <c r="CK19" s="492"/>
      <c r="CL19" s="492"/>
      <c r="CM19" s="492"/>
      <c r="CN19" s="493">
        <f t="shared" si="18"/>
        <v>201.196</v>
      </c>
      <c r="CO19" s="656">
        <v>53.274999999999999</v>
      </c>
      <c r="CP19" s="492">
        <v>393.416</v>
      </c>
      <c r="CQ19" s="492">
        <v>339.82100000000003</v>
      </c>
      <c r="CR19" s="492"/>
      <c r="CS19" s="492">
        <v>231.97399999999999</v>
      </c>
      <c r="CT19" s="492"/>
      <c r="CU19" s="492">
        <v>2.2189999999999999</v>
      </c>
      <c r="CV19" s="492"/>
      <c r="CW19" s="492">
        <v>136.58199999999999</v>
      </c>
      <c r="CX19" s="492">
        <v>16.515000000000001</v>
      </c>
      <c r="CY19" s="492">
        <v>2.714</v>
      </c>
      <c r="CZ19" s="492"/>
      <c r="DA19" s="493">
        <f t="shared" si="19"/>
        <v>1176.5159999999998</v>
      </c>
      <c r="DB19" s="656">
        <v>22.673999999999999</v>
      </c>
      <c r="DC19" s="492">
        <v>26.963999999999999</v>
      </c>
      <c r="DD19" s="492">
        <v>32.258000000000003</v>
      </c>
      <c r="DE19" s="492"/>
      <c r="DF19" s="492">
        <v>1455.0840000000001</v>
      </c>
      <c r="DG19" s="492">
        <v>961</v>
      </c>
      <c r="DH19" s="492">
        <v>1211</v>
      </c>
      <c r="DI19" s="492">
        <f>144.985+3154.549</f>
        <v>3299.5340000000001</v>
      </c>
      <c r="DJ19" s="492">
        <v>2610.5540000000001</v>
      </c>
      <c r="DK19" s="492">
        <v>2480.6509999999998</v>
      </c>
      <c r="DL19" s="492">
        <v>3518.78</v>
      </c>
      <c r="DM19" s="492">
        <v>3445.9340000000002</v>
      </c>
      <c r="DN19" s="493">
        <f t="shared" si="20"/>
        <v>19064.433000000001</v>
      </c>
      <c r="DO19" s="656">
        <v>1756.414</v>
      </c>
      <c r="DP19" s="492">
        <v>2540.0120000000002</v>
      </c>
      <c r="DQ19" s="492">
        <v>828.976</v>
      </c>
      <c r="DR19" s="492">
        <v>1337.2629999999999</v>
      </c>
      <c r="DS19" s="492">
        <v>785.73299999999995</v>
      </c>
      <c r="DT19" s="492">
        <v>80.516999999999996</v>
      </c>
      <c r="DU19" s="492">
        <v>199.72200000000001</v>
      </c>
      <c r="DV19" s="492">
        <v>1781.0239999999999</v>
      </c>
      <c r="DW19" s="492">
        <v>2221.8530000000001</v>
      </c>
      <c r="DX19" s="492">
        <v>1191.05</v>
      </c>
      <c r="DY19" s="492">
        <v>4014.627</v>
      </c>
      <c r="DZ19" s="492">
        <v>2783.9850000000001</v>
      </c>
      <c r="EA19" s="493">
        <f t="shared" si="21"/>
        <v>19521.175999999999</v>
      </c>
      <c r="EB19" s="656">
        <v>2566.509</v>
      </c>
      <c r="EC19" s="492">
        <v>2302.3870000000006</v>
      </c>
      <c r="ED19" s="492">
        <v>1373.5450000000001</v>
      </c>
      <c r="EE19" s="492">
        <v>385.10599999999999</v>
      </c>
      <c r="EF19" s="492">
        <v>190.25200000000001</v>
      </c>
      <c r="EG19" s="492">
        <v>1559.229</v>
      </c>
      <c r="EH19" s="492">
        <v>830.52299999999991</v>
      </c>
      <c r="EI19" s="492">
        <v>3186.7029999999995</v>
      </c>
      <c r="EJ19" s="492">
        <v>1862.0790000000002</v>
      </c>
      <c r="EK19" s="492">
        <v>2806.0920000000006</v>
      </c>
      <c r="EL19" s="492">
        <v>6228.0699999999979</v>
      </c>
      <c r="EM19" s="492">
        <v>3719.5799999999995</v>
      </c>
      <c r="EN19" s="493">
        <f t="shared" si="22"/>
        <v>27010.074999999993</v>
      </c>
      <c r="EO19" s="656"/>
      <c r="EP19" s="492"/>
      <c r="EQ19" s="492"/>
      <c r="ER19" s="492"/>
      <c r="ES19" s="492"/>
      <c r="ET19" s="492"/>
      <c r="EU19" s="492"/>
      <c r="EV19" s="492"/>
      <c r="EW19" s="492"/>
      <c r="EX19" s="492"/>
      <c r="EY19" s="492"/>
      <c r="EZ19" s="492"/>
      <c r="FA19" s="493">
        <f t="shared" si="23"/>
        <v>0</v>
      </c>
      <c r="FC19" s="595">
        <f t="shared" si="24"/>
        <v>33.606323309931611</v>
      </c>
      <c r="FD19" s="596">
        <f t="shared" si="25"/>
        <v>38.362950059975873</v>
      </c>
      <c r="FE19" s="498">
        <f t="shared" si="26"/>
        <v>19521.175999999999</v>
      </c>
      <c r="FF19" s="597">
        <f t="shared" si="27"/>
        <v>27010.074999999993</v>
      </c>
      <c r="FH19" s="551">
        <f t="shared" si="28"/>
        <v>341672.63400000002</v>
      </c>
      <c r="FI19" s="491" t="s">
        <v>58</v>
      </c>
      <c r="FJ19" s="554" t="str">
        <f t="shared" si="29"/>
        <v>OK</v>
      </c>
    </row>
    <row r="20" spans="1:166" ht="15" customHeight="1" x14ac:dyDescent="0.25">
      <c r="A20" s="610" t="s">
        <v>649</v>
      </c>
      <c r="B20" s="656"/>
      <c r="C20" s="492">
        <v>58</v>
      </c>
      <c r="D20" s="492"/>
      <c r="E20" s="492"/>
      <c r="F20" s="492"/>
      <c r="G20" s="492"/>
      <c r="H20" s="492">
        <v>16</v>
      </c>
      <c r="I20" s="492">
        <v>90</v>
      </c>
      <c r="J20" s="492">
        <v>29</v>
      </c>
      <c r="K20" s="492"/>
      <c r="L20" s="492"/>
      <c r="M20" s="492"/>
      <c r="N20" s="493">
        <f t="shared" si="12"/>
        <v>193</v>
      </c>
      <c r="O20" s="656"/>
      <c r="P20" s="492">
        <v>32</v>
      </c>
      <c r="Q20" s="492"/>
      <c r="R20" s="492"/>
      <c r="S20" s="492"/>
      <c r="T20" s="492"/>
      <c r="U20" s="492">
        <v>33</v>
      </c>
      <c r="V20" s="492">
        <v>11</v>
      </c>
      <c r="W20" s="492">
        <v>62.465000000000003</v>
      </c>
      <c r="X20" s="492">
        <v>85.344999999999999</v>
      </c>
      <c r="Y20" s="492">
        <v>86</v>
      </c>
      <c r="Z20" s="492">
        <v>208</v>
      </c>
      <c r="AA20" s="493">
        <f t="shared" si="13"/>
        <v>517.80999999999995</v>
      </c>
      <c r="AB20" s="656"/>
      <c r="AC20" s="492"/>
      <c r="AD20" s="492">
        <v>40</v>
      </c>
      <c r="AE20" s="492">
        <v>13.05</v>
      </c>
      <c r="AF20" s="492">
        <v>3.4329999999999998</v>
      </c>
      <c r="AG20" s="492">
        <v>77</v>
      </c>
      <c r="AH20" s="492">
        <v>60</v>
      </c>
      <c r="AI20" s="492">
        <v>22</v>
      </c>
      <c r="AJ20" s="492">
        <v>12</v>
      </c>
      <c r="AK20" s="492">
        <v>29</v>
      </c>
      <c r="AL20" s="492">
        <v>4</v>
      </c>
      <c r="AM20" s="492">
        <v>65</v>
      </c>
      <c r="AN20" s="493">
        <f t="shared" si="14"/>
        <v>325.483</v>
      </c>
      <c r="AO20" s="656">
        <v>18.134</v>
      </c>
      <c r="AP20" s="492">
        <v>4.4790000000000001</v>
      </c>
      <c r="AQ20" s="492"/>
      <c r="AR20" s="492">
        <v>22.273</v>
      </c>
      <c r="AS20" s="492">
        <v>7.8929999999999998</v>
      </c>
      <c r="AT20" s="492">
        <v>10.265000000000001</v>
      </c>
      <c r="AU20" s="492">
        <v>28.460999999999995</v>
      </c>
      <c r="AV20" s="492">
        <v>46.354000000000006</v>
      </c>
      <c r="AW20" s="492">
        <v>199.95999999999998</v>
      </c>
      <c r="AX20" s="492">
        <v>37.146000000000001</v>
      </c>
      <c r="AY20" s="492">
        <v>27.454000000000001</v>
      </c>
      <c r="AZ20" s="492">
        <v>7.0280000000000005</v>
      </c>
      <c r="BA20" s="493">
        <f t="shared" si="15"/>
        <v>409.447</v>
      </c>
      <c r="BB20" s="656">
        <v>12.1</v>
      </c>
      <c r="BC20" s="492"/>
      <c r="BD20" s="492">
        <v>209.75700000000001</v>
      </c>
      <c r="BE20" s="492">
        <v>51.807000000000002</v>
      </c>
      <c r="BF20" s="492">
        <v>514.79999999999995</v>
      </c>
      <c r="BG20" s="492">
        <v>218.05</v>
      </c>
      <c r="BH20" s="492">
        <v>107.947</v>
      </c>
      <c r="BI20" s="492">
        <v>249.66100000000003</v>
      </c>
      <c r="BJ20" s="492">
        <v>707.05799999999977</v>
      </c>
      <c r="BK20" s="492">
        <v>1182.325</v>
      </c>
      <c r="BL20" s="492">
        <v>900.61800000000005</v>
      </c>
      <c r="BM20" s="492">
        <v>931.36500000000001</v>
      </c>
      <c r="BN20" s="493">
        <f t="shared" si="16"/>
        <v>5085.4879999999994</v>
      </c>
      <c r="BO20" s="656">
        <v>169</v>
      </c>
      <c r="BP20" s="492">
        <v>259</v>
      </c>
      <c r="BQ20" s="492">
        <v>243</v>
      </c>
      <c r="BR20" s="492"/>
      <c r="BS20" s="492"/>
      <c r="BT20" s="492">
        <v>199</v>
      </c>
      <c r="BU20" s="492">
        <v>52</v>
      </c>
      <c r="BV20" s="492">
        <v>222</v>
      </c>
      <c r="BW20" s="492">
        <f>38+258</f>
        <v>296</v>
      </c>
      <c r="BX20" s="492"/>
      <c r="BY20" s="492"/>
      <c r="BZ20" s="492">
        <v>22.626000000000001</v>
      </c>
      <c r="CA20" s="493">
        <f t="shared" si="17"/>
        <v>1462.626</v>
      </c>
      <c r="CB20" s="656">
        <v>14.625</v>
      </c>
      <c r="CC20" s="492">
        <v>5.4829999999999997</v>
      </c>
      <c r="CD20" s="492">
        <v>5.4829999999999997</v>
      </c>
      <c r="CE20" s="492"/>
      <c r="CF20" s="492"/>
      <c r="CG20" s="492">
        <v>6.1769999999999996</v>
      </c>
      <c r="CH20" s="492">
        <v>21.228000000000002</v>
      </c>
      <c r="CI20" s="492"/>
      <c r="CJ20" s="492"/>
      <c r="CK20" s="492"/>
      <c r="CL20" s="492"/>
      <c r="CM20" s="492"/>
      <c r="CN20" s="493">
        <f t="shared" si="18"/>
        <v>52.996000000000002</v>
      </c>
      <c r="CO20" s="656">
        <v>102.374</v>
      </c>
      <c r="CP20" s="492"/>
      <c r="CQ20" s="492"/>
      <c r="CR20" s="492"/>
      <c r="CS20" s="492">
        <v>49.636000000000003</v>
      </c>
      <c r="CT20" s="492"/>
      <c r="CU20" s="492"/>
      <c r="CV20" s="492">
        <v>19.143999999999998</v>
      </c>
      <c r="CW20" s="492">
        <v>16.652999999999999</v>
      </c>
      <c r="CX20" s="492">
        <v>5.8280000000000003</v>
      </c>
      <c r="CY20" s="492"/>
      <c r="CZ20" s="492"/>
      <c r="DA20" s="493">
        <f t="shared" si="19"/>
        <v>193.63499999999999</v>
      </c>
      <c r="DB20" s="656">
        <v>2.7549999999999999</v>
      </c>
      <c r="DC20" s="492">
        <v>3.7120000000000002</v>
      </c>
      <c r="DD20" s="492"/>
      <c r="DE20" s="492"/>
      <c r="DF20" s="492">
        <v>314.63900000000001</v>
      </c>
      <c r="DG20" s="492">
        <v>17.233000000000001</v>
      </c>
      <c r="DH20" s="492">
        <v>41</v>
      </c>
      <c r="DI20" s="492">
        <v>44.030999999999999</v>
      </c>
      <c r="DJ20" s="492">
        <v>182.524</v>
      </c>
      <c r="DK20" s="492">
        <v>846.12199999999996</v>
      </c>
      <c r="DL20" s="492"/>
      <c r="DM20" s="492">
        <v>116.03</v>
      </c>
      <c r="DN20" s="493">
        <f t="shared" si="20"/>
        <v>1568.046</v>
      </c>
      <c r="DO20" s="656">
        <v>95.177999999999997</v>
      </c>
      <c r="DP20" s="492">
        <f>120.793+69.168</f>
        <v>189.96100000000001</v>
      </c>
      <c r="DQ20" s="492">
        <f>270.659+828.976</f>
        <v>1099.635</v>
      </c>
      <c r="DR20" s="492">
        <f>1.783+100.355</f>
        <v>102.13800000000001</v>
      </c>
      <c r="DS20" s="492">
        <v>81.477999999999994</v>
      </c>
      <c r="DT20" s="492">
        <v>14.255000000000001</v>
      </c>
      <c r="DU20" s="492">
        <f>163.477+48.559</f>
        <v>212.036</v>
      </c>
      <c r="DV20" s="492">
        <f>157.62+45.46</f>
        <v>203.08</v>
      </c>
      <c r="DW20" s="492">
        <f>36.287+77.171</f>
        <v>113.458</v>
      </c>
      <c r="DX20" s="492">
        <v>58.496000000000002</v>
      </c>
      <c r="DY20" s="492">
        <v>448.74900000000002</v>
      </c>
      <c r="DZ20" s="492">
        <v>588.12</v>
      </c>
      <c r="EA20" s="493">
        <f t="shared" si="21"/>
        <v>3206.5839999999998</v>
      </c>
      <c r="EB20" s="656">
        <v>163.99799999999999</v>
      </c>
      <c r="EC20" s="492">
        <v>371.06700000000001</v>
      </c>
      <c r="ED20" s="492">
        <v>282.42899999999997</v>
      </c>
      <c r="EE20" s="492">
        <v>139.738</v>
      </c>
      <c r="EF20" s="492">
        <v>24.115000000000002</v>
      </c>
      <c r="EG20" s="492">
        <v>29.772999999999996</v>
      </c>
      <c r="EH20" s="492">
        <v>93.462000000000003</v>
      </c>
      <c r="EI20" s="492">
        <v>61.529000000000003</v>
      </c>
      <c r="EJ20" s="492">
        <v>95.876999999999995</v>
      </c>
      <c r="EK20" s="492">
        <v>86.588000000000008</v>
      </c>
      <c r="EL20" s="492">
        <v>82.256000000000014</v>
      </c>
      <c r="EM20" s="492">
        <v>313.72199999999998</v>
      </c>
      <c r="EN20" s="493">
        <f t="shared" si="22"/>
        <v>1744.5540000000001</v>
      </c>
      <c r="EO20" s="656"/>
      <c r="EP20" s="492"/>
      <c r="EQ20" s="492"/>
      <c r="ER20" s="492"/>
      <c r="ES20" s="492"/>
      <c r="ET20" s="492"/>
      <c r="EU20" s="492"/>
      <c r="EV20" s="492"/>
      <c r="EW20" s="492"/>
      <c r="EX20" s="492"/>
      <c r="EY20" s="492"/>
      <c r="EZ20" s="492"/>
      <c r="FA20" s="493">
        <f t="shared" si="23"/>
        <v>0</v>
      </c>
      <c r="FC20" s="595">
        <f t="shared" si="24"/>
        <v>-46.656804733727817</v>
      </c>
      <c r="FD20" s="596">
        <f t="shared" si="25"/>
        <v>-45.594626555861304</v>
      </c>
      <c r="FE20" s="498">
        <f t="shared" si="26"/>
        <v>3206.5839999999998</v>
      </c>
      <c r="FF20" s="597">
        <f t="shared" si="27"/>
        <v>1744.5540000000001</v>
      </c>
      <c r="FH20" s="551">
        <f t="shared" si="28"/>
        <v>29519.337999999992</v>
      </c>
      <c r="FI20" s="491" t="s">
        <v>649</v>
      </c>
      <c r="FJ20" s="554" t="str">
        <f t="shared" si="29"/>
        <v>OK</v>
      </c>
    </row>
    <row r="21" spans="1:166" ht="15" customHeight="1" x14ac:dyDescent="0.25">
      <c r="A21" s="610" t="s">
        <v>59</v>
      </c>
      <c r="B21" s="656"/>
      <c r="C21" s="492">
        <v>32</v>
      </c>
      <c r="D21" s="492"/>
      <c r="E21" s="492">
        <v>64</v>
      </c>
      <c r="F21" s="492">
        <v>41</v>
      </c>
      <c r="G21" s="492">
        <v>12</v>
      </c>
      <c r="H21" s="492"/>
      <c r="I21" s="492"/>
      <c r="J21" s="492">
        <v>61</v>
      </c>
      <c r="K21" s="492">
        <v>15</v>
      </c>
      <c r="L21" s="492">
        <v>182</v>
      </c>
      <c r="M21" s="492"/>
      <c r="N21" s="493">
        <f t="shared" si="12"/>
        <v>407</v>
      </c>
      <c r="O21" s="656">
        <v>19</v>
      </c>
      <c r="P21" s="492">
        <v>2</v>
      </c>
      <c r="Q21" s="492">
        <v>36</v>
      </c>
      <c r="R21" s="492"/>
      <c r="S21" s="492">
        <v>247</v>
      </c>
      <c r="T21" s="492"/>
      <c r="U21" s="492">
        <v>13</v>
      </c>
      <c r="V21" s="492">
        <v>4</v>
      </c>
      <c r="W21" s="492">
        <v>338.09799999999996</v>
      </c>
      <c r="X21" s="492">
        <v>130.94300000000001</v>
      </c>
      <c r="Y21" s="492"/>
      <c r="Z21" s="492">
        <v>236</v>
      </c>
      <c r="AA21" s="493">
        <f t="shared" si="13"/>
        <v>1026.0409999999999</v>
      </c>
      <c r="AB21" s="656">
        <v>13</v>
      </c>
      <c r="AC21" s="492">
        <v>9</v>
      </c>
      <c r="AD21" s="492">
        <v>244</v>
      </c>
      <c r="AE21" s="492">
        <v>289.91800000000001</v>
      </c>
      <c r="AF21" s="492">
        <v>151.66500000000002</v>
      </c>
      <c r="AG21" s="492"/>
      <c r="AH21" s="492">
        <v>7</v>
      </c>
      <c r="AI21" s="492">
        <v>8</v>
      </c>
      <c r="AJ21" s="492">
        <v>24</v>
      </c>
      <c r="AK21" s="492">
        <v>160</v>
      </c>
      <c r="AL21" s="492">
        <v>197</v>
      </c>
      <c r="AM21" s="492">
        <v>64</v>
      </c>
      <c r="AN21" s="493">
        <f t="shared" si="14"/>
        <v>1167.5830000000001</v>
      </c>
      <c r="AO21" s="656">
        <v>31.478999999999999</v>
      </c>
      <c r="AP21" s="492">
        <v>0.85699999999999998</v>
      </c>
      <c r="AQ21" s="492">
        <v>175.166</v>
      </c>
      <c r="AR21" s="492">
        <v>125.07900000000001</v>
      </c>
      <c r="AS21" s="492">
        <v>56.898999999999994</v>
      </c>
      <c r="AT21" s="492">
        <v>80.111999999999995</v>
      </c>
      <c r="AU21" s="492">
        <v>11.346</v>
      </c>
      <c r="AV21" s="492">
        <v>274.92699999999996</v>
      </c>
      <c r="AW21" s="492">
        <v>191.32399999999998</v>
      </c>
      <c r="AX21" s="492">
        <v>470.52499999999998</v>
      </c>
      <c r="AY21" s="492">
        <v>361.16500000000002</v>
      </c>
      <c r="AZ21" s="492">
        <v>21.973000000000003</v>
      </c>
      <c r="BA21" s="493">
        <f t="shared" si="15"/>
        <v>1800.8519999999999</v>
      </c>
      <c r="BB21" s="656">
        <v>119.88899999999998</v>
      </c>
      <c r="BC21" s="492">
        <v>13.474</v>
      </c>
      <c r="BD21" s="492">
        <v>182.626</v>
      </c>
      <c r="BE21" s="492">
        <v>10.039</v>
      </c>
      <c r="BF21" s="492">
        <v>94.363000000000014</v>
      </c>
      <c r="BG21" s="492">
        <v>86.53</v>
      </c>
      <c r="BH21" s="492">
        <v>126.47300000000001</v>
      </c>
      <c r="BI21" s="492">
        <v>976.54299999999978</v>
      </c>
      <c r="BJ21" s="492">
        <v>710.32899999999995</v>
      </c>
      <c r="BK21" s="492">
        <v>518.13499999999999</v>
      </c>
      <c r="BL21" s="492">
        <v>145.50200000000001</v>
      </c>
      <c r="BM21" s="492">
        <v>76.714999999999989</v>
      </c>
      <c r="BN21" s="493">
        <f t="shared" si="16"/>
        <v>3060.6179999999999</v>
      </c>
      <c r="BO21" s="656">
        <v>654</v>
      </c>
      <c r="BP21" s="492">
        <v>140</v>
      </c>
      <c r="BQ21" s="492">
        <v>329</v>
      </c>
      <c r="BR21" s="492"/>
      <c r="BS21" s="492"/>
      <c r="BT21" s="492">
        <v>249</v>
      </c>
      <c r="BU21" s="492">
        <v>342</v>
      </c>
      <c r="BV21" s="492">
        <v>154</v>
      </c>
      <c r="BW21" s="492">
        <v>277</v>
      </c>
      <c r="BX21" s="492"/>
      <c r="BY21" s="492"/>
      <c r="BZ21" s="492"/>
      <c r="CA21" s="493">
        <f t="shared" si="17"/>
        <v>2145</v>
      </c>
      <c r="CB21" s="656">
        <v>6.34</v>
      </c>
      <c r="CC21" s="492"/>
      <c r="CD21" s="492"/>
      <c r="CE21" s="492"/>
      <c r="CF21" s="492"/>
      <c r="CG21" s="492"/>
      <c r="CH21" s="492">
        <v>4.9059999999999997</v>
      </c>
      <c r="CI21" s="492"/>
      <c r="CJ21" s="492"/>
      <c r="CK21" s="492"/>
      <c r="CL21" s="492"/>
      <c r="CM21" s="492"/>
      <c r="CN21" s="493">
        <f t="shared" si="18"/>
        <v>11.245999999999999</v>
      </c>
      <c r="CO21" s="656"/>
      <c r="CP21" s="492"/>
      <c r="CQ21" s="492"/>
      <c r="CR21" s="492"/>
      <c r="CS21" s="492">
        <v>146.84299999999999</v>
      </c>
      <c r="CT21" s="492"/>
      <c r="CU21" s="492"/>
      <c r="CV21" s="492"/>
      <c r="CW21" s="492"/>
      <c r="CX21" s="492"/>
      <c r="CY21" s="492"/>
      <c r="CZ21" s="492"/>
      <c r="DA21" s="493">
        <f t="shared" si="19"/>
        <v>146.84299999999999</v>
      </c>
      <c r="DB21" s="656"/>
      <c r="DC21" s="492"/>
      <c r="DD21" s="492"/>
      <c r="DE21" s="492"/>
      <c r="DF21" s="492">
        <v>257.42</v>
      </c>
      <c r="DG21" s="492">
        <v>44.124000000000002</v>
      </c>
      <c r="DH21" s="492">
        <v>47</v>
      </c>
      <c r="DI21" s="492"/>
      <c r="DJ21" s="492"/>
      <c r="DK21" s="492">
        <v>64</v>
      </c>
      <c r="DL21" s="492">
        <v>15.359</v>
      </c>
      <c r="DM21" s="492">
        <v>86</v>
      </c>
      <c r="DN21" s="493">
        <f t="shared" si="20"/>
        <v>513.90300000000002</v>
      </c>
      <c r="DO21" s="656">
        <v>439.06599999999997</v>
      </c>
      <c r="DP21" s="492">
        <f>410.837+13.189</f>
        <v>424.02600000000001</v>
      </c>
      <c r="DQ21" s="492">
        <v>38.667000000000002</v>
      </c>
      <c r="DR21" s="492">
        <v>43.954999999999998</v>
      </c>
      <c r="DS21" s="492">
        <v>117.749</v>
      </c>
      <c r="DT21" s="492">
        <v>58.97</v>
      </c>
      <c r="DU21" s="492"/>
      <c r="DV21" s="492">
        <v>9.0660000000000007</v>
      </c>
      <c r="DW21" s="492">
        <v>206.64500000000001</v>
      </c>
      <c r="DX21" s="492"/>
      <c r="DY21" s="492">
        <v>201.62200000000001</v>
      </c>
      <c r="DZ21" s="492">
        <v>261.721</v>
      </c>
      <c r="EA21" s="493">
        <f t="shared" si="21"/>
        <v>1801.4870000000001</v>
      </c>
      <c r="EB21" s="656">
        <v>39.476999999999997</v>
      </c>
      <c r="EC21" s="492">
        <v>89.179999999999993</v>
      </c>
      <c r="ED21" s="492">
        <v>16.656999999999996</v>
      </c>
      <c r="EE21" s="492">
        <v>21.862000000000002</v>
      </c>
      <c r="EF21" s="492"/>
      <c r="EG21" s="492">
        <v>273.71899999999999</v>
      </c>
      <c r="EH21" s="492"/>
      <c r="EI21" s="492"/>
      <c r="EJ21" s="492">
        <v>179.89400000000001</v>
      </c>
      <c r="EK21" s="492">
        <v>123.197</v>
      </c>
      <c r="EL21" s="492">
        <v>43.188000000000002</v>
      </c>
      <c r="EM21" s="492">
        <v>162.54499999999999</v>
      </c>
      <c r="EN21" s="493">
        <f t="shared" si="22"/>
        <v>949.71899999999994</v>
      </c>
      <c r="EO21" s="656"/>
      <c r="EP21" s="492"/>
      <c r="EQ21" s="492"/>
      <c r="ER21" s="492"/>
      <c r="ES21" s="492"/>
      <c r="ET21" s="492"/>
      <c r="EU21" s="492"/>
      <c r="EV21" s="492"/>
      <c r="EW21" s="492"/>
      <c r="EX21" s="492"/>
      <c r="EY21" s="492"/>
      <c r="EZ21" s="492"/>
      <c r="FA21" s="493">
        <f t="shared" si="23"/>
        <v>0</v>
      </c>
      <c r="FC21" s="595">
        <f t="shared" si="24"/>
        <v>-37.893787659377743</v>
      </c>
      <c r="FD21" s="596">
        <f t="shared" si="25"/>
        <v>-47.281384767139599</v>
      </c>
      <c r="FE21" s="498">
        <f t="shared" si="26"/>
        <v>1801.4870000000001</v>
      </c>
      <c r="FF21" s="597">
        <f t="shared" si="27"/>
        <v>949.71899999999994</v>
      </c>
      <c r="FH21" s="551">
        <f t="shared" si="28"/>
        <v>26060.583999999999</v>
      </c>
      <c r="FI21" s="491" t="s">
        <v>59</v>
      </c>
      <c r="FJ21" s="554" t="str">
        <f t="shared" si="29"/>
        <v>OK</v>
      </c>
    </row>
    <row r="22" spans="1:166" ht="15" customHeight="1" x14ac:dyDescent="0.25">
      <c r="A22" s="610" t="s">
        <v>647</v>
      </c>
      <c r="B22" s="656"/>
      <c r="C22" s="492"/>
      <c r="D22" s="492"/>
      <c r="E22" s="492"/>
      <c r="F22" s="492"/>
      <c r="G22" s="492"/>
      <c r="H22" s="492"/>
      <c r="I22" s="492"/>
      <c r="J22" s="492"/>
      <c r="K22" s="492"/>
      <c r="L22" s="492"/>
      <c r="M22" s="492"/>
      <c r="N22" s="493">
        <f t="shared" si="12"/>
        <v>0</v>
      </c>
      <c r="O22" s="656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3">
        <f t="shared" si="13"/>
        <v>0</v>
      </c>
      <c r="AB22" s="656"/>
      <c r="AC22" s="492"/>
      <c r="AD22" s="492">
        <v>6</v>
      </c>
      <c r="AE22" s="492"/>
      <c r="AF22" s="492"/>
      <c r="AG22" s="492"/>
      <c r="AH22" s="492"/>
      <c r="AI22" s="492"/>
      <c r="AJ22" s="492"/>
      <c r="AK22" s="492"/>
      <c r="AL22" s="492"/>
      <c r="AM22" s="492"/>
      <c r="AN22" s="493">
        <f t="shared" si="14"/>
        <v>6</v>
      </c>
      <c r="AO22" s="656"/>
      <c r="AP22" s="492">
        <v>6.5590000000000002</v>
      </c>
      <c r="AQ22" s="492"/>
      <c r="AR22" s="492"/>
      <c r="AS22" s="492"/>
      <c r="AT22" s="492"/>
      <c r="AU22" s="492"/>
      <c r="AV22" s="492"/>
      <c r="AW22" s="492"/>
      <c r="AX22" s="492"/>
      <c r="AY22" s="492"/>
      <c r="AZ22" s="492"/>
      <c r="BA22" s="493">
        <f t="shared" si="15"/>
        <v>6.5590000000000002</v>
      </c>
      <c r="BB22" s="656">
        <v>16.276</v>
      </c>
      <c r="BC22" s="492"/>
      <c r="BD22" s="492"/>
      <c r="BE22" s="492"/>
      <c r="BF22" s="492">
        <v>9.870000000000001</v>
      </c>
      <c r="BG22" s="492">
        <v>3.1840000000000002</v>
      </c>
      <c r="BH22" s="492"/>
      <c r="BI22" s="492">
        <v>92.218999999999994</v>
      </c>
      <c r="BJ22" s="492">
        <v>4.1669999999999998</v>
      </c>
      <c r="BK22" s="492">
        <v>6.6230000000000002</v>
      </c>
      <c r="BL22" s="492">
        <v>21.309000000000001</v>
      </c>
      <c r="BM22" s="492">
        <v>75.513000000000005</v>
      </c>
      <c r="BN22" s="493">
        <f t="shared" si="16"/>
        <v>229.161</v>
      </c>
      <c r="BO22" s="656">
        <v>26</v>
      </c>
      <c r="BP22" s="492">
        <v>7</v>
      </c>
      <c r="BQ22" s="492">
        <v>7</v>
      </c>
      <c r="BR22" s="492"/>
      <c r="BS22" s="492"/>
      <c r="BT22" s="492"/>
      <c r="BU22" s="492"/>
      <c r="BV22" s="492"/>
      <c r="BW22" s="492">
        <v>2</v>
      </c>
      <c r="BX22" s="492"/>
      <c r="BY22" s="492"/>
      <c r="BZ22" s="492"/>
      <c r="CA22" s="493">
        <f t="shared" si="17"/>
        <v>42</v>
      </c>
      <c r="CB22" s="656"/>
      <c r="CC22" s="492"/>
      <c r="CD22" s="492"/>
      <c r="CE22" s="492"/>
      <c r="CF22" s="492"/>
      <c r="CG22" s="492"/>
      <c r="CH22" s="492"/>
      <c r="CI22" s="492"/>
      <c r="CJ22" s="492"/>
      <c r="CK22" s="492"/>
      <c r="CL22" s="492"/>
      <c r="CM22" s="492"/>
      <c r="CN22" s="493">
        <f t="shared" si="18"/>
        <v>0</v>
      </c>
      <c r="CO22" s="656"/>
      <c r="CP22" s="492"/>
      <c r="CQ22" s="492"/>
      <c r="CR22" s="492"/>
      <c r="CS22" s="492"/>
      <c r="CT22" s="492"/>
      <c r="CU22" s="492"/>
      <c r="CV22" s="492"/>
      <c r="CW22" s="492"/>
      <c r="CX22" s="492"/>
      <c r="CY22" s="492"/>
      <c r="CZ22" s="492"/>
      <c r="DA22" s="493">
        <f t="shared" si="19"/>
        <v>0</v>
      </c>
      <c r="DB22" s="656"/>
      <c r="DC22" s="492"/>
      <c r="DD22" s="492"/>
      <c r="DE22" s="492"/>
      <c r="DF22" s="492">
        <v>21.847000000000001</v>
      </c>
      <c r="DG22" s="492"/>
      <c r="DH22" s="492">
        <v>26</v>
      </c>
      <c r="DI22" s="492">
        <v>36.777999999999999</v>
      </c>
      <c r="DJ22" s="492">
        <v>262.74</v>
      </c>
      <c r="DK22" s="492"/>
      <c r="DL22" s="492">
        <v>15.281000000000001</v>
      </c>
      <c r="DM22" s="492"/>
      <c r="DN22" s="493">
        <f t="shared" si="20"/>
        <v>362.64600000000002</v>
      </c>
      <c r="DO22" s="656">
        <v>16.596</v>
      </c>
      <c r="DP22" s="492"/>
      <c r="DQ22" s="492">
        <v>14.301</v>
      </c>
      <c r="DR22" s="492">
        <v>75.218999999999994</v>
      </c>
      <c r="DS22" s="492"/>
      <c r="DT22" s="492"/>
      <c r="DU22" s="492"/>
      <c r="DV22" s="492"/>
      <c r="DW22" s="492">
        <v>22.135000000000002</v>
      </c>
      <c r="DX22" s="492"/>
      <c r="DY22" s="492"/>
      <c r="DZ22" s="492"/>
      <c r="EA22" s="493">
        <f t="shared" si="21"/>
        <v>128.25099999999998</v>
      </c>
      <c r="EB22" s="656">
        <v>7</v>
      </c>
      <c r="EC22" s="492"/>
      <c r="ED22" s="492"/>
      <c r="EE22" s="492"/>
      <c r="EF22" s="492"/>
      <c r="EG22" s="492"/>
      <c r="EH22" s="492"/>
      <c r="EI22" s="492"/>
      <c r="EJ22" s="492">
        <v>22.852</v>
      </c>
      <c r="EK22" s="492">
        <v>84</v>
      </c>
      <c r="EL22" s="492">
        <v>36</v>
      </c>
      <c r="EM22" s="492">
        <v>20</v>
      </c>
      <c r="EN22" s="493">
        <f t="shared" si="22"/>
        <v>169.852</v>
      </c>
      <c r="EO22" s="656"/>
      <c r="EP22" s="492"/>
      <c r="EQ22" s="492"/>
      <c r="ER22" s="492"/>
      <c r="ES22" s="492"/>
      <c r="ET22" s="492"/>
      <c r="EU22" s="492"/>
      <c r="EV22" s="492"/>
      <c r="EW22" s="492"/>
      <c r="EX22" s="492"/>
      <c r="EY22" s="492"/>
      <c r="EZ22" s="492"/>
      <c r="FA22" s="493">
        <f t="shared" si="23"/>
        <v>0</v>
      </c>
      <c r="FC22" s="595" t="str">
        <f t="shared" si="24"/>
        <v/>
      </c>
      <c r="FD22" s="596">
        <f t="shared" si="25"/>
        <v>32.437173979150288</v>
      </c>
      <c r="FE22" s="498">
        <f t="shared" si="26"/>
        <v>128.25099999999998</v>
      </c>
      <c r="FF22" s="597">
        <f t="shared" si="27"/>
        <v>169.852</v>
      </c>
      <c r="FH22" s="551">
        <f t="shared" si="28"/>
        <v>1888.9380000000001</v>
      </c>
      <c r="FI22" s="491" t="s">
        <v>647</v>
      </c>
      <c r="FJ22" s="554" t="str">
        <f t="shared" si="29"/>
        <v>OK</v>
      </c>
    </row>
    <row r="23" spans="1:166" ht="15" customHeight="1" x14ac:dyDescent="0.25">
      <c r="A23" s="610" t="s">
        <v>148</v>
      </c>
      <c r="B23" s="656"/>
      <c r="C23" s="492"/>
      <c r="D23" s="492"/>
      <c r="E23" s="492"/>
      <c r="F23" s="492"/>
      <c r="G23" s="492"/>
      <c r="H23" s="492">
        <v>32</v>
      </c>
      <c r="I23" s="492"/>
      <c r="J23" s="492"/>
      <c r="K23" s="492"/>
      <c r="L23" s="492"/>
      <c r="M23" s="492"/>
      <c r="N23" s="493">
        <f t="shared" si="12"/>
        <v>32</v>
      </c>
      <c r="O23" s="656"/>
      <c r="P23" s="492"/>
      <c r="Q23" s="492">
        <v>16</v>
      </c>
      <c r="R23" s="492"/>
      <c r="S23" s="492"/>
      <c r="T23" s="492"/>
      <c r="U23" s="492"/>
      <c r="V23" s="492"/>
      <c r="W23" s="492"/>
      <c r="X23" s="492"/>
      <c r="Y23" s="492">
        <v>24</v>
      </c>
      <c r="Z23" s="492"/>
      <c r="AA23" s="493">
        <f t="shared" si="13"/>
        <v>40</v>
      </c>
      <c r="AB23" s="656"/>
      <c r="AC23" s="492">
        <v>23</v>
      </c>
      <c r="AD23" s="492"/>
      <c r="AE23" s="492"/>
      <c r="AF23" s="492"/>
      <c r="AG23" s="492"/>
      <c r="AH23" s="492"/>
      <c r="AI23" s="492">
        <v>304</v>
      </c>
      <c r="AJ23" s="492">
        <v>846</v>
      </c>
      <c r="AK23" s="492">
        <v>660</v>
      </c>
      <c r="AL23" s="492">
        <v>80</v>
      </c>
      <c r="AM23" s="492">
        <v>770</v>
      </c>
      <c r="AN23" s="493">
        <f t="shared" si="14"/>
        <v>2683</v>
      </c>
      <c r="AO23" s="656">
        <v>365</v>
      </c>
      <c r="AP23" s="492">
        <v>386</v>
      </c>
      <c r="AQ23" s="492">
        <v>677</v>
      </c>
      <c r="AR23" s="492">
        <v>1462</v>
      </c>
      <c r="AS23" s="492"/>
      <c r="AT23" s="492"/>
      <c r="AU23" s="492">
        <v>378</v>
      </c>
      <c r="AV23" s="492">
        <v>150</v>
      </c>
      <c r="AW23" s="492">
        <v>11</v>
      </c>
      <c r="AX23" s="492">
        <v>188.74</v>
      </c>
      <c r="AY23" s="492">
        <v>17.713000000000001</v>
      </c>
      <c r="AZ23" s="492">
        <v>103.25</v>
      </c>
      <c r="BA23" s="493">
        <f t="shared" si="15"/>
        <v>3738.703</v>
      </c>
      <c r="BB23" s="656">
        <v>350</v>
      </c>
      <c r="BC23" s="492">
        <v>700.54699999999991</v>
      </c>
      <c r="BD23" s="492">
        <v>100</v>
      </c>
      <c r="BE23" s="492">
        <v>25.006</v>
      </c>
      <c r="BF23" s="492">
        <v>124.057</v>
      </c>
      <c r="BG23" s="492">
        <v>100.01600000000001</v>
      </c>
      <c r="BH23" s="492">
        <v>200.2</v>
      </c>
      <c r="BI23" s="492">
        <v>132.01</v>
      </c>
      <c r="BJ23" s="492">
        <v>171.01400000000001</v>
      </c>
      <c r="BK23" s="492">
        <v>21.445</v>
      </c>
      <c r="BL23" s="492">
        <v>253.81700000000001</v>
      </c>
      <c r="BM23" s="492">
        <v>31.847000000000001</v>
      </c>
      <c r="BN23" s="493">
        <f t="shared" si="16"/>
        <v>2209.9590000000003</v>
      </c>
      <c r="BO23" s="656"/>
      <c r="BP23" s="492"/>
      <c r="BQ23" s="492"/>
      <c r="BR23" s="492"/>
      <c r="BS23" s="492"/>
      <c r="BT23" s="492"/>
      <c r="BU23" s="492"/>
      <c r="BV23" s="492">
        <v>61</v>
      </c>
      <c r="BW23" s="492">
        <v>60</v>
      </c>
      <c r="BX23" s="492"/>
      <c r="BY23" s="492"/>
      <c r="BZ23" s="492"/>
      <c r="CA23" s="493">
        <f t="shared" si="17"/>
        <v>121</v>
      </c>
      <c r="CB23" s="656"/>
      <c r="CC23" s="492"/>
      <c r="CD23" s="492"/>
      <c r="CE23" s="492">
        <v>120.295</v>
      </c>
      <c r="CF23" s="492"/>
      <c r="CG23" s="492"/>
      <c r="CH23" s="492"/>
      <c r="CI23" s="492"/>
      <c r="CJ23" s="492"/>
      <c r="CK23" s="492"/>
      <c r="CL23" s="492"/>
      <c r="CM23" s="492"/>
      <c r="CN23" s="493">
        <f t="shared" si="18"/>
        <v>120.295</v>
      </c>
      <c r="CO23" s="656"/>
      <c r="CP23" s="492"/>
      <c r="CQ23" s="492"/>
      <c r="CR23" s="492"/>
      <c r="CS23" s="492"/>
      <c r="CT23" s="492"/>
      <c r="CU23" s="492"/>
      <c r="CV23" s="492"/>
      <c r="CW23" s="492"/>
      <c r="CX23" s="492"/>
      <c r="CY23" s="492"/>
      <c r="CZ23" s="492"/>
      <c r="DA23" s="493">
        <f t="shared" si="19"/>
        <v>0</v>
      </c>
      <c r="DB23" s="656"/>
      <c r="DC23" s="492"/>
      <c r="DD23" s="492"/>
      <c r="DE23" s="492"/>
      <c r="DF23" s="492"/>
      <c r="DG23" s="492">
        <v>36.780999999999999</v>
      </c>
      <c r="DH23" s="492">
        <v>120</v>
      </c>
      <c r="DI23" s="492">
        <v>100.157</v>
      </c>
      <c r="DJ23" s="492"/>
      <c r="DK23" s="492">
        <f>150.116+22.11</f>
        <v>172.226</v>
      </c>
      <c r="DL23" s="492"/>
      <c r="DM23" s="492">
        <v>149.964</v>
      </c>
      <c r="DN23" s="493">
        <f t="shared" si="20"/>
        <v>579.12799999999993</v>
      </c>
      <c r="DO23" s="656">
        <f>311.176+71.588</f>
        <v>382.76400000000001</v>
      </c>
      <c r="DP23" s="492">
        <f>12.487+286.202</f>
        <v>298.68900000000002</v>
      </c>
      <c r="DQ23" s="492">
        <v>64.983000000000004</v>
      </c>
      <c r="DR23" s="492">
        <f>96.009+7.732</f>
        <v>103.741</v>
      </c>
      <c r="DS23" s="492"/>
      <c r="DT23" s="492"/>
      <c r="DU23" s="492"/>
      <c r="DV23" s="492"/>
      <c r="DW23" s="492">
        <f>118.417+10.438</f>
        <v>128.85499999999999</v>
      </c>
      <c r="DX23" s="492">
        <v>35.554000000000002</v>
      </c>
      <c r="DY23" s="492">
        <v>3.391</v>
      </c>
      <c r="DZ23" s="492">
        <v>143.23500000000001</v>
      </c>
      <c r="EA23" s="493">
        <f t="shared" si="21"/>
        <v>1161.212</v>
      </c>
      <c r="EB23" s="656">
        <v>111.65600000000001</v>
      </c>
      <c r="EC23" s="492">
        <v>17.852</v>
      </c>
      <c r="ED23" s="492"/>
      <c r="EE23" s="492"/>
      <c r="EF23" s="492">
        <v>7.6359999999999992</v>
      </c>
      <c r="EG23" s="492">
        <v>5.0960000000000001</v>
      </c>
      <c r="EH23" s="492">
        <v>227.80899999999997</v>
      </c>
      <c r="EI23" s="492">
        <v>129.12700000000001</v>
      </c>
      <c r="EJ23" s="492"/>
      <c r="EK23" s="492">
        <v>11.206999999999999</v>
      </c>
      <c r="EL23" s="492">
        <v>116.819</v>
      </c>
      <c r="EM23" s="492">
        <v>68</v>
      </c>
      <c r="EN23" s="493">
        <f t="shared" si="22"/>
        <v>695.202</v>
      </c>
      <c r="EO23" s="656"/>
      <c r="EP23" s="492"/>
      <c r="EQ23" s="492"/>
      <c r="ER23" s="492"/>
      <c r="ES23" s="492"/>
      <c r="ET23" s="492"/>
      <c r="EU23" s="492"/>
      <c r="EV23" s="492"/>
      <c r="EW23" s="492"/>
      <c r="EX23" s="492"/>
      <c r="EY23" s="492"/>
      <c r="EZ23" s="492"/>
      <c r="FA23" s="493">
        <f t="shared" si="23"/>
        <v>0</v>
      </c>
      <c r="FC23" s="595">
        <f t="shared" si="24"/>
        <v>-52.525569867699943</v>
      </c>
      <c r="FD23" s="596">
        <f t="shared" si="25"/>
        <v>-40.131345525192643</v>
      </c>
      <c r="FE23" s="498">
        <f t="shared" si="26"/>
        <v>1161.212</v>
      </c>
      <c r="FF23" s="597">
        <f t="shared" si="27"/>
        <v>695.202</v>
      </c>
      <c r="FH23" s="551">
        <f t="shared" si="28"/>
        <v>22760.997999999992</v>
      </c>
      <c r="FI23" s="491" t="s">
        <v>148</v>
      </c>
      <c r="FJ23" s="554" t="str">
        <f t="shared" si="29"/>
        <v>OK</v>
      </c>
    </row>
    <row r="24" spans="1:166" ht="15" customHeight="1" x14ac:dyDescent="0.25">
      <c r="A24" s="610" t="s">
        <v>60</v>
      </c>
      <c r="B24" s="656">
        <v>168.05200000000002</v>
      </c>
      <c r="C24" s="492">
        <v>815.99299999999994</v>
      </c>
      <c r="D24" s="492"/>
      <c r="E24" s="492">
        <v>119</v>
      </c>
      <c r="F24" s="492">
        <v>550</v>
      </c>
      <c r="G24" s="492">
        <v>50</v>
      </c>
      <c r="H24" s="492">
        <v>153</v>
      </c>
      <c r="I24" s="492">
        <v>947</v>
      </c>
      <c r="J24" s="492">
        <v>699</v>
      </c>
      <c r="K24" s="492">
        <v>99</v>
      </c>
      <c r="L24" s="492">
        <v>356</v>
      </c>
      <c r="M24" s="492">
        <v>852</v>
      </c>
      <c r="N24" s="493">
        <f t="shared" si="12"/>
        <v>4809.0450000000001</v>
      </c>
      <c r="O24" s="656">
        <v>494</v>
      </c>
      <c r="P24" s="492">
        <v>553</v>
      </c>
      <c r="Q24" s="492"/>
      <c r="R24" s="492">
        <v>4</v>
      </c>
      <c r="S24" s="492">
        <v>4</v>
      </c>
      <c r="T24" s="492">
        <v>304</v>
      </c>
      <c r="U24" s="492">
        <v>119</v>
      </c>
      <c r="V24" s="492">
        <v>119</v>
      </c>
      <c r="W24" s="492">
        <v>1414.7659999999998</v>
      </c>
      <c r="X24" s="492">
        <v>623.90299999999979</v>
      </c>
      <c r="Y24" s="492">
        <v>492</v>
      </c>
      <c r="Z24" s="492">
        <v>1513</v>
      </c>
      <c r="AA24" s="493">
        <f t="shared" si="13"/>
        <v>5640.6689999999999</v>
      </c>
      <c r="AB24" s="656">
        <v>824</v>
      </c>
      <c r="AC24" s="492">
        <v>273</v>
      </c>
      <c r="AD24" s="492">
        <v>310</v>
      </c>
      <c r="AE24" s="492">
        <v>275.55500000000001</v>
      </c>
      <c r="AF24" s="492">
        <v>69.132000000000005</v>
      </c>
      <c r="AG24" s="492">
        <v>153</v>
      </c>
      <c r="AH24" s="492">
        <v>242</v>
      </c>
      <c r="AI24" s="492">
        <v>1103</v>
      </c>
      <c r="AJ24" s="492">
        <v>422</v>
      </c>
      <c r="AK24" s="492">
        <v>492</v>
      </c>
      <c r="AL24" s="492">
        <v>1700</v>
      </c>
      <c r="AM24" s="492">
        <v>2430</v>
      </c>
      <c r="AN24" s="493">
        <f t="shared" si="14"/>
        <v>8293.6869999999999</v>
      </c>
      <c r="AO24" s="656">
        <v>913.20100000000025</v>
      </c>
      <c r="AP24" s="492">
        <v>104.36799999999999</v>
      </c>
      <c r="AQ24" s="492">
        <v>829.06299999999999</v>
      </c>
      <c r="AR24" s="492">
        <v>689.14700000000005</v>
      </c>
      <c r="AS24" s="492">
        <v>95.725000000000009</v>
      </c>
      <c r="AT24" s="492">
        <v>110.64400000000001</v>
      </c>
      <c r="AU24" s="492">
        <v>493.15099999999995</v>
      </c>
      <c r="AV24" s="492">
        <v>171.358</v>
      </c>
      <c r="AW24" s="492">
        <v>2310.4740000000006</v>
      </c>
      <c r="AX24" s="492">
        <v>1063.0499999999997</v>
      </c>
      <c r="AY24" s="492">
        <v>2302.355</v>
      </c>
      <c r="AZ24" s="492">
        <v>545.80600000000004</v>
      </c>
      <c r="BA24" s="493">
        <f t="shared" si="15"/>
        <v>9628.3420000000006</v>
      </c>
      <c r="BB24" s="656">
        <v>57.231999999999999</v>
      </c>
      <c r="BC24" s="492">
        <v>553.22699999999998</v>
      </c>
      <c r="BD24" s="492">
        <v>818.65800000000013</v>
      </c>
      <c r="BE24" s="492">
        <v>264.07600000000002</v>
      </c>
      <c r="BF24" s="492">
        <v>332.637</v>
      </c>
      <c r="BG24" s="492">
        <v>63.68</v>
      </c>
      <c r="BH24" s="492">
        <v>223.017</v>
      </c>
      <c r="BI24" s="492">
        <v>2684.3380000000011</v>
      </c>
      <c r="BJ24" s="492">
        <v>2060.1460000000002</v>
      </c>
      <c r="BK24" s="492">
        <v>3682.1880000000006</v>
      </c>
      <c r="BL24" s="492">
        <v>3917.7400000000007</v>
      </c>
      <c r="BM24" s="492">
        <v>1719.4750000000001</v>
      </c>
      <c r="BN24" s="493">
        <f t="shared" si="16"/>
        <v>16376.414000000002</v>
      </c>
      <c r="BO24" s="656">
        <v>1115</v>
      </c>
      <c r="BP24" s="492">
        <v>164</v>
      </c>
      <c r="BQ24" s="492">
        <v>40</v>
      </c>
      <c r="BR24" s="492"/>
      <c r="BS24" s="492"/>
      <c r="BT24" s="492">
        <v>1571</v>
      </c>
      <c r="BU24" s="492">
        <v>796</v>
      </c>
      <c r="BV24" s="492">
        <v>538</v>
      </c>
      <c r="BW24" s="492">
        <v>2195</v>
      </c>
      <c r="BX24" s="492">
        <v>85.022999999999996</v>
      </c>
      <c r="BY24" s="492">
        <v>110.277</v>
      </c>
      <c r="BZ24" s="492"/>
      <c r="CA24" s="493">
        <f t="shared" si="17"/>
        <v>6614.3</v>
      </c>
      <c r="CB24" s="656">
        <v>252.143</v>
      </c>
      <c r="CC24" s="492">
        <v>258.93799999999999</v>
      </c>
      <c r="CD24" s="492">
        <v>73.409000000000006</v>
      </c>
      <c r="CE24" s="492"/>
      <c r="CF24" s="492">
        <v>72.53</v>
      </c>
      <c r="CG24" s="492">
        <v>106.443</v>
      </c>
      <c r="CH24" s="492">
        <v>14.954000000000001</v>
      </c>
      <c r="CI24" s="492"/>
      <c r="CJ24" s="492"/>
      <c r="CK24" s="492"/>
      <c r="CL24" s="492"/>
      <c r="CM24" s="492">
        <v>237.76</v>
      </c>
      <c r="CN24" s="493">
        <f t="shared" si="18"/>
        <v>1016.1769999999999</v>
      </c>
      <c r="CO24" s="656">
        <v>157.27199999999999</v>
      </c>
      <c r="CP24" s="492">
        <v>534.46900000000005</v>
      </c>
      <c r="CQ24" s="492">
        <v>175.471</v>
      </c>
      <c r="CR24" s="492">
        <v>237.79499999999999</v>
      </c>
      <c r="CS24" s="492">
        <v>147.43199999999999</v>
      </c>
      <c r="CT24" s="492">
        <v>237.393</v>
      </c>
      <c r="CU24" s="492">
        <v>43.676000000000002</v>
      </c>
      <c r="CV24" s="492"/>
      <c r="CW24" s="492"/>
      <c r="CX24" s="492"/>
      <c r="CY24" s="492">
        <v>197.416</v>
      </c>
      <c r="CZ24" s="492">
        <v>756.24300000000005</v>
      </c>
      <c r="DA24" s="493">
        <f t="shared" si="19"/>
        <v>2487.1669999999999</v>
      </c>
      <c r="DB24" s="656">
        <v>3.4249999999999998</v>
      </c>
      <c r="DC24" s="492">
        <v>705.93100000000004</v>
      </c>
      <c r="DD24" s="492">
        <v>407.18700000000001</v>
      </c>
      <c r="DE24" s="492">
        <v>186.28299999999999</v>
      </c>
      <c r="DF24" s="492">
        <v>297.94799999999998</v>
      </c>
      <c r="DG24" s="492">
        <v>33.939</v>
      </c>
      <c r="DH24" s="492">
        <v>268</v>
      </c>
      <c r="DI24" s="492">
        <v>549.09699999999998</v>
      </c>
      <c r="DJ24" s="492">
        <v>2638.864</v>
      </c>
      <c r="DK24" s="492">
        <v>305.08100000000002</v>
      </c>
      <c r="DL24" s="492">
        <v>572.56399999999996</v>
      </c>
      <c r="DM24" s="492">
        <v>582.15599999999995</v>
      </c>
      <c r="DN24" s="493">
        <f t="shared" si="20"/>
        <v>6550.4750000000004</v>
      </c>
      <c r="DO24" s="656">
        <v>1745.4059999999999</v>
      </c>
      <c r="DP24" s="492">
        <v>1053.6790000000001</v>
      </c>
      <c r="DQ24" s="492">
        <v>118.371</v>
      </c>
      <c r="DR24" s="492">
        <v>1864.37</v>
      </c>
      <c r="DS24" s="492">
        <v>74.902000000000001</v>
      </c>
      <c r="DT24" s="492">
        <v>995.69299999999998</v>
      </c>
      <c r="DU24" s="492">
        <v>248.77799999999999</v>
      </c>
      <c r="DV24" s="492">
        <v>2625.9270000000001</v>
      </c>
      <c r="DW24" s="492">
        <v>1538.864</v>
      </c>
      <c r="DX24" s="492">
        <v>1158.441</v>
      </c>
      <c r="DY24" s="492">
        <v>1437.232</v>
      </c>
      <c r="DZ24" s="492">
        <v>3601.9369999999999</v>
      </c>
      <c r="EA24" s="493">
        <f t="shared" si="21"/>
        <v>16463.599999999999</v>
      </c>
      <c r="EB24" s="656">
        <v>1544</v>
      </c>
      <c r="EC24" s="492">
        <v>695</v>
      </c>
      <c r="ED24" s="492">
        <v>377</v>
      </c>
      <c r="EE24" s="492">
        <v>157</v>
      </c>
      <c r="EF24" s="492">
        <v>116</v>
      </c>
      <c r="EG24" s="492">
        <v>441</v>
      </c>
      <c r="EH24" s="492">
        <v>307</v>
      </c>
      <c r="EI24" s="492">
        <v>511</v>
      </c>
      <c r="EJ24" s="492">
        <v>281</v>
      </c>
      <c r="EK24" s="492">
        <v>286</v>
      </c>
      <c r="EL24" s="492">
        <v>916</v>
      </c>
      <c r="EM24" s="492">
        <v>2131</v>
      </c>
      <c r="EN24" s="493">
        <f t="shared" si="22"/>
        <v>7762</v>
      </c>
      <c r="EO24" s="656"/>
      <c r="EP24" s="492"/>
      <c r="EQ24" s="492"/>
      <c r="ER24" s="492"/>
      <c r="ES24" s="492"/>
      <c r="ET24" s="492"/>
      <c r="EU24" s="492"/>
      <c r="EV24" s="492"/>
      <c r="EW24" s="492"/>
      <c r="EX24" s="492"/>
      <c r="EY24" s="492"/>
      <c r="EZ24" s="492"/>
      <c r="FA24" s="493">
        <f t="shared" si="23"/>
        <v>0</v>
      </c>
      <c r="FC24" s="595">
        <f t="shared" si="24"/>
        <v>-40.837388327447144</v>
      </c>
      <c r="FD24" s="596">
        <f t="shared" si="25"/>
        <v>-52.853567870939521</v>
      </c>
      <c r="FE24" s="498">
        <f t="shared" si="26"/>
        <v>16463.599999999999</v>
      </c>
      <c r="FF24" s="597">
        <f t="shared" si="27"/>
        <v>7762</v>
      </c>
      <c r="FH24" s="551">
        <f t="shared" si="28"/>
        <v>171283.75200000004</v>
      </c>
      <c r="FI24" s="491" t="s">
        <v>60</v>
      </c>
      <c r="FJ24" s="554" t="str">
        <f t="shared" si="29"/>
        <v>OK</v>
      </c>
    </row>
    <row r="25" spans="1:166" ht="15" customHeight="1" x14ac:dyDescent="0.25">
      <c r="A25" s="610" t="s">
        <v>84</v>
      </c>
      <c r="B25" s="656"/>
      <c r="C25" s="492"/>
      <c r="D25" s="492">
        <v>104</v>
      </c>
      <c r="E25" s="492">
        <v>55</v>
      </c>
      <c r="F25" s="492"/>
      <c r="G25" s="492"/>
      <c r="H25" s="492"/>
      <c r="I25" s="492">
        <v>200</v>
      </c>
      <c r="J25" s="492">
        <v>169</v>
      </c>
      <c r="K25" s="492">
        <v>162</v>
      </c>
      <c r="L25" s="492"/>
      <c r="M25" s="492"/>
      <c r="N25" s="493">
        <f t="shared" si="12"/>
        <v>690</v>
      </c>
      <c r="O25" s="656"/>
      <c r="P25" s="492"/>
      <c r="Q25" s="492"/>
      <c r="R25" s="492"/>
      <c r="S25" s="492"/>
      <c r="T25" s="492"/>
      <c r="U25" s="492">
        <v>72</v>
      </c>
      <c r="V25" s="492">
        <v>8</v>
      </c>
      <c r="W25" s="492">
        <v>187.26300000000001</v>
      </c>
      <c r="X25" s="492"/>
      <c r="Y25" s="492">
        <v>61</v>
      </c>
      <c r="Z25" s="492">
        <v>55</v>
      </c>
      <c r="AA25" s="493">
        <f t="shared" si="13"/>
        <v>383.26300000000003</v>
      </c>
      <c r="AB25" s="656"/>
      <c r="AC25" s="492">
        <v>12</v>
      </c>
      <c r="AD25" s="492">
        <v>10</v>
      </c>
      <c r="AE25" s="492">
        <v>65.69</v>
      </c>
      <c r="AF25" s="492"/>
      <c r="AG25" s="492">
        <v>23</v>
      </c>
      <c r="AH25" s="492">
        <v>2</v>
      </c>
      <c r="AI25" s="492">
        <v>376</v>
      </c>
      <c r="AJ25" s="492">
        <v>72</v>
      </c>
      <c r="AK25" s="492">
        <v>7</v>
      </c>
      <c r="AL25" s="492">
        <v>5</v>
      </c>
      <c r="AM25" s="492">
        <v>179</v>
      </c>
      <c r="AN25" s="493">
        <f t="shared" si="14"/>
        <v>751.69</v>
      </c>
      <c r="AO25" s="656">
        <v>26.133000000000003</v>
      </c>
      <c r="AP25" s="492">
        <v>55.106000000000002</v>
      </c>
      <c r="AQ25" s="492">
        <v>2.4129999999999998</v>
      </c>
      <c r="AR25" s="492">
        <v>4.5860000000000003</v>
      </c>
      <c r="AS25" s="492">
        <v>32.53</v>
      </c>
      <c r="AT25" s="492">
        <v>76.11699999999999</v>
      </c>
      <c r="AU25" s="492">
        <v>280.33499999999992</v>
      </c>
      <c r="AV25" s="492">
        <v>219.636</v>
      </c>
      <c r="AW25" s="492">
        <v>462.9860000000001</v>
      </c>
      <c r="AX25" s="492">
        <v>248.53599999999994</v>
      </c>
      <c r="AY25" s="492">
        <v>175.62799999999999</v>
      </c>
      <c r="AZ25" s="492">
        <v>26.996000000000002</v>
      </c>
      <c r="BA25" s="493">
        <f t="shared" si="15"/>
        <v>1611.0020000000002</v>
      </c>
      <c r="BB25" s="656">
        <v>36.29</v>
      </c>
      <c r="BC25" s="492">
        <v>163.887</v>
      </c>
      <c r="BD25" s="492">
        <v>383</v>
      </c>
      <c r="BE25" s="492">
        <v>91.194999999999993</v>
      </c>
      <c r="BF25" s="492"/>
      <c r="BG25" s="492">
        <v>292.31900000000002</v>
      </c>
      <c r="BH25" s="492">
        <v>556.56200000000001</v>
      </c>
      <c r="BI25" s="492">
        <v>461.43600000000004</v>
      </c>
      <c r="BJ25" s="492">
        <v>1417.1590000000001</v>
      </c>
      <c r="BK25" s="492">
        <v>1799.847</v>
      </c>
      <c r="BL25" s="492">
        <v>814.02499999999998</v>
      </c>
      <c r="BM25" s="492">
        <v>1277.194</v>
      </c>
      <c r="BN25" s="493">
        <f t="shared" si="16"/>
        <v>7292.9140000000007</v>
      </c>
      <c r="BO25" s="656">
        <v>21</v>
      </c>
      <c r="BP25" s="492"/>
      <c r="BQ25" s="492"/>
      <c r="BR25" s="492"/>
      <c r="BS25" s="492"/>
      <c r="BT25" s="492"/>
      <c r="BU25" s="492">
        <v>747</v>
      </c>
      <c r="BV25" s="492">
        <v>628</v>
      </c>
      <c r="BW25" s="492">
        <v>400</v>
      </c>
      <c r="BX25" s="492"/>
      <c r="BY25" s="492">
        <v>35.51</v>
      </c>
      <c r="BZ25" s="492">
        <v>160.82300000000001</v>
      </c>
      <c r="CA25" s="493">
        <f t="shared" si="17"/>
        <v>1992.3330000000001</v>
      </c>
      <c r="CB25" s="656">
        <v>29.797999999999998</v>
      </c>
      <c r="CC25" s="492"/>
      <c r="CD25" s="492"/>
      <c r="CE25" s="492"/>
      <c r="CF25" s="492"/>
      <c r="CG25" s="492">
        <v>47.174999999999997</v>
      </c>
      <c r="CH25" s="492">
        <v>54.06</v>
      </c>
      <c r="CI25" s="492"/>
      <c r="CJ25" s="492"/>
      <c r="CK25" s="492"/>
      <c r="CL25" s="492">
        <v>40.784999999999997</v>
      </c>
      <c r="CM25" s="492"/>
      <c r="CN25" s="493">
        <f t="shared" si="18"/>
        <v>171.81800000000001</v>
      </c>
      <c r="CO25" s="656">
        <v>157.61600000000001</v>
      </c>
      <c r="CP25" s="492">
        <v>310.64800000000002</v>
      </c>
      <c r="CQ25" s="492">
        <v>166.214</v>
      </c>
      <c r="CR25" s="492"/>
      <c r="CS25" s="492"/>
      <c r="CT25" s="492"/>
      <c r="CU25" s="492">
        <v>1.722</v>
      </c>
      <c r="CV25" s="492">
        <v>31.710999999999999</v>
      </c>
      <c r="CW25" s="492"/>
      <c r="CX25" s="492">
        <v>580.06399999999996</v>
      </c>
      <c r="CY25" s="492">
        <v>2.0910000000000002</v>
      </c>
      <c r="CZ25" s="492">
        <v>60.195999999999998</v>
      </c>
      <c r="DA25" s="493">
        <f t="shared" si="19"/>
        <v>1310.2619999999997</v>
      </c>
      <c r="DB25" s="656">
        <v>31.513999999999999</v>
      </c>
      <c r="DC25" s="492">
        <v>4.0510000000000002</v>
      </c>
      <c r="DD25" s="492"/>
      <c r="DE25" s="492"/>
      <c r="DF25" s="492">
        <v>124</v>
      </c>
      <c r="DG25" s="492">
        <v>232.05799999999999</v>
      </c>
      <c r="DH25" s="492">
        <v>234</v>
      </c>
      <c r="DI25" s="492">
        <v>240.41300000000001</v>
      </c>
      <c r="DJ25" s="492">
        <v>98.216999999999999</v>
      </c>
      <c r="DK25" s="492">
        <v>839.95</v>
      </c>
      <c r="DL25" s="492">
        <v>212.404</v>
      </c>
      <c r="DM25" s="492">
        <v>41.317999999999998</v>
      </c>
      <c r="DN25" s="493">
        <f t="shared" si="20"/>
        <v>2057.9250000000002</v>
      </c>
      <c r="DO25" s="656">
        <v>278.887</v>
      </c>
      <c r="DP25" s="492">
        <v>323.85599999999999</v>
      </c>
      <c r="DQ25" s="492">
        <v>43.164000000000001</v>
      </c>
      <c r="DR25" s="492">
        <v>292.11399999999998</v>
      </c>
      <c r="DS25" s="492">
        <v>216.78899999999999</v>
      </c>
      <c r="DT25" s="492">
        <v>276.666</v>
      </c>
      <c r="DU25" s="492">
        <v>258.56400000000002</v>
      </c>
      <c r="DV25" s="492">
        <v>152.535</v>
      </c>
      <c r="DW25" s="492">
        <v>490.697</v>
      </c>
      <c r="DX25" s="492">
        <v>265.57600000000002</v>
      </c>
      <c r="DY25" s="492">
        <v>74.058999999999997</v>
      </c>
      <c r="DZ25" s="492">
        <v>1302.3820000000001</v>
      </c>
      <c r="EA25" s="493">
        <f t="shared" si="21"/>
        <v>3975.2890000000002</v>
      </c>
      <c r="EB25" s="656"/>
      <c r="EC25" s="492">
        <v>11.231999999999999</v>
      </c>
      <c r="ED25" s="492"/>
      <c r="EE25" s="492"/>
      <c r="EF25" s="492">
        <v>21.068000000000001</v>
      </c>
      <c r="EG25" s="492">
        <v>147</v>
      </c>
      <c r="EH25" s="492">
        <v>458</v>
      </c>
      <c r="EI25" s="492">
        <v>323</v>
      </c>
      <c r="EJ25" s="492">
        <v>302</v>
      </c>
      <c r="EK25" s="492">
        <v>110</v>
      </c>
      <c r="EL25" s="492">
        <v>428</v>
      </c>
      <c r="EM25" s="492">
        <v>156</v>
      </c>
      <c r="EN25" s="493">
        <f t="shared" si="22"/>
        <v>1956.3</v>
      </c>
      <c r="EO25" s="656"/>
      <c r="EP25" s="492"/>
      <c r="EQ25" s="492"/>
      <c r="ER25" s="492"/>
      <c r="ES25" s="492"/>
      <c r="ET25" s="492"/>
      <c r="EU25" s="492"/>
      <c r="EV25" s="492"/>
      <c r="EW25" s="492"/>
      <c r="EX25" s="492"/>
      <c r="EY25" s="492"/>
      <c r="EZ25" s="492"/>
      <c r="FA25" s="493">
        <f t="shared" si="23"/>
        <v>0</v>
      </c>
      <c r="FC25" s="595">
        <f t="shared" si="24"/>
        <v>-88.021947477775342</v>
      </c>
      <c r="FD25" s="596">
        <f t="shared" si="25"/>
        <v>-50.788483554277441</v>
      </c>
      <c r="FE25" s="498">
        <f t="shared" si="26"/>
        <v>3975.2890000000002</v>
      </c>
      <c r="FF25" s="597">
        <f t="shared" si="27"/>
        <v>1956.3</v>
      </c>
      <c r="FH25" s="551">
        <f t="shared" si="28"/>
        <v>44385.59199999999</v>
      </c>
      <c r="FI25" s="491" t="s">
        <v>84</v>
      </c>
      <c r="FJ25" s="554" t="str">
        <f t="shared" si="29"/>
        <v>OK</v>
      </c>
    </row>
    <row r="26" spans="1:166" ht="15" customHeight="1" x14ac:dyDescent="0.25">
      <c r="A26" s="610" t="s">
        <v>650</v>
      </c>
      <c r="B26" s="656"/>
      <c r="C26" s="492"/>
      <c r="D26" s="492"/>
      <c r="E26" s="492">
        <v>21</v>
      </c>
      <c r="F26" s="492">
        <v>4</v>
      </c>
      <c r="G26" s="492">
        <v>90</v>
      </c>
      <c r="H26" s="492">
        <v>56</v>
      </c>
      <c r="I26" s="492"/>
      <c r="J26" s="492"/>
      <c r="K26" s="492">
        <v>10</v>
      </c>
      <c r="L26" s="492">
        <v>33</v>
      </c>
      <c r="M26" s="492"/>
      <c r="N26" s="493">
        <f t="shared" si="12"/>
        <v>214</v>
      </c>
      <c r="O26" s="656">
        <v>73</v>
      </c>
      <c r="P26" s="492"/>
      <c r="Q26" s="492"/>
      <c r="R26" s="492">
        <v>54</v>
      </c>
      <c r="S26" s="492"/>
      <c r="T26" s="492"/>
      <c r="U26" s="492">
        <v>40</v>
      </c>
      <c r="V26" s="492"/>
      <c r="W26" s="492">
        <v>289.04599999999999</v>
      </c>
      <c r="X26" s="492">
        <v>117.774</v>
      </c>
      <c r="Y26" s="492">
        <v>396</v>
      </c>
      <c r="Z26" s="492">
        <v>47</v>
      </c>
      <c r="AA26" s="493">
        <f t="shared" si="13"/>
        <v>1016.8199999999999</v>
      </c>
      <c r="AB26" s="656"/>
      <c r="AC26" s="492">
        <v>35</v>
      </c>
      <c r="AD26" s="492">
        <v>22</v>
      </c>
      <c r="AE26" s="492">
        <v>67.039999999999992</v>
      </c>
      <c r="AF26" s="492"/>
      <c r="AG26" s="492"/>
      <c r="AH26" s="492">
        <v>100</v>
      </c>
      <c r="AI26" s="492">
        <v>100</v>
      </c>
      <c r="AJ26" s="492">
        <v>316</v>
      </c>
      <c r="AK26" s="492">
        <v>80</v>
      </c>
      <c r="AL26" s="492">
        <v>117</v>
      </c>
      <c r="AM26" s="492">
        <v>159</v>
      </c>
      <c r="AN26" s="493">
        <f t="shared" si="14"/>
        <v>996.04</v>
      </c>
      <c r="AO26" s="656">
        <v>125.47499999999999</v>
      </c>
      <c r="AP26" s="492">
        <v>153.703</v>
      </c>
      <c r="AQ26" s="492">
        <v>135.65699999999998</v>
      </c>
      <c r="AR26" s="492">
        <v>124.949</v>
      </c>
      <c r="AS26" s="492"/>
      <c r="AT26" s="492">
        <v>2.4489999999999998</v>
      </c>
      <c r="AU26" s="492"/>
      <c r="AV26" s="492"/>
      <c r="AW26" s="492"/>
      <c r="AX26" s="492">
        <v>7.7809999999999997</v>
      </c>
      <c r="AY26" s="492">
        <v>109.845</v>
      </c>
      <c r="AZ26" s="492">
        <v>133.41399999999999</v>
      </c>
      <c r="BA26" s="493">
        <f t="shared" si="15"/>
        <v>793.27299999999991</v>
      </c>
      <c r="BB26" s="656">
        <v>26.881999999999998</v>
      </c>
      <c r="BC26" s="492">
        <v>72.195999999999998</v>
      </c>
      <c r="BD26" s="492">
        <v>33.705999999999996</v>
      </c>
      <c r="BE26" s="492"/>
      <c r="BF26" s="492">
        <v>64.674999999999997</v>
      </c>
      <c r="BG26" s="492">
        <v>135.45599999999999</v>
      </c>
      <c r="BH26" s="492"/>
      <c r="BI26" s="492">
        <v>155.99</v>
      </c>
      <c r="BJ26" s="492">
        <v>544.17999999999995</v>
      </c>
      <c r="BK26" s="492">
        <v>298.084</v>
      </c>
      <c r="BL26" s="492">
        <v>269.24400000000003</v>
      </c>
      <c r="BM26" s="492">
        <v>105.52200000000001</v>
      </c>
      <c r="BN26" s="493">
        <f t="shared" si="16"/>
        <v>1705.9349999999999</v>
      </c>
      <c r="BO26" s="656"/>
      <c r="BP26" s="492"/>
      <c r="BQ26" s="492"/>
      <c r="BR26" s="492"/>
      <c r="BS26" s="492"/>
      <c r="BT26" s="492"/>
      <c r="BU26" s="492">
        <v>10</v>
      </c>
      <c r="BV26" s="492">
        <v>251</v>
      </c>
      <c r="BW26" s="492">
        <v>366</v>
      </c>
      <c r="BX26" s="492"/>
      <c r="BY26" s="492"/>
      <c r="BZ26" s="492">
        <v>3.5169999999999999</v>
      </c>
      <c r="CA26" s="493">
        <f t="shared" si="17"/>
        <v>630.51700000000005</v>
      </c>
      <c r="CB26" s="656"/>
      <c r="CC26" s="492"/>
      <c r="CD26" s="492"/>
      <c r="CE26" s="492"/>
      <c r="CF26" s="492"/>
      <c r="CG26" s="492">
        <v>15.722</v>
      </c>
      <c r="CH26" s="492"/>
      <c r="CI26" s="492"/>
      <c r="CJ26" s="492"/>
      <c r="CK26" s="492"/>
      <c r="CL26" s="492"/>
      <c r="CM26" s="492"/>
      <c r="CN26" s="493">
        <f t="shared" si="18"/>
        <v>15.722</v>
      </c>
      <c r="CO26" s="656"/>
      <c r="CP26" s="492">
        <v>68.906999999999996</v>
      </c>
      <c r="CQ26" s="492"/>
      <c r="CR26" s="492"/>
      <c r="CS26" s="492">
        <v>7.9409999999999998</v>
      </c>
      <c r="CT26" s="492"/>
      <c r="CU26" s="492"/>
      <c r="CV26" s="492"/>
      <c r="CW26" s="492"/>
      <c r="CX26" s="492">
        <v>6.173</v>
      </c>
      <c r="CY26" s="492">
        <v>21.574999999999999</v>
      </c>
      <c r="CZ26" s="492">
        <v>2.09</v>
      </c>
      <c r="DA26" s="493">
        <f t="shared" si="19"/>
        <v>106.68600000000001</v>
      </c>
      <c r="DB26" s="656"/>
      <c r="DC26" s="492">
        <v>24.445</v>
      </c>
      <c r="DD26" s="492"/>
      <c r="DE26" s="492"/>
      <c r="DF26" s="492">
        <v>19.291</v>
      </c>
      <c r="DG26" s="492">
        <v>37</v>
      </c>
      <c r="DH26" s="492">
        <v>183</v>
      </c>
      <c r="DI26" s="492">
        <v>312.63900000000001</v>
      </c>
      <c r="DJ26" s="492">
        <v>1295.9849999999999</v>
      </c>
      <c r="DK26" s="492">
        <v>379.93599999999998</v>
      </c>
      <c r="DL26" s="492">
        <v>380.089</v>
      </c>
      <c r="DM26" s="492">
        <v>148.36600000000001</v>
      </c>
      <c r="DN26" s="493">
        <f t="shared" si="20"/>
        <v>2780.7509999999997</v>
      </c>
      <c r="DO26" s="656">
        <v>1057.423</v>
      </c>
      <c r="DP26" s="492">
        <v>437.13900000000001</v>
      </c>
      <c r="DQ26" s="492">
        <v>40.960999999999999</v>
      </c>
      <c r="DR26" s="492">
        <v>157.161</v>
      </c>
      <c r="DS26" s="492">
        <v>158.053</v>
      </c>
      <c r="DT26" s="492">
        <v>2.621</v>
      </c>
      <c r="DU26" s="492">
        <v>110.069</v>
      </c>
      <c r="DV26" s="492">
        <v>137.214</v>
      </c>
      <c r="DW26" s="492">
        <v>546.35799999999995</v>
      </c>
      <c r="DX26" s="492">
        <v>413.334</v>
      </c>
      <c r="DY26" s="492">
        <v>422.46699999999998</v>
      </c>
      <c r="DZ26" s="492">
        <v>355.29</v>
      </c>
      <c r="EA26" s="493">
        <f t="shared" si="21"/>
        <v>3838.0899999999997</v>
      </c>
      <c r="EB26" s="656">
        <v>548.44599999999991</v>
      </c>
      <c r="EC26" s="492">
        <v>90.869000000000028</v>
      </c>
      <c r="ED26" s="492">
        <v>1.58</v>
      </c>
      <c r="EE26" s="492">
        <v>2.0249999999999999</v>
      </c>
      <c r="EF26" s="492">
        <v>15.551</v>
      </c>
      <c r="EG26" s="492">
        <v>51.753999999999998</v>
      </c>
      <c r="EH26" s="492">
        <v>372.53899999999999</v>
      </c>
      <c r="EI26" s="492">
        <v>297.05</v>
      </c>
      <c r="EJ26" s="492">
        <v>702.91899999999998</v>
      </c>
      <c r="EK26" s="492">
        <v>178.60900000000001</v>
      </c>
      <c r="EL26" s="492">
        <v>671.60800000000017</v>
      </c>
      <c r="EM26" s="492">
        <v>280.77400000000006</v>
      </c>
      <c r="EN26" s="493">
        <f t="shared" si="22"/>
        <v>3213.7240000000002</v>
      </c>
      <c r="EO26" s="656"/>
      <c r="EP26" s="492"/>
      <c r="EQ26" s="492"/>
      <c r="ER26" s="492"/>
      <c r="ES26" s="492"/>
      <c r="ET26" s="492"/>
      <c r="EU26" s="492"/>
      <c r="EV26" s="492"/>
      <c r="EW26" s="492"/>
      <c r="EX26" s="492"/>
      <c r="EY26" s="492"/>
      <c r="EZ26" s="492"/>
      <c r="FA26" s="493">
        <f t="shared" si="23"/>
        <v>0</v>
      </c>
      <c r="FC26" s="595">
        <f t="shared" si="24"/>
        <v>-20.973289425539686</v>
      </c>
      <c r="FD26" s="596">
        <f t="shared" si="25"/>
        <v>-16.267622697748084</v>
      </c>
      <c r="FE26" s="498">
        <f t="shared" si="26"/>
        <v>3838.0899999999997</v>
      </c>
      <c r="FF26" s="597">
        <f t="shared" si="27"/>
        <v>3213.7240000000002</v>
      </c>
      <c r="FH26" s="551">
        <f t="shared" si="28"/>
        <v>30623.116000000002</v>
      </c>
      <c r="FI26" s="491" t="s">
        <v>650</v>
      </c>
      <c r="FJ26" s="554" t="str">
        <f t="shared" si="29"/>
        <v>OK</v>
      </c>
    </row>
    <row r="27" spans="1:166" ht="15" customHeight="1" x14ac:dyDescent="0.25">
      <c r="A27" s="610" t="s">
        <v>61</v>
      </c>
      <c r="B27" s="656"/>
      <c r="C27" s="492"/>
      <c r="D27" s="492"/>
      <c r="E27" s="492"/>
      <c r="F27" s="492"/>
      <c r="G27" s="492"/>
      <c r="H27" s="492"/>
      <c r="I27" s="492"/>
      <c r="J27" s="492"/>
      <c r="K27" s="492"/>
      <c r="L27" s="492"/>
      <c r="M27" s="492"/>
      <c r="N27" s="493">
        <f t="shared" si="12"/>
        <v>0</v>
      </c>
      <c r="O27" s="656"/>
      <c r="P27" s="492"/>
      <c r="Q27" s="492"/>
      <c r="R27" s="492"/>
      <c r="S27" s="492"/>
      <c r="T27" s="492"/>
      <c r="U27" s="492"/>
      <c r="V27" s="492"/>
      <c r="W27" s="492"/>
      <c r="X27" s="492"/>
      <c r="Y27" s="492"/>
      <c r="Z27" s="492"/>
      <c r="AA27" s="493">
        <f t="shared" si="13"/>
        <v>0</v>
      </c>
      <c r="AB27" s="656"/>
      <c r="AC27" s="492"/>
      <c r="AD27" s="492"/>
      <c r="AE27" s="492"/>
      <c r="AF27" s="492"/>
      <c r="AG27" s="492"/>
      <c r="AH27" s="492"/>
      <c r="AI27" s="492"/>
      <c r="AJ27" s="492"/>
      <c r="AK27" s="492"/>
      <c r="AL27" s="492"/>
      <c r="AM27" s="492"/>
      <c r="AN27" s="493">
        <f t="shared" si="14"/>
        <v>0</v>
      </c>
      <c r="AO27" s="656"/>
      <c r="AP27" s="492"/>
      <c r="AQ27" s="492"/>
      <c r="AR27" s="492"/>
      <c r="AS27" s="492"/>
      <c r="AT27" s="492"/>
      <c r="AU27" s="492"/>
      <c r="AV27" s="492"/>
      <c r="AW27" s="492"/>
      <c r="AX27" s="492"/>
      <c r="AY27" s="492"/>
      <c r="AZ27" s="492"/>
      <c r="BA27" s="493">
        <f t="shared" si="15"/>
        <v>0</v>
      </c>
      <c r="BB27" s="656"/>
      <c r="BC27" s="492"/>
      <c r="BD27" s="492"/>
      <c r="BE27" s="492"/>
      <c r="BF27" s="492"/>
      <c r="BG27" s="492"/>
      <c r="BH27" s="492"/>
      <c r="BI27" s="492"/>
      <c r="BJ27" s="492"/>
      <c r="BK27" s="492"/>
      <c r="BL27" s="492"/>
      <c r="BM27" s="492"/>
      <c r="BN27" s="493">
        <f t="shared" si="16"/>
        <v>0</v>
      </c>
      <c r="BO27" s="656"/>
      <c r="BP27" s="492"/>
      <c r="BQ27" s="492"/>
      <c r="BR27" s="492"/>
      <c r="BS27" s="492"/>
      <c r="BT27" s="492"/>
      <c r="BU27" s="492"/>
      <c r="BV27" s="492"/>
      <c r="BW27" s="492"/>
      <c r="BX27" s="492"/>
      <c r="BY27" s="492"/>
      <c r="BZ27" s="492"/>
      <c r="CA27" s="493">
        <f t="shared" si="17"/>
        <v>0</v>
      </c>
      <c r="CB27" s="656"/>
      <c r="CC27" s="492"/>
      <c r="CD27" s="492"/>
      <c r="CE27" s="492"/>
      <c r="CF27" s="492"/>
      <c r="CG27" s="492"/>
      <c r="CH27" s="492"/>
      <c r="CI27" s="492"/>
      <c r="CJ27" s="492"/>
      <c r="CK27" s="492"/>
      <c r="CL27" s="492"/>
      <c r="CM27" s="492"/>
      <c r="CN27" s="493">
        <f t="shared" si="18"/>
        <v>0</v>
      </c>
      <c r="CO27" s="656"/>
      <c r="CP27" s="492"/>
      <c r="CQ27" s="492"/>
      <c r="CR27" s="492"/>
      <c r="CS27" s="492"/>
      <c r="CT27" s="492"/>
      <c r="CU27" s="492"/>
      <c r="CV27" s="492"/>
      <c r="CW27" s="492"/>
      <c r="CX27" s="492"/>
      <c r="CY27" s="492"/>
      <c r="CZ27" s="492"/>
      <c r="DA27" s="493">
        <f t="shared" si="19"/>
        <v>0</v>
      </c>
      <c r="DB27" s="656"/>
      <c r="DC27" s="492"/>
      <c r="DD27" s="492"/>
      <c r="DE27" s="492"/>
      <c r="DF27" s="492"/>
      <c r="DG27" s="492"/>
      <c r="DH27" s="492"/>
      <c r="DI27" s="492"/>
      <c r="DJ27" s="492"/>
      <c r="DK27" s="492"/>
      <c r="DL27" s="492"/>
      <c r="DM27" s="492"/>
      <c r="DN27" s="493">
        <f t="shared" si="20"/>
        <v>0</v>
      </c>
      <c r="DO27" s="656"/>
      <c r="DP27" s="492"/>
      <c r="DQ27" s="492"/>
      <c r="DR27" s="492"/>
      <c r="DS27" s="492"/>
      <c r="DT27" s="492"/>
      <c r="DU27" s="492"/>
      <c r="DV27" s="492"/>
      <c r="DW27" s="492"/>
      <c r="DX27" s="492"/>
      <c r="DY27" s="492"/>
      <c r="DZ27" s="492"/>
      <c r="EA27" s="493">
        <f t="shared" si="21"/>
        <v>0</v>
      </c>
      <c r="EB27" s="656"/>
      <c r="EC27" s="492"/>
      <c r="ED27" s="492"/>
      <c r="EE27" s="492"/>
      <c r="EF27" s="492"/>
      <c r="EG27" s="492"/>
      <c r="EH27" s="492"/>
      <c r="EI27" s="492"/>
      <c r="EJ27" s="492"/>
      <c r="EK27" s="492"/>
      <c r="EL27" s="492"/>
      <c r="EM27" s="492"/>
      <c r="EN27" s="493">
        <f t="shared" si="22"/>
        <v>0</v>
      </c>
      <c r="EO27" s="656"/>
      <c r="EP27" s="492"/>
      <c r="EQ27" s="492"/>
      <c r="ER27" s="492"/>
      <c r="ES27" s="492"/>
      <c r="ET27" s="492"/>
      <c r="EU27" s="492"/>
      <c r="EV27" s="492"/>
      <c r="EW27" s="492"/>
      <c r="EX27" s="492"/>
      <c r="EY27" s="492"/>
      <c r="EZ27" s="492"/>
      <c r="FA27" s="493">
        <f t="shared" si="23"/>
        <v>0</v>
      </c>
      <c r="FC27" s="595" t="str">
        <f t="shared" si="24"/>
        <v/>
      </c>
      <c r="FD27" s="596" t="str">
        <f t="shared" si="25"/>
        <v/>
      </c>
      <c r="FE27" s="498">
        <f t="shared" si="26"/>
        <v>0</v>
      </c>
      <c r="FF27" s="597">
        <f t="shared" si="27"/>
        <v>0</v>
      </c>
      <c r="FH27" s="551">
        <f t="shared" si="28"/>
        <v>0</v>
      </c>
      <c r="FI27" s="491" t="s">
        <v>61</v>
      </c>
      <c r="FJ27" s="554" t="str">
        <f t="shared" si="29"/>
        <v>OK</v>
      </c>
    </row>
    <row r="28" spans="1:166" ht="15" customHeight="1" x14ac:dyDescent="0.25">
      <c r="A28" s="610" t="s">
        <v>62</v>
      </c>
      <c r="B28" s="656">
        <v>122</v>
      </c>
      <c r="C28" s="492">
        <v>298</v>
      </c>
      <c r="D28" s="492"/>
      <c r="E28" s="492">
        <v>20</v>
      </c>
      <c r="F28" s="492">
        <v>19</v>
      </c>
      <c r="G28" s="492">
        <v>572</v>
      </c>
      <c r="H28" s="492">
        <v>21</v>
      </c>
      <c r="I28" s="492">
        <v>47</v>
      </c>
      <c r="J28" s="492">
        <v>10</v>
      </c>
      <c r="K28" s="492">
        <v>38</v>
      </c>
      <c r="L28" s="492">
        <v>12</v>
      </c>
      <c r="M28" s="492">
        <v>11</v>
      </c>
      <c r="N28" s="493">
        <f t="shared" si="12"/>
        <v>1170</v>
      </c>
      <c r="O28" s="656">
        <v>58</v>
      </c>
      <c r="P28" s="492"/>
      <c r="Q28" s="492"/>
      <c r="R28" s="492">
        <v>26</v>
      </c>
      <c r="S28" s="492"/>
      <c r="T28" s="492"/>
      <c r="U28" s="492"/>
      <c r="V28" s="492">
        <v>31</v>
      </c>
      <c r="W28" s="492">
        <v>115</v>
      </c>
      <c r="X28" s="492">
        <v>8</v>
      </c>
      <c r="Y28" s="492">
        <v>491</v>
      </c>
      <c r="Z28" s="492">
        <v>56</v>
      </c>
      <c r="AA28" s="493">
        <f t="shared" si="13"/>
        <v>785</v>
      </c>
      <c r="AB28" s="656">
        <v>12</v>
      </c>
      <c r="AC28" s="492">
        <v>35</v>
      </c>
      <c r="AD28" s="492">
        <v>20</v>
      </c>
      <c r="AE28" s="492">
        <v>199.214</v>
      </c>
      <c r="AF28" s="492">
        <v>0.88100000000000001</v>
      </c>
      <c r="AG28" s="492">
        <v>16</v>
      </c>
      <c r="AH28" s="492">
        <v>46</v>
      </c>
      <c r="AI28" s="492">
        <v>7</v>
      </c>
      <c r="AJ28" s="492">
        <v>206</v>
      </c>
      <c r="AK28" s="492">
        <v>221</v>
      </c>
      <c r="AL28" s="492">
        <v>101</v>
      </c>
      <c r="AM28" s="492">
        <v>103</v>
      </c>
      <c r="AN28" s="493">
        <f t="shared" si="14"/>
        <v>967.09500000000003</v>
      </c>
      <c r="AO28" s="656">
        <v>176.29499999999999</v>
      </c>
      <c r="AP28" s="492">
        <v>192.751</v>
      </c>
      <c r="AQ28" s="492">
        <v>47</v>
      </c>
      <c r="AR28" s="492">
        <v>300</v>
      </c>
      <c r="AS28" s="492">
        <v>69</v>
      </c>
      <c r="AT28" s="492">
        <v>56</v>
      </c>
      <c r="AU28" s="492">
        <v>38</v>
      </c>
      <c r="AV28" s="492">
        <v>3</v>
      </c>
      <c r="AW28" s="492">
        <v>673</v>
      </c>
      <c r="AX28" s="492">
        <v>55</v>
      </c>
      <c r="AY28" s="492">
        <v>458.55500000000001</v>
      </c>
      <c r="AZ28" s="492">
        <v>162.31100000000001</v>
      </c>
      <c r="BA28" s="493">
        <f t="shared" si="15"/>
        <v>2230.9120000000003</v>
      </c>
      <c r="BB28" s="656">
        <v>229</v>
      </c>
      <c r="BC28" s="492">
        <v>27</v>
      </c>
      <c r="BD28" s="492">
        <v>98</v>
      </c>
      <c r="BE28" s="492">
        <f>139.006+133.511</f>
        <v>272.517</v>
      </c>
      <c r="BF28" s="492">
        <v>97.108000000000004</v>
      </c>
      <c r="BG28" s="492">
        <v>95.626999999999995</v>
      </c>
      <c r="BH28" s="492">
        <v>85.801000000000002</v>
      </c>
      <c r="BI28" s="492">
        <v>135.142</v>
      </c>
      <c r="BJ28" s="492">
        <v>802.48299999999995</v>
      </c>
      <c r="BK28" s="492">
        <v>309.78399999999999</v>
      </c>
      <c r="BL28" s="492">
        <v>1103.1980000000001</v>
      </c>
      <c r="BM28" s="492">
        <v>254.03299999999999</v>
      </c>
      <c r="BN28" s="493">
        <f t="shared" si="16"/>
        <v>3509.6929999999998</v>
      </c>
      <c r="BO28" s="656">
        <v>126</v>
      </c>
      <c r="BP28" s="492">
        <v>310</v>
      </c>
      <c r="BQ28" s="492">
        <v>213</v>
      </c>
      <c r="BR28" s="492"/>
      <c r="BS28" s="492"/>
      <c r="BT28" s="492">
        <v>228</v>
      </c>
      <c r="BU28" s="492">
        <v>1892</v>
      </c>
      <c r="BV28" s="492">
        <v>147</v>
      </c>
      <c r="BW28" s="492">
        <f>99+34+4+31+6</f>
        <v>174</v>
      </c>
      <c r="BX28" s="492"/>
      <c r="BY28" s="492"/>
      <c r="BZ28" s="492"/>
      <c r="CA28" s="493">
        <f t="shared" si="17"/>
        <v>3090</v>
      </c>
      <c r="CB28" s="656"/>
      <c r="CC28" s="492"/>
      <c r="CD28" s="492"/>
      <c r="CE28" s="492"/>
      <c r="CF28" s="492"/>
      <c r="CG28" s="492">
        <v>1.2709999999999999</v>
      </c>
      <c r="CH28" s="492">
        <v>2.7879999999999998</v>
      </c>
      <c r="CI28" s="492">
        <v>215.91800000000001</v>
      </c>
      <c r="CJ28" s="492"/>
      <c r="CK28" s="492"/>
      <c r="CL28" s="492"/>
      <c r="CM28" s="492"/>
      <c r="CN28" s="493">
        <f t="shared" si="18"/>
        <v>219.977</v>
      </c>
      <c r="CO28" s="656"/>
      <c r="CP28" s="492"/>
      <c r="CQ28" s="492"/>
      <c r="CR28" s="492"/>
      <c r="CS28" s="492"/>
      <c r="CT28" s="492"/>
      <c r="CU28" s="492"/>
      <c r="CV28" s="492"/>
      <c r="CW28" s="492">
        <v>209.142</v>
      </c>
      <c r="CX28" s="492"/>
      <c r="CY28" s="492"/>
      <c r="CZ28" s="492">
        <v>2.577</v>
      </c>
      <c r="DA28" s="493">
        <f t="shared" si="19"/>
        <v>211.71899999999999</v>
      </c>
      <c r="DB28" s="656">
        <v>6.69</v>
      </c>
      <c r="DC28" s="492">
        <v>5.9930000000000003</v>
      </c>
      <c r="DD28" s="492">
        <v>147.358</v>
      </c>
      <c r="DE28" s="492">
        <v>68.671000000000006</v>
      </c>
      <c r="DF28" s="492">
        <f>751+572</f>
        <v>1323</v>
      </c>
      <c r="DG28" s="492">
        <f>564+517</f>
        <v>1081</v>
      </c>
      <c r="DH28" s="492">
        <f>1588+261</f>
        <v>1849</v>
      </c>
      <c r="DI28" s="492">
        <f>326.84+63.62</f>
        <v>390.46</v>
      </c>
      <c r="DJ28" s="492">
        <f>54.863+135.32</f>
        <v>190.18299999999999</v>
      </c>
      <c r="DK28" s="492">
        <f>18.744+246.492</f>
        <v>265.23599999999999</v>
      </c>
      <c r="DL28" s="492">
        <f>13.007+645.975</f>
        <v>658.98199999999997</v>
      </c>
      <c r="DM28" s="492">
        <f>349.257+197.194</f>
        <v>546.45100000000002</v>
      </c>
      <c r="DN28" s="493">
        <f t="shared" si="20"/>
        <v>6533.0239999999994</v>
      </c>
      <c r="DO28" s="656">
        <f>26.373+1826.06</f>
        <v>1852.433</v>
      </c>
      <c r="DP28" s="492">
        <f>218.97+234.992</f>
        <v>453.96199999999999</v>
      </c>
      <c r="DQ28" s="492">
        <f>71.994+1195.798+200.206</f>
        <v>1467.9979999999998</v>
      </c>
      <c r="DR28" s="492">
        <f>83.148+112.438+299.817</f>
        <v>495.40300000000002</v>
      </c>
      <c r="DS28" s="492">
        <f>12.203+49.456</f>
        <v>61.659000000000006</v>
      </c>
      <c r="DT28" s="492">
        <f>2.488+37.543</f>
        <v>40.030999999999999</v>
      </c>
      <c r="DU28" s="492">
        <f>44.244+5.158</f>
        <v>49.402000000000001</v>
      </c>
      <c r="DV28" s="492">
        <f>148.527+88.991+22.901</f>
        <v>260.41899999999998</v>
      </c>
      <c r="DW28" s="492">
        <f>192.402+110.399+10.367</f>
        <v>313.16800000000001</v>
      </c>
      <c r="DX28" s="492">
        <v>449.46800000000002</v>
      </c>
      <c r="DY28" s="492">
        <v>600.221</v>
      </c>
      <c r="DZ28" s="492">
        <v>499.11099999999999</v>
      </c>
      <c r="EA28" s="493">
        <f t="shared" si="21"/>
        <v>6543.2749999999987</v>
      </c>
      <c r="EB28" s="656">
        <v>203</v>
      </c>
      <c r="EC28" s="492">
        <v>428</v>
      </c>
      <c r="ED28" s="492">
        <v>60</v>
      </c>
      <c r="EE28" s="492">
        <v>38</v>
      </c>
      <c r="EF28" s="492">
        <v>380</v>
      </c>
      <c r="EG28" s="492">
        <v>10.208</v>
      </c>
      <c r="EH28" s="492">
        <v>10.39</v>
      </c>
      <c r="EI28" s="492">
        <v>318.36500000000001</v>
      </c>
      <c r="EJ28" s="492">
        <v>411</v>
      </c>
      <c r="EK28" s="492">
        <v>775</v>
      </c>
      <c r="EL28" s="492">
        <v>190</v>
      </c>
      <c r="EM28" s="492">
        <v>542</v>
      </c>
      <c r="EN28" s="493">
        <f t="shared" si="22"/>
        <v>3365.9630000000002</v>
      </c>
      <c r="EO28" s="656"/>
      <c r="EP28" s="492"/>
      <c r="EQ28" s="492"/>
      <c r="ER28" s="492"/>
      <c r="ES28" s="492"/>
      <c r="ET28" s="492"/>
      <c r="EU28" s="492"/>
      <c r="EV28" s="492"/>
      <c r="EW28" s="492"/>
      <c r="EX28" s="492"/>
      <c r="EY28" s="492"/>
      <c r="EZ28" s="492"/>
      <c r="FA28" s="493">
        <f t="shared" si="23"/>
        <v>0</v>
      </c>
      <c r="FC28" s="595">
        <f t="shared" si="24"/>
        <v>8.5930784935615456</v>
      </c>
      <c r="FD28" s="596">
        <f t="shared" si="25"/>
        <v>-48.55843595141576</v>
      </c>
      <c r="FE28" s="498">
        <f t="shared" si="26"/>
        <v>6543.2749999999987</v>
      </c>
      <c r="FF28" s="597">
        <f t="shared" si="27"/>
        <v>3365.9630000000002</v>
      </c>
      <c r="FH28" s="551">
        <f t="shared" si="28"/>
        <v>57253.315999999999</v>
      </c>
      <c r="FI28" s="491" t="s">
        <v>62</v>
      </c>
      <c r="FJ28" s="554" t="str">
        <f t="shared" si="29"/>
        <v>OK</v>
      </c>
    </row>
    <row r="29" spans="1:166" ht="15" customHeight="1" x14ac:dyDescent="0.25">
      <c r="A29" s="610" t="s">
        <v>88</v>
      </c>
      <c r="B29" s="656"/>
      <c r="C29" s="492"/>
      <c r="D29" s="492"/>
      <c r="E29" s="492"/>
      <c r="F29" s="492"/>
      <c r="G29" s="492"/>
      <c r="H29" s="492">
        <v>47</v>
      </c>
      <c r="I29" s="492">
        <v>16</v>
      </c>
      <c r="J29" s="492">
        <v>21</v>
      </c>
      <c r="K29" s="492">
        <v>32</v>
      </c>
      <c r="L29" s="492">
        <v>7</v>
      </c>
      <c r="M29" s="492">
        <v>6</v>
      </c>
      <c r="N29" s="493">
        <f t="shared" si="12"/>
        <v>129</v>
      </c>
      <c r="O29" s="656"/>
      <c r="P29" s="492">
        <v>20</v>
      </c>
      <c r="Q29" s="492"/>
      <c r="R29" s="492">
        <v>83</v>
      </c>
      <c r="S29" s="492"/>
      <c r="T29" s="492"/>
      <c r="U29" s="492">
        <v>28</v>
      </c>
      <c r="V29" s="492">
        <v>50</v>
      </c>
      <c r="W29" s="492">
        <v>97</v>
      </c>
      <c r="X29" s="492">
        <v>154</v>
      </c>
      <c r="Y29" s="492">
        <v>316</v>
      </c>
      <c r="Z29" s="492">
        <v>26</v>
      </c>
      <c r="AA29" s="493">
        <f t="shared" si="13"/>
        <v>774</v>
      </c>
      <c r="AB29" s="656"/>
      <c r="AC29" s="492">
        <v>161</v>
      </c>
      <c r="AD29" s="492"/>
      <c r="AE29" s="492"/>
      <c r="AF29" s="492"/>
      <c r="AG29" s="492">
        <v>16</v>
      </c>
      <c r="AH29" s="492">
        <v>23</v>
      </c>
      <c r="AI29" s="492">
        <v>117</v>
      </c>
      <c r="AJ29" s="492">
        <v>314</v>
      </c>
      <c r="AK29" s="492">
        <v>175</v>
      </c>
      <c r="AL29" s="492">
        <v>222</v>
      </c>
      <c r="AM29" s="492">
        <v>144</v>
      </c>
      <c r="AN29" s="493">
        <f t="shared" si="14"/>
        <v>1172</v>
      </c>
      <c r="AO29" s="656">
        <v>270.24399999999997</v>
      </c>
      <c r="AP29" s="492">
        <v>99.710000000000008</v>
      </c>
      <c r="AQ29" s="492">
        <v>169.785</v>
      </c>
      <c r="AR29" s="492">
        <v>50.911999999999999</v>
      </c>
      <c r="AS29" s="492">
        <v>96.256</v>
      </c>
      <c r="AT29" s="492">
        <v>216.44700000000006</v>
      </c>
      <c r="AU29" s="492">
        <v>512.22600000000011</v>
      </c>
      <c r="AV29" s="492">
        <v>739.64899999999989</v>
      </c>
      <c r="AW29" s="492">
        <v>656.43099999999993</v>
      </c>
      <c r="AX29" s="492">
        <v>601.94500000000016</v>
      </c>
      <c r="AY29" s="492">
        <v>281.40599999999995</v>
      </c>
      <c r="AZ29" s="492">
        <v>280.40600000000001</v>
      </c>
      <c r="BA29" s="493">
        <f t="shared" si="15"/>
        <v>3975.4170000000004</v>
      </c>
      <c r="BB29" s="656">
        <v>44.669000000000004</v>
      </c>
      <c r="BC29" s="492">
        <v>147.53900000000002</v>
      </c>
      <c r="BD29" s="492">
        <v>161.613</v>
      </c>
      <c r="BE29" s="492">
        <v>143.91900000000001</v>
      </c>
      <c r="BF29" s="492">
        <v>392.55599999999998</v>
      </c>
      <c r="BG29" s="492">
        <v>762.02900000000022</v>
      </c>
      <c r="BH29" s="492">
        <v>618.72499999999991</v>
      </c>
      <c r="BI29" s="492">
        <v>1804.38</v>
      </c>
      <c r="BJ29" s="492">
        <v>2065.0439999999999</v>
      </c>
      <c r="BK29" s="492">
        <v>2266.6390000000001</v>
      </c>
      <c r="BL29" s="492">
        <v>2960.096</v>
      </c>
      <c r="BM29" s="492">
        <v>1932.78</v>
      </c>
      <c r="BN29" s="493">
        <f t="shared" si="16"/>
        <v>13299.989000000001</v>
      </c>
      <c r="BO29" s="656">
        <v>2126</v>
      </c>
      <c r="BP29" s="492"/>
      <c r="BQ29" s="492"/>
      <c r="BR29" s="492"/>
      <c r="BS29" s="492"/>
      <c r="BT29" s="492">
        <v>364</v>
      </c>
      <c r="BU29" s="492">
        <v>580</v>
      </c>
      <c r="BV29" s="492">
        <f>419+561</f>
        <v>980</v>
      </c>
      <c r="BW29" s="492">
        <f>906+2052</f>
        <v>2958</v>
      </c>
      <c r="BX29" s="492">
        <v>363.00099999999998</v>
      </c>
      <c r="BY29" s="492">
        <v>62.835999999999999</v>
      </c>
      <c r="BZ29" s="492">
        <v>28.581</v>
      </c>
      <c r="CA29" s="493">
        <f t="shared" si="17"/>
        <v>7462.4180000000006</v>
      </c>
      <c r="CB29" s="656"/>
      <c r="CC29" s="492"/>
      <c r="CD29" s="492"/>
      <c r="CE29" s="492"/>
      <c r="CF29" s="492"/>
      <c r="CG29" s="492"/>
      <c r="CH29" s="492"/>
      <c r="CI29" s="492"/>
      <c r="CJ29" s="492">
        <v>476.94</v>
      </c>
      <c r="CK29" s="492"/>
      <c r="CL29" s="492"/>
      <c r="CM29" s="492"/>
      <c r="CN29" s="493">
        <f t="shared" si="18"/>
        <v>476.94</v>
      </c>
      <c r="CO29" s="656"/>
      <c r="CP29" s="492"/>
      <c r="CQ29" s="492"/>
      <c r="CR29" s="492"/>
      <c r="CS29" s="492">
        <v>4.2380000000000004</v>
      </c>
      <c r="CT29" s="492"/>
      <c r="CU29" s="492"/>
      <c r="CV29" s="492"/>
      <c r="CW29" s="492">
        <v>142.11699999999999</v>
      </c>
      <c r="CX29" s="492">
        <v>13.371</v>
      </c>
      <c r="CY29" s="492"/>
      <c r="CZ29" s="492">
        <v>3.673</v>
      </c>
      <c r="DA29" s="493">
        <f t="shared" si="19"/>
        <v>163.399</v>
      </c>
      <c r="DB29" s="656">
        <v>5.694</v>
      </c>
      <c r="DC29" s="492">
        <v>1.6859999999999999</v>
      </c>
      <c r="DD29" s="492">
        <v>2.8919999999999999</v>
      </c>
      <c r="DE29" s="492"/>
      <c r="DF29" s="492">
        <v>323.17399999999998</v>
      </c>
      <c r="DG29" s="492">
        <v>173.958</v>
      </c>
      <c r="DH29" s="492">
        <f>312+169</f>
        <v>481</v>
      </c>
      <c r="DI29" s="492">
        <f>67+861.989+355.541</f>
        <v>1284.53</v>
      </c>
      <c r="DJ29" s="492">
        <v>1033.722</v>
      </c>
      <c r="DK29" s="492">
        <f>315.554+594</f>
        <v>909.55399999999997</v>
      </c>
      <c r="DL29" s="492">
        <f>143.042+469.673</f>
        <v>612.71500000000003</v>
      </c>
      <c r="DM29" s="492">
        <f>193.919+144.018</f>
        <v>337.93700000000001</v>
      </c>
      <c r="DN29" s="493">
        <f t="shared" si="20"/>
        <v>5166.8620000000001</v>
      </c>
      <c r="DO29" s="656">
        <f>389.938+429.683+335.106</f>
        <v>1154.7269999999999</v>
      </c>
      <c r="DP29" s="492">
        <f>44.145+127.182+620.41</f>
        <v>791.73699999999997</v>
      </c>
      <c r="DQ29" s="492">
        <f>2.711+55.952</f>
        <v>58.662999999999997</v>
      </c>
      <c r="DR29" s="492">
        <f>72.682+30.253+187.589</f>
        <v>290.524</v>
      </c>
      <c r="DS29" s="492">
        <v>119.25</v>
      </c>
      <c r="DT29" s="492">
        <v>16.788</v>
      </c>
      <c r="DU29" s="492">
        <f>176.234+114.259</f>
        <v>290.49299999999999</v>
      </c>
      <c r="DV29" s="492">
        <v>627.88199999999995</v>
      </c>
      <c r="DW29" s="492">
        <f>91.459+315.847</f>
        <v>407.30599999999998</v>
      </c>
      <c r="DX29" s="492">
        <v>1069.125</v>
      </c>
      <c r="DY29" s="492">
        <v>1775.8610000000001</v>
      </c>
      <c r="DZ29" s="492">
        <v>892.154</v>
      </c>
      <c r="EA29" s="493">
        <f t="shared" si="21"/>
        <v>7494.51</v>
      </c>
      <c r="EB29" s="656">
        <v>151.40299999999999</v>
      </c>
      <c r="EC29" s="492">
        <v>250.60100000000003</v>
      </c>
      <c r="ED29" s="492">
        <v>13.33</v>
      </c>
      <c r="EE29" s="492">
        <v>24.34</v>
      </c>
      <c r="EF29" s="492">
        <v>64.629000000000005</v>
      </c>
      <c r="EG29" s="492">
        <v>101.521</v>
      </c>
      <c r="EH29" s="492">
        <v>136.77199999999999</v>
      </c>
      <c r="EI29" s="492">
        <v>408.34399999999999</v>
      </c>
      <c r="EJ29" s="492">
        <v>1388.5719999999999</v>
      </c>
      <c r="EK29" s="492">
        <v>1647.6299999999999</v>
      </c>
      <c r="EL29" s="492">
        <v>894.52099999999996</v>
      </c>
      <c r="EM29" s="492">
        <v>1578.7159999999999</v>
      </c>
      <c r="EN29" s="493">
        <f t="shared" si="22"/>
        <v>6660.378999999999</v>
      </c>
      <c r="EO29" s="656"/>
      <c r="EP29" s="492"/>
      <c r="EQ29" s="492"/>
      <c r="ER29" s="492"/>
      <c r="ES29" s="492"/>
      <c r="ET29" s="492"/>
      <c r="EU29" s="492"/>
      <c r="EV29" s="492"/>
      <c r="EW29" s="492"/>
      <c r="EX29" s="492"/>
      <c r="EY29" s="492"/>
      <c r="EZ29" s="492"/>
      <c r="FA29" s="493">
        <f t="shared" si="23"/>
        <v>0</v>
      </c>
      <c r="FC29" s="595">
        <f t="shared" si="24"/>
        <v>76.9555480331871</v>
      </c>
      <c r="FD29" s="596">
        <f t="shared" si="25"/>
        <v>-11.129893748890874</v>
      </c>
      <c r="FE29" s="498">
        <f t="shared" si="26"/>
        <v>7494.51</v>
      </c>
      <c r="FF29" s="597">
        <f t="shared" si="27"/>
        <v>6660.378999999999</v>
      </c>
      <c r="FH29" s="551">
        <f t="shared" si="28"/>
        <v>93549.827999999965</v>
      </c>
      <c r="FI29" s="491" t="s">
        <v>88</v>
      </c>
      <c r="FJ29" s="554" t="str">
        <f t="shared" si="29"/>
        <v>OK</v>
      </c>
    </row>
    <row r="30" spans="1:166" ht="15" customHeight="1" x14ac:dyDescent="0.25">
      <c r="A30" s="610" t="s">
        <v>63</v>
      </c>
      <c r="B30" s="656">
        <v>68.216000000000008</v>
      </c>
      <c r="C30" s="492">
        <v>177.983</v>
      </c>
      <c r="D30" s="492"/>
      <c r="E30" s="492">
        <v>114</v>
      </c>
      <c r="F30" s="492">
        <v>37</v>
      </c>
      <c r="G30" s="492">
        <v>83</v>
      </c>
      <c r="H30" s="492">
        <v>134</v>
      </c>
      <c r="I30" s="492">
        <v>400</v>
      </c>
      <c r="J30" s="492">
        <v>281</v>
      </c>
      <c r="K30" s="492">
        <v>410</v>
      </c>
      <c r="L30" s="492"/>
      <c r="M30" s="492">
        <v>79</v>
      </c>
      <c r="N30" s="493">
        <f t="shared" si="12"/>
        <v>1784.1990000000001</v>
      </c>
      <c r="O30" s="656">
        <v>200</v>
      </c>
      <c r="P30" s="492">
        <v>61</v>
      </c>
      <c r="Q30" s="492"/>
      <c r="R30" s="492">
        <v>83</v>
      </c>
      <c r="S30" s="492">
        <v>75</v>
      </c>
      <c r="T30" s="492"/>
      <c r="U30" s="492">
        <v>61</v>
      </c>
      <c r="V30" s="492">
        <v>222</v>
      </c>
      <c r="W30" s="492">
        <v>489</v>
      </c>
      <c r="X30" s="492">
        <v>497</v>
      </c>
      <c r="Y30" s="492">
        <v>603</v>
      </c>
      <c r="Z30" s="492">
        <v>198</v>
      </c>
      <c r="AA30" s="493">
        <f t="shared" si="13"/>
        <v>2489</v>
      </c>
      <c r="AB30" s="656">
        <v>197</v>
      </c>
      <c r="AC30" s="492">
        <v>323</v>
      </c>
      <c r="AD30" s="492">
        <v>198</v>
      </c>
      <c r="AE30" s="492">
        <v>217.71</v>
      </c>
      <c r="AF30" s="492">
        <v>96.284000000000006</v>
      </c>
      <c r="AG30" s="492">
        <v>28</v>
      </c>
      <c r="AH30" s="492"/>
      <c r="AI30" s="492">
        <v>154</v>
      </c>
      <c r="AJ30" s="492">
        <v>480</v>
      </c>
      <c r="AK30" s="492">
        <v>651</v>
      </c>
      <c r="AL30" s="492">
        <v>651</v>
      </c>
      <c r="AM30" s="492">
        <v>1111</v>
      </c>
      <c r="AN30" s="493">
        <f t="shared" si="14"/>
        <v>4106.9940000000006</v>
      </c>
      <c r="AO30" s="656">
        <v>1711</v>
      </c>
      <c r="AP30" s="492">
        <v>198</v>
      </c>
      <c r="AQ30" s="492">
        <v>219</v>
      </c>
      <c r="AR30" s="492">
        <v>852</v>
      </c>
      <c r="AS30" s="492">
        <v>136</v>
      </c>
      <c r="AT30" s="492">
        <v>16</v>
      </c>
      <c r="AU30" s="492">
        <v>85</v>
      </c>
      <c r="AV30" s="492">
        <v>90</v>
      </c>
      <c r="AW30" s="492">
        <v>229.74199999999996</v>
      </c>
      <c r="AX30" s="492">
        <v>66.578000000000003</v>
      </c>
      <c r="AY30" s="492">
        <v>555.44100000000003</v>
      </c>
      <c r="AZ30" s="492">
        <v>90.117999999999995</v>
      </c>
      <c r="BA30" s="493">
        <f t="shared" si="15"/>
        <v>4248.8790000000008</v>
      </c>
      <c r="BB30" s="656">
        <v>350</v>
      </c>
      <c r="BC30" s="492">
        <v>345</v>
      </c>
      <c r="BD30" s="492">
        <v>337</v>
      </c>
      <c r="BE30" s="492">
        <v>74</v>
      </c>
      <c r="BF30" s="492">
        <v>539.577</v>
      </c>
      <c r="BG30" s="492">
        <v>586.45000000000005</v>
      </c>
      <c r="BH30" s="492">
        <v>343.577</v>
      </c>
      <c r="BI30" s="492">
        <v>89.281000000000006</v>
      </c>
      <c r="BJ30" s="492">
        <v>2829.6289999999999</v>
      </c>
      <c r="BK30" s="492">
        <v>1647.63</v>
      </c>
      <c r="BL30" s="492">
        <v>3149.422</v>
      </c>
      <c r="BM30" s="492">
        <v>1393.7739999999999</v>
      </c>
      <c r="BN30" s="493">
        <f t="shared" si="16"/>
        <v>11685.34</v>
      </c>
      <c r="BO30" s="656">
        <v>195</v>
      </c>
      <c r="BP30" s="492">
        <v>1309</v>
      </c>
      <c r="BQ30" s="492">
        <v>603</v>
      </c>
      <c r="BR30" s="492"/>
      <c r="BS30" s="492"/>
      <c r="BT30" s="492">
        <v>501</v>
      </c>
      <c r="BU30" s="492">
        <v>514</v>
      </c>
      <c r="BV30" s="492">
        <f>271+152+1629</f>
        <v>2052</v>
      </c>
      <c r="BW30" s="492">
        <f>153+1943</f>
        <v>2096</v>
      </c>
      <c r="BX30" s="492"/>
      <c r="BY30" s="492"/>
      <c r="BZ30" s="492">
        <v>270.57799999999997</v>
      </c>
      <c r="CA30" s="493">
        <f t="shared" si="17"/>
        <v>7540.5779999999995</v>
      </c>
      <c r="CB30" s="656">
        <v>60.567999999999998</v>
      </c>
      <c r="CC30" s="492"/>
      <c r="CD30" s="492"/>
      <c r="CE30" s="492"/>
      <c r="CF30" s="492">
        <v>593.952</v>
      </c>
      <c r="CG30" s="492">
        <v>109.76900000000001</v>
      </c>
      <c r="CH30" s="492">
        <v>5.1660000000000004</v>
      </c>
      <c r="CI30" s="492"/>
      <c r="CJ30" s="492"/>
      <c r="CK30" s="492"/>
      <c r="CL30" s="492"/>
      <c r="CM30" s="492"/>
      <c r="CN30" s="493">
        <f t="shared" si="18"/>
        <v>769.45500000000004</v>
      </c>
      <c r="CO30" s="656">
        <v>65.962999999999994</v>
      </c>
      <c r="CP30" s="492"/>
      <c r="CQ30" s="492"/>
      <c r="CR30" s="492"/>
      <c r="CS30" s="492">
        <v>109.798</v>
      </c>
      <c r="CT30" s="492"/>
      <c r="CU30" s="492"/>
      <c r="CV30" s="492">
        <v>30.949000000000002</v>
      </c>
      <c r="CW30" s="492">
        <v>107.726</v>
      </c>
      <c r="CX30" s="492">
        <v>42.392000000000003</v>
      </c>
      <c r="CY30" s="492">
        <v>11.632</v>
      </c>
      <c r="CZ30" s="492"/>
      <c r="DA30" s="493">
        <f t="shared" si="19"/>
        <v>368.46000000000004</v>
      </c>
      <c r="DB30" s="656">
        <v>39.401000000000003</v>
      </c>
      <c r="DC30" s="492">
        <v>17.762</v>
      </c>
      <c r="DD30" s="492"/>
      <c r="DE30" s="492"/>
      <c r="DF30" s="492">
        <v>73</v>
      </c>
      <c r="DG30" s="492">
        <f>294+21</f>
        <v>315</v>
      </c>
      <c r="DH30" s="492">
        <f>123+64</f>
        <v>187</v>
      </c>
      <c r="DI30" s="492">
        <f>33.811+733.211</f>
        <v>767.02200000000005</v>
      </c>
      <c r="DJ30" s="492">
        <f>239.65+1480.413</f>
        <v>1720.0630000000001</v>
      </c>
      <c r="DK30" s="492">
        <f>18.022+665.429</f>
        <v>683.45100000000002</v>
      </c>
      <c r="DL30" s="492">
        <v>552.78599999999994</v>
      </c>
      <c r="DM30" s="492">
        <f>230.511+619.22</f>
        <v>849.73099999999999</v>
      </c>
      <c r="DN30" s="493">
        <f t="shared" si="20"/>
        <v>5205.2159999999994</v>
      </c>
      <c r="DO30" s="656">
        <f>89.813+25.741+48.389+749.875</f>
        <v>913.81799999999998</v>
      </c>
      <c r="DP30" s="492">
        <f>163.67+97.925+486.617</f>
        <v>748.21199999999999</v>
      </c>
      <c r="DQ30" s="492">
        <f>57.253+7.406+628.204</f>
        <v>692.86299999999994</v>
      </c>
      <c r="DR30" s="492">
        <f>32.937+23.306+411.493</f>
        <v>467.73599999999999</v>
      </c>
      <c r="DS30" s="492">
        <f>162.436+140.509</f>
        <v>302.94499999999999</v>
      </c>
      <c r="DT30" s="492">
        <f>143.92+155.998</f>
        <v>299.91800000000001</v>
      </c>
      <c r="DU30" s="492">
        <f>41.311+130.903</f>
        <v>172.214</v>
      </c>
      <c r="DV30" s="492">
        <f>128.375+246.414+203.807</f>
        <v>578.596</v>
      </c>
      <c r="DW30" s="492">
        <f>80.076+84.992+207.511+403.859</f>
        <v>776.43799999999987</v>
      </c>
      <c r="DX30" s="492">
        <v>725.54899999999998</v>
      </c>
      <c r="DY30" s="492">
        <v>1644.3150000000001</v>
      </c>
      <c r="DZ30" s="492">
        <v>1561.701</v>
      </c>
      <c r="EA30" s="493">
        <f t="shared" si="21"/>
        <v>8884.3050000000003</v>
      </c>
      <c r="EB30" s="656">
        <v>495</v>
      </c>
      <c r="EC30" s="492">
        <v>1206</v>
      </c>
      <c r="ED30" s="492">
        <v>15</v>
      </c>
      <c r="EE30" s="492">
        <v>57</v>
      </c>
      <c r="EF30" s="492">
        <v>297</v>
      </c>
      <c r="EG30" s="492">
        <v>174</v>
      </c>
      <c r="EH30" s="492">
        <v>149</v>
      </c>
      <c r="EI30" s="492">
        <v>862</v>
      </c>
      <c r="EJ30" s="492">
        <v>667</v>
      </c>
      <c r="EK30" s="492">
        <v>1642</v>
      </c>
      <c r="EL30" s="492">
        <v>1459</v>
      </c>
      <c r="EM30" s="492">
        <v>1945</v>
      </c>
      <c r="EN30" s="493">
        <f t="shared" si="22"/>
        <v>8968</v>
      </c>
      <c r="EO30" s="656"/>
      <c r="EP30" s="492"/>
      <c r="EQ30" s="492"/>
      <c r="ER30" s="492"/>
      <c r="ES30" s="492"/>
      <c r="ET30" s="492"/>
      <c r="EU30" s="492"/>
      <c r="EV30" s="492"/>
      <c r="EW30" s="492"/>
      <c r="EX30" s="492"/>
      <c r="EY30" s="492"/>
      <c r="EZ30" s="492"/>
      <c r="FA30" s="493">
        <f t="shared" si="23"/>
        <v>0</v>
      </c>
      <c r="FC30" s="595">
        <f t="shared" si="24"/>
        <v>24.543686659610266</v>
      </c>
      <c r="FD30" s="596">
        <f t="shared" si="25"/>
        <v>0.942054555758709</v>
      </c>
      <c r="FE30" s="498">
        <f t="shared" si="26"/>
        <v>8884.3050000000003</v>
      </c>
      <c r="FF30" s="597">
        <f t="shared" si="27"/>
        <v>8968</v>
      </c>
      <c r="FH30" s="551">
        <f t="shared" si="28"/>
        <v>112100.85200000001</v>
      </c>
      <c r="FI30" s="491" t="s">
        <v>63</v>
      </c>
      <c r="FJ30" s="554" t="str">
        <f t="shared" si="29"/>
        <v>OK</v>
      </c>
    </row>
    <row r="31" spans="1:166" ht="15" customHeight="1" x14ac:dyDescent="0.25">
      <c r="A31" s="610" t="s">
        <v>149</v>
      </c>
      <c r="B31" s="656"/>
      <c r="C31" s="492"/>
      <c r="D31" s="492"/>
      <c r="E31" s="492"/>
      <c r="F31" s="492"/>
      <c r="G31" s="492"/>
      <c r="H31" s="492"/>
      <c r="I31" s="492"/>
      <c r="J31" s="492"/>
      <c r="K31" s="492"/>
      <c r="L31" s="492"/>
      <c r="M31" s="492"/>
      <c r="N31" s="493">
        <f t="shared" si="12"/>
        <v>0</v>
      </c>
      <c r="O31" s="656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93">
        <f t="shared" si="13"/>
        <v>0</v>
      </c>
      <c r="AB31" s="656"/>
      <c r="AC31" s="492"/>
      <c r="AD31" s="492"/>
      <c r="AE31" s="492"/>
      <c r="AF31" s="492"/>
      <c r="AG31" s="492"/>
      <c r="AH31" s="492"/>
      <c r="AI31" s="492"/>
      <c r="AJ31" s="492"/>
      <c r="AK31" s="492"/>
      <c r="AL31" s="492"/>
      <c r="AM31" s="492"/>
      <c r="AN31" s="493">
        <f t="shared" si="14"/>
        <v>0</v>
      </c>
      <c r="AO31" s="656"/>
      <c r="AP31" s="492"/>
      <c r="AQ31" s="492"/>
      <c r="AR31" s="492"/>
      <c r="AS31" s="492"/>
      <c r="AT31" s="492"/>
      <c r="AU31" s="492"/>
      <c r="AV31" s="492"/>
      <c r="AW31" s="492"/>
      <c r="AX31" s="492"/>
      <c r="AY31" s="492"/>
      <c r="AZ31" s="492"/>
      <c r="BA31" s="493">
        <f t="shared" si="15"/>
        <v>0</v>
      </c>
      <c r="BB31" s="656"/>
      <c r="BC31" s="492"/>
      <c r="BD31" s="492"/>
      <c r="BE31" s="492"/>
      <c r="BF31" s="492"/>
      <c r="BG31" s="492"/>
      <c r="BH31" s="492"/>
      <c r="BI31" s="492"/>
      <c r="BJ31" s="492"/>
      <c r="BK31" s="492"/>
      <c r="BL31" s="492"/>
      <c r="BM31" s="492"/>
      <c r="BN31" s="493">
        <f t="shared" si="16"/>
        <v>0</v>
      </c>
      <c r="BO31" s="656"/>
      <c r="BP31" s="492"/>
      <c r="BQ31" s="492"/>
      <c r="BR31" s="492"/>
      <c r="BS31" s="492"/>
      <c r="BT31" s="492"/>
      <c r="BU31" s="492"/>
      <c r="BV31" s="492"/>
      <c r="BW31" s="492"/>
      <c r="BX31" s="492"/>
      <c r="BY31" s="492"/>
      <c r="BZ31" s="492"/>
      <c r="CA31" s="493">
        <f t="shared" si="17"/>
        <v>0</v>
      </c>
      <c r="CB31" s="656"/>
      <c r="CC31" s="492"/>
      <c r="CD31" s="492"/>
      <c r="CE31" s="492"/>
      <c r="CF31" s="492"/>
      <c r="CG31" s="492"/>
      <c r="CH31" s="492"/>
      <c r="CI31" s="492"/>
      <c r="CJ31" s="492"/>
      <c r="CK31" s="492"/>
      <c r="CL31" s="492"/>
      <c r="CM31" s="492"/>
      <c r="CN31" s="493">
        <f t="shared" si="18"/>
        <v>0</v>
      </c>
      <c r="CO31" s="656"/>
      <c r="CP31" s="492"/>
      <c r="CQ31" s="492"/>
      <c r="CR31" s="492"/>
      <c r="CS31" s="492"/>
      <c r="CT31" s="492"/>
      <c r="CU31" s="492"/>
      <c r="CV31" s="492"/>
      <c r="CW31" s="492"/>
      <c r="CX31" s="492"/>
      <c r="CY31" s="492"/>
      <c r="CZ31" s="492"/>
      <c r="DA31" s="493">
        <f t="shared" si="19"/>
        <v>0</v>
      </c>
      <c r="DB31" s="656"/>
      <c r="DC31" s="492"/>
      <c r="DD31" s="492"/>
      <c r="DE31" s="492"/>
      <c r="DF31" s="492"/>
      <c r="DG31" s="492"/>
      <c r="DH31" s="492"/>
      <c r="DI31" s="492"/>
      <c r="DJ31" s="492"/>
      <c r="DK31" s="492"/>
      <c r="DL31" s="492"/>
      <c r="DM31" s="492"/>
      <c r="DN31" s="493">
        <f t="shared" si="20"/>
        <v>0</v>
      </c>
      <c r="DO31" s="656"/>
      <c r="DP31" s="492"/>
      <c r="DQ31" s="492"/>
      <c r="DR31" s="492"/>
      <c r="DS31" s="492"/>
      <c r="DT31" s="492"/>
      <c r="DU31" s="492"/>
      <c r="DV31" s="492"/>
      <c r="DW31" s="492"/>
      <c r="DX31" s="492"/>
      <c r="DY31" s="492"/>
      <c r="DZ31" s="492"/>
      <c r="EA31" s="493">
        <f t="shared" si="21"/>
        <v>0</v>
      </c>
      <c r="EB31" s="656"/>
      <c r="EC31" s="492"/>
      <c r="ED31" s="492"/>
      <c r="EE31" s="492"/>
      <c r="EF31" s="492"/>
      <c r="EG31" s="492"/>
      <c r="EH31" s="492"/>
      <c r="EI31" s="492"/>
      <c r="EJ31" s="492"/>
      <c r="EK31" s="492"/>
      <c r="EL31" s="492"/>
      <c r="EM31" s="492"/>
      <c r="EN31" s="493">
        <f t="shared" si="22"/>
        <v>0</v>
      </c>
      <c r="EO31" s="656"/>
      <c r="EP31" s="492"/>
      <c r="EQ31" s="492"/>
      <c r="ER31" s="492"/>
      <c r="ES31" s="492"/>
      <c r="ET31" s="492"/>
      <c r="EU31" s="492"/>
      <c r="EV31" s="492"/>
      <c r="EW31" s="492"/>
      <c r="EX31" s="492"/>
      <c r="EY31" s="492"/>
      <c r="EZ31" s="492"/>
      <c r="FA31" s="493">
        <f t="shared" si="23"/>
        <v>0</v>
      </c>
      <c r="FC31" s="595" t="str">
        <f t="shared" si="24"/>
        <v/>
      </c>
      <c r="FD31" s="596" t="str">
        <f t="shared" si="25"/>
        <v/>
      </c>
      <c r="FE31" s="498">
        <f t="shared" si="26"/>
        <v>0</v>
      </c>
      <c r="FF31" s="597">
        <f t="shared" si="27"/>
        <v>0</v>
      </c>
      <c r="FH31" s="551">
        <f t="shared" si="28"/>
        <v>0</v>
      </c>
      <c r="FI31" s="491" t="s">
        <v>149</v>
      </c>
      <c r="FJ31" s="554" t="str">
        <f t="shared" si="29"/>
        <v>OK</v>
      </c>
    </row>
    <row r="32" spans="1:166" ht="15" customHeight="1" x14ac:dyDescent="0.25">
      <c r="A32" s="610" t="s">
        <v>64</v>
      </c>
      <c r="B32" s="656">
        <v>177</v>
      </c>
      <c r="C32" s="492">
        <v>91</v>
      </c>
      <c r="D32" s="492">
        <v>15</v>
      </c>
      <c r="E32" s="492">
        <v>16</v>
      </c>
      <c r="F32" s="492"/>
      <c r="G32" s="492"/>
      <c r="H32" s="492"/>
      <c r="I32" s="492">
        <v>6</v>
      </c>
      <c r="J32" s="492">
        <v>31</v>
      </c>
      <c r="K32" s="492">
        <v>49</v>
      </c>
      <c r="L32" s="492">
        <v>281</v>
      </c>
      <c r="M32" s="492"/>
      <c r="N32" s="493">
        <f t="shared" si="12"/>
        <v>666</v>
      </c>
      <c r="O32" s="656">
        <v>36</v>
      </c>
      <c r="P32" s="492"/>
      <c r="Q32" s="492"/>
      <c r="R32" s="492">
        <v>71</v>
      </c>
      <c r="S32" s="492">
        <v>19</v>
      </c>
      <c r="T32" s="492"/>
      <c r="U32" s="492"/>
      <c r="V32" s="492"/>
      <c r="W32" s="492">
        <v>204</v>
      </c>
      <c r="X32" s="492">
        <v>136</v>
      </c>
      <c r="Y32" s="492">
        <v>54</v>
      </c>
      <c r="Z32" s="492">
        <v>54</v>
      </c>
      <c r="AA32" s="493">
        <f t="shared" si="13"/>
        <v>574</v>
      </c>
      <c r="AB32" s="656">
        <v>5</v>
      </c>
      <c r="AC32" s="492">
        <v>51</v>
      </c>
      <c r="AD32" s="492">
        <v>2</v>
      </c>
      <c r="AE32" s="492"/>
      <c r="AF32" s="492"/>
      <c r="AG32" s="492">
        <v>17</v>
      </c>
      <c r="AH32" s="492">
        <v>3</v>
      </c>
      <c r="AI32" s="492"/>
      <c r="AJ32" s="492">
        <v>186</v>
      </c>
      <c r="AK32" s="492">
        <v>268</v>
      </c>
      <c r="AL32" s="492">
        <v>59</v>
      </c>
      <c r="AM32" s="492">
        <v>107</v>
      </c>
      <c r="AN32" s="493">
        <f t="shared" si="14"/>
        <v>698</v>
      </c>
      <c r="AO32" s="656">
        <v>88.162999999999997</v>
      </c>
      <c r="AP32" s="492">
        <v>19.858000000000001</v>
      </c>
      <c r="AQ32" s="492">
        <v>3.8490000000000002</v>
      </c>
      <c r="AR32" s="492">
        <v>3.7450000000000001</v>
      </c>
      <c r="AS32" s="492">
        <v>82.552999999999997</v>
      </c>
      <c r="AT32" s="492"/>
      <c r="AU32" s="492"/>
      <c r="AV32" s="492">
        <v>167.10300000000001</v>
      </c>
      <c r="AW32" s="492">
        <v>160.197</v>
      </c>
      <c r="AX32" s="492"/>
      <c r="AY32" s="492">
        <v>268.25099999999998</v>
      </c>
      <c r="AZ32" s="492">
        <v>88.118999999999986</v>
      </c>
      <c r="BA32" s="493">
        <f t="shared" si="15"/>
        <v>881.83800000000008</v>
      </c>
      <c r="BB32" s="656">
        <v>44.621000000000002</v>
      </c>
      <c r="BC32" s="492"/>
      <c r="BD32" s="492">
        <v>55.260000000000005</v>
      </c>
      <c r="BE32" s="492">
        <v>58.363999999999997</v>
      </c>
      <c r="BF32" s="492">
        <v>22.337</v>
      </c>
      <c r="BG32" s="492">
        <v>35.537999999999997</v>
      </c>
      <c r="BH32" s="492">
        <v>149.61799999999999</v>
      </c>
      <c r="BI32" s="492">
        <v>158.53800000000001</v>
      </c>
      <c r="BJ32" s="492">
        <v>121.971</v>
      </c>
      <c r="BK32" s="492">
        <v>153.13300000000001</v>
      </c>
      <c r="BL32" s="492">
        <v>269.84699999999998</v>
      </c>
      <c r="BM32" s="492">
        <v>87.031999999999996</v>
      </c>
      <c r="BN32" s="493">
        <f t="shared" si="16"/>
        <v>1156.259</v>
      </c>
      <c r="BO32" s="656">
        <v>56</v>
      </c>
      <c r="BP32" s="492">
        <v>76</v>
      </c>
      <c r="BQ32" s="492">
        <v>51</v>
      </c>
      <c r="BR32" s="492"/>
      <c r="BS32" s="492"/>
      <c r="BT32" s="492">
        <v>6</v>
      </c>
      <c r="BU32" s="492">
        <v>183</v>
      </c>
      <c r="BV32" s="492">
        <v>184</v>
      </c>
      <c r="BW32" s="492">
        <v>39</v>
      </c>
      <c r="BX32" s="492"/>
      <c r="BY32" s="492"/>
      <c r="BZ32" s="492">
        <v>13.063000000000001</v>
      </c>
      <c r="CA32" s="493">
        <f t="shared" si="17"/>
        <v>608.06299999999999</v>
      </c>
      <c r="CB32" s="656">
        <v>11.28</v>
      </c>
      <c r="CC32" s="492"/>
      <c r="CD32" s="492"/>
      <c r="CE32" s="492"/>
      <c r="CF32" s="492"/>
      <c r="CG32" s="492">
        <v>5.1420000000000003</v>
      </c>
      <c r="CH32" s="492"/>
      <c r="CI32" s="492"/>
      <c r="CJ32" s="492"/>
      <c r="CK32" s="492"/>
      <c r="CL32" s="492"/>
      <c r="CM32" s="492">
        <v>21.172000000000001</v>
      </c>
      <c r="CN32" s="493">
        <f t="shared" si="18"/>
        <v>37.594000000000001</v>
      </c>
      <c r="CO32" s="656"/>
      <c r="CP32" s="492"/>
      <c r="CQ32" s="492"/>
      <c r="CR32" s="492"/>
      <c r="CS32" s="492"/>
      <c r="CT32" s="492"/>
      <c r="CU32" s="492"/>
      <c r="CV32" s="492"/>
      <c r="CW32" s="492"/>
      <c r="CX32" s="492"/>
      <c r="CY32" s="492"/>
      <c r="CZ32" s="492"/>
      <c r="DA32" s="493">
        <f t="shared" si="19"/>
        <v>0</v>
      </c>
      <c r="DB32" s="656"/>
      <c r="DC32" s="492">
        <v>21.478000000000002</v>
      </c>
      <c r="DD32" s="492"/>
      <c r="DE32" s="492"/>
      <c r="DF32" s="492">
        <v>77.167000000000002</v>
      </c>
      <c r="DG32" s="492">
        <v>17.684000000000001</v>
      </c>
      <c r="DH32" s="492">
        <v>48</v>
      </c>
      <c r="DI32" s="492">
        <v>37.956000000000003</v>
      </c>
      <c r="DJ32" s="492">
        <v>47.262</v>
      </c>
      <c r="DK32" s="492">
        <v>44.051000000000002</v>
      </c>
      <c r="DL32" s="492">
        <v>171.155</v>
      </c>
      <c r="DM32" s="492">
        <v>39.642000000000003</v>
      </c>
      <c r="DN32" s="493">
        <f t="shared" si="20"/>
        <v>504.39500000000004</v>
      </c>
      <c r="DO32" s="656">
        <v>67.346999999999994</v>
      </c>
      <c r="DP32" s="492">
        <v>72.822000000000003</v>
      </c>
      <c r="DQ32" s="492">
        <v>37.497999999999998</v>
      </c>
      <c r="DR32" s="492">
        <v>187.40799999999999</v>
      </c>
      <c r="DS32" s="492">
        <v>8.218</v>
      </c>
      <c r="DT32" s="492">
        <v>21.369</v>
      </c>
      <c r="DU32" s="492"/>
      <c r="DV32" s="492">
        <v>48.253999999999998</v>
      </c>
      <c r="DW32" s="492">
        <v>148.14400000000001</v>
      </c>
      <c r="DX32" s="492">
        <v>43.457999999999998</v>
      </c>
      <c r="DY32" s="492">
        <v>152.17599999999999</v>
      </c>
      <c r="DZ32" s="492">
        <v>185.905</v>
      </c>
      <c r="EA32" s="493">
        <f t="shared" si="21"/>
        <v>972.59899999999993</v>
      </c>
      <c r="EB32" s="656"/>
      <c r="EC32" s="492">
        <v>21</v>
      </c>
      <c r="ED32" s="492"/>
      <c r="EE32" s="492">
        <v>46.555</v>
      </c>
      <c r="EF32" s="492">
        <v>12.699</v>
      </c>
      <c r="EG32" s="492">
        <v>136.43700000000001</v>
      </c>
      <c r="EH32" s="492"/>
      <c r="EI32" s="492"/>
      <c r="EJ32" s="492">
        <v>57.808999999999997</v>
      </c>
      <c r="EK32" s="492">
        <v>31.393999999999998</v>
      </c>
      <c r="EL32" s="492">
        <v>51</v>
      </c>
      <c r="EM32" s="492">
        <v>220</v>
      </c>
      <c r="EN32" s="493">
        <f t="shared" si="22"/>
        <v>576.89400000000001</v>
      </c>
      <c r="EO32" s="656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3">
        <f t="shared" si="23"/>
        <v>0</v>
      </c>
      <c r="FC32" s="595">
        <f t="shared" si="24"/>
        <v>18.340012371910387</v>
      </c>
      <c r="FD32" s="596">
        <f t="shared" si="25"/>
        <v>-40.685318409745427</v>
      </c>
      <c r="FE32" s="498">
        <f t="shared" si="26"/>
        <v>972.59899999999993</v>
      </c>
      <c r="FF32" s="597">
        <f t="shared" si="27"/>
        <v>576.89400000000001</v>
      </c>
      <c r="FH32" s="551">
        <f t="shared" si="28"/>
        <v>13351.284000000001</v>
      </c>
      <c r="FI32" s="491" t="s">
        <v>64</v>
      </c>
      <c r="FJ32" s="554" t="str">
        <f t="shared" si="29"/>
        <v>OK</v>
      </c>
    </row>
    <row r="33" spans="1:166" ht="15" customHeight="1" x14ac:dyDescent="0.25">
      <c r="A33" s="610" t="s">
        <v>65</v>
      </c>
      <c r="B33" s="656"/>
      <c r="C33" s="492"/>
      <c r="D33" s="492">
        <v>80</v>
      </c>
      <c r="E33" s="492"/>
      <c r="F33" s="492"/>
      <c r="G33" s="492">
        <v>10</v>
      </c>
      <c r="H33" s="492"/>
      <c r="I33" s="492">
        <v>20</v>
      </c>
      <c r="J33" s="492">
        <v>185</v>
      </c>
      <c r="K33" s="492"/>
      <c r="L33" s="492"/>
      <c r="M33" s="492">
        <v>111</v>
      </c>
      <c r="N33" s="493">
        <f t="shared" si="12"/>
        <v>406</v>
      </c>
      <c r="O33" s="656"/>
      <c r="P33" s="492"/>
      <c r="Q33" s="492"/>
      <c r="R33" s="492"/>
      <c r="S33" s="492"/>
      <c r="T33" s="492"/>
      <c r="U33" s="492"/>
      <c r="V33" s="492"/>
      <c r="W33" s="492">
        <v>359.92899999999997</v>
      </c>
      <c r="X33" s="492">
        <v>62.688000000000002</v>
      </c>
      <c r="Y33" s="492">
        <v>390</v>
      </c>
      <c r="Z33" s="492">
        <v>45</v>
      </c>
      <c r="AA33" s="493">
        <f t="shared" si="13"/>
        <v>857.61699999999996</v>
      </c>
      <c r="AB33" s="656"/>
      <c r="AC33" s="492">
        <v>10</v>
      </c>
      <c r="AD33" s="492">
        <v>513</v>
      </c>
      <c r="AE33" s="492">
        <v>22.47</v>
      </c>
      <c r="AF33" s="492">
        <v>48.204000000000001</v>
      </c>
      <c r="AG33" s="492">
        <v>14</v>
      </c>
      <c r="AH33" s="492"/>
      <c r="AI33" s="492">
        <v>235</v>
      </c>
      <c r="AJ33" s="492">
        <v>668</v>
      </c>
      <c r="AK33" s="492"/>
      <c r="AL33" s="492">
        <v>115</v>
      </c>
      <c r="AM33" s="492">
        <v>456</v>
      </c>
      <c r="AN33" s="493">
        <f t="shared" si="14"/>
        <v>2081.674</v>
      </c>
      <c r="AO33" s="656">
        <v>140.77600000000001</v>
      </c>
      <c r="AP33" s="492">
        <v>75.175000000000011</v>
      </c>
      <c r="AQ33" s="492"/>
      <c r="AR33" s="492"/>
      <c r="AS33" s="492">
        <v>22.806999999999999</v>
      </c>
      <c r="AT33" s="492">
        <v>89.072000000000003</v>
      </c>
      <c r="AU33" s="492">
        <v>339.76000000000005</v>
      </c>
      <c r="AV33" s="492">
        <v>340.74299999999982</v>
      </c>
      <c r="AW33" s="492">
        <v>590.85899999999992</v>
      </c>
      <c r="AX33" s="492">
        <v>566.899</v>
      </c>
      <c r="AY33" s="492">
        <v>541.45600000000013</v>
      </c>
      <c r="AZ33" s="492">
        <v>177.57999999999998</v>
      </c>
      <c r="BA33" s="493">
        <f t="shared" si="15"/>
        <v>2885.127</v>
      </c>
      <c r="BB33" s="656">
        <v>254.17</v>
      </c>
      <c r="BC33" s="492">
        <v>11.759</v>
      </c>
      <c r="BD33" s="492">
        <v>130.63800000000001</v>
      </c>
      <c r="BE33" s="492">
        <v>447</v>
      </c>
      <c r="BF33" s="492">
        <v>458.80900000000003</v>
      </c>
      <c r="BG33" s="492">
        <v>111.58799999999999</v>
      </c>
      <c r="BH33" s="492">
        <v>844.5300000000002</v>
      </c>
      <c r="BI33" s="492">
        <v>1305.348</v>
      </c>
      <c r="BJ33" s="492">
        <v>1115.0530000000001</v>
      </c>
      <c r="BK33" s="492">
        <v>1565.7860000000001</v>
      </c>
      <c r="BL33" s="492">
        <v>863.29300000000012</v>
      </c>
      <c r="BM33" s="492">
        <v>768.03000000000009</v>
      </c>
      <c r="BN33" s="493">
        <f t="shared" si="16"/>
        <v>7876.0039999999999</v>
      </c>
      <c r="BO33" s="656">
        <v>141</v>
      </c>
      <c r="BP33" s="492">
        <v>358</v>
      </c>
      <c r="BQ33" s="492">
        <v>73</v>
      </c>
      <c r="BR33" s="492"/>
      <c r="BS33" s="492"/>
      <c r="BT33" s="492">
        <v>279</v>
      </c>
      <c r="BU33" s="492">
        <v>254</v>
      </c>
      <c r="BV33" s="492">
        <v>1028</v>
      </c>
      <c r="BW33" s="492">
        <v>319</v>
      </c>
      <c r="BX33" s="492"/>
      <c r="BY33" s="492"/>
      <c r="BZ33" s="492">
        <v>68.021000000000001</v>
      </c>
      <c r="CA33" s="493">
        <f t="shared" si="17"/>
        <v>2520.0210000000002</v>
      </c>
      <c r="CB33" s="656">
        <v>1.1180000000000001</v>
      </c>
      <c r="CC33" s="492"/>
      <c r="CD33" s="492"/>
      <c r="CE33" s="492"/>
      <c r="CF33" s="492"/>
      <c r="CG33" s="492">
        <v>18.655999999999999</v>
      </c>
      <c r="CH33" s="492">
        <v>80.789000000000001</v>
      </c>
      <c r="CI33" s="492"/>
      <c r="CJ33" s="492"/>
      <c r="CK33" s="492"/>
      <c r="CL33" s="492"/>
      <c r="CM33" s="492"/>
      <c r="CN33" s="493">
        <f t="shared" si="18"/>
        <v>100.563</v>
      </c>
      <c r="CO33" s="656">
        <v>610.79200000000003</v>
      </c>
      <c r="CP33" s="492"/>
      <c r="CQ33" s="492"/>
      <c r="CR33" s="492"/>
      <c r="CS33" s="492"/>
      <c r="CT33" s="492"/>
      <c r="CU33" s="492"/>
      <c r="CV33" s="492"/>
      <c r="CW33" s="492">
        <v>2.3380000000000001</v>
      </c>
      <c r="CX33" s="492">
        <v>3.0110000000000001</v>
      </c>
      <c r="CY33" s="492"/>
      <c r="CZ33" s="492"/>
      <c r="DA33" s="493">
        <f t="shared" si="19"/>
        <v>616.14099999999996</v>
      </c>
      <c r="DB33" s="656"/>
      <c r="DC33" s="492"/>
      <c r="DD33" s="492">
        <v>4.6079999999999997</v>
      </c>
      <c r="DE33" s="492">
        <v>111.49299999999999</v>
      </c>
      <c r="DF33" s="492">
        <v>324.81099999999998</v>
      </c>
      <c r="DG33" s="492">
        <v>89.933999999999997</v>
      </c>
      <c r="DH33" s="492">
        <v>594</v>
      </c>
      <c r="DI33" s="492">
        <v>572.77099999999996</v>
      </c>
      <c r="DJ33" s="492">
        <v>83.334999999999994</v>
      </c>
      <c r="DK33" s="492"/>
      <c r="DL33" s="492">
        <v>199.04</v>
      </c>
      <c r="DM33" s="492">
        <v>879.471</v>
      </c>
      <c r="DN33" s="493">
        <f t="shared" si="20"/>
        <v>2859.4629999999997</v>
      </c>
      <c r="DO33" s="656">
        <v>630.471</v>
      </c>
      <c r="DP33" s="492">
        <v>231.34100000000001</v>
      </c>
      <c r="DQ33" s="492">
        <v>6.5309999999999997</v>
      </c>
      <c r="DR33" s="492">
        <v>474.11200000000002</v>
      </c>
      <c r="DS33" s="492">
        <v>495.601</v>
      </c>
      <c r="DT33" s="492">
        <v>409.82100000000003</v>
      </c>
      <c r="DU33" s="492">
        <v>35.786999999999999</v>
      </c>
      <c r="DV33" s="492">
        <v>116.85</v>
      </c>
      <c r="DW33" s="492">
        <v>114.02</v>
      </c>
      <c r="DX33" s="492">
        <v>52.454999999999998</v>
      </c>
      <c r="DY33" s="492"/>
      <c r="DZ33" s="492">
        <v>316.822</v>
      </c>
      <c r="EA33" s="493">
        <f t="shared" si="21"/>
        <v>2883.8109999999997</v>
      </c>
      <c r="EB33" s="656">
        <v>98.013000000000005</v>
      </c>
      <c r="EC33" s="492">
        <v>195.10699999999997</v>
      </c>
      <c r="ED33" s="492">
        <v>55.164999999999999</v>
      </c>
      <c r="EE33" s="492">
        <v>2.88</v>
      </c>
      <c r="EF33" s="492">
        <v>296.73700000000002</v>
      </c>
      <c r="EG33" s="492"/>
      <c r="EH33" s="492">
        <v>409.11700000000002</v>
      </c>
      <c r="EI33" s="492">
        <v>42.475999999999999</v>
      </c>
      <c r="EJ33" s="492">
        <v>739.73799999999994</v>
      </c>
      <c r="EK33" s="492">
        <v>411.03399999999999</v>
      </c>
      <c r="EL33" s="492">
        <v>129.90100000000001</v>
      </c>
      <c r="EM33" s="492">
        <v>398.041</v>
      </c>
      <c r="EN33" s="493">
        <f t="shared" si="22"/>
        <v>2778.2089999999998</v>
      </c>
      <c r="EO33" s="656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3">
        <f t="shared" si="23"/>
        <v>0</v>
      </c>
      <c r="FC33" s="595">
        <f t="shared" si="24"/>
        <v>25.635530360896652</v>
      </c>
      <c r="FD33" s="596">
        <f t="shared" si="25"/>
        <v>-3.6618904636954275</v>
      </c>
      <c r="FE33" s="498">
        <f t="shared" si="26"/>
        <v>2883.8109999999997</v>
      </c>
      <c r="FF33" s="597">
        <f t="shared" si="27"/>
        <v>2778.2089999999998</v>
      </c>
      <c r="FH33" s="551">
        <f t="shared" si="28"/>
        <v>51729.260000000009</v>
      </c>
      <c r="FI33" s="491" t="s">
        <v>65</v>
      </c>
      <c r="FJ33" s="554" t="str">
        <f t="shared" si="29"/>
        <v>OK</v>
      </c>
    </row>
    <row r="34" spans="1:166" ht="15" customHeight="1" x14ac:dyDescent="0.25">
      <c r="A34" s="610" t="s">
        <v>94</v>
      </c>
      <c r="B34" s="656"/>
      <c r="C34" s="492"/>
      <c r="D34" s="492"/>
      <c r="E34" s="492"/>
      <c r="F34" s="492"/>
      <c r="G34" s="492"/>
      <c r="H34" s="492"/>
      <c r="I34" s="492"/>
      <c r="J34" s="492"/>
      <c r="K34" s="492"/>
      <c r="L34" s="492"/>
      <c r="M34" s="492">
        <v>10</v>
      </c>
      <c r="N34" s="493">
        <f t="shared" si="12"/>
        <v>10</v>
      </c>
      <c r="O34" s="656"/>
      <c r="P34" s="492"/>
      <c r="Q34" s="492"/>
      <c r="R34" s="492"/>
      <c r="S34" s="492"/>
      <c r="T34" s="492"/>
      <c r="U34" s="492"/>
      <c r="V34" s="492"/>
      <c r="W34" s="492"/>
      <c r="X34" s="492">
        <v>44.746000000000002</v>
      </c>
      <c r="Y34" s="492">
        <v>72</v>
      </c>
      <c r="Z34" s="492">
        <v>5</v>
      </c>
      <c r="AA34" s="493">
        <f t="shared" si="13"/>
        <v>121.74600000000001</v>
      </c>
      <c r="AB34" s="656"/>
      <c r="AC34" s="492">
        <v>19</v>
      </c>
      <c r="AD34" s="492"/>
      <c r="AE34" s="492"/>
      <c r="AF34" s="492">
        <v>1.9590000000000001</v>
      </c>
      <c r="AG34" s="492">
        <v>2</v>
      </c>
      <c r="AH34" s="492"/>
      <c r="AI34" s="492">
        <v>23</v>
      </c>
      <c r="AJ34" s="492">
        <v>20</v>
      </c>
      <c r="AK34" s="492">
        <v>51</v>
      </c>
      <c r="AL34" s="492">
        <v>101</v>
      </c>
      <c r="AM34" s="492">
        <v>3</v>
      </c>
      <c r="AN34" s="493">
        <f t="shared" si="14"/>
        <v>220.959</v>
      </c>
      <c r="AO34" s="656"/>
      <c r="AP34" s="492">
        <v>35.420999999999999</v>
      </c>
      <c r="AQ34" s="492">
        <v>113.75</v>
      </c>
      <c r="AR34" s="492">
        <v>36.320999999999998</v>
      </c>
      <c r="AS34" s="492">
        <v>39.557000000000002</v>
      </c>
      <c r="AT34" s="492">
        <v>18.954999999999998</v>
      </c>
      <c r="AU34" s="492">
        <v>101.023</v>
      </c>
      <c r="AV34" s="492">
        <v>168.00800000000001</v>
      </c>
      <c r="AW34" s="492">
        <v>25.917000000000002</v>
      </c>
      <c r="AX34" s="492">
        <v>33.630000000000003</v>
      </c>
      <c r="AY34" s="492">
        <v>42.628</v>
      </c>
      <c r="AZ34" s="492"/>
      <c r="BA34" s="493">
        <f t="shared" si="15"/>
        <v>615.21</v>
      </c>
      <c r="BB34" s="656"/>
      <c r="BC34" s="492"/>
      <c r="BD34" s="492">
        <v>157</v>
      </c>
      <c r="BE34" s="492">
        <v>16.896000000000001</v>
      </c>
      <c r="BF34" s="492"/>
      <c r="BG34" s="492">
        <v>34.514000000000003</v>
      </c>
      <c r="BH34" s="492">
        <v>282.32199999999995</v>
      </c>
      <c r="BI34" s="492"/>
      <c r="BJ34" s="492">
        <v>11.345000000000001</v>
      </c>
      <c r="BK34" s="492">
        <v>6.0250000000000004</v>
      </c>
      <c r="BL34" s="492">
        <v>24.823</v>
      </c>
      <c r="BM34" s="492">
        <v>260.32499999999999</v>
      </c>
      <c r="BN34" s="493">
        <f t="shared" si="16"/>
        <v>793.25</v>
      </c>
      <c r="BO34" s="656">
        <v>61</v>
      </c>
      <c r="BP34" s="492">
        <v>74</v>
      </c>
      <c r="BQ34" s="492">
        <v>175</v>
      </c>
      <c r="BR34" s="492"/>
      <c r="BS34" s="492"/>
      <c r="BT34" s="492"/>
      <c r="BU34" s="492"/>
      <c r="BV34" s="492"/>
      <c r="BW34" s="492">
        <v>3</v>
      </c>
      <c r="BX34" s="492"/>
      <c r="BY34" s="492"/>
      <c r="BZ34" s="492"/>
      <c r="CA34" s="493">
        <f t="shared" si="17"/>
        <v>313</v>
      </c>
      <c r="CB34" s="656"/>
      <c r="CC34" s="492"/>
      <c r="CD34" s="492"/>
      <c r="CE34" s="492"/>
      <c r="CF34" s="492"/>
      <c r="CG34" s="492"/>
      <c r="CH34" s="492"/>
      <c r="CI34" s="492"/>
      <c r="CJ34" s="492"/>
      <c r="CK34" s="492"/>
      <c r="CL34" s="492"/>
      <c r="CM34" s="492"/>
      <c r="CN34" s="493">
        <f t="shared" si="18"/>
        <v>0</v>
      </c>
      <c r="CO34" s="656">
        <v>5.3460000000000001</v>
      </c>
      <c r="CP34" s="492"/>
      <c r="CQ34" s="492"/>
      <c r="CR34" s="492">
        <v>1.081</v>
      </c>
      <c r="CS34" s="492">
        <v>9.1679999999999993</v>
      </c>
      <c r="CT34" s="492"/>
      <c r="CU34" s="492"/>
      <c r="CV34" s="492"/>
      <c r="CW34" s="492"/>
      <c r="CX34" s="492"/>
      <c r="CY34" s="492"/>
      <c r="CZ34" s="492">
        <v>1.355</v>
      </c>
      <c r="DA34" s="493">
        <f t="shared" si="19"/>
        <v>16.95</v>
      </c>
      <c r="DB34" s="656"/>
      <c r="DC34" s="492"/>
      <c r="DD34" s="492"/>
      <c r="DE34" s="492"/>
      <c r="DF34" s="492">
        <v>32.606999999999999</v>
      </c>
      <c r="DG34" s="492">
        <v>1644</v>
      </c>
      <c r="DH34" s="492">
        <v>3</v>
      </c>
      <c r="DI34" s="492">
        <v>178.43899999999999</v>
      </c>
      <c r="DJ34" s="492"/>
      <c r="DK34" s="492"/>
      <c r="DL34" s="492">
        <v>16.276</v>
      </c>
      <c r="DM34" s="492"/>
      <c r="DN34" s="493">
        <f t="shared" si="20"/>
        <v>1874.3220000000001</v>
      </c>
      <c r="DO34" s="656">
        <v>11.125</v>
      </c>
      <c r="DP34" s="492"/>
      <c r="DQ34" s="492">
        <v>8.3000000000000007</v>
      </c>
      <c r="DR34" s="492">
        <v>26.11</v>
      </c>
      <c r="DS34" s="492"/>
      <c r="DT34" s="492"/>
      <c r="DU34" s="492">
        <v>12.067</v>
      </c>
      <c r="DV34" s="492"/>
      <c r="DW34" s="492">
        <v>66.540999999999997</v>
      </c>
      <c r="DX34" s="492">
        <v>140.036</v>
      </c>
      <c r="DY34" s="492">
        <v>68.58</v>
      </c>
      <c r="DZ34" s="492">
        <v>99.850999999999999</v>
      </c>
      <c r="EA34" s="493">
        <f t="shared" si="21"/>
        <v>432.60999999999996</v>
      </c>
      <c r="EB34" s="656">
        <v>157.88</v>
      </c>
      <c r="EC34" s="492"/>
      <c r="ED34" s="492"/>
      <c r="EE34" s="492"/>
      <c r="EF34" s="492"/>
      <c r="EG34" s="492"/>
      <c r="EH34" s="492"/>
      <c r="EI34" s="492">
        <v>2.198</v>
      </c>
      <c r="EJ34" s="492"/>
      <c r="EK34" s="492">
        <v>34.820999999999998</v>
      </c>
      <c r="EL34" s="492">
        <v>103.416</v>
      </c>
      <c r="EM34" s="492">
        <v>70.650000000000006</v>
      </c>
      <c r="EN34" s="493">
        <f t="shared" si="22"/>
        <v>368.96500000000003</v>
      </c>
      <c r="EO34" s="656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3">
        <f t="shared" si="23"/>
        <v>0</v>
      </c>
      <c r="FC34" s="595">
        <f t="shared" si="24"/>
        <v>-29.244574415879654</v>
      </c>
      <c r="FD34" s="596">
        <f t="shared" si="25"/>
        <v>-14.7118651903562</v>
      </c>
      <c r="FE34" s="498">
        <f t="shared" si="26"/>
        <v>432.60999999999996</v>
      </c>
      <c r="FF34" s="597">
        <f t="shared" si="27"/>
        <v>368.96500000000003</v>
      </c>
      <c r="FH34" s="551">
        <f t="shared" si="28"/>
        <v>9534.0239999999976</v>
      </c>
      <c r="FI34" s="491" t="s">
        <v>94</v>
      </c>
      <c r="FJ34" s="554" t="str">
        <f t="shared" si="29"/>
        <v>OK</v>
      </c>
    </row>
    <row r="35" spans="1:166" ht="15" customHeight="1" x14ac:dyDescent="0.25">
      <c r="A35" s="610" t="s">
        <v>66</v>
      </c>
      <c r="B35" s="656">
        <v>427.59199999999998</v>
      </c>
      <c r="C35" s="492">
        <v>172.70099999999999</v>
      </c>
      <c r="D35" s="492">
        <v>2248</v>
      </c>
      <c r="E35" s="492"/>
      <c r="F35" s="492">
        <v>34</v>
      </c>
      <c r="G35" s="492">
        <v>178</v>
      </c>
      <c r="H35" s="492">
        <v>579</v>
      </c>
      <c r="I35" s="492">
        <v>348</v>
      </c>
      <c r="J35" s="492">
        <v>1136</v>
      </c>
      <c r="K35" s="492">
        <v>581</v>
      </c>
      <c r="L35" s="492"/>
      <c r="M35" s="492">
        <v>1282</v>
      </c>
      <c r="N35" s="493">
        <f t="shared" si="12"/>
        <v>6986.2929999999997</v>
      </c>
      <c r="O35" s="656">
        <v>486</v>
      </c>
      <c r="P35" s="492">
        <v>305</v>
      </c>
      <c r="Q35" s="492">
        <v>200</v>
      </c>
      <c r="R35" s="492">
        <v>1480</v>
      </c>
      <c r="S35" s="492">
        <v>77</v>
      </c>
      <c r="T35" s="492"/>
      <c r="U35" s="492">
        <v>148</v>
      </c>
      <c r="V35" s="492">
        <v>239</v>
      </c>
      <c r="W35" s="492">
        <v>2026.6229999999998</v>
      </c>
      <c r="X35" s="492">
        <v>1608.2819999999997</v>
      </c>
      <c r="Y35" s="492">
        <v>939</v>
      </c>
      <c r="Z35" s="492">
        <v>1304</v>
      </c>
      <c r="AA35" s="493">
        <f t="shared" si="13"/>
        <v>8812.9049999999988</v>
      </c>
      <c r="AB35" s="656">
        <v>229</v>
      </c>
      <c r="AC35" s="492">
        <v>358</v>
      </c>
      <c r="AD35" s="492">
        <v>813</v>
      </c>
      <c r="AE35" s="492">
        <v>151.297</v>
      </c>
      <c r="AF35" s="492">
        <v>173.84899999999999</v>
      </c>
      <c r="AG35" s="492">
        <v>340</v>
      </c>
      <c r="AH35" s="492">
        <v>7</v>
      </c>
      <c r="AI35" s="492">
        <v>544</v>
      </c>
      <c r="AJ35" s="492">
        <v>2553</v>
      </c>
      <c r="AK35" s="492">
        <v>3276</v>
      </c>
      <c r="AL35" s="492">
        <v>924</v>
      </c>
      <c r="AM35" s="492">
        <v>3707</v>
      </c>
      <c r="AN35" s="493">
        <f t="shared" si="14"/>
        <v>13076.146000000001</v>
      </c>
      <c r="AO35" s="656">
        <v>1046.8019999999999</v>
      </c>
      <c r="AP35" s="492">
        <v>65.219000000000008</v>
      </c>
      <c r="AQ35" s="492">
        <v>2032.9580000000001</v>
      </c>
      <c r="AR35" s="492">
        <v>967.09500000000003</v>
      </c>
      <c r="AS35" s="492">
        <v>364.68299999999999</v>
      </c>
      <c r="AT35" s="492">
        <v>358.46200000000005</v>
      </c>
      <c r="AU35" s="492">
        <v>670.89700000000005</v>
      </c>
      <c r="AV35" s="492">
        <v>838.6350000000001</v>
      </c>
      <c r="AW35" s="492">
        <v>2739.119999999999</v>
      </c>
      <c r="AX35" s="492">
        <v>3239.9250000000002</v>
      </c>
      <c r="AY35" s="492">
        <v>1543.7669999999998</v>
      </c>
      <c r="AZ35" s="492">
        <v>4845.7590000000009</v>
      </c>
      <c r="BA35" s="493">
        <f t="shared" si="15"/>
        <v>18713.322</v>
      </c>
      <c r="BB35" s="656">
        <v>1066.6860000000001</v>
      </c>
      <c r="BC35" s="492">
        <v>1563.3410000000001</v>
      </c>
      <c r="BD35" s="492">
        <v>2672.1480000000001</v>
      </c>
      <c r="BE35" s="492">
        <v>2507.721</v>
      </c>
      <c r="BF35" s="492">
        <v>2032.4390000000003</v>
      </c>
      <c r="BG35" s="492">
        <v>3830.3130000000006</v>
      </c>
      <c r="BH35" s="492">
        <v>2157.2099999999996</v>
      </c>
      <c r="BI35" s="492">
        <v>3886.09</v>
      </c>
      <c r="BJ35" s="492">
        <v>5586.1530000000002</v>
      </c>
      <c r="BK35" s="492">
        <v>2474.4470000000001</v>
      </c>
      <c r="BL35" s="492">
        <v>10675.057000000001</v>
      </c>
      <c r="BM35" s="492">
        <v>3950.5990000000006</v>
      </c>
      <c r="BN35" s="493">
        <f t="shared" si="16"/>
        <v>42402.204000000005</v>
      </c>
      <c r="BO35" s="656">
        <v>7789</v>
      </c>
      <c r="BP35" s="492">
        <v>24776</v>
      </c>
      <c r="BQ35" s="492">
        <v>2379</v>
      </c>
      <c r="BR35" s="492"/>
      <c r="BS35" s="492">
        <v>346</v>
      </c>
      <c r="BT35" s="492">
        <v>4939</v>
      </c>
      <c r="BU35" s="492">
        <v>3593</v>
      </c>
      <c r="BV35" s="492">
        <v>3409</v>
      </c>
      <c r="BW35" s="492">
        <f>242+5698</f>
        <v>5940</v>
      </c>
      <c r="BX35" s="492">
        <v>1433.748</v>
      </c>
      <c r="BY35" s="492">
        <v>1587.1769999999999</v>
      </c>
      <c r="BZ35" s="492">
        <v>497.68099999999998</v>
      </c>
      <c r="CA35" s="493">
        <f t="shared" si="17"/>
        <v>56689.606</v>
      </c>
      <c r="CB35" s="656">
        <v>960.08500000000004</v>
      </c>
      <c r="CC35" s="492">
        <v>399.935</v>
      </c>
      <c r="CD35" s="492">
        <v>348.065</v>
      </c>
      <c r="CE35" s="492">
        <v>176.39</v>
      </c>
      <c r="CF35" s="492">
        <v>289.80900000000003</v>
      </c>
      <c r="CG35" s="492">
        <v>1724.81</v>
      </c>
      <c r="CH35" s="492">
        <v>551.72799999999995</v>
      </c>
      <c r="CI35" s="492">
        <v>194.04900000000001</v>
      </c>
      <c r="CJ35" s="492">
        <v>117.739</v>
      </c>
      <c r="CK35" s="492">
        <v>717.62400000000002</v>
      </c>
      <c r="CL35" s="492">
        <v>424.07299999999998</v>
      </c>
      <c r="CM35" s="492">
        <v>52.738</v>
      </c>
      <c r="CN35" s="493">
        <f t="shared" si="18"/>
        <v>5957.0450000000001</v>
      </c>
      <c r="CO35" s="656">
        <v>47.036999999999999</v>
      </c>
      <c r="CP35" s="492"/>
      <c r="CQ35" s="492">
        <v>1145.9829999999999</v>
      </c>
      <c r="CR35" s="492">
        <v>236.53100000000001</v>
      </c>
      <c r="CS35" s="492">
        <v>1.68</v>
      </c>
      <c r="CT35" s="492"/>
      <c r="CU35" s="492">
        <v>6.8170000000000002</v>
      </c>
      <c r="CV35" s="492">
        <v>51.518999999999998</v>
      </c>
      <c r="CW35" s="492">
        <v>37.414000000000001</v>
      </c>
      <c r="CX35" s="492">
        <v>338.43400000000003</v>
      </c>
      <c r="CY35" s="492">
        <v>423.59100000000001</v>
      </c>
      <c r="CZ35" s="492"/>
      <c r="DA35" s="493">
        <f t="shared" si="19"/>
        <v>2289.0059999999999</v>
      </c>
      <c r="DB35" s="656">
        <v>7.7130000000000001</v>
      </c>
      <c r="DC35" s="492">
        <v>470.322</v>
      </c>
      <c r="DD35" s="492"/>
      <c r="DE35" s="492"/>
      <c r="DF35" s="492">
        <v>5929.9470000000001</v>
      </c>
      <c r="DG35" s="492">
        <v>4483.2439999999997</v>
      </c>
      <c r="DH35" s="492">
        <v>880</v>
      </c>
      <c r="DI35" s="492">
        <v>4412.8900000000003</v>
      </c>
      <c r="DJ35" s="492">
        <v>2254.4290000000001</v>
      </c>
      <c r="DK35" s="492">
        <v>1240.454</v>
      </c>
      <c r="DL35" s="492">
        <v>474.84899999999999</v>
      </c>
      <c r="DM35" s="492">
        <v>891.85</v>
      </c>
      <c r="DN35" s="493">
        <f t="shared" si="20"/>
        <v>21045.697999999997</v>
      </c>
      <c r="DO35" s="656">
        <v>4432.5820000000003</v>
      </c>
      <c r="DP35" s="492">
        <v>5995.47</v>
      </c>
      <c r="DQ35" s="492">
        <v>1043.538</v>
      </c>
      <c r="DR35" s="492">
        <v>3949.6030000000001</v>
      </c>
      <c r="DS35" s="492">
        <v>5307.7030000000004</v>
      </c>
      <c r="DT35" s="492">
        <v>1694.9929999999999</v>
      </c>
      <c r="DU35" s="492">
        <v>2089.547</v>
      </c>
      <c r="DV35" s="492">
        <v>1710.693</v>
      </c>
      <c r="DW35" s="492">
        <v>5145.8630000000003</v>
      </c>
      <c r="DX35" s="492">
        <v>882.87300000000005</v>
      </c>
      <c r="DY35" s="492">
        <v>919.71299999999997</v>
      </c>
      <c r="DZ35" s="492">
        <v>3569.4769999999999</v>
      </c>
      <c r="EA35" s="493">
        <f t="shared" si="21"/>
        <v>36742.055</v>
      </c>
      <c r="EB35" s="656">
        <v>3172.9039999999991</v>
      </c>
      <c r="EC35" s="492">
        <v>3844.58</v>
      </c>
      <c r="ED35" s="492">
        <v>153.66399999999999</v>
      </c>
      <c r="EE35" s="492">
        <v>462.19899999999996</v>
      </c>
      <c r="EF35" s="492">
        <v>8097.8559999999998</v>
      </c>
      <c r="EG35" s="492">
        <v>4066.902</v>
      </c>
      <c r="EH35" s="492">
        <v>466.19799999999998</v>
      </c>
      <c r="EI35" s="492">
        <v>436.66600000000005</v>
      </c>
      <c r="EJ35" s="492">
        <v>994.66699999999992</v>
      </c>
      <c r="EK35" s="492">
        <v>867.51600000000008</v>
      </c>
      <c r="EL35" s="492">
        <v>834.82100000000003</v>
      </c>
      <c r="EM35" s="492">
        <v>870.61299999999994</v>
      </c>
      <c r="EN35" s="493">
        <f t="shared" si="22"/>
        <v>24268.585999999999</v>
      </c>
      <c r="EO35" s="656"/>
      <c r="EP35" s="492"/>
      <c r="EQ35" s="492"/>
      <c r="ER35" s="492"/>
      <c r="ES35" s="492"/>
      <c r="ET35" s="492"/>
      <c r="EU35" s="492"/>
      <c r="EV35" s="492"/>
      <c r="EW35" s="492"/>
      <c r="EX35" s="492"/>
      <c r="EY35" s="492"/>
      <c r="EZ35" s="492"/>
      <c r="FA35" s="493">
        <f t="shared" si="23"/>
        <v>0</v>
      </c>
      <c r="FC35" s="595">
        <f t="shared" si="24"/>
        <v>-75.609508059584087</v>
      </c>
      <c r="FD35" s="596">
        <f t="shared" si="25"/>
        <v>-33.948751641681454</v>
      </c>
      <c r="FE35" s="498">
        <f t="shared" si="26"/>
        <v>36742.055</v>
      </c>
      <c r="FF35" s="597">
        <f t="shared" si="27"/>
        <v>24268.585999999999</v>
      </c>
      <c r="FH35" s="551">
        <f t="shared" si="28"/>
        <v>473965.73200000008</v>
      </c>
      <c r="FI35" s="491" t="s">
        <v>66</v>
      </c>
      <c r="FJ35" s="554" t="str">
        <f t="shared" si="29"/>
        <v>OK</v>
      </c>
    </row>
    <row r="36" spans="1:166" ht="15" customHeight="1" x14ac:dyDescent="0.25">
      <c r="A36" s="610" t="s">
        <v>300</v>
      </c>
      <c r="B36" s="656"/>
      <c r="C36" s="492"/>
      <c r="D36" s="492"/>
      <c r="E36" s="492"/>
      <c r="F36" s="492"/>
      <c r="G36" s="492">
        <v>19</v>
      </c>
      <c r="H36" s="492">
        <v>5</v>
      </c>
      <c r="I36" s="492"/>
      <c r="J36" s="492"/>
      <c r="K36" s="492">
        <v>9</v>
      </c>
      <c r="L36" s="492"/>
      <c r="M36" s="492"/>
      <c r="N36" s="493">
        <f t="shared" si="12"/>
        <v>33</v>
      </c>
      <c r="O36" s="656">
        <v>337</v>
      </c>
      <c r="P36" s="492">
        <v>93</v>
      </c>
      <c r="Q36" s="492"/>
      <c r="R36" s="492">
        <v>20</v>
      </c>
      <c r="S36" s="492"/>
      <c r="T36" s="492"/>
      <c r="U36" s="492"/>
      <c r="V36" s="492"/>
      <c r="W36" s="492">
        <v>12</v>
      </c>
      <c r="X36" s="492">
        <v>74</v>
      </c>
      <c r="Y36" s="492">
        <v>9</v>
      </c>
      <c r="Z36" s="492">
        <v>166</v>
      </c>
      <c r="AA36" s="493">
        <f t="shared" si="13"/>
        <v>711</v>
      </c>
      <c r="AB36" s="656"/>
      <c r="AC36" s="492">
        <v>107</v>
      </c>
      <c r="AD36" s="492">
        <v>59</v>
      </c>
      <c r="AE36" s="492">
        <v>14.669999999999998</v>
      </c>
      <c r="AF36" s="492">
        <v>18.251000000000001</v>
      </c>
      <c r="AG36" s="492">
        <v>2</v>
      </c>
      <c r="AH36" s="492"/>
      <c r="AI36" s="492">
        <v>1</v>
      </c>
      <c r="AJ36" s="492">
        <v>35</v>
      </c>
      <c r="AK36" s="492">
        <v>106</v>
      </c>
      <c r="AL36" s="492">
        <v>51</v>
      </c>
      <c r="AM36" s="492">
        <v>164</v>
      </c>
      <c r="AN36" s="493">
        <f t="shared" si="14"/>
        <v>557.92100000000005</v>
      </c>
      <c r="AO36" s="656">
        <v>74.655000000000001</v>
      </c>
      <c r="AP36" s="492">
        <v>24.859000000000002</v>
      </c>
      <c r="AQ36" s="492">
        <v>67.420999999999992</v>
      </c>
      <c r="AR36" s="492">
        <v>6</v>
      </c>
      <c r="AS36" s="492">
        <v>27</v>
      </c>
      <c r="AT36" s="492">
        <v>27</v>
      </c>
      <c r="AU36" s="492">
        <v>10</v>
      </c>
      <c r="AV36" s="492">
        <v>21</v>
      </c>
      <c r="AW36" s="492">
        <v>52</v>
      </c>
      <c r="AX36" s="492">
        <v>275</v>
      </c>
      <c r="AY36" s="492">
        <v>9.4740000000000002</v>
      </c>
      <c r="AZ36" s="492">
        <v>96.753</v>
      </c>
      <c r="BA36" s="493">
        <f t="shared" si="15"/>
        <v>691.16200000000003</v>
      </c>
      <c r="BB36" s="656">
        <v>201</v>
      </c>
      <c r="BC36" s="492"/>
      <c r="BD36" s="492">
        <v>97</v>
      </c>
      <c r="BE36" s="492">
        <v>286.37</v>
      </c>
      <c r="BF36" s="492">
        <v>58.040999999999997</v>
      </c>
      <c r="BG36" s="492"/>
      <c r="BH36" s="492">
        <v>2.7170000000000001</v>
      </c>
      <c r="BI36" s="492"/>
      <c r="BJ36" s="492">
        <v>485.83600000000007</v>
      </c>
      <c r="BK36" s="492">
        <v>600.673</v>
      </c>
      <c r="BL36" s="492">
        <v>715.54700000000003</v>
      </c>
      <c r="BM36" s="492">
        <v>524.64800000000002</v>
      </c>
      <c r="BN36" s="493">
        <f t="shared" si="16"/>
        <v>2971.8320000000003</v>
      </c>
      <c r="BO36" s="656">
        <v>49</v>
      </c>
      <c r="BP36" s="492"/>
      <c r="BQ36" s="492"/>
      <c r="BR36" s="492"/>
      <c r="BS36" s="492"/>
      <c r="BT36" s="492">
        <v>316</v>
      </c>
      <c r="BU36" s="492">
        <v>72</v>
      </c>
      <c r="BV36" s="492">
        <f>145+141</f>
        <v>286</v>
      </c>
      <c r="BW36" s="492">
        <v>328</v>
      </c>
      <c r="BX36" s="492">
        <v>108.23399999999999</v>
      </c>
      <c r="BY36" s="492"/>
      <c r="BZ36" s="492">
        <v>4.4029999999999996</v>
      </c>
      <c r="CA36" s="493">
        <f t="shared" si="17"/>
        <v>1163.6369999999999</v>
      </c>
      <c r="CB36" s="656"/>
      <c r="CC36" s="492">
        <v>410.048</v>
      </c>
      <c r="CD36" s="492">
        <v>71.619</v>
      </c>
      <c r="CE36" s="492">
        <v>60.505000000000003</v>
      </c>
      <c r="CF36" s="492">
        <v>21.516999999999999</v>
      </c>
      <c r="CG36" s="492"/>
      <c r="CH36" s="492">
        <v>537.33900000000006</v>
      </c>
      <c r="CI36" s="492"/>
      <c r="CJ36" s="492"/>
      <c r="CK36" s="492"/>
      <c r="CL36" s="492"/>
      <c r="CM36" s="492">
        <v>139.42699999999999</v>
      </c>
      <c r="CN36" s="493">
        <f t="shared" si="18"/>
        <v>1240.4550000000002</v>
      </c>
      <c r="CO36" s="656"/>
      <c r="CP36" s="492">
        <v>12.675000000000001</v>
      </c>
      <c r="CQ36" s="492">
        <v>19.047000000000001</v>
      </c>
      <c r="CR36" s="492">
        <v>16.734999999999999</v>
      </c>
      <c r="CS36" s="492">
        <v>56.073</v>
      </c>
      <c r="CT36" s="492">
        <v>73.997</v>
      </c>
      <c r="CU36" s="492">
        <v>572.36</v>
      </c>
      <c r="CV36" s="492">
        <v>119.788</v>
      </c>
      <c r="CW36" s="492"/>
      <c r="CX36" s="492"/>
      <c r="CY36" s="492">
        <v>73.721000000000004</v>
      </c>
      <c r="CZ36" s="492"/>
      <c r="DA36" s="493">
        <f t="shared" si="19"/>
        <v>944.39599999999996</v>
      </c>
      <c r="DB36" s="656"/>
      <c r="DC36" s="492"/>
      <c r="DD36" s="492">
        <v>69.168999999999997</v>
      </c>
      <c r="DE36" s="492"/>
      <c r="DF36" s="492">
        <v>788.94</v>
      </c>
      <c r="DG36" s="492"/>
      <c r="DH36" s="492"/>
      <c r="DI36" s="492"/>
      <c r="DJ36" s="492"/>
      <c r="DK36" s="492"/>
      <c r="DL36" s="492">
        <v>3.9820000000000002</v>
      </c>
      <c r="DM36" s="492"/>
      <c r="DN36" s="493">
        <f t="shared" si="20"/>
        <v>862.09100000000001</v>
      </c>
      <c r="DO36" s="656">
        <v>385.62200000000001</v>
      </c>
      <c r="DP36" s="492">
        <v>305.661</v>
      </c>
      <c r="DQ36" s="492">
        <v>322.363</v>
      </c>
      <c r="DR36" s="492">
        <v>411.07499999999999</v>
      </c>
      <c r="DS36" s="492">
        <v>11.382</v>
      </c>
      <c r="DT36" s="492"/>
      <c r="DU36" s="492">
        <v>914.37599999999998</v>
      </c>
      <c r="DV36" s="492">
        <v>169.738</v>
      </c>
      <c r="DW36" s="492"/>
      <c r="DX36" s="492">
        <v>122.779</v>
      </c>
      <c r="DY36" s="492">
        <v>116.73</v>
      </c>
      <c r="DZ36" s="492">
        <v>191.06</v>
      </c>
      <c r="EA36" s="493">
        <f t="shared" si="21"/>
        <v>2950.7860000000001</v>
      </c>
      <c r="EB36" s="656">
        <v>2.9670000000000001</v>
      </c>
      <c r="EC36" s="492">
        <v>373.01600000000002</v>
      </c>
      <c r="ED36" s="492">
        <v>29.748999999999999</v>
      </c>
      <c r="EE36" s="492">
        <v>72</v>
      </c>
      <c r="EF36" s="492">
        <v>419.31600000000009</v>
      </c>
      <c r="EG36" s="492">
        <v>428.73099999999999</v>
      </c>
      <c r="EH36" s="492">
        <v>41.330999999999996</v>
      </c>
      <c r="EI36" s="492"/>
      <c r="EJ36" s="492">
        <v>56.951000000000001</v>
      </c>
      <c r="EK36" s="492">
        <v>78.061999999999998</v>
      </c>
      <c r="EL36" s="492"/>
      <c r="EM36" s="492">
        <v>69.28</v>
      </c>
      <c r="EN36" s="493">
        <f t="shared" si="22"/>
        <v>1571.4029999999998</v>
      </c>
      <c r="EO36" s="656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3">
        <f t="shared" si="23"/>
        <v>0</v>
      </c>
      <c r="FC36" s="595">
        <f t="shared" si="24"/>
        <v>-63.73913953731811</v>
      </c>
      <c r="FD36" s="596">
        <f t="shared" si="25"/>
        <v>-46.74629064933886</v>
      </c>
      <c r="FE36" s="498">
        <f t="shared" si="26"/>
        <v>2950.7860000000001</v>
      </c>
      <c r="FF36" s="597">
        <f t="shared" si="27"/>
        <v>1571.4029999999998</v>
      </c>
      <c r="FH36" s="551">
        <f t="shared" si="28"/>
        <v>27395.366000000005</v>
      </c>
      <c r="FI36" s="491" t="s">
        <v>300</v>
      </c>
      <c r="FJ36" s="554" t="str">
        <f t="shared" si="29"/>
        <v>OK</v>
      </c>
    </row>
    <row r="37" spans="1:166" ht="15" customHeight="1" x14ac:dyDescent="0.25">
      <c r="A37" s="610" t="s">
        <v>67</v>
      </c>
      <c r="B37" s="656">
        <v>792.48799999999994</v>
      </c>
      <c r="C37" s="492">
        <v>498.31900000000002</v>
      </c>
      <c r="D37" s="492">
        <v>2305</v>
      </c>
      <c r="E37" s="492">
        <v>503</v>
      </c>
      <c r="F37" s="492">
        <v>222</v>
      </c>
      <c r="G37" s="492">
        <v>119</v>
      </c>
      <c r="H37" s="492">
        <v>10</v>
      </c>
      <c r="I37" s="492">
        <v>118</v>
      </c>
      <c r="J37" s="492">
        <v>860</v>
      </c>
      <c r="K37" s="492">
        <v>329</v>
      </c>
      <c r="L37" s="492">
        <v>447</v>
      </c>
      <c r="M37" s="492">
        <v>1220</v>
      </c>
      <c r="N37" s="493">
        <f t="shared" si="12"/>
        <v>7423.8069999999998</v>
      </c>
      <c r="O37" s="656">
        <v>1213</v>
      </c>
      <c r="P37" s="492">
        <v>590</v>
      </c>
      <c r="Q37" s="492">
        <v>254</v>
      </c>
      <c r="R37" s="492">
        <v>440</v>
      </c>
      <c r="S37" s="492">
        <v>159</v>
      </c>
      <c r="T37" s="492"/>
      <c r="U37" s="492">
        <v>205</v>
      </c>
      <c r="V37" s="492">
        <v>350</v>
      </c>
      <c r="W37" s="492">
        <v>891</v>
      </c>
      <c r="X37" s="492">
        <v>384</v>
      </c>
      <c r="Y37" s="492">
        <v>986</v>
      </c>
      <c r="Z37" s="492">
        <v>390</v>
      </c>
      <c r="AA37" s="493">
        <f t="shared" si="13"/>
        <v>5862</v>
      </c>
      <c r="AB37" s="656">
        <v>160</v>
      </c>
      <c r="AC37" s="492">
        <v>733</v>
      </c>
      <c r="AD37" s="492">
        <v>342</v>
      </c>
      <c r="AE37" s="492">
        <v>142.09</v>
      </c>
      <c r="AF37" s="492">
        <v>177.60599999999999</v>
      </c>
      <c r="AG37" s="492">
        <v>23</v>
      </c>
      <c r="AH37" s="492">
        <v>23</v>
      </c>
      <c r="AI37" s="492">
        <v>490</v>
      </c>
      <c r="AJ37" s="492">
        <v>2826</v>
      </c>
      <c r="AK37" s="492">
        <v>1413</v>
      </c>
      <c r="AL37" s="492">
        <v>1290</v>
      </c>
      <c r="AM37" s="492">
        <v>657</v>
      </c>
      <c r="AN37" s="493">
        <f t="shared" si="14"/>
        <v>8276.6959999999999</v>
      </c>
      <c r="AO37" s="656">
        <v>2447.4379999999996</v>
      </c>
      <c r="AP37" s="492">
        <v>997.66800000000001</v>
      </c>
      <c r="AQ37" s="492">
        <v>953.98800000000017</v>
      </c>
      <c r="AR37" s="492">
        <v>258.18900000000002</v>
      </c>
      <c r="AS37" s="492">
        <v>561.63499999999999</v>
      </c>
      <c r="AT37" s="492">
        <v>37.465000000000003</v>
      </c>
      <c r="AU37" s="492">
        <v>155.71899999999999</v>
      </c>
      <c r="AV37" s="492">
        <v>930.30599999999981</v>
      </c>
      <c r="AW37" s="492">
        <v>891.78200000000015</v>
      </c>
      <c r="AX37" s="492">
        <v>949.00200000000018</v>
      </c>
      <c r="AY37" s="492">
        <v>4099.058</v>
      </c>
      <c r="AZ37" s="492">
        <v>1661.1509999999998</v>
      </c>
      <c r="BA37" s="493">
        <f t="shared" si="15"/>
        <v>13943.401</v>
      </c>
      <c r="BB37" s="656">
        <v>680.19799999999987</v>
      </c>
      <c r="BC37" s="492">
        <v>86.13</v>
      </c>
      <c r="BD37" s="492">
        <v>679.16899999999998</v>
      </c>
      <c r="BE37" s="492">
        <v>1252.4949999999999</v>
      </c>
      <c r="BF37" s="492">
        <v>1380.607</v>
      </c>
      <c r="BG37" s="492">
        <v>2388.1409999999996</v>
      </c>
      <c r="BH37" s="492">
        <v>1980.4569999999999</v>
      </c>
      <c r="BI37" s="492">
        <v>2292.5749999999998</v>
      </c>
      <c r="BJ37" s="492">
        <v>4171.7789999999995</v>
      </c>
      <c r="BK37" s="492">
        <v>4953.6750000000011</v>
      </c>
      <c r="BL37" s="492">
        <v>6381.817</v>
      </c>
      <c r="BM37" s="492">
        <v>3383.06</v>
      </c>
      <c r="BN37" s="493">
        <f t="shared" si="16"/>
        <v>29630.103000000003</v>
      </c>
      <c r="BO37" s="656">
        <v>5034</v>
      </c>
      <c r="BP37" s="492">
        <v>3145</v>
      </c>
      <c r="BQ37" s="492">
        <v>1523</v>
      </c>
      <c r="BR37" s="492"/>
      <c r="BS37" s="492"/>
      <c r="BT37" s="492">
        <v>1681</v>
      </c>
      <c r="BU37" s="492">
        <v>2831</v>
      </c>
      <c r="BV37" s="492">
        <v>1557</v>
      </c>
      <c r="BW37" s="492">
        <v>3805</v>
      </c>
      <c r="BX37" s="492"/>
      <c r="BY37" s="492"/>
      <c r="BZ37" s="492">
        <v>8.3339999999999996</v>
      </c>
      <c r="CA37" s="493">
        <f t="shared" si="17"/>
        <v>19584.333999999999</v>
      </c>
      <c r="CB37" s="656"/>
      <c r="CC37" s="492">
        <v>580.14599999999996</v>
      </c>
      <c r="CD37" s="492"/>
      <c r="CE37" s="492"/>
      <c r="CF37" s="492"/>
      <c r="CG37" s="492"/>
      <c r="CH37" s="492"/>
      <c r="CI37" s="492"/>
      <c r="CJ37" s="492">
        <v>1165.848</v>
      </c>
      <c r="CK37" s="492"/>
      <c r="CL37" s="492">
        <v>32.192999999999998</v>
      </c>
      <c r="CM37" s="492"/>
      <c r="CN37" s="493">
        <f t="shared" si="18"/>
        <v>1778.1869999999999</v>
      </c>
      <c r="CO37" s="656"/>
      <c r="CP37" s="492"/>
      <c r="CQ37" s="492"/>
      <c r="CR37" s="492"/>
      <c r="CS37" s="492">
        <v>41.875999999999998</v>
      </c>
      <c r="CT37" s="492">
        <v>106.253</v>
      </c>
      <c r="CU37" s="492"/>
      <c r="CV37" s="492">
        <v>31.486000000000001</v>
      </c>
      <c r="CW37" s="492"/>
      <c r="CX37" s="492">
        <v>252.30099999999999</v>
      </c>
      <c r="CY37" s="492">
        <v>831.74900000000002</v>
      </c>
      <c r="CZ37" s="492"/>
      <c r="DA37" s="493">
        <f t="shared" si="19"/>
        <v>1263.665</v>
      </c>
      <c r="DB37" s="656"/>
      <c r="DC37" s="492">
        <v>627.55899999999997</v>
      </c>
      <c r="DD37" s="492">
        <v>6.99</v>
      </c>
      <c r="DE37" s="492"/>
      <c r="DF37" s="492">
        <v>2114.7489999999998</v>
      </c>
      <c r="DG37" s="492">
        <v>1402.17</v>
      </c>
      <c r="DH37" s="492">
        <v>1235</v>
      </c>
      <c r="DI37" s="492">
        <v>4111.9290000000001</v>
      </c>
      <c r="DJ37" s="492">
        <v>1572.21</v>
      </c>
      <c r="DK37" s="492">
        <v>3041.3530000000001</v>
      </c>
      <c r="DL37" s="492">
        <v>686.56799999999998</v>
      </c>
      <c r="DM37" s="492">
        <v>810.59699999999998</v>
      </c>
      <c r="DN37" s="493">
        <f t="shared" si="20"/>
        <v>15609.124999999998</v>
      </c>
      <c r="DO37" s="656">
        <v>1445.182</v>
      </c>
      <c r="DP37" s="492">
        <v>1538.079</v>
      </c>
      <c r="DQ37" s="492">
        <v>1317.6510000000001</v>
      </c>
      <c r="DR37" s="492">
        <v>547.31799999999998</v>
      </c>
      <c r="DS37" s="492">
        <v>419.71899999999999</v>
      </c>
      <c r="DT37" s="492">
        <v>2689.384</v>
      </c>
      <c r="DU37" s="492">
        <v>303.47500000000002</v>
      </c>
      <c r="DV37" s="492">
        <v>602.05899999999997</v>
      </c>
      <c r="DW37" s="492">
        <v>679.01300000000003</v>
      </c>
      <c r="DX37" s="492">
        <v>884.49900000000002</v>
      </c>
      <c r="DY37" s="492">
        <v>1953.8879999999999</v>
      </c>
      <c r="DZ37" s="492">
        <v>1739.7729999999999</v>
      </c>
      <c r="EA37" s="493">
        <f t="shared" si="21"/>
        <v>14120.039999999999</v>
      </c>
      <c r="EB37" s="656">
        <v>307.291</v>
      </c>
      <c r="EC37" s="492">
        <v>1294.326</v>
      </c>
      <c r="ED37" s="492">
        <v>15.858000000000001</v>
      </c>
      <c r="EE37" s="492">
        <v>109.535</v>
      </c>
      <c r="EF37" s="492">
        <v>31.935000000000002</v>
      </c>
      <c r="EG37" s="492">
        <v>745.67500000000007</v>
      </c>
      <c r="EH37" s="492">
        <v>96.448999999999998</v>
      </c>
      <c r="EI37" s="492">
        <v>417.10900000000004</v>
      </c>
      <c r="EJ37" s="492">
        <v>565.98599999999999</v>
      </c>
      <c r="EK37" s="492">
        <v>1588.3679999999999</v>
      </c>
      <c r="EL37" s="492">
        <v>2944.4150000000004</v>
      </c>
      <c r="EM37" s="492">
        <v>4924.2949999999992</v>
      </c>
      <c r="EN37" s="493">
        <f t="shared" si="22"/>
        <v>13041.241999999998</v>
      </c>
      <c r="EO37" s="656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3">
        <f t="shared" si="23"/>
        <v>0</v>
      </c>
      <c r="FC37" s="595">
        <f t="shared" si="24"/>
        <v>183.04238541464889</v>
      </c>
      <c r="FD37" s="596">
        <f t="shared" si="25"/>
        <v>-7.6401908209891793</v>
      </c>
      <c r="FE37" s="498">
        <f t="shared" si="26"/>
        <v>14120.039999999999</v>
      </c>
      <c r="FF37" s="597">
        <f t="shared" si="27"/>
        <v>13041.241999999998</v>
      </c>
      <c r="FH37" s="551">
        <f t="shared" si="28"/>
        <v>261065.20000000007</v>
      </c>
      <c r="FI37" s="491" t="s">
        <v>67</v>
      </c>
      <c r="FJ37" s="554" t="str">
        <f t="shared" si="29"/>
        <v>OK</v>
      </c>
    </row>
    <row r="38" spans="1:166" ht="15" customHeight="1" x14ac:dyDescent="0.25">
      <c r="A38" s="610" t="s">
        <v>68</v>
      </c>
      <c r="B38" s="656"/>
      <c r="C38" s="492"/>
      <c r="D38" s="492"/>
      <c r="E38" s="492"/>
      <c r="F38" s="492"/>
      <c r="G38" s="492"/>
      <c r="H38" s="492"/>
      <c r="I38" s="492"/>
      <c r="J38" s="492"/>
      <c r="K38" s="492"/>
      <c r="L38" s="492"/>
      <c r="M38" s="492"/>
      <c r="N38" s="493">
        <f t="shared" si="12"/>
        <v>0</v>
      </c>
      <c r="O38" s="656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3">
        <f t="shared" si="13"/>
        <v>0</v>
      </c>
      <c r="AB38" s="656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3">
        <f t="shared" si="14"/>
        <v>0</v>
      </c>
      <c r="AO38" s="656"/>
      <c r="AP38" s="492"/>
      <c r="AQ38" s="492"/>
      <c r="AR38" s="492"/>
      <c r="AS38" s="492"/>
      <c r="AT38" s="492"/>
      <c r="AU38" s="492"/>
      <c r="AV38" s="492"/>
      <c r="AW38" s="492"/>
      <c r="AX38" s="492"/>
      <c r="AY38" s="492"/>
      <c r="AZ38" s="492"/>
      <c r="BA38" s="493">
        <f t="shared" si="15"/>
        <v>0</v>
      </c>
      <c r="BB38" s="656"/>
      <c r="BC38" s="492"/>
      <c r="BD38" s="492"/>
      <c r="BE38" s="492"/>
      <c r="BF38" s="492"/>
      <c r="BG38" s="492"/>
      <c r="BH38" s="492"/>
      <c r="BI38" s="492"/>
      <c r="BJ38" s="492"/>
      <c r="BK38" s="492"/>
      <c r="BL38" s="492"/>
      <c r="BM38" s="492"/>
      <c r="BN38" s="493">
        <f t="shared" si="16"/>
        <v>0</v>
      </c>
      <c r="BO38" s="656"/>
      <c r="BP38" s="492"/>
      <c r="BQ38" s="492"/>
      <c r="BR38" s="492"/>
      <c r="BS38" s="492"/>
      <c r="BT38" s="492"/>
      <c r="BU38" s="492"/>
      <c r="BV38" s="492">
        <f>126+700</f>
        <v>826</v>
      </c>
      <c r="BW38" s="492">
        <f>121+398</f>
        <v>519</v>
      </c>
      <c r="BX38" s="492"/>
      <c r="BY38" s="492"/>
      <c r="BZ38" s="492"/>
      <c r="CA38" s="493">
        <f t="shared" si="17"/>
        <v>1345</v>
      </c>
      <c r="CB38" s="656"/>
      <c r="CC38" s="492"/>
      <c r="CD38" s="492"/>
      <c r="CE38" s="492"/>
      <c r="CF38" s="492"/>
      <c r="CG38" s="492"/>
      <c r="CH38" s="492"/>
      <c r="CI38" s="492"/>
      <c r="CJ38" s="492"/>
      <c r="CK38" s="492"/>
      <c r="CL38" s="492"/>
      <c r="CM38" s="492"/>
      <c r="CN38" s="493">
        <f t="shared" si="18"/>
        <v>0</v>
      </c>
      <c r="CO38" s="656"/>
      <c r="CP38" s="492"/>
      <c r="CQ38" s="492"/>
      <c r="CR38" s="492"/>
      <c r="CS38" s="492"/>
      <c r="CT38" s="492"/>
      <c r="CU38" s="492"/>
      <c r="CV38" s="492"/>
      <c r="CW38" s="492"/>
      <c r="CX38" s="492"/>
      <c r="CY38" s="492"/>
      <c r="CZ38" s="492"/>
      <c r="DA38" s="493">
        <f t="shared" si="19"/>
        <v>0</v>
      </c>
      <c r="DB38" s="656"/>
      <c r="DC38" s="492"/>
      <c r="DD38" s="492"/>
      <c r="DE38" s="492"/>
      <c r="DF38" s="492"/>
      <c r="DG38" s="492">
        <f>105+148</f>
        <v>253</v>
      </c>
      <c r="DH38" s="492">
        <f>578+80</f>
        <v>658</v>
      </c>
      <c r="DI38" s="492">
        <f>17.451+528.644</f>
        <v>546.09500000000003</v>
      </c>
      <c r="DJ38" s="492"/>
      <c r="DK38" s="492"/>
      <c r="DL38" s="492"/>
      <c r="DM38" s="492"/>
      <c r="DN38" s="493">
        <f t="shared" si="20"/>
        <v>1457.095</v>
      </c>
      <c r="DO38" s="656"/>
      <c r="DP38" s="492">
        <f>171.901+463.951</f>
        <v>635.85200000000009</v>
      </c>
      <c r="DQ38" s="492">
        <f>40.48+352.396</f>
        <v>392.87600000000003</v>
      </c>
      <c r="DR38" s="492">
        <f>5.722+20.979+816.549</f>
        <v>843.25</v>
      </c>
      <c r="DS38" s="492">
        <f>66.319+161.6</f>
        <v>227.91899999999998</v>
      </c>
      <c r="DT38" s="492">
        <f>116.015+27.105</f>
        <v>143.12</v>
      </c>
      <c r="DU38" s="492">
        <f>419.134+39.562</f>
        <v>458.69600000000003</v>
      </c>
      <c r="DV38" s="492">
        <f>26.132+60.77</f>
        <v>86.902000000000001</v>
      </c>
      <c r="DW38" s="492"/>
      <c r="DX38" s="492"/>
      <c r="DY38" s="492"/>
      <c r="DZ38" s="492"/>
      <c r="EA38" s="493">
        <f t="shared" si="21"/>
        <v>2788.6149999999998</v>
      </c>
      <c r="EB38" s="656"/>
      <c r="EC38" s="492"/>
      <c r="ED38" s="492"/>
      <c r="EE38" s="492"/>
      <c r="EF38" s="492"/>
      <c r="EG38" s="492"/>
      <c r="EH38" s="492"/>
      <c r="EI38" s="492"/>
      <c r="EJ38" s="492"/>
      <c r="EK38" s="492"/>
      <c r="EL38" s="492"/>
      <c r="EM38" s="492"/>
      <c r="EN38" s="493">
        <f t="shared" si="22"/>
        <v>0</v>
      </c>
      <c r="EO38" s="656"/>
      <c r="EP38" s="492"/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3">
        <f t="shared" si="23"/>
        <v>0</v>
      </c>
      <c r="FC38" s="595" t="str">
        <f t="shared" si="24"/>
        <v/>
      </c>
      <c r="FD38" s="596">
        <f t="shared" si="25"/>
        <v>-100</v>
      </c>
      <c r="FE38" s="498">
        <f t="shared" si="26"/>
        <v>2788.6149999999998</v>
      </c>
      <c r="FF38" s="597">
        <f t="shared" si="27"/>
        <v>0</v>
      </c>
      <c r="FH38" s="551">
        <f t="shared" si="28"/>
        <v>11181.42</v>
      </c>
      <c r="FI38" s="491" t="s">
        <v>68</v>
      </c>
      <c r="FJ38" s="554" t="str">
        <f t="shared" si="29"/>
        <v>OK</v>
      </c>
    </row>
    <row r="39" spans="1:166" ht="15" customHeight="1" x14ac:dyDescent="0.25">
      <c r="A39" s="610" t="s">
        <v>69</v>
      </c>
      <c r="B39" s="656"/>
      <c r="C39" s="492"/>
      <c r="D39" s="492"/>
      <c r="E39" s="492"/>
      <c r="F39" s="492"/>
      <c r="G39" s="492"/>
      <c r="H39" s="492"/>
      <c r="I39" s="492">
        <v>5</v>
      </c>
      <c r="J39" s="492">
        <v>22</v>
      </c>
      <c r="K39" s="492"/>
      <c r="L39" s="492"/>
      <c r="M39" s="492"/>
      <c r="N39" s="493">
        <f t="shared" si="12"/>
        <v>27</v>
      </c>
      <c r="O39" s="656"/>
      <c r="P39" s="492"/>
      <c r="Q39" s="492"/>
      <c r="R39" s="492"/>
      <c r="S39" s="492"/>
      <c r="T39" s="492"/>
      <c r="U39" s="492"/>
      <c r="V39" s="492"/>
      <c r="W39" s="492"/>
      <c r="X39" s="492"/>
      <c r="Y39" s="492"/>
      <c r="Z39" s="492"/>
      <c r="AA39" s="493">
        <f t="shared" si="13"/>
        <v>0</v>
      </c>
      <c r="AB39" s="656"/>
      <c r="AC39" s="492"/>
      <c r="AD39" s="492"/>
      <c r="AE39" s="492"/>
      <c r="AF39" s="492"/>
      <c r="AG39" s="492"/>
      <c r="AH39" s="492"/>
      <c r="AI39" s="492">
        <v>9</v>
      </c>
      <c r="AJ39" s="492"/>
      <c r="AK39" s="492"/>
      <c r="AL39" s="492"/>
      <c r="AM39" s="492"/>
      <c r="AN39" s="493">
        <f t="shared" si="14"/>
        <v>9</v>
      </c>
      <c r="AO39" s="656"/>
      <c r="AP39" s="492"/>
      <c r="AQ39" s="492">
        <v>1.59</v>
      </c>
      <c r="AR39" s="492"/>
      <c r="AS39" s="492"/>
      <c r="AT39" s="492"/>
      <c r="AU39" s="492"/>
      <c r="AV39" s="492"/>
      <c r="AW39" s="492"/>
      <c r="AX39" s="492"/>
      <c r="AY39" s="492"/>
      <c r="AZ39" s="492"/>
      <c r="BA39" s="493">
        <f t="shared" si="15"/>
        <v>1.59</v>
      </c>
      <c r="BB39" s="656"/>
      <c r="BC39" s="492"/>
      <c r="BD39" s="492"/>
      <c r="BE39" s="492"/>
      <c r="BF39" s="492">
        <v>170.00200000000001</v>
      </c>
      <c r="BG39" s="492"/>
      <c r="BH39" s="492"/>
      <c r="BI39" s="492"/>
      <c r="BJ39" s="492">
        <v>11.058</v>
      </c>
      <c r="BK39" s="492">
        <v>318.86700000000002</v>
      </c>
      <c r="BL39" s="492">
        <v>31.076000000000001</v>
      </c>
      <c r="BM39" s="492"/>
      <c r="BN39" s="493">
        <f t="shared" si="16"/>
        <v>531.00300000000004</v>
      </c>
      <c r="BO39" s="656">
        <v>114</v>
      </c>
      <c r="BP39" s="492"/>
      <c r="BQ39" s="492">
        <v>26</v>
      </c>
      <c r="BR39" s="492"/>
      <c r="BS39" s="492"/>
      <c r="BT39" s="492"/>
      <c r="BU39" s="492"/>
      <c r="BV39" s="492">
        <v>28</v>
      </c>
      <c r="BW39" s="492">
        <v>13</v>
      </c>
      <c r="BX39" s="492"/>
      <c r="BY39" s="492"/>
      <c r="BZ39" s="492"/>
      <c r="CA39" s="493">
        <f t="shared" si="17"/>
        <v>181</v>
      </c>
      <c r="CB39" s="656"/>
      <c r="CC39" s="492"/>
      <c r="CD39" s="492"/>
      <c r="CE39" s="492"/>
      <c r="CF39" s="492"/>
      <c r="CG39" s="492"/>
      <c r="CH39" s="492"/>
      <c r="CI39" s="492"/>
      <c r="CJ39" s="492"/>
      <c r="CK39" s="492"/>
      <c r="CL39" s="492"/>
      <c r="CM39" s="492"/>
      <c r="CN39" s="493">
        <f t="shared" si="18"/>
        <v>0</v>
      </c>
      <c r="CO39" s="656"/>
      <c r="CP39" s="492"/>
      <c r="CQ39" s="492">
        <v>423.84300000000002</v>
      </c>
      <c r="CR39" s="492"/>
      <c r="CS39" s="492"/>
      <c r="CT39" s="492"/>
      <c r="CU39" s="492"/>
      <c r="CV39" s="492"/>
      <c r="CW39" s="492"/>
      <c r="CX39" s="492"/>
      <c r="CY39" s="492"/>
      <c r="CZ39" s="492"/>
      <c r="DA39" s="493">
        <f t="shared" si="19"/>
        <v>423.84300000000002</v>
      </c>
      <c r="DB39" s="656"/>
      <c r="DC39" s="492"/>
      <c r="DD39" s="492"/>
      <c r="DE39" s="492"/>
      <c r="DF39" s="492"/>
      <c r="DG39" s="492"/>
      <c r="DH39" s="492"/>
      <c r="DI39" s="492">
        <v>73.602000000000004</v>
      </c>
      <c r="DJ39" s="492"/>
      <c r="DK39" s="492">
        <v>115.91800000000001</v>
      </c>
      <c r="DL39" s="492">
        <v>395.13799999999998</v>
      </c>
      <c r="DM39" s="492">
        <v>29.244</v>
      </c>
      <c r="DN39" s="493">
        <f t="shared" si="20"/>
        <v>613.90200000000004</v>
      </c>
      <c r="DO39" s="656">
        <v>346.85500000000002</v>
      </c>
      <c r="DP39" s="492"/>
      <c r="DQ39" s="492">
        <v>12.005000000000001</v>
      </c>
      <c r="DR39" s="492">
        <v>43.316000000000003</v>
      </c>
      <c r="DS39" s="492"/>
      <c r="DT39" s="492"/>
      <c r="DU39" s="492"/>
      <c r="DV39" s="492"/>
      <c r="DW39" s="492"/>
      <c r="DX39" s="492">
        <v>144.45599999999999</v>
      </c>
      <c r="DY39" s="492"/>
      <c r="DZ39" s="492"/>
      <c r="EA39" s="493">
        <f t="shared" si="21"/>
        <v>546.63200000000006</v>
      </c>
      <c r="EB39" s="656"/>
      <c r="EC39" s="492"/>
      <c r="ED39" s="492"/>
      <c r="EE39" s="492"/>
      <c r="EF39" s="492"/>
      <c r="EG39" s="492"/>
      <c r="EH39" s="492"/>
      <c r="EI39" s="492"/>
      <c r="EJ39" s="492">
        <v>332.83600000000001</v>
      </c>
      <c r="EK39" s="492">
        <v>130.67699999999999</v>
      </c>
      <c r="EL39" s="492"/>
      <c r="EM39" s="492"/>
      <c r="EN39" s="493">
        <f t="shared" si="22"/>
        <v>463.51300000000003</v>
      </c>
      <c r="EO39" s="656"/>
      <c r="EP39" s="492"/>
      <c r="EQ39" s="492"/>
      <c r="ER39" s="492"/>
      <c r="ES39" s="492"/>
      <c r="ET39" s="492"/>
      <c r="EU39" s="492"/>
      <c r="EV39" s="492"/>
      <c r="EW39" s="492"/>
      <c r="EX39" s="492"/>
      <c r="EY39" s="492"/>
      <c r="EZ39" s="492"/>
      <c r="FA39" s="493">
        <f t="shared" si="23"/>
        <v>0</v>
      </c>
      <c r="FC39" s="595" t="str">
        <f t="shared" si="24"/>
        <v/>
      </c>
      <c r="FD39" s="596">
        <f t="shared" si="25"/>
        <v>-15.20565938327797</v>
      </c>
      <c r="FE39" s="498">
        <f t="shared" si="26"/>
        <v>546.63200000000006</v>
      </c>
      <c r="FF39" s="597">
        <f t="shared" si="27"/>
        <v>463.51300000000003</v>
      </c>
      <c r="FH39" s="551">
        <f t="shared" si="28"/>
        <v>5594.9660000000003</v>
      </c>
      <c r="FI39" s="491" t="s">
        <v>69</v>
      </c>
      <c r="FJ39" s="554" t="str">
        <f t="shared" si="29"/>
        <v>OK</v>
      </c>
    </row>
    <row r="40" spans="1:166" ht="15" customHeight="1" x14ac:dyDescent="0.25">
      <c r="A40" s="610" t="s">
        <v>70</v>
      </c>
      <c r="B40" s="656"/>
      <c r="C40" s="492"/>
      <c r="D40" s="492">
        <v>8</v>
      </c>
      <c r="E40" s="492"/>
      <c r="F40" s="492"/>
      <c r="G40" s="492">
        <v>62</v>
      </c>
      <c r="H40" s="492"/>
      <c r="I40" s="492">
        <v>3</v>
      </c>
      <c r="J40" s="492">
        <v>132</v>
      </c>
      <c r="K40" s="492"/>
      <c r="L40" s="492"/>
      <c r="M40" s="492"/>
      <c r="N40" s="493">
        <f t="shared" si="12"/>
        <v>205</v>
      </c>
      <c r="O40" s="656"/>
      <c r="P40" s="492"/>
      <c r="Q40" s="492"/>
      <c r="R40" s="492"/>
      <c r="S40" s="492"/>
      <c r="T40" s="492"/>
      <c r="U40" s="492">
        <v>5</v>
      </c>
      <c r="V40" s="492">
        <v>9</v>
      </c>
      <c r="W40" s="492">
        <v>24</v>
      </c>
      <c r="X40" s="492">
        <v>171</v>
      </c>
      <c r="Y40" s="492">
        <v>30</v>
      </c>
      <c r="Z40" s="492">
        <v>108</v>
      </c>
      <c r="AA40" s="493">
        <f t="shared" si="13"/>
        <v>347</v>
      </c>
      <c r="AB40" s="656">
        <v>2</v>
      </c>
      <c r="AC40" s="492">
        <v>131</v>
      </c>
      <c r="AD40" s="492">
        <v>132</v>
      </c>
      <c r="AE40" s="492">
        <v>161.624</v>
      </c>
      <c r="AF40" s="492">
        <v>25.219000000000001</v>
      </c>
      <c r="AG40" s="492">
        <v>122</v>
      </c>
      <c r="AH40" s="492">
        <v>37</v>
      </c>
      <c r="AI40" s="492">
        <v>16</v>
      </c>
      <c r="AJ40" s="492">
        <v>151</v>
      </c>
      <c r="AK40" s="492">
        <v>207</v>
      </c>
      <c r="AL40" s="492">
        <v>19</v>
      </c>
      <c r="AM40" s="492">
        <v>219</v>
      </c>
      <c r="AN40" s="493">
        <f t="shared" si="14"/>
        <v>1222.8430000000001</v>
      </c>
      <c r="AO40" s="656">
        <v>102.479</v>
      </c>
      <c r="AP40" s="492"/>
      <c r="AQ40" s="492">
        <v>91.768000000000001</v>
      </c>
      <c r="AR40" s="492"/>
      <c r="AS40" s="492">
        <v>54</v>
      </c>
      <c r="AT40" s="492"/>
      <c r="AU40" s="492">
        <v>171</v>
      </c>
      <c r="AV40" s="492">
        <v>134</v>
      </c>
      <c r="AW40" s="492">
        <v>297</v>
      </c>
      <c r="AX40" s="492">
        <v>45</v>
      </c>
      <c r="AY40" s="492">
        <v>322.68700000000001</v>
      </c>
      <c r="AZ40" s="492">
        <v>355.45400000000001</v>
      </c>
      <c r="BA40" s="493">
        <f t="shared" si="15"/>
        <v>1573.3880000000001</v>
      </c>
      <c r="BB40" s="656">
        <v>162</v>
      </c>
      <c r="BC40" s="492">
        <v>170</v>
      </c>
      <c r="BD40" s="492">
        <v>119</v>
      </c>
      <c r="BE40" s="492">
        <v>155.02699999999999</v>
      </c>
      <c r="BF40" s="492">
        <v>141.15100000000001</v>
      </c>
      <c r="BG40" s="492">
        <v>51.281999999999996</v>
      </c>
      <c r="BH40" s="492">
        <v>249.50800000000001</v>
      </c>
      <c r="BI40" s="492">
        <v>569.94799999999998</v>
      </c>
      <c r="BJ40" s="492">
        <v>870.03200000000004</v>
      </c>
      <c r="BK40" s="492">
        <v>667.22199999999998</v>
      </c>
      <c r="BL40" s="492">
        <v>309.01799999999997</v>
      </c>
      <c r="BM40" s="492">
        <v>539.41899999999998</v>
      </c>
      <c r="BN40" s="493">
        <f t="shared" si="16"/>
        <v>4003.607</v>
      </c>
      <c r="BO40" s="656">
        <v>69</v>
      </c>
      <c r="BP40" s="492">
        <v>306</v>
      </c>
      <c r="BQ40" s="492">
        <v>190</v>
      </c>
      <c r="BR40" s="492"/>
      <c r="BS40" s="492"/>
      <c r="BT40" s="492">
        <v>29</v>
      </c>
      <c r="BU40" s="492">
        <v>405</v>
      </c>
      <c r="BV40" s="492">
        <f>126+700</f>
        <v>826</v>
      </c>
      <c r="BW40" s="492">
        <f>121+398</f>
        <v>519</v>
      </c>
      <c r="BX40" s="492"/>
      <c r="BY40" s="492">
        <v>294.68400000000003</v>
      </c>
      <c r="BZ40" s="492"/>
      <c r="CA40" s="493">
        <f t="shared" si="17"/>
        <v>2638.6840000000002</v>
      </c>
      <c r="CB40" s="656"/>
      <c r="CC40" s="492"/>
      <c r="CD40" s="492"/>
      <c r="CE40" s="492"/>
      <c r="CF40" s="492"/>
      <c r="CG40" s="492">
        <v>16.475000000000001</v>
      </c>
      <c r="CH40" s="492">
        <v>2.3559999999999999</v>
      </c>
      <c r="CI40" s="492"/>
      <c r="CJ40" s="492"/>
      <c r="CK40" s="492"/>
      <c r="CL40" s="492"/>
      <c r="CM40" s="492"/>
      <c r="CN40" s="493">
        <f t="shared" si="18"/>
        <v>18.831000000000003</v>
      </c>
      <c r="CO40" s="656">
        <v>186.65199999999999</v>
      </c>
      <c r="CP40" s="492">
        <v>3.1659999999999999</v>
      </c>
      <c r="CQ40" s="492">
        <v>31.123000000000001</v>
      </c>
      <c r="CR40" s="492">
        <v>204.321</v>
      </c>
      <c r="CS40" s="492">
        <v>95.429000000000002</v>
      </c>
      <c r="CT40" s="492"/>
      <c r="CU40" s="492">
        <v>12.837999999999999</v>
      </c>
      <c r="CV40" s="492">
        <v>18.084</v>
      </c>
      <c r="CW40" s="492">
        <v>13.744</v>
      </c>
      <c r="CX40" s="492">
        <v>249.01300000000001</v>
      </c>
      <c r="CY40" s="492">
        <v>29.837</v>
      </c>
      <c r="CZ40" s="492">
        <v>39.558</v>
      </c>
      <c r="DA40" s="493">
        <f t="shared" si="19"/>
        <v>883.76499999999987</v>
      </c>
      <c r="DB40" s="656"/>
      <c r="DC40" s="492">
        <v>597.54499999999996</v>
      </c>
      <c r="DD40" s="492">
        <v>143.19999999999999</v>
      </c>
      <c r="DE40" s="492"/>
      <c r="DF40" s="492">
        <v>1169</v>
      </c>
      <c r="DG40" s="492">
        <f>105+148</f>
        <v>253</v>
      </c>
      <c r="DH40" s="492">
        <f>578+80</f>
        <v>658</v>
      </c>
      <c r="DI40" s="492">
        <f>17.451+528.644</f>
        <v>546.09500000000003</v>
      </c>
      <c r="DJ40" s="492">
        <v>7.5830000000000002</v>
      </c>
      <c r="DK40" s="492">
        <v>87.075000000000003</v>
      </c>
      <c r="DL40" s="492">
        <v>647.29300000000001</v>
      </c>
      <c r="DM40" s="492">
        <v>240.65100000000001</v>
      </c>
      <c r="DN40" s="493">
        <f t="shared" si="20"/>
        <v>4349.442</v>
      </c>
      <c r="DO40" s="656">
        <v>480.18799999999999</v>
      </c>
      <c r="DP40" s="492">
        <f>171.901+463.951</f>
        <v>635.85200000000009</v>
      </c>
      <c r="DQ40" s="492">
        <f>40.48+352.396</f>
        <v>392.87600000000003</v>
      </c>
      <c r="DR40" s="492">
        <f>5.722+20.979+816.549</f>
        <v>843.25</v>
      </c>
      <c r="DS40" s="492">
        <f>66.319+161.6</f>
        <v>227.91899999999998</v>
      </c>
      <c r="DT40" s="492">
        <f>116.015+27.105</f>
        <v>143.12</v>
      </c>
      <c r="DU40" s="492">
        <f>419.134+39.562</f>
        <v>458.69600000000003</v>
      </c>
      <c r="DV40" s="492">
        <f>26.132+60.77</f>
        <v>86.902000000000001</v>
      </c>
      <c r="DW40" s="492">
        <v>301.30700000000002</v>
      </c>
      <c r="DX40" s="492">
        <v>161.81100000000001</v>
      </c>
      <c r="DY40" s="492">
        <v>293.06299999999999</v>
      </c>
      <c r="DZ40" s="492">
        <v>221.148</v>
      </c>
      <c r="EA40" s="493">
        <f t="shared" si="21"/>
        <v>4246.1319999999996</v>
      </c>
      <c r="EB40" s="656">
        <v>460.38099999999997</v>
      </c>
      <c r="EC40" s="492">
        <v>646.952</v>
      </c>
      <c r="ED40" s="492">
        <v>20.034999999999997</v>
      </c>
      <c r="EE40" s="492">
        <v>24.136000000000003</v>
      </c>
      <c r="EF40" s="492">
        <v>777.33999999999992</v>
      </c>
      <c r="EG40" s="492">
        <v>200</v>
      </c>
      <c r="EH40" s="492">
        <v>65</v>
      </c>
      <c r="EI40" s="492">
        <v>243</v>
      </c>
      <c r="EJ40" s="492">
        <v>792.8370000000001</v>
      </c>
      <c r="EK40" s="492">
        <v>624</v>
      </c>
      <c r="EL40" s="492">
        <v>395</v>
      </c>
      <c r="EM40" s="492">
        <v>254.55600000000007</v>
      </c>
      <c r="EN40" s="493">
        <f t="shared" si="22"/>
        <v>4503.237000000001</v>
      </c>
      <c r="EO40" s="656"/>
      <c r="EP40" s="492"/>
      <c r="EQ40" s="492"/>
      <c r="ER40" s="492"/>
      <c r="ES40" s="492"/>
      <c r="ET40" s="492"/>
      <c r="EU40" s="492"/>
      <c r="EV40" s="492"/>
      <c r="EW40" s="492"/>
      <c r="EX40" s="492"/>
      <c r="EY40" s="492"/>
      <c r="EZ40" s="492"/>
      <c r="FA40" s="493">
        <f t="shared" si="23"/>
        <v>0</v>
      </c>
      <c r="FC40" s="595">
        <f t="shared" si="24"/>
        <v>15.106625427315667</v>
      </c>
      <c r="FD40" s="596">
        <f t="shared" si="25"/>
        <v>6.0550402107141688</v>
      </c>
      <c r="FE40" s="498">
        <f t="shared" si="26"/>
        <v>4246.1319999999996</v>
      </c>
      <c r="FF40" s="597">
        <f t="shared" si="27"/>
        <v>4503.237000000001</v>
      </c>
      <c r="FH40" s="551">
        <f t="shared" si="28"/>
        <v>47983.858</v>
      </c>
      <c r="FI40" s="491" t="s">
        <v>70</v>
      </c>
      <c r="FJ40" s="554" t="str">
        <f t="shared" si="29"/>
        <v>OK</v>
      </c>
    </row>
    <row r="41" spans="1:166" ht="15" customHeight="1" x14ac:dyDescent="0.25">
      <c r="A41" s="691" t="s">
        <v>646</v>
      </c>
      <c r="B41" s="692">
        <f>5866-5780</f>
        <v>86</v>
      </c>
      <c r="C41" s="557">
        <f>5081-4920</f>
        <v>161</v>
      </c>
      <c r="D41" s="557">
        <f>6933-6718</f>
        <v>215</v>
      </c>
      <c r="E41" s="557">
        <f>4793-4098</f>
        <v>695</v>
      </c>
      <c r="F41" s="557">
        <v>1</v>
      </c>
      <c r="G41" s="557">
        <f>5699-5406</f>
        <v>293</v>
      </c>
      <c r="H41" s="557">
        <f>6364-6107</f>
        <v>257</v>
      </c>
      <c r="I41" s="557">
        <f>7852-7618</f>
        <v>234</v>
      </c>
      <c r="J41" s="557">
        <f>16000-14772</f>
        <v>1228</v>
      </c>
      <c r="K41" s="557">
        <f>9822-7740</f>
        <v>2082</v>
      </c>
      <c r="L41" s="557">
        <f>5927-5718</f>
        <v>209</v>
      </c>
      <c r="M41" s="557">
        <f>10372-9273</f>
        <v>1099</v>
      </c>
      <c r="N41" s="516">
        <f t="shared" si="12"/>
        <v>6560</v>
      </c>
      <c r="O41" s="692">
        <f>10220-9319</f>
        <v>901</v>
      </c>
      <c r="P41" s="557">
        <f>7158-6453</f>
        <v>705</v>
      </c>
      <c r="Q41" s="557">
        <f>4973-4802</f>
        <v>171</v>
      </c>
      <c r="R41" s="557">
        <f>8909-7577</f>
        <v>1332</v>
      </c>
      <c r="S41" s="557">
        <f>2821-1977</f>
        <v>844</v>
      </c>
      <c r="T41" s="557">
        <v>241</v>
      </c>
      <c r="U41" s="557">
        <f>2966-2665</f>
        <v>301</v>
      </c>
      <c r="V41" s="557">
        <f>3413-2950</f>
        <v>463</v>
      </c>
      <c r="W41" s="557">
        <f>20457-18925</f>
        <v>1532</v>
      </c>
      <c r="X41" s="557">
        <f>13973-12178</f>
        <v>1795</v>
      </c>
      <c r="Y41" s="557">
        <f>16688-14364</f>
        <v>2324</v>
      </c>
      <c r="Z41" s="557">
        <f>11643-8501</f>
        <v>3142</v>
      </c>
      <c r="AA41" s="516">
        <f t="shared" si="13"/>
        <v>13751</v>
      </c>
      <c r="AB41" s="692">
        <f>9054-7366</f>
        <v>1688</v>
      </c>
      <c r="AC41" s="557">
        <f>7383-6271</f>
        <v>1112</v>
      </c>
      <c r="AD41" s="557">
        <f>8081-6370</f>
        <v>1711</v>
      </c>
      <c r="AE41" s="557">
        <f>7426.056-5409</f>
        <v>2017.0559999999996</v>
      </c>
      <c r="AF41" s="557">
        <f>5241-3983</f>
        <v>1258</v>
      </c>
      <c r="AG41" s="557">
        <f>4218-3260</f>
        <v>958</v>
      </c>
      <c r="AH41" s="557">
        <f>3458-2765</f>
        <v>693</v>
      </c>
      <c r="AI41" s="557">
        <f>12241-10867</f>
        <v>1374</v>
      </c>
      <c r="AJ41" s="557">
        <f>29628-27596</f>
        <v>2032</v>
      </c>
      <c r="AK41" s="557">
        <f>27972-26661</f>
        <v>1311</v>
      </c>
      <c r="AL41" s="557">
        <f>33631-31552</f>
        <v>2079</v>
      </c>
      <c r="AM41" s="557">
        <f>33729-31447</f>
        <v>2282</v>
      </c>
      <c r="AN41" s="516">
        <f t="shared" si="14"/>
        <v>18515.056</v>
      </c>
      <c r="AO41" s="692">
        <v>2237.7659999999923</v>
      </c>
      <c r="AP41" s="557">
        <v>1164.7799999999979</v>
      </c>
      <c r="AQ41" s="557">
        <v>1557.6969999999983</v>
      </c>
      <c r="AR41" s="557">
        <v>1763.6659999999974</v>
      </c>
      <c r="AS41" s="557">
        <v>1290.1300000000028</v>
      </c>
      <c r="AT41" s="557">
        <v>445.40199999999822</v>
      </c>
      <c r="AU41" s="557">
        <v>1626.4460000000045</v>
      </c>
      <c r="AV41" s="557">
        <v>1455.2509999999947</v>
      </c>
      <c r="AW41" s="557">
        <v>3784.8969999999717</v>
      </c>
      <c r="AX41" s="557">
        <v>2037.1640000000116</v>
      </c>
      <c r="AY41" s="557">
        <v>4659.0889999999854</v>
      </c>
      <c r="AZ41" s="557">
        <v>4434.0329999999885</v>
      </c>
      <c r="BA41" s="516">
        <f t="shared" si="15"/>
        <v>26456.320999999945</v>
      </c>
      <c r="BB41" s="692">
        <f>11962-9823</f>
        <v>2139</v>
      </c>
      <c r="BC41" s="557">
        <f>8043-7308</f>
        <v>735</v>
      </c>
      <c r="BD41" s="557">
        <f>13442-11283</f>
        <v>2159</v>
      </c>
      <c r="BE41" s="557">
        <f>14361-10941</f>
        <v>3420</v>
      </c>
      <c r="BF41" s="557">
        <f>26835.118-16910</f>
        <v>9925.1179999999986</v>
      </c>
      <c r="BG41" s="557">
        <f>16091.404-13759</f>
        <v>2332.4040000000005</v>
      </c>
      <c r="BH41" s="557">
        <f>24245.607-18642.5</f>
        <v>5603.107</v>
      </c>
      <c r="BI41" s="557">
        <f>40710-34479</f>
        <v>6231</v>
      </c>
      <c r="BJ41" s="557">
        <f>67917-53888</f>
        <v>14029</v>
      </c>
      <c r="BK41" s="557">
        <f>67474-54466</f>
        <v>13008</v>
      </c>
      <c r="BL41" s="557">
        <f>93816-71756</f>
        <v>22060</v>
      </c>
      <c r="BM41" s="557">
        <f>61798-45867</f>
        <v>15931</v>
      </c>
      <c r="BN41" s="516">
        <f t="shared" si="16"/>
        <v>97572.629000000001</v>
      </c>
      <c r="BO41" s="692">
        <v>10434</v>
      </c>
      <c r="BP41" s="557">
        <v>9216</v>
      </c>
      <c r="BQ41" s="557">
        <v>30737</v>
      </c>
      <c r="BR41" s="557"/>
      <c r="BS41" s="557">
        <v>702</v>
      </c>
      <c r="BT41" s="557">
        <f>9295-92</f>
        <v>9203</v>
      </c>
      <c r="BU41" s="557">
        <v>10746</v>
      </c>
      <c r="BV41" s="557">
        <f>655+428+364+25+323+5741+1889+54+632+26+69+38+100+107+461+118+2039+31+1617-2</f>
        <v>14715</v>
      </c>
      <c r="BW41" s="557">
        <f>1916+172+254+281+582+2930+1452+27+544+150+33+199+20+50+273+391+1817+4+407+507+168+6+152+2700-9</f>
        <v>15026</v>
      </c>
      <c r="BX41" s="557"/>
      <c r="BY41" s="557">
        <v>459.43700000000001</v>
      </c>
      <c r="BZ41" s="557">
        <v>1338.059</v>
      </c>
      <c r="CA41" s="516">
        <f t="shared" si="17"/>
        <v>102576.496</v>
      </c>
      <c r="CB41" s="692">
        <v>540.43600000000004</v>
      </c>
      <c r="CC41" s="557">
        <v>463.67899999999997</v>
      </c>
      <c r="CD41" s="557">
        <v>319.42200000000003</v>
      </c>
      <c r="CE41" s="557">
        <v>1038.81</v>
      </c>
      <c r="CF41" s="557">
        <v>452.27300000000002</v>
      </c>
      <c r="CG41" s="557">
        <v>536.77300000000002</v>
      </c>
      <c r="CH41" s="557">
        <v>972</v>
      </c>
      <c r="CI41" s="557">
        <v>212.69800000000001</v>
      </c>
      <c r="CJ41" s="557">
        <v>214.739</v>
      </c>
      <c r="CK41" s="557"/>
      <c r="CL41" s="557">
        <v>209.36</v>
      </c>
      <c r="CM41" s="557">
        <f>1195-604</f>
        <v>591</v>
      </c>
      <c r="CN41" s="516">
        <f t="shared" si="18"/>
        <v>5551.19</v>
      </c>
      <c r="CO41" s="692">
        <f>3385-2179</f>
        <v>1206</v>
      </c>
      <c r="CP41" s="557">
        <f>3387-2283</f>
        <v>1104</v>
      </c>
      <c r="CQ41" s="557">
        <f>4552-3214</f>
        <v>1338</v>
      </c>
      <c r="CR41" s="557">
        <f>2128-1234</f>
        <v>894</v>
      </c>
      <c r="CS41" s="557">
        <f>3485-1129</f>
        <v>2356</v>
      </c>
      <c r="CT41" s="557">
        <f>1582-639</f>
        <v>943</v>
      </c>
      <c r="CU41" s="557">
        <f>1168-704</f>
        <v>464</v>
      </c>
      <c r="CV41" s="557">
        <f>1504-933</f>
        <v>571</v>
      </c>
      <c r="CW41" s="557">
        <f>4742.349-2746</f>
        <v>1996.3490000000002</v>
      </c>
      <c r="CX41" s="557">
        <f>2690.91-2017</f>
        <v>673.90999999999985</v>
      </c>
      <c r="CY41" s="557">
        <f>3161-3049</f>
        <v>112</v>
      </c>
      <c r="CZ41" s="557">
        <f>2183-1060</f>
        <v>1123</v>
      </c>
      <c r="DA41" s="516">
        <f t="shared" si="19"/>
        <v>12781.259</v>
      </c>
      <c r="DB41" s="692">
        <v>602.30399999999997</v>
      </c>
      <c r="DC41" s="557">
        <v>746.31799999999998</v>
      </c>
      <c r="DD41" s="557">
        <v>751.88499999999999</v>
      </c>
      <c r="DE41" s="557">
        <v>1169.0519999999999</v>
      </c>
      <c r="DF41" s="557">
        <f>28849-18935</f>
        <v>9914</v>
      </c>
      <c r="DG41" s="557">
        <f>19963-14666</f>
        <v>5297</v>
      </c>
      <c r="DH41" s="557">
        <f>25711-13200</f>
        <v>12511</v>
      </c>
      <c r="DI41" s="557">
        <f>46581-26679</f>
        <v>19902</v>
      </c>
      <c r="DJ41" s="557">
        <f>38872-23195</f>
        <v>15677</v>
      </c>
      <c r="DK41" s="557">
        <f>35441-19815</f>
        <v>15626</v>
      </c>
      <c r="DL41" s="557">
        <f>30716-18867</f>
        <v>11849</v>
      </c>
      <c r="DM41" s="557">
        <f>27527-18055</f>
        <v>9472</v>
      </c>
      <c r="DN41" s="516">
        <f t="shared" si="20"/>
        <v>103517.55900000001</v>
      </c>
      <c r="DO41" s="692">
        <f>44563.51-27646</f>
        <v>16917.510000000002</v>
      </c>
      <c r="DP41" s="557">
        <f>36788-23047</f>
        <v>13741</v>
      </c>
      <c r="DQ41" s="557">
        <f>18892-12580</f>
        <v>6312</v>
      </c>
      <c r="DR41" s="557">
        <f>26492-15847</f>
        <v>10645</v>
      </c>
      <c r="DS41" s="557">
        <f>18485-14955</f>
        <v>3530</v>
      </c>
      <c r="DT41" s="557">
        <f>11338.49-9462</f>
        <v>1876.4899999999998</v>
      </c>
      <c r="DU41" s="557">
        <f>12280.647-8563</f>
        <v>3717.6470000000008</v>
      </c>
      <c r="DV41" s="557">
        <f>55054-14552</f>
        <v>40502</v>
      </c>
      <c r="DW41" s="557">
        <f>68732-18284</f>
        <v>50448</v>
      </c>
      <c r="DX41" s="557">
        <f>29954-17736</f>
        <v>12218</v>
      </c>
      <c r="DY41" s="557">
        <f>38424.119-25567</f>
        <v>12857.118999999999</v>
      </c>
      <c r="DZ41" s="557">
        <f>38145-27177</f>
        <v>10968</v>
      </c>
      <c r="EA41" s="516">
        <f t="shared" si="21"/>
        <v>183732.766</v>
      </c>
      <c r="EB41" s="692">
        <v>5063.7059999999947</v>
      </c>
      <c r="EC41" s="557">
        <v>7440.53999999999</v>
      </c>
      <c r="ED41" s="557">
        <v>2319.5260000000017</v>
      </c>
      <c r="EE41" s="557">
        <v>3551.4589999999962</v>
      </c>
      <c r="EF41" s="557">
        <v>4226.7330000000002</v>
      </c>
      <c r="EG41" s="557">
        <v>1763.829000000007</v>
      </c>
      <c r="EH41" s="557">
        <v>2961.6459999999988</v>
      </c>
      <c r="EI41" s="557">
        <v>14705.313999999993</v>
      </c>
      <c r="EJ41" s="557">
        <v>16408.046000000002</v>
      </c>
      <c r="EK41" s="557">
        <v>13511.796000000002</v>
      </c>
      <c r="EL41" s="557">
        <v>19407.10999999999</v>
      </c>
      <c r="EM41" s="557">
        <v>15681.692999999981</v>
      </c>
      <c r="EN41" s="516">
        <f t="shared" si="22"/>
        <v>107041.39799999996</v>
      </c>
      <c r="EO41" s="692"/>
      <c r="EP41" s="557"/>
      <c r="EQ41" s="557"/>
      <c r="ER41" s="557"/>
      <c r="ES41" s="557"/>
      <c r="ET41" s="557"/>
      <c r="EU41" s="557"/>
      <c r="EV41" s="557"/>
      <c r="EW41" s="557"/>
      <c r="EX41" s="557"/>
      <c r="EY41" s="557"/>
      <c r="EZ41" s="557"/>
      <c r="FA41" s="516">
        <f t="shared" si="23"/>
        <v>0</v>
      </c>
      <c r="FB41" s="110"/>
      <c r="FC41" s="518">
        <f t="shared" si="24"/>
        <v>42.976777899343375</v>
      </c>
      <c r="FD41" s="519">
        <f t="shared" ref="FD41" si="30">IFERROR(((FF41/FE41)-1)*100,"")</f>
        <v>-41.740713792987826</v>
      </c>
      <c r="FE41" s="520">
        <f t="shared" si="26"/>
        <v>183732.766</v>
      </c>
      <c r="FF41" s="521">
        <f t="shared" si="27"/>
        <v>107041.39799999996</v>
      </c>
      <c r="FG41" s="625"/>
      <c r="FH41" s="694"/>
      <c r="FI41" s="695"/>
      <c r="FJ41" s="636"/>
    </row>
    <row r="42" spans="1:166" ht="15" customHeight="1" x14ac:dyDescent="0.25">
      <c r="A42" s="612"/>
      <c r="B42" s="696"/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3"/>
      <c r="N42" s="577"/>
      <c r="O42" s="696"/>
      <c r="P42" s="613"/>
      <c r="Q42" s="613"/>
      <c r="R42" s="613"/>
      <c r="S42" s="613"/>
      <c r="T42" s="613"/>
      <c r="U42" s="613"/>
      <c r="V42" s="613"/>
      <c r="W42" s="613"/>
      <c r="X42" s="613"/>
      <c r="Y42" s="613"/>
      <c r="Z42" s="613"/>
      <c r="AA42" s="577"/>
      <c r="AB42" s="696"/>
      <c r="AC42" s="613"/>
      <c r="AD42" s="613"/>
      <c r="AE42" s="613"/>
      <c r="AF42" s="613"/>
      <c r="AG42" s="613"/>
      <c r="AH42" s="613"/>
      <c r="AI42" s="613"/>
      <c r="AJ42" s="613"/>
      <c r="AK42" s="613"/>
      <c r="AL42" s="613"/>
      <c r="AM42" s="613"/>
      <c r="AN42" s="577"/>
      <c r="AO42" s="696"/>
      <c r="AP42" s="613"/>
      <c r="AQ42" s="613"/>
      <c r="AR42" s="613"/>
      <c r="AS42" s="613"/>
      <c r="AT42" s="613"/>
      <c r="AU42" s="613"/>
      <c r="AV42" s="613"/>
      <c r="AW42" s="613"/>
      <c r="AX42" s="613"/>
      <c r="AY42" s="613"/>
      <c r="AZ42" s="613"/>
      <c r="BA42" s="577"/>
      <c r="BB42" s="696"/>
      <c r="BC42" s="613"/>
      <c r="BD42" s="613"/>
      <c r="BE42" s="613"/>
      <c r="BF42" s="613"/>
      <c r="BG42" s="613"/>
      <c r="BH42" s="613"/>
      <c r="BI42" s="613"/>
      <c r="BJ42" s="613"/>
      <c r="BK42" s="613"/>
      <c r="BL42" s="613"/>
      <c r="BM42" s="613"/>
      <c r="BN42" s="577"/>
      <c r="BO42" s="696"/>
      <c r="BP42" s="613"/>
      <c r="BQ42" s="613"/>
      <c r="BR42" s="613"/>
      <c r="BS42" s="613"/>
      <c r="BT42" s="613"/>
      <c r="BU42" s="613"/>
      <c r="BV42" s="613"/>
      <c r="BW42" s="613"/>
      <c r="BX42" s="613"/>
      <c r="BY42" s="613"/>
      <c r="BZ42" s="613"/>
      <c r="CA42" s="577"/>
      <c r="CB42" s="696"/>
      <c r="CC42" s="613"/>
      <c r="CD42" s="613"/>
      <c r="CE42" s="613"/>
      <c r="CF42" s="613"/>
      <c r="CG42" s="613"/>
      <c r="CH42" s="613"/>
      <c r="CI42" s="613"/>
      <c r="CJ42" s="613"/>
      <c r="CK42" s="613"/>
      <c r="CL42" s="613"/>
      <c r="CM42" s="613"/>
      <c r="CN42" s="577"/>
      <c r="CO42" s="696"/>
      <c r="CP42" s="613"/>
      <c r="CQ42" s="613"/>
      <c r="CR42" s="613"/>
      <c r="CS42" s="613"/>
      <c r="CT42" s="613"/>
      <c r="CU42" s="613"/>
      <c r="CV42" s="613"/>
      <c r="CW42" s="613"/>
      <c r="CX42" s="613"/>
      <c r="CY42" s="613"/>
      <c r="CZ42" s="613"/>
      <c r="DA42" s="577"/>
      <c r="DB42" s="696"/>
      <c r="DC42" s="613"/>
      <c r="DD42" s="613"/>
      <c r="DE42" s="613"/>
      <c r="DF42" s="613"/>
      <c r="DG42" s="613"/>
      <c r="DH42" s="613"/>
      <c r="DI42" s="613"/>
      <c r="DJ42" s="613"/>
      <c r="DK42" s="613"/>
      <c r="DL42" s="613"/>
      <c r="DM42" s="613"/>
      <c r="DN42" s="577"/>
      <c r="DO42" s="696"/>
      <c r="DP42" s="613"/>
      <c r="DQ42" s="613"/>
      <c r="DR42" s="613"/>
      <c r="DS42" s="613"/>
      <c r="DT42" s="613"/>
      <c r="DU42" s="613"/>
      <c r="DV42" s="613"/>
      <c r="DW42" s="613"/>
      <c r="DX42" s="613"/>
      <c r="DY42" s="613"/>
      <c r="DZ42" s="613"/>
      <c r="EA42" s="577"/>
      <c r="EB42" s="696"/>
      <c r="EC42" s="613"/>
      <c r="ED42" s="613"/>
      <c r="EE42" s="613"/>
      <c r="EF42" s="613"/>
      <c r="EG42" s="613"/>
      <c r="EH42" s="613"/>
      <c r="EI42" s="613"/>
      <c r="EJ42" s="613"/>
      <c r="EK42" s="613"/>
      <c r="EL42" s="613"/>
      <c r="EM42" s="613"/>
      <c r="EN42" s="577"/>
      <c r="EO42" s="696"/>
      <c r="EP42" s="613"/>
      <c r="EQ42" s="613"/>
      <c r="ER42" s="613"/>
      <c r="ES42" s="613"/>
      <c r="ET42" s="613"/>
      <c r="EU42" s="613"/>
      <c r="EV42" s="613"/>
      <c r="EW42" s="613"/>
      <c r="EX42" s="613"/>
      <c r="EY42" s="613"/>
      <c r="EZ42" s="613"/>
      <c r="FA42" s="577"/>
      <c r="FC42" s="614"/>
      <c r="FD42" s="615"/>
      <c r="FE42" s="616"/>
      <c r="FF42" s="617"/>
      <c r="FH42" s="697"/>
      <c r="FI42" s="698"/>
      <c r="FJ42" s="699"/>
    </row>
    <row r="43" spans="1:166" ht="15" customHeight="1" x14ac:dyDescent="0.25">
      <c r="A43" s="586" t="s">
        <v>323</v>
      </c>
    </row>
    <row r="44" spans="1:166" ht="15" customHeight="1" x14ac:dyDescent="0.25">
      <c r="A44" s="586" t="s">
        <v>162</v>
      </c>
    </row>
    <row r="45" spans="1:166" ht="15" customHeight="1" x14ac:dyDescent="0.25">
      <c r="A45" s="700"/>
    </row>
    <row r="46" spans="1:166" ht="15" customHeight="1" x14ac:dyDescent="0.25">
      <c r="DO46" s="624">
        <v>44563.807000000001</v>
      </c>
      <c r="DP46" s="624">
        <v>37424.201999999997</v>
      </c>
      <c r="DQ46" s="624">
        <v>19285.290999999997</v>
      </c>
      <c r="DR46" s="624">
        <v>27335.722999999998</v>
      </c>
      <c r="DS46" s="624">
        <v>18712.858</v>
      </c>
      <c r="DT46" s="624">
        <v>11481.378999999999</v>
      </c>
      <c r="DU46" s="624">
        <v>12739.731000000002</v>
      </c>
      <c r="DV46" s="624">
        <v>55140.697</v>
      </c>
      <c r="DW46" s="624">
        <v>68732.210000000006</v>
      </c>
      <c r="DX46" s="624">
        <v>29954.499</v>
      </c>
      <c r="DY46" s="624">
        <v>38424.103000000003</v>
      </c>
      <c r="DZ46" s="624">
        <v>38145.428</v>
      </c>
      <c r="EA46" s="624">
        <v>401939.92800000001</v>
      </c>
      <c r="EB46" s="624">
        <v>23469.946</v>
      </c>
    </row>
    <row r="47" spans="1:166" ht="15" customHeight="1" x14ac:dyDescent="0.25">
      <c r="DO47" s="624">
        <f>DO7-DO46</f>
        <v>0</v>
      </c>
      <c r="DP47" s="624">
        <f t="shared" ref="DP47:EB47" si="31">DP7-DP46</f>
        <v>0</v>
      </c>
      <c r="DQ47" s="624">
        <f t="shared" si="31"/>
        <v>0</v>
      </c>
      <c r="DR47" s="624">
        <f t="shared" si="31"/>
        <v>0</v>
      </c>
      <c r="DS47" s="624">
        <f t="shared" si="31"/>
        <v>0</v>
      </c>
      <c r="DT47" s="624">
        <f t="shared" si="31"/>
        <v>0</v>
      </c>
      <c r="DU47" s="624">
        <f t="shared" si="31"/>
        <v>0</v>
      </c>
      <c r="DV47" s="624">
        <f t="shared" si="31"/>
        <v>0</v>
      </c>
      <c r="DW47" s="624">
        <f t="shared" si="31"/>
        <v>0</v>
      </c>
      <c r="DX47" s="624">
        <f t="shared" si="31"/>
        <v>0</v>
      </c>
      <c r="DY47" s="624">
        <f t="shared" si="31"/>
        <v>0</v>
      </c>
      <c r="DZ47" s="624">
        <f t="shared" si="31"/>
        <v>0</v>
      </c>
      <c r="EA47" s="624">
        <f t="shared" si="31"/>
        <v>0</v>
      </c>
      <c r="EB47" s="624">
        <f t="shared" si="31"/>
        <v>0</v>
      </c>
    </row>
    <row r="61" spans="1:1" ht="15" customHeight="1" x14ac:dyDescent="0.25">
      <c r="A61" s="722"/>
    </row>
  </sheetData>
  <sortState xmlns:xlrd2="http://schemas.microsoft.com/office/spreadsheetml/2017/richdata2" ref="A9:FJ40">
    <sortCondition ref="A9:A40"/>
  </sortState>
  <phoneticPr fontId="11" type="noConversion"/>
  <conditionalFormatting sqref="A1:A1048576">
    <cfRule type="duplicateValues" dxfId="2" priority="1"/>
  </conditionalFormatting>
  <printOptions horizontalCentered="1" verticalCentered="1"/>
  <pageMargins left="0.74803149606299213" right="0.74803149606299213" top="0.43307086614173229" bottom="0.55118110236220474" header="0" footer="0"/>
  <pageSetup paperSize="9" scale="1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-0.499984740745262"/>
    <pageSetUpPr fitToPage="1"/>
  </sheetPr>
  <dimension ref="A1:FK45"/>
  <sheetViews>
    <sheetView showGridLines="0" view="pageBreakPreview" zoomScale="90" zoomScaleNormal="100" zoomScaleSheetLayoutView="90" workbookViewId="0">
      <pane xSplit="1" topLeftCell="EC1" activePane="topRight" state="frozen"/>
      <selection activeCell="DO55" sqref="DO55:EP55"/>
      <selection pane="topRight" activeCell="A2" sqref="A2"/>
    </sheetView>
  </sheetViews>
  <sheetFormatPr baseColWidth="10" defaultColWidth="9.7109375" defaultRowHeight="15" customHeight="1" x14ac:dyDescent="0.25"/>
  <cols>
    <col min="1" max="1" width="20.7109375" customWidth="1"/>
    <col min="166" max="166" width="11.85546875" bestFit="1" customWidth="1"/>
  </cols>
  <sheetData>
    <row r="1" spans="1:167" ht="15" customHeight="1" x14ac:dyDescent="0.25">
      <c r="A1" s="682" t="s">
        <v>165</v>
      </c>
      <c r="B1" s="624"/>
      <c r="C1" s="624"/>
      <c r="D1" s="624"/>
      <c r="E1" s="624"/>
      <c r="F1" s="624"/>
      <c r="G1" s="624"/>
      <c r="H1" s="624"/>
      <c r="I1" s="624"/>
      <c r="J1" s="624"/>
      <c r="K1" s="624"/>
      <c r="L1" s="624"/>
      <c r="M1" s="624"/>
      <c r="N1" s="624"/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4"/>
      <c r="BD1" s="624"/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4"/>
      <c r="BY1" s="624"/>
      <c r="BZ1" s="624"/>
      <c r="CA1" s="624"/>
      <c r="CB1" s="624"/>
      <c r="CC1" s="624"/>
      <c r="CD1" s="624"/>
      <c r="CE1" s="624"/>
      <c r="CF1" s="624"/>
      <c r="CG1" s="624"/>
      <c r="CH1" s="624"/>
      <c r="CI1" s="624"/>
      <c r="CJ1" s="624"/>
      <c r="CK1" s="624"/>
      <c r="CL1" s="624"/>
      <c r="CM1" s="624"/>
      <c r="CN1" s="624"/>
      <c r="CO1" s="624"/>
      <c r="CP1" s="624"/>
      <c r="CQ1" s="624"/>
      <c r="CR1" s="624"/>
      <c r="CS1" s="624"/>
      <c r="CT1" s="624"/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4"/>
      <c r="DO1" s="624"/>
      <c r="DP1" s="624"/>
      <c r="DQ1" s="624"/>
      <c r="DR1" s="624"/>
      <c r="DS1" s="624"/>
      <c r="DT1" s="624"/>
      <c r="DU1" s="624"/>
      <c r="DV1" s="624"/>
      <c r="DW1" s="624"/>
      <c r="DX1" s="624"/>
      <c r="DY1" s="624"/>
      <c r="DZ1" s="624"/>
      <c r="EA1" s="624"/>
      <c r="EB1" s="624"/>
      <c r="EC1" s="624"/>
      <c r="ED1" s="624"/>
      <c r="EE1" s="624"/>
      <c r="EF1" s="624"/>
      <c r="EG1" s="624"/>
      <c r="EH1" s="624"/>
      <c r="EI1" s="624"/>
      <c r="EJ1" s="624"/>
      <c r="EK1" s="624"/>
      <c r="EL1" s="624"/>
      <c r="EM1" s="624"/>
      <c r="EN1" s="624"/>
      <c r="EO1" s="624"/>
      <c r="EP1" s="624"/>
      <c r="EQ1" s="624"/>
      <c r="ER1" s="624"/>
      <c r="ES1" s="624"/>
      <c r="ET1" s="624"/>
      <c r="EU1" s="624"/>
      <c r="EV1" s="624"/>
      <c r="EW1" s="624"/>
      <c r="EX1" s="624"/>
      <c r="EY1" s="624"/>
      <c r="EZ1" s="624"/>
      <c r="FA1" s="624"/>
      <c r="FC1" s="624"/>
      <c r="FD1" s="624"/>
      <c r="FE1" s="624"/>
      <c r="FF1" s="624"/>
      <c r="FG1" s="624"/>
      <c r="FH1" s="621"/>
      <c r="FI1" s="621"/>
      <c r="FJ1" s="621"/>
    </row>
    <row r="2" spans="1:167" ht="15" customHeight="1" x14ac:dyDescent="0.25">
      <c r="A2" s="682" t="s">
        <v>566</v>
      </c>
      <c r="B2" s="624"/>
      <c r="C2" s="624"/>
      <c r="D2" s="624"/>
      <c r="E2" s="624"/>
      <c r="F2" s="624"/>
      <c r="G2" s="624"/>
      <c r="H2" s="624"/>
      <c r="I2" s="624"/>
      <c r="J2" s="624"/>
      <c r="K2" s="624"/>
      <c r="L2" s="624"/>
      <c r="M2" s="624"/>
      <c r="N2" s="624"/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624"/>
      <c r="AJ2" s="624"/>
      <c r="AK2" s="624"/>
      <c r="AL2" s="624"/>
      <c r="AM2" s="624"/>
      <c r="AN2" s="624"/>
      <c r="AO2" s="624"/>
      <c r="AP2" s="624"/>
      <c r="AQ2" s="624"/>
      <c r="AR2" s="624"/>
      <c r="AS2" s="624"/>
      <c r="AT2" s="624"/>
      <c r="AU2" s="624"/>
      <c r="AV2" s="624"/>
      <c r="AW2" s="624"/>
      <c r="AX2" s="624"/>
      <c r="AY2" s="624"/>
      <c r="AZ2" s="624"/>
      <c r="BA2" s="624"/>
      <c r="BB2" s="624"/>
      <c r="BC2" s="624"/>
      <c r="BD2" s="624"/>
      <c r="BE2" s="624"/>
      <c r="BF2" s="624"/>
      <c r="BG2" s="624"/>
      <c r="BH2" s="624"/>
      <c r="BI2" s="624"/>
      <c r="BJ2" s="624"/>
      <c r="BK2" s="624"/>
      <c r="BL2" s="624"/>
      <c r="BM2" s="624"/>
      <c r="BN2" s="624"/>
      <c r="BO2" s="624"/>
      <c r="BP2" s="624"/>
      <c r="BQ2" s="624"/>
      <c r="BR2" s="624"/>
      <c r="BS2" s="624"/>
      <c r="BT2" s="624"/>
      <c r="BU2" s="624"/>
      <c r="BV2" s="624"/>
      <c r="BW2" s="624"/>
      <c r="BX2" s="624"/>
      <c r="BY2" s="624"/>
      <c r="BZ2" s="624"/>
      <c r="CA2" s="624"/>
      <c r="CB2" s="624"/>
      <c r="CC2" s="624"/>
      <c r="CD2" s="624"/>
      <c r="CE2" s="624"/>
      <c r="CF2" s="624"/>
      <c r="CG2" s="624"/>
      <c r="CH2" s="624"/>
      <c r="CI2" s="624"/>
      <c r="CJ2" s="624"/>
      <c r="CK2" s="624"/>
      <c r="CL2" s="624"/>
      <c r="CM2" s="624"/>
      <c r="CN2" s="624"/>
      <c r="CO2" s="624"/>
      <c r="CP2" s="624"/>
      <c r="CQ2" s="624"/>
      <c r="CR2" s="624"/>
      <c r="CS2" s="624"/>
      <c r="CT2" s="624"/>
      <c r="CU2" s="624"/>
      <c r="CV2" s="624"/>
      <c r="CW2" s="624"/>
      <c r="CX2" s="624"/>
      <c r="CY2" s="624"/>
      <c r="CZ2" s="624"/>
      <c r="DA2" s="624"/>
      <c r="DB2" s="624"/>
      <c r="DC2" s="624"/>
      <c r="DD2" s="624"/>
      <c r="DE2" s="624"/>
      <c r="DF2" s="624"/>
      <c r="DG2" s="624"/>
      <c r="DH2" s="624"/>
      <c r="DI2" s="624"/>
      <c r="DJ2" s="624"/>
      <c r="DK2" s="624"/>
      <c r="DL2" s="624"/>
      <c r="DM2" s="624"/>
      <c r="DN2" s="624"/>
      <c r="DO2" s="624"/>
      <c r="DP2" s="624"/>
      <c r="DQ2" s="624"/>
      <c r="DR2" s="624"/>
      <c r="DS2" s="624"/>
      <c r="DT2" s="624"/>
      <c r="DU2" s="624"/>
      <c r="DV2" s="624"/>
      <c r="DW2" s="624"/>
      <c r="DX2" s="624"/>
      <c r="DY2" s="624"/>
      <c r="DZ2" s="624"/>
      <c r="EA2" s="624"/>
      <c r="EB2" s="624"/>
      <c r="EC2" s="624"/>
      <c r="ED2" s="624"/>
      <c r="EE2" s="624"/>
      <c r="EF2" s="624"/>
      <c r="EG2" s="624"/>
      <c r="EH2" s="624"/>
      <c r="EI2" s="624"/>
      <c r="EJ2" s="624"/>
      <c r="EK2" s="624"/>
      <c r="EL2" s="624"/>
      <c r="EM2" s="624"/>
      <c r="EN2" s="624"/>
      <c r="EO2" s="624"/>
      <c r="EP2" s="624"/>
      <c r="EQ2" s="624"/>
      <c r="ER2" s="624"/>
      <c r="ES2" s="624"/>
      <c r="ET2" s="624"/>
      <c r="EU2" s="624"/>
      <c r="EV2" s="624"/>
      <c r="EW2" s="624"/>
      <c r="EX2" s="624"/>
      <c r="EY2" s="624"/>
      <c r="EZ2" s="624"/>
      <c r="FA2" s="624"/>
      <c r="FC2" s="624"/>
      <c r="FD2" s="624"/>
      <c r="FE2" s="624"/>
      <c r="FF2" s="624"/>
      <c r="FG2" s="624"/>
      <c r="FH2" s="621"/>
      <c r="FI2" s="621"/>
      <c r="FJ2" s="621"/>
    </row>
    <row r="3" spans="1:167" ht="15" customHeight="1" x14ac:dyDescent="0.25">
      <c r="A3" s="774" t="s">
        <v>92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  <c r="BO3" s="624"/>
      <c r="BP3" s="624"/>
      <c r="BQ3" s="624"/>
      <c r="BR3" s="624"/>
      <c r="BS3" s="624"/>
      <c r="BT3" s="624"/>
      <c r="BU3" s="624"/>
      <c r="BV3" s="624"/>
      <c r="BW3" s="624"/>
      <c r="BX3" s="624"/>
      <c r="BY3" s="624"/>
      <c r="BZ3" s="624"/>
      <c r="CA3" s="624"/>
      <c r="CB3" s="624"/>
      <c r="CC3" s="624"/>
      <c r="CD3" s="624"/>
      <c r="CE3" s="624"/>
      <c r="CF3" s="624"/>
      <c r="CG3" s="624"/>
      <c r="CH3" s="624"/>
      <c r="CI3" s="624"/>
      <c r="CJ3" s="624"/>
      <c r="CK3" s="624"/>
      <c r="CL3" s="624"/>
      <c r="CM3" s="624"/>
      <c r="CN3" s="624"/>
      <c r="CO3" s="624"/>
      <c r="CP3" s="624"/>
      <c r="CQ3" s="624"/>
      <c r="CR3" s="624"/>
      <c r="CS3" s="624"/>
      <c r="CT3" s="624"/>
      <c r="CU3" s="624"/>
      <c r="CV3" s="624"/>
      <c r="CW3" s="624"/>
      <c r="CX3" s="624"/>
      <c r="CY3" s="624"/>
      <c r="CZ3" s="624"/>
      <c r="DA3" s="624"/>
      <c r="DB3" s="624"/>
      <c r="DC3" s="624"/>
      <c r="DD3" s="624"/>
      <c r="DE3" s="624"/>
      <c r="DF3" s="624"/>
      <c r="DG3" s="624"/>
      <c r="DH3" s="624"/>
      <c r="DI3" s="624"/>
      <c r="DJ3" s="624"/>
      <c r="DK3" s="624"/>
      <c r="DL3" s="624"/>
      <c r="DM3" s="624"/>
      <c r="DN3" s="624"/>
      <c r="DO3" s="624"/>
      <c r="DP3" s="624"/>
      <c r="DQ3" s="624"/>
      <c r="DR3" s="624"/>
      <c r="DS3" s="624"/>
      <c r="DT3" s="624"/>
      <c r="DU3" s="624"/>
      <c r="DV3" s="624"/>
      <c r="DW3" s="624"/>
      <c r="DX3" s="624"/>
      <c r="DY3" s="624"/>
      <c r="DZ3" s="624"/>
      <c r="EA3" s="624"/>
      <c r="EB3" s="624"/>
      <c r="EC3" s="624"/>
      <c r="ED3" s="624"/>
      <c r="EE3" s="624"/>
      <c r="EF3" s="624"/>
      <c r="EG3" s="624"/>
      <c r="EH3" s="624"/>
      <c r="EI3" s="624"/>
      <c r="EJ3" s="624"/>
      <c r="EK3" s="624"/>
      <c r="EL3" s="624"/>
      <c r="EM3" s="624"/>
      <c r="EN3" s="624"/>
      <c r="EO3" s="624"/>
      <c r="EP3" s="624"/>
      <c r="EQ3" s="624"/>
      <c r="ER3" s="624"/>
      <c r="ES3" s="624"/>
      <c r="ET3" s="624"/>
      <c r="EU3" s="624"/>
      <c r="EV3" s="624"/>
      <c r="EW3" s="624"/>
      <c r="EX3" s="624"/>
      <c r="EY3" s="624"/>
      <c r="EZ3" s="624"/>
      <c r="FA3" s="624"/>
      <c r="FC3" s="624"/>
      <c r="FD3" s="624"/>
      <c r="FE3" s="624"/>
      <c r="FF3" s="624"/>
      <c r="FG3" s="624"/>
      <c r="FH3" s="621"/>
      <c r="FI3" s="621"/>
      <c r="FJ3" s="621"/>
    </row>
    <row r="4" spans="1:167" ht="15" customHeight="1" x14ac:dyDescent="0.25">
      <c r="A4" s="592"/>
      <c r="B4" s="683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83</v>
      </c>
      <c r="O4" s="683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83</v>
      </c>
      <c r="AB4" s="683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83</v>
      </c>
      <c r="AO4" s="683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83</v>
      </c>
      <c r="BB4" s="683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83</v>
      </c>
      <c r="BO4" s="683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83</v>
      </c>
      <c r="CB4" s="683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83</v>
      </c>
      <c r="CO4" s="683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83</v>
      </c>
      <c r="DB4" s="683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83</v>
      </c>
      <c r="DO4" s="683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83</v>
      </c>
      <c r="EB4" s="683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83</v>
      </c>
      <c r="EO4" s="474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83</v>
      </c>
      <c r="FC4" s="476" t="str">
        <f>CONCATENATE("Var.% ",FF4,"/",FF4-1)</f>
        <v>Var.% 2025/2024</v>
      </c>
      <c r="FD4" s="477"/>
      <c r="FE4" s="478">
        <f>FF4-1</f>
        <v>2024</v>
      </c>
      <c r="FF4" s="478">
        <f>YEAR(FC5)</f>
        <v>2025</v>
      </c>
      <c r="FG4" s="624"/>
      <c r="FH4" s="621"/>
      <c r="FI4" s="479" t="s">
        <v>620</v>
      </c>
      <c r="FJ4" s="480"/>
      <c r="FK4" s="481"/>
    </row>
    <row r="5" spans="1:167" ht="15" customHeight="1" x14ac:dyDescent="0.25">
      <c r="A5" s="593"/>
      <c r="B5" s="684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>YEAR(M5)</f>
        <v>2015</v>
      </c>
      <c r="O5" s="684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>YEAR(Z5)</f>
        <v>2016</v>
      </c>
      <c r="AB5" s="684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>YEAR(AM5)</f>
        <v>2017</v>
      </c>
      <c r="AO5" s="684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>YEAR(AZ5)</f>
        <v>2018</v>
      </c>
      <c r="BB5" s="684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>YEAR(BM5)</f>
        <v>2019</v>
      </c>
      <c r="BO5" s="684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>YEAR(BZ5)</f>
        <v>2020</v>
      </c>
      <c r="CB5" s="684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>YEAR(CM5)</f>
        <v>2021</v>
      </c>
      <c r="CO5" s="684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>YEAR(CZ5)</f>
        <v>2022</v>
      </c>
      <c r="DB5" s="684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>YEAR(DM5)</f>
        <v>2023</v>
      </c>
      <c r="DO5" s="684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>YEAR(DZ5)</f>
        <v>2024</v>
      </c>
      <c r="EB5" s="684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483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C5" s="485">
        <f>EM5</f>
        <v>45992</v>
      </c>
      <c r="FD5" s="486" t="str">
        <f>CONCATENATE("Ene.-",TEXT(FC5,"MMM."))</f>
        <v>Ene.-Dic.</v>
      </c>
      <c r="FE5" s="487" t="str">
        <f>FD5</f>
        <v>Ene.-Dic.</v>
      </c>
      <c r="FF5" s="487" t="str">
        <f>FD5</f>
        <v>Ene.-Dic.</v>
      </c>
      <c r="FG5" s="685"/>
      <c r="FH5" s="621"/>
      <c r="FI5" s="488" t="s">
        <v>621</v>
      </c>
      <c r="FJ5" s="489"/>
      <c r="FK5" s="490"/>
    </row>
    <row r="6" spans="1:167" ht="15" customHeight="1" x14ac:dyDescent="0.25">
      <c r="A6" s="594"/>
      <c r="B6" s="656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3"/>
      <c r="O6" s="656"/>
      <c r="P6" s="492"/>
      <c r="Q6" s="492"/>
      <c r="R6" s="492"/>
      <c r="S6" s="492"/>
      <c r="T6" s="492"/>
      <c r="U6" s="492"/>
      <c r="V6" s="492"/>
      <c r="W6" s="492"/>
      <c r="X6" s="492"/>
      <c r="Y6" s="492"/>
      <c r="Z6" s="492"/>
      <c r="AA6" s="493"/>
      <c r="AB6" s="656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3"/>
      <c r="AO6" s="656"/>
      <c r="AP6" s="492"/>
      <c r="AQ6" s="492"/>
      <c r="AR6" s="492"/>
      <c r="AS6" s="492"/>
      <c r="AT6" s="492"/>
      <c r="AU6" s="492"/>
      <c r="AV6" s="492"/>
      <c r="AW6" s="492"/>
      <c r="AX6" s="492"/>
      <c r="AY6" s="492"/>
      <c r="AZ6" s="492"/>
      <c r="BA6" s="493"/>
      <c r="BB6" s="656"/>
      <c r="BC6" s="492"/>
      <c r="BD6" s="492"/>
      <c r="BE6" s="492"/>
      <c r="BF6" s="492"/>
      <c r="BG6" s="492"/>
      <c r="BH6" s="492"/>
      <c r="BI6" s="492"/>
      <c r="BJ6" s="492"/>
      <c r="BK6" s="492"/>
      <c r="BL6" s="492"/>
      <c r="BM6" s="492"/>
      <c r="BN6" s="493"/>
      <c r="BO6" s="656"/>
      <c r="BP6" s="492"/>
      <c r="BQ6" s="492"/>
      <c r="BR6" s="492"/>
      <c r="BS6" s="492"/>
      <c r="BT6" s="492"/>
      <c r="BU6" s="492"/>
      <c r="BV6" s="492"/>
      <c r="BW6" s="492"/>
      <c r="BX6" s="492"/>
      <c r="BY6" s="492"/>
      <c r="BZ6" s="492"/>
      <c r="CA6" s="493"/>
      <c r="CB6" s="656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3"/>
      <c r="CO6" s="656"/>
      <c r="CP6" s="492"/>
      <c r="CQ6" s="492"/>
      <c r="CR6" s="492"/>
      <c r="CS6" s="492"/>
      <c r="CT6" s="492"/>
      <c r="CU6" s="492"/>
      <c r="CV6" s="492"/>
      <c r="CW6" s="492"/>
      <c r="CX6" s="492"/>
      <c r="CY6" s="492"/>
      <c r="CZ6" s="492"/>
      <c r="DA6" s="493"/>
      <c r="DB6" s="656"/>
      <c r="DC6" s="492"/>
      <c r="DD6" s="492"/>
      <c r="DE6" s="492"/>
      <c r="DF6" s="492"/>
      <c r="DG6" s="492"/>
      <c r="DH6" s="492"/>
      <c r="DI6" s="492"/>
      <c r="DJ6" s="492"/>
      <c r="DK6" s="492"/>
      <c r="DL6" s="492"/>
      <c r="DM6" s="492"/>
      <c r="DN6" s="493"/>
      <c r="DO6" s="656"/>
      <c r="DP6" s="492"/>
      <c r="DQ6" s="492"/>
      <c r="DR6" s="492"/>
      <c r="DS6" s="492"/>
      <c r="DT6" s="492"/>
      <c r="DU6" s="492"/>
      <c r="DV6" s="492"/>
      <c r="DW6" s="492"/>
      <c r="DX6" s="492"/>
      <c r="DY6" s="492"/>
      <c r="DZ6" s="492"/>
      <c r="EA6" s="493"/>
      <c r="EB6" s="656"/>
      <c r="EC6" s="492"/>
      <c r="ED6" s="492"/>
      <c r="EE6" s="492"/>
      <c r="EF6" s="492"/>
      <c r="EG6" s="492"/>
      <c r="EH6" s="492"/>
      <c r="EI6" s="492"/>
      <c r="EJ6" s="492"/>
      <c r="EK6" s="492"/>
      <c r="EL6" s="492"/>
      <c r="EM6" s="492"/>
      <c r="EN6" s="493"/>
      <c r="EO6" s="492"/>
      <c r="EP6" s="492"/>
      <c r="EQ6" s="492"/>
      <c r="ER6" s="492"/>
      <c r="ES6" s="492"/>
      <c r="ET6" s="492"/>
      <c r="EU6" s="492"/>
      <c r="EV6" s="492"/>
      <c r="EW6" s="492"/>
      <c r="EX6" s="492"/>
      <c r="EY6" s="492"/>
      <c r="EZ6" s="492"/>
      <c r="FA6" s="493"/>
      <c r="FC6" s="494"/>
      <c r="FD6" s="495"/>
      <c r="FE6" s="496"/>
      <c r="FF6" s="497"/>
      <c r="FG6" s="685"/>
      <c r="FH6" s="621"/>
      <c r="FI6" s="686"/>
      <c r="FJ6" s="491"/>
      <c r="FK6" s="628"/>
    </row>
    <row r="7" spans="1:167" ht="15" customHeight="1" x14ac:dyDescent="0.25">
      <c r="A7" s="606" t="s">
        <v>0</v>
      </c>
      <c r="B7" s="546">
        <f t="shared" ref="B7:M7" si="0">SUM(B9:B41)</f>
        <v>5137.3589999999995</v>
      </c>
      <c r="C7" s="541">
        <f t="shared" si="0"/>
        <v>5194.6010000000006</v>
      </c>
      <c r="D7" s="541">
        <f t="shared" si="0"/>
        <v>6006</v>
      </c>
      <c r="E7" s="541">
        <f t="shared" si="0"/>
        <v>5719</v>
      </c>
      <c r="F7" s="541">
        <f t="shared" si="0"/>
        <v>5733</v>
      </c>
      <c r="G7" s="541">
        <f t="shared" si="0"/>
        <v>6385</v>
      </c>
      <c r="H7" s="541">
        <f t="shared" si="0"/>
        <v>5033</v>
      </c>
      <c r="I7" s="541">
        <f t="shared" si="0"/>
        <v>3160</v>
      </c>
      <c r="J7" s="541">
        <f t="shared" si="0"/>
        <v>5433</v>
      </c>
      <c r="K7" s="541">
        <f t="shared" si="0"/>
        <v>9198</v>
      </c>
      <c r="L7" s="541">
        <f t="shared" si="0"/>
        <v>8124</v>
      </c>
      <c r="M7" s="541">
        <f t="shared" si="0"/>
        <v>9374</v>
      </c>
      <c r="N7" s="542">
        <f>SUM(B7:M7)</f>
        <v>74496.959999999992</v>
      </c>
      <c r="O7" s="546">
        <f t="shared" ref="O7:Z7" si="1">SUM(O9:O41)</f>
        <v>9032</v>
      </c>
      <c r="P7" s="541">
        <f t="shared" si="1"/>
        <v>8139</v>
      </c>
      <c r="Q7" s="541">
        <f t="shared" si="1"/>
        <v>6508</v>
      </c>
      <c r="R7" s="541">
        <f t="shared" si="1"/>
        <v>6691</v>
      </c>
      <c r="S7" s="541">
        <f t="shared" si="1"/>
        <v>5764</v>
      </c>
      <c r="T7" s="541">
        <f t="shared" si="1"/>
        <v>4259</v>
      </c>
      <c r="U7" s="541">
        <f t="shared" si="1"/>
        <v>5453</v>
      </c>
      <c r="V7" s="541">
        <f t="shared" si="1"/>
        <v>2920</v>
      </c>
      <c r="W7" s="541">
        <f t="shared" si="1"/>
        <v>2572.5079999999998</v>
      </c>
      <c r="X7" s="541">
        <f t="shared" si="1"/>
        <v>4557.6620000000003</v>
      </c>
      <c r="Y7" s="541">
        <f t="shared" si="1"/>
        <v>4604</v>
      </c>
      <c r="Z7" s="541">
        <f t="shared" si="1"/>
        <v>9148</v>
      </c>
      <c r="AA7" s="542">
        <f>SUM(O7:Z7)</f>
        <v>69648.17</v>
      </c>
      <c r="AB7" s="546">
        <f t="shared" ref="AB7:AM7" si="2">SUM(AB9:AB41)</f>
        <v>9545</v>
      </c>
      <c r="AC7" s="541">
        <f t="shared" si="2"/>
        <v>11225</v>
      </c>
      <c r="AD7" s="541">
        <f t="shared" si="2"/>
        <v>9770</v>
      </c>
      <c r="AE7" s="541">
        <f t="shared" si="2"/>
        <v>8427.603000000001</v>
      </c>
      <c r="AF7" s="541">
        <f t="shared" si="2"/>
        <v>9795.6769999999997</v>
      </c>
      <c r="AG7" s="541">
        <f t="shared" si="2"/>
        <v>7619</v>
      </c>
      <c r="AH7" s="541">
        <f t="shared" si="2"/>
        <v>5181</v>
      </c>
      <c r="AI7" s="541">
        <f t="shared" si="2"/>
        <v>9511</v>
      </c>
      <c r="AJ7" s="541">
        <f t="shared" si="2"/>
        <v>14484</v>
      </c>
      <c r="AK7" s="541">
        <f t="shared" si="2"/>
        <v>18501.578999999998</v>
      </c>
      <c r="AL7" s="541">
        <f t="shared" si="2"/>
        <v>17789</v>
      </c>
      <c r="AM7" s="541">
        <f t="shared" si="2"/>
        <v>21814.13</v>
      </c>
      <c r="AN7" s="542">
        <f>SUM(AB7:AM7)</f>
        <v>143662.989</v>
      </c>
      <c r="AO7" s="546">
        <f t="shared" ref="AO7:AZ7" si="3">SUM(AO9:AO41)</f>
        <v>23321.97700000001</v>
      </c>
      <c r="AP7" s="541">
        <f t="shared" si="3"/>
        <v>20658.651000000005</v>
      </c>
      <c r="AQ7" s="541">
        <f t="shared" si="3"/>
        <v>21684.261000000006</v>
      </c>
      <c r="AR7" s="541">
        <f t="shared" si="3"/>
        <v>21851.648999999998</v>
      </c>
      <c r="AS7" s="541">
        <f t="shared" si="3"/>
        <v>16323.463</v>
      </c>
      <c r="AT7" s="541">
        <f t="shared" si="3"/>
        <v>15451.548999999995</v>
      </c>
      <c r="AU7" s="541">
        <f t="shared" si="3"/>
        <v>14566.719000000003</v>
      </c>
      <c r="AV7" s="541">
        <f t="shared" si="3"/>
        <v>20139.458000000002</v>
      </c>
      <c r="AW7" s="541">
        <f t="shared" si="3"/>
        <v>18175.458999999999</v>
      </c>
      <c r="AX7" s="541">
        <f t="shared" si="3"/>
        <v>22299.315000000021</v>
      </c>
      <c r="AY7" s="541">
        <f t="shared" si="3"/>
        <v>22365.948</v>
      </c>
      <c r="AZ7" s="541">
        <f t="shared" si="3"/>
        <v>20743.874</v>
      </c>
      <c r="BA7" s="542">
        <f>SUM(AO7:AZ7)</f>
        <v>237582.32300000009</v>
      </c>
      <c r="BB7" s="546">
        <f t="shared" ref="BB7:BM7" si="4">SUM(BB9:BB41)</f>
        <v>21150.803000000007</v>
      </c>
      <c r="BC7" s="541">
        <f t="shared" si="4"/>
        <v>20454.444000000003</v>
      </c>
      <c r="BD7" s="541">
        <f t="shared" si="4"/>
        <v>21720.255999999994</v>
      </c>
      <c r="BE7" s="541">
        <f t="shared" si="4"/>
        <v>49322.252</v>
      </c>
      <c r="BF7" s="541">
        <f t="shared" si="4"/>
        <v>5478.1149999999998</v>
      </c>
      <c r="BG7" s="541">
        <f t="shared" si="4"/>
        <v>6361.7210000000005</v>
      </c>
      <c r="BH7" s="541">
        <f t="shared" si="4"/>
        <v>4725.1679999999997</v>
      </c>
      <c r="BI7" s="541">
        <f t="shared" si="4"/>
        <v>4263.8379999999997</v>
      </c>
      <c r="BJ7" s="541">
        <f t="shared" si="4"/>
        <v>4225.7309999999998</v>
      </c>
      <c r="BK7" s="541">
        <f t="shared" si="4"/>
        <v>4451.8810000000003</v>
      </c>
      <c r="BL7" s="541">
        <f t="shared" si="4"/>
        <v>3561.991</v>
      </c>
      <c r="BM7" s="541">
        <f t="shared" si="4"/>
        <v>4341.8209999999999</v>
      </c>
      <c r="BN7" s="542">
        <f>SUM(BB7:BM7)</f>
        <v>150058.02100000001</v>
      </c>
      <c r="BO7" s="546">
        <f t="shared" ref="BO7:BZ7" si="5">SUM(BO9:BO41)</f>
        <v>41274.328999999998</v>
      </c>
      <c r="BP7" s="541">
        <f t="shared" si="5"/>
        <v>42593</v>
      </c>
      <c r="BQ7" s="541">
        <f t="shared" si="5"/>
        <v>39613</v>
      </c>
      <c r="BR7" s="541">
        <f t="shared" si="5"/>
        <v>0</v>
      </c>
      <c r="BS7" s="541">
        <f t="shared" si="5"/>
        <v>1741</v>
      </c>
      <c r="BT7" s="541">
        <f t="shared" si="5"/>
        <v>33871</v>
      </c>
      <c r="BU7" s="541">
        <f t="shared" si="5"/>
        <v>25999</v>
      </c>
      <c r="BV7" s="541">
        <f t="shared" si="5"/>
        <v>60938</v>
      </c>
      <c r="BW7" s="541">
        <f t="shared" si="5"/>
        <v>66499.725999999995</v>
      </c>
      <c r="BX7" s="541">
        <f t="shared" si="5"/>
        <v>50900.892000000007</v>
      </c>
      <c r="BY7" s="541">
        <f t="shared" si="5"/>
        <v>42615.855999999985</v>
      </c>
      <c r="BZ7" s="541">
        <f t="shared" si="5"/>
        <v>45685.009000000005</v>
      </c>
      <c r="CA7" s="542">
        <f>SUM(BO7:BZ7)</f>
        <v>451730.81199999998</v>
      </c>
      <c r="CB7" s="546">
        <f t="shared" ref="CB7:CM7" si="6">SUM(CB9:CB41)</f>
        <v>73594.351999999999</v>
      </c>
      <c r="CC7" s="541">
        <f t="shared" si="6"/>
        <v>89043.646999999997</v>
      </c>
      <c r="CD7" s="541">
        <f t="shared" si="6"/>
        <v>44050.831000000006</v>
      </c>
      <c r="CE7" s="541">
        <f t="shared" si="6"/>
        <v>35506.129999999997</v>
      </c>
      <c r="CF7" s="541">
        <f t="shared" si="6"/>
        <v>33670.123000000007</v>
      </c>
      <c r="CG7" s="541">
        <f t="shared" si="6"/>
        <v>32975.864000000001</v>
      </c>
      <c r="CH7" s="541">
        <f t="shared" si="6"/>
        <v>31861.994999999995</v>
      </c>
      <c r="CI7" s="541">
        <f t="shared" si="6"/>
        <v>32885.966</v>
      </c>
      <c r="CJ7" s="541">
        <f t="shared" si="6"/>
        <v>37842.230000000003</v>
      </c>
      <c r="CK7" s="541">
        <f t="shared" si="6"/>
        <v>40426.355000000003</v>
      </c>
      <c r="CL7" s="541">
        <f t="shared" si="6"/>
        <v>35144.044000000002</v>
      </c>
      <c r="CM7" s="541">
        <f t="shared" si="6"/>
        <v>37020.130000000012</v>
      </c>
      <c r="CN7" s="542">
        <f>SUM(CB7:CM7)</f>
        <v>524021.66700000002</v>
      </c>
      <c r="CO7" s="546">
        <f t="shared" ref="CO7:CZ7" si="7">SUM(CO9:CO41)</f>
        <v>34061.967000000004</v>
      </c>
      <c r="CP7" s="541">
        <f t="shared" si="7"/>
        <v>35611.769</v>
      </c>
      <c r="CQ7" s="541">
        <f t="shared" si="7"/>
        <v>40775.631000000001</v>
      </c>
      <c r="CR7" s="541">
        <f t="shared" si="7"/>
        <v>34677.457000000002</v>
      </c>
      <c r="CS7" s="541">
        <f t="shared" si="7"/>
        <v>38055.161</v>
      </c>
      <c r="CT7" s="541">
        <f t="shared" si="7"/>
        <v>33039.330000000009</v>
      </c>
      <c r="CU7" s="541">
        <f t="shared" si="7"/>
        <v>30181.249</v>
      </c>
      <c r="CV7" s="541">
        <f t="shared" si="7"/>
        <v>69418.681000000011</v>
      </c>
      <c r="CW7" s="541">
        <f t="shared" si="7"/>
        <v>38907.553</v>
      </c>
      <c r="CX7" s="541">
        <f t="shared" si="7"/>
        <v>32419.050999999999</v>
      </c>
      <c r="CY7" s="541">
        <f t="shared" si="7"/>
        <v>4679.4090000000006</v>
      </c>
      <c r="CZ7" s="541">
        <f t="shared" si="7"/>
        <v>50838.76200000001</v>
      </c>
      <c r="DA7" s="542">
        <f>SUM(CO7:CZ7)</f>
        <v>442666.01999999996</v>
      </c>
      <c r="DB7" s="546">
        <f t="shared" ref="DB7:DM7" si="8">SUM(DB9:DB41)</f>
        <v>27522.833000000002</v>
      </c>
      <c r="DC7" s="541">
        <f t="shared" si="8"/>
        <v>54498.357999999993</v>
      </c>
      <c r="DD7" s="541">
        <f t="shared" si="8"/>
        <v>65033.716</v>
      </c>
      <c r="DE7" s="541">
        <f t="shared" si="8"/>
        <v>32196.318999999996</v>
      </c>
      <c r="DF7" s="541">
        <f t="shared" si="8"/>
        <v>23844.385000000002</v>
      </c>
      <c r="DG7" s="541">
        <f t="shared" si="8"/>
        <v>17369.582000000002</v>
      </c>
      <c r="DH7" s="541">
        <f t="shared" si="8"/>
        <v>14672.191000000001</v>
      </c>
      <c r="DI7" s="541">
        <f t="shared" si="8"/>
        <v>15358.5628</v>
      </c>
      <c r="DJ7" s="541">
        <f t="shared" si="8"/>
        <v>17052.475000000002</v>
      </c>
      <c r="DK7" s="541">
        <f t="shared" si="8"/>
        <v>24322.853000000003</v>
      </c>
      <c r="DL7" s="541">
        <f t="shared" si="8"/>
        <v>49356.283000000003</v>
      </c>
      <c r="DM7" s="541">
        <f t="shared" si="8"/>
        <v>16626.323000000004</v>
      </c>
      <c r="DN7" s="542">
        <f>SUM(DB7:DM7)</f>
        <v>357853.88079999993</v>
      </c>
      <c r="DO7" s="546">
        <f t="shared" ref="DO7:DZ7" si="9">SUM(DO9:DO41)</f>
        <v>3723.7379999999998</v>
      </c>
      <c r="DP7" s="541">
        <f t="shared" si="9"/>
        <v>2806.1379999999999</v>
      </c>
      <c r="DQ7" s="541">
        <f t="shared" si="9"/>
        <v>37241.855999999992</v>
      </c>
      <c r="DR7" s="541">
        <f t="shared" si="9"/>
        <v>11388.137899999998</v>
      </c>
      <c r="DS7" s="541">
        <f t="shared" si="9"/>
        <v>11377.403799999998</v>
      </c>
      <c r="DT7" s="541">
        <f t="shared" si="9"/>
        <v>8555.1</v>
      </c>
      <c r="DU7" s="541">
        <f t="shared" si="9"/>
        <v>9984</v>
      </c>
      <c r="DV7" s="541">
        <f t="shared" si="9"/>
        <v>17201.775000000001</v>
      </c>
      <c r="DW7" s="541">
        <f t="shared" si="9"/>
        <v>18026.964</v>
      </c>
      <c r="DX7" s="541">
        <f t="shared" si="9"/>
        <v>11427.200000000003</v>
      </c>
      <c r="DY7" s="541">
        <f t="shared" si="9"/>
        <v>10049.723000000002</v>
      </c>
      <c r="DZ7" s="541">
        <f t="shared" si="9"/>
        <v>19022.902400000003</v>
      </c>
      <c r="EA7" s="542">
        <f>SUM(DO7:DZ7)</f>
        <v>160804.9381</v>
      </c>
      <c r="EB7" s="546">
        <f t="shared" ref="EB7:EM7" si="10">SUM(EB9:EB41)</f>
        <v>23705.628888410411</v>
      </c>
      <c r="EC7" s="541">
        <f t="shared" si="10"/>
        <v>20854.772927765542</v>
      </c>
      <c r="ED7" s="541">
        <f t="shared" si="10"/>
        <v>19291.492082705292</v>
      </c>
      <c r="EE7" s="541">
        <f t="shared" si="10"/>
        <v>21929.546075064278</v>
      </c>
      <c r="EF7" s="541">
        <f t="shared" si="10"/>
        <v>19938.892194151023</v>
      </c>
      <c r="EG7" s="541">
        <f t="shared" si="10"/>
        <v>14122.933854479317</v>
      </c>
      <c r="EH7" s="541">
        <f t="shared" si="10"/>
        <v>13936.545849178294</v>
      </c>
      <c r="EI7" s="541">
        <f t="shared" si="10"/>
        <v>15062.613459060862</v>
      </c>
      <c r="EJ7" s="541">
        <f t="shared" si="10"/>
        <v>18016.012334597432</v>
      </c>
      <c r="EK7" s="541">
        <f t="shared" si="10"/>
        <v>19041.142835785064</v>
      </c>
      <c r="EL7" s="541">
        <f t="shared" si="10"/>
        <v>17099.673137118069</v>
      </c>
      <c r="EM7" s="541">
        <f t="shared" si="10"/>
        <v>22012.138188690187</v>
      </c>
      <c r="EN7" s="542">
        <f>SUM(EB7:EM7)</f>
        <v>225011.39182700578</v>
      </c>
      <c r="EO7" s="541">
        <f t="shared" ref="EO7:EZ7" si="11">SUM(EO9:EO41)</f>
        <v>0</v>
      </c>
      <c r="EP7" s="541">
        <f t="shared" si="11"/>
        <v>0</v>
      </c>
      <c r="EQ7" s="541">
        <f t="shared" si="11"/>
        <v>0</v>
      </c>
      <c r="ER7" s="541">
        <f t="shared" si="11"/>
        <v>0</v>
      </c>
      <c r="ES7" s="541">
        <f t="shared" si="11"/>
        <v>0</v>
      </c>
      <c r="ET7" s="541">
        <f t="shared" si="11"/>
        <v>0</v>
      </c>
      <c r="EU7" s="541">
        <f t="shared" si="11"/>
        <v>0</v>
      </c>
      <c r="EV7" s="541">
        <f t="shared" si="11"/>
        <v>0</v>
      </c>
      <c r="EW7" s="541">
        <f t="shared" si="11"/>
        <v>0</v>
      </c>
      <c r="EX7" s="541">
        <f t="shared" si="11"/>
        <v>0</v>
      </c>
      <c r="EY7" s="541">
        <f t="shared" si="11"/>
        <v>0</v>
      </c>
      <c r="EZ7" s="541">
        <f t="shared" si="11"/>
        <v>0</v>
      </c>
      <c r="FA7" s="542">
        <f>SUM(EO7:EZ7)</f>
        <v>0</v>
      </c>
      <c r="FC7" s="544">
        <f>IFERROR(((
_xlfn.XLOOKUP((DATE(YEAR($FC$5),MONTH($FC$5),1)),UCA.ASERRADA.DATE,$B7:$FA7) /
_xlfn.XLOOKUP((DATE(YEAR($FC$5)-1,MONTH($FC$5),1)),UCA.ASERRADA.DATE,$B7:$FA7)
)-1)*100,"")</f>
        <v>15.713878596623543</v>
      </c>
      <c r="FD7" s="545">
        <f>IFERROR(((FF7/FE7)-1)*100,"")</f>
        <v>39.928160469224892</v>
      </c>
      <c r="FE7" s="546">
        <f>SUMIFS($B7:$FA7,UCA.ASERRADA.DATE,"&gt;="&amp;DATE(YEAR($FC$5)-1,1,1),UCA.ASERRADA.DATE,"&lt;="&amp;DATE(YEAR($FC$5)-1,MONTH($FC$5),1))</f>
        <v>160804.9381</v>
      </c>
      <c r="FF7" s="547">
        <f>SUMIFS($B7:$FA7,UCA.ASERRADA.DATE,"&gt;="&amp;DATE(YEAR($FC$5),1,1),UCA.ASERRADA.DATE,"&lt;="&amp;$FC$5)</f>
        <v>225011.39182700578</v>
      </c>
      <c r="FG7" s="113"/>
      <c r="FH7" s="687"/>
      <c r="FI7" s="688"/>
      <c r="FJ7" s="689"/>
      <c r="FK7" s="628"/>
    </row>
    <row r="8" spans="1:167" ht="15" customHeight="1" x14ac:dyDescent="0.25">
      <c r="A8" s="594"/>
      <c r="B8" s="498"/>
      <c r="C8" s="633"/>
      <c r="D8" s="633"/>
      <c r="E8" s="633"/>
      <c r="F8" s="633"/>
      <c r="G8" s="633"/>
      <c r="H8" s="633"/>
      <c r="I8" s="633"/>
      <c r="J8" s="633"/>
      <c r="K8" s="633"/>
      <c r="L8" s="633"/>
      <c r="M8" s="633"/>
      <c r="N8" s="493"/>
      <c r="O8" s="498"/>
      <c r="P8" s="633"/>
      <c r="Q8" s="633"/>
      <c r="R8" s="633"/>
      <c r="S8" s="633"/>
      <c r="T8" s="633"/>
      <c r="U8" s="633"/>
      <c r="V8" s="633"/>
      <c r="W8" s="633"/>
      <c r="X8" s="633"/>
      <c r="Y8" s="633"/>
      <c r="Z8" s="633"/>
      <c r="AA8" s="493"/>
      <c r="AB8" s="498"/>
      <c r="AC8" s="633"/>
      <c r="AD8" s="633"/>
      <c r="AE8" s="633"/>
      <c r="AF8" s="633"/>
      <c r="AG8" s="633"/>
      <c r="AH8" s="633"/>
      <c r="AI8" s="633"/>
      <c r="AJ8" s="633"/>
      <c r="AK8" s="633"/>
      <c r="AL8" s="633"/>
      <c r="AM8" s="633"/>
      <c r="AN8" s="493"/>
      <c r="AO8" s="498"/>
      <c r="AP8" s="633"/>
      <c r="AQ8" s="633"/>
      <c r="AR8" s="633"/>
      <c r="AS8" s="633"/>
      <c r="AT8" s="633"/>
      <c r="AU8" s="633"/>
      <c r="AV8" s="633"/>
      <c r="AW8" s="633"/>
      <c r="AX8" s="633"/>
      <c r="AY8" s="633"/>
      <c r="AZ8" s="633"/>
      <c r="BA8" s="493"/>
      <c r="BB8" s="498"/>
      <c r="BC8" s="633"/>
      <c r="BD8" s="633"/>
      <c r="BE8" s="633"/>
      <c r="BF8" s="633"/>
      <c r="BG8" s="633"/>
      <c r="BH8" s="633"/>
      <c r="BI8" s="633"/>
      <c r="BJ8" s="633"/>
      <c r="BK8" s="633"/>
      <c r="BL8" s="633"/>
      <c r="BM8" s="633"/>
      <c r="BN8" s="493"/>
      <c r="BO8" s="498"/>
      <c r="BP8" s="633"/>
      <c r="BQ8" s="633"/>
      <c r="BR8" s="633"/>
      <c r="BS8" s="633"/>
      <c r="BT8" s="633"/>
      <c r="BU8" s="633"/>
      <c r="BV8" s="633"/>
      <c r="BW8" s="633"/>
      <c r="BX8" s="633"/>
      <c r="BY8" s="633"/>
      <c r="BZ8" s="633"/>
      <c r="CA8" s="493"/>
      <c r="CB8" s="498"/>
      <c r="CC8" s="633"/>
      <c r="CD8" s="633"/>
      <c r="CE8" s="633"/>
      <c r="CF8" s="633"/>
      <c r="CG8" s="633"/>
      <c r="CH8" s="633"/>
      <c r="CI8" s="633"/>
      <c r="CJ8" s="633"/>
      <c r="CK8" s="633"/>
      <c r="CL8" s="633"/>
      <c r="CM8" s="633"/>
      <c r="CN8" s="493"/>
      <c r="CO8" s="498"/>
      <c r="CP8" s="633"/>
      <c r="CQ8" s="633"/>
      <c r="CR8" s="633"/>
      <c r="CS8" s="633"/>
      <c r="CT8" s="633"/>
      <c r="CU8" s="633"/>
      <c r="CV8" s="633"/>
      <c r="CW8" s="633"/>
      <c r="CX8" s="633"/>
      <c r="CY8" s="633"/>
      <c r="CZ8" s="633"/>
      <c r="DA8" s="493"/>
      <c r="DB8" s="498"/>
      <c r="DC8" s="633"/>
      <c r="DD8" s="633"/>
      <c r="DE8" s="633"/>
      <c r="DF8" s="633"/>
      <c r="DG8" s="633"/>
      <c r="DH8" s="633"/>
      <c r="DI8" s="633"/>
      <c r="DJ8" s="633"/>
      <c r="DK8" s="633"/>
      <c r="DL8" s="633"/>
      <c r="DM8" s="633"/>
      <c r="DN8" s="493"/>
      <c r="DO8" s="498"/>
      <c r="DP8" s="633"/>
      <c r="DQ8" s="633"/>
      <c r="DR8" s="633"/>
      <c r="DS8" s="633"/>
      <c r="DT8" s="633"/>
      <c r="DU8" s="633"/>
      <c r="DV8" s="633"/>
      <c r="DW8" s="633"/>
      <c r="DX8" s="633"/>
      <c r="DY8" s="633"/>
      <c r="DZ8" s="633"/>
      <c r="EA8" s="493"/>
      <c r="EB8" s="498"/>
      <c r="EC8" s="633"/>
      <c r="ED8" s="633"/>
      <c r="EE8" s="633"/>
      <c r="EF8" s="633"/>
      <c r="EG8" s="633"/>
      <c r="EH8" s="633"/>
      <c r="EI8" s="633"/>
      <c r="EJ8" s="633"/>
      <c r="EK8" s="633"/>
      <c r="EL8" s="633"/>
      <c r="EM8" s="633"/>
      <c r="EN8" s="493"/>
      <c r="EO8" s="633"/>
      <c r="EP8" s="633"/>
      <c r="EQ8" s="633"/>
      <c r="ER8" s="633"/>
      <c r="ES8" s="633"/>
      <c r="ET8" s="633"/>
      <c r="EU8" s="633"/>
      <c r="EV8" s="633"/>
      <c r="EW8" s="633"/>
      <c r="EX8" s="633"/>
      <c r="EY8" s="633"/>
      <c r="EZ8" s="633"/>
      <c r="FA8" s="493"/>
      <c r="FC8" s="549"/>
      <c r="FD8" s="550"/>
      <c r="FE8" s="551"/>
      <c r="FF8" s="552"/>
      <c r="FG8" s="113"/>
      <c r="FH8" s="687"/>
      <c r="FI8" s="688"/>
      <c r="FJ8" s="491"/>
      <c r="FK8" s="628"/>
    </row>
    <row r="9" spans="1:167" ht="15" customHeight="1" x14ac:dyDescent="0.25">
      <c r="A9" s="610" t="s">
        <v>101</v>
      </c>
      <c r="B9" s="656"/>
      <c r="C9" s="492">
        <v>7.9260000000000002</v>
      </c>
      <c r="D9" s="492">
        <v>25</v>
      </c>
      <c r="E9" s="492">
        <v>3</v>
      </c>
      <c r="F9" s="492"/>
      <c r="G9" s="492">
        <v>12</v>
      </c>
      <c r="H9" s="492"/>
      <c r="I9" s="492">
        <v>17</v>
      </c>
      <c r="J9" s="492">
        <v>47</v>
      </c>
      <c r="K9" s="492">
        <v>9</v>
      </c>
      <c r="L9" s="492">
        <v>41</v>
      </c>
      <c r="M9" s="492">
        <v>33</v>
      </c>
      <c r="N9" s="493">
        <f t="shared" ref="N9:N41" si="12">SUM(B9:M9)</f>
        <v>194.92599999999999</v>
      </c>
      <c r="O9" s="656">
        <v>15</v>
      </c>
      <c r="P9" s="492">
        <v>14</v>
      </c>
      <c r="Q9" s="492">
        <v>7</v>
      </c>
      <c r="R9" s="492"/>
      <c r="S9" s="492"/>
      <c r="T9" s="492"/>
      <c r="U9" s="492"/>
      <c r="V9" s="492"/>
      <c r="W9" s="492">
        <v>1</v>
      </c>
      <c r="X9" s="492"/>
      <c r="Y9" s="492"/>
      <c r="Z9" s="492"/>
      <c r="AA9" s="493">
        <f t="shared" ref="AA9:AA41" si="13">SUM(O9:Z9)</f>
        <v>37</v>
      </c>
      <c r="AB9" s="656"/>
      <c r="AC9" s="492"/>
      <c r="AD9" s="492">
        <v>45</v>
      </c>
      <c r="AE9" s="492">
        <v>67.926000000000002</v>
      </c>
      <c r="AF9" s="492">
        <v>31.113</v>
      </c>
      <c r="AG9" s="492">
        <v>51</v>
      </c>
      <c r="AH9" s="492"/>
      <c r="AI9" s="492"/>
      <c r="AJ9" s="492">
        <v>3</v>
      </c>
      <c r="AK9" s="492"/>
      <c r="AL9" s="492"/>
      <c r="AM9" s="492">
        <v>7</v>
      </c>
      <c r="AN9" s="493">
        <f t="shared" ref="AN9:AN41" si="14">SUM(AB9:AM9)</f>
        <v>205.03899999999999</v>
      </c>
      <c r="AO9" s="656"/>
      <c r="AP9" s="492"/>
      <c r="AQ9" s="492">
        <v>3.1579999999999999</v>
      </c>
      <c r="AR9" s="492">
        <v>0.63800000000000001</v>
      </c>
      <c r="AS9" s="492"/>
      <c r="AT9" s="492"/>
      <c r="AU9" s="492">
        <v>2.5739999999999998</v>
      </c>
      <c r="AV9" s="492">
        <v>122.074</v>
      </c>
      <c r="AW9" s="492">
        <v>129.33199999999999</v>
      </c>
      <c r="AX9" s="492">
        <v>99.531999999999996</v>
      </c>
      <c r="AY9" s="492">
        <v>16.366</v>
      </c>
      <c r="AZ9" s="492">
        <v>29.678000000000001</v>
      </c>
      <c r="BA9" s="493">
        <f t="shared" ref="BA9:BA41" si="15">SUM(AO9:AZ9)</f>
        <v>403.35199999999992</v>
      </c>
      <c r="BB9" s="656">
        <v>3.8080000000000003</v>
      </c>
      <c r="BC9" s="492">
        <v>109.84099999999999</v>
      </c>
      <c r="BD9" s="492">
        <v>52.423000000000002</v>
      </c>
      <c r="BE9" s="492">
        <v>5.2960000000000003</v>
      </c>
      <c r="BF9" s="492"/>
      <c r="BG9" s="492"/>
      <c r="BH9" s="492"/>
      <c r="BI9" s="492"/>
      <c r="BJ9" s="492"/>
      <c r="BK9" s="492"/>
      <c r="BL9" s="492"/>
      <c r="BM9" s="492"/>
      <c r="BN9" s="493">
        <f t="shared" ref="BN9:BN41" si="16">SUM(BB9:BM9)</f>
        <v>171.36799999999999</v>
      </c>
      <c r="BO9" s="656">
        <v>19.329000000000001</v>
      </c>
      <c r="BP9" s="492">
        <v>30</v>
      </c>
      <c r="BQ9" s="492">
        <v>44</v>
      </c>
      <c r="BR9" s="492"/>
      <c r="BS9" s="492"/>
      <c r="BT9" s="492">
        <v>14</v>
      </c>
      <c r="BU9" s="492">
        <v>21</v>
      </c>
      <c r="BV9" s="492">
        <v>4</v>
      </c>
      <c r="BW9" s="492">
        <v>19.725999999999999</v>
      </c>
      <c r="BX9" s="492">
        <v>38.661999999999999</v>
      </c>
      <c r="BY9" s="492">
        <v>20.786000000000001</v>
      </c>
      <c r="BZ9" s="492">
        <v>48.438000000000002</v>
      </c>
      <c r="CA9" s="493">
        <f t="shared" ref="CA9:CA41" si="17">SUM(BO9:BZ9)</f>
        <v>259.94100000000003</v>
      </c>
      <c r="CB9" s="656">
        <v>236.614</v>
      </c>
      <c r="CC9" s="492">
        <v>31.082999999999998</v>
      </c>
      <c r="CD9" s="492"/>
      <c r="CE9" s="492">
        <v>6.85</v>
      </c>
      <c r="CF9" s="492">
        <v>9.4730000000000008</v>
      </c>
      <c r="CG9" s="492">
        <v>19.654</v>
      </c>
      <c r="CH9" s="492">
        <v>21.451000000000001</v>
      </c>
      <c r="CI9" s="492">
        <v>53.918999999999997</v>
      </c>
      <c r="CJ9" s="492">
        <v>53.21</v>
      </c>
      <c r="CK9" s="492">
        <v>16.89</v>
      </c>
      <c r="CL9" s="492">
        <v>1.1890000000000001</v>
      </c>
      <c r="CM9" s="492">
        <v>11.396000000000001</v>
      </c>
      <c r="CN9" s="493">
        <f t="shared" ref="CN9:CN41" si="18">SUM(CB9:CM9)</f>
        <v>461.72900000000004</v>
      </c>
      <c r="CO9" s="656"/>
      <c r="CP9" s="492">
        <v>4.1050000000000004</v>
      </c>
      <c r="CQ9" s="492">
        <v>17.972000000000001</v>
      </c>
      <c r="CR9" s="492">
        <v>9.4179999999999993</v>
      </c>
      <c r="CS9" s="492">
        <v>13.44</v>
      </c>
      <c r="CT9" s="492">
        <v>38.853999999999999</v>
      </c>
      <c r="CU9" s="492">
        <v>13.824</v>
      </c>
      <c r="CV9" s="492">
        <v>49.542999999999999</v>
      </c>
      <c r="CW9" s="492">
        <v>31.733000000000001</v>
      </c>
      <c r="CX9" s="492"/>
      <c r="CY9" s="492">
        <v>30.358000000000001</v>
      </c>
      <c r="CZ9" s="492">
        <v>29.742000000000001</v>
      </c>
      <c r="DA9" s="493">
        <f t="shared" ref="DA9:DA41" si="19">SUM(CO9:CZ9)</f>
        <v>238.989</v>
      </c>
      <c r="DB9" s="656">
        <v>56.633000000000003</v>
      </c>
      <c r="DC9" s="492">
        <v>30.294</v>
      </c>
      <c r="DD9" s="492">
        <v>27.094999999999999</v>
      </c>
      <c r="DE9" s="492">
        <v>36.877000000000002</v>
      </c>
      <c r="DF9" s="492">
        <v>48.304000000000002</v>
      </c>
      <c r="DG9" s="492">
        <v>11.583</v>
      </c>
      <c r="DH9" s="492">
        <v>21.640999999999998</v>
      </c>
      <c r="DI9" s="492">
        <v>22.716000000000001</v>
      </c>
      <c r="DJ9" s="492">
        <v>0.745</v>
      </c>
      <c r="DK9" s="492">
        <v>14.561</v>
      </c>
      <c r="DL9" s="492">
        <v>3.4809999999999999</v>
      </c>
      <c r="DM9" s="492">
        <v>1.246</v>
      </c>
      <c r="DN9" s="493">
        <f t="shared" ref="DN9:DN41" si="20">SUM(DB9:DM9)</f>
        <v>275.17599999999999</v>
      </c>
      <c r="DO9" s="656"/>
      <c r="DP9" s="492"/>
      <c r="DQ9" s="492">
        <v>42.575000000000003</v>
      </c>
      <c r="DR9" s="492">
        <v>4.6859999999999999</v>
      </c>
      <c r="DS9" s="492">
        <v>6.4530000000000003</v>
      </c>
      <c r="DT9" s="492">
        <v>3.8</v>
      </c>
      <c r="DU9" s="492">
        <v>0.5</v>
      </c>
      <c r="DV9" s="492">
        <v>8.9120000000000008</v>
      </c>
      <c r="DW9" s="492">
        <v>10.08</v>
      </c>
      <c r="DX9" s="492">
        <v>31.015000000000001</v>
      </c>
      <c r="DY9" s="492">
        <v>46.716999999999999</v>
      </c>
      <c r="DZ9" s="492">
        <v>8.9830000000000005</v>
      </c>
      <c r="EA9" s="493">
        <f t="shared" ref="EA9:EA41" si="21">SUM(DO9:DZ9)</f>
        <v>163.721</v>
      </c>
      <c r="EB9" s="656">
        <v>45.34</v>
      </c>
      <c r="EC9" s="492">
        <v>19.7</v>
      </c>
      <c r="ED9" s="492">
        <v>4.3470000000000004</v>
      </c>
      <c r="EE9" s="492">
        <v>6.32</v>
      </c>
      <c r="EF9" s="492">
        <v>81.489999999999995</v>
      </c>
      <c r="EG9" s="492">
        <v>2.71</v>
      </c>
      <c r="EH9" s="492">
        <v>35.866999999999997</v>
      </c>
      <c r="EI9" s="492">
        <v>6.2110000000000003</v>
      </c>
      <c r="EJ9" s="492">
        <v>31.375844334867928</v>
      </c>
      <c r="EK9" s="492">
        <v>2.719410377358491</v>
      </c>
      <c r="EL9" s="492">
        <v>28</v>
      </c>
      <c r="EM9" s="492">
        <v>55</v>
      </c>
      <c r="EN9" s="493">
        <f t="shared" ref="EN9:EN41" si="22">SUM(EB9:EM9)</f>
        <v>319.08025471222641</v>
      </c>
      <c r="EO9" s="492"/>
      <c r="EP9" s="492"/>
      <c r="EQ9" s="492"/>
      <c r="ER9" s="492"/>
      <c r="ES9" s="492"/>
      <c r="ET9" s="492"/>
      <c r="EU9" s="492"/>
      <c r="EV9" s="492"/>
      <c r="EW9" s="492"/>
      <c r="EX9" s="492"/>
      <c r="EY9" s="492"/>
      <c r="EZ9" s="492"/>
      <c r="FA9" s="493">
        <f t="shared" ref="FA9:FA41" si="23">SUM(EO9:EZ9)</f>
        <v>0</v>
      </c>
      <c r="FC9" s="560">
        <f t="shared" ref="FC9:FC41" si="24">IFERROR(((
_xlfn.XLOOKUP((DATE(YEAR($FC$5),MONTH($FC$5),1)),UCA.ASERRADA.DATE,$B9:$FA9) /
_xlfn.XLOOKUP((DATE(YEAR($FC$5)-1,MONTH($FC$5),1)),UCA.ASERRADA.DATE,$B9:$FA9)
)-1)*100,"")</f>
        <v>512.26761660915065</v>
      </c>
      <c r="FD9" s="561">
        <f t="shared" ref="FD9:FD40" si="25">IFERROR(((FF9/FE9)-1)*100,"")</f>
        <v>94.892686162573156</v>
      </c>
      <c r="FE9" s="562">
        <f t="shared" ref="FE9:FE41" si="26">SUMIFS($B9:$FA9,UCA.ASERRADA.DATE,"&gt;="&amp;DATE(YEAR($FC$5)-1,1,1),UCA.ASERRADA.DATE,"&lt;="&amp;DATE(YEAR($FC$5)-1,MONTH($FC$5),1))</f>
        <v>163.721</v>
      </c>
      <c r="FF9" s="665">
        <f t="shared" ref="FF9:FF41" si="27">SUMIFS($B9:$FA9,UCA.ASERRADA.DATE,"&gt;="&amp;DATE(YEAR($FC$5),1,1),UCA.ASERRADA.DATE,"&lt;="&amp;$FC$5)</f>
        <v>319.08025471222641</v>
      </c>
      <c r="FG9" s="624"/>
      <c r="FH9" s="690"/>
      <c r="FI9" s="551">
        <f t="shared" ref="FI9:FI40" si="28">SUM(B9:FA9)</f>
        <v>5460.6425094244523</v>
      </c>
      <c r="FJ9" s="491" t="s">
        <v>101</v>
      </c>
      <c r="FK9" s="554" t="str">
        <f t="shared" ref="FK9:FK40" si="29">IF(EXACT(A9,FJ9)=TRUE,"OK","VER")</f>
        <v>OK</v>
      </c>
    </row>
    <row r="10" spans="1:167" ht="15" customHeight="1" x14ac:dyDescent="0.25">
      <c r="A10" s="610" t="s">
        <v>648</v>
      </c>
      <c r="B10" s="656"/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93">
        <f t="shared" si="12"/>
        <v>0</v>
      </c>
      <c r="O10" s="656"/>
      <c r="P10" s="492"/>
      <c r="Q10" s="492"/>
      <c r="R10" s="492"/>
      <c r="S10" s="492"/>
      <c r="T10" s="492"/>
      <c r="U10" s="492"/>
      <c r="V10" s="492"/>
      <c r="W10" s="492"/>
      <c r="X10" s="492"/>
      <c r="Y10" s="492"/>
      <c r="Z10" s="492"/>
      <c r="AA10" s="493">
        <f t="shared" si="13"/>
        <v>0</v>
      </c>
      <c r="AB10" s="656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/>
      <c r="AN10" s="493">
        <f t="shared" si="14"/>
        <v>0</v>
      </c>
      <c r="AO10" s="656"/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/>
      <c r="BA10" s="493">
        <f t="shared" si="15"/>
        <v>0</v>
      </c>
      <c r="BB10" s="656"/>
      <c r="BC10" s="492"/>
      <c r="BD10" s="492"/>
      <c r="BE10" s="492"/>
      <c r="BF10" s="492"/>
      <c r="BG10" s="492"/>
      <c r="BH10" s="492"/>
      <c r="BI10" s="492"/>
      <c r="BJ10" s="492"/>
      <c r="BK10" s="492"/>
      <c r="BL10" s="492"/>
      <c r="BM10" s="492"/>
      <c r="BN10" s="493">
        <f t="shared" si="16"/>
        <v>0</v>
      </c>
      <c r="BO10" s="656"/>
      <c r="BP10" s="492"/>
      <c r="BQ10" s="492"/>
      <c r="BR10" s="492"/>
      <c r="BS10" s="492"/>
      <c r="BT10" s="492"/>
      <c r="BU10" s="492"/>
      <c r="BV10" s="492"/>
      <c r="BW10" s="492"/>
      <c r="BX10" s="492"/>
      <c r="BY10" s="492"/>
      <c r="BZ10" s="492"/>
      <c r="CA10" s="493">
        <f t="shared" si="17"/>
        <v>0</v>
      </c>
      <c r="CB10" s="656"/>
      <c r="CC10" s="492"/>
      <c r="CD10" s="492"/>
      <c r="CE10" s="492"/>
      <c r="CF10" s="492"/>
      <c r="CG10" s="492"/>
      <c r="CH10" s="492"/>
      <c r="CI10" s="492"/>
      <c r="CJ10" s="492"/>
      <c r="CK10" s="492"/>
      <c r="CL10" s="492"/>
      <c r="CM10" s="492"/>
      <c r="CN10" s="493">
        <f t="shared" si="18"/>
        <v>0</v>
      </c>
      <c r="CO10" s="656"/>
      <c r="CP10" s="492"/>
      <c r="CQ10" s="492"/>
      <c r="CR10" s="492"/>
      <c r="CS10" s="492"/>
      <c r="CT10" s="492"/>
      <c r="CU10" s="492"/>
      <c r="CV10" s="492"/>
      <c r="CW10" s="492"/>
      <c r="CX10" s="492"/>
      <c r="CY10" s="492"/>
      <c r="CZ10" s="492"/>
      <c r="DA10" s="493">
        <f t="shared" si="19"/>
        <v>0</v>
      </c>
      <c r="DB10" s="656"/>
      <c r="DC10" s="492"/>
      <c r="DD10" s="492"/>
      <c r="DE10" s="492"/>
      <c r="DF10" s="492"/>
      <c r="DG10" s="492"/>
      <c r="DH10" s="492"/>
      <c r="DI10" s="492"/>
      <c r="DJ10" s="492"/>
      <c r="DK10" s="492"/>
      <c r="DL10" s="492"/>
      <c r="DM10" s="492"/>
      <c r="DN10" s="493">
        <f t="shared" si="20"/>
        <v>0</v>
      </c>
      <c r="DO10" s="656"/>
      <c r="DP10" s="492"/>
      <c r="DQ10" s="492"/>
      <c r="DR10" s="492"/>
      <c r="DS10" s="492"/>
      <c r="DT10" s="492"/>
      <c r="DU10" s="492"/>
      <c r="DV10" s="492"/>
      <c r="DW10" s="492"/>
      <c r="DX10" s="492"/>
      <c r="DY10" s="492"/>
      <c r="DZ10" s="492"/>
      <c r="EA10" s="493">
        <f t="shared" si="21"/>
        <v>0</v>
      </c>
      <c r="EB10" s="656"/>
      <c r="EC10" s="492"/>
      <c r="ED10" s="492"/>
      <c r="EE10" s="492"/>
      <c r="EF10" s="492"/>
      <c r="EG10" s="492"/>
      <c r="EH10" s="492"/>
      <c r="EI10" s="492"/>
      <c r="EJ10" s="492"/>
      <c r="EK10" s="492"/>
      <c r="EL10" s="492"/>
      <c r="EM10" s="492"/>
      <c r="EN10" s="493">
        <f t="shared" si="22"/>
        <v>0</v>
      </c>
      <c r="EO10" s="492"/>
      <c r="EP10" s="492"/>
      <c r="EQ10" s="492"/>
      <c r="ER10" s="492"/>
      <c r="ES10" s="492"/>
      <c r="ET10" s="492"/>
      <c r="EU10" s="492"/>
      <c r="EV10" s="492"/>
      <c r="EW10" s="492"/>
      <c r="EX10" s="492"/>
      <c r="EY10" s="492"/>
      <c r="EZ10" s="492"/>
      <c r="FA10" s="493">
        <f t="shared" si="23"/>
        <v>0</v>
      </c>
      <c r="FC10" s="595" t="str">
        <f t="shared" si="24"/>
        <v/>
      </c>
      <c r="FD10" s="596" t="str">
        <f t="shared" si="25"/>
        <v/>
      </c>
      <c r="FE10" s="498">
        <f t="shared" si="26"/>
        <v>0</v>
      </c>
      <c r="FF10" s="597">
        <f t="shared" si="27"/>
        <v>0</v>
      </c>
      <c r="FG10" s="624"/>
      <c r="FH10" s="690"/>
      <c r="FI10" s="551">
        <f t="shared" si="28"/>
        <v>0</v>
      </c>
      <c r="FJ10" s="491" t="s">
        <v>648</v>
      </c>
      <c r="FK10" s="554" t="str">
        <f t="shared" si="29"/>
        <v>OK</v>
      </c>
    </row>
    <row r="11" spans="1:167" ht="15" customHeight="1" x14ac:dyDescent="0.25">
      <c r="A11" s="610" t="s">
        <v>147</v>
      </c>
      <c r="B11" s="656">
        <v>1169.9959999999999</v>
      </c>
      <c r="C11" s="492">
        <v>738.3950000000001</v>
      </c>
      <c r="D11" s="492">
        <v>1082</v>
      </c>
      <c r="E11" s="492">
        <v>530</v>
      </c>
      <c r="F11" s="492">
        <v>565</v>
      </c>
      <c r="G11" s="492">
        <v>382</v>
      </c>
      <c r="H11" s="492">
        <v>386</v>
      </c>
      <c r="I11" s="492">
        <v>575</v>
      </c>
      <c r="J11" s="492">
        <v>1590</v>
      </c>
      <c r="K11" s="492">
        <v>2885</v>
      </c>
      <c r="L11" s="492">
        <v>3081</v>
      </c>
      <c r="M11" s="492">
        <v>2535</v>
      </c>
      <c r="N11" s="493">
        <f t="shared" si="12"/>
        <v>15519.391</v>
      </c>
      <c r="O11" s="656">
        <v>2395</v>
      </c>
      <c r="P11" s="492">
        <v>2808</v>
      </c>
      <c r="Q11" s="492">
        <v>1822</v>
      </c>
      <c r="R11" s="492">
        <v>1592</v>
      </c>
      <c r="S11" s="492">
        <v>1300</v>
      </c>
      <c r="T11" s="492">
        <v>1595</v>
      </c>
      <c r="U11" s="492">
        <v>1506</v>
      </c>
      <c r="V11" s="492">
        <v>407</v>
      </c>
      <c r="W11" s="492">
        <v>946</v>
      </c>
      <c r="X11" s="492">
        <v>1665</v>
      </c>
      <c r="Y11" s="492">
        <v>1650</v>
      </c>
      <c r="Z11" s="492">
        <v>3384</v>
      </c>
      <c r="AA11" s="493">
        <f t="shared" si="13"/>
        <v>21070</v>
      </c>
      <c r="AB11" s="656">
        <v>3044</v>
      </c>
      <c r="AC11" s="492">
        <v>3349</v>
      </c>
      <c r="AD11" s="492">
        <v>2880</v>
      </c>
      <c r="AE11" s="492">
        <v>2040.404</v>
      </c>
      <c r="AF11" s="492">
        <v>1383.6210000000001</v>
      </c>
      <c r="AG11" s="492">
        <v>885</v>
      </c>
      <c r="AH11" s="492">
        <v>944</v>
      </c>
      <c r="AI11" s="492">
        <v>3677</v>
      </c>
      <c r="AJ11" s="492">
        <v>6140</v>
      </c>
      <c r="AK11" s="492">
        <v>7519</v>
      </c>
      <c r="AL11" s="492">
        <v>5971</v>
      </c>
      <c r="AM11" s="492">
        <v>5943</v>
      </c>
      <c r="AN11" s="493">
        <f t="shared" si="14"/>
        <v>43776.025000000001</v>
      </c>
      <c r="AO11" s="656">
        <v>6016</v>
      </c>
      <c r="AP11" s="492">
        <v>4214</v>
      </c>
      <c r="AQ11" s="492">
        <v>3064</v>
      </c>
      <c r="AR11" s="492">
        <v>3005.16</v>
      </c>
      <c r="AS11" s="492">
        <v>3002.5010000000002</v>
      </c>
      <c r="AT11" s="492">
        <v>3017.3710000000001</v>
      </c>
      <c r="AU11" s="492">
        <v>3639.0259999999998</v>
      </c>
      <c r="AV11" s="492">
        <v>5408</v>
      </c>
      <c r="AW11" s="492">
        <v>4376</v>
      </c>
      <c r="AX11" s="492">
        <v>6943</v>
      </c>
      <c r="AY11" s="492">
        <v>6136.4650000000001</v>
      </c>
      <c r="AZ11" s="492">
        <v>5174.6180000000004</v>
      </c>
      <c r="BA11" s="493">
        <f t="shared" si="15"/>
        <v>53996.141000000003</v>
      </c>
      <c r="BB11" s="656">
        <v>4733</v>
      </c>
      <c r="BC11" s="492">
        <v>4656</v>
      </c>
      <c r="BD11" s="492">
        <v>4747</v>
      </c>
      <c r="BE11" s="492">
        <v>3541.2739999999999</v>
      </c>
      <c r="BF11" s="492"/>
      <c r="BG11" s="492">
        <v>62.462000000000003</v>
      </c>
      <c r="BH11" s="492">
        <v>31.68</v>
      </c>
      <c r="BI11" s="492"/>
      <c r="BJ11" s="492">
        <v>121.661</v>
      </c>
      <c r="BK11" s="492">
        <v>45.947000000000003</v>
      </c>
      <c r="BL11" s="492">
        <v>47.027000000000001</v>
      </c>
      <c r="BM11" s="492"/>
      <c r="BN11" s="493">
        <f t="shared" si="16"/>
        <v>17986.050999999999</v>
      </c>
      <c r="BO11" s="656">
        <v>7323</v>
      </c>
      <c r="BP11" s="492">
        <v>4540</v>
      </c>
      <c r="BQ11" s="492">
        <v>2717</v>
      </c>
      <c r="BR11" s="492"/>
      <c r="BS11" s="492">
        <v>68</v>
      </c>
      <c r="BT11" s="492">
        <v>4456</v>
      </c>
      <c r="BU11" s="492">
        <v>5544</v>
      </c>
      <c r="BV11" s="492">
        <v>3232</v>
      </c>
      <c r="BW11" s="492">
        <v>4594</v>
      </c>
      <c r="BX11" s="492">
        <v>6158.5469999999996</v>
      </c>
      <c r="BY11" s="492">
        <v>4635.1729999999998</v>
      </c>
      <c r="BZ11" s="492">
        <v>4739.674</v>
      </c>
      <c r="CA11" s="493">
        <f t="shared" si="17"/>
        <v>48007.394</v>
      </c>
      <c r="CB11" s="656">
        <v>5079.7579999999998</v>
      </c>
      <c r="CC11" s="492">
        <v>11334.148999999999</v>
      </c>
      <c r="CD11" s="492">
        <v>5386.0010000000002</v>
      </c>
      <c r="CE11" s="492">
        <v>3354.7179999999998</v>
      </c>
      <c r="CF11" s="492">
        <v>3453.3589999999999</v>
      </c>
      <c r="CG11" s="492">
        <v>3726.596</v>
      </c>
      <c r="CH11" s="492">
        <v>4068.9749999999999</v>
      </c>
      <c r="CI11" s="492">
        <v>5487.9470000000001</v>
      </c>
      <c r="CJ11" s="492">
        <v>6130.5870000000004</v>
      </c>
      <c r="CK11" s="492">
        <v>6537.5730000000003</v>
      </c>
      <c r="CL11" s="492">
        <v>5634.4849999999997</v>
      </c>
      <c r="CM11" s="492">
        <v>6008.4809999999998</v>
      </c>
      <c r="CN11" s="493">
        <f t="shared" si="18"/>
        <v>66202.629000000001</v>
      </c>
      <c r="CO11" s="656">
        <v>6573.5569999999998</v>
      </c>
      <c r="CP11" s="492">
        <v>5666.8739999999998</v>
      </c>
      <c r="CQ11" s="492">
        <v>6013.4979999999996</v>
      </c>
      <c r="CR11" s="492">
        <v>4001.288</v>
      </c>
      <c r="CS11" s="492">
        <v>3772.63</v>
      </c>
      <c r="CT11" s="492">
        <v>2244.5940000000001</v>
      </c>
      <c r="CU11" s="492">
        <v>2011.39</v>
      </c>
      <c r="CV11" s="492">
        <v>3441.2069999999999</v>
      </c>
      <c r="CW11" s="492">
        <v>3911.2260000000001</v>
      </c>
      <c r="CX11" s="492"/>
      <c r="CY11" s="492">
        <v>480.90800000000002</v>
      </c>
      <c r="CZ11" s="492">
        <v>4797.9939999999997</v>
      </c>
      <c r="DA11" s="493">
        <f t="shared" si="19"/>
        <v>42915.166000000005</v>
      </c>
      <c r="DB11" s="656">
        <v>5086.7309999999998</v>
      </c>
      <c r="DC11" s="492">
        <v>6084.299</v>
      </c>
      <c r="DD11" s="492">
        <v>6797.4570000000003</v>
      </c>
      <c r="DE11" s="492">
        <v>4122.5249999999996</v>
      </c>
      <c r="DF11" s="492">
        <v>4519.0990000000002</v>
      </c>
      <c r="DG11" s="492">
        <v>2885.0529999999999</v>
      </c>
      <c r="DH11" s="492">
        <v>2473.0439999999999</v>
      </c>
      <c r="DI11" s="492">
        <v>3119.174</v>
      </c>
      <c r="DJ11" s="492">
        <v>3619.759</v>
      </c>
      <c r="DK11" s="492">
        <v>3617.386</v>
      </c>
      <c r="DL11" s="492">
        <v>1561.8889999999999</v>
      </c>
      <c r="DM11" s="492">
        <v>3642.83</v>
      </c>
      <c r="DN11" s="493">
        <f t="shared" si="20"/>
        <v>47529.246000000006</v>
      </c>
      <c r="DO11" s="656">
        <v>682.93799999999999</v>
      </c>
      <c r="DP11" s="492">
        <v>510.59500000000003</v>
      </c>
      <c r="DQ11" s="492">
        <v>4936.0339999999997</v>
      </c>
      <c r="DR11" s="492">
        <v>1528.85</v>
      </c>
      <c r="DS11" s="492">
        <v>1491.29</v>
      </c>
      <c r="DT11" s="492">
        <v>1471.8</v>
      </c>
      <c r="DU11" s="492">
        <v>1124.5</v>
      </c>
      <c r="DV11" s="492">
        <v>850.49</v>
      </c>
      <c r="DW11" s="492">
        <v>1345.45</v>
      </c>
      <c r="DX11" s="492">
        <v>2254.4</v>
      </c>
      <c r="DY11" s="492">
        <v>2383.6849999999999</v>
      </c>
      <c r="DZ11" s="492">
        <v>1288.4469999999999</v>
      </c>
      <c r="EA11" s="493">
        <f t="shared" si="21"/>
        <v>19868.478999999999</v>
      </c>
      <c r="EB11" s="656">
        <v>5727.11</v>
      </c>
      <c r="EC11" s="492">
        <v>4897.33</v>
      </c>
      <c r="ED11" s="492">
        <v>3911.9</v>
      </c>
      <c r="EE11" s="492">
        <v>3003.46</v>
      </c>
      <c r="EF11" s="492">
        <v>2595.31</v>
      </c>
      <c r="EG11" s="492">
        <v>1118.57</v>
      </c>
      <c r="EH11" s="492">
        <v>1201.761</v>
      </c>
      <c r="EI11" s="492">
        <v>1511.9269999999999</v>
      </c>
      <c r="EJ11" s="492">
        <v>2837.5</v>
      </c>
      <c r="EK11" s="492">
        <v>3106.8</v>
      </c>
      <c r="EL11" s="492">
        <v>2952</v>
      </c>
      <c r="EM11" s="492">
        <v>3930</v>
      </c>
      <c r="EN11" s="493">
        <f t="shared" si="22"/>
        <v>36793.667999999998</v>
      </c>
      <c r="EO11" s="492"/>
      <c r="EP11" s="492"/>
      <c r="EQ11" s="492"/>
      <c r="ER11" s="492"/>
      <c r="ES11" s="492"/>
      <c r="ET11" s="492"/>
      <c r="EU11" s="492"/>
      <c r="EV11" s="492"/>
      <c r="EW11" s="492"/>
      <c r="EX11" s="492"/>
      <c r="EY11" s="492"/>
      <c r="EZ11" s="492"/>
      <c r="FA11" s="493">
        <f t="shared" si="23"/>
        <v>0</v>
      </c>
      <c r="FC11" s="595">
        <f t="shared" si="24"/>
        <v>205.01836707291804</v>
      </c>
      <c r="FD11" s="596">
        <f t="shared" si="25"/>
        <v>85.186133271701365</v>
      </c>
      <c r="FE11" s="498">
        <f t="shared" si="26"/>
        <v>19868.478999999999</v>
      </c>
      <c r="FF11" s="597">
        <f t="shared" si="27"/>
        <v>36793.667999999998</v>
      </c>
      <c r="FG11" s="624"/>
      <c r="FH11" s="690"/>
      <c r="FI11" s="551">
        <f t="shared" si="28"/>
        <v>827328.38</v>
      </c>
      <c r="FJ11" s="491" t="s">
        <v>147</v>
      </c>
      <c r="FK11" s="554" t="str">
        <f t="shared" si="29"/>
        <v>OK</v>
      </c>
    </row>
    <row r="12" spans="1:167" ht="15" customHeight="1" x14ac:dyDescent="0.25">
      <c r="A12" s="610" t="s">
        <v>51</v>
      </c>
      <c r="B12" s="656"/>
      <c r="C12" s="492"/>
      <c r="D12" s="492"/>
      <c r="E12" s="492"/>
      <c r="F12" s="492"/>
      <c r="G12" s="492">
        <v>25</v>
      </c>
      <c r="H12" s="492"/>
      <c r="I12" s="492"/>
      <c r="J12" s="492">
        <v>9</v>
      </c>
      <c r="K12" s="492">
        <v>9</v>
      </c>
      <c r="L12" s="492"/>
      <c r="M12" s="492"/>
      <c r="N12" s="493">
        <f t="shared" si="12"/>
        <v>43</v>
      </c>
      <c r="O12" s="656"/>
      <c r="P12" s="492"/>
      <c r="Q12" s="492"/>
      <c r="R12" s="492"/>
      <c r="S12" s="492"/>
      <c r="T12" s="492"/>
      <c r="U12" s="492"/>
      <c r="V12" s="492"/>
      <c r="W12" s="492"/>
      <c r="X12" s="492"/>
      <c r="Y12" s="492"/>
      <c r="Z12" s="492"/>
      <c r="AA12" s="493">
        <f t="shared" si="13"/>
        <v>0</v>
      </c>
      <c r="AB12" s="656"/>
      <c r="AC12" s="492"/>
      <c r="AD12" s="492"/>
      <c r="AE12" s="492"/>
      <c r="AF12" s="492"/>
      <c r="AG12" s="492"/>
      <c r="AH12" s="492"/>
      <c r="AI12" s="492"/>
      <c r="AJ12" s="492"/>
      <c r="AK12" s="492"/>
      <c r="AL12" s="492"/>
      <c r="AM12" s="492"/>
      <c r="AN12" s="493">
        <f t="shared" si="14"/>
        <v>0</v>
      </c>
      <c r="AO12" s="656"/>
      <c r="AP12" s="492"/>
      <c r="AQ12" s="492"/>
      <c r="AR12" s="492"/>
      <c r="AS12" s="492"/>
      <c r="AT12" s="492"/>
      <c r="AU12" s="492"/>
      <c r="AV12" s="492"/>
      <c r="AW12" s="492"/>
      <c r="AX12" s="492"/>
      <c r="AY12" s="492"/>
      <c r="AZ12" s="492"/>
      <c r="BA12" s="493">
        <f t="shared" si="15"/>
        <v>0</v>
      </c>
      <c r="BB12" s="656"/>
      <c r="BC12" s="492"/>
      <c r="BD12" s="492"/>
      <c r="BE12" s="492"/>
      <c r="BF12" s="492"/>
      <c r="BG12" s="492"/>
      <c r="BH12" s="492"/>
      <c r="BI12" s="492"/>
      <c r="BJ12" s="492"/>
      <c r="BK12" s="492"/>
      <c r="BL12" s="492"/>
      <c r="BM12" s="492"/>
      <c r="BN12" s="493">
        <f t="shared" si="16"/>
        <v>0</v>
      </c>
      <c r="BO12" s="656"/>
      <c r="BP12" s="492"/>
      <c r="BQ12" s="492"/>
      <c r="BR12" s="492"/>
      <c r="BS12" s="492"/>
      <c r="BT12" s="492"/>
      <c r="BU12" s="492"/>
      <c r="BV12" s="492"/>
      <c r="BW12" s="492"/>
      <c r="BX12" s="492"/>
      <c r="BY12" s="492"/>
      <c r="BZ12" s="492"/>
      <c r="CA12" s="493">
        <f t="shared" si="17"/>
        <v>0</v>
      </c>
      <c r="CB12" s="656"/>
      <c r="CC12" s="492"/>
      <c r="CD12" s="492"/>
      <c r="CE12" s="492">
        <v>11.433999999999999</v>
      </c>
      <c r="CF12" s="492">
        <v>3.1930000000000001</v>
      </c>
      <c r="CG12" s="492"/>
      <c r="CH12" s="492"/>
      <c r="CI12" s="492">
        <v>7.9329999999999998</v>
      </c>
      <c r="CJ12" s="492"/>
      <c r="CK12" s="492"/>
      <c r="CL12" s="492"/>
      <c r="CM12" s="492"/>
      <c r="CN12" s="493">
        <f t="shared" si="18"/>
        <v>22.56</v>
      </c>
      <c r="CO12" s="656"/>
      <c r="CP12" s="492"/>
      <c r="CQ12" s="492"/>
      <c r="CR12" s="492">
        <v>23.672999999999998</v>
      </c>
      <c r="CS12" s="492"/>
      <c r="CT12" s="492"/>
      <c r="CU12" s="492">
        <v>8.5950000000000006</v>
      </c>
      <c r="CV12" s="492"/>
      <c r="CW12" s="492">
        <v>1.651</v>
      </c>
      <c r="CX12" s="492"/>
      <c r="CY12" s="492"/>
      <c r="CZ12" s="492"/>
      <c r="DA12" s="493">
        <f t="shared" si="19"/>
        <v>33.919000000000004</v>
      </c>
      <c r="DB12" s="656"/>
      <c r="DC12" s="492"/>
      <c r="DD12" s="492"/>
      <c r="DE12" s="492"/>
      <c r="DF12" s="492"/>
      <c r="DG12" s="492">
        <v>23.4</v>
      </c>
      <c r="DH12" s="492"/>
      <c r="DI12" s="492"/>
      <c r="DJ12" s="492"/>
      <c r="DK12" s="492"/>
      <c r="DL12" s="492"/>
      <c r="DM12" s="492"/>
      <c r="DN12" s="493">
        <f t="shared" si="20"/>
        <v>23.4</v>
      </c>
      <c r="DO12" s="656"/>
      <c r="DP12" s="492"/>
      <c r="DQ12" s="492"/>
      <c r="DR12" s="492"/>
      <c r="DS12" s="492"/>
      <c r="DT12" s="492"/>
      <c r="DU12" s="492">
        <v>21.6</v>
      </c>
      <c r="DV12" s="492">
        <v>3.548</v>
      </c>
      <c r="DW12" s="492"/>
      <c r="DX12" s="492"/>
      <c r="DY12" s="492"/>
      <c r="DZ12" s="492"/>
      <c r="EA12" s="493">
        <f t="shared" si="21"/>
        <v>25.148000000000003</v>
      </c>
      <c r="EB12" s="656"/>
      <c r="EC12" s="492"/>
      <c r="ED12" s="492"/>
      <c r="EE12" s="492"/>
      <c r="EF12" s="492"/>
      <c r="EG12" s="492"/>
      <c r="EH12" s="492"/>
      <c r="EI12" s="492"/>
      <c r="EJ12" s="492"/>
      <c r="EK12" s="492"/>
      <c r="EL12" s="492"/>
      <c r="EM12" s="492"/>
      <c r="EN12" s="493">
        <f t="shared" si="22"/>
        <v>0</v>
      </c>
      <c r="EO12" s="492"/>
      <c r="EP12" s="492"/>
      <c r="EQ12" s="492"/>
      <c r="ER12" s="492"/>
      <c r="ES12" s="492"/>
      <c r="ET12" s="492"/>
      <c r="EU12" s="492"/>
      <c r="EV12" s="492"/>
      <c r="EW12" s="492"/>
      <c r="EX12" s="492"/>
      <c r="EY12" s="492"/>
      <c r="EZ12" s="492"/>
      <c r="FA12" s="493">
        <f t="shared" si="23"/>
        <v>0</v>
      </c>
      <c r="FC12" s="595" t="str">
        <f t="shared" si="24"/>
        <v/>
      </c>
      <c r="FD12" s="596">
        <f t="shared" si="25"/>
        <v>-100</v>
      </c>
      <c r="FE12" s="498">
        <f t="shared" si="26"/>
        <v>25.148000000000003</v>
      </c>
      <c r="FF12" s="597">
        <f t="shared" si="27"/>
        <v>0</v>
      </c>
      <c r="FG12" s="624"/>
      <c r="FH12" s="690"/>
      <c r="FI12" s="551">
        <f t="shared" si="28"/>
        <v>296.05400000000009</v>
      </c>
      <c r="FJ12" s="491" t="s">
        <v>51</v>
      </c>
      <c r="FK12" s="554" t="str">
        <f t="shared" si="29"/>
        <v>OK</v>
      </c>
    </row>
    <row r="13" spans="1:167" ht="15" customHeight="1" x14ac:dyDescent="0.25">
      <c r="A13" s="610" t="s">
        <v>52</v>
      </c>
      <c r="B13" s="656">
        <v>15.254</v>
      </c>
      <c r="C13" s="492">
        <v>15.569000000000001</v>
      </c>
      <c r="D13" s="492">
        <v>77</v>
      </c>
      <c r="E13" s="492">
        <v>50</v>
      </c>
      <c r="F13" s="492">
        <v>75</v>
      </c>
      <c r="G13" s="492">
        <v>42</v>
      </c>
      <c r="H13" s="492"/>
      <c r="I13" s="492"/>
      <c r="J13" s="492">
        <v>31</v>
      </c>
      <c r="K13" s="492">
        <v>40</v>
      </c>
      <c r="L13" s="492">
        <v>296</v>
      </c>
      <c r="M13" s="492">
        <v>148</v>
      </c>
      <c r="N13" s="493">
        <f t="shared" si="12"/>
        <v>789.82299999999998</v>
      </c>
      <c r="O13" s="656">
        <v>56</v>
      </c>
      <c r="P13" s="492">
        <v>65</v>
      </c>
      <c r="Q13" s="492"/>
      <c r="R13" s="492">
        <v>24</v>
      </c>
      <c r="S13" s="492"/>
      <c r="T13" s="492"/>
      <c r="U13" s="492"/>
      <c r="V13" s="492"/>
      <c r="W13" s="492"/>
      <c r="X13" s="492">
        <v>90</v>
      </c>
      <c r="Y13" s="492">
        <v>145</v>
      </c>
      <c r="Z13" s="492">
        <v>84</v>
      </c>
      <c r="AA13" s="493">
        <f t="shared" si="13"/>
        <v>464</v>
      </c>
      <c r="AB13" s="656">
        <v>221</v>
      </c>
      <c r="AC13" s="492">
        <v>190</v>
      </c>
      <c r="AD13" s="492">
        <v>375</v>
      </c>
      <c r="AE13" s="492">
        <v>16.625</v>
      </c>
      <c r="AF13" s="492">
        <v>9.7789999999999999</v>
      </c>
      <c r="AG13" s="492">
        <v>25</v>
      </c>
      <c r="AH13" s="492">
        <v>24</v>
      </c>
      <c r="AI13" s="492">
        <v>188</v>
      </c>
      <c r="AJ13" s="492">
        <v>284</v>
      </c>
      <c r="AK13" s="492">
        <v>245</v>
      </c>
      <c r="AL13" s="492">
        <v>197</v>
      </c>
      <c r="AM13" s="492">
        <v>126.13</v>
      </c>
      <c r="AN13" s="493">
        <f t="shared" si="14"/>
        <v>1901.5340000000001</v>
      </c>
      <c r="AO13" s="656">
        <v>448.06599999999997</v>
      </c>
      <c r="AP13" s="492">
        <v>423.72199999999998</v>
      </c>
      <c r="AQ13" s="492">
        <v>238.19399999999999</v>
      </c>
      <c r="AR13" s="492">
        <v>169.79599999999999</v>
      </c>
      <c r="AS13" s="492">
        <v>211.59700000000001</v>
      </c>
      <c r="AT13" s="492">
        <v>28.242000000000001</v>
      </c>
      <c r="AU13" s="492">
        <v>133.96199999999999</v>
      </c>
      <c r="AV13" s="492">
        <v>134.29499999999999</v>
      </c>
      <c r="AW13" s="492">
        <v>131.602</v>
      </c>
      <c r="AX13" s="492">
        <v>195.381</v>
      </c>
      <c r="AY13" s="492">
        <v>228.30699999999999</v>
      </c>
      <c r="AZ13" s="492">
        <v>138.20099999999999</v>
      </c>
      <c r="BA13" s="493">
        <f t="shared" si="15"/>
        <v>2481.3649999999998</v>
      </c>
      <c r="BB13" s="656">
        <v>347.09500000000003</v>
      </c>
      <c r="BC13" s="492">
        <v>186.898</v>
      </c>
      <c r="BD13" s="492">
        <v>177.791</v>
      </c>
      <c r="BE13" s="492">
        <v>331.95400000000001</v>
      </c>
      <c r="BF13" s="492">
        <v>227.958</v>
      </c>
      <c r="BG13" s="492">
        <v>72.694000000000003</v>
      </c>
      <c r="BH13" s="492">
        <v>25.472000000000001</v>
      </c>
      <c r="BI13" s="492">
        <v>50.944000000000003</v>
      </c>
      <c r="BJ13" s="492">
        <v>116.77200000000001</v>
      </c>
      <c r="BK13" s="492">
        <v>194.36699999999999</v>
      </c>
      <c r="BL13" s="492">
        <v>226.37899999999999</v>
      </c>
      <c r="BM13" s="492">
        <v>254.39099999999999</v>
      </c>
      <c r="BN13" s="493">
        <f t="shared" si="16"/>
        <v>2212.7149999999997</v>
      </c>
      <c r="BO13" s="656">
        <v>654</v>
      </c>
      <c r="BP13" s="492">
        <v>274</v>
      </c>
      <c r="BQ13" s="492">
        <v>168</v>
      </c>
      <c r="BR13" s="492"/>
      <c r="BS13" s="492"/>
      <c r="BT13" s="492">
        <v>221</v>
      </c>
      <c r="BU13" s="492">
        <v>121</v>
      </c>
      <c r="BV13" s="492">
        <v>103</v>
      </c>
      <c r="BW13" s="492">
        <v>549</v>
      </c>
      <c r="BX13" s="492">
        <v>1812.393</v>
      </c>
      <c r="BY13" s="492">
        <v>1290.356</v>
      </c>
      <c r="BZ13" s="492">
        <v>2270.5210000000002</v>
      </c>
      <c r="CA13" s="493">
        <f t="shared" si="17"/>
        <v>7463.27</v>
      </c>
      <c r="CB13" s="656">
        <v>1965.096</v>
      </c>
      <c r="CC13" s="492">
        <v>4387.3209999999999</v>
      </c>
      <c r="CD13" s="492">
        <v>2209.451</v>
      </c>
      <c r="CE13" s="492">
        <v>1547.171</v>
      </c>
      <c r="CF13" s="492">
        <v>1615.8150000000001</v>
      </c>
      <c r="CG13" s="492">
        <v>2525.84</v>
      </c>
      <c r="CH13" s="492">
        <v>1765.1130000000001</v>
      </c>
      <c r="CI13" s="492">
        <v>1543.1969999999999</v>
      </c>
      <c r="CJ13" s="492">
        <v>1699.633</v>
      </c>
      <c r="CK13" s="492">
        <v>1392.606</v>
      </c>
      <c r="CL13" s="492">
        <v>1175.6510000000001</v>
      </c>
      <c r="CM13" s="492">
        <v>881.67399999999998</v>
      </c>
      <c r="CN13" s="493">
        <f t="shared" si="18"/>
        <v>22708.567999999999</v>
      </c>
      <c r="CO13" s="656">
        <v>1228.7729999999999</v>
      </c>
      <c r="CP13" s="492">
        <v>1403.4079999999999</v>
      </c>
      <c r="CQ13" s="492">
        <v>1345.7180000000001</v>
      </c>
      <c r="CR13" s="492">
        <v>1301.567</v>
      </c>
      <c r="CS13" s="492">
        <v>1946.067</v>
      </c>
      <c r="CT13" s="492">
        <v>1931.367</v>
      </c>
      <c r="CU13" s="492">
        <v>1596.701</v>
      </c>
      <c r="CV13" s="492">
        <v>1107.52</v>
      </c>
      <c r="CW13" s="492">
        <v>1712.366</v>
      </c>
      <c r="CX13" s="492">
        <v>1372.9580000000001</v>
      </c>
      <c r="CY13" s="492">
        <v>126.093</v>
      </c>
      <c r="CZ13" s="492">
        <v>1055.3879999999999</v>
      </c>
      <c r="DA13" s="493">
        <f t="shared" si="19"/>
        <v>16127.925999999999</v>
      </c>
      <c r="DB13" s="656">
        <v>791.923</v>
      </c>
      <c r="DC13" s="492">
        <v>1645.2260000000001</v>
      </c>
      <c r="DD13" s="492">
        <v>1563.222</v>
      </c>
      <c r="DE13" s="492">
        <v>1110.412</v>
      </c>
      <c r="DF13" s="492">
        <v>218.78299999999999</v>
      </c>
      <c r="DG13" s="492">
        <v>122.569</v>
      </c>
      <c r="DH13" s="492">
        <v>170.19399999999999</v>
      </c>
      <c r="DI13" s="492">
        <v>187.72499999999999</v>
      </c>
      <c r="DJ13" s="492">
        <v>159.279</v>
      </c>
      <c r="DK13" s="492">
        <v>432.89400000000001</v>
      </c>
      <c r="DL13" s="492">
        <v>13875.51</v>
      </c>
      <c r="DM13" s="492">
        <v>327.10000000000002</v>
      </c>
      <c r="DN13" s="493">
        <f t="shared" si="20"/>
        <v>20604.837</v>
      </c>
      <c r="DO13" s="656">
        <v>17.846</v>
      </c>
      <c r="DP13" s="492">
        <v>81.361000000000004</v>
      </c>
      <c r="DQ13" s="492">
        <v>1165.74</v>
      </c>
      <c r="DR13" s="492">
        <v>24.675000000000001</v>
      </c>
      <c r="DS13" s="492">
        <v>73.218999999999994</v>
      </c>
      <c r="DT13" s="492">
        <v>106.6</v>
      </c>
      <c r="DU13" s="492">
        <v>43.7</v>
      </c>
      <c r="DV13" s="492">
        <v>89.716999999999999</v>
      </c>
      <c r="DW13" s="492">
        <v>98.495999999999995</v>
      </c>
      <c r="DX13" s="492">
        <v>11.792</v>
      </c>
      <c r="DY13" s="492">
        <v>112.018</v>
      </c>
      <c r="DZ13" s="492">
        <v>151.49</v>
      </c>
      <c r="EA13" s="493">
        <f t="shared" si="21"/>
        <v>1976.6540000000002</v>
      </c>
      <c r="EB13" s="656">
        <v>103.70434433962264</v>
      </c>
      <c r="EC13" s="492">
        <v>98.274698113207535</v>
      </c>
      <c r="ED13" s="492">
        <v>19.922000000000001</v>
      </c>
      <c r="EE13" s="492">
        <v>207.19683396226418</v>
      </c>
      <c r="EF13" s="492">
        <v>163.83156981132072</v>
      </c>
      <c r="EG13" s="492">
        <v>40.242292420754723</v>
      </c>
      <c r="EH13" s="492">
        <v>15.744905660377357</v>
      </c>
      <c r="EI13" s="492">
        <v>246.57907169811327</v>
      </c>
      <c r="EJ13" s="492">
        <v>601.59755177358477</v>
      </c>
      <c r="EK13" s="492">
        <v>527.06219622641504</v>
      </c>
      <c r="EL13" s="492">
        <v>670.06346698113214</v>
      </c>
      <c r="EM13" s="492">
        <v>229.51196900269539</v>
      </c>
      <c r="EN13" s="493">
        <f t="shared" si="22"/>
        <v>2923.7308999894876</v>
      </c>
      <c r="EO13" s="492"/>
      <c r="EP13" s="492"/>
      <c r="EQ13" s="492"/>
      <c r="ER13" s="492"/>
      <c r="ES13" s="492"/>
      <c r="ET13" s="492"/>
      <c r="EU13" s="492"/>
      <c r="EV13" s="492"/>
      <c r="EW13" s="492"/>
      <c r="EX13" s="492"/>
      <c r="EY13" s="492"/>
      <c r="EZ13" s="492"/>
      <c r="FA13" s="493">
        <f t="shared" si="23"/>
        <v>0</v>
      </c>
      <c r="FC13" s="549">
        <f t="shared" si="24"/>
        <v>51.503049047920911</v>
      </c>
      <c r="FD13" s="550">
        <f t="shared" si="25"/>
        <v>47.913135024616714</v>
      </c>
      <c r="FE13" s="551">
        <f t="shared" si="26"/>
        <v>1976.6540000000002</v>
      </c>
      <c r="FF13" s="552">
        <f t="shared" si="27"/>
        <v>2923.7308999894876</v>
      </c>
      <c r="FG13" s="624"/>
      <c r="FH13" s="690"/>
      <c r="FI13" s="551">
        <f t="shared" si="28"/>
        <v>159308.84579997891</v>
      </c>
      <c r="FJ13" s="491" t="s">
        <v>52</v>
      </c>
      <c r="FK13" s="554" t="str">
        <f t="shared" si="29"/>
        <v>OK</v>
      </c>
    </row>
    <row r="14" spans="1:167" ht="15" customHeight="1" x14ac:dyDescent="0.25">
      <c r="A14" s="610" t="s">
        <v>53</v>
      </c>
      <c r="B14" s="656"/>
      <c r="C14" s="492">
        <v>236.75299999999999</v>
      </c>
      <c r="D14" s="492">
        <v>146</v>
      </c>
      <c r="E14" s="492">
        <v>16</v>
      </c>
      <c r="F14" s="492"/>
      <c r="G14" s="492">
        <v>148</v>
      </c>
      <c r="H14" s="492">
        <v>44</v>
      </c>
      <c r="I14" s="492">
        <v>48</v>
      </c>
      <c r="J14" s="492">
        <v>39</v>
      </c>
      <c r="K14" s="492">
        <v>48</v>
      </c>
      <c r="L14" s="492">
        <v>152</v>
      </c>
      <c r="M14" s="492">
        <v>80</v>
      </c>
      <c r="N14" s="493">
        <f t="shared" si="12"/>
        <v>957.75299999999993</v>
      </c>
      <c r="O14" s="656">
        <v>55</v>
      </c>
      <c r="P14" s="492">
        <v>60</v>
      </c>
      <c r="Q14" s="492">
        <v>5</v>
      </c>
      <c r="R14" s="492">
        <v>55</v>
      </c>
      <c r="S14" s="492">
        <v>19</v>
      </c>
      <c r="T14" s="492">
        <v>9</v>
      </c>
      <c r="U14" s="492">
        <v>17</v>
      </c>
      <c r="V14" s="492">
        <v>38</v>
      </c>
      <c r="W14" s="492"/>
      <c r="X14" s="492">
        <v>156</v>
      </c>
      <c r="Y14" s="492">
        <v>87</v>
      </c>
      <c r="Z14" s="492">
        <v>2</v>
      </c>
      <c r="AA14" s="493">
        <f t="shared" si="13"/>
        <v>503</v>
      </c>
      <c r="AB14" s="656">
        <v>17</v>
      </c>
      <c r="AC14" s="492">
        <v>22</v>
      </c>
      <c r="AD14" s="492">
        <v>119</v>
      </c>
      <c r="AE14" s="492">
        <v>104.253</v>
      </c>
      <c r="AF14" s="492">
        <v>88.918999999999997</v>
      </c>
      <c r="AG14" s="492">
        <v>47</v>
      </c>
      <c r="AH14" s="492">
        <v>53</v>
      </c>
      <c r="AI14" s="492">
        <v>7</v>
      </c>
      <c r="AJ14" s="492">
        <v>6</v>
      </c>
      <c r="AK14" s="492">
        <v>286</v>
      </c>
      <c r="AL14" s="492">
        <v>7</v>
      </c>
      <c r="AM14" s="492">
        <v>294</v>
      </c>
      <c r="AN14" s="493">
        <f t="shared" si="14"/>
        <v>1051.172</v>
      </c>
      <c r="AO14" s="656">
        <v>512.41700000000003</v>
      </c>
      <c r="AP14" s="492">
        <v>666.19299999999998</v>
      </c>
      <c r="AQ14" s="492">
        <v>224.255</v>
      </c>
      <c r="AR14" s="492">
        <v>140.75299999999999</v>
      </c>
      <c r="AS14" s="492">
        <v>149.71299999999999</v>
      </c>
      <c r="AT14" s="492">
        <v>303.01299999999998</v>
      </c>
      <c r="AU14" s="492">
        <v>93.894999999999996</v>
      </c>
      <c r="AV14" s="492">
        <v>227.96600000000001</v>
      </c>
      <c r="AW14" s="492">
        <v>134.26599999999999</v>
      </c>
      <c r="AX14" s="492">
        <v>499.81799999999998</v>
      </c>
      <c r="AY14" s="492">
        <v>295.67</v>
      </c>
      <c r="AZ14" s="492">
        <v>110.904</v>
      </c>
      <c r="BA14" s="493">
        <f t="shared" si="15"/>
        <v>3358.8629999999998</v>
      </c>
      <c r="BB14" s="656">
        <v>6.85</v>
      </c>
      <c r="BC14" s="492">
        <v>161.80000000000001</v>
      </c>
      <c r="BD14" s="492">
        <v>675.99099999999999</v>
      </c>
      <c r="BE14" s="492">
        <v>176.233</v>
      </c>
      <c r="BF14" s="492"/>
      <c r="BG14" s="492">
        <v>33.658000000000001</v>
      </c>
      <c r="BH14" s="492"/>
      <c r="BI14" s="492">
        <v>80.600999999999999</v>
      </c>
      <c r="BJ14" s="492"/>
      <c r="BK14" s="492">
        <v>130.43199999999999</v>
      </c>
      <c r="BL14" s="492"/>
      <c r="BM14" s="492">
        <v>27.276</v>
      </c>
      <c r="BN14" s="493">
        <f t="shared" si="16"/>
        <v>1292.8409999999999</v>
      </c>
      <c r="BO14" s="656">
        <v>424</v>
      </c>
      <c r="BP14" s="492">
        <v>168</v>
      </c>
      <c r="BQ14" s="492">
        <v>363</v>
      </c>
      <c r="BR14" s="492"/>
      <c r="BS14" s="492"/>
      <c r="BT14" s="492">
        <v>247</v>
      </c>
      <c r="BU14" s="492">
        <v>336</v>
      </c>
      <c r="BV14" s="492">
        <v>119</v>
      </c>
      <c r="BW14" s="492">
        <v>323</v>
      </c>
      <c r="BX14" s="492">
        <v>1926.144</v>
      </c>
      <c r="BY14" s="492">
        <v>1744.1379999999999</v>
      </c>
      <c r="BZ14" s="492">
        <v>1470.607</v>
      </c>
      <c r="CA14" s="493">
        <f t="shared" si="17"/>
        <v>7120.8890000000001</v>
      </c>
      <c r="CB14" s="656">
        <v>1718.287</v>
      </c>
      <c r="CC14" s="492">
        <v>4124.1350000000002</v>
      </c>
      <c r="CD14" s="492">
        <v>2744.6790000000001</v>
      </c>
      <c r="CE14" s="492">
        <v>1535.912</v>
      </c>
      <c r="CF14" s="492">
        <v>1970.3679999999999</v>
      </c>
      <c r="CG14" s="492">
        <v>1546.952</v>
      </c>
      <c r="CH14" s="492">
        <v>941.77</v>
      </c>
      <c r="CI14" s="492">
        <v>1281.915</v>
      </c>
      <c r="CJ14" s="492">
        <v>1479.075</v>
      </c>
      <c r="CK14" s="492">
        <v>1224.309</v>
      </c>
      <c r="CL14" s="492">
        <v>1054.615</v>
      </c>
      <c r="CM14" s="492">
        <v>1390.9829999999999</v>
      </c>
      <c r="CN14" s="493">
        <f t="shared" si="18"/>
        <v>21013.000000000004</v>
      </c>
      <c r="CO14" s="656">
        <v>917.68799999999999</v>
      </c>
      <c r="CP14" s="492">
        <v>1382.673</v>
      </c>
      <c r="CQ14" s="492">
        <v>1332.087</v>
      </c>
      <c r="CR14" s="492">
        <v>1284.3019999999999</v>
      </c>
      <c r="CS14" s="492">
        <v>1156.836</v>
      </c>
      <c r="CT14" s="492">
        <v>1057.1559999999999</v>
      </c>
      <c r="CU14" s="492">
        <v>789.95799999999997</v>
      </c>
      <c r="CV14" s="492">
        <v>791.38199999999995</v>
      </c>
      <c r="CW14" s="492">
        <v>991.12199999999996</v>
      </c>
      <c r="CX14" s="492">
        <v>905.14300000000003</v>
      </c>
      <c r="CY14" s="492">
        <v>200.52699999999999</v>
      </c>
      <c r="CZ14" s="492">
        <v>1290.546</v>
      </c>
      <c r="DA14" s="493">
        <f t="shared" si="19"/>
        <v>12099.42</v>
      </c>
      <c r="DB14" s="656">
        <v>511.685</v>
      </c>
      <c r="DC14" s="492">
        <v>1553.0840000000001</v>
      </c>
      <c r="DD14" s="492">
        <v>590.80899999999997</v>
      </c>
      <c r="DE14" s="492">
        <v>1092.77</v>
      </c>
      <c r="DF14" s="492">
        <v>296.53399999999999</v>
      </c>
      <c r="DG14" s="492">
        <v>269.39499999999998</v>
      </c>
      <c r="DH14" s="492">
        <v>61.667999999999999</v>
      </c>
      <c r="DI14" s="492">
        <v>147.87299999999999</v>
      </c>
      <c r="DJ14" s="492">
        <v>67.75</v>
      </c>
      <c r="DK14" s="492">
        <v>134.18100000000001</v>
      </c>
      <c r="DL14" s="492">
        <v>20.747</v>
      </c>
      <c r="DM14" s="492">
        <v>231.61600000000001</v>
      </c>
      <c r="DN14" s="493">
        <f t="shared" si="20"/>
        <v>4978.1119999999992</v>
      </c>
      <c r="DO14" s="656">
        <v>8.3829999999999991</v>
      </c>
      <c r="DP14" s="492"/>
      <c r="DQ14" s="492">
        <v>1138.46</v>
      </c>
      <c r="DR14" s="492">
        <v>23.422000000000001</v>
      </c>
      <c r="DS14" s="492">
        <v>34.130000000000003</v>
      </c>
      <c r="DT14" s="492">
        <v>43.1</v>
      </c>
      <c r="DU14" s="492">
        <v>2.8</v>
      </c>
      <c r="DV14" s="492">
        <v>0.502</v>
      </c>
      <c r="DW14" s="492">
        <v>0.36899999999999999</v>
      </c>
      <c r="DX14" s="492"/>
      <c r="DY14" s="492">
        <v>7.0999999999999994E-2</v>
      </c>
      <c r="DZ14" s="492"/>
      <c r="EA14" s="493">
        <f t="shared" si="21"/>
        <v>1251.2369999999999</v>
      </c>
      <c r="EB14" s="656">
        <v>49.449910377358492</v>
      </c>
      <c r="EC14" s="492">
        <v>46.318999999999996</v>
      </c>
      <c r="ED14" s="492">
        <v>82.113283018867889</v>
      </c>
      <c r="EE14" s="492">
        <v>297.41708962264153</v>
      </c>
      <c r="EF14" s="492">
        <v>41.957962264150943</v>
      </c>
      <c r="EG14" s="492">
        <v>19.197560377358478</v>
      </c>
      <c r="EH14" s="492">
        <v>30.896419811320754</v>
      </c>
      <c r="EI14" s="492">
        <v>106.40648584905661</v>
      </c>
      <c r="EJ14" s="492">
        <v>161.01959905660374</v>
      </c>
      <c r="EK14" s="492">
        <v>74.685140161725073</v>
      </c>
      <c r="EL14" s="492">
        <v>155.42453513995648</v>
      </c>
      <c r="EM14" s="492">
        <v>181.58278793108948</v>
      </c>
      <c r="EN14" s="493">
        <f t="shared" si="22"/>
        <v>1246.4697736101296</v>
      </c>
      <c r="EO14" s="492"/>
      <c r="EP14" s="492"/>
      <c r="EQ14" s="492"/>
      <c r="ER14" s="492"/>
      <c r="ES14" s="492"/>
      <c r="ET14" s="492"/>
      <c r="EU14" s="492"/>
      <c r="EV14" s="492"/>
      <c r="EW14" s="492"/>
      <c r="EX14" s="492"/>
      <c r="EY14" s="492"/>
      <c r="EZ14" s="492"/>
      <c r="FA14" s="493">
        <f t="shared" si="23"/>
        <v>0</v>
      </c>
      <c r="FC14" s="595" t="str">
        <f t="shared" si="24"/>
        <v/>
      </c>
      <c r="FD14" s="596">
        <f t="shared" si="25"/>
        <v>-0.3810010725282531</v>
      </c>
      <c r="FE14" s="498">
        <f t="shared" si="26"/>
        <v>1251.2369999999999</v>
      </c>
      <c r="FF14" s="597">
        <f t="shared" si="27"/>
        <v>1246.4697736101296</v>
      </c>
      <c r="FG14" s="624"/>
      <c r="FH14" s="690"/>
      <c r="FI14" s="551">
        <f t="shared" si="28"/>
        <v>109745.51354722027</v>
      </c>
      <c r="FJ14" s="491" t="s">
        <v>53</v>
      </c>
      <c r="FK14" s="554" t="str">
        <f t="shared" si="29"/>
        <v>OK</v>
      </c>
    </row>
    <row r="15" spans="1:167" ht="15" customHeight="1" x14ac:dyDescent="0.25">
      <c r="A15" s="610" t="s">
        <v>54</v>
      </c>
      <c r="B15" s="656">
        <v>16.036000000000001</v>
      </c>
      <c r="C15" s="492">
        <v>12.148</v>
      </c>
      <c r="D15" s="492">
        <v>7</v>
      </c>
      <c r="E15" s="492">
        <v>20</v>
      </c>
      <c r="F15" s="492">
        <v>7</v>
      </c>
      <c r="G15" s="492">
        <v>51</v>
      </c>
      <c r="H15" s="492">
        <v>27</v>
      </c>
      <c r="I15" s="492">
        <v>4</v>
      </c>
      <c r="J15" s="492">
        <v>3</v>
      </c>
      <c r="K15" s="492">
        <v>3</v>
      </c>
      <c r="L15" s="492"/>
      <c r="M15" s="492">
        <v>15</v>
      </c>
      <c r="N15" s="493">
        <f t="shared" si="12"/>
        <v>165.184</v>
      </c>
      <c r="O15" s="656"/>
      <c r="P15" s="492">
        <v>6</v>
      </c>
      <c r="Q15" s="492">
        <v>17</v>
      </c>
      <c r="R15" s="492"/>
      <c r="S15" s="492"/>
      <c r="T15" s="492">
        <v>10</v>
      </c>
      <c r="U15" s="492"/>
      <c r="V15" s="492"/>
      <c r="W15" s="492"/>
      <c r="X15" s="492"/>
      <c r="Y15" s="492"/>
      <c r="Z15" s="492"/>
      <c r="AA15" s="493">
        <f t="shared" si="13"/>
        <v>33</v>
      </c>
      <c r="AB15" s="656"/>
      <c r="AC15" s="492">
        <v>41</v>
      </c>
      <c r="AD15" s="492"/>
      <c r="AE15" s="492">
        <v>11.18</v>
      </c>
      <c r="AF15" s="492"/>
      <c r="AG15" s="492"/>
      <c r="AH15" s="492">
        <v>11</v>
      </c>
      <c r="AI15" s="492">
        <v>16</v>
      </c>
      <c r="AJ15" s="492"/>
      <c r="AK15" s="492">
        <v>13</v>
      </c>
      <c r="AL15" s="492"/>
      <c r="AM15" s="492">
        <v>2</v>
      </c>
      <c r="AN15" s="493">
        <f t="shared" si="14"/>
        <v>94.18</v>
      </c>
      <c r="AO15" s="656"/>
      <c r="AP15" s="492"/>
      <c r="AQ15" s="492"/>
      <c r="AR15" s="492"/>
      <c r="AS15" s="492"/>
      <c r="AT15" s="492"/>
      <c r="AU15" s="492"/>
      <c r="AV15" s="492"/>
      <c r="AW15" s="492"/>
      <c r="AX15" s="492"/>
      <c r="AY15" s="492"/>
      <c r="AZ15" s="492"/>
      <c r="BA15" s="493">
        <f t="shared" si="15"/>
        <v>0</v>
      </c>
      <c r="BB15" s="656"/>
      <c r="BC15" s="492">
        <v>33.143999999999998</v>
      </c>
      <c r="BD15" s="492">
        <v>63.393000000000001</v>
      </c>
      <c r="BE15" s="492"/>
      <c r="BF15" s="492">
        <v>140.33199999999999</v>
      </c>
      <c r="BG15" s="492">
        <v>336.83100000000002</v>
      </c>
      <c r="BH15" s="492">
        <v>215.18799999999999</v>
      </c>
      <c r="BI15" s="492">
        <v>102.416</v>
      </c>
      <c r="BJ15" s="492">
        <v>47.420999999999999</v>
      </c>
      <c r="BK15" s="492">
        <v>83.376999999999995</v>
      </c>
      <c r="BL15" s="492">
        <v>40.631999999999998</v>
      </c>
      <c r="BM15" s="492">
        <v>23.312000000000001</v>
      </c>
      <c r="BN15" s="493">
        <f t="shared" si="16"/>
        <v>1086.046</v>
      </c>
      <c r="BO15" s="656">
        <v>116</v>
      </c>
      <c r="BP15" s="492">
        <v>2</v>
      </c>
      <c r="BQ15" s="492">
        <v>16</v>
      </c>
      <c r="BR15" s="492"/>
      <c r="BS15" s="492"/>
      <c r="BT15" s="492"/>
      <c r="BU15" s="492">
        <v>9</v>
      </c>
      <c r="BV15" s="492"/>
      <c r="BW15" s="492"/>
      <c r="BX15" s="492">
        <v>68.924000000000007</v>
      </c>
      <c r="BY15" s="492">
        <v>124.20699999999999</v>
      </c>
      <c r="BZ15" s="492">
        <v>142.13900000000001</v>
      </c>
      <c r="CA15" s="493">
        <f t="shared" si="17"/>
        <v>478.27</v>
      </c>
      <c r="CB15" s="656">
        <v>209.935</v>
      </c>
      <c r="CC15" s="492">
        <v>268.8</v>
      </c>
      <c r="CD15" s="492">
        <v>221.80199999999999</v>
      </c>
      <c r="CE15" s="492">
        <v>114.047</v>
      </c>
      <c r="CF15" s="492">
        <v>7.5359999999999996</v>
      </c>
      <c r="CG15" s="492">
        <v>120.393</v>
      </c>
      <c r="CH15" s="492">
        <v>34.793999999999997</v>
      </c>
      <c r="CI15" s="492">
        <v>68.896000000000001</v>
      </c>
      <c r="CJ15" s="492">
        <v>85.438999999999993</v>
      </c>
      <c r="CK15" s="492">
        <v>30</v>
      </c>
      <c r="CL15" s="492">
        <v>23.725999999999999</v>
      </c>
      <c r="CM15" s="492">
        <v>31.858000000000001</v>
      </c>
      <c r="CN15" s="493">
        <f t="shared" si="18"/>
        <v>1217.2259999999999</v>
      </c>
      <c r="CO15" s="656">
        <v>69.191999999999993</v>
      </c>
      <c r="CP15" s="492">
        <v>23.231000000000002</v>
      </c>
      <c r="CQ15" s="492">
        <v>81.117999999999995</v>
      </c>
      <c r="CR15" s="492">
        <v>21.82</v>
      </c>
      <c r="CS15" s="492">
        <v>39.244999999999997</v>
      </c>
      <c r="CT15" s="492">
        <v>34.119999999999997</v>
      </c>
      <c r="CU15" s="492">
        <v>23.31</v>
      </c>
      <c r="CV15" s="492">
        <v>3.181</v>
      </c>
      <c r="CW15" s="492">
        <v>4.5279999999999996</v>
      </c>
      <c r="CX15" s="492">
        <v>65.236000000000004</v>
      </c>
      <c r="CY15" s="492"/>
      <c r="CZ15" s="492">
        <v>13.568</v>
      </c>
      <c r="DA15" s="493">
        <f t="shared" si="19"/>
        <v>378.54899999999998</v>
      </c>
      <c r="DB15" s="656">
        <v>61.442999999999998</v>
      </c>
      <c r="DC15" s="492">
        <v>147.41800000000001</v>
      </c>
      <c r="DD15" s="492">
        <v>113.88200000000001</v>
      </c>
      <c r="DE15" s="492">
        <v>64.86</v>
      </c>
      <c r="DF15" s="492">
        <v>34.662999999999997</v>
      </c>
      <c r="DG15" s="492">
        <v>17.21</v>
      </c>
      <c r="DH15" s="492">
        <v>15.04</v>
      </c>
      <c r="DI15" s="492"/>
      <c r="DJ15" s="492">
        <v>10.712999999999999</v>
      </c>
      <c r="DK15" s="492">
        <v>4.4829999999999997</v>
      </c>
      <c r="DL15" s="492"/>
      <c r="DM15" s="492">
        <v>20.547000000000001</v>
      </c>
      <c r="DN15" s="493">
        <f t="shared" si="20"/>
        <v>490.25900000000007</v>
      </c>
      <c r="DO15" s="656"/>
      <c r="DP15" s="492">
        <v>8.6289999999999996</v>
      </c>
      <c r="DQ15" s="492">
        <v>99.388000000000005</v>
      </c>
      <c r="DR15" s="492">
        <v>1.1060000000000001</v>
      </c>
      <c r="DS15" s="492"/>
      <c r="DT15" s="492">
        <v>38.9</v>
      </c>
      <c r="DU15" s="492">
        <v>55.1</v>
      </c>
      <c r="DV15" s="492"/>
      <c r="DW15" s="492"/>
      <c r="DX15" s="492"/>
      <c r="DY15" s="492">
        <v>4.9169999999999998</v>
      </c>
      <c r="DZ15" s="492"/>
      <c r="EA15" s="493">
        <f t="shared" si="21"/>
        <v>208.04</v>
      </c>
      <c r="EB15" s="656">
        <v>6.24</v>
      </c>
      <c r="EC15" s="492">
        <v>37.519584905660381</v>
      </c>
      <c r="ED15" s="492">
        <v>6.0990500000000001</v>
      </c>
      <c r="EE15" s="492">
        <v>24.646226415094336</v>
      </c>
      <c r="EF15" s="492">
        <v>79.153849056603789</v>
      </c>
      <c r="EG15" s="492">
        <v>18.873820754716981</v>
      </c>
      <c r="EH15" s="492">
        <v>0.26415094339622602</v>
      </c>
      <c r="EI15" s="492"/>
      <c r="EJ15" s="492"/>
      <c r="EK15" s="492"/>
      <c r="EL15" s="492"/>
      <c r="EM15" s="492">
        <v>112</v>
      </c>
      <c r="EN15" s="493">
        <f t="shared" si="22"/>
        <v>284.79668207547172</v>
      </c>
      <c r="EO15" s="492"/>
      <c r="EP15" s="492"/>
      <c r="EQ15" s="492"/>
      <c r="ER15" s="492"/>
      <c r="ES15" s="492"/>
      <c r="ET15" s="492"/>
      <c r="EU15" s="492"/>
      <c r="EV15" s="492"/>
      <c r="EW15" s="492"/>
      <c r="EX15" s="492"/>
      <c r="EY15" s="492"/>
      <c r="EZ15" s="492"/>
      <c r="FA15" s="493">
        <f t="shared" si="23"/>
        <v>0</v>
      </c>
      <c r="FC15" s="595" t="str">
        <f t="shared" si="24"/>
        <v/>
      </c>
      <c r="FD15" s="596">
        <f t="shared" si="25"/>
        <v>36.895155775558422</v>
      </c>
      <c r="FE15" s="498">
        <f t="shared" si="26"/>
        <v>208.04</v>
      </c>
      <c r="FF15" s="597">
        <f t="shared" si="27"/>
        <v>284.79668207547172</v>
      </c>
      <c r="FG15" s="624"/>
      <c r="FH15" s="690"/>
      <c r="FI15" s="551">
        <f t="shared" si="28"/>
        <v>8871.1013641509398</v>
      </c>
      <c r="FJ15" s="491" t="s">
        <v>54</v>
      </c>
      <c r="FK15" s="554" t="str">
        <f t="shared" si="29"/>
        <v>OK</v>
      </c>
    </row>
    <row r="16" spans="1:167" ht="15" customHeight="1" x14ac:dyDescent="0.25">
      <c r="A16" s="610" t="s">
        <v>55</v>
      </c>
      <c r="B16" s="656">
        <v>223.42899999999997</v>
      </c>
      <c r="C16" s="492">
        <v>476.96</v>
      </c>
      <c r="D16" s="492">
        <v>355</v>
      </c>
      <c r="E16" s="492">
        <v>84</v>
      </c>
      <c r="F16" s="492">
        <v>161</v>
      </c>
      <c r="G16" s="492">
        <v>219</v>
      </c>
      <c r="H16" s="492">
        <v>23</v>
      </c>
      <c r="I16" s="492">
        <v>126</v>
      </c>
      <c r="J16" s="492">
        <v>299</v>
      </c>
      <c r="K16" s="492">
        <v>381</v>
      </c>
      <c r="L16" s="492">
        <v>687</v>
      </c>
      <c r="M16" s="492">
        <v>474</v>
      </c>
      <c r="N16" s="493">
        <f t="shared" si="12"/>
        <v>3509.3890000000001</v>
      </c>
      <c r="O16" s="656">
        <v>642</v>
      </c>
      <c r="P16" s="492">
        <v>632</v>
      </c>
      <c r="Q16" s="492">
        <v>712</v>
      </c>
      <c r="R16" s="492">
        <v>648</v>
      </c>
      <c r="S16" s="492">
        <v>793</v>
      </c>
      <c r="T16" s="492">
        <v>487</v>
      </c>
      <c r="U16" s="492">
        <v>640</v>
      </c>
      <c r="V16" s="492">
        <v>215</v>
      </c>
      <c r="W16" s="492">
        <v>170</v>
      </c>
      <c r="X16" s="492">
        <v>490</v>
      </c>
      <c r="Y16" s="492">
        <v>139</v>
      </c>
      <c r="Z16" s="492">
        <v>466</v>
      </c>
      <c r="AA16" s="493">
        <f t="shared" si="13"/>
        <v>6034</v>
      </c>
      <c r="AB16" s="656">
        <v>330</v>
      </c>
      <c r="AC16" s="492">
        <v>678</v>
      </c>
      <c r="AD16" s="492">
        <v>255</v>
      </c>
      <c r="AE16" s="492">
        <v>611.61199999999997</v>
      </c>
      <c r="AF16" s="492">
        <v>968.95500000000004</v>
      </c>
      <c r="AG16" s="492">
        <v>378</v>
      </c>
      <c r="AH16" s="492">
        <v>681</v>
      </c>
      <c r="AI16" s="492">
        <v>639</v>
      </c>
      <c r="AJ16" s="492">
        <v>1743</v>
      </c>
      <c r="AK16" s="492">
        <v>1080</v>
      </c>
      <c r="AL16" s="492">
        <v>927</v>
      </c>
      <c r="AM16" s="492">
        <v>1197</v>
      </c>
      <c r="AN16" s="493">
        <f t="shared" si="14"/>
        <v>9488.5669999999991</v>
      </c>
      <c r="AO16" s="656">
        <v>1677.3440000000001</v>
      </c>
      <c r="AP16" s="492">
        <v>1316.9580000000001</v>
      </c>
      <c r="AQ16" s="492">
        <v>2038.5030000000002</v>
      </c>
      <c r="AR16" s="492">
        <v>2519.3490000000002</v>
      </c>
      <c r="AS16" s="492">
        <v>1807.5770000000002</v>
      </c>
      <c r="AT16" s="492">
        <v>2416.2080000000001</v>
      </c>
      <c r="AU16" s="492">
        <v>1420.27</v>
      </c>
      <c r="AV16" s="492">
        <v>1064.8979999999999</v>
      </c>
      <c r="AW16" s="492">
        <v>1036.374</v>
      </c>
      <c r="AX16" s="492">
        <v>1453.2950000000001</v>
      </c>
      <c r="AY16" s="492">
        <v>2014.567</v>
      </c>
      <c r="AZ16" s="492">
        <v>2030.902</v>
      </c>
      <c r="BA16" s="493">
        <f t="shared" si="15"/>
        <v>20796.244999999995</v>
      </c>
      <c r="BB16" s="656">
        <v>1347.1979999999999</v>
      </c>
      <c r="BC16" s="492">
        <v>1565.415</v>
      </c>
      <c r="BD16" s="492">
        <v>2036.472</v>
      </c>
      <c r="BE16" s="492">
        <v>2136.239</v>
      </c>
      <c r="BF16" s="492">
        <v>19.584</v>
      </c>
      <c r="BG16" s="492">
        <v>371.84800000000001</v>
      </c>
      <c r="BH16" s="492">
        <v>81.111999999999995</v>
      </c>
      <c r="BI16" s="492">
        <v>27.611000000000001</v>
      </c>
      <c r="BJ16" s="492">
        <v>10.842000000000001</v>
      </c>
      <c r="BK16" s="492"/>
      <c r="BL16" s="492"/>
      <c r="BM16" s="492">
        <v>3.3250000000000002</v>
      </c>
      <c r="BN16" s="493">
        <f t="shared" si="16"/>
        <v>7599.6459999999997</v>
      </c>
      <c r="BO16" s="656">
        <v>2384</v>
      </c>
      <c r="BP16" s="492">
        <v>1380</v>
      </c>
      <c r="BQ16" s="492">
        <v>1327</v>
      </c>
      <c r="BR16" s="492"/>
      <c r="BS16" s="492"/>
      <c r="BT16" s="492">
        <v>1178</v>
      </c>
      <c r="BU16" s="492">
        <v>2947</v>
      </c>
      <c r="BV16" s="492">
        <v>2973</v>
      </c>
      <c r="BW16" s="492">
        <v>14138</v>
      </c>
      <c r="BX16" s="492">
        <v>4782.2560000000003</v>
      </c>
      <c r="BY16" s="492">
        <v>4198.7650000000003</v>
      </c>
      <c r="BZ16" s="492">
        <v>4331.2209999999995</v>
      </c>
      <c r="CA16" s="493">
        <f t="shared" si="17"/>
        <v>39639.241999999998</v>
      </c>
      <c r="CB16" s="656">
        <v>19341.384999999998</v>
      </c>
      <c r="CC16" s="492">
        <v>7921.7359999999999</v>
      </c>
      <c r="CD16" s="492">
        <v>3784.223</v>
      </c>
      <c r="CE16" s="492">
        <v>3637.68</v>
      </c>
      <c r="CF16" s="492">
        <v>2517.107</v>
      </c>
      <c r="CG16" s="492">
        <v>1024.4680000000001</v>
      </c>
      <c r="CH16" s="492">
        <v>971.12400000000002</v>
      </c>
      <c r="CI16" s="492">
        <v>1490.8869999999999</v>
      </c>
      <c r="CJ16" s="492">
        <v>2489.904</v>
      </c>
      <c r="CK16" s="492">
        <v>2397.4389999999999</v>
      </c>
      <c r="CL16" s="492">
        <v>2336.42</v>
      </c>
      <c r="CM16" s="492">
        <v>3075.056</v>
      </c>
      <c r="CN16" s="493">
        <f t="shared" si="18"/>
        <v>50987.428999999996</v>
      </c>
      <c r="CO16" s="656">
        <v>2153.9859999999999</v>
      </c>
      <c r="CP16" s="492">
        <v>2934.0889999999999</v>
      </c>
      <c r="CQ16" s="492">
        <v>3578.0909999999999</v>
      </c>
      <c r="CR16" s="492">
        <v>2549.0300000000002</v>
      </c>
      <c r="CS16" s="492">
        <v>3514.57</v>
      </c>
      <c r="CT16" s="492">
        <v>3629.0639999999999</v>
      </c>
      <c r="CU16" s="492">
        <v>2418.1669999999999</v>
      </c>
      <c r="CV16" s="492">
        <v>25402</v>
      </c>
      <c r="CW16" s="492">
        <v>4433.4340000000002</v>
      </c>
      <c r="CX16" s="492">
        <v>3723.4090000000001</v>
      </c>
      <c r="CY16" s="492">
        <v>1543.893</v>
      </c>
      <c r="CZ16" s="492">
        <v>3869.2750000000001</v>
      </c>
      <c r="DA16" s="493">
        <f t="shared" si="19"/>
        <v>59749.008000000009</v>
      </c>
      <c r="DB16" s="656">
        <v>2970.7539999999999</v>
      </c>
      <c r="DC16" s="492">
        <v>4555.1890000000003</v>
      </c>
      <c r="DD16" s="492">
        <v>4225.8850000000002</v>
      </c>
      <c r="DE16" s="492">
        <v>3369.529</v>
      </c>
      <c r="DF16" s="492">
        <v>1597.32</v>
      </c>
      <c r="DG16" s="492">
        <v>1390.2750000000001</v>
      </c>
      <c r="DH16" s="492">
        <v>914.952</v>
      </c>
      <c r="DI16" s="492">
        <v>662.10199999999998</v>
      </c>
      <c r="DJ16" s="492">
        <v>324.161</v>
      </c>
      <c r="DK16" s="492">
        <v>264.68400000000003</v>
      </c>
      <c r="DL16" s="492">
        <v>116.446</v>
      </c>
      <c r="DM16" s="492">
        <v>1263.1990000000001</v>
      </c>
      <c r="DN16" s="493">
        <f t="shared" si="20"/>
        <v>21654.496000000006</v>
      </c>
      <c r="DO16" s="656">
        <v>38.137</v>
      </c>
      <c r="DP16" s="492">
        <v>13.135999999999999</v>
      </c>
      <c r="DQ16" s="492">
        <v>825.17899999999997</v>
      </c>
      <c r="DR16" s="492">
        <v>746.59</v>
      </c>
      <c r="DS16" s="492">
        <v>1292.05</v>
      </c>
      <c r="DT16" s="492">
        <v>823.8</v>
      </c>
      <c r="DU16" s="492">
        <v>887.9</v>
      </c>
      <c r="DV16" s="492">
        <v>301.39400000000001</v>
      </c>
      <c r="DW16" s="492">
        <v>211.88</v>
      </c>
      <c r="DX16" s="492">
        <v>528.24</v>
      </c>
      <c r="DY16" s="492">
        <v>198.19</v>
      </c>
      <c r="DZ16" s="492">
        <v>362.57</v>
      </c>
      <c r="EA16" s="493">
        <f t="shared" si="21"/>
        <v>6229.0659999999989</v>
      </c>
      <c r="EB16" s="656">
        <v>1010.4418669811324</v>
      </c>
      <c r="EC16" s="492">
        <v>1534.5790066037728</v>
      </c>
      <c r="ED16" s="492">
        <v>1226.6708267924532</v>
      </c>
      <c r="EE16" s="492">
        <v>1295.8201816730907</v>
      </c>
      <c r="EF16" s="492">
        <v>1063.468484516284</v>
      </c>
      <c r="EG16" s="492">
        <v>1226.5941056591691</v>
      </c>
      <c r="EH16" s="492">
        <v>1605.2402037735856</v>
      </c>
      <c r="EI16" s="492">
        <v>744.45951844339572</v>
      </c>
      <c r="EJ16" s="492">
        <v>763.80026886681139</v>
      </c>
      <c r="EK16" s="492">
        <v>458.31159905660382</v>
      </c>
      <c r="EL16" s="492">
        <v>300.31832452828803</v>
      </c>
      <c r="EM16" s="492">
        <v>501.61907326438239</v>
      </c>
      <c r="EN16" s="493">
        <f t="shared" si="22"/>
        <v>11731.32346015897</v>
      </c>
      <c r="EO16" s="492"/>
      <c r="EP16" s="492"/>
      <c r="EQ16" s="492"/>
      <c r="ER16" s="492"/>
      <c r="ES16" s="492"/>
      <c r="ET16" s="492"/>
      <c r="EU16" s="492"/>
      <c r="EV16" s="492"/>
      <c r="EW16" s="492"/>
      <c r="EX16" s="492"/>
      <c r="EY16" s="492"/>
      <c r="EZ16" s="492"/>
      <c r="FA16" s="493">
        <f t="shared" si="23"/>
        <v>0</v>
      </c>
      <c r="FC16" s="595">
        <f t="shared" si="24"/>
        <v>38.350959335957867</v>
      </c>
      <c r="FD16" s="596">
        <f t="shared" si="25"/>
        <v>88.331982036455742</v>
      </c>
      <c r="FE16" s="498">
        <f t="shared" si="26"/>
        <v>6229.0659999999989</v>
      </c>
      <c r="FF16" s="597">
        <f t="shared" si="27"/>
        <v>11731.32346015897</v>
      </c>
      <c r="FG16" s="624"/>
      <c r="FH16" s="690"/>
      <c r="FI16" s="551">
        <f t="shared" si="28"/>
        <v>474836.82292031794</v>
      </c>
      <c r="FJ16" s="491" t="s">
        <v>55</v>
      </c>
      <c r="FK16" s="554" t="str">
        <f t="shared" si="29"/>
        <v>OK</v>
      </c>
    </row>
    <row r="17" spans="1:167" ht="15" customHeight="1" x14ac:dyDescent="0.25">
      <c r="A17" s="610" t="s">
        <v>56</v>
      </c>
      <c r="B17" s="656">
        <v>139.114</v>
      </c>
      <c r="C17" s="492">
        <f>376.438+77.215</f>
        <v>453.65300000000002</v>
      </c>
      <c r="D17" s="492">
        <v>494</v>
      </c>
      <c r="E17" s="492">
        <v>425</v>
      </c>
      <c r="F17" s="492">
        <v>199</v>
      </c>
      <c r="G17" s="492">
        <v>133</v>
      </c>
      <c r="H17" s="492">
        <v>69</v>
      </c>
      <c r="I17" s="492">
        <v>73</v>
      </c>
      <c r="J17" s="492">
        <v>20</v>
      </c>
      <c r="K17" s="492">
        <v>246</v>
      </c>
      <c r="L17" s="492">
        <v>58</v>
      </c>
      <c r="M17" s="492">
        <v>287</v>
      </c>
      <c r="N17" s="493">
        <f t="shared" si="12"/>
        <v>2596.7669999999998</v>
      </c>
      <c r="O17" s="656">
        <v>134</v>
      </c>
      <c r="P17" s="492">
        <v>34</v>
      </c>
      <c r="Q17" s="492">
        <v>104</v>
      </c>
      <c r="R17" s="492">
        <v>118</v>
      </c>
      <c r="S17" s="492">
        <v>83</v>
      </c>
      <c r="T17" s="492">
        <v>51</v>
      </c>
      <c r="U17" s="492"/>
      <c r="V17" s="492">
        <v>37</v>
      </c>
      <c r="W17" s="492">
        <v>59</v>
      </c>
      <c r="X17" s="492">
        <v>128</v>
      </c>
      <c r="Y17" s="492">
        <v>196</v>
      </c>
      <c r="Z17" s="492">
        <v>122</v>
      </c>
      <c r="AA17" s="493">
        <f t="shared" si="13"/>
        <v>1066</v>
      </c>
      <c r="AB17" s="656">
        <v>181</v>
      </c>
      <c r="AC17" s="492">
        <v>432</v>
      </c>
      <c r="AD17" s="492">
        <v>153</v>
      </c>
      <c r="AE17" s="492">
        <v>279.58699999999999</v>
      </c>
      <c r="AF17" s="492">
        <v>231.85700000000003</v>
      </c>
      <c r="AG17" s="492">
        <v>200</v>
      </c>
      <c r="AH17" s="492">
        <v>172</v>
      </c>
      <c r="AI17" s="492">
        <v>50</v>
      </c>
      <c r="AJ17" s="492">
        <v>97</v>
      </c>
      <c r="AK17" s="492">
        <v>468</v>
      </c>
      <c r="AL17" s="492">
        <v>1209</v>
      </c>
      <c r="AM17" s="492">
        <v>1965</v>
      </c>
      <c r="AN17" s="493">
        <f t="shared" si="14"/>
        <v>5438.4439999999995</v>
      </c>
      <c r="AO17" s="656">
        <v>1247</v>
      </c>
      <c r="AP17" s="492">
        <v>605</v>
      </c>
      <c r="AQ17" s="492">
        <v>554</v>
      </c>
      <c r="AR17" s="492">
        <v>791.90800000000002</v>
      </c>
      <c r="AS17" s="492">
        <v>303.97000000000003</v>
      </c>
      <c r="AT17" s="492">
        <v>518.82399999999996</v>
      </c>
      <c r="AU17" s="492">
        <v>310.887</v>
      </c>
      <c r="AV17" s="492">
        <v>855</v>
      </c>
      <c r="AW17" s="492">
        <v>795</v>
      </c>
      <c r="AX17" s="492">
        <v>1693</v>
      </c>
      <c r="AY17" s="492">
        <v>1985.345</v>
      </c>
      <c r="AZ17" s="492">
        <v>1413.328</v>
      </c>
      <c r="BA17" s="493">
        <f t="shared" si="15"/>
        <v>11073.261999999999</v>
      </c>
      <c r="BB17" s="656">
        <v>1362</v>
      </c>
      <c r="BC17" s="492">
        <v>1407</v>
      </c>
      <c r="BD17" s="492">
        <v>1413</v>
      </c>
      <c r="BE17" s="492">
        <v>1303.7170000000001</v>
      </c>
      <c r="BF17" s="492">
        <v>683.28599999999994</v>
      </c>
      <c r="BG17" s="492">
        <v>870.62800000000004</v>
      </c>
      <c r="BH17" s="492">
        <v>560.399</v>
      </c>
      <c r="BI17" s="492">
        <v>764.26099999999997</v>
      </c>
      <c r="BJ17" s="492">
        <v>790.62400000000002</v>
      </c>
      <c r="BK17" s="492">
        <v>669.774</v>
      </c>
      <c r="BL17" s="492">
        <v>981.23800000000006</v>
      </c>
      <c r="BM17" s="492">
        <v>95.426000000000002</v>
      </c>
      <c r="BN17" s="493">
        <f t="shared" si="16"/>
        <v>10901.352999999999</v>
      </c>
      <c r="BO17" s="656">
        <v>1411</v>
      </c>
      <c r="BP17" s="492">
        <v>1230</v>
      </c>
      <c r="BQ17" s="492">
        <v>600</v>
      </c>
      <c r="BR17" s="492"/>
      <c r="BS17" s="492">
        <v>112</v>
      </c>
      <c r="BT17" s="492">
        <v>918</v>
      </c>
      <c r="BU17" s="492">
        <v>396</v>
      </c>
      <c r="BV17" s="492">
        <v>284</v>
      </c>
      <c r="BW17" s="492">
        <v>420</v>
      </c>
      <c r="BX17" s="492">
        <v>3467.8009999999999</v>
      </c>
      <c r="BY17" s="492">
        <v>2559.4580000000001</v>
      </c>
      <c r="BZ17" s="492">
        <v>3177.7420000000002</v>
      </c>
      <c r="CA17" s="493">
        <f t="shared" si="17"/>
        <v>14576.001</v>
      </c>
      <c r="CB17" s="656">
        <v>2877.7220000000002</v>
      </c>
      <c r="CC17" s="492">
        <v>6132.8710000000001</v>
      </c>
      <c r="CD17" s="492">
        <v>3076.3519999999999</v>
      </c>
      <c r="CE17" s="492">
        <v>2433.4940000000001</v>
      </c>
      <c r="CF17" s="492">
        <v>1754.538</v>
      </c>
      <c r="CG17" s="492">
        <v>757.072</v>
      </c>
      <c r="CH17" s="492">
        <v>937.37400000000002</v>
      </c>
      <c r="CI17" s="492">
        <v>906.76599999999996</v>
      </c>
      <c r="CJ17" s="492">
        <v>1796.018</v>
      </c>
      <c r="CK17" s="492">
        <v>2864.3180000000002</v>
      </c>
      <c r="CL17" s="492">
        <v>2030.049</v>
      </c>
      <c r="CM17" s="492">
        <v>2400.8589999999999</v>
      </c>
      <c r="CN17" s="493">
        <f t="shared" si="18"/>
        <v>27967.432999999997</v>
      </c>
      <c r="CO17" s="656">
        <v>1384.873</v>
      </c>
      <c r="CP17" s="492">
        <v>2104.0839999999998</v>
      </c>
      <c r="CQ17" s="492">
        <v>2142.2429999999999</v>
      </c>
      <c r="CR17" s="492">
        <v>1690.124</v>
      </c>
      <c r="CS17" s="492">
        <v>1875.867</v>
      </c>
      <c r="CT17" s="492">
        <v>1113.6690000000001</v>
      </c>
      <c r="CU17" s="492">
        <v>1169.06</v>
      </c>
      <c r="CV17" s="492">
        <v>2115.1990000000001</v>
      </c>
      <c r="CW17" s="492">
        <v>2925.9259999999999</v>
      </c>
      <c r="CX17" s="492">
        <v>2415.0100000000002</v>
      </c>
      <c r="CY17" s="492">
        <v>57.896000000000001</v>
      </c>
      <c r="CZ17" s="492">
        <v>2302.759</v>
      </c>
      <c r="DA17" s="493">
        <f t="shared" si="19"/>
        <v>21296.71</v>
      </c>
      <c r="DB17" s="656">
        <v>1396.154</v>
      </c>
      <c r="DC17" s="492">
        <v>1364.624</v>
      </c>
      <c r="DD17" s="492">
        <v>2638.1559999999999</v>
      </c>
      <c r="DE17" s="492">
        <v>1918.4259999999999</v>
      </c>
      <c r="DF17" s="492">
        <v>1097.23</v>
      </c>
      <c r="DG17" s="492">
        <v>982.68899999999996</v>
      </c>
      <c r="DH17" s="492">
        <v>620.02</v>
      </c>
      <c r="DI17" s="492">
        <v>739.26199999999994</v>
      </c>
      <c r="DJ17" s="492">
        <v>1366.854</v>
      </c>
      <c r="DK17" s="492">
        <v>1028.0119999999999</v>
      </c>
      <c r="DL17" s="492">
        <v>564.85400000000004</v>
      </c>
      <c r="DM17" s="492">
        <v>2295.8119999999999</v>
      </c>
      <c r="DN17" s="493">
        <f t="shared" si="20"/>
        <v>16012.093000000001</v>
      </c>
      <c r="DO17" s="656">
        <v>47.259</v>
      </c>
      <c r="DP17" s="492">
        <v>43.62</v>
      </c>
      <c r="DQ17" s="492">
        <v>2151.7809999999999</v>
      </c>
      <c r="DR17" s="492">
        <v>933.71690000000001</v>
      </c>
      <c r="DS17" s="492">
        <v>232.822</v>
      </c>
      <c r="DT17" s="492">
        <v>31.1</v>
      </c>
      <c r="DU17" s="492">
        <v>72.8</v>
      </c>
      <c r="DV17" s="492">
        <v>31.21</v>
      </c>
      <c r="DW17" s="492">
        <v>64.66</v>
      </c>
      <c r="DX17" s="492">
        <v>149.85</v>
      </c>
      <c r="DY17" s="492">
        <v>160.58699999999999</v>
      </c>
      <c r="DZ17" s="492">
        <v>70.17</v>
      </c>
      <c r="EA17" s="493">
        <f t="shared" si="21"/>
        <v>3989.5758999999998</v>
      </c>
      <c r="EB17" s="656">
        <v>917.41</v>
      </c>
      <c r="EC17" s="492">
        <v>641.54</v>
      </c>
      <c r="ED17" s="492">
        <v>592.14</v>
      </c>
      <c r="EE17" s="492">
        <v>379.38</v>
      </c>
      <c r="EF17" s="492">
        <v>182.47</v>
      </c>
      <c r="EG17" s="492">
        <v>61.77</v>
      </c>
      <c r="EH17" s="492">
        <v>120.21299999999999</v>
      </c>
      <c r="EI17" s="492">
        <v>215.31200000000001</v>
      </c>
      <c r="EJ17" s="492">
        <v>248.6</v>
      </c>
      <c r="EK17" s="492">
        <v>129.9</v>
      </c>
      <c r="EL17" s="492">
        <v>202</v>
      </c>
      <c r="EM17" s="492">
        <v>282</v>
      </c>
      <c r="EN17" s="493">
        <f t="shared" si="22"/>
        <v>3972.7349999999997</v>
      </c>
      <c r="EO17" s="492"/>
      <c r="EP17" s="492"/>
      <c r="EQ17" s="492"/>
      <c r="ER17" s="492"/>
      <c r="ES17" s="492"/>
      <c r="ET17" s="492"/>
      <c r="EU17" s="492"/>
      <c r="EV17" s="492"/>
      <c r="EW17" s="492"/>
      <c r="EX17" s="492"/>
      <c r="EY17" s="492"/>
      <c r="EZ17" s="492"/>
      <c r="FA17" s="493">
        <f t="shared" si="23"/>
        <v>0</v>
      </c>
      <c r="FC17" s="595">
        <f t="shared" si="24"/>
        <v>301.88114578879868</v>
      </c>
      <c r="FD17" s="596">
        <f t="shared" si="25"/>
        <v>-0.4221225619495117</v>
      </c>
      <c r="FE17" s="498">
        <f t="shared" si="26"/>
        <v>3989.5758999999998</v>
      </c>
      <c r="FF17" s="597">
        <f t="shared" si="27"/>
        <v>3972.7349999999997</v>
      </c>
      <c r="FG17" s="624"/>
      <c r="FH17" s="690"/>
      <c r="FI17" s="551">
        <f t="shared" si="28"/>
        <v>237780.74779999992</v>
      </c>
      <c r="FJ17" s="491" t="s">
        <v>56</v>
      </c>
      <c r="FK17" s="554" t="str">
        <f t="shared" si="29"/>
        <v>OK</v>
      </c>
    </row>
    <row r="18" spans="1:167" ht="15" customHeight="1" x14ac:dyDescent="0.25">
      <c r="A18" s="610" t="s">
        <v>57</v>
      </c>
      <c r="B18" s="656">
        <v>5.2210000000000001</v>
      </c>
      <c r="C18" s="492">
        <v>1.8859999999999999</v>
      </c>
      <c r="D18" s="492">
        <v>135</v>
      </c>
      <c r="E18" s="492">
        <v>6</v>
      </c>
      <c r="F18" s="492">
        <v>27</v>
      </c>
      <c r="G18" s="492">
        <v>15</v>
      </c>
      <c r="H18" s="492">
        <v>6</v>
      </c>
      <c r="I18" s="492">
        <v>10</v>
      </c>
      <c r="J18" s="492">
        <v>23</v>
      </c>
      <c r="K18" s="492">
        <v>118</v>
      </c>
      <c r="L18" s="492"/>
      <c r="M18" s="492"/>
      <c r="N18" s="493">
        <f t="shared" si="12"/>
        <v>347.10699999999997</v>
      </c>
      <c r="O18" s="656">
        <v>15</v>
      </c>
      <c r="P18" s="492">
        <v>6</v>
      </c>
      <c r="Q18" s="492">
        <v>11</v>
      </c>
      <c r="R18" s="492">
        <v>42</v>
      </c>
      <c r="S18" s="492">
        <v>111</v>
      </c>
      <c r="T18" s="492">
        <v>72</v>
      </c>
      <c r="U18" s="492">
        <v>12</v>
      </c>
      <c r="V18" s="492"/>
      <c r="W18" s="492">
        <v>25</v>
      </c>
      <c r="X18" s="492">
        <v>62</v>
      </c>
      <c r="Y18" s="492"/>
      <c r="Z18" s="492">
        <v>93</v>
      </c>
      <c r="AA18" s="493">
        <f t="shared" si="13"/>
        <v>449</v>
      </c>
      <c r="AB18" s="656">
        <v>2</v>
      </c>
      <c r="AC18" s="492">
        <v>216</v>
      </c>
      <c r="AD18" s="492">
        <v>26</v>
      </c>
      <c r="AE18" s="492">
        <v>132.63399999999999</v>
      </c>
      <c r="AF18" s="492">
        <v>324.77100000000002</v>
      </c>
      <c r="AG18" s="492">
        <v>172</v>
      </c>
      <c r="AH18" s="492">
        <v>44</v>
      </c>
      <c r="AI18" s="492">
        <v>45</v>
      </c>
      <c r="AJ18" s="492">
        <v>12</v>
      </c>
      <c r="AK18" s="492">
        <v>32</v>
      </c>
      <c r="AL18" s="492">
        <v>109</v>
      </c>
      <c r="AM18" s="492">
        <v>269</v>
      </c>
      <c r="AN18" s="493">
        <f t="shared" si="14"/>
        <v>1384.405</v>
      </c>
      <c r="AO18" s="656">
        <v>117.69499999999999</v>
      </c>
      <c r="AP18" s="492">
        <v>496.17</v>
      </c>
      <c r="AQ18" s="492">
        <v>506.59199999999998</v>
      </c>
      <c r="AR18" s="492">
        <v>631.61900000000003</v>
      </c>
      <c r="AS18" s="492">
        <v>334.39600000000002</v>
      </c>
      <c r="AT18" s="492">
        <v>310.60500000000002</v>
      </c>
      <c r="AU18" s="492">
        <v>171.27</v>
      </c>
      <c r="AV18" s="492">
        <v>159.09899999999999</v>
      </c>
      <c r="AW18" s="492">
        <v>89.760999999999996</v>
      </c>
      <c r="AX18" s="492">
        <v>259.22300000000001</v>
      </c>
      <c r="AY18" s="492">
        <v>313.95100000000002</v>
      </c>
      <c r="AZ18" s="492">
        <v>138.65600000000001</v>
      </c>
      <c r="BA18" s="493">
        <f t="shared" si="15"/>
        <v>3529.0370000000003</v>
      </c>
      <c r="BB18" s="656">
        <v>57.953000000000003</v>
      </c>
      <c r="BC18" s="492">
        <v>60</v>
      </c>
      <c r="BD18" s="492">
        <v>316.06099999999998</v>
      </c>
      <c r="BE18" s="492">
        <v>388.79300000000001</v>
      </c>
      <c r="BF18" s="492">
        <v>32.459000000000003</v>
      </c>
      <c r="BG18" s="492"/>
      <c r="BH18" s="492"/>
      <c r="BI18" s="492"/>
      <c r="BJ18" s="492"/>
      <c r="BK18" s="492"/>
      <c r="BL18" s="492"/>
      <c r="BM18" s="492">
        <v>352.65600000000001</v>
      </c>
      <c r="BN18" s="493">
        <f t="shared" si="16"/>
        <v>1207.922</v>
      </c>
      <c r="BO18" s="656">
        <v>256</v>
      </c>
      <c r="BP18" s="492">
        <v>232</v>
      </c>
      <c r="BQ18" s="492">
        <v>337</v>
      </c>
      <c r="BR18" s="492"/>
      <c r="BS18" s="492">
        <v>88</v>
      </c>
      <c r="BT18" s="492">
        <v>272</v>
      </c>
      <c r="BU18" s="492">
        <v>354</v>
      </c>
      <c r="BV18" s="492">
        <v>22</v>
      </c>
      <c r="BW18" s="492">
        <v>385</v>
      </c>
      <c r="BX18" s="492">
        <v>388.21</v>
      </c>
      <c r="BY18" s="492">
        <v>521.53200000000004</v>
      </c>
      <c r="BZ18" s="492">
        <v>167.744</v>
      </c>
      <c r="CA18" s="493">
        <f t="shared" si="17"/>
        <v>3023.4860000000003</v>
      </c>
      <c r="CB18" s="656">
        <v>5194.97</v>
      </c>
      <c r="CC18" s="492">
        <v>833.26700000000005</v>
      </c>
      <c r="CD18" s="492">
        <v>158.041</v>
      </c>
      <c r="CE18" s="492">
        <v>290.06799999999998</v>
      </c>
      <c r="CF18" s="492">
        <v>556.90499999999997</v>
      </c>
      <c r="CG18" s="492">
        <v>789.07799999999997</v>
      </c>
      <c r="CH18" s="492">
        <v>230.44800000000001</v>
      </c>
      <c r="CI18" s="492">
        <v>336.35</v>
      </c>
      <c r="CJ18" s="492">
        <v>386.279</v>
      </c>
      <c r="CK18" s="492">
        <v>349.02199999999999</v>
      </c>
      <c r="CL18" s="492">
        <v>395.80900000000003</v>
      </c>
      <c r="CM18" s="492">
        <v>401.87299999999999</v>
      </c>
      <c r="CN18" s="493">
        <f t="shared" si="18"/>
        <v>9922.11</v>
      </c>
      <c r="CO18" s="656">
        <v>411.80200000000002</v>
      </c>
      <c r="CP18" s="492">
        <v>179.33600000000001</v>
      </c>
      <c r="CQ18" s="492">
        <v>600.92200000000003</v>
      </c>
      <c r="CR18" s="492">
        <v>327.75599999999997</v>
      </c>
      <c r="CS18" s="492">
        <v>393.84800000000001</v>
      </c>
      <c r="CT18" s="492">
        <v>383.108</v>
      </c>
      <c r="CU18" s="492">
        <v>918.65899999999999</v>
      </c>
      <c r="CV18" s="492">
        <v>879.36599999999999</v>
      </c>
      <c r="CW18" s="492">
        <v>457.52100000000002</v>
      </c>
      <c r="CX18" s="492">
        <v>316.83600000000001</v>
      </c>
      <c r="CY18" s="492">
        <v>61.564</v>
      </c>
      <c r="CZ18" s="492">
        <v>376.40800000000002</v>
      </c>
      <c r="DA18" s="493">
        <f t="shared" si="19"/>
        <v>5307.1260000000011</v>
      </c>
      <c r="DB18" s="656">
        <v>198.13300000000001</v>
      </c>
      <c r="DC18" s="492">
        <v>642.87900000000002</v>
      </c>
      <c r="DD18" s="492">
        <v>875.50199999999995</v>
      </c>
      <c r="DE18" s="492">
        <v>499.75900000000001</v>
      </c>
      <c r="DF18" s="492">
        <v>535.20899999999995</v>
      </c>
      <c r="DG18" s="492">
        <v>502.37700000000001</v>
      </c>
      <c r="DH18" s="492">
        <v>294.68700000000001</v>
      </c>
      <c r="DI18" s="492">
        <v>280.36</v>
      </c>
      <c r="DJ18" s="492">
        <v>230.22</v>
      </c>
      <c r="DK18" s="492">
        <v>496.779</v>
      </c>
      <c r="DL18" s="492">
        <v>26.53</v>
      </c>
      <c r="DM18" s="492">
        <v>350.38900000000001</v>
      </c>
      <c r="DN18" s="493">
        <f t="shared" si="20"/>
        <v>4932.8239999999996</v>
      </c>
      <c r="DO18" s="656">
        <v>24.678999999999998</v>
      </c>
      <c r="DP18" s="492">
        <v>25.355</v>
      </c>
      <c r="DQ18" s="492">
        <v>1164.92</v>
      </c>
      <c r="DR18" s="492">
        <v>110.996</v>
      </c>
      <c r="DS18" s="492">
        <v>186.24700000000001</v>
      </c>
      <c r="DT18" s="492">
        <v>79.400000000000006</v>
      </c>
      <c r="DU18" s="492">
        <v>721.5</v>
      </c>
      <c r="DV18" s="492">
        <v>180.917</v>
      </c>
      <c r="DW18" s="492">
        <v>40.420999999999999</v>
      </c>
      <c r="DX18" s="492">
        <v>164.04</v>
      </c>
      <c r="DY18" s="492">
        <v>227.154</v>
      </c>
      <c r="DZ18" s="492">
        <v>106.146</v>
      </c>
      <c r="EA18" s="493">
        <f t="shared" si="21"/>
        <v>3031.7750000000005</v>
      </c>
      <c r="EB18" s="656">
        <v>94.183325471698126</v>
      </c>
      <c r="EC18" s="492">
        <v>109.61489289234112</v>
      </c>
      <c r="ED18" s="492">
        <v>127.85200000000002</v>
      </c>
      <c r="EE18" s="492">
        <v>699.8779150943393</v>
      </c>
      <c r="EF18" s="492">
        <v>304.63288603773594</v>
      </c>
      <c r="EG18" s="492">
        <v>54.47396981132075</v>
      </c>
      <c r="EH18" s="492">
        <v>498.8356905660379</v>
      </c>
      <c r="EI18" s="492">
        <v>101.65637495419735</v>
      </c>
      <c r="EJ18" s="492">
        <v>13.454245283018867</v>
      </c>
      <c r="EK18" s="492">
        <v>22.763301886792451</v>
      </c>
      <c r="EL18" s="492">
        <v>58.76710538931966</v>
      </c>
      <c r="EM18" s="492">
        <v>77.981852106300948</v>
      </c>
      <c r="EN18" s="493">
        <f t="shared" si="22"/>
        <v>2164.0935594931025</v>
      </c>
      <c r="EO18" s="492"/>
      <c r="EP18" s="492"/>
      <c r="EQ18" s="492"/>
      <c r="ER18" s="492"/>
      <c r="ES18" s="492"/>
      <c r="ET18" s="492"/>
      <c r="EU18" s="492"/>
      <c r="EV18" s="492"/>
      <c r="EW18" s="492"/>
      <c r="EX18" s="492"/>
      <c r="EY18" s="492"/>
      <c r="EZ18" s="492"/>
      <c r="FA18" s="493">
        <f t="shared" si="23"/>
        <v>0</v>
      </c>
      <c r="FC18" s="595">
        <f t="shared" si="24"/>
        <v>-26.533404832682393</v>
      </c>
      <c r="FD18" s="596">
        <f t="shared" si="25"/>
        <v>-28.619585573035533</v>
      </c>
      <c r="FE18" s="498">
        <f t="shared" si="26"/>
        <v>3031.7750000000005</v>
      </c>
      <c r="FF18" s="597">
        <f t="shared" si="27"/>
        <v>2164.0935594931025</v>
      </c>
      <c r="FG18" s="624"/>
      <c r="FH18" s="690"/>
      <c r="FI18" s="551">
        <f t="shared" si="28"/>
        <v>70597.771118986231</v>
      </c>
      <c r="FJ18" s="491" t="s">
        <v>57</v>
      </c>
      <c r="FK18" s="554" t="str">
        <f t="shared" si="29"/>
        <v>OK</v>
      </c>
    </row>
    <row r="19" spans="1:167" ht="15" customHeight="1" x14ac:dyDescent="0.25">
      <c r="A19" s="610" t="s">
        <v>58</v>
      </c>
      <c r="B19" s="656">
        <v>821.87099999999998</v>
      </c>
      <c r="C19" s="492">
        <v>415.40800000000002</v>
      </c>
      <c r="D19" s="492">
        <v>298</v>
      </c>
      <c r="E19" s="492">
        <v>284</v>
      </c>
      <c r="F19" s="492">
        <v>271</v>
      </c>
      <c r="G19" s="492">
        <v>142</v>
      </c>
      <c r="H19" s="492">
        <v>232</v>
      </c>
      <c r="I19" s="492">
        <v>155</v>
      </c>
      <c r="J19" s="492">
        <v>434</v>
      </c>
      <c r="K19" s="492">
        <v>811</v>
      </c>
      <c r="L19" s="492">
        <v>618</v>
      </c>
      <c r="M19" s="492">
        <v>1204</v>
      </c>
      <c r="N19" s="493">
        <f t="shared" si="12"/>
        <v>5686.2790000000005</v>
      </c>
      <c r="O19" s="656">
        <v>1110</v>
      </c>
      <c r="P19" s="492">
        <v>1035</v>
      </c>
      <c r="Q19" s="492">
        <v>530</v>
      </c>
      <c r="R19" s="492">
        <v>619</v>
      </c>
      <c r="S19" s="492">
        <v>447</v>
      </c>
      <c r="T19" s="492">
        <v>268</v>
      </c>
      <c r="U19" s="492">
        <v>632</v>
      </c>
      <c r="V19" s="492">
        <v>756</v>
      </c>
      <c r="W19" s="492">
        <v>118</v>
      </c>
      <c r="X19" s="492">
        <v>621</v>
      </c>
      <c r="Y19" s="492">
        <v>424</v>
      </c>
      <c r="Z19" s="492">
        <v>854</v>
      </c>
      <c r="AA19" s="493">
        <f t="shared" si="13"/>
        <v>7414</v>
      </c>
      <c r="AB19" s="656">
        <v>912</v>
      </c>
      <c r="AC19" s="492">
        <v>908</v>
      </c>
      <c r="AD19" s="492">
        <v>697</v>
      </c>
      <c r="AE19" s="492">
        <v>778.61</v>
      </c>
      <c r="AF19" s="492">
        <v>972.17100000000005</v>
      </c>
      <c r="AG19" s="492">
        <v>1391</v>
      </c>
      <c r="AH19" s="492">
        <v>428</v>
      </c>
      <c r="AI19" s="492">
        <v>738</v>
      </c>
      <c r="AJ19" s="492">
        <v>1272</v>
      </c>
      <c r="AK19" s="492">
        <v>1316</v>
      </c>
      <c r="AL19" s="492">
        <v>1331</v>
      </c>
      <c r="AM19" s="492">
        <v>1665</v>
      </c>
      <c r="AN19" s="493">
        <f t="shared" si="14"/>
        <v>12408.780999999999</v>
      </c>
      <c r="AO19" s="656">
        <v>2079</v>
      </c>
      <c r="AP19" s="492">
        <v>1749</v>
      </c>
      <c r="AQ19" s="492">
        <v>2143</v>
      </c>
      <c r="AR19" s="492">
        <v>1968.19</v>
      </c>
      <c r="AS19" s="492">
        <v>2195.7420000000002</v>
      </c>
      <c r="AT19" s="492">
        <v>2454.4690000000001</v>
      </c>
      <c r="AU19" s="492">
        <v>978.14099999999996</v>
      </c>
      <c r="AV19" s="492">
        <v>2219.6930000000002</v>
      </c>
      <c r="AW19" s="492">
        <v>1557</v>
      </c>
      <c r="AX19" s="492">
        <v>2027</v>
      </c>
      <c r="AY19" s="492">
        <v>1843.625</v>
      </c>
      <c r="AZ19" s="492">
        <v>1804.0920000000001</v>
      </c>
      <c r="BA19" s="493">
        <f t="shared" si="15"/>
        <v>23018.952000000001</v>
      </c>
      <c r="BB19" s="656">
        <v>1975.8270000000002</v>
      </c>
      <c r="BC19" s="492">
        <v>1533</v>
      </c>
      <c r="BD19" s="492">
        <v>1813.3789999999999</v>
      </c>
      <c r="BE19" s="492">
        <v>1536.4010000000001</v>
      </c>
      <c r="BF19" s="492">
        <v>109.54</v>
      </c>
      <c r="BG19" s="492">
        <v>79.822000000000003</v>
      </c>
      <c r="BH19" s="492"/>
      <c r="BI19" s="492"/>
      <c r="BJ19" s="492"/>
      <c r="BK19" s="492"/>
      <c r="BL19" s="492"/>
      <c r="BM19" s="492"/>
      <c r="BN19" s="493">
        <f t="shared" si="16"/>
        <v>7047.9690000000001</v>
      </c>
      <c r="BO19" s="656">
        <v>1619</v>
      </c>
      <c r="BP19" s="492">
        <v>1713</v>
      </c>
      <c r="BQ19" s="492">
        <v>1243</v>
      </c>
      <c r="BR19" s="492"/>
      <c r="BS19" s="492">
        <v>29</v>
      </c>
      <c r="BT19" s="492">
        <v>1438</v>
      </c>
      <c r="BU19" s="492">
        <v>1953</v>
      </c>
      <c r="BV19" s="492">
        <v>1814</v>
      </c>
      <c r="BW19" s="492">
        <v>2333</v>
      </c>
      <c r="BX19" s="492">
        <v>3571.9609999999998</v>
      </c>
      <c r="BY19" s="492">
        <v>2270.607</v>
      </c>
      <c r="BZ19" s="492">
        <v>2217.9870000000001</v>
      </c>
      <c r="CA19" s="493">
        <f t="shared" si="17"/>
        <v>20202.555</v>
      </c>
      <c r="CB19" s="656">
        <v>2797.5390000000002</v>
      </c>
      <c r="CC19" s="492">
        <v>5093.7550000000001</v>
      </c>
      <c r="CD19" s="492">
        <v>2401.8580000000002</v>
      </c>
      <c r="CE19" s="492">
        <v>1455.9259999999999</v>
      </c>
      <c r="CF19" s="492">
        <v>1864.8140000000001</v>
      </c>
      <c r="CG19" s="492">
        <v>2132.451</v>
      </c>
      <c r="CH19" s="492">
        <v>1486.152</v>
      </c>
      <c r="CI19" s="492">
        <v>2046.9829999999999</v>
      </c>
      <c r="CJ19" s="492">
        <v>1744.8009999999999</v>
      </c>
      <c r="CK19" s="492">
        <v>2132.9960000000001</v>
      </c>
      <c r="CL19" s="492">
        <v>2004.894</v>
      </c>
      <c r="CM19" s="492">
        <v>2486.4189999999999</v>
      </c>
      <c r="CN19" s="493">
        <f t="shared" si="18"/>
        <v>27648.588000000003</v>
      </c>
      <c r="CO19" s="656">
        <v>2077.4639999999999</v>
      </c>
      <c r="CP19" s="492">
        <v>2111.6950000000002</v>
      </c>
      <c r="CQ19" s="492">
        <v>2064.8069999999998</v>
      </c>
      <c r="CR19" s="492">
        <v>1885.289</v>
      </c>
      <c r="CS19" s="492">
        <v>1973.2760000000001</v>
      </c>
      <c r="CT19" s="492">
        <v>1687.4580000000001</v>
      </c>
      <c r="CU19" s="492">
        <v>1914.2059999999999</v>
      </c>
      <c r="CV19" s="492">
        <v>6094.4610000000002</v>
      </c>
      <c r="CW19" s="492">
        <v>1364.2739999999999</v>
      </c>
      <c r="CX19" s="492">
        <v>1933.0820000000001</v>
      </c>
      <c r="CY19" s="492">
        <v>135.98099999999999</v>
      </c>
      <c r="CZ19" s="492">
        <v>2049.3919999999998</v>
      </c>
      <c r="DA19" s="493">
        <f t="shared" si="19"/>
        <v>25291.384999999998</v>
      </c>
      <c r="DB19" s="656">
        <v>1246.171</v>
      </c>
      <c r="DC19" s="492">
        <v>1725.182</v>
      </c>
      <c r="DD19" s="492">
        <v>5447.9120000000003</v>
      </c>
      <c r="DE19" s="492">
        <v>1920.182</v>
      </c>
      <c r="DF19" s="492">
        <v>1651.5050000000001</v>
      </c>
      <c r="DG19" s="492">
        <v>1167.0039999999999</v>
      </c>
      <c r="DH19" s="492">
        <v>817.42600000000004</v>
      </c>
      <c r="DI19" s="492">
        <v>865.29499999999996</v>
      </c>
      <c r="DJ19" s="492">
        <v>1233.4749999999999</v>
      </c>
      <c r="DK19" s="492">
        <v>603.303</v>
      </c>
      <c r="DL19" s="492">
        <v>221.172</v>
      </c>
      <c r="DM19" s="492">
        <v>984.14099999999996</v>
      </c>
      <c r="DN19" s="493">
        <f t="shared" si="20"/>
        <v>17882.768</v>
      </c>
      <c r="DO19" s="656">
        <v>131.19499999999999</v>
      </c>
      <c r="DP19" s="492">
        <v>42.8</v>
      </c>
      <c r="DQ19" s="492">
        <v>1449.25</v>
      </c>
      <c r="DR19" s="492">
        <v>590.52</v>
      </c>
      <c r="DS19" s="492">
        <v>916.18499999999995</v>
      </c>
      <c r="DT19" s="492">
        <v>571.9</v>
      </c>
      <c r="DU19" s="492">
        <v>761</v>
      </c>
      <c r="DV19" s="492">
        <v>1366.63</v>
      </c>
      <c r="DW19" s="492">
        <v>890.42</v>
      </c>
      <c r="DX19" s="492">
        <v>1257.9100000000001</v>
      </c>
      <c r="DY19" s="492">
        <v>705.40300000000002</v>
      </c>
      <c r="DZ19" s="492">
        <v>557.33000000000004</v>
      </c>
      <c r="EA19" s="493">
        <f t="shared" si="21"/>
        <v>9240.5429999999997</v>
      </c>
      <c r="EB19" s="656">
        <v>1407.97</v>
      </c>
      <c r="EC19" s="492">
        <v>1222.3900000000001</v>
      </c>
      <c r="ED19" s="492">
        <v>1816.84</v>
      </c>
      <c r="EE19" s="492">
        <v>2129</v>
      </c>
      <c r="EF19" s="492">
        <v>2423</v>
      </c>
      <c r="EG19" s="492">
        <v>1509.37</v>
      </c>
      <c r="EH19" s="492">
        <v>1774</v>
      </c>
      <c r="EI19" s="492">
        <v>1664.9690000000001</v>
      </c>
      <c r="EJ19" s="492">
        <v>1713</v>
      </c>
      <c r="EK19" s="492">
        <v>1809.7</v>
      </c>
      <c r="EL19" s="492">
        <v>1779</v>
      </c>
      <c r="EM19" s="492">
        <v>1476</v>
      </c>
      <c r="EN19" s="493">
        <f t="shared" si="22"/>
        <v>20725.239000000001</v>
      </c>
      <c r="EO19" s="492"/>
      <c r="EP19" s="492"/>
      <c r="EQ19" s="492"/>
      <c r="ER19" s="492"/>
      <c r="ES19" s="492"/>
      <c r="ET19" s="492"/>
      <c r="EU19" s="492"/>
      <c r="EV19" s="492"/>
      <c r="EW19" s="492"/>
      <c r="EX19" s="492"/>
      <c r="EY19" s="492"/>
      <c r="EZ19" s="492"/>
      <c r="FA19" s="493">
        <f t="shared" si="23"/>
        <v>0</v>
      </c>
      <c r="FC19" s="595">
        <f t="shared" si="24"/>
        <v>164.83411982129076</v>
      </c>
      <c r="FD19" s="596">
        <f t="shared" si="25"/>
        <v>124.28594293647031</v>
      </c>
      <c r="FE19" s="498">
        <f t="shared" si="26"/>
        <v>9240.5429999999997</v>
      </c>
      <c r="FF19" s="597">
        <f t="shared" si="27"/>
        <v>20725.239000000001</v>
      </c>
      <c r="FG19" s="624"/>
      <c r="FH19" s="690"/>
      <c r="FI19" s="551">
        <f t="shared" si="28"/>
        <v>353134.11800000002</v>
      </c>
      <c r="FJ19" s="491" t="s">
        <v>58</v>
      </c>
      <c r="FK19" s="554" t="str">
        <f t="shared" si="29"/>
        <v>OK</v>
      </c>
    </row>
    <row r="20" spans="1:167" ht="15" customHeight="1" x14ac:dyDescent="0.25">
      <c r="A20" s="610" t="s">
        <v>649</v>
      </c>
      <c r="B20" s="656">
        <v>18.902999999999999</v>
      </c>
      <c r="C20" s="492">
        <v>23.333000000000002</v>
      </c>
      <c r="D20" s="492">
        <v>58</v>
      </c>
      <c r="E20" s="492">
        <v>8</v>
      </c>
      <c r="F20" s="492">
        <v>14</v>
      </c>
      <c r="G20" s="492">
        <v>10</v>
      </c>
      <c r="H20" s="492">
        <v>12</v>
      </c>
      <c r="I20" s="492"/>
      <c r="J20" s="492"/>
      <c r="K20" s="492"/>
      <c r="L20" s="492">
        <v>69</v>
      </c>
      <c r="M20" s="492">
        <v>70</v>
      </c>
      <c r="N20" s="493">
        <f t="shared" si="12"/>
        <v>283.23599999999999</v>
      </c>
      <c r="O20" s="656">
        <v>11</v>
      </c>
      <c r="P20" s="492">
        <v>18</v>
      </c>
      <c r="Q20" s="492">
        <v>9</v>
      </c>
      <c r="R20" s="492">
        <v>3</v>
      </c>
      <c r="S20" s="492"/>
      <c r="T20" s="492"/>
      <c r="U20" s="492">
        <v>15</v>
      </c>
      <c r="V20" s="492">
        <v>4</v>
      </c>
      <c r="W20" s="492">
        <v>19</v>
      </c>
      <c r="X20" s="492"/>
      <c r="Y20" s="492">
        <v>26</v>
      </c>
      <c r="Z20" s="492">
        <v>54</v>
      </c>
      <c r="AA20" s="493">
        <f t="shared" si="13"/>
        <v>159</v>
      </c>
      <c r="AB20" s="656"/>
      <c r="AC20" s="492">
        <v>117</v>
      </c>
      <c r="AD20" s="492">
        <v>13</v>
      </c>
      <c r="AE20" s="492">
        <v>9.4450000000000003</v>
      </c>
      <c r="AF20" s="492">
        <v>26.050999999999998</v>
      </c>
      <c r="AG20" s="492">
        <v>38</v>
      </c>
      <c r="AH20" s="492">
        <v>39</v>
      </c>
      <c r="AI20" s="492">
        <v>14</v>
      </c>
      <c r="AJ20" s="492">
        <v>6</v>
      </c>
      <c r="AK20" s="492"/>
      <c r="AL20" s="492"/>
      <c r="AM20" s="492">
        <v>2</v>
      </c>
      <c r="AN20" s="493">
        <f t="shared" si="14"/>
        <v>264.49599999999998</v>
      </c>
      <c r="AO20" s="656">
        <v>9.3450000000000006</v>
      </c>
      <c r="AP20" s="492">
        <v>59.999000000000002</v>
      </c>
      <c r="AQ20" s="492">
        <v>70.942000000000007</v>
      </c>
      <c r="AR20" s="492">
        <v>29.606000000000002</v>
      </c>
      <c r="AS20" s="492">
        <v>24.707000000000001</v>
      </c>
      <c r="AT20" s="492">
        <v>31.495999999999999</v>
      </c>
      <c r="AU20" s="492">
        <v>50.984999999999999</v>
      </c>
      <c r="AV20" s="492">
        <v>50.147000000000006</v>
      </c>
      <c r="AW20" s="492">
        <v>85.161999999999992</v>
      </c>
      <c r="AX20" s="492">
        <v>89.656000000000006</v>
      </c>
      <c r="AY20" s="492">
        <v>49.7</v>
      </c>
      <c r="AZ20" s="492">
        <v>71.576999999999998</v>
      </c>
      <c r="BA20" s="493">
        <f t="shared" si="15"/>
        <v>623.322</v>
      </c>
      <c r="BB20" s="656">
        <v>100.842</v>
      </c>
      <c r="BC20" s="492">
        <v>66.811000000000007</v>
      </c>
      <c r="BD20" s="492">
        <v>175.53100000000001</v>
      </c>
      <c r="BE20" s="492">
        <v>134.47399999999999</v>
      </c>
      <c r="BF20" s="492"/>
      <c r="BG20" s="492"/>
      <c r="BH20" s="492"/>
      <c r="BI20" s="492"/>
      <c r="BJ20" s="492"/>
      <c r="BK20" s="492"/>
      <c r="BL20" s="492"/>
      <c r="BM20" s="492"/>
      <c r="BN20" s="493">
        <f t="shared" si="16"/>
        <v>477.65800000000002</v>
      </c>
      <c r="BO20" s="656">
        <v>204</v>
      </c>
      <c r="BP20" s="492">
        <v>57</v>
      </c>
      <c r="BQ20" s="492">
        <v>77</v>
      </c>
      <c r="BR20" s="492"/>
      <c r="BS20" s="492"/>
      <c r="BT20" s="492">
        <v>11</v>
      </c>
      <c r="BU20" s="492">
        <v>89</v>
      </c>
      <c r="BV20" s="492">
        <v>124</v>
      </c>
      <c r="BW20" s="492">
        <v>171</v>
      </c>
      <c r="BX20" s="492">
        <v>893.34900000000005</v>
      </c>
      <c r="BY20" s="492">
        <v>550.79700000000003</v>
      </c>
      <c r="BZ20" s="492">
        <v>563.89300000000003</v>
      </c>
      <c r="CA20" s="493">
        <f t="shared" si="17"/>
        <v>2741.0390000000002</v>
      </c>
      <c r="CB20" s="656">
        <v>773.26</v>
      </c>
      <c r="CC20" s="492">
        <v>1208.752</v>
      </c>
      <c r="CD20" s="492">
        <v>607.46</v>
      </c>
      <c r="CE20" s="492">
        <v>283.51299999999998</v>
      </c>
      <c r="CF20" s="492">
        <v>460.25</v>
      </c>
      <c r="CG20" s="492">
        <v>268.53500000000003</v>
      </c>
      <c r="CH20" s="492">
        <v>127.67</v>
      </c>
      <c r="CI20" s="492">
        <v>364.71499999999997</v>
      </c>
      <c r="CJ20" s="492">
        <v>423.00299999999999</v>
      </c>
      <c r="CK20" s="492">
        <v>546.14400000000001</v>
      </c>
      <c r="CL20" s="492">
        <v>623.81600000000003</v>
      </c>
      <c r="CM20" s="492">
        <v>576.72</v>
      </c>
      <c r="CN20" s="493">
        <f t="shared" si="18"/>
        <v>6263.8379999999997</v>
      </c>
      <c r="CO20" s="656">
        <v>604.70399999999995</v>
      </c>
      <c r="CP20" s="492">
        <v>331.21699999999998</v>
      </c>
      <c r="CQ20" s="492">
        <v>514.08199999999999</v>
      </c>
      <c r="CR20" s="492">
        <v>333.09000000000003</v>
      </c>
      <c r="CS20" s="492">
        <v>232.126</v>
      </c>
      <c r="CT20" s="492">
        <v>343.00099999999998</v>
      </c>
      <c r="CU20" s="492">
        <v>323.11</v>
      </c>
      <c r="CV20" s="492">
        <v>388.53800000000001</v>
      </c>
      <c r="CW20" s="492">
        <v>515.59299999999996</v>
      </c>
      <c r="CX20" s="492">
        <v>503.93</v>
      </c>
      <c r="CY20" s="492">
        <v>76.212000000000003</v>
      </c>
      <c r="CZ20" s="492">
        <v>617.88</v>
      </c>
      <c r="DA20" s="493">
        <f t="shared" si="19"/>
        <v>4783.4830000000002</v>
      </c>
      <c r="DB20" s="656">
        <v>558.23500000000001</v>
      </c>
      <c r="DC20" s="492">
        <v>606.62</v>
      </c>
      <c r="DD20" s="492">
        <v>2428.0639999999999</v>
      </c>
      <c r="DE20" s="492">
        <v>468.00900000000001</v>
      </c>
      <c r="DF20" s="492">
        <v>64.762</v>
      </c>
      <c r="DG20" s="492">
        <v>147.386</v>
      </c>
      <c r="DH20" s="492">
        <v>32.670999999999999</v>
      </c>
      <c r="DI20" s="492">
        <v>22.715</v>
      </c>
      <c r="DJ20" s="492">
        <v>57.463000000000001</v>
      </c>
      <c r="DK20" s="492">
        <v>126.154</v>
      </c>
      <c r="DL20" s="492">
        <v>3.4020000000000001</v>
      </c>
      <c r="DM20" s="492">
        <v>68.870999999999995</v>
      </c>
      <c r="DN20" s="493">
        <f t="shared" si="20"/>
        <v>4584.3519999999999</v>
      </c>
      <c r="DO20" s="656"/>
      <c r="DP20" s="492"/>
      <c r="DQ20" s="492">
        <v>379.68</v>
      </c>
      <c r="DR20" s="492">
        <v>124.798</v>
      </c>
      <c r="DS20" s="492">
        <v>50.661000000000001</v>
      </c>
      <c r="DT20" s="492">
        <v>26.4</v>
      </c>
      <c r="DU20" s="492">
        <v>14.3</v>
      </c>
      <c r="DV20" s="492">
        <v>62.796999999999997</v>
      </c>
      <c r="DW20" s="492">
        <v>52.243000000000002</v>
      </c>
      <c r="DX20" s="492">
        <v>23.036999999999999</v>
      </c>
      <c r="DY20" s="492">
        <v>8.2080000000000002</v>
      </c>
      <c r="DZ20" s="492">
        <v>55.15</v>
      </c>
      <c r="EA20" s="493">
        <f t="shared" si="21"/>
        <v>797.274</v>
      </c>
      <c r="EB20" s="656">
        <v>89.507268867924537</v>
      </c>
      <c r="EC20" s="492">
        <v>257.2646520754717</v>
      </c>
      <c r="ED20" s="492">
        <v>46.673532075471705</v>
      </c>
      <c r="EE20" s="492">
        <v>212.82705660377363</v>
      </c>
      <c r="EF20" s="492">
        <v>69.261105660377368</v>
      </c>
      <c r="EG20" s="492">
        <v>8.0597688679245287</v>
      </c>
      <c r="EH20" s="492">
        <v>19.310801886792454</v>
      </c>
      <c r="EI20" s="492">
        <v>108.39288679245284</v>
      </c>
      <c r="EJ20" s="492">
        <v>48.68095283018868</v>
      </c>
      <c r="EK20" s="492">
        <v>48.637716416584141</v>
      </c>
      <c r="EL20" s="492">
        <v>56.077916643498966</v>
      </c>
      <c r="EM20" s="492">
        <v>150.35137264150941</v>
      </c>
      <c r="EN20" s="493">
        <f t="shared" si="22"/>
        <v>1115.0450313619697</v>
      </c>
      <c r="EO20" s="492"/>
      <c r="EP20" s="492"/>
      <c r="EQ20" s="492"/>
      <c r="ER20" s="492"/>
      <c r="ES20" s="492"/>
      <c r="ET20" s="492"/>
      <c r="EU20" s="492"/>
      <c r="EV20" s="492"/>
      <c r="EW20" s="492"/>
      <c r="EX20" s="492"/>
      <c r="EY20" s="492"/>
      <c r="EZ20" s="492"/>
      <c r="FA20" s="493">
        <f t="shared" si="23"/>
        <v>0</v>
      </c>
      <c r="FC20" s="595">
        <f t="shared" si="24"/>
        <v>172.62261585042506</v>
      </c>
      <c r="FD20" s="596">
        <f t="shared" si="25"/>
        <v>39.857192303018742</v>
      </c>
      <c r="FE20" s="498">
        <f t="shared" si="26"/>
        <v>797.274</v>
      </c>
      <c r="FF20" s="597">
        <f t="shared" si="27"/>
        <v>1115.0450313619697</v>
      </c>
      <c r="FG20" s="624"/>
      <c r="FH20" s="690"/>
      <c r="FI20" s="551">
        <f t="shared" si="28"/>
        <v>44185.486062723969</v>
      </c>
      <c r="FJ20" s="491" t="s">
        <v>649</v>
      </c>
      <c r="FK20" s="554" t="str">
        <f t="shared" si="29"/>
        <v>OK</v>
      </c>
    </row>
    <row r="21" spans="1:167" ht="15" customHeight="1" x14ac:dyDescent="0.25">
      <c r="A21" s="610" t="s">
        <v>59</v>
      </c>
      <c r="B21" s="656"/>
      <c r="C21" s="492">
        <v>4.5</v>
      </c>
      <c r="D21" s="492"/>
      <c r="E21" s="492">
        <v>53</v>
      </c>
      <c r="F21" s="492">
        <v>30</v>
      </c>
      <c r="G21" s="492">
        <v>33</v>
      </c>
      <c r="H21" s="492">
        <v>15</v>
      </c>
      <c r="I21" s="492"/>
      <c r="J21" s="492"/>
      <c r="K21" s="492">
        <v>48</v>
      </c>
      <c r="L21" s="492">
        <v>39</v>
      </c>
      <c r="M21" s="492"/>
      <c r="N21" s="493">
        <f t="shared" si="12"/>
        <v>222.5</v>
      </c>
      <c r="O21" s="656"/>
      <c r="P21" s="492"/>
      <c r="Q21" s="492"/>
      <c r="R21" s="492">
        <v>13</v>
      </c>
      <c r="S21" s="492">
        <v>48</v>
      </c>
      <c r="T21" s="492">
        <v>17</v>
      </c>
      <c r="U21" s="492">
        <v>143</v>
      </c>
      <c r="V21" s="492">
        <v>8</v>
      </c>
      <c r="W21" s="492"/>
      <c r="X21" s="492">
        <v>23</v>
      </c>
      <c r="Y21" s="492"/>
      <c r="Z21" s="492"/>
      <c r="AA21" s="493">
        <f t="shared" si="13"/>
        <v>252</v>
      </c>
      <c r="AB21" s="656">
        <v>127</v>
      </c>
      <c r="AC21" s="492">
        <v>8</v>
      </c>
      <c r="AD21" s="492">
        <v>20</v>
      </c>
      <c r="AE21" s="492">
        <v>237.61099999999999</v>
      </c>
      <c r="AF21" s="492">
        <v>287.85899999999998</v>
      </c>
      <c r="AG21" s="492">
        <v>126</v>
      </c>
      <c r="AH21" s="492">
        <v>58</v>
      </c>
      <c r="AI21" s="492">
        <v>56</v>
      </c>
      <c r="AJ21" s="492">
        <v>23</v>
      </c>
      <c r="AK21" s="492"/>
      <c r="AL21" s="492">
        <v>49</v>
      </c>
      <c r="AM21" s="492">
        <v>6</v>
      </c>
      <c r="AN21" s="493">
        <f t="shared" si="14"/>
        <v>998.47</v>
      </c>
      <c r="AO21" s="656">
        <v>105.822</v>
      </c>
      <c r="AP21" s="492">
        <v>198.89699999999999</v>
      </c>
      <c r="AQ21" s="492">
        <v>35.503999999999998</v>
      </c>
      <c r="AR21" s="492">
        <v>114.661</v>
      </c>
      <c r="AS21" s="492">
        <v>34.343000000000004</v>
      </c>
      <c r="AT21" s="492">
        <v>139.82400000000001</v>
      </c>
      <c r="AU21" s="492">
        <v>145.06200000000001</v>
      </c>
      <c r="AV21" s="492">
        <v>277.20499999999998</v>
      </c>
      <c r="AW21" s="492">
        <v>246.32</v>
      </c>
      <c r="AX21" s="492">
        <v>204.624</v>
      </c>
      <c r="AY21" s="492">
        <v>35.668999999999997</v>
      </c>
      <c r="AZ21" s="492">
        <v>184.976</v>
      </c>
      <c r="BA21" s="493">
        <f t="shared" si="15"/>
        <v>1722.9070000000002</v>
      </c>
      <c r="BB21" s="656">
        <v>138.89500000000001</v>
      </c>
      <c r="BC21" s="492">
        <v>107.75</v>
      </c>
      <c r="BD21" s="492">
        <v>82.891000000000005</v>
      </c>
      <c r="BE21" s="492">
        <v>338.30200000000002</v>
      </c>
      <c r="BF21" s="492"/>
      <c r="BG21" s="492"/>
      <c r="BH21" s="492">
        <v>4.0679999999999996</v>
      </c>
      <c r="BI21" s="492">
        <v>11.377000000000001</v>
      </c>
      <c r="BJ21" s="492"/>
      <c r="BK21" s="492"/>
      <c r="BL21" s="492">
        <v>12.821</v>
      </c>
      <c r="BM21" s="492">
        <v>2.9569999999999999</v>
      </c>
      <c r="BN21" s="493">
        <f t="shared" si="16"/>
        <v>699.06099999999992</v>
      </c>
      <c r="BO21" s="656">
        <v>164</v>
      </c>
      <c r="BP21" s="492">
        <v>86</v>
      </c>
      <c r="BQ21" s="492">
        <v>319</v>
      </c>
      <c r="BR21" s="492"/>
      <c r="BS21" s="492">
        <v>38</v>
      </c>
      <c r="BT21" s="492">
        <v>53</v>
      </c>
      <c r="BU21" s="492">
        <v>59</v>
      </c>
      <c r="BV21" s="492">
        <v>166</v>
      </c>
      <c r="BW21" s="492">
        <v>123</v>
      </c>
      <c r="BX21" s="492">
        <v>30.303999999999998</v>
      </c>
      <c r="BY21" s="492">
        <v>253.19200000000001</v>
      </c>
      <c r="BZ21" s="492">
        <v>60.494999999999997</v>
      </c>
      <c r="CA21" s="493">
        <f t="shared" si="17"/>
        <v>1351.991</v>
      </c>
      <c r="CB21" s="656">
        <v>141.99299999999999</v>
      </c>
      <c r="CC21" s="492">
        <v>501.69499999999999</v>
      </c>
      <c r="CD21" s="492">
        <v>95.597999999999999</v>
      </c>
      <c r="CE21" s="492">
        <v>138.34399999999999</v>
      </c>
      <c r="CF21" s="492">
        <v>109.729</v>
      </c>
      <c r="CG21" s="492">
        <v>208.81700000000001</v>
      </c>
      <c r="CH21" s="492">
        <v>126.399</v>
      </c>
      <c r="CI21" s="492">
        <v>69.534999999999997</v>
      </c>
      <c r="CJ21" s="492">
        <v>14.266999999999999</v>
      </c>
      <c r="CK21" s="492">
        <v>101.295</v>
      </c>
      <c r="CL21" s="492">
        <v>76.122</v>
      </c>
      <c r="CM21" s="492">
        <v>172.429</v>
      </c>
      <c r="CN21" s="493">
        <f t="shared" si="18"/>
        <v>1756.2230000000002</v>
      </c>
      <c r="CO21" s="656">
        <v>159.57499999999999</v>
      </c>
      <c r="CP21" s="492">
        <v>56.277000000000001</v>
      </c>
      <c r="CQ21" s="492">
        <v>102.58799999999999</v>
      </c>
      <c r="CR21" s="492">
        <v>64.278000000000006</v>
      </c>
      <c r="CS21" s="492">
        <v>185.96600000000001</v>
      </c>
      <c r="CT21" s="492">
        <v>262.39699999999999</v>
      </c>
      <c r="CU21" s="492">
        <v>373.50099999999998</v>
      </c>
      <c r="CV21" s="492">
        <v>163.65</v>
      </c>
      <c r="CW21" s="492">
        <v>209.4</v>
      </c>
      <c r="CX21" s="492">
        <v>267.221</v>
      </c>
      <c r="CY21" s="492">
        <v>118.143</v>
      </c>
      <c r="CZ21" s="492">
        <v>315.12900000000002</v>
      </c>
      <c r="DA21" s="493">
        <f t="shared" si="19"/>
        <v>2278.125</v>
      </c>
      <c r="DB21" s="656">
        <v>242.67500000000001</v>
      </c>
      <c r="DC21" s="492">
        <v>126.17100000000001</v>
      </c>
      <c r="DD21" s="492">
        <v>124.139</v>
      </c>
      <c r="DE21" s="492">
        <v>105.265</v>
      </c>
      <c r="DF21" s="492">
        <v>41.119</v>
      </c>
      <c r="DG21" s="492">
        <v>311.33999999999997</v>
      </c>
      <c r="DH21" s="492">
        <v>262.88299999999998</v>
      </c>
      <c r="DI21" s="492">
        <v>90.363</v>
      </c>
      <c r="DJ21" s="492">
        <v>148.089</v>
      </c>
      <c r="DK21" s="492">
        <v>22.97</v>
      </c>
      <c r="DL21" s="492">
        <v>82.947999999999993</v>
      </c>
      <c r="DM21" s="492">
        <v>15.63</v>
      </c>
      <c r="DN21" s="493">
        <f t="shared" si="20"/>
        <v>1573.5920000000003</v>
      </c>
      <c r="DO21" s="656">
        <v>5.2779999999999996</v>
      </c>
      <c r="DP21" s="492"/>
      <c r="DQ21" s="492">
        <v>244.5</v>
      </c>
      <c r="DR21" s="492">
        <v>106.818</v>
      </c>
      <c r="DS21" s="492">
        <v>147.26599999999999</v>
      </c>
      <c r="DT21" s="492">
        <v>4.0999999999999996</v>
      </c>
      <c r="DU21" s="492">
        <v>98.4</v>
      </c>
      <c r="DV21" s="492">
        <v>9.0670000000000002</v>
      </c>
      <c r="DW21" s="492">
        <v>133.85</v>
      </c>
      <c r="DX21" s="492">
        <v>143.43600000000001</v>
      </c>
      <c r="DY21" s="492">
        <v>15.465999999999999</v>
      </c>
      <c r="DZ21" s="492">
        <v>72.92</v>
      </c>
      <c r="EA21" s="493">
        <f t="shared" si="21"/>
        <v>981.101</v>
      </c>
      <c r="EB21" s="656">
        <v>3.2069999999999999</v>
      </c>
      <c r="EC21" s="492">
        <v>64.019509433962256</v>
      </c>
      <c r="ED21" s="492">
        <v>43.24</v>
      </c>
      <c r="EE21" s="492">
        <v>71.239572848349198</v>
      </c>
      <c r="EF21" s="492">
        <v>37.278008487028089</v>
      </c>
      <c r="EG21" s="492">
        <v>33.83925</v>
      </c>
      <c r="EH21" s="492"/>
      <c r="EI21" s="492">
        <v>8.6276462264150826</v>
      </c>
      <c r="EJ21" s="492">
        <v>0.79481132075471717</v>
      </c>
      <c r="EK21" s="492">
        <v>97.995495283018684</v>
      </c>
      <c r="EL21" s="492"/>
      <c r="EM21" s="492">
        <v>53.277349056603768</v>
      </c>
      <c r="EN21" s="493">
        <f t="shared" si="22"/>
        <v>413.51864265613182</v>
      </c>
      <c r="EO21" s="492"/>
      <c r="EP21" s="492"/>
      <c r="EQ21" s="492"/>
      <c r="ER21" s="492"/>
      <c r="ES21" s="492"/>
      <c r="ET21" s="492"/>
      <c r="EU21" s="492"/>
      <c r="EV21" s="492"/>
      <c r="EW21" s="492"/>
      <c r="EX21" s="492"/>
      <c r="EY21" s="492"/>
      <c r="EZ21" s="492"/>
      <c r="FA21" s="493">
        <f t="shared" si="23"/>
        <v>0</v>
      </c>
      <c r="FC21" s="595">
        <f t="shared" si="24"/>
        <v>-26.937261304712333</v>
      </c>
      <c r="FD21" s="596">
        <f t="shared" si="25"/>
        <v>-57.851572605049654</v>
      </c>
      <c r="FE21" s="498">
        <f t="shared" si="26"/>
        <v>981.101</v>
      </c>
      <c r="FF21" s="597">
        <f t="shared" si="27"/>
        <v>413.51864265613182</v>
      </c>
      <c r="FG21" s="624"/>
      <c r="FH21" s="690"/>
      <c r="FI21" s="551">
        <f t="shared" si="28"/>
        <v>24498.977285312256</v>
      </c>
      <c r="FJ21" s="491" t="s">
        <v>59</v>
      </c>
      <c r="FK21" s="554" t="str">
        <f t="shared" si="29"/>
        <v>OK</v>
      </c>
    </row>
    <row r="22" spans="1:167" ht="15" customHeight="1" x14ac:dyDescent="0.25">
      <c r="A22" s="610" t="s">
        <v>647</v>
      </c>
      <c r="B22" s="656"/>
      <c r="C22" s="492"/>
      <c r="D22" s="492"/>
      <c r="E22" s="492"/>
      <c r="F22" s="492"/>
      <c r="G22" s="492"/>
      <c r="H22" s="492"/>
      <c r="I22" s="492"/>
      <c r="J22" s="492"/>
      <c r="K22" s="492"/>
      <c r="L22" s="492">
        <v>2</v>
      </c>
      <c r="M22" s="492"/>
      <c r="N22" s="493">
        <f t="shared" si="12"/>
        <v>2</v>
      </c>
      <c r="O22" s="656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3">
        <f t="shared" si="13"/>
        <v>0</v>
      </c>
      <c r="AB22" s="656"/>
      <c r="AC22" s="492"/>
      <c r="AD22" s="492"/>
      <c r="AE22" s="492"/>
      <c r="AF22" s="492"/>
      <c r="AG22" s="492"/>
      <c r="AH22" s="492"/>
      <c r="AI22" s="492"/>
      <c r="AJ22" s="492"/>
      <c r="AK22" s="492"/>
      <c r="AL22" s="492"/>
      <c r="AM22" s="492"/>
      <c r="AN22" s="493">
        <f t="shared" si="14"/>
        <v>0</v>
      </c>
      <c r="AO22" s="656"/>
      <c r="AP22" s="492"/>
      <c r="AQ22" s="492">
        <v>16.593</v>
      </c>
      <c r="AR22" s="492">
        <v>23.021999999999998</v>
      </c>
      <c r="AS22" s="492">
        <v>5.2350000000000003</v>
      </c>
      <c r="AT22" s="492">
        <v>9.0359999999999996</v>
      </c>
      <c r="AU22" s="492"/>
      <c r="AV22" s="492">
        <v>27.137</v>
      </c>
      <c r="AW22" s="492">
        <v>2.7869999999999999</v>
      </c>
      <c r="AX22" s="492">
        <v>11.090999999999999</v>
      </c>
      <c r="AY22" s="492">
        <v>2.472</v>
      </c>
      <c r="AZ22" s="492">
        <v>13.784000000000001</v>
      </c>
      <c r="BA22" s="493">
        <f t="shared" si="15"/>
        <v>111.157</v>
      </c>
      <c r="BB22" s="656">
        <v>20.638000000000002</v>
      </c>
      <c r="BC22" s="492"/>
      <c r="BD22" s="492"/>
      <c r="BE22" s="492"/>
      <c r="BF22" s="492"/>
      <c r="BG22" s="492"/>
      <c r="BH22" s="492"/>
      <c r="BI22" s="492"/>
      <c r="BJ22" s="492"/>
      <c r="BK22" s="492"/>
      <c r="BL22" s="492"/>
      <c r="BM22" s="492"/>
      <c r="BN22" s="493">
        <f t="shared" si="16"/>
        <v>20.638000000000002</v>
      </c>
      <c r="BO22" s="656">
        <v>23</v>
      </c>
      <c r="BP22" s="492"/>
      <c r="BQ22" s="492"/>
      <c r="BR22" s="492"/>
      <c r="BS22" s="492"/>
      <c r="BT22" s="492"/>
      <c r="BU22" s="492"/>
      <c r="BV22" s="492"/>
      <c r="BW22" s="492"/>
      <c r="BX22" s="492">
        <v>26.550999999999998</v>
      </c>
      <c r="BY22" s="492">
        <v>156.82499999999999</v>
      </c>
      <c r="BZ22" s="492">
        <v>6.2519999999999998</v>
      </c>
      <c r="CA22" s="493">
        <f t="shared" si="17"/>
        <v>212.62799999999999</v>
      </c>
      <c r="CB22" s="656">
        <v>5.6000000000000001E-2</v>
      </c>
      <c r="CC22" s="492">
        <v>43.697000000000003</v>
      </c>
      <c r="CD22" s="492">
        <v>16.204000000000001</v>
      </c>
      <c r="CE22" s="492">
        <v>9.5890000000000004</v>
      </c>
      <c r="CF22" s="492">
        <v>19.962</v>
      </c>
      <c r="CG22" s="492">
        <v>18.004999999999999</v>
      </c>
      <c r="CH22" s="492">
        <v>10.474</v>
      </c>
      <c r="CI22" s="492">
        <v>4.1680000000000001</v>
      </c>
      <c r="CJ22" s="492">
        <v>1.4390000000000001</v>
      </c>
      <c r="CK22" s="492"/>
      <c r="CL22" s="492"/>
      <c r="CM22" s="492"/>
      <c r="CN22" s="493">
        <f t="shared" si="18"/>
        <v>123.59400000000002</v>
      </c>
      <c r="CO22" s="656"/>
      <c r="CP22" s="492">
        <v>24.582000000000001</v>
      </c>
      <c r="CQ22" s="492">
        <v>1.4710000000000001</v>
      </c>
      <c r="CR22" s="492">
        <v>46.396999999999998</v>
      </c>
      <c r="CS22" s="492">
        <v>4.8440000000000003</v>
      </c>
      <c r="CT22" s="492">
        <v>13.59</v>
      </c>
      <c r="CU22" s="492">
        <v>15.106999999999999</v>
      </c>
      <c r="CV22" s="492">
        <v>10.726000000000001</v>
      </c>
      <c r="CW22" s="492">
        <v>65.242000000000004</v>
      </c>
      <c r="CX22" s="492">
        <v>7.1470000000000002</v>
      </c>
      <c r="CY22" s="492"/>
      <c r="CZ22" s="492">
        <v>1.0609999999999999</v>
      </c>
      <c r="DA22" s="493">
        <f t="shared" si="19"/>
        <v>190.167</v>
      </c>
      <c r="DB22" s="656">
        <v>24.189</v>
      </c>
      <c r="DC22" s="492">
        <v>57.883000000000003</v>
      </c>
      <c r="DD22" s="492">
        <v>126.85</v>
      </c>
      <c r="DE22" s="492">
        <v>37.704000000000001</v>
      </c>
      <c r="DF22" s="492">
        <v>29.483000000000001</v>
      </c>
      <c r="DG22" s="492">
        <v>12.925000000000001</v>
      </c>
      <c r="DH22" s="492">
        <v>3.5419999999999998</v>
      </c>
      <c r="DI22" s="492">
        <v>23.73</v>
      </c>
      <c r="DJ22" s="492">
        <v>48.238</v>
      </c>
      <c r="DK22" s="492">
        <v>15.474</v>
      </c>
      <c r="DL22" s="492">
        <v>21.623000000000001</v>
      </c>
      <c r="DM22" s="492">
        <v>21.597000000000001</v>
      </c>
      <c r="DN22" s="493">
        <f t="shared" si="20"/>
        <v>423.23799999999994</v>
      </c>
      <c r="DO22" s="656">
        <v>1.395</v>
      </c>
      <c r="DP22" s="492"/>
      <c r="DQ22" s="492">
        <v>34.99</v>
      </c>
      <c r="DR22" s="492"/>
      <c r="DS22" s="492">
        <v>1681</v>
      </c>
      <c r="DT22" s="492"/>
      <c r="DU22" s="492">
        <v>50.8</v>
      </c>
      <c r="DV22" s="492">
        <v>84.63</v>
      </c>
      <c r="DW22" s="492">
        <v>11.321</v>
      </c>
      <c r="DX22" s="492">
        <v>37.08</v>
      </c>
      <c r="DY22" s="492"/>
      <c r="DZ22" s="492"/>
      <c r="EA22" s="493">
        <f t="shared" si="21"/>
        <v>1901.2159999999999</v>
      </c>
      <c r="EB22" s="656"/>
      <c r="EC22" s="492">
        <v>13.01</v>
      </c>
      <c r="ED22" s="492">
        <v>0.71</v>
      </c>
      <c r="EE22" s="492">
        <v>0.19</v>
      </c>
      <c r="EF22" s="492"/>
      <c r="EG22" s="492">
        <v>0.03</v>
      </c>
      <c r="EH22" s="492">
        <v>0.46</v>
      </c>
      <c r="EI22" s="492"/>
      <c r="EJ22" s="492">
        <v>0.2</v>
      </c>
      <c r="EK22" s="492">
        <v>10.5</v>
      </c>
      <c r="EL22" s="492"/>
      <c r="EM22" s="492">
        <v>21</v>
      </c>
      <c r="EN22" s="493">
        <f t="shared" si="22"/>
        <v>46.099999999999994</v>
      </c>
      <c r="EO22" s="492"/>
      <c r="EP22" s="492"/>
      <c r="EQ22" s="492"/>
      <c r="ER22" s="492"/>
      <c r="ES22" s="492"/>
      <c r="ET22" s="492"/>
      <c r="EU22" s="492"/>
      <c r="EV22" s="492"/>
      <c r="EW22" s="492"/>
      <c r="EX22" s="492"/>
      <c r="EY22" s="492"/>
      <c r="EZ22" s="492"/>
      <c r="FA22" s="493">
        <f t="shared" si="23"/>
        <v>0</v>
      </c>
      <c r="FC22" s="595" t="str">
        <f t="shared" si="24"/>
        <v/>
      </c>
      <c r="FD22" s="596">
        <f t="shared" si="25"/>
        <v>-97.575236059448272</v>
      </c>
      <c r="FE22" s="498">
        <f t="shared" si="26"/>
        <v>1901.2159999999999</v>
      </c>
      <c r="FF22" s="597">
        <f t="shared" si="27"/>
        <v>46.099999999999994</v>
      </c>
      <c r="FG22" s="624"/>
      <c r="FH22" s="690"/>
      <c r="FI22" s="551">
        <f t="shared" si="28"/>
        <v>6061.4759999999997</v>
      </c>
      <c r="FJ22" s="491" t="s">
        <v>647</v>
      </c>
      <c r="FK22" s="554" t="str">
        <f t="shared" si="29"/>
        <v>OK</v>
      </c>
    </row>
    <row r="23" spans="1:167" ht="15" customHeight="1" x14ac:dyDescent="0.25">
      <c r="A23" s="610" t="s">
        <v>148</v>
      </c>
      <c r="B23" s="656"/>
      <c r="C23" s="492">
        <v>27.5</v>
      </c>
      <c r="D23" s="492"/>
      <c r="E23" s="492"/>
      <c r="F23" s="492"/>
      <c r="G23" s="492"/>
      <c r="H23" s="492"/>
      <c r="I23" s="492"/>
      <c r="J23" s="492"/>
      <c r="K23" s="492"/>
      <c r="L23" s="492"/>
      <c r="M23" s="492"/>
      <c r="N23" s="493">
        <f t="shared" si="12"/>
        <v>27.5</v>
      </c>
      <c r="O23" s="656"/>
      <c r="P23" s="492">
        <v>23</v>
      </c>
      <c r="Q23" s="492">
        <v>13</v>
      </c>
      <c r="R23" s="492"/>
      <c r="S23" s="492"/>
      <c r="T23" s="492">
        <v>8</v>
      </c>
      <c r="U23" s="492"/>
      <c r="V23" s="492"/>
      <c r="W23" s="492"/>
      <c r="X23" s="492"/>
      <c r="Y23" s="492"/>
      <c r="Z23" s="492">
        <v>18</v>
      </c>
      <c r="AA23" s="493">
        <f t="shared" si="13"/>
        <v>62</v>
      </c>
      <c r="AB23" s="656"/>
      <c r="AC23" s="492"/>
      <c r="AD23" s="492">
        <v>8</v>
      </c>
      <c r="AE23" s="492"/>
      <c r="AF23" s="492"/>
      <c r="AG23" s="492"/>
      <c r="AH23" s="492"/>
      <c r="AI23" s="492">
        <v>163</v>
      </c>
      <c r="AJ23" s="492">
        <v>337</v>
      </c>
      <c r="AK23" s="492">
        <v>247</v>
      </c>
      <c r="AL23" s="492">
        <v>190</v>
      </c>
      <c r="AM23" s="492">
        <v>383</v>
      </c>
      <c r="AN23" s="493">
        <f t="shared" si="14"/>
        <v>1328</v>
      </c>
      <c r="AO23" s="656">
        <v>526.40599999999995</v>
      </c>
      <c r="AP23" s="492">
        <v>696.18299999999999</v>
      </c>
      <c r="AQ23" s="492">
        <v>1250.181</v>
      </c>
      <c r="AR23" s="492">
        <v>1294.037</v>
      </c>
      <c r="AS23" s="492">
        <v>718.59</v>
      </c>
      <c r="AT23" s="492">
        <v>756</v>
      </c>
      <c r="AU23" s="492">
        <v>550.17399999999998</v>
      </c>
      <c r="AV23" s="492">
        <v>167</v>
      </c>
      <c r="AW23" s="492">
        <v>24</v>
      </c>
      <c r="AX23" s="492">
        <v>167</v>
      </c>
      <c r="AY23" s="492">
        <v>74.825999999999993</v>
      </c>
      <c r="AZ23" s="492">
        <v>44.093000000000004</v>
      </c>
      <c r="BA23" s="493">
        <f t="shared" si="15"/>
        <v>6268.49</v>
      </c>
      <c r="BB23" s="656">
        <v>154</v>
      </c>
      <c r="BC23" s="492">
        <v>424</v>
      </c>
      <c r="BD23" s="492">
        <v>339</v>
      </c>
      <c r="BE23" s="492">
        <v>131.822</v>
      </c>
      <c r="BF23" s="492"/>
      <c r="BG23" s="492"/>
      <c r="BH23" s="492"/>
      <c r="BI23" s="492"/>
      <c r="BJ23" s="492"/>
      <c r="BK23" s="492"/>
      <c r="BL23" s="492"/>
      <c r="BM23" s="492"/>
      <c r="BN23" s="493">
        <f t="shared" si="16"/>
        <v>1048.8220000000001</v>
      </c>
      <c r="BO23" s="656">
        <v>65</v>
      </c>
      <c r="BP23" s="492">
        <v>61</v>
      </c>
      <c r="BQ23" s="492">
        <v>12</v>
      </c>
      <c r="BR23" s="492"/>
      <c r="BS23" s="492"/>
      <c r="BT23" s="492"/>
      <c r="BU23" s="492"/>
      <c r="BV23" s="492">
        <v>1</v>
      </c>
      <c r="BW23" s="492">
        <v>28</v>
      </c>
      <c r="BX23" s="492">
        <v>95.947000000000003</v>
      </c>
      <c r="BY23" s="492">
        <v>90.637</v>
      </c>
      <c r="BZ23" s="492">
        <v>215.11699999999999</v>
      </c>
      <c r="CA23" s="493">
        <f t="shared" si="17"/>
        <v>568.70100000000002</v>
      </c>
      <c r="CB23" s="656">
        <v>443.238</v>
      </c>
      <c r="CC23" s="492">
        <v>252.066</v>
      </c>
      <c r="CD23" s="492">
        <v>84.346999999999994</v>
      </c>
      <c r="CE23" s="492">
        <v>63.027999999999999</v>
      </c>
      <c r="CF23" s="492">
        <v>121.657</v>
      </c>
      <c r="CG23" s="492">
        <v>205.87899999999999</v>
      </c>
      <c r="CH23" s="492">
        <v>40.511000000000003</v>
      </c>
      <c r="CI23" s="492">
        <v>31.957999999999998</v>
      </c>
      <c r="CJ23" s="492">
        <v>118.584</v>
      </c>
      <c r="CK23" s="492">
        <v>36.988</v>
      </c>
      <c r="CL23" s="492">
        <v>56.929000000000002</v>
      </c>
      <c r="CM23" s="492">
        <v>74.614999999999995</v>
      </c>
      <c r="CN23" s="493">
        <f t="shared" si="18"/>
        <v>1529.8000000000002</v>
      </c>
      <c r="CO23" s="656">
        <v>55.183</v>
      </c>
      <c r="CP23" s="492">
        <v>36.259</v>
      </c>
      <c r="CQ23" s="492">
        <v>35.859000000000002</v>
      </c>
      <c r="CR23" s="492">
        <v>47.747999999999998</v>
      </c>
      <c r="CS23" s="492">
        <v>115.56699999999999</v>
      </c>
      <c r="CT23" s="492">
        <v>70.037999999999997</v>
      </c>
      <c r="CU23" s="492">
        <v>27.93</v>
      </c>
      <c r="CV23" s="492">
        <v>24.48</v>
      </c>
      <c r="CW23" s="492">
        <v>34.841000000000001</v>
      </c>
      <c r="CX23" s="492">
        <v>101.672</v>
      </c>
      <c r="CY23" s="492"/>
      <c r="CZ23" s="492">
        <v>78.171000000000006</v>
      </c>
      <c r="DA23" s="493">
        <f t="shared" si="19"/>
        <v>627.74800000000005</v>
      </c>
      <c r="DB23" s="656">
        <v>47.697000000000003</v>
      </c>
      <c r="DC23" s="492">
        <v>99.751999999999995</v>
      </c>
      <c r="DD23" s="492">
        <v>242.15700000000001</v>
      </c>
      <c r="DE23" s="492">
        <v>151.40299999999999</v>
      </c>
      <c r="DF23" s="492">
        <v>134.976</v>
      </c>
      <c r="DG23" s="492">
        <v>52.408999999999999</v>
      </c>
      <c r="DH23" s="492">
        <v>103.17100000000001</v>
      </c>
      <c r="DI23" s="492">
        <v>59.171999999999997</v>
      </c>
      <c r="DJ23" s="492">
        <v>32.716000000000001</v>
      </c>
      <c r="DK23" s="492"/>
      <c r="DL23" s="492">
        <v>51.768999999999998</v>
      </c>
      <c r="DM23" s="492"/>
      <c r="DN23" s="493">
        <f t="shared" si="20"/>
        <v>975.22200000000009</v>
      </c>
      <c r="DO23" s="656">
        <v>73.111000000000004</v>
      </c>
      <c r="DP23" s="492">
        <v>6.4859999999999998</v>
      </c>
      <c r="DQ23" s="492">
        <v>85.281999999999996</v>
      </c>
      <c r="DR23" s="492">
        <v>100.202</v>
      </c>
      <c r="DS23" s="492">
        <v>0.745</v>
      </c>
      <c r="DT23" s="492"/>
      <c r="DU23" s="492"/>
      <c r="DV23" s="492"/>
      <c r="DW23" s="492"/>
      <c r="DX23" s="492">
        <v>64.459999999999994</v>
      </c>
      <c r="DY23" s="492">
        <v>18.462</v>
      </c>
      <c r="DZ23" s="492"/>
      <c r="EA23" s="493">
        <f t="shared" si="21"/>
        <v>348.74799999999999</v>
      </c>
      <c r="EB23" s="656">
        <v>58.792000000000002</v>
      </c>
      <c r="EC23" s="492">
        <v>81.237641509433956</v>
      </c>
      <c r="ED23" s="492">
        <v>38.063999999999993</v>
      </c>
      <c r="EE23" s="492">
        <v>14.605325471698114</v>
      </c>
      <c r="EF23" s="492">
        <v>0.82515094339622608</v>
      </c>
      <c r="EG23" s="492">
        <v>7.8193396226415084</v>
      </c>
      <c r="EH23" s="492">
        <v>65.176999999999992</v>
      </c>
      <c r="EI23" s="492">
        <v>76.471999999999994</v>
      </c>
      <c r="EJ23" s="492"/>
      <c r="EK23" s="492"/>
      <c r="EL23" s="492"/>
      <c r="EM23" s="492">
        <v>4.2</v>
      </c>
      <c r="EN23" s="493">
        <f t="shared" si="22"/>
        <v>347.19245754716979</v>
      </c>
      <c r="EO23" s="492"/>
      <c r="EP23" s="492"/>
      <c r="EQ23" s="492"/>
      <c r="ER23" s="492"/>
      <c r="ES23" s="492"/>
      <c r="ET23" s="492"/>
      <c r="EU23" s="492"/>
      <c r="EV23" s="492"/>
      <c r="EW23" s="492"/>
      <c r="EX23" s="492"/>
      <c r="EY23" s="492"/>
      <c r="EZ23" s="492"/>
      <c r="FA23" s="493">
        <f t="shared" si="23"/>
        <v>0</v>
      </c>
      <c r="FC23" s="595" t="str">
        <f t="shared" si="24"/>
        <v/>
      </c>
      <c r="FD23" s="596">
        <f t="shared" si="25"/>
        <v>-0.44603623614477561</v>
      </c>
      <c r="FE23" s="498">
        <f t="shared" si="26"/>
        <v>348.74799999999999</v>
      </c>
      <c r="FF23" s="597">
        <f t="shared" si="27"/>
        <v>347.19245754716979</v>
      </c>
      <c r="FG23" s="624"/>
      <c r="FH23" s="690"/>
      <c r="FI23" s="551">
        <f t="shared" si="28"/>
        <v>26264.44691509433</v>
      </c>
      <c r="FJ23" s="491" t="s">
        <v>148</v>
      </c>
      <c r="FK23" s="554" t="str">
        <f t="shared" si="29"/>
        <v>OK</v>
      </c>
    </row>
    <row r="24" spans="1:167" ht="15" customHeight="1" x14ac:dyDescent="0.25">
      <c r="A24" s="610" t="s">
        <v>60</v>
      </c>
      <c r="B24" s="656">
        <v>36</v>
      </c>
      <c r="C24" s="492">
        <v>54.366</v>
      </c>
      <c r="D24" s="492">
        <v>79</v>
      </c>
      <c r="E24" s="492">
        <v>166</v>
      </c>
      <c r="F24" s="492">
        <v>103</v>
      </c>
      <c r="G24" s="492">
        <v>80</v>
      </c>
      <c r="H24" s="492">
        <v>216</v>
      </c>
      <c r="I24" s="492">
        <v>199</v>
      </c>
      <c r="J24" s="492">
        <v>279</v>
      </c>
      <c r="K24" s="492">
        <v>208</v>
      </c>
      <c r="L24" s="492">
        <v>62</v>
      </c>
      <c r="M24" s="492">
        <v>64</v>
      </c>
      <c r="N24" s="493">
        <f t="shared" si="12"/>
        <v>1546.366</v>
      </c>
      <c r="O24" s="656"/>
      <c r="P24" s="492">
        <v>12</v>
      </c>
      <c r="Q24" s="492"/>
      <c r="R24" s="492"/>
      <c r="S24" s="492"/>
      <c r="T24" s="492"/>
      <c r="U24" s="492"/>
      <c r="V24" s="492"/>
      <c r="W24" s="492"/>
      <c r="X24" s="492">
        <v>18</v>
      </c>
      <c r="Y24" s="492"/>
      <c r="Z24" s="492"/>
      <c r="AA24" s="493">
        <f t="shared" si="13"/>
        <v>30</v>
      </c>
      <c r="AB24" s="656"/>
      <c r="AC24" s="492"/>
      <c r="AD24" s="492"/>
      <c r="AE24" s="492"/>
      <c r="AF24" s="492"/>
      <c r="AG24" s="492">
        <v>3</v>
      </c>
      <c r="AH24" s="492">
        <v>19</v>
      </c>
      <c r="AI24" s="492"/>
      <c r="AJ24" s="492"/>
      <c r="AK24" s="492"/>
      <c r="AL24" s="492">
        <v>112</v>
      </c>
      <c r="AM24" s="492">
        <v>5</v>
      </c>
      <c r="AN24" s="493">
        <f t="shared" si="14"/>
        <v>139</v>
      </c>
      <c r="AO24" s="656"/>
      <c r="AP24" s="492"/>
      <c r="AQ24" s="492">
        <v>10.612</v>
      </c>
      <c r="AR24" s="492">
        <v>18.280999999999999</v>
      </c>
      <c r="AS24" s="492">
        <v>30.411999999999999</v>
      </c>
      <c r="AT24" s="492"/>
      <c r="AU24" s="492">
        <v>50.744999999999997</v>
      </c>
      <c r="AV24" s="492">
        <v>12.782999999999999</v>
      </c>
      <c r="AW24" s="492">
        <v>26.891999999999999</v>
      </c>
      <c r="AX24" s="492"/>
      <c r="AY24" s="492">
        <v>51.847999999999999</v>
      </c>
      <c r="AZ24" s="492">
        <v>55.127000000000002</v>
      </c>
      <c r="BA24" s="493">
        <f t="shared" si="15"/>
        <v>256.7</v>
      </c>
      <c r="BB24" s="656">
        <v>53.378</v>
      </c>
      <c r="BC24" s="492">
        <v>123.562</v>
      </c>
      <c r="BD24" s="492">
        <v>90.31</v>
      </c>
      <c r="BE24" s="492">
        <v>142.65799999999999</v>
      </c>
      <c r="BF24" s="492"/>
      <c r="BG24" s="492"/>
      <c r="BH24" s="492">
        <v>23.138999999999999</v>
      </c>
      <c r="BI24" s="492">
        <v>14.4</v>
      </c>
      <c r="BJ24" s="492">
        <v>5.3019999999999996</v>
      </c>
      <c r="BK24" s="492"/>
      <c r="BL24" s="492">
        <v>13.387</v>
      </c>
      <c r="BM24" s="492"/>
      <c r="BN24" s="493">
        <f t="shared" si="16"/>
        <v>466.13600000000002</v>
      </c>
      <c r="BO24" s="656">
        <v>44</v>
      </c>
      <c r="BP24" s="492">
        <v>67</v>
      </c>
      <c r="BQ24" s="492">
        <v>10</v>
      </c>
      <c r="BR24" s="492"/>
      <c r="BS24" s="492"/>
      <c r="BT24" s="492">
        <v>66</v>
      </c>
      <c r="BU24" s="492">
        <v>97</v>
      </c>
      <c r="BV24" s="492">
        <v>48</v>
      </c>
      <c r="BW24" s="492">
        <v>67</v>
      </c>
      <c r="BX24" s="492">
        <v>112.443</v>
      </c>
      <c r="BY24" s="492">
        <v>163.08099999999999</v>
      </c>
      <c r="BZ24" s="492">
        <v>201.298</v>
      </c>
      <c r="CA24" s="493">
        <f t="shared" si="17"/>
        <v>875.822</v>
      </c>
      <c r="CB24" s="656">
        <v>364.91699999999997</v>
      </c>
      <c r="CC24" s="492">
        <v>306.41300000000001</v>
      </c>
      <c r="CD24" s="492">
        <v>193.315</v>
      </c>
      <c r="CE24" s="492">
        <v>174.06800000000001</v>
      </c>
      <c r="CF24" s="492">
        <v>192.185</v>
      </c>
      <c r="CG24" s="492">
        <v>99.141000000000005</v>
      </c>
      <c r="CH24" s="492">
        <v>135.52099999999999</v>
      </c>
      <c r="CI24" s="492">
        <v>143.274</v>
      </c>
      <c r="CJ24" s="492">
        <v>150.66399999999999</v>
      </c>
      <c r="CK24" s="492">
        <v>157.13900000000001</v>
      </c>
      <c r="CL24" s="492">
        <v>168.173</v>
      </c>
      <c r="CM24" s="492">
        <v>201.05500000000001</v>
      </c>
      <c r="CN24" s="493">
        <f t="shared" si="18"/>
        <v>2285.8649999999993</v>
      </c>
      <c r="CO24" s="656">
        <v>139.99299999999999</v>
      </c>
      <c r="CP24" s="492">
        <v>120.755</v>
      </c>
      <c r="CQ24" s="492">
        <v>275.35000000000002</v>
      </c>
      <c r="CR24" s="492">
        <v>197.49799999999999</v>
      </c>
      <c r="CS24" s="492">
        <v>223.33099999999999</v>
      </c>
      <c r="CT24" s="492">
        <v>217.173</v>
      </c>
      <c r="CU24" s="492">
        <v>283.27600000000001</v>
      </c>
      <c r="CV24" s="492">
        <v>125.45099999999999</v>
      </c>
      <c r="CW24" s="492"/>
      <c r="CX24" s="492">
        <v>106.86199999999999</v>
      </c>
      <c r="CY24" s="492"/>
      <c r="CZ24" s="492">
        <v>9494.7980000000007</v>
      </c>
      <c r="DA24" s="493">
        <f t="shared" si="19"/>
        <v>11184.487000000001</v>
      </c>
      <c r="DB24" s="656">
        <v>130.43899999999999</v>
      </c>
      <c r="DC24" s="492">
        <v>304.62599999999998</v>
      </c>
      <c r="DD24" s="492">
        <v>141.976</v>
      </c>
      <c r="DE24" s="492">
        <v>79.885000000000005</v>
      </c>
      <c r="DF24" s="492">
        <v>33.9</v>
      </c>
      <c r="DG24" s="492">
        <v>58.758000000000003</v>
      </c>
      <c r="DH24" s="492">
        <v>82.831000000000003</v>
      </c>
      <c r="DI24" s="492"/>
      <c r="DJ24" s="492"/>
      <c r="DK24" s="492">
        <v>18.867999999999999</v>
      </c>
      <c r="DL24" s="492"/>
      <c r="DM24" s="492">
        <v>44.046999999999997</v>
      </c>
      <c r="DN24" s="493">
        <f t="shared" si="20"/>
        <v>895.33</v>
      </c>
      <c r="DO24" s="656"/>
      <c r="DP24" s="492"/>
      <c r="DQ24" s="492">
        <v>508.59500000000003</v>
      </c>
      <c r="DR24" s="492">
        <v>123.46899999999999</v>
      </c>
      <c r="DS24" s="492">
        <v>71.668999999999997</v>
      </c>
      <c r="DT24" s="492">
        <v>20.100000000000001</v>
      </c>
      <c r="DU24" s="492"/>
      <c r="DV24" s="492">
        <v>165.95400000000001</v>
      </c>
      <c r="DW24" s="492">
        <v>281.73</v>
      </c>
      <c r="DX24" s="492">
        <v>270.3</v>
      </c>
      <c r="DY24" s="492">
        <v>154.16499999999999</v>
      </c>
      <c r="DZ24" s="492">
        <v>434.76</v>
      </c>
      <c r="EA24" s="493">
        <f t="shared" si="21"/>
        <v>2030.742</v>
      </c>
      <c r="EB24" s="656">
        <v>761.57</v>
      </c>
      <c r="EC24" s="492">
        <v>405.56</v>
      </c>
      <c r="ED24" s="492">
        <v>132.69</v>
      </c>
      <c r="EE24" s="492">
        <v>197.58</v>
      </c>
      <c r="EF24" s="492">
        <v>166.4</v>
      </c>
      <c r="EG24" s="492">
        <v>285.83</v>
      </c>
      <c r="EH24" s="492">
        <v>218.32900000000001</v>
      </c>
      <c r="EI24" s="492">
        <v>213.136</v>
      </c>
      <c r="EJ24" s="492">
        <v>360.6</v>
      </c>
      <c r="EK24" s="492">
        <v>446.9</v>
      </c>
      <c r="EL24" s="492">
        <v>388</v>
      </c>
      <c r="EM24" s="492">
        <v>479</v>
      </c>
      <c r="EN24" s="493">
        <f t="shared" si="22"/>
        <v>4055.5950000000003</v>
      </c>
      <c r="EO24" s="492"/>
      <c r="EP24" s="492"/>
      <c r="EQ24" s="492"/>
      <c r="ER24" s="492"/>
      <c r="ES24" s="492"/>
      <c r="ET24" s="492"/>
      <c r="EU24" s="492"/>
      <c r="EV24" s="492"/>
      <c r="EW24" s="492"/>
      <c r="EX24" s="492"/>
      <c r="EY24" s="492"/>
      <c r="EZ24" s="492"/>
      <c r="FA24" s="493">
        <f t="shared" si="23"/>
        <v>0</v>
      </c>
      <c r="FC24" s="595">
        <f t="shared" si="24"/>
        <v>10.17572913791518</v>
      </c>
      <c r="FD24" s="596">
        <f t="shared" si="25"/>
        <v>99.710007475100255</v>
      </c>
      <c r="FE24" s="498">
        <f t="shared" si="26"/>
        <v>2030.742</v>
      </c>
      <c r="FF24" s="597">
        <f t="shared" si="27"/>
        <v>4055.5950000000003</v>
      </c>
      <c r="FG24" s="624"/>
      <c r="FH24" s="690"/>
      <c r="FI24" s="551">
        <f t="shared" si="28"/>
        <v>47532.08600000001</v>
      </c>
      <c r="FJ24" s="491" t="s">
        <v>60</v>
      </c>
      <c r="FK24" s="554" t="str">
        <f t="shared" si="29"/>
        <v>OK</v>
      </c>
    </row>
    <row r="25" spans="1:167" ht="15" customHeight="1" x14ac:dyDescent="0.25">
      <c r="A25" s="610" t="s">
        <v>84</v>
      </c>
      <c r="B25" s="656"/>
      <c r="C25" s="492"/>
      <c r="D25" s="492"/>
      <c r="E25" s="492">
        <v>25</v>
      </c>
      <c r="F25" s="492"/>
      <c r="G25" s="492"/>
      <c r="H25" s="492"/>
      <c r="I25" s="492"/>
      <c r="J25" s="492">
        <v>53</v>
      </c>
      <c r="K25" s="492">
        <v>112</v>
      </c>
      <c r="L25" s="492">
        <v>48</v>
      </c>
      <c r="M25" s="492">
        <v>89</v>
      </c>
      <c r="N25" s="493">
        <f t="shared" si="12"/>
        <v>327</v>
      </c>
      <c r="O25" s="656">
        <v>22</v>
      </c>
      <c r="P25" s="492">
        <v>33</v>
      </c>
      <c r="Q25" s="492"/>
      <c r="R25" s="492"/>
      <c r="S25" s="492"/>
      <c r="T25" s="492"/>
      <c r="U25" s="492">
        <v>1</v>
      </c>
      <c r="V25" s="492"/>
      <c r="W25" s="492">
        <v>8.6639999999999997</v>
      </c>
      <c r="X25" s="492">
        <v>27.602</v>
      </c>
      <c r="Y25" s="492">
        <v>13</v>
      </c>
      <c r="Z25" s="492">
        <v>46</v>
      </c>
      <c r="AA25" s="493">
        <f t="shared" si="13"/>
        <v>151.26600000000002</v>
      </c>
      <c r="AB25" s="656">
        <v>13</v>
      </c>
      <c r="AC25" s="492">
        <v>26</v>
      </c>
      <c r="AD25" s="492"/>
      <c r="AE25" s="492">
        <v>5.0449999999999999</v>
      </c>
      <c r="AF25" s="492"/>
      <c r="AG25" s="492"/>
      <c r="AH25" s="492">
        <v>5</v>
      </c>
      <c r="AI25" s="492">
        <v>137</v>
      </c>
      <c r="AJ25" s="492">
        <v>80</v>
      </c>
      <c r="AK25" s="492">
        <v>43</v>
      </c>
      <c r="AL25" s="492">
        <v>6</v>
      </c>
      <c r="AM25" s="492">
        <v>1</v>
      </c>
      <c r="AN25" s="493">
        <f t="shared" si="14"/>
        <v>316.04500000000002</v>
      </c>
      <c r="AO25" s="656">
        <v>13.867000000000001</v>
      </c>
      <c r="AP25" s="492">
        <v>46.689</v>
      </c>
      <c r="AQ25" s="492">
        <v>30.047000000000001</v>
      </c>
      <c r="AR25" s="492">
        <v>5.6449999999999996</v>
      </c>
      <c r="AS25" s="492">
        <v>24.18</v>
      </c>
      <c r="AT25" s="492">
        <v>8.3870000000000005</v>
      </c>
      <c r="AU25" s="492">
        <v>118.694</v>
      </c>
      <c r="AV25" s="492">
        <v>115.935</v>
      </c>
      <c r="AW25" s="492">
        <v>186.25800000000001</v>
      </c>
      <c r="AX25" s="492">
        <v>67.597000000000008</v>
      </c>
      <c r="AY25" s="492">
        <v>125.37700000000001</v>
      </c>
      <c r="AZ25" s="492">
        <v>97.013999999999996</v>
      </c>
      <c r="BA25" s="493">
        <f t="shared" si="15"/>
        <v>839.68999999999994</v>
      </c>
      <c r="BB25" s="656">
        <v>73.055999999999997</v>
      </c>
      <c r="BC25" s="492">
        <v>23.105</v>
      </c>
      <c r="BD25" s="492">
        <v>87</v>
      </c>
      <c r="BE25" s="492">
        <v>29.321000000000002</v>
      </c>
      <c r="BF25" s="492"/>
      <c r="BG25" s="492"/>
      <c r="BH25" s="492"/>
      <c r="BI25" s="492"/>
      <c r="BJ25" s="492"/>
      <c r="BK25" s="492"/>
      <c r="BL25" s="492"/>
      <c r="BM25" s="492"/>
      <c r="BN25" s="493">
        <f t="shared" si="16"/>
        <v>212.482</v>
      </c>
      <c r="BO25" s="656">
        <v>6</v>
      </c>
      <c r="BP25" s="492">
        <v>35</v>
      </c>
      <c r="BQ25" s="492">
        <v>25</v>
      </c>
      <c r="BR25" s="492"/>
      <c r="BS25" s="492"/>
      <c r="BT25" s="492">
        <v>6</v>
      </c>
      <c r="BU25" s="492">
        <v>267</v>
      </c>
      <c r="BV25" s="492">
        <v>187</v>
      </c>
      <c r="BW25" s="492">
        <v>321</v>
      </c>
      <c r="BX25" s="492">
        <v>847.79600000000005</v>
      </c>
      <c r="BY25" s="492">
        <v>864.01300000000003</v>
      </c>
      <c r="BZ25" s="492">
        <v>596.96600000000001</v>
      </c>
      <c r="CA25" s="493">
        <f t="shared" si="17"/>
        <v>3155.7750000000001</v>
      </c>
      <c r="CB25" s="656">
        <v>548.91999999999996</v>
      </c>
      <c r="CC25" s="492">
        <v>2168.4169999999999</v>
      </c>
      <c r="CD25" s="492">
        <v>1220.136</v>
      </c>
      <c r="CE25" s="492">
        <v>451.399</v>
      </c>
      <c r="CF25" s="492">
        <v>268.90800000000002</v>
      </c>
      <c r="CG25" s="492">
        <v>554.60199999999998</v>
      </c>
      <c r="CH25" s="492">
        <v>394.61599999999999</v>
      </c>
      <c r="CI25" s="492">
        <v>596.26099999999997</v>
      </c>
      <c r="CJ25" s="492">
        <v>509.577</v>
      </c>
      <c r="CK25" s="492">
        <v>976.08</v>
      </c>
      <c r="CL25" s="492">
        <v>772.24400000000003</v>
      </c>
      <c r="CM25" s="492">
        <v>386.15499999999997</v>
      </c>
      <c r="CN25" s="493">
        <f t="shared" si="18"/>
        <v>8847.3150000000005</v>
      </c>
      <c r="CO25" s="656">
        <v>1013.8390000000001</v>
      </c>
      <c r="CP25" s="492">
        <v>680.94399999999996</v>
      </c>
      <c r="CQ25" s="492">
        <v>65.900999999999996</v>
      </c>
      <c r="CR25" s="492">
        <v>903.45899999999995</v>
      </c>
      <c r="CS25" s="492">
        <v>600.52499999999998</v>
      </c>
      <c r="CT25" s="492">
        <v>14.083</v>
      </c>
      <c r="CU25" s="492">
        <v>179.43</v>
      </c>
      <c r="CV25" s="492">
        <v>406.45499999999998</v>
      </c>
      <c r="CW25" s="492">
        <v>1170.329</v>
      </c>
      <c r="CX25" s="492">
        <v>430.18299999999999</v>
      </c>
      <c r="CY25" s="492">
        <v>91.320999999999998</v>
      </c>
      <c r="CZ25" s="492">
        <v>525.61300000000006</v>
      </c>
      <c r="DA25" s="493">
        <f t="shared" si="19"/>
        <v>6082.0820000000003</v>
      </c>
      <c r="DB25" s="656">
        <v>365.976</v>
      </c>
      <c r="DC25" s="492">
        <v>325.15600000000001</v>
      </c>
      <c r="DD25" s="492">
        <v>782.80899999999997</v>
      </c>
      <c r="DE25" s="492">
        <v>348.14100000000002</v>
      </c>
      <c r="DF25" s="492">
        <v>73.504000000000005</v>
      </c>
      <c r="DG25" s="492">
        <v>121.675</v>
      </c>
      <c r="DH25" s="492">
        <v>69.376999999999995</v>
      </c>
      <c r="DI25" s="492">
        <v>117.136</v>
      </c>
      <c r="DJ25" s="492">
        <v>46.575000000000003</v>
      </c>
      <c r="DK25" s="492">
        <v>106.858</v>
      </c>
      <c r="DL25" s="492">
        <v>20.013999999999999</v>
      </c>
      <c r="DM25" s="492">
        <v>172.547</v>
      </c>
      <c r="DN25" s="493">
        <f t="shared" si="20"/>
        <v>2549.768</v>
      </c>
      <c r="DO25" s="656"/>
      <c r="DP25" s="492">
        <v>27.483000000000001</v>
      </c>
      <c r="DQ25" s="492">
        <v>712.73</v>
      </c>
      <c r="DR25" s="492">
        <v>167.57</v>
      </c>
      <c r="DS25" s="492">
        <v>149.428</v>
      </c>
      <c r="DT25" s="492">
        <v>203.5</v>
      </c>
      <c r="DU25" s="492">
        <v>206.7</v>
      </c>
      <c r="DV25" s="492">
        <v>1.387</v>
      </c>
      <c r="DW25" s="492">
        <v>97.97</v>
      </c>
      <c r="DX25" s="492">
        <v>131.82</v>
      </c>
      <c r="DY25" s="492">
        <v>59.207999999999998</v>
      </c>
      <c r="DZ25" s="492">
        <v>19.14</v>
      </c>
      <c r="EA25" s="493">
        <f t="shared" si="21"/>
        <v>1776.9359999999999</v>
      </c>
      <c r="EB25" s="656">
        <v>81.726113207547186</v>
      </c>
      <c r="EC25" s="492">
        <v>167.18026886792453</v>
      </c>
      <c r="ED25" s="492">
        <v>23.899249999999999</v>
      </c>
      <c r="EE25" s="492">
        <v>78.503207547169808</v>
      </c>
      <c r="EF25" s="492">
        <v>48.047216981132067</v>
      </c>
      <c r="EG25" s="492">
        <v>172.17472169811322</v>
      </c>
      <c r="EH25" s="492">
        <v>405.24304707358505</v>
      </c>
      <c r="EI25" s="492">
        <v>393.1527371724452</v>
      </c>
      <c r="EJ25" s="492">
        <v>230.00036620877515</v>
      </c>
      <c r="EK25" s="492">
        <v>90.462683962264109</v>
      </c>
      <c r="EL25" s="492">
        <v>100.84299367412224</v>
      </c>
      <c r="EM25" s="492">
        <v>112.55893698113206</v>
      </c>
      <c r="EN25" s="493">
        <f t="shared" si="22"/>
        <v>1903.7915433742105</v>
      </c>
      <c r="EO25" s="492"/>
      <c r="EP25" s="492"/>
      <c r="EQ25" s="492"/>
      <c r="ER25" s="492"/>
      <c r="ES25" s="492"/>
      <c r="ET25" s="492"/>
      <c r="EU25" s="492"/>
      <c r="EV25" s="492"/>
      <c r="EW25" s="492"/>
      <c r="EX25" s="492"/>
      <c r="EY25" s="492"/>
      <c r="EZ25" s="492"/>
      <c r="FA25" s="493">
        <f t="shared" si="23"/>
        <v>0</v>
      </c>
      <c r="FC25" s="595">
        <f t="shared" si="24"/>
        <v>488.08222038209016</v>
      </c>
      <c r="FD25" s="596">
        <f t="shared" si="25"/>
        <v>7.1390046334933066</v>
      </c>
      <c r="FE25" s="498">
        <f t="shared" si="26"/>
        <v>1776.9359999999999</v>
      </c>
      <c r="FF25" s="597">
        <f t="shared" si="27"/>
        <v>1903.7915433742105</v>
      </c>
      <c r="FG25" s="624"/>
      <c r="FH25" s="690"/>
      <c r="FI25" s="551">
        <f t="shared" si="28"/>
        <v>52324.301086748448</v>
      </c>
      <c r="FJ25" s="491" t="s">
        <v>84</v>
      </c>
      <c r="FK25" s="554" t="str">
        <f t="shared" si="29"/>
        <v>OK</v>
      </c>
    </row>
    <row r="26" spans="1:167" ht="15" customHeight="1" x14ac:dyDescent="0.25">
      <c r="A26" s="610" t="s">
        <v>650</v>
      </c>
      <c r="B26" s="656">
        <v>8.1210000000000004</v>
      </c>
      <c r="C26" s="492"/>
      <c r="D26" s="492"/>
      <c r="E26" s="492"/>
      <c r="F26" s="492">
        <v>5</v>
      </c>
      <c r="G26" s="492">
        <v>12</v>
      </c>
      <c r="H26" s="492">
        <v>40</v>
      </c>
      <c r="I26" s="492"/>
      <c r="J26" s="492">
        <v>35</v>
      </c>
      <c r="K26" s="492">
        <v>259</v>
      </c>
      <c r="L26" s="492">
        <v>5</v>
      </c>
      <c r="M26" s="492">
        <v>173</v>
      </c>
      <c r="N26" s="493">
        <f t="shared" si="12"/>
        <v>537.12099999999998</v>
      </c>
      <c r="O26" s="656"/>
      <c r="P26" s="492">
        <v>30</v>
      </c>
      <c r="Q26" s="492">
        <v>50</v>
      </c>
      <c r="R26" s="492">
        <v>17</v>
      </c>
      <c r="S26" s="492">
        <v>14</v>
      </c>
      <c r="T26" s="492">
        <v>10</v>
      </c>
      <c r="U26" s="492"/>
      <c r="V26" s="492">
        <v>8</v>
      </c>
      <c r="W26" s="492"/>
      <c r="X26" s="492">
        <v>138.738</v>
      </c>
      <c r="Y26" s="492">
        <v>55</v>
      </c>
      <c r="Z26" s="492">
        <v>18</v>
      </c>
      <c r="AA26" s="493">
        <f t="shared" si="13"/>
        <v>340.738</v>
      </c>
      <c r="AB26" s="656">
        <v>168</v>
      </c>
      <c r="AC26" s="492">
        <v>106</v>
      </c>
      <c r="AD26" s="492">
        <v>13</v>
      </c>
      <c r="AE26" s="492">
        <v>46.627000000000002</v>
      </c>
      <c r="AF26" s="492">
        <v>18.411999999999999</v>
      </c>
      <c r="AG26" s="492">
        <v>15</v>
      </c>
      <c r="AH26" s="492">
        <v>24</v>
      </c>
      <c r="AI26" s="492">
        <v>30</v>
      </c>
      <c r="AJ26" s="492">
        <v>131</v>
      </c>
      <c r="AK26" s="492">
        <v>21.704000000000001</v>
      </c>
      <c r="AL26" s="492">
        <v>54</v>
      </c>
      <c r="AM26" s="492">
        <v>70</v>
      </c>
      <c r="AN26" s="493">
        <f t="shared" si="14"/>
        <v>697.74299999999994</v>
      </c>
      <c r="AO26" s="656">
        <v>141.19800000000001</v>
      </c>
      <c r="AP26" s="492">
        <v>66.504999999999995</v>
      </c>
      <c r="AQ26" s="492">
        <v>117.68600000000001</v>
      </c>
      <c r="AR26" s="492">
        <v>121.048</v>
      </c>
      <c r="AS26" s="492">
        <v>79.835999999999999</v>
      </c>
      <c r="AT26" s="492">
        <v>62.539000000000001</v>
      </c>
      <c r="AU26" s="492">
        <v>2.9359999999999999</v>
      </c>
      <c r="AV26" s="492"/>
      <c r="AW26" s="492">
        <v>4.2080000000000002</v>
      </c>
      <c r="AX26" s="492">
        <v>2.8439999999999999</v>
      </c>
      <c r="AY26" s="492">
        <v>12.347</v>
      </c>
      <c r="AZ26" s="492"/>
      <c r="BA26" s="493">
        <f t="shared" si="15"/>
        <v>611.14700000000005</v>
      </c>
      <c r="BB26" s="656">
        <v>6.5679999999999996</v>
      </c>
      <c r="BC26" s="492">
        <v>16.957000000000001</v>
      </c>
      <c r="BD26" s="492">
        <v>33.881</v>
      </c>
      <c r="BE26" s="492">
        <v>9.1129999999999995</v>
      </c>
      <c r="BF26" s="492">
        <v>72.58</v>
      </c>
      <c r="BG26" s="492">
        <v>136.75700000000001</v>
      </c>
      <c r="BH26" s="492">
        <v>124.232</v>
      </c>
      <c r="BI26" s="492">
        <v>48.625999999999998</v>
      </c>
      <c r="BJ26" s="492">
        <v>100.944</v>
      </c>
      <c r="BK26" s="492">
        <v>99.992000000000004</v>
      </c>
      <c r="BL26" s="492">
        <v>156.12299999999999</v>
      </c>
      <c r="BM26" s="492">
        <v>7.6509999999999998</v>
      </c>
      <c r="BN26" s="493">
        <f t="shared" si="16"/>
        <v>813.42399999999986</v>
      </c>
      <c r="BO26" s="656">
        <v>168</v>
      </c>
      <c r="BP26" s="492">
        <v>59</v>
      </c>
      <c r="BQ26" s="492">
        <v>13</v>
      </c>
      <c r="BR26" s="492"/>
      <c r="BS26" s="492"/>
      <c r="BT26" s="492">
        <v>93</v>
      </c>
      <c r="BU26" s="492">
        <v>27</v>
      </c>
      <c r="BV26" s="492">
        <v>27</v>
      </c>
      <c r="BW26" s="492">
        <v>58</v>
      </c>
      <c r="BX26" s="492">
        <v>388.26799999999997</v>
      </c>
      <c r="BY26" s="492">
        <v>336.55399999999997</v>
      </c>
      <c r="BZ26" s="492">
        <v>359.91199999999998</v>
      </c>
      <c r="CA26" s="493">
        <f t="shared" si="17"/>
        <v>1529.7340000000002</v>
      </c>
      <c r="CB26" s="656">
        <v>494.755</v>
      </c>
      <c r="CC26" s="492">
        <v>377.952</v>
      </c>
      <c r="CD26" s="492">
        <v>208.79900000000001</v>
      </c>
      <c r="CE26" s="492">
        <v>188.715</v>
      </c>
      <c r="CF26" s="492">
        <v>79.742999999999995</v>
      </c>
      <c r="CG26" s="492">
        <v>52.337000000000003</v>
      </c>
      <c r="CH26" s="492">
        <v>86.599000000000004</v>
      </c>
      <c r="CI26" s="492">
        <v>325.98399999999998</v>
      </c>
      <c r="CJ26" s="492">
        <v>511.79700000000003</v>
      </c>
      <c r="CK26" s="492">
        <v>433.197</v>
      </c>
      <c r="CL26" s="492">
        <v>284.964</v>
      </c>
      <c r="CM26" s="492">
        <v>296.125</v>
      </c>
      <c r="CN26" s="493">
        <f t="shared" si="18"/>
        <v>3340.9669999999996</v>
      </c>
      <c r="CO26" s="656">
        <v>220.148</v>
      </c>
      <c r="CP26" s="492">
        <v>96.581000000000003</v>
      </c>
      <c r="CQ26" s="492">
        <v>81.167000000000002</v>
      </c>
      <c r="CR26" s="492">
        <v>65.34</v>
      </c>
      <c r="CS26" s="492">
        <v>95.884</v>
      </c>
      <c r="CT26" s="492">
        <v>186.99299999999999</v>
      </c>
      <c r="CU26" s="492">
        <v>49.886000000000003</v>
      </c>
      <c r="CV26" s="492">
        <v>56.453000000000003</v>
      </c>
      <c r="CW26" s="492">
        <v>209.453</v>
      </c>
      <c r="CX26" s="492">
        <v>202.053</v>
      </c>
      <c r="CY26" s="492"/>
      <c r="CZ26" s="492">
        <v>441.58699999999999</v>
      </c>
      <c r="DA26" s="493">
        <f t="shared" si="19"/>
        <v>1705.5450000000001</v>
      </c>
      <c r="DB26" s="656">
        <v>89.805000000000007</v>
      </c>
      <c r="DC26" s="492">
        <v>232.6</v>
      </c>
      <c r="DD26" s="492">
        <v>186.42599999999999</v>
      </c>
      <c r="DE26" s="492">
        <v>127.955</v>
      </c>
      <c r="DF26" s="492">
        <v>32.539000000000001</v>
      </c>
      <c r="DG26" s="492">
        <v>36.415999999999997</v>
      </c>
      <c r="DH26" s="492">
        <v>156.48099999999999</v>
      </c>
      <c r="DI26" s="492">
        <v>10.571</v>
      </c>
      <c r="DJ26" s="492">
        <v>239.19399999999999</v>
      </c>
      <c r="DK26" s="492">
        <v>159.215</v>
      </c>
      <c r="DL26" s="492">
        <v>13.847</v>
      </c>
      <c r="DM26" s="492">
        <v>43.584000000000003</v>
      </c>
      <c r="DN26" s="493">
        <f t="shared" si="20"/>
        <v>1328.633</v>
      </c>
      <c r="DO26" s="656">
        <v>110.014</v>
      </c>
      <c r="DP26" s="492">
        <v>72.671999999999997</v>
      </c>
      <c r="DQ26" s="492">
        <v>199.642</v>
      </c>
      <c r="DR26" s="492">
        <v>257.05200000000002</v>
      </c>
      <c r="DS26" s="492">
        <v>108.50700000000001</v>
      </c>
      <c r="DT26" s="492">
        <v>58.5</v>
      </c>
      <c r="DU26" s="492">
        <v>36.200000000000003</v>
      </c>
      <c r="DV26" s="492">
        <v>41.02</v>
      </c>
      <c r="DW26" s="492">
        <v>43.28</v>
      </c>
      <c r="DX26" s="492">
        <v>55.29</v>
      </c>
      <c r="DY26" s="492">
        <v>172.95699999999999</v>
      </c>
      <c r="DZ26" s="492">
        <v>88.308000000000007</v>
      </c>
      <c r="EA26" s="493">
        <f t="shared" si="21"/>
        <v>1243.442</v>
      </c>
      <c r="EB26" s="656">
        <v>102.58100943396227</v>
      </c>
      <c r="EC26" s="492">
        <v>372.95726509433973</v>
      </c>
      <c r="ED26" s="492">
        <v>305.05193867924527</v>
      </c>
      <c r="EE26" s="492">
        <v>197.0219669811321</v>
      </c>
      <c r="EF26" s="492">
        <v>64.450698113207551</v>
      </c>
      <c r="EG26" s="492">
        <v>141.00576415094338</v>
      </c>
      <c r="EH26" s="492">
        <v>210.16654245283013</v>
      </c>
      <c r="EI26" s="492">
        <v>303.24378773584897</v>
      </c>
      <c r="EJ26" s="492">
        <v>274.10471698113207</v>
      </c>
      <c r="EK26" s="492">
        <v>192.87215183018867</v>
      </c>
      <c r="EL26" s="492">
        <v>310.83409299191374</v>
      </c>
      <c r="EM26" s="492">
        <v>422.23963679245264</v>
      </c>
      <c r="EN26" s="493">
        <f t="shared" si="22"/>
        <v>2896.5295712371963</v>
      </c>
      <c r="EO26" s="492"/>
      <c r="EP26" s="492"/>
      <c r="EQ26" s="492"/>
      <c r="ER26" s="492"/>
      <c r="ES26" s="492"/>
      <c r="ET26" s="492"/>
      <c r="EU26" s="492"/>
      <c r="EV26" s="492"/>
      <c r="EW26" s="492"/>
      <c r="EX26" s="492"/>
      <c r="EY26" s="492"/>
      <c r="EZ26" s="492"/>
      <c r="FA26" s="493">
        <f t="shared" si="23"/>
        <v>0</v>
      </c>
      <c r="FC26" s="595">
        <f t="shared" si="24"/>
        <v>378.14426415778024</v>
      </c>
      <c r="FD26" s="596">
        <f t="shared" si="25"/>
        <v>132.9444856484819</v>
      </c>
      <c r="FE26" s="498">
        <f t="shared" si="26"/>
        <v>1243.442</v>
      </c>
      <c r="FF26" s="597">
        <f t="shared" si="27"/>
        <v>2896.5295712371963</v>
      </c>
      <c r="FG26" s="624"/>
      <c r="FH26" s="690"/>
      <c r="FI26" s="551">
        <f t="shared" si="28"/>
        <v>30090.047142474396</v>
      </c>
      <c r="FJ26" s="491" t="s">
        <v>650</v>
      </c>
      <c r="FK26" s="554" t="str">
        <f t="shared" si="29"/>
        <v>OK</v>
      </c>
    </row>
    <row r="27" spans="1:167" ht="15" customHeight="1" x14ac:dyDescent="0.25">
      <c r="A27" s="610" t="s">
        <v>61</v>
      </c>
      <c r="B27" s="656"/>
      <c r="C27" s="492"/>
      <c r="D27" s="492">
        <v>42</v>
      </c>
      <c r="E27" s="492">
        <v>20</v>
      </c>
      <c r="F27" s="492">
        <v>2</v>
      </c>
      <c r="G27" s="492">
        <v>21</v>
      </c>
      <c r="H27" s="492">
        <v>3</v>
      </c>
      <c r="I27" s="492">
        <v>3</v>
      </c>
      <c r="J27" s="492">
        <v>26</v>
      </c>
      <c r="K27" s="492">
        <v>3</v>
      </c>
      <c r="L27" s="492">
        <v>64</v>
      </c>
      <c r="M27" s="492">
        <v>216</v>
      </c>
      <c r="N27" s="493">
        <f t="shared" si="12"/>
        <v>400</v>
      </c>
      <c r="O27" s="656">
        <v>144</v>
      </c>
      <c r="P27" s="492">
        <v>8</v>
      </c>
      <c r="Q27" s="492">
        <v>31</v>
      </c>
      <c r="R27" s="492">
        <v>8</v>
      </c>
      <c r="S27" s="492">
        <v>15</v>
      </c>
      <c r="T27" s="492">
        <v>24</v>
      </c>
      <c r="U27" s="492">
        <v>59</v>
      </c>
      <c r="V27" s="492">
        <v>8</v>
      </c>
      <c r="W27" s="492">
        <v>11.026999999999999</v>
      </c>
      <c r="X27" s="492">
        <v>34.417000000000002</v>
      </c>
      <c r="Y27" s="492">
        <v>16</v>
      </c>
      <c r="Z27" s="492">
        <v>53</v>
      </c>
      <c r="AA27" s="493">
        <f t="shared" si="13"/>
        <v>411.44399999999996</v>
      </c>
      <c r="AB27" s="656">
        <v>135</v>
      </c>
      <c r="AC27" s="492">
        <v>23</v>
      </c>
      <c r="AD27" s="492">
        <v>60</v>
      </c>
      <c r="AE27" s="492">
        <v>41.113999999999997</v>
      </c>
      <c r="AF27" s="492">
        <v>34.484999999999999</v>
      </c>
      <c r="AG27" s="492">
        <v>67</v>
      </c>
      <c r="AH27" s="492">
        <v>75</v>
      </c>
      <c r="AI27" s="492">
        <v>79</v>
      </c>
      <c r="AJ27" s="492">
        <v>369</v>
      </c>
      <c r="AK27" s="492">
        <v>193.87499999999997</v>
      </c>
      <c r="AL27" s="492">
        <v>195</v>
      </c>
      <c r="AM27" s="492">
        <v>51</v>
      </c>
      <c r="AN27" s="493">
        <f t="shared" si="14"/>
        <v>1323.4739999999999</v>
      </c>
      <c r="AO27" s="656">
        <v>196.816</v>
      </c>
      <c r="AP27" s="492">
        <v>153.60500000000002</v>
      </c>
      <c r="AQ27" s="492">
        <v>230.43599999999998</v>
      </c>
      <c r="AR27" s="492">
        <v>109.791</v>
      </c>
      <c r="AS27" s="492">
        <v>108.60499999999999</v>
      </c>
      <c r="AT27" s="492">
        <v>195.72200000000001</v>
      </c>
      <c r="AU27" s="492">
        <v>74.650000000000006</v>
      </c>
      <c r="AV27" s="492">
        <v>106.06800000000001</v>
      </c>
      <c r="AW27" s="492">
        <v>125.777</v>
      </c>
      <c r="AX27" s="492">
        <v>43.414000000000001</v>
      </c>
      <c r="AY27" s="492">
        <v>94.318000000000012</v>
      </c>
      <c r="AZ27" s="492">
        <v>176.64699999999999</v>
      </c>
      <c r="BA27" s="493">
        <f t="shared" si="15"/>
        <v>1615.8489999999999</v>
      </c>
      <c r="BB27" s="656">
        <v>236.35599999999999</v>
      </c>
      <c r="BC27" s="492">
        <v>154.37299999999999</v>
      </c>
      <c r="BD27" s="492">
        <v>240.87099999999998</v>
      </c>
      <c r="BE27" s="492">
        <v>158.80099999999999</v>
      </c>
      <c r="BF27" s="492"/>
      <c r="BG27" s="492"/>
      <c r="BH27" s="492"/>
      <c r="BI27" s="492"/>
      <c r="BJ27" s="492"/>
      <c r="BK27" s="492"/>
      <c r="BL27" s="492">
        <v>47.043999999999997</v>
      </c>
      <c r="BM27" s="492"/>
      <c r="BN27" s="493">
        <f t="shared" si="16"/>
        <v>837.44499999999982</v>
      </c>
      <c r="BO27" s="656">
        <v>250</v>
      </c>
      <c r="BP27" s="492">
        <v>234</v>
      </c>
      <c r="BQ27" s="492">
        <v>220</v>
      </c>
      <c r="BR27" s="492"/>
      <c r="BS27" s="492">
        <v>26</v>
      </c>
      <c r="BT27" s="492">
        <v>228</v>
      </c>
      <c r="BU27" s="492">
        <v>542</v>
      </c>
      <c r="BV27" s="492">
        <v>522</v>
      </c>
      <c r="BW27" s="492">
        <v>503</v>
      </c>
      <c r="BX27" s="492">
        <v>817.82500000000005</v>
      </c>
      <c r="BY27" s="492">
        <v>695.70699999999999</v>
      </c>
      <c r="BZ27" s="492">
        <v>711.83</v>
      </c>
      <c r="CA27" s="493">
        <f t="shared" si="17"/>
        <v>4750.3620000000001</v>
      </c>
      <c r="CB27" s="656">
        <v>1341.4570000000001</v>
      </c>
      <c r="CC27" s="492">
        <v>1602.567</v>
      </c>
      <c r="CD27" s="492">
        <v>778.59400000000005</v>
      </c>
      <c r="CE27" s="492">
        <v>425.49799999999999</v>
      </c>
      <c r="CF27" s="492">
        <v>452.33600000000001</v>
      </c>
      <c r="CG27" s="492">
        <v>781.79700000000003</v>
      </c>
      <c r="CH27" s="492">
        <v>907.93799999999999</v>
      </c>
      <c r="CI27" s="492">
        <v>927.66200000000003</v>
      </c>
      <c r="CJ27" s="492">
        <v>793.1</v>
      </c>
      <c r="CK27" s="492">
        <v>613.12900000000002</v>
      </c>
      <c r="CL27" s="492">
        <v>502.98700000000002</v>
      </c>
      <c r="CM27" s="492">
        <v>724.82799999999997</v>
      </c>
      <c r="CN27" s="493">
        <f t="shared" si="18"/>
        <v>9851.893</v>
      </c>
      <c r="CO27" s="656">
        <v>548.24800000000005</v>
      </c>
      <c r="CP27" s="492">
        <v>1083.828</v>
      </c>
      <c r="CQ27" s="492">
        <v>913.24300000000005</v>
      </c>
      <c r="CR27" s="492">
        <v>1043.338</v>
      </c>
      <c r="CS27" s="492">
        <v>882.34100000000001</v>
      </c>
      <c r="CT27" s="492">
        <v>905.87599999999998</v>
      </c>
      <c r="CU27" s="492">
        <v>737.69399999999996</v>
      </c>
      <c r="CV27" s="492">
        <v>1117.5889999999999</v>
      </c>
      <c r="CW27" s="492">
        <v>1279.421</v>
      </c>
      <c r="CX27" s="492">
        <v>688.82500000000005</v>
      </c>
      <c r="CY27" s="492">
        <v>48.838999999999999</v>
      </c>
      <c r="CZ27" s="492">
        <v>2380.0839999999998</v>
      </c>
      <c r="DA27" s="493">
        <f t="shared" si="19"/>
        <v>11629.326000000001</v>
      </c>
      <c r="DB27" s="656">
        <v>379.41800000000001</v>
      </c>
      <c r="DC27" s="492">
        <v>532.90300000000002</v>
      </c>
      <c r="DD27" s="492">
        <v>849.06899999999996</v>
      </c>
      <c r="DE27" s="492">
        <v>724.83199999999999</v>
      </c>
      <c r="DF27" s="492">
        <v>764.30899999999997</v>
      </c>
      <c r="DG27" s="492">
        <v>601.16200000000003</v>
      </c>
      <c r="DH27" s="492">
        <v>754.51499999999999</v>
      </c>
      <c r="DI27" s="492">
        <v>402.16899999999998</v>
      </c>
      <c r="DJ27" s="492">
        <v>496.81799999999998</v>
      </c>
      <c r="DK27" s="492">
        <v>467.23599999999999</v>
      </c>
      <c r="DL27" s="492">
        <v>143.00700000000001</v>
      </c>
      <c r="DM27" s="492">
        <v>956.27599999999995</v>
      </c>
      <c r="DN27" s="493">
        <f t="shared" si="20"/>
        <v>7071.7139999999999</v>
      </c>
      <c r="DO27" s="656">
        <v>143.815</v>
      </c>
      <c r="DP27" s="492">
        <v>64.56</v>
      </c>
      <c r="DQ27" s="492">
        <v>901.13</v>
      </c>
      <c r="DR27" s="492">
        <v>414.57</v>
      </c>
      <c r="DS27" s="492">
        <v>239.9</v>
      </c>
      <c r="DT27" s="492">
        <v>208.3</v>
      </c>
      <c r="DU27" s="492">
        <v>211</v>
      </c>
      <c r="DV27" s="492">
        <v>289.988</v>
      </c>
      <c r="DW27" s="492">
        <v>615.61</v>
      </c>
      <c r="DX27" s="492">
        <v>659.77</v>
      </c>
      <c r="DY27" s="492">
        <v>886.56200000000001</v>
      </c>
      <c r="DZ27" s="492">
        <v>719.85</v>
      </c>
      <c r="EA27" s="493">
        <f t="shared" si="21"/>
        <v>5355.0550000000003</v>
      </c>
      <c r="EB27" s="656">
        <v>1292.9248904873994</v>
      </c>
      <c r="EC27" s="492">
        <v>1010.9445667600091</v>
      </c>
      <c r="ED27" s="492">
        <v>656.3482977300315</v>
      </c>
      <c r="EE27" s="492">
        <v>382.78864578625229</v>
      </c>
      <c r="EF27" s="492">
        <v>76.327929897821917</v>
      </c>
      <c r="EG27" s="492">
        <v>198.5300692701133</v>
      </c>
      <c r="EH27" s="492">
        <v>269.76053776519899</v>
      </c>
      <c r="EI27" s="492">
        <v>376.70680503508936</v>
      </c>
      <c r="EJ27" s="492">
        <v>513.55056473133527</v>
      </c>
      <c r="EK27" s="492">
        <v>534.39489518697098</v>
      </c>
      <c r="EL27" s="492">
        <v>581.1569134933053</v>
      </c>
      <c r="EM27" s="492">
        <v>337.24851378426314</v>
      </c>
      <c r="EN27" s="493">
        <f t="shared" si="22"/>
        <v>6230.68262992779</v>
      </c>
      <c r="EO27" s="492"/>
      <c r="EP27" s="492"/>
      <c r="EQ27" s="492"/>
      <c r="ER27" s="492"/>
      <c r="ES27" s="492"/>
      <c r="ET27" s="492"/>
      <c r="EU27" s="492"/>
      <c r="EV27" s="492"/>
      <c r="EW27" s="492"/>
      <c r="EX27" s="492"/>
      <c r="EY27" s="492"/>
      <c r="EZ27" s="492"/>
      <c r="FA27" s="493">
        <f t="shared" si="23"/>
        <v>0</v>
      </c>
      <c r="FC27" s="595">
        <f t="shared" si="24"/>
        <v>-53.15016825946195</v>
      </c>
      <c r="FD27" s="596">
        <f t="shared" si="25"/>
        <v>16.351421786102847</v>
      </c>
      <c r="FE27" s="498">
        <f t="shared" si="26"/>
        <v>5355.0550000000003</v>
      </c>
      <c r="FF27" s="597">
        <f t="shared" si="27"/>
        <v>6230.68262992779</v>
      </c>
      <c r="FG27" s="624"/>
      <c r="FH27" s="690"/>
      <c r="FI27" s="551">
        <f t="shared" si="28"/>
        <v>98954.489259855574</v>
      </c>
      <c r="FJ27" s="491" t="s">
        <v>61</v>
      </c>
      <c r="FK27" s="554" t="str">
        <f t="shared" si="29"/>
        <v>OK</v>
      </c>
    </row>
    <row r="28" spans="1:167" ht="15" customHeight="1" x14ac:dyDescent="0.25">
      <c r="A28" s="610" t="s">
        <v>62</v>
      </c>
      <c r="B28" s="656">
        <v>62.006</v>
      </c>
      <c r="C28" s="492">
        <v>116.24</v>
      </c>
      <c r="D28" s="492">
        <v>118</v>
      </c>
      <c r="E28" s="492">
        <v>102</v>
      </c>
      <c r="F28" s="492">
        <v>69</v>
      </c>
      <c r="G28" s="492">
        <v>132</v>
      </c>
      <c r="H28" s="492">
        <v>210</v>
      </c>
      <c r="I28" s="492">
        <v>117</v>
      </c>
      <c r="J28" s="492">
        <v>70</v>
      </c>
      <c r="K28" s="492">
        <v>54</v>
      </c>
      <c r="L28" s="492">
        <v>290</v>
      </c>
      <c r="M28" s="492">
        <v>213</v>
      </c>
      <c r="N28" s="493">
        <f t="shared" si="12"/>
        <v>1553.2460000000001</v>
      </c>
      <c r="O28" s="656">
        <v>157</v>
      </c>
      <c r="P28" s="492">
        <v>65</v>
      </c>
      <c r="Q28" s="492">
        <v>8</v>
      </c>
      <c r="R28" s="492">
        <v>5</v>
      </c>
      <c r="S28" s="492">
        <v>88</v>
      </c>
      <c r="T28" s="492">
        <v>45</v>
      </c>
      <c r="U28" s="492">
        <v>92</v>
      </c>
      <c r="V28" s="492">
        <v>7</v>
      </c>
      <c r="W28" s="492">
        <v>14.817</v>
      </c>
      <c r="X28" s="492">
        <v>9.9049999999999994</v>
      </c>
      <c r="Y28" s="492">
        <v>17</v>
      </c>
      <c r="Z28" s="492">
        <v>85</v>
      </c>
      <c r="AA28" s="493">
        <f t="shared" si="13"/>
        <v>593.72199999999998</v>
      </c>
      <c r="AB28" s="656">
        <v>202</v>
      </c>
      <c r="AC28" s="492">
        <v>60</v>
      </c>
      <c r="AD28" s="492">
        <v>98</v>
      </c>
      <c r="AE28" s="492">
        <v>208.40199999999999</v>
      </c>
      <c r="AF28" s="492">
        <v>265.11399999999998</v>
      </c>
      <c r="AG28" s="492">
        <v>191</v>
      </c>
      <c r="AH28" s="492">
        <v>69</v>
      </c>
      <c r="AI28" s="492">
        <v>111</v>
      </c>
      <c r="AJ28" s="492">
        <v>107</v>
      </c>
      <c r="AK28" s="492">
        <v>42</v>
      </c>
      <c r="AL28" s="492">
        <v>141</v>
      </c>
      <c r="AM28" s="492">
        <v>223</v>
      </c>
      <c r="AN28" s="493">
        <f t="shared" si="14"/>
        <v>1717.5160000000001</v>
      </c>
      <c r="AO28" s="656">
        <v>247</v>
      </c>
      <c r="AP28" s="492">
        <v>517</v>
      </c>
      <c r="AQ28" s="492">
        <v>615</v>
      </c>
      <c r="AR28" s="492">
        <v>518.50199999999995</v>
      </c>
      <c r="AS28" s="492">
        <v>279</v>
      </c>
      <c r="AT28" s="492">
        <v>166.97900000000001</v>
      </c>
      <c r="AU28" s="492">
        <v>302.99900000000002</v>
      </c>
      <c r="AV28" s="492">
        <v>320</v>
      </c>
      <c r="AW28" s="492">
        <v>302</v>
      </c>
      <c r="AX28" s="492">
        <v>155.53299999999999</v>
      </c>
      <c r="AY28" s="492">
        <v>173.83500000000001</v>
      </c>
      <c r="AZ28" s="492">
        <v>400.108</v>
      </c>
      <c r="BA28" s="493">
        <f t="shared" si="15"/>
        <v>3997.9559999999997</v>
      </c>
      <c r="BB28" s="656">
        <v>395</v>
      </c>
      <c r="BC28" s="492">
        <v>141</v>
      </c>
      <c r="BD28" s="492">
        <v>503</v>
      </c>
      <c r="BE28" s="492">
        <v>323.76299999999998</v>
      </c>
      <c r="BF28" s="492"/>
      <c r="BG28" s="492">
        <v>47.18</v>
      </c>
      <c r="BH28" s="492">
        <v>20.782</v>
      </c>
      <c r="BI28" s="492">
        <v>109.86799999999999</v>
      </c>
      <c r="BJ28" s="492">
        <v>11.795</v>
      </c>
      <c r="BK28" s="492">
        <v>16.651</v>
      </c>
      <c r="BL28" s="492">
        <v>12.989000000000001</v>
      </c>
      <c r="BM28" s="492"/>
      <c r="BN28" s="493">
        <f t="shared" si="16"/>
        <v>1582.028</v>
      </c>
      <c r="BO28" s="656">
        <v>187</v>
      </c>
      <c r="BP28" s="492">
        <v>249</v>
      </c>
      <c r="BQ28" s="492">
        <v>203</v>
      </c>
      <c r="BR28" s="492"/>
      <c r="BS28" s="492">
        <v>5</v>
      </c>
      <c r="BT28" s="492">
        <v>228</v>
      </c>
      <c r="BU28" s="492">
        <v>310</v>
      </c>
      <c r="BV28" s="492">
        <v>297</v>
      </c>
      <c r="BW28" s="492">
        <v>70</v>
      </c>
      <c r="BX28" s="492">
        <v>306.10399999999998</v>
      </c>
      <c r="BY28" s="492">
        <v>140.273</v>
      </c>
      <c r="BZ28" s="492">
        <v>138.02500000000001</v>
      </c>
      <c r="CA28" s="493">
        <f t="shared" si="17"/>
        <v>2133.402</v>
      </c>
      <c r="CB28" s="656">
        <v>452.48099999999999</v>
      </c>
      <c r="CC28" s="492">
        <v>873.26499999999999</v>
      </c>
      <c r="CD28" s="492">
        <v>477.28500000000003</v>
      </c>
      <c r="CE28" s="492">
        <v>346.62700000000001</v>
      </c>
      <c r="CF28" s="492">
        <v>374.24400000000003</v>
      </c>
      <c r="CG28" s="492">
        <v>560.53399999999999</v>
      </c>
      <c r="CH28" s="492">
        <v>873.98299999999995</v>
      </c>
      <c r="CI28" s="492">
        <v>399.41899999999998</v>
      </c>
      <c r="CJ28" s="492">
        <v>240.45500000000001</v>
      </c>
      <c r="CK28" s="492">
        <v>310.53899999999999</v>
      </c>
      <c r="CL28" s="492">
        <v>179.107</v>
      </c>
      <c r="CM28" s="492">
        <v>331.11399999999998</v>
      </c>
      <c r="CN28" s="493">
        <f t="shared" si="18"/>
        <v>5419.0529999999999</v>
      </c>
      <c r="CO28" s="656">
        <v>196.244</v>
      </c>
      <c r="CP28" s="492">
        <v>166.53899999999999</v>
      </c>
      <c r="CQ28" s="492">
        <v>563.35699999999997</v>
      </c>
      <c r="CR28" s="492">
        <v>478.99200000000002</v>
      </c>
      <c r="CS28" s="492">
        <v>598.24099999999999</v>
      </c>
      <c r="CT28" s="492">
        <v>781.44600000000003</v>
      </c>
      <c r="CU28" s="492">
        <v>528.73500000000001</v>
      </c>
      <c r="CV28" s="492">
        <v>345.96499999999997</v>
      </c>
      <c r="CW28" s="492">
        <v>263.166</v>
      </c>
      <c r="CX28" s="492">
        <v>165.06899999999999</v>
      </c>
      <c r="CY28" s="492">
        <v>2.593</v>
      </c>
      <c r="CZ28" s="492">
        <v>2965.9720000000002</v>
      </c>
      <c r="DA28" s="493">
        <f t="shared" si="19"/>
        <v>7056.3190000000004</v>
      </c>
      <c r="DB28" s="656">
        <v>226.46299999999999</v>
      </c>
      <c r="DC28" s="492">
        <v>253.96600000000001</v>
      </c>
      <c r="DD28" s="492">
        <v>592.5</v>
      </c>
      <c r="DE28" s="492">
        <v>733.30499999999995</v>
      </c>
      <c r="DF28" s="492">
        <v>628.94200000000001</v>
      </c>
      <c r="DG28" s="492">
        <v>384.62099999999998</v>
      </c>
      <c r="DH28" s="492">
        <v>230.72499999999999</v>
      </c>
      <c r="DI28" s="492">
        <v>391.07499999999999</v>
      </c>
      <c r="DJ28" s="492">
        <v>366.67399999999998</v>
      </c>
      <c r="DK28" s="492">
        <v>49.323999999999998</v>
      </c>
      <c r="DL28" s="492">
        <v>91.061000000000007</v>
      </c>
      <c r="DM28" s="492">
        <v>225.83799999999999</v>
      </c>
      <c r="DN28" s="493">
        <f t="shared" si="20"/>
        <v>4174.4939999999997</v>
      </c>
      <c r="DO28" s="656">
        <v>99.83</v>
      </c>
      <c r="DP28" s="492">
        <v>35.966999999999999</v>
      </c>
      <c r="DQ28" s="492">
        <v>244.5</v>
      </c>
      <c r="DR28" s="492">
        <v>174.18</v>
      </c>
      <c r="DS28" s="492">
        <v>289.60000000000002</v>
      </c>
      <c r="DT28" s="492">
        <v>90.5</v>
      </c>
      <c r="DU28" s="492">
        <v>139.19999999999999</v>
      </c>
      <c r="DV28" s="492">
        <v>201</v>
      </c>
      <c r="DW28" s="492">
        <v>74.66</v>
      </c>
      <c r="DX28" s="492">
        <v>134.93</v>
      </c>
      <c r="DY28" s="492">
        <v>68.266999999999996</v>
      </c>
      <c r="DZ28" s="492">
        <v>63.804000000000002</v>
      </c>
      <c r="EA28" s="493">
        <f t="shared" si="21"/>
        <v>1616.4380000000003</v>
      </c>
      <c r="EB28" s="656">
        <v>254</v>
      </c>
      <c r="EC28" s="492">
        <v>353</v>
      </c>
      <c r="ED28" s="492">
        <v>383</v>
      </c>
      <c r="EE28" s="492">
        <v>847</v>
      </c>
      <c r="EF28" s="492">
        <v>1513</v>
      </c>
      <c r="EG28" s="492">
        <v>979</v>
      </c>
      <c r="EH28" s="492">
        <v>439</v>
      </c>
      <c r="EI28" s="492">
        <v>254</v>
      </c>
      <c r="EJ28" s="492">
        <v>341</v>
      </c>
      <c r="EK28" s="492">
        <v>476</v>
      </c>
      <c r="EL28" s="492">
        <v>190</v>
      </c>
      <c r="EM28" s="492">
        <v>296</v>
      </c>
      <c r="EN28" s="493">
        <f t="shared" si="22"/>
        <v>6325</v>
      </c>
      <c r="EO28" s="492"/>
      <c r="EP28" s="492"/>
      <c r="EQ28" s="492"/>
      <c r="ER28" s="492"/>
      <c r="ES28" s="492"/>
      <c r="ET28" s="492"/>
      <c r="EU28" s="492"/>
      <c r="EV28" s="492"/>
      <c r="EW28" s="492"/>
      <c r="EX28" s="492"/>
      <c r="EY28" s="492"/>
      <c r="EZ28" s="492"/>
      <c r="FA28" s="493">
        <f t="shared" si="23"/>
        <v>0</v>
      </c>
      <c r="FC28" s="595">
        <f t="shared" si="24"/>
        <v>363.92075731929026</v>
      </c>
      <c r="FD28" s="596">
        <f t="shared" si="25"/>
        <v>291.29245909833838</v>
      </c>
      <c r="FE28" s="498">
        <f t="shared" si="26"/>
        <v>1616.4380000000003</v>
      </c>
      <c r="FF28" s="597">
        <f t="shared" si="27"/>
        <v>6325</v>
      </c>
      <c r="FG28" s="624"/>
      <c r="FH28" s="690"/>
      <c r="FI28" s="551">
        <f t="shared" si="28"/>
        <v>72338.348000000013</v>
      </c>
      <c r="FJ28" s="491" t="s">
        <v>62</v>
      </c>
      <c r="FK28" s="554" t="str">
        <f t="shared" si="29"/>
        <v>OK</v>
      </c>
    </row>
    <row r="29" spans="1:167" ht="15" customHeight="1" x14ac:dyDescent="0.25">
      <c r="A29" s="610" t="s">
        <v>88</v>
      </c>
      <c r="B29" s="656"/>
      <c r="C29" s="492"/>
      <c r="D29" s="492"/>
      <c r="E29" s="492"/>
      <c r="F29" s="492"/>
      <c r="G29" s="492"/>
      <c r="H29" s="492"/>
      <c r="I29" s="492"/>
      <c r="J29" s="492"/>
      <c r="K29" s="492"/>
      <c r="L29" s="492"/>
      <c r="M29" s="492"/>
      <c r="N29" s="493">
        <f t="shared" si="12"/>
        <v>0</v>
      </c>
      <c r="O29" s="656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3">
        <f t="shared" si="13"/>
        <v>0</v>
      </c>
      <c r="AB29" s="656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3">
        <f t="shared" si="14"/>
        <v>0</v>
      </c>
      <c r="AO29" s="656"/>
      <c r="AP29" s="492"/>
      <c r="AQ29" s="492"/>
      <c r="AR29" s="492"/>
      <c r="AS29" s="492"/>
      <c r="AT29" s="492"/>
      <c r="AU29" s="492"/>
      <c r="AV29" s="492"/>
      <c r="AW29" s="492"/>
      <c r="AX29" s="492"/>
      <c r="AY29" s="492"/>
      <c r="AZ29" s="492"/>
      <c r="BA29" s="493">
        <f t="shared" si="15"/>
        <v>0</v>
      </c>
      <c r="BB29" s="656"/>
      <c r="BC29" s="492"/>
      <c r="BD29" s="492"/>
      <c r="BE29" s="492"/>
      <c r="BF29" s="492"/>
      <c r="BG29" s="492"/>
      <c r="BH29" s="492"/>
      <c r="BI29" s="492"/>
      <c r="BJ29" s="492"/>
      <c r="BK29" s="492"/>
      <c r="BL29" s="492"/>
      <c r="BM29" s="492"/>
      <c r="BN29" s="493">
        <f t="shared" si="16"/>
        <v>0</v>
      </c>
      <c r="BO29" s="656"/>
      <c r="BP29" s="492"/>
      <c r="BQ29" s="492"/>
      <c r="BR29" s="492"/>
      <c r="BS29" s="492"/>
      <c r="BT29" s="492"/>
      <c r="BU29" s="492"/>
      <c r="BV29" s="492"/>
      <c r="BW29" s="492"/>
      <c r="BX29" s="492"/>
      <c r="BY29" s="492"/>
      <c r="BZ29" s="492"/>
      <c r="CA29" s="493">
        <f t="shared" si="17"/>
        <v>0</v>
      </c>
      <c r="CB29" s="656"/>
      <c r="CC29" s="492"/>
      <c r="CD29" s="492"/>
      <c r="CE29" s="492"/>
      <c r="CF29" s="492"/>
      <c r="CG29" s="492"/>
      <c r="CH29" s="492"/>
      <c r="CI29" s="492"/>
      <c r="CJ29" s="492"/>
      <c r="CK29" s="492"/>
      <c r="CL29" s="492"/>
      <c r="CM29" s="492"/>
      <c r="CN29" s="493">
        <f t="shared" si="18"/>
        <v>0</v>
      </c>
      <c r="CO29" s="656"/>
      <c r="CP29" s="492"/>
      <c r="CQ29" s="492"/>
      <c r="CR29" s="492"/>
      <c r="CS29" s="492"/>
      <c r="CT29" s="492"/>
      <c r="CU29" s="492"/>
      <c r="CV29" s="492"/>
      <c r="CW29" s="492"/>
      <c r="CX29" s="492"/>
      <c r="CY29" s="492"/>
      <c r="CZ29" s="492"/>
      <c r="DA29" s="493">
        <f t="shared" si="19"/>
        <v>0</v>
      </c>
      <c r="DB29" s="656"/>
      <c r="DC29" s="492"/>
      <c r="DD29" s="492"/>
      <c r="DE29" s="492"/>
      <c r="DF29" s="492"/>
      <c r="DG29" s="492"/>
      <c r="DH29" s="492"/>
      <c r="DI29" s="492"/>
      <c r="DJ29" s="492"/>
      <c r="DK29" s="492"/>
      <c r="DL29" s="492"/>
      <c r="DM29" s="492"/>
      <c r="DN29" s="493">
        <f t="shared" si="20"/>
        <v>0</v>
      </c>
      <c r="DO29" s="656"/>
      <c r="DP29" s="492"/>
      <c r="DQ29" s="492"/>
      <c r="DR29" s="492"/>
      <c r="DS29" s="492"/>
      <c r="DT29" s="492"/>
      <c r="DU29" s="492"/>
      <c r="DV29" s="492"/>
      <c r="DW29" s="492"/>
      <c r="DX29" s="492"/>
      <c r="DY29" s="492"/>
      <c r="DZ29" s="492"/>
      <c r="EA29" s="493">
        <f t="shared" si="21"/>
        <v>0</v>
      </c>
      <c r="EB29" s="656"/>
      <c r="EC29" s="492"/>
      <c r="ED29" s="492"/>
      <c r="EE29" s="492"/>
      <c r="EF29" s="492"/>
      <c r="EG29" s="492"/>
      <c r="EH29" s="492"/>
      <c r="EI29" s="492"/>
      <c r="EJ29" s="492"/>
      <c r="EK29" s="492"/>
      <c r="EL29" s="492"/>
      <c r="EM29" s="492"/>
      <c r="EN29" s="493">
        <f t="shared" si="22"/>
        <v>0</v>
      </c>
      <c r="EO29" s="492"/>
      <c r="EP29" s="492"/>
      <c r="EQ29" s="492"/>
      <c r="ER29" s="492"/>
      <c r="ES29" s="492"/>
      <c r="ET29" s="492"/>
      <c r="EU29" s="492"/>
      <c r="EV29" s="492"/>
      <c r="EW29" s="492"/>
      <c r="EX29" s="492"/>
      <c r="EY29" s="492"/>
      <c r="EZ29" s="492"/>
      <c r="FA29" s="493">
        <f t="shared" si="23"/>
        <v>0</v>
      </c>
      <c r="FC29" s="595" t="str">
        <f t="shared" si="24"/>
        <v/>
      </c>
      <c r="FD29" s="596" t="str">
        <f t="shared" si="25"/>
        <v/>
      </c>
      <c r="FE29" s="498">
        <f t="shared" si="26"/>
        <v>0</v>
      </c>
      <c r="FF29" s="597">
        <f t="shared" si="27"/>
        <v>0</v>
      </c>
      <c r="FG29" s="624"/>
      <c r="FH29" s="690"/>
      <c r="FI29" s="551">
        <f t="shared" si="28"/>
        <v>0</v>
      </c>
      <c r="FJ29" s="491" t="s">
        <v>88</v>
      </c>
      <c r="FK29" s="554" t="str">
        <f t="shared" si="29"/>
        <v>OK</v>
      </c>
    </row>
    <row r="30" spans="1:167" ht="15" customHeight="1" x14ac:dyDescent="0.25">
      <c r="A30" s="610" t="s">
        <v>63</v>
      </c>
      <c r="B30" s="656">
        <v>101.373</v>
      </c>
      <c r="C30" s="492">
        <v>78.808999999999997</v>
      </c>
      <c r="D30" s="492">
        <v>140</v>
      </c>
      <c r="E30" s="492">
        <v>244</v>
      </c>
      <c r="F30" s="492">
        <v>95</v>
      </c>
      <c r="G30" s="492">
        <v>151</v>
      </c>
      <c r="H30" s="492">
        <v>62</v>
      </c>
      <c r="I30" s="492">
        <v>5</v>
      </c>
      <c r="J30" s="492">
        <v>28</v>
      </c>
      <c r="K30" s="492">
        <v>77</v>
      </c>
      <c r="L30" s="492">
        <v>263</v>
      </c>
      <c r="M30" s="492">
        <v>258</v>
      </c>
      <c r="N30" s="493">
        <f t="shared" si="12"/>
        <v>1503.182</v>
      </c>
      <c r="O30" s="656">
        <v>124</v>
      </c>
      <c r="P30" s="492">
        <v>119</v>
      </c>
      <c r="Q30" s="492">
        <v>2</v>
      </c>
      <c r="R30" s="492">
        <v>67</v>
      </c>
      <c r="S30" s="492">
        <v>169</v>
      </c>
      <c r="T30" s="492">
        <v>26</v>
      </c>
      <c r="U30" s="492">
        <v>85</v>
      </c>
      <c r="V30" s="492">
        <v>135</v>
      </c>
      <c r="W30" s="492">
        <v>15</v>
      </c>
      <c r="X30" s="492">
        <v>58</v>
      </c>
      <c r="Y30" s="492"/>
      <c r="Z30" s="492">
        <v>31</v>
      </c>
      <c r="AA30" s="493">
        <f t="shared" si="13"/>
        <v>831</v>
      </c>
      <c r="AB30" s="656">
        <v>62</v>
      </c>
      <c r="AC30" s="492">
        <v>230</v>
      </c>
      <c r="AD30" s="492">
        <v>168</v>
      </c>
      <c r="AE30" s="492">
        <v>154.32</v>
      </c>
      <c r="AF30" s="492">
        <v>214.93899999999999</v>
      </c>
      <c r="AG30" s="492">
        <v>56</v>
      </c>
      <c r="AH30" s="492">
        <v>54</v>
      </c>
      <c r="AI30" s="492">
        <v>94</v>
      </c>
      <c r="AJ30" s="492">
        <v>202</v>
      </c>
      <c r="AK30" s="492">
        <v>483</v>
      </c>
      <c r="AL30" s="492">
        <v>538</v>
      </c>
      <c r="AM30" s="492">
        <v>626</v>
      </c>
      <c r="AN30" s="493">
        <f t="shared" si="14"/>
        <v>2882.259</v>
      </c>
      <c r="AO30" s="656">
        <v>1124.1030000000001</v>
      </c>
      <c r="AP30" s="492">
        <v>477.21499999999997</v>
      </c>
      <c r="AQ30" s="492">
        <v>529.00099999999998</v>
      </c>
      <c r="AR30" s="492">
        <v>566.34299999999996</v>
      </c>
      <c r="AS30" s="492">
        <v>365.75400000000002</v>
      </c>
      <c r="AT30" s="492">
        <v>146.72800000000001</v>
      </c>
      <c r="AU30" s="492">
        <v>119.262</v>
      </c>
      <c r="AV30" s="492">
        <v>274</v>
      </c>
      <c r="AW30" s="492">
        <v>313</v>
      </c>
      <c r="AX30" s="492">
        <v>459</v>
      </c>
      <c r="AY30" s="492">
        <v>666</v>
      </c>
      <c r="AZ30" s="492">
        <v>351.35700000000003</v>
      </c>
      <c r="BA30" s="493">
        <f t="shared" si="15"/>
        <v>5391.7629999999999</v>
      </c>
      <c r="BB30" s="656">
        <v>403</v>
      </c>
      <c r="BC30" s="492">
        <v>248</v>
      </c>
      <c r="BD30" s="492">
        <v>419</v>
      </c>
      <c r="BE30" s="492">
        <v>190.11699999999999</v>
      </c>
      <c r="BF30" s="492">
        <v>93</v>
      </c>
      <c r="BG30" s="492">
        <v>50.366</v>
      </c>
      <c r="BH30" s="492">
        <v>38.671999999999997</v>
      </c>
      <c r="BI30" s="492">
        <v>67.795000000000002</v>
      </c>
      <c r="BJ30" s="492">
        <v>34.231000000000002</v>
      </c>
      <c r="BK30" s="492">
        <v>6.133</v>
      </c>
      <c r="BL30" s="492">
        <v>15.102</v>
      </c>
      <c r="BM30" s="492"/>
      <c r="BN30" s="493">
        <f t="shared" si="16"/>
        <v>1565.4160000000002</v>
      </c>
      <c r="BO30" s="656">
        <v>839</v>
      </c>
      <c r="BP30" s="492">
        <v>1098</v>
      </c>
      <c r="BQ30" s="492">
        <v>532</v>
      </c>
      <c r="BR30" s="492"/>
      <c r="BS30" s="492">
        <v>3</v>
      </c>
      <c r="BT30" s="492">
        <v>343</v>
      </c>
      <c r="BU30" s="492">
        <v>531</v>
      </c>
      <c r="BV30" s="492">
        <v>488</v>
      </c>
      <c r="BW30" s="492">
        <v>854</v>
      </c>
      <c r="BX30" s="492">
        <v>1589.0360000000001</v>
      </c>
      <c r="BY30" s="492">
        <v>1279.4559999999999</v>
      </c>
      <c r="BZ30" s="492">
        <v>1495.0039999999999</v>
      </c>
      <c r="CA30" s="493">
        <f t="shared" si="17"/>
        <v>9051.4959999999992</v>
      </c>
      <c r="CB30" s="656">
        <v>1330.1759999999999</v>
      </c>
      <c r="CC30" s="492">
        <v>2690.886</v>
      </c>
      <c r="CD30" s="492">
        <v>1037.2360000000001</v>
      </c>
      <c r="CE30" s="492">
        <v>1257.8630000000001</v>
      </c>
      <c r="CF30" s="492">
        <v>1439.7370000000001</v>
      </c>
      <c r="CG30" s="492">
        <v>799.58</v>
      </c>
      <c r="CH30" s="492">
        <v>1310.828</v>
      </c>
      <c r="CI30" s="492">
        <v>1602.242</v>
      </c>
      <c r="CJ30" s="492">
        <v>1674.374</v>
      </c>
      <c r="CK30" s="492">
        <v>1403.279</v>
      </c>
      <c r="CL30" s="492">
        <v>1572.932</v>
      </c>
      <c r="CM30" s="492">
        <v>1643.047</v>
      </c>
      <c r="CN30" s="493">
        <f t="shared" si="18"/>
        <v>17762.18</v>
      </c>
      <c r="CO30" s="656">
        <v>1162.703</v>
      </c>
      <c r="CP30" s="492">
        <v>1194.7840000000001</v>
      </c>
      <c r="CQ30" s="492">
        <v>1647.2539999999999</v>
      </c>
      <c r="CR30" s="492">
        <v>996.38400000000001</v>
      </c>
      <c r="CS30" s="492">
        <v>916.70799999999997</v>
      </c>
      <c r="CT30" s="492">
        <v>725.47699999999998</v>
      </c>
      <c r="CU30" s="492">
        <v>698.45399999999995</v>
      </c>
      <c r="CV30" s="492">
        <v>805.41700000000003</v>
      </c>
      <c r="CW30" s="492">
        <v>1196.1880000000001</v>
      </c>
      <c r="CX30" s="492">
        <v>872.12300000000005</v>
      </c>
      <c r="CY30" s="492">
        <v>67.134</v>
      </c>
      <c r="CZ30" s="492">
        <v>778.57500000000005</v>
      </c>
      <c r="DA30" s="493">
        <f t="shared" si="19"/>
        <v>11061.200999999999</v>
      </c>
      <c r="DB30" s="656">
        <v>513.14300000000003</v>
      </c>
      <c r="DC30" s="492">
        <v>1017.626</v>
      </c>
      <c r="DD30" s="492">
        <v>1010.663</v>
      </c>
      <c r="DE30" s="492">
        <v>488.31900000000002</v>
      </c>
      <c r="DF30" s="492">
        <v>460.47899999999998</v>
      </c>
      <c r="DG30" s="492">
        <v>574.77499999999998</v>
      </c>
      <c r="DH30" s="492">
        <v>258.02699999999999</v>
      </c>
      <c r="DI30" s="492">
        <v>425.05200000000002</v>
      </c>
      <c r="DJ30" s="492">
        <v>591.37599999999998</v>
      </c>
      <c r="DK30" s="492">
        <v>190.14500000000001</v>
      </c>
      <c r="DL30" s="492">
        <v>131.327</v>
      </c>
      <c r="DM30" s="492">
        <v>347.94400000000002</v>
      </c>
      <c r="DN30" s="493">
        <f t="shared" si="20"/>
        <v>6008.8760000000002</v>
      </c>
      <c r="DO30" s="656">
        <v>195.221</v>
      </c>
      <c r="DP30" s="492">
        <v>88.856999999999999</v>
      </c>
      <c r="DQ30" s="492">
        <v>871.53</v>
      </c>
      <c r="DR30" s="492">
        <v>234.54</v>
      </c>
      <c r="DS30" s="492">
        <v>254.59</v>
      </c>
      <c r="DT30" s="492">
        <v>155.30000000000001</v>
      </c>
      <c r="DU30" s="492">
        <v>127.1</v>
      </c>
      <c r="DV30" s="492">
        <v>145.101</v>
      </c>
      <c r="DW30" s="492">
        <v>289.68</v>
      </c>
      <c r="DX30" s="492">
        <v>181.35</v>
      </c>
      <c r="DY30" s="492">
        <v>141.82900000000001</v>
      </c>
      <c r="DZ30" s="492">
        <v>318.76049999999998</v>
      </c>
      <c r="EA30" s="493">
        <f t="shared" si="21"/>
        <v>3003.8584999999994</v>
      </c>
      <c r="EB30" s="656">
        <v>1001.19</v>
      </c>
      <c r="EC30" s="492">
        <v>641.70000000000005</v>
      </c>
      <c r="ED30" s="492">
        <v>451.59</v>
      </c>
      <c r="EE30" s="492">
        <v>513.67999999999995</v>
      </c>
      <c r="EF30" s="492">
        <v>319.69</v>
      </c>
      <c r="EG30" s="492">
        <v>338.77</v>
      </c>
      <c r="EH30" s="492">
        <v>446.04899999999998</v>
      </c>
      <c r="EI30" s="492">
        <v>412</v>
      </c>
      <c r="EJ30" s="492">
        <v>420.1</v>
      </c>
      <c r="EK30" s="492">
        <v>559</v>
      </c>
      <c r="EL30" s="492">
        <v>392</v>
      </c>
      <c r="EM30" s="492">
        <v>780</v>
      </c>
      <c r="EN30" s="493">
        <f t="shared" si="22"/>
        <v>6275.7690000000002</v>
      </c>
      <c r="EO30" s="492"/>
      <c r="EP30" s="492"/>
      <c r="EQ30" s="492"/>
      <c r="ER30" s="492"/>
      <c r="ES30" s="492"/>
      <c r="ET30" s="492"/>
      <c r="EU30" s="492"/>
      <c r="EV30" s="492"/>
      <c r="EW30" s="492"/>
      <c r="EX30" s="492"/>
      <c r="EY30" s="492"/>
      <c r="EZ30" s="492"/>
      <c r="FA30" s="493">
        <f t="shared" si="23"/>
        <v>0</v>
      </c>
      <c r="FC30" s="595">
        <f t="shared" si="24"/>
        <v>144.697821718814</v>
      </c>
      <c r="FD30" s="596">
        <f t="shared" si="25"/>
        <v>108.92358944337764</v>
      </c>
      <c r="FE30" s="498">
        <f t="shared" si="26"/>
        <v>3003.8584999999994</v>
      </c>
      <c r="FF30" s="597">
        <f t="shared" si="27"/>
        <v>6275.7690000000002</v>
      </c>
      <c r="FG30" s="624"/>
      <c r="FH30" s="690"/>
      <c r="FI30" s="551">
        <f t="shared" si="28"/>
        <v>130674.00100000003</v>
      </c>
      <c r="FJ30" s="491" t="s">
        <v>63</v>
      </c>
      <c r="FK30" s="554" t="str">
        <f t="shared" si="29"/>
        <v>OK</v>
      </c>
    </row>
    <row r="31" spans="1:167" ht="15" customHeight="1" x14ac:dyDescent="0.25">
      <c r="A31" s="610" t="s">
        <v>149</v>
      </c>
      <c r="B31" s="656"/>
      <c r="C31" s="492"/>
      <c r="D31" s="492">
        <v>3</v>
      </c>
      <c r="E31" s="492"/>
      <c r="F31" s="492"/>
      <c r="G31" s="492"/>
      <c r="H31" s="492"/>
      <c r="I31" s="492"/>
      <c r="J31" s="492"/>
      <c r="K31" s="492"/>
      <c r="L31" s="492"/>
      <c r="M31" s="492"/>
      <c r="N31" s="493">
        <f t="shared" si="12"/>
        <v>3</v>
      </c>
      <c r="O31" s="656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93">
        <f t="shared" si="13"/>
        <v>0</v>
      </c>
      <c r="AB31" s="656"/>
      <c r="AC31" s="492"/>
      <c r="AD31" s="492"/>
      <c r="AE31" s="492"/>
      <c r="AF31" s="492"/>
      <c r="AG31" s="492"/>
      <c r="AH31" s="492"/>
      <c r="AI31" s="492"/>
      <c r="AJ31" s="492"/>
      <c r="AK31" s="492"/>
      <c r="AL31" s="492"/>
      <c r="AM31" s="492"/>
      <c r="AN31" s="493">
        <f t="shared" si="14"/>
        <v>0</v>
      </c>
      <c r="AO31" s="656"/>
      <c r="AP31" s="492"/>
      <c r="AQ31" s="492"/>
      <c r="AR31" s="492"/>
      <c r="AS31" s="492"/>
      <c r="AT31" s="492"/>
      <c r="AU31" s="492"/>
      <c r="AV31" s="492"/>
      <c r="AW31" s="492"/>
      <c r="AX31" s="492"/>
      <c r="AY31" s="492"/>
      <c r="AZ31" s="492"/>
      <c r="BA31" s="493">
        <f t="shared" si="15"/>
        <v>0</v>
      </c>
      <c r="BB31" s="656"/>
      <c r="BC31" s="492"/>
      <c r="BD31" s="492"/>
      <c r="BE31" s="492"/>
      <c r="BF31" s="492"/>
      <c r="BG31" s="492"/>
      <c r="BH31" s="492"/>
      <c r="BI31" s="492"/>
      <c r="BJ31" s="492"/>
      <c r="BK31" s="492"/>
      <c r="BL31" s="492"/>
      <c r="BM31" s="492"/>
      <c r="BN31" s="493">
        <f t="shared" si="16"/>
        <v>0</v>
      </c>
      <c r="BO31" s="656"/>
      <c r="BP31" s="492"/>
      <c r="BQ31" s="492"/>
      <c r="BR31" s="492"/>
      <c r="BS31" s="492"/>
      <c r="BT31" s="492"/>
      <c r="BU31" s="492"/>
      <c r="BV31" s="492"/>
      <c r="BW31" s="492"/>
      <c r="BX31" s="492"/>
      <c r="BY31" s="492"/>
      <c r="BZ31" s="492"/>
      <c r="CA31" s="493">
        <f t="shared" si="17"/>
        <v>0</v>
      </c>
      <c r="CB31" s="656"/>
      <c r="CC31" s="492"/>
      <c r="CD31" s="492"/>
      <c r="CE31" s="492"/>
      <c r="CF31" s="492"/>
      <c r="CG31" s="492"/>
      <c r="CH31" s="492"/>
      <c r="CI31" s="492"/>
      <c r="CJ31" s="492"/>
      <c r="CK31" s="492"/>
      <c r="CL31" s="492"/>
      <c r="CM31" s="492"/>
      <c r="CN31" s="493">
        <f t="shared" si="18"/>
        <v>0</v>
      </c>
      <c r="CO31" s="656"/>
      <c r="CP31" s="492"/>
      <c r="CQ31" s="492"/>
      <c r="CR31" s="492"/>
      <c r="CS31" s="492"/>
      <c r="CT31" s="492"/>
      <c r="CU31" s="492"/>
      <c r="CV31" s="492"/>
      <c r="CW31" s="492"/>
      <c r="CX31" s="492"/>
      <c r="CY31" s="492"/>
      <c r="CZ31" s="492"/>
      <c r="DA31" s="493">
        <f t="shared" si="19"/>
        <v>0</v>
      </c>
      <c r="DB31" s="656"/>
      <c r="DC31" s="492"/>
      <c r="DD31" s="492"/>
      <c r="DE31" s="492"/>
      <c r="DF31" s="492"/>
      <c r="DG31" s="492"/>
      <c r="DH31" s="492"/>
      <c r="DI31" s="492"/>
      <c r="DJ31" s="492"/>
      <c r="DK31" s="492"/>
      <c r="DL31" s="492"/>
      <c r="DM31" s="492"/>
      <c r="DN31" s="493">
        <f t="shared" si="20"/>
        <v>0</v>
      </c>
      <c r="DO31" s="656"/>
      <c r="DP31" s="492"/>
      <c r="DQ31" s="492"/>
      <c r="DR31" s="492"/>
      <c r="DS31" s="492"/>
      <c r="DT31" s="492"/>
      <c r="DU31" s="492"/>
      <c r="DV31" s="492"/>
      <c r="DW31" s="492"/>
      <c r="DX31" s="492"/>
      <c r="DY31" s="492"/>
      <c r="DZ31" s="492"/>
      <c r="EA31" s="493">
        <f t="shared" si="21"/>
        <v>0</v>
      </c>
      <c r="EB31" s="656"/>
      <c r="EC31" s="492"/>
      <c r="ED31" s="492"/>
      <c r="EE31" s="492"/>
      <c r="EF31" s="492"/>
      <c r="EG31" s="492"/>
      <c r="EH31" s="492"/>
      <c r="EI31" s="492"/>
      <c r="EJ31" s="492">
        <v>23.8</v>
      </c>
      <c r="EK31" s="492">
        <v>0.3</v>
      </c>
      <c r="EL31" s="492">
        <v>27</v>
      </c>
      <c r="EM31" s="492">
        <v>17</v>
      </c>
      <c r="EN31" s="493">
        <f t="shared" si="22"/>
        <v>68.099999999999994</v>
      </c>
      <c r="EO31" s="492"/>
      <c r="EP31" s="492"/>
      <c r="EQ31" s="492"/>
      <c r="ER31" s="492"/>
      <c r="ES31" s="492"/>
      <c r="ET31" s="492"/>
      <c r="EU31" s="492"/>
      <c r="EV31" s="492"/>
      <c r="EW31" s="492"/>
      <c r="EX31" s="492"/>
      <c r="EY31" s="492"/>
      <c r="EZ31" s="492"/>
      <c r="FA31" s="493">
        <f t="shared" si="23"/>
        <v>0</v>
      </c>
      <c r="FC31" s="595" t="str">
        <f t="shared" si="24"/>
        <v/>
      </c>
      <c r="FD31" s="596" t="str">
        <f t="shared" si="25"/>
        <v/>
      </c>
      <c r="FE31" s="498">
        <f t="shared" si="26"/>
        <v>0</v>
      </c>
      <c r="FF31" s="597">
        <f t="shared" si="27"/>
        <v>68.099999999999994</v>
      </c>
      <c r="FG31" s="624"/>
      <c r="FH31" s="690"/>
      <c r="FI31" s="551">
        <f t="shared" si="28"/>
        <v>142.19999999999999</v>
      </c>
      <c r="FJ31" s="491" t="s">
        <v>149</v>
      </c>
      <c r="FK31" s="554" t="str">
        <f t="shared" si="29"/>
        <v>OK</v>
      </c>
    </row>
    <row r="32" spans="1:167" ht="15" customHeight="1" x14ac:dyDescent="0.25">
      <c r="A32" s="610" t="s">
        <v>64</v>
      </c>
      <c r="B32" s="656">
        <v>26.518999999999998</v>
      </c>
      <c r="C32" s="492">
        <v>29.187999999999999</v>
      </c>
      <c r="D32" s="492">
        <v>18</v>
      </c>
      <c r="E32" s="492">
        <v>77</v>
      </c>
      <c r="F32" s="492"/>
      <c r="G32" s="492"/>
      <c r="H32" s="492">
        <v>3</v>
      </c>
      <c r="I32" s="492"/>
      <c r="J32" s="492">
        <v>11</v>
      </c>
      <c r="K32" s="492"/>
      <c r="L32" s="492"/>
      <c r="M32" s="492">
        <v>33</v>
      </c>
      <c r="N32" s="493">
        <f t="shared" si="12"/>
        <v>197.70699999999999</v>
      </c>
      <c r="O32" s="656">
        <v>19</v>
      </c>
      <c r="P32" s="492">
        <v>112</v>
      </c>
      <c r="Q32" s="492">
        <v>55</v>
      </c>
      <c r="R32" s="492">
        <v>5</v>
      </c>
      <c r="S32" s="492">
        <v>39</v>
      </c>
      <c r="T32" s="492">
        <v>23</v>
      </c>
      <c r="U32" s="492">
        <v>14</v>
      </c>
      <c r="V32" s="492"/>
      <c r="W32" s="492">
        <v>22</v>
      </c>
      <c r="X32" s="492">
        <v>96</v>
      </c>
      <c r="Y32" s="492">
        <v>32</v>
      </c>
      <c r="Z32" s="492">
        <v>7</v>
      </c>
      <c r="AA32" s="493">
        <f t="shared" si="13"/>
        <v>424</v>
      </c>
      <c r="AB32" s="656">
        <v>5</v>
      </c>
      <c r="AC32" s="492">
        <v>25</v>
      </c>
      <c r="AD32" s="492">
        <v>59</v>
      </c>
      <c r="AE32" s="492">
        <v>17.741</v>
      </c>
      <c r="AF32" s="492">
        <v>25.097000000000001</v>
      </c>
      <c r="AG32" s="492"/>
      <c r="AH32" s="492">
        <v>2</v>
      </c>
      <c r="AI32" s="492">
        <v>3</v>
      </c>
      <c r="AJ32" s="492">
        <v>43</v>
      </c>
      <c r="AK32" s="492">
        <v>102</v>
      </c>
      <c r="AL32" s="492">
        <v>155</v>
      </c>
      <c r="AM32" s="492">
        <v>109</v>
      </c>
      <c r="AN32" s="493">
        <f t="shared" si="14"/>
        <v>545.83799999999997</v>
      </c>
      <c r="AO32" s="656">
        <v>40.286000000000001</v>
      </c>
      <c r="AP32" s="492">
        <v>146.45500000000001</v>
      </c>
      <c r="AQ32" s="492">
        <v>91.075000000000003</v>
      </c>
      <c r="AR32" s="492">
        <v>76.84</v>
      </c>
      <c r="AS32" s="492">
        <v>78.129000000000005</v>
      </c>
      <c r="AT32" s="492">
        <v>64.53</v>
      </c>
      <c r="AU32" s="492">
        <v>35.514000000000003</v>
      </c>
      <c r="AV32" s="492">
        <v>91.664000000000001</v>
      </c>
      <c r="AW32" s="492">
        <v>123.027</v>
      </c>
      <c r="AX32" s="492">
        <v>76.578000000000003</v>
      </c>
      <c r="AY32" s="492">
        <v>126.504</v>
      </c>
      <c r="AZ32" s="492">
        <v>185.999</v>
      </c>
      <c r="BA32" s="493">
        <f t="shared" si="15"/>
        <v>1136.6010000000001</v>
      </c>
      <c r="BB32" s="656">
        <v>68.561999999999998</v>
      </c>
      <c r="BC32" s="492">
        <v>63.77</v>
      </c>
      <c r="BD32" s="492">
        <v>57.773000000000003</v>
      </c>
      <c r="BE32" s="492">
        <v>30.454000000000001</v>
      </c>
      <c r="BF32" s="492"/>
      <c r="BG32" s="492">
        <v>27.641999999999999</v>
      </c>
      <c r="BH32" s="492">
        <v>29.238</v>
      </c>
      <c r="BI32" s="492"/>
      <c r="BJ32" s="492"/>
      <c r="BK32" s="492"/>
      <c r="BL32" s="492"/>
      <c r="BM32" s="492"/>
      <c r="BN32" s="493">
        <f t="shared" si="16"/>
        <v>277.43899999999996</v>
      </c>
      <c r="BO32" s="656">
        <v>91</v>
      </c>
      <c r="BP32" s="492">
        <v>52</v>
      </c>
      <c r="BQ32" s="492">
        <v>33</v>
      </c>
      <c r="BR32" s="492"/>
      <c r="BS32" s="492"/>
      <c r="BT32" s="492">
        <v>33</v>
      </c>
      <c r="BU32" s="492">
        <v>127</v>
      </c>
      <c r="BV32" s="492">
        <v>111</v>
      </c>
      <c r="BW32" s="492">
        <v>83</v>
      </c>
      <c r="BX32" s="492">
        <v>127.57899999999999</v>
      </c>
      <c r="BY32" s="492">
        <v>276.387</v>
      </c>
      <c r="BZ32" s="492">
        <v>165.66399999999999</v>
      </c>
      <c r="CA32" s="493">
        <f t="shared" si="17"/>
        <v>1099.6299999999999</v>
      </c>
      <c r="CB32" s="656">
        <v>185.64</v>
      </c>
      <c r="CC32" s="492">
        <v>353.93099999999998</v>
      </c>
      <c r="CD32" s="492">
        <v>166.328</v>
      </c>
      <c r="CE32" s="492">
        <v>122.605</v>
      </c>
      <c r="CF32" s="492">
        <v>135.53800000000001</v>
      </c>
      <c r="CG32" s="492">
        <v>96.444999999999993</v>
      </c>
      <c r="CH32" s="492">
        <v>57.603000000000002</v>
      </c>
      <c r="CI32" s="492">
        <v>75.778000000000006</v>
      </c>
      <c r="CJ32" s="492">
        <v>82.486000000000004</v>
      </c>
      <c r="CK32" s="492">
        <v>77.930000000000007</v>
      </c>
      <c r="CL32" s="492">
        <v>175.22900000000001</v>
      </c>
      <c r="CM32" s="492">
        <v>191.46799999999999</v>
      </c>
      <c r="CN32" s="493">
        <f t="shared" si="18"/>
        <v>1720.9810000000002</v>
      </c>
      <c r="CO32" s="656">
        <v>72.072000000000003</v>
      </c>
      <c r="CP32" s="492">
        <v>32.97</v>
      </c>
      <c r="CQ32" s="492">
        <v>134.62299999999999</v>
      </c>
      <c r="CR32" s="492">
        <v>20.622</v>
      </c>
      <c r="CS32" s="492">
        <v>102.19199999999999</v>
      </c>
      <c r="CT32" s="492">
        <v>30.806999999999999</v>
      </c>
      <c r="CU32" s="492">
        <v>52.944000000000003</v>
      </c>
      <c r="CV32" s="492">
        <v>43.692</v>
      </c>
      <c r="CW32" s="492">
        <v>59.063000000000002</v>
      </c>
      <c r="CX32" s="492">
        <v>57.787999999999997</v>
      </c>
      <c r="CY32" s="492"/>
      <c r="CZ32" s="492">
        <v>123.52800000000001</v>
      </c>
      <c r="DA32" s="493">
        <f t="shared" si="19"/>
        <v>730.30100000000004</v>
      </c>
      <c r="DB32" s="656">
        <v>18.234000000000002</v>
      </c>
      <c r="DC32" s="492">
        <v>107.33199999999999</v>
      </c>
      <c r="DD32" s="492">
        <v>70.596999999999994</v>
      </c>
      <c r="DE32" s="492">
        <v>29.1</v>
      </c>
      <c r="DF32" s="492">
        <v>6.4690000000000003</v>
      </c>
      <c r="DG32" s="492">
        <v>65.052999999999997</v>
      </c>
      <c r="DH32" s="492">
        <v>11.835000000000001</v>
      </c>
      <c r="DI32" s="492">
        <v>6.0098000000000003</v>
      </c>
      <c r="DJ32" s="492">
        <v>18.782</v>
      </c>
      <c r="DK32" s="492">
        <v>6.6079999999999997</v>
      </c>
      <c r="DL32" s="492">
        <v>4.8979999999999997</v>
      </c>
      <c r="DM32" s="492">
        <v>4.2450000000000001</v>
      </c>
      <c r="DN32" s="493">
        <f t="shared" si="20"/>
        <v>349.16279999999995</v>
      </c>
      <c r="DO32" s="656"/>
      <c r="DP32" s="492"/>
      <c r="DQ32" s="492">
        <v>98.644000000000005</v>
      </c>
      <c r="DR32" s="492">
        <v>128.47999999999999</v>
      </c>
      <c r="DS32" s="492">
        <v>64.88</v>
      </c>
      <c r="DT32" s="492">
        <v>4.0999999999999996</v>
      </c>
      <c r="DU32" s="492">
        <v>44.2</v>
      </c>
      <c r="DV32" s="492">
        <v>39.64</v>
      </c>
      <c r="DW32" s="492">
        <v>30.76</v>
      </c>
      <c r="DX32" s="492">
        <v>3.532</v>
      </c>
      <c r="DY32" s="492">
        <v>33.015000000000001</v>
      </c>
      <c r="DZ32" s="492">
        <v>8.3179999999999996</v>
      </c>
      <c r="EA32" s="493">
        <f t="shared" si="21"/>
        <v>455.56899999999996</v>
      </c>
      <c r="EB32" s="656">
        <v>44.558</v>
      </c>
      <c r="EC32" s="492">
        <v>70.177199999999999</v>
      </c>
      <c r="ED32" s="492"/>
      <c r="EE32" s="492">
        <v>6.158599999999999</v>
      </c>
      <c r="EF32" s="492">
        <v>16.61559905660377</v>
      </c>
      <c r="EG32" s="492">
        <v>66.029981132075477</v>
      </c>
      <c r="EH32" s="492">
        <v>73.950462264150929</v>
      </c>
      <c r="EI32" s="492">
        <v>32.166652830188674</v>
      </c>
      <c r="EJ32" s="492">
        <v>7.713179245283019</v>
      </c>
      <c r="EK32" s="492">
        <v>19.422452830188679</v>
      </c>
      <c r="EL32" s="492">
        <v>16.756273584905664</v>
      </c>
      <c r="EM32" s="492">
        <v>30.299698113207548</v>
      </c>
      <c r="EN32" s="493">
        <f t="shared" si="22"/>
        <v>383.84809905660376</v>
      </c>
      <c r="EO32" s="492"/>
      <c r="EP32" s="492"/>
      <c r="EQ32" s="492"/>
      <c r="ER32" s="492"/>
      <c r="ES32" s="492"/>
      <c r="ET32" s="492"/>
      <c r="EU32" s="492"/>
      <c r="EV32" s="492"/>
      <c r="EW32" s="492"/>
      <c r="EX32" s="492"/>
      <c r="EY32" s="492"/>
      <c r="EZ32" s="492"/>
      <c r="FA32" s="493">
        <f t="shared" si="23"/>
        <v>0</v>
      </c>
      <c r="FC32" s="595">
        <f t="shared" si="24"/>
        <v>264.26662795392582</v>
      </c>
      <c r="FD32" s="596">
        <f t="shared" si="25"/>
        <v>-15.74314778735959</v>
      </c>
      <c r="FE32" s="498">
        <f t="shared" si="26"/>
        <v>455.56899999999996</v>
      </c>
      <c r="FF32" s="597">
        <f t="shared" si="27"/>
        <v>383.84809905660376</v>
      </c>
      <c r="FG32" s="624"/>
      <c r="FH32" s="690"/>
      <c r="FI32" s="551">
        <f t="shared" si="28"/>
        <v>14642.153798113202</v>
      </c>
      <c r="FJ32" s="491" t="s">
        <v>64</v>
      </c>
      <c r="FK32" s="554" t="str">
        <f t="shared" si="29"/>
        <v>OK</v>
      </c>
    </row>
    <row r="33" spans="1:167" ht="15" customHeight="1" x14ac:dyDescent="0.25">
      <c r="A33" s="610" t="s">
        <v>65</v>
      </c>
      <c r="B33" s="656"/>
      <c r="C33" s="492">
        <v>12.256</v>
      </c>
      <c r="D33" s="492"/>
      <c r="E33" s="492"/>
      <c r="F33" s="492">
        <v>26</v>
      </c>
      <c r="G33" s="492">
        <v>230</v>
      </c>
      <c r="H33" s="492">
        <v>118</v>
      </c>
      <c r="I33" s="492">
        <v>80</v>
      </c>
      <c r="J33" s="492">
        <v>35</v>
      </c>
      <c r="K33" s="492">
        <v>53</v>
      </c>
      <c r="L33" s="492">
        <v>10</v>
      </c>
      <c r="M33" s="492">
        <v>75</v>
      </c>
      <c r="N33" s="493">
        <f t="shared" si="12"/>
        <v>639.25599999999997</v>
      </c>
      <c r="O33" s="656">
        <v>221</v>
      </c>
      <c r="P33" s="492">
        <v>26</v>
      </c>
      <c r="Q33" s="492"/>
      <c r="R33" s="492"/>
      <c r="S33" s="492"/>
      <c r="T33" s="492">
        <v>3</v>
      </c>
      <c r="U33" s="492"/>
      <c r="V33" s="492">
        <v>24</v>
      </c>
      <c r="W33" s="492"/>
      <c r="X33" s="492">
        <v>10</v>
      </c>
      <c r="Y33" s="492">
        <v>19</v>
      </c>
      <c r="Z33" s="492">
        <v>5</v>
      </c>
      <c r="AA33" s="493">
        <f t="shared" si="13"/>
        <v>308</v>
      </c>
      <c r="AB33" s="656">
        <v>17</v>
      </c>
      <c r="AC33" s="492">
        <v>129</v>
      </c>
      <c r="AD33" s="492">
        <v>24</v>
      </c>
      <c r="AE33" s="492">
        <v>29.997</v>
      </c>
      <c r="AF33" s="492">
        <v>107.849</v>
      </c>
      <c r="AG33" s="492">
        <v>76</v>
      </c>
      <c r="AH33" s="492">
        <v>5</v>
      </c>
      <c r="AI33" s="492">
        <v>9</v>
      </c>
      <c r="AJ33" s="492">
        <v>66</v>
      </c>
      <c r="AK33" s="492">
        <v>289</v>
      </c>
      <c r="AL33" s="492">
        <v>58</v>
      </c>
      <c r="AM33" s="492">
        <v>126</v>
      </c>
      <c r="AN33" s="493">
        <f t="shared" si="14"/>
        <v>936.846</v>
      </c>
      <c r="AO33" s="656">
        <v>48.734999999999999</v>
      </c>
      <c r="AP33" s="492">
        <v>150.226</v>
      </c>
      <c r="AQ33" s="492">
        <v>224.85199999999998</v>
      </c>
      <c r="AR33" s="492">
        <v>50.855999999999995</v>
      </c>
      <c r="AS33" s="492">
        <v>102.595</v>
      </c>
      <c r="AT33" s="492">
        <v>20.943000000000001</v>
      </c>
      <c r="AU33" s="492">
        <v>23.658000000000001</v>
      </c>
      <c r="AV33" s="492">
        <v>129.631</v>
      </c>
      <c r="AW33" s="492">
        <v>65.400999999999996</v>
      </c>
      <c r="AX33" s="492">
        <v>36.106999999999999</v>
      </c>
      <c r="AY33" s="492">
        <v>35.853999999999999</v>
      </c>
      <c r="AZ33" s="492">
        <v>134.47900000000001</v>
      </c>
      <c r="BA33" s="493">
        <f t="shared" si="15"/>
        <v>1023.337</v>
      </c>
      <c r="BB33" s="656">
        <v>161.03</v>
      </c>
      <c r="BC33" s="492">
        <v>108.85899999999999</v>
      </c>
      <c r="BD33" s="492">
        <v>49.497999999999998</v>
      </c>
      <c r="BE33" s="492">
        <v>49.802</v>
      </c>
      <c r="BF33" s="492"/>
      <c r="BG33" s="492"/>
      <c r="BH33" s="492"/>
      <c r="BI33" s="492"/>
      <c r="BJ33" s="492"/>
      <c r="BK33" s="492"/>
      <c r="BL33" s="492"/>
      <c r="BM33" s="492"/>
      <c r="BN33" s="493">
        <f t="shared" si="16"/>
        <v>369.18900000000002</v>
      </c>
      <c r="BO33" s="656">
        <v>34</v>
      </c>
      <c r="BP33" s="492">
        <v>190</v>
      </c>
      <c r="BQ33" s="492">
        <v>44</v>
      </c>
      <c r="BR33" s="492"/>
      <c r="BS33" s="492"/>
      <c r="BT33" s="492">
        <v>46</v>
      </c>
      <c r="BU33" s="492">
        <v>10</v>
      </c>
      <c r="BV33" s="492">
        <v>87</v>
      </c>
      <c r="BW33" s="492">
        <v>44</v>
      </c>
      <c r="BX33" s="492">
        <v>184.72</v>
      </c>
      <c r="BY33" s="492">
        <v>375.072</v>
      </c>
      <c r="BZ33" s="492">
        <v>241.44499999999999</v>
      </c>
      <c r="CA33" s="493">
        <f t="shared" si="17"/>
        <v>1256.2370000000001</v>
      </c>
      <c r="CB33" s="656">
        <v>503.11399999999998</v>
      </c>
      <c r="CC33" s="492">
        <v>816.67700000000002</v>
      </c>
      <c r="CD33" s="492">
        <v>296.59399999999999</v>
      </c>
      <c r="CE33" s="492">
        <v>382.36799999999999</v>
      </c>
      <c r="CF33" s="492">
        <v>437.62299999999999</v>
      </c>
      <c r="CG33" s="492">
        <v>522.46500000000003</v>
      </c>
      <c r="CH33" s="492">
        <v>420.077</v>
      </c>
      <c r="CI33" s="492">
        <v>311.846</v>
      </c>
      <c r="CJ33" s="492">
        <v>378.69799999999998</v>
      </c>
      <c r="CK33" s="492">
        <v>212.65600000000001</v>
      </c>
      <c r="CL33" s="492">
        <v>291.61500000000001</v>
      </c>
      <c r="CM33" s="492">
        <v>435.66899999999998</v>
      </c>
      <c r="CN33" s="493">
        <f t="shared" si="18"/>
        <v>5009.4019999999991</v>
      </c>
      <c r="CO33" s="656">
        <v>130.75800000000001</v>
      </c>
      <c r="CP33" s="492">
        <v>198.01900000000001</v>
      </c>
      <c r="CQ33" s="492">
        <v>221.48500000000001</v>
      </c>
      <c r="CR33" s="492">
        <v>195.322</v>
      </c>
      <c r="CS33" s="492">
        <v>283.53500000000003</v>
      </c>
      <c r="CT33" s="492">
        <v>272.66399999999999</v>
      </c>
      <c r="CU33" s="492">
        <v>383.077</v>
      </c>
      <c r="CV33" s="492">
        <v>326.48</v>
      </c>
      <c r="CW33" s="492">
        <v>308.505</v>
      </c>
      <c r="CX33" s="492">
        <v>163.31</v>
      </c>
      <c r="CY33" s="492">
        <v>85.873000000000005</v>
      </c>
      <c r="CZ33" s="492">
        <v>162.16499999999999</v>
      </c>
      <c r="DA33" s="493">
        <f t="shared" si="19"/>
        <v>2731.1930000000002</v>
      </c>
      <c r="DB33" s="656">
        <v>73.085999999999999</v>
      </c>
      <c r="DC33" s="492">
        <v>90.563000000000002</v>
      </c>
      <c r="DD33" s="492">
        <v>152.715</v>
      </c>
      <c r="DE33" s="492">
        <v>81.049000000000007</v>
      </c>
      <c r="DF33" s="492">
        <v>252.77600000000001</v>
      </c>
      <c r="DG33" s="492">
        <v>89.542000000000002</v>
      </c>
      <c r="DH33" s="492">
        <v>65.269000000000005</v>
      </c>
      <c r="DI33" s="492">
        <v>122.84099999999999</v>
      </c>
      <c r="DJ33" s="492">
        <v>82.507000000000005</v>
      </c>
      <c r="DK33" s="492">
        <v>37.777999999999999</v>
      </c>
      <c r="DL33" s="492">
        <v>12.523</v>
      </c>
      <c r="DM33" s="492">
        <v>127.80800000000001</v>
      </c>
      <c r="DN33" s="493">
        <f t="shared" si="20"/>
        <v>1188.4570000000001</v>
      </c>
      <c r="DO33" s="656">
        <v>5.0430000000000001</v>
      </c>
      <c r="DP33" s="492">
        <v>9.4849999999999994</v>
      </c>
      <c r="DQ33" s="492">
        <v>214.51</v>
      </c>
      <c r="DR33" s="492">
        <v>48.466999999999999</v>
      </c>
      <c r="DS33" s="492">
        <v>98.013000000000005</v>
      </c>
      <c r="DT33" s="492">
        <v>16.5</v>
      </c>
      <c r="DU33" s="492">
        <v>12.6</v>
      </c>
      <c r="DV33" s="492">
        <v>66.921000000000006</v>
      </c>
      <c r="DW33" s="492">
        <v>2.0539999999999998</v>
      </c>
      <c r="DX33" s="492">
        <v>45.817999999999998</v>
      </c>
      <c r="DY33" s="492">
        <v>16.122</v>
      </c>
      <c r="DZ33" s="492"/>
      <c r="EA33" s="493">
        <f t="shared" si="21"/>
        <v>535.53300000000002</v>
      </c>
      <c r="EB33" s="656">
        <v>1.0896226415094339</v>
      </c>
      <c r="EC33" s="492">
        <v>29.568433962264155</v>
      </c>
      <c r="ED33" s="492">
        <v>7.563301886792452</v>
      </c>
      <c r="EE33" s="492">
        <v>69.75535947758928</v>
      </c>
      <c r="EF33" s="492">
        <v>166.33502830188678</v>
      </c>
      <c r="EG33" s="492">
        <v>29.835415094339623</v>
      </c>
      <c r="EH33" s="492">
        <v>47.572367924528301</v>
      </c>
      <c r="EI33" s="492">
        <v>45.193599056603773</v>
      </c>
      <c r="EJ33" s="492">
        <v>29.106490566037731</v>
      </c>
      <c r="EK33" s="492">
        <v>11.278471698113208</v>
      </c>
      <c r="EL33" s="492">
        <v>19.542452830188683</v>
      </c>
      <c r="EM33" s="492">
        <v>139.6213679245283</v>
      </c>
      <c r="EN33" s="493">
        <f t="shared" si="22"/>
        <v>596.46191136438176</v>
      </c>
      <c r="EO33" s="492"/>
      <c r="EP33" s="492"/>
      <c r="EQ33" s="492"/>
      <c r="ER33" s="492"/>
      <c r="ES33" s="492"/>
      <c r="ET33" s="492"/>
      <c r="EU33" s="492"/>
      <c r="EV33" s="492"/>
      <c r="EW33" s="492"/>
      <c r="EX33" s="492"/>
      <c r="EY33" s="492"/>
      <c r="EZ33" s="492"/>
      <c r="FA33" s="493">
        <f t="shared" si="23"/>
        <v>0</v>
      </c>
      <c r="FC33" s="595" t="str">
        <f t="shared" si="24"/>
        <v/>
      </c>
      <c r="FD33" s="596">
        <f t="shared" si="25"/>
        <v>11.377246848351419</v>
      </c>
      <c r="FE33" s="498">
        <f t="shared" si="26"/>
        <v>535.53300000000002</v>
      </c>
      <c r="FF33" s="597">
        <f t="shared" si="27"/>
        <v>596.46191136438176</v>
      </c>
      <c r="FG33" s="624"/>
      <c r="FH33" s="690"/>
      <c r="FI33" s="551">
        <f t="shared" si="28"/>
        <v>29187.823822728762</v>
      </c>
      <c r="FJ33" s="491" t="s">
        <v>65</v>
      </c>
      <c r="FK33" s="554" t="str">
        <f t="shared" si="29"/>
        <v>OK</v>
      </c>
    </row>
    <row r="34" spans="1:167" ht="15" customHeight="1" x14ac:dyDescent="0.25">
      <c r="A34" s="610" t="s">
        <v>94</v>
      </c>
      <c r="B34" s="656"/>
      <c r="C34" s="492">
        <v>6.6760000000000002</v>
      </c>
      <c r="D34" s="492"/>
      <c r="E34" s="492"/>
      <c r="F34" s="492">
        <v>7</v>
      </c>
      <c r="G34" s="492">
        <v>17</v>
      </c>
      <c r="H34" s="492"/>
      <c r="I34" s="492"/>
      <c r="J34" s="492"/>
      <c r="K34" s="492"/>
      <c r="L34" s="492">
        <v>32</v>
      </c>
      <c r="M34" s="492">
        <v>11</v>
      </c>
      <c r="N34" s="493">
        <f t="shared" si="12"/>
        <v>73.676000000000002</v>
      </c>
      <c r="O34" s="656">
        <v>46</v>
      </c>
      <c r="P34" s="492">
        <v>4</v>
      </c>
      <c r="Q34" s="492">
        <v>3</v>
      </c>
      <c r="R34" s="492"/>
      <c r="S34" s="492"/>
      <c r="T34" s="492"/>
      <c r="U34" s="492"/>
      <c r="V34" s="492"/>
      <c r="W34" s="492"/>
      <c r="X34" s="492"/>
      <c r="Y34" s="492"/>
      <c r="Z34" s="492"/>
      <c r="AA34" s="493">
        <f t="shared" si="13"/>
        <v>53</v>
      </c>
      <c r="AB34" s="656">
        <v>1</v>
      </c>
      <c r="AC34" s="492">
        <v>56</v>
      </c>
      <c r="AD34" s="492"/>
      <c r="AE34" s="492"/>
      <c r="AF34" s="492"/>
      <c r="AG34" s="492"/>
      <c r="AH34" s="492"/>
      <c r="AI34" s="492">
        <v>4</v>
      </c>
      <c r="AJ34" s="492">
        <v>10</v>
      </c>
      <c r="AK34" s="492">
        <v>25</v>
      </c>
      <c r="AL34" s="492">
        <v>64</v>
      </c>
      <c r="AM34" s="492">
        <v>62</v>
      </c>
      <c r="AN34" s="493">
        <f t="shared" si="14"/>
        <v>222</v>
      </c>
      <c r="AO34" s="656">
        <v>10.039</v>
      </c>
      <c r="AP34" s="492"/>
      <c r="AQ34" s="492"/>
      <c r="AR34" s="492">
        <v>0.28599999999999998</v>
      </c>
      <c r="AS34" s="492">
        <v>37.029000000000003</v>
      </c>
      <c r="AT34" s="492">
        <v>62.004999999999995</v>
      </c>
      <c r="AU34" s="492">
        <v>21.593</v>
      </c>
      <c r="AV34" s="492">
        <v>168.10899999999998</v>
      </c>
      <c r="AW34" s="492">
        <v>186.06700000000001</v>
      </c>
      <c r="AX34" s="492">
        <v>45.5</v>
      </c>
      <c r="AY34" s="492">
        <v>29.706000000000003</v>
      </c>
      <c r="AZ34" s="492">
        <v>66.408000000000001</v>
      </c>
      <c r="BA34" s="493">
        <f t="shared" si="15"/>
        <v>626.74199999999996</v>
      </c>
      <c r="BB34" s="656">
        <v>35.834000000000003</v>
      </c>
      <c r="BC34" s="492"/>
      <c r="BD34" s="492">
        <v>57.17</v>
      </c>
      <c r="BE34" s="492">
        <v>48.790999999999997</v>
      </c>
      <c r="BF34" s="492"/>
      <c r="BG34" s="492"/>
      <c r="BH34" s="492"/>
      <c r="BI34" s="492"/>
      <c r="BJ34" s="492"/>
      <c r="BK34" s="492"/>
      <c r="BL34" s="492"/>
      <c r="BM34" s="492"/>
      <c r="BN34" s="493">
        <f t="shared" si="16"/>
        <v>141.79500000000002</v>
      </c>
      <c r="BO34" s="656">
        <v>5</v>
      </c>
      <c r="BP34" s="492">
        <v>3</v>
      </c>
      <c r="BQ34" s="492">
        <v>74</v>
      </c>
      <c r="BR34" s="492"/>
      <c r="BS34" s="492"/>
      <c r="BT34" s="492">
        <v>47</v>
      </c>
      <c r="BU34" s="492">
        <v>2</v>
      </c>
      <c r="BV34" s="492"/>
      <c r="BW34" s="492"/>
      <c r="BX34" s="492">
        <v>138.864</v>
      </c>
      <c r="BY34" s="492">
        <v>117.651</v>
      </c>
      <c r="BZ34" s="492">
        <v>9.9250000000000007</v>
      </c>
      <c r="CA34" s="493">
        <f t="shared" si="17"/>
        <v>397.44000000000005</v>
      </c>
      <c r="CB34" s="656">
        <v>66.182000000000002</v>
      </c>
      <c r="CC34" s="492">
        <v>386.774</v>
      </c>
      <c r="CD34" s="492">
        <v>256.053</v>
      </c>
      <c r="CE34" s="492">
        <v>110.238</v>
      </c>
      <c r="CF34" s="492">
        <v>78.647999999999996</v>
      </c>
      <c r="CG34" s="492">
        <v>50.853000000000002</v>
      </c>
      <c r="CH34" s="492">
        <v>12.669</v>
      </c>
      <c r="CI34" s="492">
        <v>0.75900000000000001</v>
      </c>
      <c r="CJ34" s="492">
        <v>3.694</v>
      </c>
      <c r="CK34" s="492">
        <v>1.758</v>
      </c>
      <c r="CL34" s="492">
        <v>3.7210000000000001</v>
      </c>
      <c r="CM34" s="492">
        <v>38.29</v>
      </c>
      <c r="CN34" s="493">
        <f t="shared" si="18"/>
        <v>1009.639</v>
      </c>
      <c r="CO34" s="656">
        <v>41.646000000000001</v>
      </c>
      <c r="CP34" s="492">
        <v>0.59399999999999997</v>
      </c>
      <c r="CQ34" s="492">
        <v>23.015999999999998</v>
      </c>
      <c r="CR34" s="492">
        <v>44.917000000000002</v>
      </c>
      <c r="CS34" s="492">
        <v>97.117000000000004</v>
      </c>
      <c r="CT34" s="492">
        <v>41.807000000000002</v>
      </c>
      <c r="CU34" s="492">
        <v>51.718000000000004</v>
      </c>
      <c r="CV34" s="492">
        <v>9.2189999999999994</v>
      </c>
      <c r="CW34" s="492">
        <v>79.602999999999994</v>
      </c>
      <c r="CX34" s="492">
        <v>36.005000000000003</v>
      </c>
      <c r="CY34" s="492">
        <v>0.17899999999999999</v>
      </c>
      <c r="CZ34" s="492">
        <v>11.97</v>
      </c>
      <c r="DA34" s="493">
        <f t="shared" si="19"/>
        <v>437.79100000000005</v>
      </c>
      <c r="DB34" s="656">
        <v>26.018999999999998</v>
      </c>
      <c r="DC34" s="492">
        <v>24.974</v>
      </c>
      <c r="DD34" s="492">
        <v>40.781999999999996</v>
      </c>
      <c r="DE34" s="492">
        <v>34.008000000000003</v>
      </c>
      <c r="DF34" s="492">
        <v>15.53</v>
      </c>
      <c r="DG34" s="492">
        <v>7.202</v>
      </c>
      <c r="DH34" s="492">
        <v>13.103</v>
      </c>
      <c r="DI34" s="492"/>
      <c r="DJ34" s="492"/>
      <c r="DK34" s="492"/>
      <c r="DL34" s="492"/>
      <c r="DM34" s="492">
        <v>0.34300000000000003</v>
      </c>
      <c r="DN34" s="493">
        <f t="shared" si="20"/>
        <v>161.96099999999998</v>
      </c>
      <c r="DO34" s="656">
        <v>3.7730000000000001</v>
      </c>
      <c r="DP34" s="492">
        <v>0.309</v>
      </c>
      <c r="DQ34" s="492">
        <v>7.7270000000000003</v>
      </c>
      <c r="DR34" s="492">
        <v>0.96499999999999997</v>
      </c>
      <c r="DS34" s="492">
        <v>3.839</v>
      </c>
      <c r="DT34" s="492"/>
      <c r="DU34" s="492"/>
      <c r="DV34" s="492"/>
      <c r="DW34" s="492"/>
      <c r="DX34" s="492">
        <v>56.1</v>
      </c>
      <c r="DY34" s="492"/>
      <c r="DZ34" s="492">
        <v>20.97</v>
      </c>
      <c r="EA34" s="493">
        <f t="shared" si="21"/>
        <v>93.682999999999993</v>
      </c>
      <c r="EB34" s="656">
        <v>3.5943396226415079</v>
      </c>
      <c r="EC34" s="492">
        <v>11.37408018867924</v>
      </c>
      <c r="ED34" s="492">
        <v>37.52907075471699</v>
      </c>
      <c r="EE34" s="492">
        <v>40.273212264150942</v>
      </c>
      <c r="EF34" s="492">
        <v>47.024707547169811</v>
      </c>
      <c r="EG34" s="492"/>
      <c r="EH34" s="492"/>
      <c r="EI34" s="492">
        <v>0.18396226415094297</v>
      </c>
      <c r="EJ34" s="492">
        <v>7.6589386792452778</v>
      </c>
      <c r="EK34" s="492">
        <v>2.4752358490566011</v>
      </c>
      <c r="EL34" s="492">
        <v>6.0149056603773579</v>
      </c>
      <c r="EM34" s="492">
        <v>26.086084905660375</v>
      </c>
      <c r="EN34" s="493">
        <f t="shared" si="22"/>
        <v>182.21453773584906</v>
      </c>
      <c r="EO34" s="492"/>
      <c r="EP34" s="492"/>
      <c r="EQ34" s="492"/>
      <c r="ER34" s="492"/>
      <c r="ES34" s="492"/>
      <c r="ET34" s="492"/>
      <c r="EU34" s="492"/>
      <c r="EV34" s="492"/>
      <c r="EW34" s="492"/>
      <c r="EX34" s="492"/>
      <c r="EY34" s="492"/>
      <c r="EZ34" s="492"/>
      <c r="FA34" s="493">
        <f t="shared" si="23"/>
        <v>0</v>
      </c>
      <c r="FC34" s="595">
        <f t="shared" si="24"/>
        <v>24.397162163378038</v>
      </c>
      <c r="FD34" s="596">
        <f t="shared" si="25"/>
        <v>94.501177092801342</v>
      </c>
      <c r="FE34" s="498">
        <f t="shared" si="26"/>
        <v>93.682999999999993</v>
      </c>
      <c r="FF34" s="597">
        <f t="shared" si="27"/>
        <v>182.21453773584906</v>
      </c>
      <c r="FG34" s="624"/>
      <c r="FH34" s="690"/>
      <c r="FI34" s="551">
        <f t="shared" si="28"/>
        <v>6799.8830754717001</v>
      </c>
      <c r="FJ34" s="491" t="s">
        <v>94</v>
      </c>
      <c r="FK34" s="554" t="str">
        <f t="shared" si="29"/>
        <v>OK</v>
      </c>
    </row>
    <row r="35" spans="1:167" ht="15" customHeight="1" x14ac:dyDescent="0.25">
      <c r="A35" s="610" t="s">
        <v>66</v>
      </c>
      <c r="B35" s="656">
        <v>374.81700000000001</v>
      </c>
      <c r="C35" s="492">
        <v>612.66899999999998</v>
      </c>
      <c r="D35" s="492">
        <v>474</v>
      </c>
      <c r="E35" s="492">
        <v>548</v>
      </c>
      <c r="F35" s="492">
        <v>515</v>
      </c>
      <c r="G35" s="492">
        <v>969</v>
      </c>
      <c r="H35" s="492">
        <v>575</v>
      </c>
      <c r="I35" s="492">
        <v>399</v>
      </c>
      <c r="J35" s="492">
        <v>273</v>
      </c>
      <c r="K35" s="492">
        <v>755</v>
      </c>
      <c r="L35" s="492">
        <v>146</v>
      </c>
      <c r="M35" s="492">
        <v>666</v>
      </c>
      <c r="N35" s="493">
        <f t="shared" si="12"/>
        <v>6307.4859999999999</v>
      </c>
      <c r="O35" s="656">
        <v>1086</v>
      </c>
      <c r="P35" s="492">
        <v>881</v>
      </c>
      <c r="Q35" s="492">
        <v>414</v>
      </c>
      <c r="R35" s="492">
        <v>597</v>
      </c>
      <c r="S35" s="492">
        <v>596</v>
      </c>
      <c r="T35" s="492">
        <v>581</v>
      </c>
      <c r="U35" s="492">
        <v>623</v>
      </c>
      <c r="V35" s="492">
        <v>322</v>
      </c>
      <c r="W35" s="492">
        <v>385</v>
      </c>
      <c r="X35" s="492">
        <v>165</v>
      </c>
      <c r="Y35" s="492">
        <v>677</v>
      </c>
      <c r="Z35" s="492">
        <v>753</v>
      </c>
      <c r="AA35" s="493">
        <f t="shared" si="13"/>
        <v>7080</v>
      </c>
      <c r="AB35" s="656">
        <v>775</v>
      </c>
      <c r="AC35" s="492">
        <v>1490</v>
      </c>
      <c r="AD35" s="492">
        <v>1291</v>
      </c>
      <c r="AE35" s="492">
        <v>1059.9999999999998</v>
      </c>
      <c r="AF35" s="492">
        <v>1372.7719999999999</v>
      </c>
      <c r="AG35" s="492">
        <v>1062</v>
      </c>
      <c r="AH35" s="492">
        <v>600</v>
      </c>
      <c r="AI35" s="492">
        <v>787</v>
      </c>
      <c r="AJ35" s="492">
        <v>608</v>
      </c>
      <c r="AK35" s="492">
        <v>1463</v>
      </c>
      <c r="AL35" s="492">
        <v>1776</v>
      </c>
      <c r="AM35" s="492">
        <v>2631</v>
      </c>
      <c r="AN35" s="493">
        <f t="shared" si="14"/>
        <v>14915.772000000001</v>
      </c>
      <c r="AO35" s="656">
        <v>2356.4679999999998</v>
      </c>
      <c r="AP35" s="492">
        <v>2649.1320000000001</v>
      </c>
      <c r="AQ35" s="492">
        <v>3020.12</v>
      </c>
      <c r="AR35" s="492">
        <v>3382.3409999999999</v>
      </c>
      <c r="AS35" s="492">
        <v>1770.748</v>
      </c>
      <c r="AT35" s="492">
        <v>1008.2719999999999</v>
      </c>
      <c r="AU35" s="492">
        <v>1321.0320000000002</v>
      </c>
      <c r="AV35" s="492">
        <v>1696.4119999999998</v>
      </c>
      <c r="AW35" s="492">
        <v>1770.9590000000001</v>
      </c>
      <c r="AX35" s="492">
        <v>1751.8820000000001</v>
      </c>
      <c r="AY35" s="492">
        <v>1625.6669999999999</v>
      </c>
      <c r="AZ35" s="492">
        <v>1859.1679999999999</v>
      </c>
      <c r="BA35" s="493">
        <f t="shared" si="15"/>
        <v>24212.201000000001</v>
      </c>
      <c r="BB35" s="656">
        <v>2111.5250000000001</v>
      </c>
      <c r="BC35" s="492">
        <v>2953.9160000000002</v>
      </c>
      <c r="BD35" s="492">
        <v>1737.7090000000001</v>
      </c>
      <c r="BE35" s="492">
        <v>33373.838000000003</v>
      </c>
      <c r="BF35" s="492">
        <v>622.46600000000001</v>
      </c>
      <c r="BG35" s="492">
        <v>462.197</v>
      </c>
      <c r="BH35" s="492">
        <v>131.62899999999999</v>
      </c>
      <c r="BI35" s="492">
        <v>219.624</v>
      </c>
      <c r="BJ35" s="492">
        <v>66.156999999999996</v>
      </c>
      <c r="BK35" s="492">
        <v>510.64400000000001</v>
      </c>
      <c r="BL35" s="492">
        <v>593.71600000000001</v>
      </c>
      <c r="BM35" s="492">
        <v>1228.896</v>
      </c>
      <c r="BN35" s="493">
        <f t="shared" si="16"/>
        <v>44012.31700000001</v>
      </c>
      <c r="BO35" s="656">
        <v>2269</v>
      </c>
      <c r="BP35" s="492">
        <v>24177</v>
      </c>
      <c r="BQ35" s="492">
        <v>1933</v>
      </c>
      <c r="BR35" s="492"/>
      <c r="BS35" s="492">
        <v>733</v>
      </c>
      <c r="BT35" s="492">
        <v>3395</v>
      </c>
      <c r="BU35" s="492">
        <v>1780</v>
      </c>
      <c r="BV35" s="492">
        <v>40139</v>
      </c>
      <c r="BW35" s="492">
        <v>20045</v>
      </c>
      <c r="BX35" s="492">
        <v>3712.127</v>
      </c>
      <c r="BY35" s="492">
        <v>1.806</v>
      </c>
      <c r="BZ35" s="492">
        <v>4203.2839999999997</v>
      </c>
      <c r="CA35" s="493">
        <f t="shared" si="17"/>
        <v>102388.21699999999</v>
      </c>
      <c r="CB35" s="656">
        <v>13381.487999999999</v>
      </c>
      <c r="CC35" s="492">
        <v>7533.2640000000001</v>
      </c>
      <c r="CD35" s="492">
        <v>3205.0430000000001</v>
      </c>
      <c r="CE35" s="492">
        <v>3091.6239999999998</v>
      </c>
      <c r="CF35" s="492">
        <v>2152.1019999999999</v>
      </c>
      <c r="CG35" s="492">
        <v>2410.9349999999999</v>
      </c>
      <c r="CH35" s="492">
        <v>2902.893</v>
      </c>
      <c r="CI35" s="492">
        <v>2149.819</v>
      </c>
      <c r="CJ35" s="492">
        <v>2259.6559999999999</v>
      </c>
      <c r="CK35" s="492">
        <v>2393.614</v>
      </c>
      <c r="CL35" s="492">
        <v>2216.2820000000002</v>
      </c>
      <c r="CM35" s="492">
        <v>2384.6439999999998</v>
      </c>
      <c r="CN35" s="493">
        <f t="shared" si="18"/>
        <v>46081.364000000009</v>
      </c>
      <c r="CO35" s="656">
        <v>1940.4760000000001</v>
      </c>
      <c r="CP35" s="492">
        <v>2619.3220000000001</v>
      </c>
      <c r="CQ35" s="492">
        <v>3292.7460000000001</v>
      </c>
      <c r="CR35" s="492">
        <v>2583.8359999999998</v>
      </c>
      <c r="CS35" s="492">
        <v>1966.615</v>
      </c>
      <c r="CT35" s="492">
        <v>2019.61</v>
      </c>
      <c r="CU35" s="492">
        <v>1671.838</v>
      </c>
      <c r="CV35" s="492">
        <v>1762.1310000000001</v>
      </c>
      <c r="CW35" s="492">
        <v>1212.046</v>
      </c>
      <c r="CX35" s="492">
        <v>1161.3879999999999</v>
      </c>
      <c r="CY35" s="492">
        <v>314.01</v>
      </c>
      <c r="CZ35" s="492">
        <v>1584.979</v>
      </c>
      <c r="DA35" s="493">
        <f t="shared" si="19"/>
        <v>22128.996999999996</v>
      </c>
      <c r="DB35" s="656">
        <v>1587.8920000000001</v>
      </c>
      <c r="DC35" s="492">
        <v>2517.9850000000001</v>
      </c>
      <c r="DD35" s="492">
        <v>6101.1379999999999</v>
      </c>
      <c r="DE35" s="492">
        <v>3057.0210000000002</v>
      </c>
      <c r="DF35" s="492">
        <v>1897.5039999999999</v>
      </c>
      <c r="DG35" s="492">
        <v>963.69399999999996</v>
      </c>
      <c r="DH35" s="492">
        <v>573.67899999999997</v>
      </c>
      <c r="DI35" s="492">
        <v>764.97</v>
      </c>
      <c r="DJ35" s="492">
        <v>827.46799999999996</v>
      </c>
      <c r="DK35" s="492">
        <v>1041.1610000000001</v>
      </c>
      <c r="DL35" s="492">
        <v>445.92500000000001</v>
      </c>
      <c r="DM35" s="492">
        <v>507.86599999999999</v>
      </c>
      <c r="DN35" s="493">
        <f t="shared" si="20"/>
        <v>20286.303</v>
      </c>
      <c r="DO35" s="656">
        <v>403.69600000000003</v>
      </c>
      <c r="DP35" s="492">
        <v>127.066</v>
      </c>
      <c r="DQ35" s="492">
        <v>4437.57</v>
      </c>
      <c r="DR35" s="492">
        <v>1126.81</v>
      </c>
      <c r="DS35" s="492">
        <v>1261.0088000000001</v>
      </c>
      <c r="DT35" s="492">
        <v>923.5</v>
      </c>
      <c r="DU35" s="492">
        <v>1172.7</v>
      </c>
      <c r="DV35" s="492">
        <v>1127.19</v>
      </c>
      <c r="DW35" s="492">
        <v>700.08399999999995</v>
      </c>
      <c r="DX35" s="492">
        <v>888.84</v>
      </c>
      <c r="DY35" s="492">
        <v>469.03699999999998</v>
      </c>
      <c r="DZ35" s="492">
        <v>55.348999999999997</v>
      </c>
      <c r="EA35" s="493">
        <f t="shared" si="21"/>
        <v>12692.850800000002</v>
      </c>
      <c r="EB35" s="656">
        <v>165.87</v>
      </c>
      <c r="EC35" s="492">
        <v>358.34</v>
      </c>
      <c r="ED35" s="492">
        <v>1089.69</v>
      </c>
      <c r="EE35" s="492">
        <v>2097</v>
      </c>
      <c r="EF35" s="492">
        <v>1879.56</v>
      </c>
      <c r="EG35" s="492">
        <v>1755</v>
      </c>
      <c r="EH35" s="492">
        <v>1690</v>
      </c>
      <c r="EI35" s="492">
        <v>968.21600000000001</v>
      </c>
      <c r="EJ35" s="492">
        <v>1319</v>
      </c>
      <c r="EK35" s="492">
        <v>950.9</v>
      </c>
      <c r="EL35" s="492">
        <v>499</v>
      </c>
      <c r="EM35" s="492">
        <v>881</v>
      </c>
      <c r="EN35" s="493">
        <f t="shared" si="22"/>
        <v>13653.575999999999</v>
      </c>
      <c r="EO35" s="492"/>
      <c r="EP35" s="492"/>
      <c r="EQ35" s="492"/>
      <c r="ER35" s="492"/>
      <c r="ES35" s="492"/>
      <c r="ET35" s="492"/>
      <c r="EU35" s="492"/>
      <c r="EV35" s="492"/>
      <c r="EW35" s="492"/>
      <c r="EX35" s="492"/>
      <c r="EY35" s="492"/>
      <c r="EZ35" s="492"/>
      <c r="FA35" s="493">
        <f t="shared" si="23"/>
        <v>0</v>
      </c>
      <c r="FC35" s="595">
        <f t="shared" si="24"/>
        <v>1491.7180075520787</v>
      </c>
      <c r="FD35" s="596">
        <f t="shared" si="25"/>
        <v>7.569026179682159</v>
      </c>
      <c r="FE35" s="498">
        <f t="shared" si="26"/>
        <v>12692.850800000002</v>
      </c>
      <c r="FF35" s="597">
        <f t="shared" si="27"/>
        <v>13653.575999999999</v>
      </c>
      <c r="FG35" s="624"/>
      <c r="FH35" s="690"/>
      <c r="FI35" s="551">
        <f t="shared" si="28"/>
        <v>627518.16759999981</v>
      </c>
      <c r="FJ35" s="491" t="s">
        <v>66</v>
      </c>
      <c r="FK35" s="554" t="str">
        <f t="shared" si="29"/>
        <v>OK</v>
      </c>
    </row>
    <row r="36" spans="1:167" ht="15" customHeight="1" x14ac:dyDescent="0.25">
      <c r="A36" s="610" t="s">
        <v>300</v>
      </c>
      <c r="B36" s="656"/>
      <c r="C36" s="492"/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3">
        <f t="shared" si="12"/>
        <v>0</v>
      </c>
      <c r="O36" s="656"/>
      <c r="P36" s="492"/>
      <c r="Q36" s="492"/>
      <c r="R36" s="492"/>
      <c r="S36" s="492"/>
      <c r="T36" s="492"/>
      <c r="U36" s="492"/>
      <c r="V36" s="492"/>
      <c r="W36" s="492"/>
      <c r="X36" s="492"/>
      <c r="Y36" s="492"/>
      <c r="Z36" s="492"/>
      <c r="AA36" s="493">
        <f t="shared" si="13"/>
        <v>0</v>
      </c>
      <c r="AB36" s="656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3">
        <f t="shared" si="14"/>
        <v>0</v>
      </c>
      <c r="AO36" s="656"/>
      <c r="AP36" s="492"/>
      <c r="AQ36" s="492"/>
      <c r="AR36" s="492"/>
      <c r="AS36" s="492"/>
      <c r="AT36" s="492"/>
      <c r="AU36" s="492"/>
      <c r="AV36" s="492"/>
      <c r="AW36" s="492"/>
      <c r="AX36" s="492"/>
      <c r="AY36" s="492"/>
      <c r="AZ36" s="492"/>
      <c r="BA36" s="493">
        <f t="shared" si="15"/>
        <v>0</v>
      </c>
      <c r="BB36" s="656"/>
      <c r="BC36" s="492"/>
      <c r="BD36" s="492"/>
      <c r="BE36" s="492"/>
      <c r="BF36" s="492"/>
      <c r="BG36" s="492"/>
      <c r="BH36" s="492"/>
      <c r="BI36" s="492"/>
      <c r="BJ36" s="492"/>
      <c r="BK36" s="492"/>
      <c r="BL36" s="492"/>
      <c r="BM36" s="492"/>
      <c r="BN36" s="493">
        <f t="shared" si="16"/>
        <v>0</v>
      </c>
      <c r="BO36" s="656"/>
      <c r="BP36" s="492"/>
      <c r="BQ36" s="492"/>
      <c r="BR36" s="492"/>
      <c r="BS36" s="492"/>
      <c r="BT36" s="492"/>
      <c r="BU36" s="492"/>
      <c r="BV36" s="492"/>
      <c r="BW36" s="492"/>
      <c r="BX36" s="492"/>
      <c r="BY36" s="492"/>
      <c r="BZ36" s="492"/>
      <c r="CA36" s="493">
        <f t="shared" si="17"/>
        <v>0</v>
      </c>
      <c r="CB36" s="656"/>
      <c r="CC36" s="492"/>
      <c r="CD36" s="492"/>
      <c r="CE36" s="492"/>
      <c r="CF36" s="492"/>
      <c r="CG36" s="492"/>
      <c r="CH36" s="492"/>
      <c r="CI36" s="492"/>
      <c r="CJ36" s="492"/>
      <c r="CK36" s="492"/>
      <c r="CL36" s="492"/>
      <c r="CM36" s="492"/>
      <c r="CN36" s="493">
        <f t="shared" si="18"/>
        <v>0</v>
      </c>
      <c r="CO36" s="656"/>
      <c r="CP36" s="492"/>
      <c r="CQ36" s="492"/>
      <c r="CR36" s="492"/>
      <c r="CS36" s="492"/>
      <c r="CT36" s="492"/>
      <c r="CU36" s="492"/>
      <c r="CV36" s="492"/>
      <c r="CW36" s="492"/>
      <c r="CX36" s="492"/>
      <c r="CY36" s="492"/>
      <c r="CZ36" s="492"/>
      <c r="DA36" s="493">
        <f t="shared" si="19"/>
        <v>0</v>
      </c>
      <c r="DB36" s="656"/>
      <c r="DC36" s="492"/>
      <c r="DD36" s="492"/>
      <c r="DE36" s="492"/>
      <c r="DF36" s="492"/>
      <c r="DG36" s="492"/>
      <c r="DH36" s="492"/>
      <c r="DI36" s="492"/>
      <c r="DJ36" s="492"/>
      <c r="DK36" s="492"/>
      <c r="DL36" s="492"/>
      <c r="DM36" s="492"/>
      <c r="DN36" s="493">
        <f t="shared" si="20"/>
        <v>0</v>
      </c>
      <c r="DO36" s="656"/>
      <c r="DP36" s="492"/>
      <c r="DQ36" s="492"/>
      <c r="DR36" s="492"/>
      <c r="DS36" s="492"/>
      <c r="DT36" s="492"/>
      <c r="DU36" s="492"/>
      <c r="DV36" s="492"/>
      <c r="DW36" s="492"/>
      <c r="DX36" s="492"/>
      <c r="DY36" s="492"/>
      <c r="DZ36" s="492"/>
      <c r="EA36" s="493">
        <f t="shared" si="21"/>
        <v>0</v>
      </c>
      <c r="EB36" s="656"/>
      <c r="EC36" s="492"/>
      <c r="ED36" s="492"/>
      <c r="EE36" s="492"/>
      <c r="EF36" s="492"/>
      <c r="EG36" s="492"/>
      <c r="EH36" s="492"/>
      <c r="EI36" s="492"/>
      <c r="EJ36" s="492"/>
      <c r="EK36" s="492"/>
      <c r="EL36" s="492"/>
      <c r="EM36" s="492"/>
      <c r="EN36" s="493">
        <f t="shared" si="22"/>
        <v>0</v>
      </c>
      <c r="EO36" s="492"/>
      <c r="EP36" s="492"/>
      <c r="EQ36" s="492"/>
      <c r="ER36" s="492"/>
      <c r="ES36" s="492"/>
      <c r="ET36" s="492"/>
      <c r="EU36" s="492"/>
      <c r="EV36" s="492"/>
      <c r="EW36" s="492"/>
      <c r="EX36" s="492"/>
      <c r="EY36" s="492"/>
      <c r="EZ36" s="492"/>
      <c r="FA36" s="493">
        <f t="shared" si="23"/>
        <v>0</v>
      </c>
      <c r="FC36" s="595" t="str">
        <f t="shared" si="24"/>
        <v/>
      </c>
      <c r="FD36" s="596" t="str">
        <f t="shared" si="25"/>
        <v/>
      </c>
      <c r="FE36" s="498">
        <f t="shared" si="26"/>
        <v>0</v>
      </c>
      <c r="FF36" s="597">
        <f t="shared" si="27"/>
        <v>0</v>
      </c>
      <c r="FG36" s="624"/>
      <c r="FH36" s="690"/>
      <c r="FI36" s="551">
        <f t="shared" si="28"/>
        <v>0</v>
      </c>
      <c r="FJ36" s="491" t="s">
        <v>300</v>
      </c>
      <c r="FK36" s="554" t="str">
        <f t="shared" si="29"/>
        <v>OK</v>
      </c>
    </row>
    <row r="37" spans="1:167" ht="15" customHeight="1" x14ac:dyDescent="0.25">
      <c r="A37" s="610" t="s">
        <v>67</v>
      </c>
      <c r="B37" s="656">
        <v>600.55999999999995</v>
      </c>
      <c r="C37" s="492">
        <v>421.01900000000001</v>
      </c>
      <c r="D37" s="492">
        <v>534</v>
      </c>
      <c r="E37" s="492">
        <v>757</v>
      </c>
      <c r="F37" s="492">
        <v>593</v>
      </c>
      <c r="G37" s="492">
        <v>408</v>
      </c>
      <c r="H37" s="492">
        <v>535</v>
      </c>
      <c r="I37" s="492">
        <v>47</v>
      </c>
      <c r="J37" s="492">
        <v>206</v>
      </c>
      <c r="K37" s="492">
        <v>590</v>
      </c>
      <c r="L37" s="492">
        <v>1094</v>
      </c>
      <c r="M37" s="492">
        <v>929</v>
      </c>
      <c r="N37" s="493">
        <f t="shared" si="12"/>
        <v>6714.5789999999997</v>
      </c>
      <c r="O37" s="656">
        <v>944</v>
      </c>
      <c r="P37" s="492">
        <v>583</v>
      </c>
      <c r="Q37" s="492">
        <v>238</v>
      </c>
      <c r="R37" s="492">
        <v>712</v>
      </c>
      <c r="S37" s="492">
        <v>685</v>
      </c>
      <c r="T37" s="492">
        <v>172</v>
      </c>
      <c r="U37" s="492">
        <v>564</v>
      </c>
      <c r="V37" s="492">
        <v>242</v>
      </c>
      <c r="W37" s="492">
        <v>114</v>
      </c>
      <c r="X37" s="492">
        <v>108</v>
      </c>
      <c r="Y37" s="492">
        <v>329</v>
      </c>
      <c r="Z37" s="492">
        <v>1420</v>
      </c>
      <c r="AA37" s="493">
        <f t="shared" si="13"/>
        <v>6111</v>
      </c>
      <c r="AB37" s="656">
        <v>1129</v>
      </c>
      <c r="AC37" s="492">
        <v>1437</v>
      </c>
      <c r="AD37" s="492">
        <v>1425</v>
      </c>
      <c r="AE37" s="492">
        <v>889.09799999999996</v>
      </c>
      <c r="AF37" s="492">
        <v>1287.9100000000001</v>
      </c>
      <c r="AG37" s="492">
        <v>787</v>
      </c>
      <c r="AH37" s="492">
        <v>478</v>
      </c>
      <c r="AI37" s="492">
        <v>1194</v>
      </c>
      <c r="AJ37" s="492">
        <v>1372</v>
      </c>
      <c r="AK37" s="492">
        <v>2002</v>
      </c>
      <c r="AL37" s="492">
        <v>2756</v>
      </c>
      <c r="AM37" s="492">
        <v>3428</v>
      </c>
      <c r="AN37" s="493">
        <f t="shared" si="14"/>
        <v>18185.008000000002</v>
      </c>
      <c r="AO37" s="656">
        <v>3475.306</v>
      </c>
      <c r="AP37" s="492">
        <v>2676.0369999999998</v>
      </c>
      <c r="AQ37" s="492">
        <v>2270.944</v>
      </c>
      <c r="AR37" s="492">
        <v>1724.586</v>
      </c>
      <c r="AS37" s="492">
        <v>1912.02</v>
      </c>
      <c r="AT37" s="492">
        <v>1650.654</v>
      </c>
      <c r="AU37" s="492">
        <v>1483.056</v>
      </c>
      <c r="AV37" s="492">
        <v>2420.5410000000002</v>
      </c>
      <c r="AW37" s="492">
        <v>2131.663</v>
      </c>
      <c r="AX37" s="492">
        <v>1985.2750000000001</v>
      </c>
      <c r="AY37" s="492">
        <v>3126.7190000000001</v>
      </c>
      <c r="AZ37" s="492">
        <v>2071.252</v>
      </c>
      <c r="BA37" s="493">
        <f t="shared" si="15"/>
        <v>26928.053000000004</v>
      </c>
      <c r="BB37" s="656"/>
      <c r="BC37" s="492"/>
      <c r="BD37" s="492"/>
      <c r="BE37" s="492">
        <v>1463.7439999999999</v>
      </c>
      <c r="BF37" s="492">
        <v>1077.9100000000001</v>
      </c>
      <c r="BG37" s="492">
        <v>1399.636</v>
      </c>
      <c r="BH37" s="492">
        <v>1382.557</v>
      </c>
      <c r="BI37" s="492">
        <v>828.31500000000005</v>
      </c>
      <c r="BJ37" s="492">
        <v>1110.982</v>
      </c>
      <c r="BK37" s="492">
        <v>915.56400000000008</v>
      </c>
      <c r="BL37" s="492">
        <v>287.53300000000002</v>
      </c>
      <c r="BM37" s="492">
        <v>373.93099999999998</v>
      </c>
      <c r="BN37" s="493">
        <f t="shared" si="16"/>
        <v>8840.1720000000005</v>
      </c>
      <c r="BO37" s="656">
        <v>2341</v>
      </c>
      <c r="BP37" s="492">
        <v>1731</v>
      </c>
      <c r="BQ37" s="492">
        <v>1209</v>
      </c>
      <c r="BR37" s="492"/>
      <c r="BS37" s="492"/>
      <c r="BT37" s="492">
        <v>683</v>
      </c>
      <c r="BU37" s="492">
        <v>2816</v>
      </c>
      <c r="BV37" s="492">
        <v>2065</v>
      </c>
      <c r="BW37" s="492">
        <v>2215</v>
      </c>
      <c r="BX37" s="492">
        <v>3518.2130000000002</v>
      </c>
      <c r="BY37" s="492">
        <v>3508.692</v>
      </c>
      <c r="BZ37" s="492">
        <v>4090.1460000000002</v>
      </c>
      <c r="CA37" s="493">
        <f t="shared" si="17"/>
        <v>24177.050999999999</v>
      </c>
      <c r="CB37" s="656">
        <v>3592.5159999999978</v>
      </c>
      <c r="CC37" s="492">
        <v>6726.7510000000002</v>
      </c>
      <c r="CD37" s="492">
        <v>2570.873</v>
      </c>
      <c r="CE37" s="492">
        <v>2278.4609999999998</v>
      </c>
      <c r="CF37" s="492">
        <v>1489.434</v>
      </c>
      <c r="CG37" s="492">
        <v>1462.106</v>
      </c>
      <c r="CH37" s="492">
        <v>1675.7550000000001</v>
      </c>
      <c r="CI37" s="492">
        <v>966.548</v>
      </c>
      <c r="CJ37" s="492">
        <v>1622.336</v>
      </c>
      <c r="CK37" s="492">
        <v>2378.5140000000001</v>
      </c>
      <c r="CL37" s="492">
        <v>2488.018</v>
      </c>
      <c r="CM37" s="492">
        <v>1456.329</v>
      </c>
      <c r="CN37" s="493">
        <f t="shared" si="18"/>
        <v>28707.640999999996</v>
      </c>
      <c r="CO37" s="656">
        <v>2372.5149999999999</v>
      </c>
      <c r="CP37" s="492">
        <v>2186.0650000000001</v>
      </c>
      <c r="CQ37" s="492">
        <v>2129.2060000000001</v>
      </c>
      <c r="CR37" s="492">
        <v>1823.0619999999999</v>
      </c>
      <c r="CS37" s="492">
        <v>2371.4499999999998</v>
      </c>
      <c r="CT37" s="492">
        <v>2477.759</v>
      </c>
      <c r="CU37" s="492">
        <v>2159.181</v>
      </c>
      <c r="CV37" s="492">
        <v>2341.511</v>
      </c>
      <c r="CW37" s="492">
        <v>3294.6039999999998</v>
      </c>
      <c r="CX37" s="492">
        <v>2948.61</v>
      </c>
      <c r="CY37" s="492">
        <v>584.47799999999995</v>
      </c>
      <c r="CZ37" s="492">
        <v>3451.982</v>
      </c>
      <c r="DA37" s="493">
        <f t="shared" si="19"/>
        <v>28140.422999999999</v>
      </c>
      <c r="DB37" s="656">
        <v>3266.9839999999999</v>
      </c>
      <c r="DC37" s="492">
        <v>2900.402</v>
      </c>
      <c r="DD37" s="492">
        <v>3419.9520000000002</v>
      </c>
      <c r="DE37" s="492">
        <v>2474.7190000000001</v>
      </c>
      <c r="DF37" s="492">
        <v>1514.306</v>
      </c>
      <c r="DG37" s="492">
        <v>828.64700000000005</v>
      </c>
      <c r="DH37" s="492">
        <v>937.93899999999996</v>
      </c>
      <c r="DI37" s="492">
        <v>1023.563</v>
      </c>
      <c r="DJ37" s="492">
        <v>1416.808</v>
      </c>
      <c r="DK37" s="492">
        <v>1120.5999999999999</v>
      </c>
      <c r="DL37" s="492">
        <v>346.95800000000003</v>
      </c>
      <c r="DM37" s="492">
        <v>1170.9670000000001</v>
      </c>
      <c r="DN37" s="493">
        <f t="shared" si="20"/>
        <v>20421.845000000001</v>
      </c>
      <c r="DO37" s="656">
        <v>468.12700000000001</v>
      </c>
      <c r="DP37" s="492">
        <v>260.90800000000002</v>
      </c>
      <c r="DQ37" s="492">
        <v>2245.4899999999998</v>
      </c>
      <c r="DR37" s="492">
        <v>368.52</v>
      </c>
      <c r="DS37" s="492">
        <v>469.55</v>
      </c>
      <c r="DT37" s="492">
        <v>694.9</v>
      </c>
      <c r="DU37" s="492">
        <v>1072.2</v>
      </c>
      <c r="DV37" s="492">
        <v>239.28</v>
      </c>
      <c r="DW37" s="492">
        <v>322.27999999999997</v>
      </c>
      <c r="DX37" s="492">
        <v>182.77</v>
      </c>
      <c r="DY37" s="492">
        <v>403.36599999999999</v>
      </c>
      <c r="DZ37" s="492">
        <v>468.2</v>
      </c>
      <c r="EA37" s="493">
        <f t="shared" si="21"/>
        <v>7195.5909999999994</v>
      </c>
      <c r="EB37" s="656">
        <v>1866.3422459811316</v>
      </c>
      <c r="EC37" s="492">
        <v>1382.9022290566036</v>
      </c>
      <c r="ED37" s="492">
        <v>1546.7958660377367</v>
      </c>
      <c r="EE37" s="492">
        <v>1241.1178150943392</v>
      </c>
      <c r="EF37" s="492">
        <v>783.5162971428166</v>
      </c>
      <c r="EG37" s="492">
        <v>170.46811226415088</v>
      </c>
      <c r="EH37" s="492">
        <v>518.92515471698107</v>
      </c>
      <c r="EI37" s="492">
        <v>782.98337918869231</v>
      </c>
      <c r="EJ37" s="492">
        <v>628.53662264150944</v>
      </c>
      <c r="EK37" s="492">
        <v>1282.8294532641514</v>
      </c>
      <c r="EL37" s="492">
        <v>861.51491320754724</v>
      </c>
      <c r="EM37" s="492">
        <v>1853.0435510699053</v>
      </c>
      <c r="EN37" s="493">
        <f t="shared" si="22"/>
        <v>12918.975639665565</v>
      </c>
      <c r="EO37" s="492"/>
      <c r="EP37" s="492"/>
      <c r="EQ37" s="492"/>
      <c r="ER37" s="492"/>
      <c r="ES37" s="492"/>
      <c r="ET37" s="492"/>
      <c r="EU37" s="492"/>
      <c r="EV37" s="492"/>
      <c r="EW37" s="492"/>
      <c r="EX37" s="492"/>
      <c r="EY37" s="492"/>
      <c r="EZ37" s="492"/>
      <c r="FA37" s="493">
        <f t="shared" si="23"/>
        <v>0</v>
      </c>
      <c r="FC37" s="595">
        <f t="shared" si="24"/>
        <v>295.78033982697679</v>
      </c>
      <c r="FD37" s="596">
        <f t="shared" si="25"/>
        <v>79.540160629829643</v>
      </c>
      <c r="FE37" s="498">
        <f t="shared" si="26"/>
        <v>7195.5909999999994</v>
      </c>
      <c r="FF37" s="597">
        <f t="shared" si="27"/>
        <v>12918.975639665565</v>
      </c>
      <c r="FG37" s="624"/>
      <c r="FH37" s="690"/>
      <c r="FI37" s="551">
        <f t="shared" si="28"/>
        <v>376680.67727933137</v>
      </c>
      <c r="FJ37" s="491" t="s">
        <v>67</v>
      </c>
      <c r="FK37" s="554" t="str">
        <f t="shared" si="29"/>
        <v>OK</v>
      </c>
    </row>
    <row r="38" spans="1:167" ht="15" customHeight="1" x14ac:dyDescent="0.25">
      <c r="A38" s="610" t="s">
        <v>68</v>
      </c>
      <c r="B38" s="656"/>
      <c r="C38" s="492"/>
      <c r="D38" s="492"/>
      <c r="E38" s="492"/>
      <c r="F38" s="492"/>
      <c r="G38" s="492"/>
      <c r="H38" s="492"/>
      <c r="I38" s="492"/>
      <c r="J38" s="492"/>
      <c r="K38" s="492"/>
      <c r="L38" s="492"/>
      <c r="M38" s="492"/>
      <c r="N38" s="493">
        <f t="shared" si="12"/>
        <v>0</v>
      </c>
      <c r="O38" s="656"/>
      <c r="P38" s="492"/>
      <c r="Q38" s="492"/>
      <c r="R38" s="492"/>
      <c r="S38" s="492"/>
      <c r="T38" s="492"/>
      <c r="U38" s="492"/>
      <c r="V38" s="492"/>
      <c r="W38" s="492"/>
      <c r="X38" s="492"/>
      <c r="Y38" s="492"/>
      <c r="Z38" s="492"/>
      <c r="AA38" s="493">
        <f t="shared" si="13"/>
        <v>0</v>
      </c>
      <c r="AB38" s="656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3">
        <f t="shared" si="14"/>
        <v>0</v>
      </c>
      <c r="AO38" s="656"/>
      <c r="AP38" s="492">
        <v>2.6890000000000001</v>
      </c>
      <c r="AQ38" s="492"/>
      <c r="AR38" s="492"/>
      <c r="AS38" s="492"/>
      <c r="AT38" s="492"/>
      <c r="AU38" s="492"/>
      <c r="AV38" s="492"/>
      <c r="AW38" s="492"/>
      <c r="AX38" s="492">
        <v>5.931</v>
      </c>
      <c r="AY38" s="492"/>
      <c r="AZ38" s="492">
        <v>3.278</v>
      </c>
      <c r="BA38" s="493">
        <f t="shared" si="15"/>
        <v>11.898000000000001</v>
      </c>
      <c r="BB38" s="656"/>
      <c r="BC38" s="492"/>
      <c r="BD38" s="492"/>
      <c r="BE38" s="492"/>
      <c r="BF38" s="492"/>
      <c r="BG38" s="492"/>
      <c r="BH38" s="492"/>
      <c r="BI38" s="492"/>
      <c r="BJ38" s="492"/>
      <c r="BK38" s="492"/>
      <c r="BL38" s="492"/>
      <c r="BM38" s="492"/>
      <c r="BN38" s="493">
        <f t="shared" si="16"/>
        <v>0</v>
      </c>
      <c r="BO38" s="656">
        <v>51</v>
      </c>
      <c r="BP38" s="492">
        <v>12</v>
      </c>
      <c r="BQ38" s="492">
        <v>9</v>
      </c>
      <c r="BR38" s="492"/>
      <c r="BS38" s="492"/>
      <c r="BT38" s="492"/>
      <c r="BU38" s="492"/>
      <c r="BV38" s="492"/>
      <c r="BW38" s="492">
        <v>10</v>
      </c>
      <c r="BX38" s="492">
        <v>3.4809999999999999</v>
      </c>
      <c r="BY38" s="492">
        <v>34.994</v>
      </c>
      <c r="BZ38" s="492">
        <v>11.773</v>
      </c>
      <c r="CA38" s="493">
        <f t="shared" si="17"/>
        <v>132.24799999999999</v>
      </c>
      <c r="CB38" s="656">
        <v>135.57100000000003</v>
      </c>
      <c r="CC38" s="492">
        <v>270.70999999999998</v>
      </c>
      <c r="CD38" s="492">
        <v>212.38399999999999</v>
      </c>
      <c r="CE38" s="492">
        <v>37.874000000000002</v>
      </c>
      <c r="CF38" s="492">
        <v>11.131</v>
      </c>
      <c r="CG38" s="492">
        <v>20.114999999999998</v>
      </c>
      <c r="CH38" s="492">
        <v>18.367000000000001</v>
      </c>
      <c r="CI38" s="492">
        <v>26.094000000000001</v>
      </c>
      <c r="CJ38" s="492">
        <v>12.47</v>
      </c>
      <c r="CK38" s="492">
        <v>6.4939999999999998</v>
      </c>
      <c r="CL38" s="492">
        <v>13.226000000000001</v>
      </c>
      <c r="CM38" s="492">
        <v>38.378999999999998</v>
      </c>
      <c r="CN38" s="493">
        <f t="shared" si="18"/>
        <v>802.81500000000005</v>
      </c>
      <c r="CO38" s="656">
        <v>9.1289999999999996</v>
      </c>
      <c r="CP38" s="492">
        <v>0.84899999999999998</v>
      </c>
      <c r="CQ38" s="492">
        <v>48.710999999999999</v>
      </c>
      <c r="CR38" s="492">
        <v>15.034000000000001</v>
      </c>
      <c r="CS38" s="492">
        <v>10.912000000000001</v>
      </c>
      <c r="CT38" s="492">
        <v>16.791</v>
      </c>
      <c r="CU38" s="492">
        <v>1.819</v>
      </c>
      <c r="CV38" s="492">
        <v>7.66</v>
      </c>
      <c r="CW38" s="492">
        <v>37.426000000000002</v>
      </c>
      <c r="CX38" s="492">
        <v>4.4249999999999998</v>
      </c>
      <c r="CY38" s="492"/>
      <c r="CZ38" s="492"/>
      <c r="DA38" s="493">
        <f t="shared" si="19"/>
        <v>152.75600000000003</v>
      </c>
      <c r="DB38" s="656">
        <v>1.7689999999999999</v>
      </c>
      <c r="DC38" s="492">
        <v>28.898</v>
      </c>
      <c r="DD38" s="492">
        <v>1589.1790000000001</v>
      </c>
      <c r="DE38" s="492">
        <v>18.562999999999999</v>
      </c>
      <c r="DF38" s="492">
        <v>23.545999999999999</v>
      </c>
      <c r="DG38" s="492">
        <v>18.404</v>
      </c>
      <c r="DH38" s="492">
        <v>49.165999999999997</v>
      </c>
      <c r="DI38" s="492">
        <v>5.7409999999999997</v>
      </c>
      <c r="DJ38" s="492">
        <v>0.89400000000000002</v>
      </c>
      <c r="DK38" s="492">
        <v>5.4880000000000004</v>
      </c>
      <c r="DL38" s="492">
        <v>18.640999999999998</v>
      </c>
      <c r="DM38" s="492">
        <v>32.823</v>
      </c>
      <c r="DN38" s="493">
        <f t="shared" si="20"/>
        <v>1793.1120000000003</v>
      </c>
      <c r="DO38" s="656"/>
      <c r="DP38" s="492"/>
      <c r="DQ38" s="492">
        <v>8.984</v>
      </c>
      <c r="DR38" s="492">
        <v>13.99</v>
      </c>
      <c r="DS38" s="492">
        <v>7.05</v>
      </c>
      <c r="DT38" s="492">
        <v>9.5</v>
      </c>
      <c r="DU38" s="492">
        <v>16.2</v>
      </c>
      <c r="DV38" s="492"/>
      <c r="DW38" s="492">
        <v>13.086</v>
      </c>
      <c r="DX38" s="492">
        <v>8.6300000000000008</v>
      </c>
      <c r="DY38" s="492">
        <v>1.105</v>
      </c>
      <c r="DZ38" s="492">
        <v>0.67300000000000004</v>
      </c>
      <c r="EA38" s="493">
        <f t="shared" si="21"/>
        <v>79.218000000000004</v>
      </c>
      <c r="EB38" s="656">
        <v>8.3237405660377366</v>
      </c>
      <c r="EC38" s="492">
        <v>3.6209009433962258</v>
      </c>
      <c r="ED38" s="492">
        <v>0.56100000000000005</v>
      </c>
      <c r="EE38" s="492">
        <v>1.4590000000000001</v>
      </c>
      <c r="EF38" s="492">
        <v>1.6418867924528331</v>
      </c>
      <c r="EG38" s="492">
        <v>11.384254716981129</v>
      </c>
      <c r="EH38" s="492">
        <v>3.6987688679245281</v>
      </c>
      <c r="EI38" s="492">
        <v>0.26100000000000001</v>
      </c>
      <c r="EJ38" s="492"/>
      <c r="EK38" s="492">
        <v>12.435357142857143</v>
      </c>
      <c r="EL38" s="492">
        <v>15.127330188679251</v>
      </c>
      <c r="EM38" s="492">
        <v>7.5029994905660278</v>
      </c>
      <c r="EN38" s="493">
        <f t="shared" si="22"/>
        <v>66.016238708894875</v>
      </c>
      <c r="EO38" s="492"/>
      <c r="EP38" s="492"/>
      <c r="EQ38" s="492"/>
      <c r="ER38" s="492"/>
      <c r="ES38" s="492"/>
      <c r="ET38" s="492"/>
      <c r="EU38" s="492"/>
      <c r="EV38" s="492"/>
      <c r="EW38" s="492"/>
      <c r="EX38" s="492"/>
      <c r="EY38" s="492"/>
      <c r="EZ38" s="492"/>
      <c r="FA38" s="493">
        <f t="shared" si="23"/>
        <v>0</v>
      </c>
      <c r="FC38" s="595">
        <f t="shared" si="24"/>
        <v>1014.858765314417</v>
      </c>
      <c r="FD38" s="596">
        <f t="shared" si="25"/>
        <v>-16.665102995664029</v>
      </c>
      <c r="FE38" s="498">
        <f t="shared" si="26"/>
        <v>79.218000000000004</v>
      </c>
      <c r="FF38" s="597">
        <f t="shared" si="27"/>
        <v>66.016238708894875</v>
      </c>
      <c r="FG38" s="624"/>
      <c r="FH38" s="690"/>
      <c r="FI38" s="551">
        <f t="shared" si="28"/>
        <v>6076.1264774177898</v>
      </c>
      <c r="FJ38" s="491" t="s">
        <v>68</v>
      </c>
      <c r="FK38" s="554" t="str">
        <f t="shared" si="29"/>
        <v>OK</v>
      </c>
    </row>
    <row r="39" spans="1:167" ht="15" customHeight="1" x14ac:dyDescent="0.25">
      <c r="A39" s="610" t="s">
        <v>69</v>
      </c>
      <c r="B39" s="656">
        <v>7.8150000000000004</v>
      </c>
      <c r="C39" s="492">
        <v>13.619</v>
      </c>
      <c r="D39" s="492">
        <v>1</v>
      </c>
      <c r="E39" s="492"/>
      <c r="F39" s="492"/>
      <c r="G39" s="492">
        <v>4</v>
      </c>
      <c r="H39" s="492"/>
      <c r="I39" s="492"/>
      <c r="J39" s="492"/>
      <c r="K39" s="492">
        <v>24</v>
      </c>
      <c r="L39" s="492">
        <v>86</v>
      </c>
      <c r="M39" s="492">
        <v>29</v>
      </c>
      <c r="N39" s="493">
        <f t="shared" si="12"/>
        <v>165.434</v>
      </c>
      <c r="O39" s="656">
        <v>26</v>
      </c>
      <c r="P39" s="492"/>
      <c r="Q39" s="492"/>
      <c r="R39" s="492"/>
      <c r="S39" s="492"/>
      <c r="T39" s="492"/>
      <c r="U39" s="492"/>
      <c r="V39" s="492">
        <v>3</v>
      </c>
      <c r="W39" s="492"/>
      <c r="X39" s="492"/>
      <c r="Y39" s="492"/>
      <c r="Z39" s="492">
        <v>34</v>
      </c>
      <c r="AA39" s="493">
        <f t="shared" si="13"/>
        <v>63</v>
      </c>
      <c r="AB39" s="656">
        <v>87</v>
      </c>
      <c r="AC39" s="492">
        <v>35</v>
      </c>
      <c r="AD39" s="492">
        <v>11</v>
      </c>
      <c r="AE39" s="492">
        <v>5.5890000000000004</v>
      </c>
      <c r="AF39" s="492"/>
      <c r="AG39" s="492"/>
      <c r="AH39" s="492"/>
      <c r="AI39" s="492">
        <v>2</v>
      </c>
      <c r="AJ39" s="492"/>
      <c r="AK39" s="492"/>
      <c r="AL39" s="492"/>
      <c r="AM39" s="492"/>
      <c r="AN39" s="493">
        <f t="shared" si="14"/>
        <v>140.589</v>
      </c>
      <c r="AO39" s="656"/>
      <c r="AP39" s="492"/>
      <c r="AQ39" s="492">
        <v>41.991</v>
      </c>
      <c r="AR39" s="492"/>
      <c r="AS39" s="492"/>
      <c r="AT39" s="492"/>
      <c r="AU39" s="492"/>
      <c r="AV39" s="492"/>
      <c r="AW39" s="492"/>
      <c r="AX39" s="492">
        <v>90.605000000000004</v>
      </c>
      <c r="AY39" s="492"/>
      <c r="AZ39" s="492">
        <v>18.274999999999999</v>
      </c>
      <c r="BA39" s="493">
        <f t="shared" si="15"/>
        <v>150.87100000000001</v>
      </c>
      <c r="BB39" s="656">
        <v>55.387999999999998</v>
      </c>
      <c r="BC39" s="492">
        <v>95.242999999999995</v>
      </c>
      <c r="BD39" s="492">
        <v>44.112000000000002</v>
      </c>
      <c r="BE39" s="492">
        <v>38.838000000000001</v>
      </c>
      <c r="BF39" s="492"/>
      <c r="BG39" s="492"/>
      <c r="BH39" s="492"/>
      <c r="BI39" s="492"/>
      <c r="BJ39" s="492"/>
      <c r="BK39" s="492"/>
      <c r="BL39" s="492"/>
      <c r="BM39" s="492"/>
      <c r="BN39" s="493">
        <f t="shared" si="16"/>
        <v>233.58099999999999</v>
      </c>
      <c r="BO39" s="656"/>
      <c r="BP39" s="492"/>
      <c r="BQ39" s="492"/>
      <c r="BR39" s="492"/>
      <c r="BS39" s="492"/>
      <c r="BT39" s="492"/>
      <c r="BU39" s="492"/>
      <c r="BV39" s="492"/>
      <c r="BW39" s="492"/>
      <c r="BX39" s="492">
        <v>30.873999999999999</v>
      </c>
      <c r="BY39" s="492">
        <v>34.51</v>
      </c>
      <c r="BZ39" s="492">
        <v>21.318999999999999</v>
      </c>
      <c r="CA39" s="493">
        <f t="shared" si="17"/>
        <v>86.703000000000003</v>
      </c>
      <c r="CB39" s="656">
        <v>171.15800000000004</v>
      </c>
      <c r="CC39" s="492">
        <v>71.63900000000001</v>
      </c>
      <c r="CD39" s="492">
        <v>19.294</v>
      </c>
      <c r="CE39" s="492">
        <v>8.2469999999999999</v>
      </c>
      <c r="CF39" s="492">
        <v>119.36199999999999</v>
      </c>
      <c r="CG39" s="492">
        <v>72.241</v>
      </c>
      <c r="CH39" s="492">
        <v>20.843</v>
      </c>
      <c r="CI39" s="492">
        <v>23.757000000000001</v>
      </c>
      <c r="CJ39" s="492">
        <v>76.397999999999996</v>
      </c>
      <c r="CK39" s="492">
        <v>116.399</v>
      </c>
      <c r="CL39" s="492">
        <v>33.752000000000002</v>
      </c>
      <c r="CM39" s="492">
        <v>115.413</v>
      </c>
      <c r="CN39" s="493">
        <f t="shared" si="18"/>
        <v>848.50300000000004</v>
      </c>
      <c r="CO39" s="656">
        <v>163.44999999999999</v>
      </c>
      <c r="CP39" s="492">
        <v>248.93</v>
      </c>
      <c r="CQ39" s="492">
        <v>202.601</v>
      </c>
      <c r="CR39" s="492">
        <v>410.91300000000001</v>
      </c>
      <c r="CS39" s="492">
        <v>429.31</v>
      </c>
      <c r="CT39" s="492">
        <v>240.99100000000001</v>
      </c>
      <c r="CU39" s="492">
        <v>79.685000000000002</v>
      </c>
      <c r="CV39" s="492">
        <v>20.274999999999999</v>
      </c>
      <c r="CW39" s="492">
        <v>74.712999999999994</v>
      </c>
      <c r="CX39" s="492">
        <v>138.69999999999999</v>
      </c>
      <c r="CY39" s="492">
        <v>8.1649999999999991</v>
      </c>
      <c r="CZ39" s="492">
        <v>276.786</v>
      </c>
      <c r="DA39" s="493">
        <f t="shared" si="19"/>
        <v>2294.5189999999998</v>
      </c>
      <c r="DB39" s="656">
        <v>21.844999999999999</v>
      </c>
      <c r="DC39" s="492">
        <v>132.46199999999999</v>
      </c>
      <c r="DD39" s="492">
        <v>23.204000000000001</v>
      </c>
      <c r="DE39" s="492">
        <v>36.063000000000002</v>
      </c>
      <c r="DF39" s="492">
        <v>15.662000000000001</v>
      </c>
      <c r="DG39" s="492"/>
      <c r="DH39" s="492"/>
      <c r="DI39" s="492">
        <v>82.671000000000006</v>
      </c>
      <c r="DJ39" s="492">
        <v>31.404</v>
      </c>
      <c r="DK39" s="492"/>
      <c r="DL39" s="492"/>
      <c r="DM39" s="492">
        <v>146.67400000000001</v>
      </c>
      <c r="DN39" s="493">
        <f t="shared" si="20"/>
        <v>489.98500000000001</v>
      </c>
      <c r="DO39" s="656"/>
      <c r="DP39" s="492"/>
      <c r="DQ39" s="492">
        <v>35.174999999999997</v>
      </c>
      <c r="DR39" s="492">
        <v>31.155000000000001</v>
      </c>
      <c r="DS39" s="492">
        <v>1.002</v>
      </c>
      <c r="DT39" s="492">
        <v>1.1000000000000001</v>
      </c>
      <c r="DU39" s="492"/>
      <c r="DV39" s="492"/>
      <c r="DW39" s="492"/>
      <c r="DX39" s="492"/>
      <c r="DY39" s="492">
        <v>2.1930000000000001</v>
      </c>
      <c r="DZ39" s="492">
        <v>3.2709999999999999</v>
      </c>
      <c r="EA39" s="493">
        <f t="shared" si="21"/>
        <v>73.895999999999987</v>
      </c>
      <c r="EB39" s="656">
        <v>6.5876415094339622</v>
      </c>
      <c r="EC39" s="492"/>
      <c r="ED39" s="492"/>
      <c r="EE39" s="492"/>
      <c r="EF39" s="492">
        <v>0.45283018867924502</v>
      </c>
      <c r="EG39" s="492"/>
      <c r="EH39" s="492"/>
      <c r="EI39" s="492">
        <v>1.851</v>
      </c>
      <c r="EJ39" s="492">
        <v>25.56443396226414</v>
      </c>
      <c r="EK39" s="492">
        <v>27.065518867924524</v>
      </c>
      <c r="EL39" s="492">
        <v>134.21767452830187</v>
      </c>
      <c r="EM39" s="492">
        <v>83.662839622641513</v>
      </c>
      <c r="EN39" s="493">
        <f t="shared" si="22"/>
        <v>279.40193867924529</v>
      </c>
      <c r="EO39" s="492"/>
      <c r="EP39" s="492"/>
      <c r="EQ39" s="492"/>
      <c r="ER39" s="492"/>
      <c r="ES39" s="492"/>
      <c r="ET39" s="492"/>
      <c r="EU39" s="492"/>
      <c r="EV39" s="492"/>
      <c r="EW39" s="492"/>
      <c r="EX39" s="492"/>
      <c r="EY39" s="492"/>
      <c r="EZ39" s="492"/>
      <c r="FA39" s="493">
        <f t="shared" si="23"/>
        <v>0</v>
      </c>
      <c r="FC39" s="595">
        <f t="shared" si="24"/>
        <v>2457.7144488731738</v>
      </c>
      <c r="FD39" s="596">
        <f t="shared" si="25"/>
        <v>278.10157339943345</v>
      </c>
      <c r="FE39" s="498">
        <f t="shared" si="26"/>
        <v>73.895999999999987</v>
      </c>
      <c r="FF39" s="597">
        <f t="shared" si="27"/>
        <v>279.40193867924529</v>
      </c>
      <c r="FG39" s="624"/>
      <c r="FH39" s="690"/>
      <c r="FI39" s="551">
        <f t="shared" si="28"/>
        <v>9652.9658773584961</v>
      </c>
      <c r="FJ39" s="491" t="s">
        <v>69</v>
      </c>
      <c r="FK39" s="554" t="str">
        <f t="shared" si="29"/>
        <v>OK</v>
      </c>
    </row>
    <row r="40" spans="1:167" ht="15" customHeight="1" x14ac:dyDescent="0.25">
      <c r="A40" s="610" t="s">
        <v>70</v>
      </c>
      <c r="B40" s="656">
        <v>14.324</v>
      </c>
      <c r="C40" s="492">
        <v>4.7279999999999998</v>
      </c>
      <c r="D40" s="492">
        <v>48</v>
      </c>
      <c r="E40" s="492">
        <v>2</v>
      </c>
      <c r="F40" s="492">
        <v>36</v>
      </c>
      <c r="G40" s="492">
        <v>19</v>
      </c>
      <c r="H40" s="492">
        <v>4</v>
      </c>
      <c r="I40" s="492"/>
      <c r="J40" s="492"/>
      <c r="K40" s="492"/>
      <c r="L40" s="492"/>
      <c r="M40" s="492"/>
      <c r="N40" s="493">
        <f t="shared" si="12"/>
        <v>128.05199999999999</v>
      </c>
      <c r="O40" s="656"/>
      <c r="P40" s="492">
        <v>2</v>
      </c>
      <c r="Q40" s="492">
        <v>8</v>
      </c>
      <c r="R40" s="492">
        <v>3</v>
      </c>
      <c r="S40" s="492"/>
      <c r="T40" s="492"/>
      <c r="U40" s="492">
        <v>25</v>
      </c>
      <c r="V40" s="492"/>
      <c r="W40" s="492"/>
      <c r="X40" s="492"/>
      <c r="Y40" s="492"/>
      <c r="Z40" s="492">
        <v>1</v>
      </c>
      <c r="AA40" s="493">
        <f t="shared" si="13"/>
        <v>39</v>
      </c>
      <c r="AB40" s="656">
        <v>8</v>
      </c>
      <c r="AC40" s="492"/>
      <c r="AD40" s="492">
        <v>60</v>
      </c>
      <c r="AE40" s="492">
        <v>11.782999999999999</v>
      </c>
      <c r="AF40" s="492">
        <v>97.003</v>
      </c>
      <c r="AG40" s="492">
        <v>118</v>
      </c>
      <c r="AH40" s="492">
        <v>144</v>
      </c>
      <c r="AI40" s="492">
        <v>62</v>
      </c>
      <c r="AJ40" s="492">
        <v>46</v>
      </c>
      <c r="AK40" s="492">
        <v>53</v>
      </c>
      <c r="AL40" s="492">
        <v>87</v>
      </c>
      <c r="AM40" s="492">
        <v>17</v>
      </c>
      <c r="AN40" s="493">
        <f t="shared" si="14"/>
        <v>703.78600000000006</v>
      </c>
      <c r="AO40" s="656">
        <v>38</v>
      </c>
      <c r="AP40" s="492">
        <v>64</v>
      </c>
      <c r="AQ40" s="492">
        <v>127</v>
      </c>
      <c r="AR40" s="492">
        <v>11.744999999999999</v>
      </c>
      <c r="AS40" s="492">
        <v>13.551</v>
      </c>
      <c r="AT40" s="492">
        <v>27.277000000000001</v>
      </c>
      <c r="AU40" s="492">
        <v>62.454000000000001</v>
      </c>
      <c r="AV40" s="492">
        <v>84.522000000000006</v>
      </c>
      <c r="AW40" s="492">
        <v>19</v>
      </c>
      <c r="AX40" s="492">
        <v>7</v>
      </c>
      <c r="AY40" s="492">
        <v>2.113</v>
      </c>
      <c r="AZ40" s="492">
        <v>17.757000000000001</v>
      </c>
      <c r="BA40" s="493">
        <f t="shared" si="15"/>
        <v>474.41899999999998</v>
      </c>
      <c r="BB40" s="656">
        <v>71</v>
      </c>
      <c r="BC40" s="492">
        <v>155</v>
      </c>
      <c r="BD40" s="492">
        <v>90</v>
      </c>
      <c r="BE40" s="492">
        <v>34.506999999999998</v>
      </c>
      <c r="BF40" s="492"/>
      <c r="BG40" s="492"/>
      <c r="BH40" s="492"/>
      <c r="BI40" s="492"/>
      <c r="BJ40" s="492"/>
      <c r="BK40" s="492"/>
      <c r="BL40" s="492"/>
      <c r="BM40" s="492"/>
      <c r="BN40" s="493">
        <f t="shared" si="16"/>
        <v>350.50700000000001</v>
      </c>
      <c r="BO40" s="656">
        <v>1238</v>
      </c>
      <c r="BP40" s="492">
        <v>137</v>
      </c>
      <c r="BQ40" s="492">
        <v>111</v>
      </c>
      <c r="BR40" s="492"/>
      <c r="BS40" s="492"/>
      <c r="BT40" s="492">
        <v>84</v>
      </c>
      <c r="BU40" s="492">
        <v>91</v>
      </c>
      <c r="BV40" s="492">
        <v>343</v>
      </c>
      <c r="BW40" s="492">
        <v>191</v>
      </c>
      <c r="BX40" s="492">
        <v>316.51</v>
      </c>
      <c r="BY40" s="492">
        <v>153.28200000000001</v>
      </c>
      <c r="BZ40" s="492">
        <v>265.78199999999998</v>
      </c>
      <c r="CA40" s="493">
        <f t="shared" si="17"/>
        <v>2930.5740000000005</v>
      </c>
      <c r="CB40" s="656">
        <v>186.33</v>
      </c>
      <c r="CC40" s="492">
        <v>807.904</v>
      </c>
      <c r="CD40" s="492">
        <v>554.10299999999995</v>
      </c>
      <c r="CE40" s="492">
        <v>244.95099999999999</v>
      </c>
      <c r="CF40" s="492">
        <v>313.09300000000002</v>
      </c>
      <c r="CG40" s="492">
        <v>300.87799999999999</v>
      </c>
      <c r="CH40" s="492">
        <v>281.327</v>
      </c>
      <c r="CI40" s="492">
        <v>285.30200000000002</v>
      </c>
      <c r="CJ40" s="492">
        <v>263.64999999999998</v>
      </c>
      <c r="CK40" s="492">
        <v>455.03800000000001</v>
      </c>
      <c r="CL40" s="492">
        <v>172.089</v>
      </c>
      <c r="CM40" s="492">
        <v>138.251</v>
      </c>
      <c r="CN40" s="493">
        <f t="shared" si="18"/>
        <v>4002.9160000000006</v>
      </c>
      <c r="CO40" s="656">
        <v>146.94900000000001</v>
      </c>
      <c r="CP40" s="492">
        <v>248.75899999999999</v>
      </c>
      <c r="CQ40" s="492">
        <v>235.51499999999999</v>
      </c>
      <c r="CR40" s="492">
        <v>259.95999999999998</v>
      </c>
      <c r="CS40" s="492">
        <v>279.71800000000002</v>
      </c>
      <c r="CT40" s="492">
        <v>273.91399999999999</v>
      </c>
      <c r="CU40" s="492">
        <v>485.99400000000003</v>
      </c>
      <c r="CV40" s="492">
        <v>395.13</v>
      </c>
      <c r="CW40" s="492">
        <v>325.17899999999997</v>
      </c>
      <c r="CX40" s="492">
        <v>189.066</v>
      </c>
      <c r="CY40" s="492">
        <v>22.242000000000001</v>
      </c>
      <c r="CZ40" s="492">
        <v>142.41</v>
      </c>
      <c r="DA40" s="493">
        <f t="shared" si="19"/>
        <v>3004.8360000000002</v>
      </c>
      <c r="DB40" s="656">
        <v>516.08900000000006</v>
      </c>
      <c r="DC40" s="492">
        <v>194.78100000000001</v>
      </c>
      <c r="DD40" s="492">
        <v>383.18700000000001</v>
      </c>
      <c r="DE40" s="492">
        <v>396.63799999999998</v>
      </c>
      <c r="DF40" s="492">
        <v>180.93199999999999</v>
      </c>
      <c r="DG40" s="492">
        <v>265.01799999999997</v>
      </c>
      <c r="DH40" s="492">
        <v>231.30500000000001</v>
      </c>
      <c r="DI40" s="492">
        <v>299.27699999999999</v>
      </c>
      <c r="DJ40" s="492">
        <v>191.51300000000001</v>
      </c>
      <c r="DK40" s="492">
        <v>59.691000000000003</v>
      </c>
      <c r="DL40" s="492">
        <v>16.710999999999999</v>
      </c>
      <c r="DM40" s="492">
        <v>133.38300000000001</v>
      </c>
      <c r="DN40" s="493">
        <f t="shared" si="20"/>
        <v>2868.5249999999996</v>
      </c>
      <c r="DO40" s="656">
        <v>11.38</v>
      </c>
      <c r="DP40" s="492">
        <v>0.84899999999999998</v>
      </c>
      <c r="DQ40" s="492">
        <v>310.85000000000002</v>
      </c>
      <c r="DR40" s="492">
        <v>221.49</v>
      </c>
      <c r="DS40" s="492">
        <v>250.29900000000001</v>
      </c>
      <c r="DT40" s="492">
        <v>106.1</v>
      </c>
      <c r="DU40" s="492">
        <v>123.4</v>
      </c>
      <c r="DV40" s="492">
        <v>167.48</v>
      </c>
      <c r="DW40" s="492">
        <v>117.58</v>
      </c>
      <c r="DX40" s="492">
        <v>109.29</v>
      </c>
      <c r="DY40" s="492">
        <v>30.026</v>
      </c>
      <c r="DZ40" s="492">
        <v>34.876899999999999</v>
      </c>
      <c r="EA40" s="493">
        <f t="shared" si="21"/>
        <v>1483.6208999999999</v>
      </c>
      <c r="EB40" s="656">
        <v>25.06</v>
      </c>
      <c r="EC40" s="492">
        <v>134.74</v>
      </c>
      <c r="ED40" s="492">
        <v>149.18</v>
      </c>
      <c r="EE40" s="492">
        <v>130.82</v>
      </c>
      <c r="EF40" s="492">
        <v>113</v>
      </c>
      <c r="EG40" s="492">
        <v>250.67</v>
      </c>
      <c r="EH40" s="492">
        <v>254.97499999999999</v>
      </c>
      <c r="EI40" s="492">
        <v>103.663</v>
      </c>
      <c r="EJ40" s="492">
        <v>197.2</v>
      </c>
      <c r="EK40" s="492">
        <v>212</v>
      </c>
      <c r="EL40" s="492">
        <v>158</v>
      </c>
      <c r="EM40" s="492">
        <v>241</v>
      </c>
      <c r="EN40" s="493">
        <f t="shared" si="22"/>
        <v>1970.308</v>
      </c>
      <c r="EO40" s="492"/>
      <c r="EP40" s="492"/>
      <c r="EQ40" s="492"/>
      <c r="ER40" s="492"/>
      <c r="ES40" s="492"/>
      <c r="ET40" s="492"/>
      <c r="EU40" s="492"/>
      <c r="EV40" s="492"/>
      <c r="EW40" s="492"/>
      <c r="EX40" s="492"/>
      <c r="EY40" s="492"/>
      <c r="EZ40" s="492"/>
      <c r="FA40" s="493">
        <f t="shared" si="23"/>
        <v>0</v>
      </c>
      <c r="FC40" s="595">
        <f t="shared" si="24"/>
        <v>591.0017805481566</v>
      </c>
      <c r="FD40" s="596">
        <f t="shared" si="25"/>
        <v>32.804006737839856</v>
      </c>
      <c r="FE40" s="498">
        <f t="shared" si="26"/>
        <v>1483.6208999999999</v>
      </c>
      <c r="FF40" s="597">
        <f t="shared" si="27"/>
        <v>1970.308</v>
      </c>
      <c r="FG40" s="624"/>
      <c r="FH40" s="690"/>
      <c r="FI40" s="551">
        <f t="shared" si="28"/>
        <v>35913.087799999994</v>
      </c>
      <c r="FJ40" s="491" t="s">
        <v>70</v>
      </c>
      <c r="FK40" s="554" t="str">
        <f t="shared" si="29"/>
        <v>OK</v>
      </c>
    </row>
    <row r="41" spans="1:167" s="110" customFormat="1" ht="15" customHeight="1" x14ac:dyDescent="0.25">
      <c r="A41" s="691" t="s">
        <v>646</v>
      </c>
      <c r="B41" s="692">
        <f>5137-3641</f>
        <v>1496</v>
      </c>
      <c r="C41" s="557">
        <f>5195-3764</f>
        <v>1431</v>
      </c>
      <c r="D41" s="557">
        <f>6006-4134</f>
        <v>1872</v>
      </c>
      <c r="E41" s="557">
        <f>5719-3420</f>
        <v>2299</v>
      </c>
      <c r="F41" s="557">
        <f>5733-2800</f>
        <v>2933</v>
      </c>
      <c r="G41" s="557">
        <f>6385-3255</f>
        <v>3130</v>
      </c>
      <c r="H41" s="557">
        <f>5033-2580</f>
        <v>2453</v>
      </c>
      <c r="I41" s="557">
        <f>3160-1858</f>
        <v>1302</v>
      </c>
      <c r="J41" s="557">
        <f>5433-3511</f>
        <v>1922</v>
      </c>
      <c r="K41" s="557">
        <f>9198-6733</f>
        <v>2465</v>
      </c>
      <c r="L41" s="557">
        <f>8124-7143</f>
        <v>981</v>
      </c>
      <c r="M41" s="557">
        <f>9374-7602</f>
        <v>1772</v>
      </c>
      <c r="N41" s="516">
        <f t="shared" si="12"/>
        <v>24056</v>
      </c>
      <c r="O41" s="692">
        <f>9032-7222</f>
        <v>1810</v>
      </c>
      <c r="P41" s="557">
        <f>8139-6576</f>
        <v>1563</v>
      </c>
      <c r="Q41" s="557">
        <f>6508-4039</f>
        <v>2469</v>
      </c>
      <c r="R41" s="557">
        <f>6691-4528</f>
        <v>2163</v>
      </c>
      <c r="S41" s="557">
        <f>5764-4407</f>
        <v>1357</v>
      </c>
      <c r="T41" s="557">
        <f>4259-3401</f>
        <v>858</v>
      </c>
      <c r="U41" s="557">
        <f>5453-4428</f>
        <v>1025</v>
      </c>
      <c r="V41" s="557">
        <f>2920-2214</f>
        <v>706</v>
      </c>
      <c r="W41" s="557">
        <f>2573-1909</f>
        <v>664</v>
      </c>
      <c r="X41" s="557">
        <f>4558-3901</f>
        <v>657</v>
      </c>
      <c r="Y41" s="557">
        <f>4604-3825</f>
        <v>779</v>
      </c>
      <c r="Z41" s="557">
        <f>9148-7530</f>
        <v>1618</v>
      </c>
      <c r="AA41" s="516">
        <f t="shared" si="13"/>
        <v>15669</v>
      </c>
      <c r="AB41" s="692">
        <f>9545-7436</f>
        <v>2109</v>
      </c>
      <c r="AC41" s="557">
        <f>11225-9578</f>
        <v>1647</v>
      </c>
      <c r="AD41" s="557">
        <f>9770-7800</f>
        <v>1970</v>
      </c>
      <c r="AE41" s="557">
        <f>8428-6760</f>
        <v>1668</v>
      </c>
      <c r="AF41" s="557">
        <f>9796-7749</f>
        <v>2047</v>
      </c>
      <c r="AG41" s="557">
        <f>7619-5688</f>
        <v>1931</v>
      </c>
      <c r="AH41" s="557">
        <f>5181-3929</f>
        <v>1252</v>
      </c>
      <c r="AI41" s="557">
        <f>9511-8105</f>
        <v>1406</v>
      </c>
      <c r="AJ41" s="557">
        <f>14484-12957</f>
        <v>1527</v>
      </c>
      <c r="AK41" s="557">
        <f>18502-15924</f>
        <v>2578</v>
      </c>
      <c r="AL41" s="557">
        <f>17789-15932</f>
        <v>1857</v>
      </c>
      <c r="AM41" s="557">
        <f>21814-19208</f>
        <v>2606</v>
      </c>
      <c r="AN41" s="516">
        <f t="shared" si="14"/>
        <v>22598</v>
      </c>
      <c r="AO41" s="692">
        <v>2891.0640000000058</v>
      </c>
      <c r="AP41" s="557">
        <v>3282.9760000000097</v>
      </c>
      <c r="AQ41" s="557">
        <v>4230.5750000000007</v>
      </c>
      <c r="AR41" s="557">
        <v>4576.6459999999934</v>
      </c>
      <c r="AS41" s="557">
        <v>2733.2329999999984</v>
      </c>
      <c r="AT41" s="557">
        <v>2052.4249999999956</v>
      </c>
      <c r="AU41" s="557">
        <v>3453.8800000000047</v>
      </c>
      <c r="AV41" s="557">
        <v>4007.2789999999986</v>
      </c>
      <c r="AW41" s="557">
        <v>4313.6029999999973</v>
      </c>
      <c r="AX41" s="557">
        <v>3929.4290000000183</v>
      </c>
      <c r="AY41" s="557">
        <v>3298.6970000000038</v>
      </c>
      <c r="AZ41" s="557">
        <v>4152.1959999999999</v>
      </c>
      <c r="BA41" s="516">
        <f t="shared" si="15"/>
        <v>42922.003000000026</v>
      </c>
      <c r="BB41" s="692">
        <f>21151-13919</f>
        <v>7232</v>
      </c>
      <c r="BC41" s="557">
        <f>20454-14395</f>
        <v>6059</v>
      </c>
      <c r="BD41" s="557">
        <f>21720-15303</f>
        <v>6417</v>
      </c>
      <c r="BE41" s="557">
        <f>49322-45918</f>
        <v>3404</v>
      </c>
      <c r="BF41" s="557">
        <f>5478-3079</f>
        <v>2399</v>
      </c>
      <c r="BG41" s="557">
        <f>6362-3952</f>
        <v>2410</v>
      </c>
      <c r="BH41" s="557">
        <f>4725-2668</f>
        <v>2057</v>
      </c>
      <c r="BI41" s="557">
        <f>4264-2326</f>
        <v>1938</v>
      </c>
      <c r="BJ41" s="557">
        <f>4226-2417</f>
        <v>1809</v>
      </c>
      <c r="BK41" s="557">
        <f>4452-2673</f>
        <v>1779</v>
      </c>
      <c r="BL41" s="557">
        <f>3562-2434</f>
        <v>1128</v>
      </c>
      <c r="BM41" s="557">
        <f>4342-2370</f>
        <v>1972</v>
      </c>
      <c r="BN41" s="516">
        <f t="shared" si="16"/>
        <v>38604</v>
      </c>
      <c r="BO41" s="692">
        <v>19089</v>
      </c>
      <c r="BP41" s="557">
        <v>4776</v>
      </c>
      <c r="BQ41" s="557">
        <v>27974</v>
      </c>
      <c r="BR41" s="557"/>
      <c r="BS41" s="557">
        <v>639</v>
      </c>
      <c r="BT41" s="557">
        <v>19811</v>
      </c>
      <c r="BU41" s="557">
        <v>7570</v>
      </c>
      <c r="BV41" s="557">
        <v>7782</v>
      </c>
      <c r="BW41" s="557">
        <f>2288+12257+1703+140+506+265+1449+31+19+297</f>
        <v>18955</v>
      </c>
      <c r="BX41" s="557">
        <v>15546.003000000001</v>
      </c>
      <c r="BY41" s="557">
        <v>16217.905000000001</v>
      </c>
      <c r="BZ41" s="557">
        <v>13760.806</v>
      </c>
      <c r="CA41" s="516">
        <f t="shared" si="17"/>
        <v>152120.71400000001</v>
      </c>
      <c r="CB41" s="692">
        <v>10059.794</v>
      </c>
      <c r="CC41" s="557">
        <v>21923.17</v>
      </c>
      <c r="CD41" s="557">
        <f>12226.778-158</f>
        <v>12068.778</v>
      </c>
      <c r="CE41" s="557">
        <v>11503.817999999999</v>
      </c>
      <c r="CF41" s="557">
        <v>11661.333000000001</v>
      </c>
      <c r="CG41" s="557">
        <f>12056.912-208.817</f>
        <v>11848.095000000001</v>
      </c>
      <c r="CH41" s="557">
        <v>12000.721</v>
      </c>
      <c r="CI41" s="557">
        <v>11356.052</v>
      </c>
      <c r="CJ41" s="557">
        <v>12840.636</v>
      </c>
      <c r="CK41" s="557">
        <v>13261.009</v>
      </c>
      <c r="CL41" s="557">
        <f>35144-24288</f>
        <v>10856</v>
      </c>
      <c r="CM41" s="557">
        <f>37020-25893</f>
        <v>11127</v>
      </c>
      <c r="CN41" s="516">
        <f t="shared" si="18"/>
        <v>150506.40600000002</v>
      </c>
      <c r="CO41" s="692">
        <f>34062-23795</f>
        <v>10267</v>
      </c>
      <c r="CP41" s="557">
        <f>35612-25137</f>
        <v>10475</v>
      </c>
      <c r="CQ41" s="557">
        <f>40776-27665</f>
        <v>13111</v>
      </c>
      <c r="CR41" s="557">
        <f>34677-22624</f>
        <v>12053</v>
      </c>
      <c r="CS41" s="557">
        <f>38055-24082</f>
        <v>13973</v>
      </c>
      <c r="CT41" s="557">
        <f>33038.523-21013</f>
        <v>12025.523000000001</v>
      </c>
      <c r="CU41" s="557">
        <f>30181-18967</f>
        <v>11214</v>
      </c>
      <c r="CV41" s="557">
        <f>69419-48235</f>
        <v>21184</v>
      </c>
      <c r="CW41" s="557">
        <f>38908-26169</f>
        <v>12739</v>
      </c>
      <c r="CX41" s="557">
        <f>32419-18776</f>
        <v>13643</v>
      </c>
      <c r="CY41" s="557">
        <f>4679-4056</f>
        <v>623</v>
      </c>
      <c r="CZ41" s="557">
        <f>50839-39138</f>
        <v>11701</v>
      </c>
      <c r="DA41" s="516">
        <f t="shared" si="19"/>
        <v>143008.52299999999</v>
      </c>
      <c r="DB41" s="692">
        <v>7113.2479999999996</v>
      </c>
      <c r="DC41" s="557">
        <v>27195.463</v>
      </c>
      <c r="DD41" s="557">
        <v>24488.388999999999</v>
      </c>
      <c r="DE41" s="557">
        <f>8963-294</f>
        <v>8669</v>
      </c>
      <c r="DF41" s="557">
        <f>23844-16169</f>
        <v>7675</v>
      </c>
      <c r="DG41" s="557">
        <f>17370-11911</f>
        <v>5459</v>
      </c>
      <c r="DH41" s="557">
        <f>14672-9225</f>
        <v>5447</v>
      </c>
      <c r="DI41" s="557">
        <f>15359-9872</f>
        <v>5487</v>
      </c>
      <c r="DJ41" s="557">
        <f>17052-11609</f>
        <v>5443</v>
      </c>
      <c r="DK41" s="557">
        <f>24323-10024</f>
        <v>14299</v>
      </c>
      <c r="DL41" s="557">
        <f>49356-17795</f>
        <v>31561</v>
      </c>
      <c r="DM41" s="557">
        <f>16626-13137</f>
        <v>3489</v>
      </c>
      <c r="DN41" s="516">
        <f t="shared" si="20"/>
        <v>146326.09999999998</v>
      </c>
      <c r="DO41" s="692">
        <f>3723.618-2471</f>
        <v>1252.6179999999999</v>
      </c>
      <c r="DP41" s="557">
        <f>2806-1420</f>
        <v>1386</v>
      </c>
      <c r="DQ41" s="557">
        <f>37242-24515</f>
        <v>12727</v>
      </c>
      <c r="DR41" s="557">
        <f>11388.5-7608</f>
        <v>3780.5</v>
      </c>
      <c r="DS41" s="557">
        <f>11377-9381</f>
        <v>1996</v>
      </c>
      <c r="DT41" s="557">
        <f>8555.3-5693</f>
        <v>2862.2999999999993</v>
      </c>
      <c r="DU41" s="557">
        <f>9983.6-7016</f>
        <v>2967.6000000000004</v>
      </c>
      <c r="DV41" s="557">
        <f>17202-5475</f>
        <v>11727</v>
      </c>
      <c r="DW41" s="557">
        <f>18027-5448</f>
        <v>12579</v>
      </c>
      <c r="DX41" s="557">
        <v>4033.5</v>
      </c>
      <c r="DY41" s="557">
        <f>10049.993-6319</f>
        <v>3730.9930000000004</v>
      </c>
      <c r="DZ41" s="557">
        <f>19022.416-4909</f>
        <v>14113.416000000001</v>
      </c>
      <c r="EA41" s="516">
        <f t="shared" si="21"/>
        <v>73155.927000000011</v>
      </c>
      <c r="EB41" s="692">
        <v>8576.8555689230107</v>
      </c>
      <c r="EC41" s="557">
        <v>6889.9089973584778</v>
      </c>
      <c r="ED41" s="557">
        <v>6591.0216657299752</v>
      </c>
      <c r="EE41" s="557">
        <v>7784.4080662223914</v>
      </c>
      <c r="EF41" s="557">
        <v>7700.1509833523578</v>
      </c>
      <c r="EG41" s="557">
        <v>5622.6854286387133</v>
      </c>
      <c r="EH41" s="557">
        <v>3991.1057954715852</v>
      </c>
      <c r="EI41" s="557">
        <v>6384.8425518142103</v>
      </c>
      <c r="EJ41" s="557">
        <v>7218.0537481160172</v>
      </c>
      <c r="EK41" s="557">
        <v>7933.7317557448514</v>
      </c>
      <c r="EL41" s="557">
        <v>7198.0142382765334</v>
      </c>
      <c r="EM41" s="557">
        <v>9231.3501560032491</v>
      </c>
      <c r="EN41" s="516">
        <f t="shared" si="22"/>
        <v>85122.12895565138</v>
      </c>
      <c r="EO41" s="557"/>
      <c r="EP41" s="557"/>
      <c r="EQ41" s="557"/>
      <c r="ER41" s="557"/>
      <c r="ES41" s="557"/>
      <c r="ET41" s="557"/>
      <c r="EU41" s="557"/>
      <c r="EV41" s="557"/>
      <c r="EW41" s="557"/>
      <c r="EX41" s="557"/>
      <c r="EY41" s="557"/>
      <c r="EZ41" s="557"/>
      <c r="FA41" s="516">
        <f t="shared" si="23"/>
        <v>0</v>
      </c>
      <c r="FC41" s="518">
        <f t="shared" si="24"/>
        <v>-34.591666850865529</v>
      </c>
      <c r="FD41" s="519">
        <f t="shared" ref="FD41" si="30">IFERROR(((FF41/FE41)-1)*100,"")</f>
        <v>16.357118891612664</v>
      </c>
      <c r="FE41" s="520">
        <f t="shared" si="26"/>
        <v>73155.927000000011</v>
      </c>
      <c r="FF41" s="521">
        <f t="shared" si="27"/>
        <v>85122.12895565138</v>
      </c>
      <c r="FG41" s="625"/>
      <c r="FH41" s="693"/>
      <c r="FI41" s="520"/>
      <c r="FJ41" s="695"/>
      <c r="FK41" s="523"/>
    </row>
    <row r="42" spans="1:167" ht="15" customHeight="1" x14ac:dyDescent="0.25">
      <c r="A42" s="612"/>
      <c r="B42" s="696"/>
      <c r="C42" s="613"/>
      <c r="D42" s="613"/>
      <c r="E42" s="613"/>
      <c r="F42" s="613"/>
      <c r="G42" s="613"/>
      <c r="H42" s="613"/>
      <c r="I42" s="613"/>
      <c r="J42" s="613"/>
      <c r="K42" s="613"/>
      <c r="L42" s="613"/>
      <c r="M42" s="613"/>
      <c r="N42" s="577"/>
      <c r="O42" s="696"/>
      <c r="P42" s="613"/>
      <c r="Q42" s="613"/>
      <c r="R42" s="613"/>
      <c r="S42" s="613"/>
      <c r="T42" s="613"/>
      <c r="U42" s="613"/>
      <c r="V42" s="613"/>
      <c r="W42" s="613"/>
      <c r="X42" s="613"/>
      <c r="Y42" s="613"/>
      <c r="Z42" s="613"/>
      <c r="AA42" s="577"/>
      <c r="AB42" s="696"/>
      <c r="AC42" s="613"/>
      <c r="AD42" s="613"/>
      <c r="AE42" s="613"/>
      <c r="AF42" s="613"/>
      <c r="AG42" s="613"/>
      <c r="AH42" s="613"/>
      <c r="AI42" s="613"/>
      <c r="AJ42" s="613"/>
      <c r="AK42" s="613"/>
      <c r="AL42" s="613"/>
      <c r="AM42" s="613"/>
      <c r="AN42" s="577"/>
      <c r="AO42" s="696"/>
      <c r="AP42" s="613"/>
      <c r="AQ42" s="613"/>
      <c r="AR42" s="613"/>
      <c r="AS42" s="613"/>
      <c r="AT42" s="613"/>
      <c r="AU42" s="613"/>
      <c r="AV42" s="613"/>
      <c r="AW42" s="613"/>
      <c r="AX42" s="613"/>
      <c r="AY42" s="613"/>
      <c r="AZ42" s="613"/>
      <c r="BA42" s="577"/>
      <c r="BB42" s="696"/>
      <c r="BC42" s="613"/>
      <c r="BD42" s="613"/>
      <c r="BE42" s="613"/>
      <c r="BF42" s="613"/>
      <c r="BG42" s="613"/>
      <c r="BH42" s="613"/>
      <c r="BI42" s="613"/>
      <c r="BJ42" s="613"/>
      <c r="BK42" s="613"/>
      <c r="BL42" s="613"/>
      <c r="BM42" s="613"/>
      <c r="BN42" s="577"/>
      <c r="BO42" s="696"/>
      <c r="BP42" s="613"/>
      <c r="BQ42" s="613"/>
      <c r="BR42" s="613"/>
      <c r="BS42" s="613"/>
      <c r="BT42" s="613"/>
      <c r="BU42" s="613"/>
      <c r="BV42" s="613"/>
      <c r="BW42" s="613"/>
      <c r="BX42" s="613"/>
      <c r="BY42" s="613"/>
      <c r="BZ42" s="613"/>
      <c r="CA42" s="577"/>
      <c r="CB42" s="696"/>
      <c r="CC42" s="613"/>
      <c r="CD42" s="613"/>
      <c r="CE42" s="613"/>
      <c r="CF42" s="613"/>
      <c r="CG42" s="613"/>
      <c r="CH42" s="613"/>
      <c r="CI42" s="613"/>
      <c r="CJ42" s="613"/>
      <c r="CK42" s="613"/>
      <c r="CL42" s="613"/>
      <c r="CM42" s="613"/>
      <c r="CN42" s="577"/>
      <c r="CO42" s="696"/>
      <c r="CP42" s="613"/>
      <c r="CQ42" s="613"/>
      <c r="CR42" s="613"/>
      <c r="CS42" s="613"/>
      <c r="CT42" s="613"/>
      <c r="CU42" s="613"/>
      <c r="CV42" s="613"/>
      <c r="CW42" s="613"/>
      <c r="CX42" s="613"/>
      <c r="CY42" s="613"/>
      <c r="CZ42" s="613"/>
      <c r="DA42" s="577"/>
      <c r="DB42" s="696"/>
      <c r="DC42" s="613"/>
      <c r="DD42" s="613"/>
      <c r="DE42" s="613"/>
      <c r="DF42" s="613"/>
      <c r="DG42" s="613"/>
      <c r="DH42" s="613"/>
      <c r="DI42" s="613"/>
      <c r="DJ42" s="613"/>
      <c r="DK42" s="613"/>
      <c r="DL42" s="613"/>
      <c r="DM42" s="613"/>
      <c r="DN42" s="577"/>
      <c r="DO42" s="696"/>
      <c r="DP42" s="613"/>
      <c r="DQ42" s="613"/>
      <c r="DR42" s="613"/>
      <c r="DS42" s="613"/>
      <c r="DT42" s="613"/>
      <c r="DU42" s="613"/>
      <c r="DV42" s="613"/>
      <c r="DW42" s="613"/>
      <c r="DX42" s="613"/>
      <c r="DY42" s="613"/>
      <c r="DZ42" s="613"/>
      <c r="EA42" s="577"/>
      <c r="EB42" s="696"/>
      <c r="EC42" s="613"/>
      <c r="ED42" s="613"/>
      <c r="EE42" s="613"/>
      <c r="EF42" s="613"/>
      <c r="EG42" s="613"/>
      <c r="EH42" s="613"/>
      <c r="EI42" s="613"/>
      <c r="EJ42" s="613"/>
      <c r="EK42" s="613"/>
      <c r="EL42" s="613"/>
      <c r="EM42" s="613"/>
      <c r="EN42" s="577"/>
      <c r="EO42" s="613"/>
      <c r="EP42" s="613"/>
      <c r="EQ42" s="613"/>
      <c r="ER42" s="613"/>
      <c r="ES42" s="613"/>
      <c r="ET42" s="613"/>
      <c r="EU42" s="613"/>
      <c r="EV42" s="613"/>
      <c r="EW42" s="613"/>
      <c r="EX42" s="613"/>
      <c r="EY42" s="613"/>
      <c r="EZ42" s="613"/>
      <c r="FA42" s="577"/>
      <c r="FC42" s="614"/>
      <c r="FD42" s="615"/>
      <c r="FE42" s="616"/>
      <c r="FF42" s="617"/>
      <c r="FG42" s="624"/>
      <c r="FH42" s="690"/>
      <c r="FI42" s="697"/>
      <c r="FJ42" s="698"/>
      <c r="FK42" s="699"/>
    </row>
    <row r="43" spans="1:167" ht="15" customHeight="1" x14ac:dyDescent="0.25">
      <c r="A43" s="586" t="s">
        <v>323</v>
      </c>
      <c r="B43" s="624"/>
      <c r="C43" s="624"/>
      <c r="D43" s="624"/>
      <c r="E43" s="624"/>
      <c r="F43" s="624"/>
      <c r="G43" s="624"/>
      <c r="H43" s="624"/>
      <c r="I43" s="624"/>
      <c r="J43" s="624"/>
      <c r="K43" s="624"/>
      <c r="L43" s="624"/>
      <c r="M43" s="624"/>
      <c r="N43" s="624"/>
      <c r="O43" s="624"/>
      <c r="P43" s="624"/>
      <c r="Q43" s="624"/>
      <c r="R43" s="624"/>
      <c r="S43" s="624"/>
      <c r="T43" s="624"/>
      <c r="U43" s="624"/>
      <c r="V43" s="624"/>
      <c r="W43" s="624"/>
      <c r="X43" s="624"/>
      <c r="Y43" s="624"/>
      <c r="Z43" s="624"/>
      <c r="AA43" s="624"/>
      <c r="AB43" s="624"/>
      <c r="AC43" s="624"/>
      <c r="AD43" s="624"/>
      <c r="AE43" s="624"/>
      <c r="AF43" s="624"/>
      <c r="AG43" s="624"/>
      <c r="AH43" s="624"/>
      <c r="AI43" s="624"/>
      <c r="AJ43" s="624"/>
      <c r="AK43" s="624"/>
      <c r="AL43" s="624"/>
      <c r="AM43" s="624"/>
      <c r="AN43" s="624"/>
      <c r="AO43" s="624"/>
      <c r="AP43" s="624"/>
      <c r="AQ43" s="624"/>
      <c r="AR43" s="624"/>
      <c r="AS43" s="624"/>
      <c r="AT43" s="624"/>
      <c r="AU43" s="624"/>
      <c r="AV43" s="624"/>
      <c r="AW43" s="624"/>
      <c r="AX43" s="624"/>
      <c r="AY43" s="624"/>
      <c r="AZ43" s="624"/>
      <c r="BA43" s="624"/>
      <c r="BB43" s="624"/>
      <c r="BC43" s="624"/>
      <c r="BD43" s="624"/>
      <c r="BE43" s="624"/>
      <c r="BF43" s="624"/>
      <c r="BG43" s="624"/>
      <c r="BH43" s="624"/>
      <c r="BI43" s="624"/>
      <c r="BJ43" s="624"/>
      <c r="BK43" s="624"/>
      <c r="BL43" s="624"/>
      <c r="BM43" s="624"/>
      <c r="BN43" s="624"/>
      <c r="BO43" s="624"/>
      <c r="BP43" s="624"/>
      <c r="BQ43" s="624"/>
      <c r="BR43" s="624"/>
      <c r="BS43" s="624"/>
      <c r="BT43" s="624"/>
      <c r="BU43" s="624"/>
      <c r="BV43" s="624"/>
      <c r="BW43" s="624"/>
      <c r="BX43" s="624"/>
      <c r="BY43" s="624"/>
      <c r="BZ43" s="624"/>
      <c r="CA43" s="624"/>
      <c r="CB43" s="624"/>
      <c r="CC43" s="624"/>
      <c r="CD43" s="624"/>
      <c r="CE43" s="624"/>
      <c r="CF43" s="624"/>
      <c r="CG43" s="624"/>
      <c r="CH43" s="624"/>
      <c r="CI43" s="624"/>
      <c r="CJ43" s="624"/>
      <c r="CK43" s="624"/>
      <c r="CL43" s="624"/>
      <c r="CM43" s="624"/>
      <c r="CN43" s="624"/>
      <c r="CO43" s="624"/>
      <c r="CP43" s="624"/>
      <c r="CQ43" s="624"/>
      <c r="CR43" s="624"/>
      <c r="CS43" s="624"/>
      <c r="CT43" s="624"/>
      <c r="CU43" s="624"/>
      <c r="CV43" s="624"/>
      <c r="CW43" s="624"/>
      <c r="CX43" s="624"/>
      <c r="CY43" s="624"/>
      <c r="CZ43" s="624"/>
      <c r="DA43" s="624"/>
      <c r="DB43" s="624"/>
      <c r="DC43" s="624"/>
      <c r="DD43" s="624"/>
      <c r="DE43" s="624"/>
      <c r="DF43" s="624"/>
      <c r="DG43" s="624"/>
      <c r="DH43" s="624"/>
      <c r="DI43" s="624"/>
      <c r="DJ43" s="624"/>
      <c r="DK43" s="624"/>
      <c r="DL43" s="624"/>
      <c r="DM43" s="624"/>
      <c r="DN43" s="624"/>
      <c r="DO43" s="624"/>
      <c r="DP43" s="624"/>
      <c r="DQ43" s="624"/>
      <c r="DR43" s="624"/>
      <c r="DS43" s="624"/>
      <c r="DT43" s="624"/>
      <c r="DU43" s="624"/>
      <c r="DV43" s="624"/>
      <c r="DW43" s="624"/>
      <c r="DX43" s="624"/>
      <c r="DY43" s="624"/>
      <c r="DZ43" s="624"/>
      <c r="EA43" s="624"/>
      <c r="EB43" s="624"/>
      <c r="EC43" s="624"/>
      <c r="ED43" s="624"/>
      <c r="EE43" s="624"/>
      <c r="EF43" s="624"/>
      <c r="EG43" s="624"/>
      <c r="EH43" s="624"/>
      <c r="EI43" s="624"/>
      <c r="EJ43" s="624"/>
      <c r="EK43" s="624"/>
      <c r="EL43" s="624"/>
      <c r="EM43" s="624"/>
      <c r="EN43" s="624"/>
      <c r="EO43" s="624"/>
      <c r="EP43" s="624"/>
      <c r="EQ43" s="624"/>
      <c r="ER43" s="624"/>
      <c r="ES43" s="624"/>
      <c r="ET43" s="624"/>
      <c r="EU43" s="624"/>
      <c r="EV43" s="624"/>
      <c r="EW43" s="624"/>
      <c r="EX43" s="624"/>
      <c r="EY43" s="624"/>
      <c r="EZ43" s="624"/>
      <c r="FA43" s="624"/>
      <c r="FC43" s="624"/>
      <c r="FD43" s="624"/>
      <c r="FE43" s="624"/>
      <c r="FF43" s="624"/>
      <c r="FG43" s="624"/>
      <c r="FH43" s="621"/>
      <c r="FI43" s="621"/>
      <c r="FJ43" s="621"/>
    </row>
    <row r="44" spans="1:167" ht="15" customHeight="1" x14ac:dyDescent="0.25">
      <c r="A44" s="586" t="s">
        <v>162</v>
      </c>
      <c r="B44" s="624"/>
      <c r="C44" s="624"/>
      <c r="D44" s="624"/>
      <c r="E44" s="624"/>
      <c r="F44" s="624"/>
      <c r="G44" s="624"/>
      <c r="H44" s="624"/>
      <c r="I44" s="624"/>
      <c r="J44" s="624"/>
      <c r="K44" s="624"/>
      <c r="L44" s="624"/>
      <c r="M44" s="624"/>
      <c r="N44" s="624"/>
      <c r="O44" s="624"/>
      <c r="P44" s="624"/>
      <c r="Q44" s="624"/>
      <c r="R44" s="624"/>
      <c r="S44" s="624"/>
      <c r="T44" s="624"/>
      <c r="U44" s="624"/>
      <c r="V44" s="624"/>
      <c r="W44" s="624"/>
      <c r="X44" s="624"/>
      <c r="Y44" s="624"/>
      <c r="Z44" s="624"/>
      <c r="AA44" s="624"/>
      <c r="AB44" s="624"/>
      <c r="AC44" s="624"/>
      <c r="AD44" s="624"/>
      <c r="AE44" s="624"/>
      <c r="AF44" s="624"/>
      <c r="AG44" s="624"/>
      <c r="AH44" s="624"/>
      <c r="AI44" s="624"/>
      <c r="AJ44" s="624"/>
      <c r="AK44" s="624"/>
      <c r="AL44" s="624"/>
      <c r="AM44" s="624"/>
      <c r="AN44" s="624"/>
      <c r="AO44" s="624"/>
      <c r="AP44" s="624"/>
      <c r="AQ44" s="624"/>
      <c r="AR44" s="624"/>
      <c r="AS44" s="624"/>
      <c r="AT44" s="624"/>
      <c r="AU44" s="624"/>
      <c r="AV44" s="624"/>
      <c r="AW44" s="624"/>
      <c r="AX44" s="624"/>
      <c r="AY44" s="624"/>
      <c r="AZ44" s="624"/>
      <c r="BA44" s="624"/>
      <c r="BB44" s="624"/>
      <c r="BC44" s="624"/>
      <c r="BD44" s="624"/>
      <c r="BE44" s="624"/>
      <c r="BF44" s="624"/>
      <c r="BG44" s="624"/>
      <c r="BH44" s="624"/>
      <c r="BI44" s="624"/>
      <c r="BJ44" s="624"/>
      <c r="BK44" s="624"/>
      <c r="BL44" s="624"/>
      <c r="BM44" s="624"/>
      <c r="BN44" s="624"/>
      <c r="BO44" s="624"/>
      <c r="BP44" s="624"/>
      <c r="BQ44" s="624"/>
      <c r="BR44" s="624"/>
      <c r="BS44" s="624"/>
      <c r="BT44" s="624"/>
      <c r="BU44" s="624"/>
      <c r="BV44" s="624"/>
      <c r="BW44" s="624"/>
      <c r="BX44" s="624"/>
      <c r="BY44" s="624"/>
      <c r="BZ44" s="624"/>
      <c r="CA44" s="624"/>
      <c r="CB44" s="624"/>
      <c r="CC44" s="624"/>
      <c r="CD44" s="624"/>
      <c r="CE44" s="624"/>
      <c r="CF44" s="624"/>
      <c r="CG44" s="624"/>
      <c r="CH44" s="624"/>
      <c r="CI44" s="624"/>
      <c r="CJ44" s="624"/>
      <c r="CK44" s="624"/>
      <c r="CL44" s="624"/>
      <c r="CM44" s="624"/>
      <c r="CN44" s="624"/>
      <c r="CO44" s="624"/>
      <c r="CP44" s="624"/>
      <c r="CQ44" s="624"/>
      <c r="CR44" s="624"/>
      <c r="CS44" s="624"/>
      <c r="CT44" s="624"/>
      <c r="CU44" s="624"/>
      <c r="CV44" s="624"/>
      <c r="CW44" s="624"/>
      <c r="CX44" s="624"/>
      <c r="CY44" s="624"/>
      <c r="CZ44" s="624"/>
      <c r="DA44" s="624"/>
      <c r="DB44" s="624"/>
      <c r="DC44" s="624"/>
      <c r="DD44" s="624"/>
      <c r="DE44" s="624"/>
      <c r="DF44" s="624"/>
      <c r="DG44" s="624"/>
      <c r="DH44" s="624"/>
      <c r="DI44" s="624"/>
      <c r="DJ44" s="624"/>
      <c r="DK44" s="624"/>
      <c r="DL44" s="624"/>
      <c r="DM44" s="624"/>
      <c r="DN44" s="624"/>
      <c r="DO44" s="624"/>
      <c r="DP44" s="624"/>
      <c r="DQ44" s="624"/>
      <c r="DR44" s="624"/>
      <c r="DS44" s="624"/>
      <c r="DT44" s="624"/>
      <c r="DU44" s="624"/>
      <c r="DV44" s="624"/>
      <c r="DW44" s="624"/>
      <c r="DX44" s="624"/>
      <c r="DY44" s="624"/>
      <c r="DZ44" s="624"/>
      <c r="EA44" s="624"/>
      <c r="EB44" s="624"/>
      <c r="EC44" s="624"/>
      <c r="ED44" s="624"/>
      <c r="EE44" s="624"/>
      <c r="EF44" s="624"/>
      <c r="EG44" s="624"/>
      <c r="EH44" s="624"/>
      <c r="EI44" s="624"/>
      <c r="EJ44" s="624"/>
      <c r="EK44" s="624"/>
      <c r="EL44" s="624"/>
      <c r="EM44" s="624"/>
      <c r="EN44" s="624"/>
      <c r="EO44" s="624"/>
      <c r="EP44" s="624"/>
      <c r="EQ44" s="624"/>
      <c r="ER44" s="624"/>
      <c r="ES44" s="624"/>
      <c r="ET44" s="624"/>
      <c r="EU44" s="624"/>
      <c r="EV44" s="624"/>
      <c r="EW44" s="624"/>
      <c r="EX44" s="624"/>
      <c r="EY44" s="624"/>
      <c r="EZ44" s="624"/>
      <c r="FA44" s="624"/>
      <c r="FC44" s="624"/>
      <c r="FD44" s="624"/>
      <c r="FE44" s="624"/>
      <c r="FF44" s="624"/>
      <c r="FG44" s="624"/>
      <c r="FH44" s="621"/>
      <c r="FI44" s="621"/>
      <c r="FJ44" s="621"/>
    </row>
    <row r="45" spans="1:167" ht="15" customHeight="1" x14ac:dyDescent="0.25">
      <c r="A45" s="700"/>
      <c r="B45" s="624"/>
      <c r="C45" s="624"/>
      <c r="D45" s="624"/>
      <c r="E45" s="624"/>
      <c r="F45" s="624"/>
      <c r="G45" s="624"/>
      <c r="H45" s="624"/>
      <c r="I45" s="624"/>
      <c r="J45" s="624"/>
      <c r="K45" s="624"/>
      <c r="L45" s="624"/>
      <c r="M45" s="624"/>
      <c r="N45" s="624"/>
      <c r="O45" s="624"/>
      <c r="P45" s="624"/>
      <c r="Q45" s="624"/>
      <c r="R45" s="624"/>
      <c r="S45" s="624"/>
      <c r="T45" s="624"/>
      <c r="U45" s="624"/>
      <c r="V45" s="624"/>
      <c r="W45" s="624"/>
      <c r="X45" s="624"/>
      <c r="Y45" s="624"/>
      <c r="Z45" s="624"/>
      <c r="AA45" s="624"/>
      <c r="AB45" s="624"/>
      <c r="AC45" s="624"/>
      <c r="AD45" s="624"/>
      <c r="AE45" s="624"/>
      <c r="AF45" s="624"/>
      <c r="AG45" s="624"/>
      <c r="AH45" s="624"/>
      <c r="AI45" s="624"/>
      <c r="AJ45" s="624"/>
      <c r="AK45" s="624"/>
      <c r="AL45" s="624"/>
      <c r="AM45" s="624"/>
      <c r="AN45" s="624"/>
      <c r="AO45" s="624"/>
      <c r="AP45" s="624"/>
      <c r="AQ45" s="624"/>
      <c r="AR45" s="624"/>
      <c r="AS45" s="624"/>
      <c r="AT45" s="624"/>
      <c r="AU45" s="624"/>
      <c r="AV45" s="624"/>
      <c r="AW45" s="624"/>
      <c r="AX45" s="624"/>
      <c r="AY45" s="624"/>
      <c r="AZ45" s="624"/>
      <c r="BA45" s="624"/>
      <c r="BB45" s="624"/>
      <c r="BC45" s="624"/>
      <c r="BD45" s="624"/>
      <c r="BE45" s="624"/>
      <c r="BF45" s="624"/>
      <c r="BG45" s="624"/>
      <c r="BH45" s="624"/>
      <c r="BI45" s="624"/>
      <c r="BJ45" s="624"/>
      <c r="BK45" s="624"/>
      <c r="BL45" s="624"/>
      <c r="BM45" s="624"/>
      <c r="BN45" s="624"/>
      <c r="BO45" s="624"/>
      <c r="BP45" s="624"/>
      <c r="BQ45" s="624"/>
      <c r="BR45" s="624"/>
      <c r="BS45" s="624"/>
      <c r="BT45" s="624"/>
      <c r="BU45" s="624"/>
      <c r="BV45" s="624"/>
      <c r="BW45" s="624"/>
      <c r="BX45" s="624"/>
      <c r="BY45" s="624"/>
      <c r="BZ45" s="624"/>
      <c r="CA45" s="624"/>
      <c r="CB45" s="624"/>
      <c r="CC45" s="624"/>
      <c r="CD45" s="624"/>
      <c r="CE45" s="624"/>
      <c r="CF45" s="624"/>
      <c r="CG45" s="624"/>
      <c r="CH45" s="624"/>
      <c r="CI45" s="624"/>
      <c r="CJ45" s="624"/>
      <c r="CK45" s="624"/>
      <c r="CL45" s="624"/>
      <c r="CM45" s="624"/>
      <c r="CN45" s="624"/>
      <c r="CO45" s="624"/>
      <c r="CP45" s="624"/>
      <c r="CQ45" s="624"/>
      <c r="CR45" s="624"/>
      <c r="CS45" s="624"/>
      <c r="CT45" s="624"/>
      <c r="CU45" s="624"/>
      <c r="CV45" s="624"/>
      <c r="CW45" s="624"/>
      <c r="CX45" s="624"/>
      <c r="CY45" s="624"/>
      <c r="CZ45" s="624"/>
      <c r="DA45" s="624"/>
      <c r="DB45" s="624"/>
      <c r="DC45" s="624"/>
      <c r="DD45" s="624"/>
      <c r="DE45" s="624"/>
      <c r="DF45" s="624"/>
      <c r="DG45" s="624"/>
      <c r="DH45" s="624"/>
      <c r="DI45" s="624"/>
      <c r="DJ45" s="624"/>
      <c r="DK45" s="624"/>
      <c r="DL45" s="624"/>
      <c r="DM45" s="624"/>
      <c r="DN45" s="624"/>
      <c r="DO45" s="624"/>
      <c r="DP45" s="624"/>
      <c r="DQ45" s="624"/>
      <c r="DR45" s="624"/>
      <c r="DS45" s="624"/>
      <c r="DT45" s="624"/>
      <c r="DU45" s="624"/>
      <c r="DV45" s="624"/>
      <c r="DW45" s="624"/>
      <c r="DX45" s="624"/>
      <c r="DY45" s="624"/>
      <c r="DZ45" s="624"/>
      <c r="EA45" s="624"/>
      <c r="EB45" s="624"/>
      <c r="EC45" s="624"/>
      <c r="ED45" s="624"/>
      <c r="EE45" s="624"/>
      <c r="EF45" s="624"/>
      <c r="EG45" s="624"/>
      <c r="EH45" s="624"/>
      <c r="EI45" s="624"/>
      <c r="EJ45" s="624"/>
      <c r="EK45" s="624"/>
      <c r="EL45" s="624"/>
      <c r="EM45" s="624"/>
      <c r="EN45" s="624"/>
      <c r="EO45" s="624"/>
      <c r="EP45" s="624"/>
      <c r="EQ45" s="624"/>
      <c r="ER45" s="624"/>
      <c r="ES45" s="624"/>
      <c r="ET45" s="624"/>
      <c r="EU45" s="624"/>
      <c r="EV45" s="624"/>
      <c r="EW45" s="624"/>
      <c r="EX45" s="624"/>
      <c r="EY45" s="624"/>
      <c r="EZ45" s="624"/>
      <c r="FA45" s="624"/>
      <c r="FC45" s="624"/>
      <c r="FD45" s="624"/>
      <c r="FE45" s="624"/>
      <c r="FF45" s="624"/>
      <c r="FG45" s="624"/>
      <c r="FH45" s="621"/>
      <c r="FI45" s="621"/>
      <c r="FJ45" s="621"/>
    </row>
  </sheetData>
  <sortState xmlns:xlrd2="http://schemas.microsoft.com/office/spreadsheetml/2017/richdata2" ref="A9:FK40">
    <sortCondition ref="A40"/>
  </sortState>
  <phoneticPr fontId="11" type="noConversion"/>
  <conditionalFormatting sqref="A1:A1048576">
    <cfRule type="duplicateValues" dxfId="1" priority="1"/>
  </conditionalFormatting>
  <printOptions horizontalCentered="1" verticalCentered="1"/>
  <pageMargins left="0.74803149606299213" right="0.74803149606299213" top="0.62992125984251968" bottom="0.39370078740157483" header="0" footer="0"/>
  <pageSetup paperSize="9" scale="1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3882-8DBD-487D-AEBE-1B2F48520690}">
  <sheetPr>
    <pageSetUpPr fitToPage="1"/>
  </sheetPr>
  <dimension ref="A1:FH19"/>
  <sheetViews>
    <sheetView showGridLines="0" view="pageBreakPreview" zoomScaleSheetLayoutView="100" workbookViewId="0">
      <pane xSplit="1" topLeftCell="ED1" activePane="topRight" state="frozen"/>
      <selection activeCell="DO55" sqref="DO55:EP55"/>
      <selection pane="topRight" activeCell="EM25" sqref="EM25"/>
    </sheetView>
  </sheetViews>
  <sheetFormatPr baseColWidth="10" defaultColWidth="9.7109375" defaultRowHeight="13.9" customHeight="1" x14ac:dyDescent="0.25"/>
  <cols>
    <col min="1" max="1" width="30.7109375" style="126" customWidth="1"/>
    <col min="2" max="157" width="9.7109375" style="126"/>
    <col min="158" max="158" width="1.7109375" customWidth="1"/>
    <col min="159" max="16384" width="9.7109375" style="126"/>
  </cols>
  <sheetData>
    <row r="1" spans="1:164" ht="13.9" customHeight="1" x14ac:dyDescent="0.25">
      <c r="A1" s="157" t="s">
        <v>166</v>
      </c>
      <c r="FG1" s="126" t="s">
        <v>654</v>
      </c>
    </row>
    <row r="2" spans="1:164" ht="13.9" customHeight="1" x14ac:dyDescent="0.25">
      <c r="A2" s="157" t="s">
        <v>353</v>
      </c>
    </row>
    <row r="3" spans="1:164" ht="13.9" customHeight="1" x14ac:dyDescent="0.25">
      <c r="A3" s="158"/>
      <c r="AU3" s="159"/>
    </row>
    <row r="4" spans="1:164" ht="13.9" customHeight="1" x14ac:dyDescent="0.25">
      <c r="A4" s="100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 t="s">
        <v>83</v>
      </c>
      <c r="O4" s="102">
        <v>2016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4" t="s">
        <v>83</v>
      </c>
      <c r="AB4" s="102">
        <v>2017</v>
      </c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4" t="s">
        <v>83</v>
      </c>
      <c r="AO4" s="102">
        <v>2018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4" t="s">
        <v>83</v>
      </c>
      <c r="BB4" s="102">
        <v>2019</v>
      </c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4" t="s">
        <v>83</v>
      </c>
      <c r="BO4" s="102">
        <v>2020</v>
      </c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4" t="s">
        <v>83</v>
      </c>
      <c r="CB4" s="102">
        <v>2021</v>
      </c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4" t="s">
        <v>83</v>
      </c>
      <c r="CO4" s="102">
        <v>2022</v>
      </c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4" t="s">
        <v>83</v>
      </c>
      <c r="DB4" s="102">
        <v>2023</v>
      </c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4" t="s">
        <v>83</v>
      </c>
      <c r="DO4" s="102">
        <v>2024</v>
      </c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4" t="s">
        <v>83</v>
      </c>
      <c r="EB4" s="102">
        <v>2025</v>
      </c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4" t="s">
        <v>83</v>
      </c>
      <c r="EO4" s="102">
        <v>2026</v>
      </c>
      <c r="EP4" s="103"/>
      <c r="EQ4" s="103"/>
      <c r="ER4" s="103"/>
      <c r="ES4" s="103"/>
      <c r="ET4" s="103"/>
      <c r="EU4" s="103"/>
      <c r="EV4" s="103"/>
      <c r="EW4" s="103"/>
      <c r="EX4" s="103"/>
      <c r="EY4" s="103"/>
      <c r="EZ4" s="103"/>
      <c r="FA4" s="104" t="s">
        <v>83</v>
      </c>
      <c r="FC4" s="982" t="str">
        <f>CONCATENATE("Var.% ",FF4,"/",FE4)</f>
        <v>Var.% 2026/2025</v>
      </c>
      <c r="FD4" s="983"/>
      <c r="FE4" s="114">
        <f>FF4-1</f>
        <v>2025</v>
      </c>
      <c r="FF4" s="780">
        <f>YEAR(FC5)</f>
        <v>2026</v>
      </c>
    </row>
    <row r="5" spans="1:164" ht="13.9" customHeight="1" x14ac:dyDescent="0.25">
      <c r="A5" s="101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107">
        <v>42339</v>
      </c>
      <c r="N5" s="108">
        <f>YEAR(M5)</f>
        <v>2015</v>
      </c>
      <c r="O5" s="106">
        <v>42370</v>
      </c>
      <c r="P5" s="107">
        <v>42401</v>
      </c>
      <c r="Q5" s="107">
        <v>42430</v>
      </c>
      <c r="R5" s="107">
        <v>42461</v>
      </c>
      <c r="S5" s="107">
        <v>42491</v>
      </c>
      <c r="T5" s="107">
        <v>42522</v>
      </c>
      <c r="U5" s="107">
        <v>42552</v>
      </c>
      <c r="V5" s="107">
        <v>42583</v>
      </c>
      <c r="W5" s="107">
        <v>42614</v>
      </c>
      <c r="X5" s="107">
        <v>42644</v>
      </c>
      <c r="Y5" s="107">
        <v>42675</v>
      </c>
      <c r="Z5" s="107">
        <v>42705</v>
      </c>
      <c r="AA5" s="108">
        <f>YEAR(Z5)</f>
        <v>2016</v>
      </c>
      <c r="AB5" s="106">
        <v>42736</v>
      </c>
      <c r="AC5" s="107">
        <v>42767</v>
      </c>
      <c r="AD5" s="107">
        <v>42795</v>
      </c>
      <c r="AE5" s="107">
        <v>42826</v>
      </c>
      <c r="AF5" s="107">
        <v>42856</v>
      </c>
      <c r="AG5" s="107">
        <v>42887</v>
      </c>
      <c r="AH5" s="107">
        <v>42917</v>
      </c>
      <c r="AI5" s="107">
        <v>42948</v>
      </c>
      <c r="AJ5" s="107">
        <v>42979</v>
      </c>
      <c r="AK5" s="107">
        <v>43009</v>
      </c>
      <c r="AL5" s="107">
        <v>43040</v>
      </c>
      <c r="AM5" s="107">
        <v>43070</v>
      </c>
      <c r="AN5" s="108">
        <f>YEAR(AM5)</f>
        <v>2017</v>
      </c>
      <c r="AO5" s="106">
        <v>43101</v>
      </c>
      <c r="AP5" s="107">
        <v>43132</v>
      </c>
      <c r="AQ5" s="107">
        <v>43160</v>
      </c>
      <c r="AR5" s="107">
        <v>43191</v>
      </c>
      <c r="AS5" s="107">
        <v>43221</v>
      </c>
      <c r="AT5" s="107">
        <v>43252</v>
      </c>
      <c r="AU5" s="107">
        <v>43282</v>
      </c>
      <c r="AV5" s="107">
        <v>43313</v>
      </c>
      <c r="AW5" s="107">
        <v>43344</v>
      </c>
      <c r="AX5" s="107">
        <v>43374</v>
      </c>
      <c r="AY5" s="107">
        <v>43405</v>
      </c>
      <c r="AZ5" s="107">
        <v>43435</v>
      </c>
      <c r="BA5" s="108">
        <f>YEAR(AZ5)</f>
        <v>2018</v>
      </c>
      <c r="BB5" s="106">
        <v>43466</v>
      </c>
      <c r="BC5" s="107">
        <v>43497</v>
      </c>
      <c r="BD5" s="107">
        <v>43525</v>
      </c>
      <c r="BE5" s="107">
        <v>43556</v>
      </c>
      <c r="BF5" s="107">
        <v>43586</v>
      </c>
      <c r="BG5" s="107">
        <v>43617</v>
      </c>
      <c r="BH5" s="107">
        <v>43647</v>
      </c>
      <c r="BI5" s="107">
        <v>43678</v>
      </c>
      <c r="BJ5" s="107">
        <v>43709</v>
      </c>
      <c r="BK5" s="107">
        <v>43739</v>
      </c>
      <c r="BL5" s="107">
        <v>43770</v>
      </c>
      <c r="BM5" s="107">
        <v>43800</v>
      </c>
      <c r="BN5" s="108">
        <f>YEAR(BM5)</f>
        <v>2019</v>
      </c>
      <c r="BO5" s="106">
        <v>43831</v>
      </c>
      <c r="BP5" s="107">
        <v>43862</v>
      </c>
      <c r="BQ5" s="107">
        <v>43891</v>
      </c>
      <c r="BR5" s="107">
        <v>43922</v>
      </c>
      <c r="BS5" s="107">
        <v>43952</v>
      </c>
      <c r="BT5" s="107">
        <v>43983</v>
      </c>
      <c r="BU5" s="107">
        <v>44013</v>
      </c>
      <c r="BV5" s="107">
        <v>44044</v>
      </c>
      <c r="BW5" s="107">
        <v>44075</v>
      </c>
      <c r="BX5" s="107">
        <v>44105</v>
      </c>
      <c r="BY5" s="107">
        <v>44136</v>
      </c>
      <c r="BZ5" s="107">
        <v>44166</v>
      </c>
      <c r="CA5" s="108">
        <f>YEAR(BZ5)</f>
        <v>2020</v>
      </c>
      <c r="CB5" s="106">
        <v>44197</v>
      </c>
      <c r="CC5" s="107">
        <v>44228</v>
      </c>
      <c r="CD5" s="107">
        <v>44256</v>
      </c>
      <c r="CE5" s="107">
        <v>44287</v>
      </c>
      <c r="CF5" s="107">
        <v>44317</v>
      </c>
      <c r="CG5" s="107">
        <v>44348</v>
      </c>
      <c r="CH5" s="107">
        <v>44378</v>
      </c>
      <c r="CI5" s="107">
        <v>44409</v>
      </c>
      <c r="CJ5" s="107">
        <v>44440</v>
      </c>
      <c r="CK5" s="107">
        <v>44470</v>
      </c>
      <c r="CL5" s="107">
        <v>44501</v>
      </c>
      <c r="CM5" s="107">
        <v>44531</v>
      </c>
      <c r="CN5" s="108">
        <f>YEAR(CM5)</f>
        <v>2021</v>
      </c>
      <c r="CO5" s="106">
        <v>44562</v>
      </c>
      <c r="CP5" s="107">
        <v>44593</v>
      </c>
      <c r="CQ5" s="107">
        <v>44621</v>
      </c>
      <c r="CR5" s="107">
        <v>44652</v>
      </c>
      <c r="CS5" s="107">
        <v>44682</v>
      </c>
      <c r="CT5" s="107">
        <v>44713</v>
      </c>
      <c r="CU5" s="107">
        <v>44743</v>
      </c>
      <c r="CV5" s="107">
        <v>44774</v>
      </c>
      <c r="CW5" s="107">
        <v>44805</v>
      </c>
      <c r="CX5" s="107">
        <v>44835</v>
      </c>
      <c r="CY5" s="107">
        <v>44866</v>
      </c>
      <c r="CZ5" s="107">
        <v>44896</v>
      </c>
      <c r="DA5" s="108">
        <f>YEAR(CZ5)</f>
        <v>2022</v>
      </c>
      <c r="DB5" s="106">
        <v>44927</v>
      </c>
      <c r="DC5" s="107">
        <v>44958</v>
      </c>
      <c r="DD5" s="107">
        <v>44986</v>
      </c>
      <c r="DE5" s="107">
        <v>45017</v>
      </c>
      <c r="DF5" s="107">
        <v>45047</v>
      </c>
      <c r="DG5" s="107">
        <v>45078</v>
      </c>
      <c r="DH5" s="107">
        <v>45108</v>
      </c>
      <c r="DI5" s="107">
        <v>45139</v>
      </c>
      <c r="DJ5" s="107">
        <v>45170</v>
      </c>
      <c r="DK5" s="107">
        <v>45200</v>
      </c>
      <c r="DL5" s="107">
        <v>45231</v>
      </c>
      <c r="DM5" s="107">
        <v>45261</v>
      </c>
      <c r="DN5" s="108">
        <f>YEAR(DM5)</f>
        <v>2023</v>
      </c>
      <c r="DO5" s="106">
        <v>45292</v>
      </c>
      <c r="DP5" s="107">
        <v>45323</v>
      </c>
      <c r="DQ5" s="107">
        <v>45352</v>
      </c>
      <c r="DR5" s="107">
        <v>45383</v>
      </c>
      <c r="DS5" s="107">
        <v>45413</v>
      </c>
      <c r="DT5" s="107">
        <v>45444</v>
      </c>
      <c r="DU5" s="107">
        <v>45474</v>
      </c>
      <c r="DV5" s="107">
        <v>45505</v>
      </c>
      <c r="DW5" s="107">
        <v>45536</v>
      </c>
      <c r="DX5" s="107">
        <v>45566</v>
      </c>
      <c r="DY5" s="107">
        <v>45597</v>
      </c>
      <c r="DZ5" s="107">
        <v>45627</v>
      </c>
      <c r="EA5" s="108">
        <f>YEAR(DZ5)</f>
        <v>2024</v>
      </c>
      <c r="EB5" s="106">
        <v>45658</v>
      </c>
      <c r="EC5" s="107">
        <v>45689</v>
      </c>
      <c r="ED5" s="107">
        <v>45717</v>
      </c>
      <c r="EE5" s="107">
        <v>45748</v>
      </c>
      <c r="EF5" s="107">
        <v>45778</v>
      </c>
      <c r="EG5" s="107">
        <v>45809</v>
      </c>
      <c r="EH5" s="107">
        <v>45839</v>
      </c>
      <c r="EI5" s="107">
        <v>45870</v>
      </c>
      <c r="EJ5" s="107">
        <v>45901</v>
      </c>
      <c r="EK5" s="107">
        <v>45931</v>
      </c>
      <c r="EL5" s="107">
        <v>45962</v>
      </c>
      <c r="EM5" s="107">
        <v>45992</v>
      </c>
      <c r="EN5" s="108">
        <f>YEAR(EM5)</f>
        <v>2025</v>
      </c>
      <c r="EO5" s="106">
        <v>46023</v>
      </c>
      <c r="EP5" s="107">
        <v>46054</v>
      </c>
      <c r="EQ5" s="107">
        <v>46082</v>
      </c>
      <c r="ER5" s="107">
        <v>46113</v>
      </c>
      <c r="ES5" s="107">
        <v>46143</v>
      </c>
      <c r="ET5" s="107">
        <v>46174</v>
      </c>
      <c r="EU5" s="107">
        <v>46204</v>
      </c>
      <c r="EV5" s="107">
        <v>46235</v>
      </c>
      <c r="EW5" s="107">
        <v>46266</v>
      </c>
      <c r="EX5" s="107">
        <v>46296</v>
      </c>
      <c r="EY5" s="107">
        <v>46327</v>
      </c>
      <c r="EZ5" s="107">
        <v>46357</v>
      </c>
      <c r="FA5" s="108">
        <f>YEAR(EZ5)</f>
        <v>2026</v>
      </c>
      <c r="FC5" s="106">
        <f>EY5</f>
        <v>46327</v>
      </c>
      <c r="FD5" s="109" t="str">
        <f>CONCATENATE("Ene.-",TEXT(FC5,"MMM."))</f>
        <v>Ene.-Nov.</v>
      </c>
      <c r="FE5" s="109" t="str">
        <f>FD5</f>
        <v>Ene.-Nov.</v>
      </c>
      <c r="FF5" s="109" t="str">
        <f>FD5</f>
        <v>Ene.-Nov.</v>
      </c>
    </row>
    <row r="6" spans="1:164" ht="13.9" customHeight="1" x14ac:dyDescent="0.25">
      <c r="A6" s="136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6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6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6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6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6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151"/>
      <c r="CA6" s="16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6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151"/>
      <c r="DA6" s="16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151"/>
      <c r="DN6" s="161"/>
      <c r="DO6" s="151"/>
      <c r="DP6" s="151"/>
      <c r="DQ6" s="151"/>
      <c r="DR6" s="151"/>
      <c r="DS6" s="151"/>
      <c r="DT6" s="151"/>
      <c r="DU6" s="151"/>
      <c r="DV6" s="151"/>
      <c r="DW6" s="151"/>
      <c r="DX6" s="151"/>
      <c r="DY6" s="151"/>
      <c r="DZ6" s="151"/>
      <c r="EA6" s="161"/>
      <c r="EB6" s="151"/>
      <c r="EC6" s="151"/>
      <c r="ED6" s="151"/>
      <c r="EE6" s="151"/>
      <c r="EF6" s="151"/>
      <c r="EG6" s="151"/>
      <c r="EH6" s="151"/>
      <c r="EI6" s="151"/>
      <c r="EJ6" s="151"/>
      <c r="EK6" s="151"/>
      <c r="EL6" s="151"/>
      <c r="EM6" s="151"/>
      <c r="EN6" s="161"/>
      <c r="EO6" s="151"/>
      <c r="EP6" s="151"/>
      <c r="EQ6" s="151"/>
      <c r="ER6" s="151"/>
      <c r="ES6" s="151"/>
      <c r="ET6" s="151"/>
      <c r="EU6" s="151"/>
      <c r="EV6" s="151"/>
      <c r="EW6" s="151"/>
      <c r="EX6" s="151"/>
      <c r="EY6" s="151"/>
      <c r="EZ6" s="151"/>
      <c r="FA6" s="161"/>
      <c r="FC6" s="781"/>
      <c r="FD6" s="258"/>
      <c r="FE6" s="783"/>
      <c r="FF6" s="784"/>
    </row>
    <row r="7" spans="1:164" s="125" customFormat="1" ht="13.9" customHeight="1" x14ac:dyDescent="0.25">
      <c r="A7" s="235" t="s">
        <v>658</v>
      </c>
      <c r="B7" s="229">
        <f t="shared" ref="B7:M7" si="0">+B8</f>
        <v>62</v>
      </c>
      <c r="C7" s="229">
        <f t="shared" si="0"/>
        <v>50</v>
      </c>
      <c r="D7" s="229">
        <f t="shared" si="0"/>
        <v>63</v>
      </c>
      <c r="E7" s="229">
        <f t="shared" si="0"/>
        <v>66</v>
      </c>
      <c r="F7" s="229">
        <f t="shared" si="0"/>
        <v>69</v>
      </c>
      <c r="G7" s="229">
        <f t="shared" si="0"/>
        <v>55</v>
      </c>
      <c r="H7" s="229">
        <f t="shared" si="0"/>
        <v>62</v>
      </c>
      <c r="I7" s="229">
        <f t="shared" si="0"/>
        <v>66</v>
      </c>
      <c r="J7" s="229">
        <f t="shared" si="0"/>
        <v>59</v>
      </c>
      <c r="K7" s="229">
        <f t="shared" si="0"/>
        <v>59</v>
      </c>
      <c r="L7" s="229">
        <f t="shared" si="0"/>
        <v>53</v>
      </c>
      <c r="M7" s="229">
        <f t="shared" si="0"/>
        <v>59</v>
      </c>
      <c r="N7" s="235">
        <f>SUM(B7:M7)</f>
        <v>723</v>
      </c>
      <c r="O7" s="229">
        <f t="shared" ref="O7:AM7" si="1">+O8</f>
        <v>58</v>
      </c>
      <c r="P7" s="229">
        <f t="shared" si="1"/>
        <v>44</v>
      </c>
      <c r="Q7" s="229">
        <f t="shared" si="1"/>
        <v>56</v>
      </c>
      <c r="R7" s="229">
        <f t="shared" si="1"/>
        <v>55</v>
      </c>
      <c r="S7" s="229">
        <f t="shared" si="1"/>
        <v>33</v>
      </c>
      <c r="T7" s="229">
        <f t="shared" si="1"/>
        <v>32</v>
      </c>
      <c r="U7" s="229">
        <f t="shared" si="1"/>
        <v>22</v>
      </c>
      <c r="V7" s="229">
        <f t="shared" si="1"/>
        <v>31</v>
      </c>
      <c r="W7" s="229">
        <f t="shared" si="1"/>
        <v>39</v>
      </c>
      <c r="X7" s="229">
        <f t="shared" si="1"/>
        <v>46</v>
      </c>
      <c r="Y7" s="229">
        <f t="shared" si="1"/>
        <v>30</v>
      </c>
      <c r="Z7" s="229">
        <f t="shared" si="1"/>
        <v>25</v>
      </c>
      <c r="AA7" s="235">
        <f>SUM(O7:Z7)</f>
        <v>471</v>
      </c>
      <c r="AB7" s="229">
        <f t="shared" si="1"/>
        <v>39</v>
      </c>
      <c r="AC7" s="229">
        <f t="shared" si="1"/>
        <v>36</v>
      </c>
      <c r="AD7" s="229">
        <f t="shared" si="1"/>
        <v>37</v>
      </c>
      <c r="AE7" s="229">
        <f t="shared" si="1"/>
        <v>38</v>
      </c>
      <c r="AF7" s="229">
        <f t="shared" si="1"/>
        <v>34</v>
      </c>
      <c r="AG7" s="229">
        <f t="shared" si="1"/>
        <v>34</v>
      </c>
      <c r="AH7" s="229">
        <f t="shared" si="1"/>
        <v>38</v>
      </c>
      <c r="AI7" s="229">
        <f t="shared" si="1"/>
        <v>36</v>
      </c>
      <c r="AJ7" s="229">
        <f t="shared" si="1"/>
        <v>33</v>
      </c>
      <c r="AK7" s="229">
        <f t="shared" si="1"/>
        <v>26</v>
      </c>
      <c r="AL7" s="229">
        <f t="shared" si="1"/>
        <v>25</v>
      </c>
      <c r="AM7" s="229">
        <f t="shared" si="1"/>
        <v>32</v>
      </c>
      <c r="AN7" s="235">
        <f>SUM(AB7:AM7)</f>
        <v>408</v>
      </c>
      <c r="AO7" s="229">
        <f t="shared" ref="AO7:AZ7" si="2">+AO8</f>
        <v>37</v>
      </c>
      <c r="AP7" s="229">
        <f t="shared" si="2"/>
        <v>36</v>
      </c>
      <c r="AQ7" s="229">
        <f t="shared" si="2"/>
        <v>38</v>
      </c>
      <c r="AR7" s="229">
        <f t="shared" si="2"/>
        <v>37</v>
      </c>
      <c r="AS7" s="229">
        <f t="shared" si="2"/>
        <v>37</v>
      </c>
      <c r="AT7" s="229">
        <f t="shared" si="2"/>
        <v>32</v>
      </c>
      <c r="AU7" s="229">
        <f t="shared" si="2"/>
        <v>31</v>
      </c>
      <c r="AV7" s="229">
        <f t="shared" si="2"/>
        <v>29</v>
      </c>
      <c r="AW7" s="229">
        <f t="shared" si="2"/>
        <v>27</v>
      </c>
      <c r="AX7" s="229">
        <f t="shared" si="2"/>
        <v>24</v>
      </c>
      <c r="AY7" s="229">
        <f t="shared" si="2"/>
        <v>27</v>
      </c>
      <c r="AZ7" s="229">
        <f t="shared" si="2"/>
        <v>28</v>
      </c>
      <c r="BA7" s="235">
        <f>SUM(AO7:AZ7)</f>
        <v>383</v>
      </c>
      <c r="BB7" s="229">
        <f>+BB8</f>
        <v>28</v>
      </c>
      <c r="BC7" s="229">
        <f>+BC8</f>
        <v>25</v>
      </c>
      <c r="BD7" s="229">
        <f>+BD8</f>
        <v>26</v>
      </c>
      <c r="BE7" s="229">
        <f t="shared" ref="BE7:DK7" si="3">+BE8</f>
        <v>23</v>
      </c>
      <c r="BF7" s="229">
        <f t="shared" si="3"/>
        <v>25</v>
      </c>
      <c r="BG7" s="229">
        <f t="shared" si="3"/>
        <v>20</v>
      </c>
      <c r="BH7" s="229">
        <f t="shared" si="3"/>
        <v>24</v>
      </c>
      <c r="BI7" s="229">
        <f t="shared" si="3"/>
        <v>24</v>
      </c>
      <c r="BJ7" s="229">
        <f t="shared" si="3"/>
        <v>21</v>
      </c>
      <c r="BK7" s="229">
        <f t="shared" si="3"/>
        <v>20</v>
      </c>
      <c r="BL7" s="229">
        <f t="shared" si="3"/>
        <v>19</v>
      </c>
      <c r="BM7" s="229">
        <f t="shared" si="3"/>
        <v>19</v>
      </c>
      <c r="BN7" s="235">
        <f>SUM(BB7:BM7)</f>
        <v>274</v>
      </c>
      <c r="BO7" s="229">
        <f t="shared" si="3"/>
        <v>18</v>
      </c>
      <c r="BP7" s="229">
        <f t="shared" si="3"/>
        <v>16</v>
      </c>
      <c r="BQ7" s="229">
        <f t="shared" si="3"/>
        <v>16</v>
      </c>
      <c r="BR7" s="229">
        <f t="shared" si="3"/>
        <v>17</v>
      </c>
      <c r="BS7" s="229">
        <f t="shared" si="3"/>
        <v>17</v>
      </c>
      <c r="BT7" s="229">
        <f t="shared" si="3"/>
        <v>16</v>
      </c>
      <c r="BU7" s="229">
        <f t="shared" si="3"/>
        <v>9</v>
      </c>
      <c r="BV7" s="229">
        <f t="shared" si="3"/>
        <v>14</v>
      </c>
      <c r="BW7" s="229">
        <f t="shared" si="3"/>
        <v>15</v>
      </c>
      <c r="BX7" s="229">
        <f t="shared" si="3"/>
        <v>4</v>
      </c>
      <c r="BY7" s="229">
        <f t="shared" si="3"/>
        <v>13</v>
      </c>
      <c r="BZ7" s="229">
        <f t="shared" si="3"/>
        <v>12</v>
      </c>
      <c r="CA7" s="235">
        <f>SUM(BO7:BZ7)</f>
        <v>167</v>
      </c>
      <c r="CB7" s="229">
        <f t="shared" si="3"/>
        <v>14</v>
      </c>
      <c r="CC7" s="229">
        <f t="shared" si="3"/>
        <v>13</v>
      </c>
      <c r="CD7" s="229">
        <f t="shared" si="3"/>
        <v>13.561999999999999</v>
      </c>
      <c r="CE7" s="229">
        <f t="shared" si="3"/>
        <v>11.989000000000001</v>
      </c>
      <c r="CF7" s="229">
        <f t="shared" si="3"/>
        <v>6.133</v>
      </c>
      <c r="CG7" s="229">
        <f t="shared" si="3"/>
        <v>6.17</v>
      </c>
      <c r="CH7" s="229">
        <f t="shared" si="3"/>
        <v>4.3520000000000003</v>
      </c>
      <c r="CI7" s="229">
        <f t="shared" si="3"/>
        <v>4.0739999999999998</v>
      </c>
      <c r="CJ7" s="229">
        <f t="shared" si="3"/>
        <v>3.6389999999999998</v>
      </c>
      <c r="CK7" s="229">
        <f t="shared" si="3"/>
        <v>3.6909999999999998</v>
      </c>
      <c r="CL7" s="229">
        <f t="shared" si="3"/>
        <v>0</v>
      </c>
      <c r="CM7" s="229">
        <f t="shared" si="3"/>
        <v>2.52</v>
      </c>
      <c r="CN7" s="235">
        <f>SUM(CB7:CM7)</f>
        <v>83.13</v>
      </c>
      <c r="CO7" s="229">
        <f t="shared" si="3"/>
        <v>6.1050000000000004</v>
      </c>
      <c r="CP7" s="229">
        <f t="shared" si="3"/>
        <v>8.1140000000000008</v>
      </c>
      <c r="CQ7" s="229">
        <f t="shared" si="3"/>
        <v>7.61</v>
      </c>
      <c r="CR7" s="229">
        <f t="shared" si="3"/>
        <v>7.13</v>
      </c>
      <c r="CS7" s="229">
        <f t="shared" si="3"/>
        <v>7.7569999999999997</v>
      </c>
      <c r="CT7" s="229">
        <f t="shared" si="3"/>
        <v>7.1440000000000001</v>
      </c>
      <c r="CU7" s="229">
        <f t="shared" si="3"/>
        <v>8.6660000000000004</v>
      </c>
      <c r="CV7" s="229">
        <f t="shared" si="3"/>
        <v>8.1859999999999999</v>
      </c>
      <c r="CW7" s="229">
        <f t="shared" si="3"/>
        <v>7.3449999999999998</v>
      </c>
      <c r="CX7" s="229">
        <f t="shared" si="3"/>
        <v>2.96</v>
      </c>
      <c r="CY7" s="229">
        <f t="shared" si="3"/>
        <v>5.6929999999999996</v>
      </c>
      <c r="CZ7" s="229">
        <f t="shared" si="3"/>
        <v>6.3049999999999997</v>
      </c>
      <c r="DA7" s="235">
        <f>SUM(CO7:CZ7)</f>
        <v>83.014999999999986</v>
      </c>
      <c r="DB7" s="229">
        <f t="shared" si="3"/>
        <v>5.66</v>
      </c>
      <c r="DC7" s="229">
        <f t="shared" si="3"/>
        <v>4.0019999999999998</v>
      </c>
      <c r="DD7" s="229">
        <f t="shared" si="3"/>
        <v>5.7190000000000003</v>
      </c>
      <c r="DE7" s="229">
        <f t="shared" si="3"/>
        <v>4.4059999999999997</v>
      </c>
      <c r="DF7" s="229">
        <f t="shared" si="3"/>
        <v>4.4909999999999997</v>
      </c>
      <c r="DG7" s="229">
        <f t="shared" si="3"/>
        <v>6.9870000000000001</v>
      </c>
      <c r="DH7" s="229">
        <f t="shared" si="3"/>
        <v>5.0549999999999997</v>
      </c>
      <c r="DI7" s="229">
        <f t="shared" si="3"/>
        <v>4.4370000000000003</v>
      </c>
      <c r="DJ7" s="229">
        <f t="shared" si="3"/>
        <v>5.1360000000000001</v>
      </c>
      <c r="DK7" s="229">
        <f t="shared" si="3"/>
        <v>4.149</v>
      </c>
      <c r="DL7" s="229">
        <f>+DL8</f>
        <v>4.28</v>
      </c>
      <c r="DM7" s="229">
        <f>+DM8</f>
        <v>4.4249999999999998</v>
      </c>
      <c r="DN7" s="235">
        <f>SUM(DB7:DM7)</f>
        <v>58.747</v>
      </c>
      <c r="DO7" s="229">
        <f t="shared" ref="DO7:DZ7" si="4">+DO8</f>
        <v>2.7069999999999999</v>
      </c>
      <c r="DP7" s="229">
        <f t="shared" si="4"/>
        <v>2.048</v>
      </c>
      <c r="DQ7" s="229">
        <f t="shared" si="4"/>
        <v>4.4450000000000003</v>
      </c>
      <c r="DR7" s="229">
        <f t="shared" si="4"/>
        <v>3.2189999999999999</v>
      </c>
      <c r="DS7" s="229">
        <f t="shared" si="4"/>
        <v>1.8540000000000001</v>
      </c>
      <c r="DT7" s="229">
        <f t="shared" si="4"/>
        <v>3.0550000000000002</v>
      </c>
      <c r="DU7" s="229">
        <f t="shared" si="4"/>
        <v>3.5569999999999999</v>
      </c>
      <c r="DV7" s="229">
        <f t="shared" si="4"/>
        <v>3.2959999999999998</v>
      </c>
      <c r="DW7" s="229">
        <f t="shared" si="4"/>
        <v>2.7839999999999998</v>
      </c>
      <c r="DX7" s="229">
        <f t="shared" si="4"/>
        <v>1.1200000000000001</v>
      </c>
      <c r="DY7" s="229">
        <f t="shared" si="4"/>
        <v>1.2010000000000001</v>
      </c>
      <c r="DZ7" s="229">
        <f t="shared" si="4"/>
        <v>0.22</v>
      </c>
      <c r="EA7" s="235">
        <f>SUM(DO7:DZ7)</f>
        <v>29.505999999999997</v>
      </c>
      <c r="EB7" s="229">
        <v>3.5999999999999997E-2</v>
      </c>
      <c r="EC7" s="229">
        <v>4.3769999999999998</v>
      </c>
      <c r="ED7" s="229">
        <v>0</v>
      </c>
      <c r="EE7" s="229">
        <v>0</v>
      </c>
      <c r="EF7" s="229">
        <v>0</v>
      </c>
      <c r="EG7" s="229">
        <v>0</v>
      </c>
      <c r="EH7" s="229">
        <v>0</v>
      </c>
      <c r="EI7" s="229">
        <v>0</v>
      </c>
      <c r="EJ7" s="229">
        <v>0</v>
      </c>
      <c r="EK7" s="229">
        <v>0</v>
      </c>
      <c r="EL7" s="229">
        <v>0</v>
      </c>
      <c r="EM7" s="229">
        <v>0</v>
      </c>
      <c r="EN7" s="235">
        <f>SUM(EB7:EM7)</f>
        <v>4.4129999999999994</v>
      </c>
      <c r="EO7" s="229">
        <v>0</v>
      </c>
      <c r="EP7" s="229">
        <v>0</v>
      </c>
      <c r="EQ7" s="229">
        <v>0</v>
      </c>
      <c r="ER7" s="229"/>
      <c r="ES7" s="229"/>
      <c r="ET7" s="229"/>
      <c r="EU7" s="229"/>
      <c r="EV7" s="229"/>
      <c r="EW7" s="229"/>
      <c r="EX7" s="229"/>
      <c r="EY7" s="229"/>
      <c r="EZ7" s="229"/>
      <c r="FA7" s="235">
        <f>SUM(EO7:EZ7)</f>
        <v>0</v>
      </c>
      <c r="FB7" s="110"/>
      <c r="FC7" s="338">
        <f t="shared" ref="FC7:FC14" si="5">IFERROR(((EY7/DY7)-1)*100,"")</f>
        <v>-100</v>
      </c>
      <c r="FD7" s="256">
        <f>IFERROR(((FF7/FE7)-1)*100,"")</f>
        <v>-100</v>
      </c>
      <c r="FE7" s="237">
        <f>SUM(DO7:DY7)</f>
        <v>29.285999999999998</v>
      </c>
      <c r="FF7" s="238">
        <f>SUM(EO7:EY7)</f>
        <v>0</v>
      </c>
    </row>
    <row r="8" spans="1:164" ht="13.9" customHeight="1" x14ac:dyDescent="0.25">
      <c r="A8" s="445" t="s">
        <v>154</v>
      </c>
      <c r="B8" s="151">
        <v>62</v>
      </c>
      <c r="C8" s="151">
        <v>50</v>
      </c>
      <c r="D8" s="151">
        <v>63</v>
      </c>
      <c r="E8" s="151">
        <v>66</v>
      </c>
      <c r="F8" s="151">
        <v>69</v>
      </c>
      <c r="G8" s="151">
        <v>55</v>
      </c>
      <c r="H8" s="151">
        <v>62</v>
      </c>
      <c r="I8" s="151">
        <v>66</v>
      </c>
      <c r="J8" s="151">
        <v>59</v>
      </c>
      <c r="K8" s="151">
        <v>59</v>
      </c>
      <c r="L8" s="151">
        <v>53</v>
      </c>
      <c r="M8" s="151">
        <v>59</v>
      </c>
      <c r="N8" s="161">
        <f>SUM(B8:M8)</f>
        <v>723</v>
      </c>
      <c r="O8" s="151">
        <v>58</v>
      </c>
      <c r="P8" s="151">
        <v>44</v>
      </c>
      <c r="Q8" s="151">
        <v>56</v>
      </c>
      <c r="R8" s="151">
        <v>55</v>
      </c>
      <c r="S8" s="151">
        <v>33</v>
      </c>
      <c r="T8" s="151">
        <v>32</v>
      </c>
      <c r="U8" s="151">
        <v>22</v>
      </c>
      <c r="V8" s="151">
        <v>31</v>
      </c>
      <c r="W8" s="151">
        <v>39</v>
      </c>
      <c r="X8" s="151">
        <v>46</v>
      </c>
      <c r="Y8" s="151">
        <v>30</v>
      </c>
      <c r="Z8" s="151">
        <v>25</v>
      </c>
      <c r="AA8" s="161">
        <f>SUM(O8:Z8)</f>
        <v>471</v>
      </c>
      <c r="AB8" s="151">
        <v>39</v>
      </c>
      <c r="AC8" s="151">
        <v>36</v>
      </c>
      <c r="AD8" s="151">
        <v>37</v>
      </c>
      <c r="AE8" s="151">
        <v>38</v>
      </c>
      <c r="AF8" s="151">
        <v>34</v>
      </c>
      <c r="AG8" s="151">
        <v>34</v>
      </c>
      <c r="AH8" s="151">
        <v>38</v>
      </c>
      <c r="AI8" s="151">
        <v>36</v>
      </c>
      <c r="AJ8" s="151">
        <v>33</v>
      </c>
      <c r="AK8" s="151">
        <v>26</v>
      </c>
      <c r="AL8" s="151">
        <v>25</v>
      </c>
      <c r="AM8" s="151">
        <v>32</v>
      </c>
      <c r="AN8" s="161">
        <f>SUM(AB8:AM8)</f>
        <v>408</v>
      </c>
      <c r="AO8" s="151">
        <v>37</v>
      </c>
      <c r="AP8" s="151">
        <v>36</v>
      </c>
      <c r="AQ8" s="151">
        <v>38</v>
      </c>
      <c r="AR8" s="151">
        <v>37</v>
      </c>
      <c r="AS8" s="151">
        <v>37</v>
      </c>
      <c r="AT8" s="151">
        <v>32</v>
      </c>
      <c r="AU8" s="151">
        <v>31</v>
      </c>
      <c r="AV8" s="151">
        <v>29</v>
      </c>
      <c r="AW8" s="151">
        <v>27</v>
      </c>
      <c r="AX8" s="151">
        <v>24</v>
      </c>
      <c r="AY8" s="151">
        <v>27</v>
      </c>
      <c r="AZ8" s="151">
        <v>28</v>
      </c>
      <c r="BA8" s="161">
        <f>SUM(AO8:AZ8)</f>
        <v>383</v>
      </c>
      <c r="BB8" s="151">
        <v>28</v>
      </c>
      <c r="BC8" s="151">
        <v>25</v>
      </c>
      <c r="BD8" s="151">
        <v>26</v>
      </c>
      <c r="BE8" s="151">
        <v>23</v>
      </c>
      <c r="BF8" s="151">
        <v>25</v>
      </c>
      <c r="BG8" s="151">
        <v>20</v>
      </c>
      <c r="BH8" s="151">
        <v>24</v>
      </c>
      <c r="BI8" s="151">
        <v>24</v>
      </c>
      <c r="BJ8" s="151">
        <v>21</v>
      </c>
      <c r="BK8" s="151">
        <v>20</v>
      </c>
      <c r="BL8" s="151">
        <v>19</v>
      </c>
      <c r="BM8" s="151">
        <v>19</v>
      </c>
      <c r="BN8" s="161">
        <f>SUM(BB8:BM8)</f>
        <v>274</v>
      </c>
      <c r="BO8" s="151">
        <v>18</v>
      </c>
      <c r="BP8" s="151">
        <v>16</v>
      </c>
      <c r="BQ8" s="151">
        <v>16</v>
      </c>
      <c r="BR8" s="151">
        <v>17</v>
      </c>
      <c r="BS8" s="151">
        <v>17</v>
      </c>
      <c r="BT8" s="151">
        <v>16</v>
      </c>
      <c r="BU8" s="151">
        <v>9</v>
      </c>
      <c r="BV8" s="151">
        <v>14</v>
      </c>
      <c r="BW8" s="151">
        <v>15</v>
      </c>
      <c r="BX8" s="151">
        <v>4</v>
      </c>
      <c r="BY8" s="151">
        <v>13</v>
      </c>
      <c r="BZ8" s="151">
        <v>12</v>
      </c>
      <c r="CA8" s="161">
        <f t="shared" ref="CA8:CA14" si="6">SUM(BO8:BZ8)</f>
        <v>167</v>
      </c>
      <c r="CB8" s="151">
        <v>14</v>
      </c>
      <c r="CC8" s="151">
        <v>13</v>
      </c>
      <c r="CD8" s="151">
        <v>13.561999999999999</v>
      </c>
      <c r="CE8" s="151">
        <v>11.989000000000001</v>
      </c>
      <c r="CF8" s="151">
        <v>6.133</v>
      </c>
      <c r="CG8" s="151">
        <v>6.17</v>
      </c>
      <c r="CH8" s="151">
        <v>4.3520000000000003</v>
      </c>
      <c r="CI8" s="151">
        <v>4.0739999999999998</v>
      </c>
      <c r="CJ8" s="151">
        <v>3.6389999999999998</v>
      </c>
      <c r="CK8" s="151">
        <v>3.6909999999999998</v>
      </c>
      <c r="CL8" s="151">
        <v>0</v>
      </c>
      <c r="CM8" s="151">
        <v>2.52</v>
      </c>
      <c r="CN8" s="161">
        <f t="shared" ref="CN8:CN14" si="7">SUM(CB8:CM8)</f>
        <v>83.13</v>
      </c>
      <c r="CO8" s="151">
        <v>6.1050000000000004</v>
      </c>
      <c r="CP8" s="151">
        <v>8.1140000000000008</v>
      </c>
      <c r="CQ8" s="151">
        <v>7.61</v>
      </c>
      <c r="CR8" s="151">
        <v>7.13</v>
      </c>
      <c r="CS8" s="151">
        <v>7.7569999999999997</v>
      </c>
      <c r="CT8" s="151">
        <v>7.1440000000000001</v>
      </c>
      <c r="CU8" s="151">
        <v>8.6660000000000004</v>
      </c>
      <c r="CV8" s="151">
        <v>8.1859999999999999</v>
      </c>
      <c r="CW8" s="151">
        <v>7.3449999999999998</v>
      </c>
      <c r="CX8" s="151">
        <v>2.96</v>
      </c>
      <c r="CY8" s="151">
        <v>5.6929999999999996</v>
      </c>
      <c r="CZ8" s="151">
        <v>6.3049999999999997</v>
      </c>
      <c r="DA8" s="161">
        <f>SUM(CO8:CZ8)</f>
        <v>83.014999999999986</v>
      </c>
      <c r="DB8" s="151">
        <v>5.66</v>
      </c>
      <c r="DC8" s="151">
        <v>4.0019999999999998</v>
      </c>
      <c r="DD8" s="151">
        <v>5.7190000000000003</v>
      </c>
      <c r="DE8" s="151">
        <v>4.4059999999999997</v>
      </c>
      <c r="DF8" s="151">
        <v>4.4909999999999997</v>
      </c>
      <c r="DG8" s="151">
        <v>6.9870000000000001</v>
      </c>
      <c r="DH8" s="151">
        <v>5.0549999999999997</v>
      </c>
      <c r="DI8" s="151">
        <v>4.4370000000000003</v>
      </c>
      <c r="DJ8" s="151">
        <v>5.1360000000000001</v>
      </c>
      <c r="DK8" s="151">
        <v>4.149</v>
      </c>
      <c r="DL8" s="151">
        <v>4.28</v>
      </c>
      <c r="DM8" s="151">
        <v>4.4249999999999998</v>
      </c>
      <c r="DN8" s="161">
        <f t="shared" ref="DN8:DN14" si="8">SUM(DB8:DM8)</f>
        <v>58.747</v>
      </c>
      <c r="DO8" s="151">
        <v>2.7069999999999999</v>
      </c>
      <c r="DP8" s="151">
        <v>2.048</v>
      </c>
      <c r="DQ8" s="151">
        <v>4.4450000000000003</v>
      </c>
      <c r="DR8" s="151">
        <v>3.2189999999999999</v>
      </c>
      <c r="DS8" s="151">
        <v>1.8540000000000001</v>
      </c>
      <c r="DT8" s="151">
        <v>3.0550000000000002</v>
      </c>
      <c r="DU8" s="151">
        <v>3.5569999999999999</v>
      </c>
      <c r="DV8" s="151">
        <v>3.2959999999999998</v>
      </c>
      <c r="DW8" s="151">
        <v>2.7839999999999998</v>
      </c>
      <c r="DX8" s="151">
        <v>1.1200000000000001</v>
      </c>
      <c r="DY8" s="151">
        <v>1.2010000000000001</v>
      </c>
      <c r="DZ8" s="151">
        <v>0.22</v>
      </c>
      <c r="EA8" s="161">
        <f t="shared" ref="EA8:EA14" si="9">SUM(DO8:DZ8)</f>
        <v>29.505999999999997</v>
      </c>
      <c r="EB8" s="151">
        <v>3.5999999999999997E-2</v>
      </c>
      <c r="EC8" s="151">
        <v>4.3769999999999998</v>
      </c>
      <c r="ED8" s="151">
        <v>0</v>
      </c>
      <c r="EE8" s="151">
        <v>0</v>
      </c>
      <c r="EF8" s="151">
        <v>0</v>
      </c>
      <c r="EG8" s="151">
        <v>0</v>
      </c>
      <c r="EH8" s="151">
        <v>0</v>
      </c>
      <c r="EI8" s="151">
        <v>0</v>
      </c>
      <c r="EJ8" s="151">
        <v>0</v>
      </c>
      <c r="EK8" s="151">
        <v>0</v>
      </c>
      <c r="EL8" s="151">
        <v>0</v>
      </c>
      <c r="EM8" s="151">
        <v>0</v>
      </c>
      <c r="EN8" s="161">
        <f t="shared" ref="EN8" si="10">SUM(EB8:EM8)</f>
        <v>4.4129999999999994</v>
      </c>
      <c r="EO8" s="151">
        <v>0</v>
      </c>
      <c r="EP8" s="151">
        <v>0</v>
      </c>
      <c r="EQ8" s="151">
        <v>0</v>
      </c>
      <c r="ER8" s="151"/>
      <c r="ES8" s="151"/>
      <c r="ET8" s="151"/>
      <c r="EU8" s="151"/>
      <c r="EV8" s="151"/>
      <c r="EW8" s="151"/>
      <c r="EX8" s="151"/>
      <c r="EY8" s="151"/>
      <c r="EZ8" s="151"/>
      <c r="FA8" s="161">
        <f t="shared" ref="FA8:FA14" si="11">SUM(EO8:EZ8)</f>
        <v>0</v>
      </c>
      <c r="FC8" s="191">
        <f t="shared" si="5"/>
        <v>-100</v>
      </c>
      <c r="FD8" s="247">
        <f t="shared" ref="FD8:FD14" si="12">IFERROR(((FF8/FE8)-1)*100,"")</f>
        <v>-100</v>
      </c>
      <c r="FE8" s="152">
        <f>SUM(DO8:DY8)</f>
        <v>29.285999999999998</v>
      </c>
      <c r="FF8" s="201">
        <f t="shared" ref="FF8:FF14" si="13">SUM(EO8:EY8)</f>
        <v>0</v>
      </c>
      <c r="FH8" s="169"/>
    </row>
    <row r="9" spans="1:164" ht="13.9" customHeight="1" x14ac:dyDescent="0.25">
      <c r="A9" s="161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6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6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6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6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6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61"/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161"/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161"/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151"/>
      <c r="DN9" s="16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61"/>
      <c r="EB9" s="151"/>
      <c r="EC9" s="151"/>
      <c r="ED9" s="151"/>
      <c r="EE9" s="151"/>
      <c r="EF9" s="151"/>
      <c r="EG9" s="151"/>
      <c r="EH9" s="151"/>
      <c r="EI9" s="151"/>
      <c r="EJ9" s="151"/>
      <c r="EK9" s="151"/>
      <c r="EL9" s="151"/>
      <c r="EM9" s="151"/>
      <c r="EN9" s="161"/>
      <c r="EO9" s="151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161"/>
      <c r="FC9" s="191" t="str">
        <f t="shared" si="5"/>
        <v/>
      </c>
      <c r="FD9" s="247" t="str">
        <f t="shared" si="12"/>
        <v/>
      </c>
      <c r="FE9" s="152"/>
      <c r="FF9" s="201"/>
      <c r="FH9" s="169"/>
    </row>
    <row r="10" spans="1:164" s="125" customFormat="1" ht="13.9" customHeight="1" x14ac:dyDescent="0.25">
      <c r="A10" s="235" t="s">
        <v>659</v>
      </c>
      <c r="B10" s="229">
        <f t="shared" ref="B10:M10" si="14">+B11</f>
        <v>21</v>
      </c>
      <c r="C10" s="229">
        <f t="shared" si="14"/>
        <v>62</v>
      </c>
      <c r="D10" s="229">
        <f t="shared" si="14"/>
        <v>66</v>
      </c>
      <c r="E10" s="229">
        <f t="shared" si="14"/>
        <v>97</v>
      </c>
      <c r="F10" s="229">
        <f t="shared" si="14"/>
        <v>105</v>
      </c>
      <c r="G10" s="229">
        <f t="shared" si="14"/>
        <v>120</v>
      </c>
      <c r="H10" s="229">
        <f t="shared" si="14"/>
        <v>118</v>
      </c>
      <c r="I10" s="229">
        <f t="shared" si="14"/>
        <v>124</v>
      </c>
      <c r="J10" s="229">
        <f t="shared" si="14"/>
        <v>118</v>
      </c>
      <c r="K10" s="229">
        <f t="shared" si="14"/>
        <v>114</v>
      </c>
      <c r="L10" s="229">
        <f t="shared" si="14"/>
        <v>118</v>
      </c>
      <c r="M10" s="229">
        <f t="shared" si="14"/>
        <v>117</v>
      </c>
      <c r="N10" s="235">
        <f>SUM(B10:M10)</f>
        <v>1180</v>
      </c>
      <c r="O10" s="229">
        <f t="shared" ref="O10:AM10" si="15">+O11</f>
        <v>46</v>
      </c>
      <c r="P10" s="229">
        <f t="shared" si="15"/>
        <v>2</v>
      </c>
      <c r="Q10" s="229">
        <f t="shared" si="15"/>
        <v>0</v>
      </c>
      <c r="R10" s="229">
        <f t="shared" si="15"/>
        <v>51</v>
      </c>
      <c r="S10" s="229">
        <f t="shared" si="15"/>
        <v>81</v>
      </c>
      <c r="T10" s="229">
        <f t="shared" si="15"/>
        <v>86</v>
      </c>
      <c r="U10" s="229">
        <f t="shared" si="15"/>
        <v>92</v>
      </c>
      <c r="V10" s="229">
        <f t="shared" si="15"/>
        <v>96</v>
      </c>
      <c r="W10" s="229">
        <f t="shared" si="15"/>
        <v>90</v>
      </c>
      <c r="X10" s="229">
        <f t="shared" si="15"/>
        <v>94</v>
      </c>
      <c r="Y10" s="229">
        <f t="shared" si="15"/>
        <v>92</v>
      </c>
      <c r="Z10" s="229">
        <f t="shared" si="15"/>
        <v>92</v>
      </c>
      <c r="AA10" s="235">
        <f>SUM(O10:Z10)</f>
        <v>822</v>
      </c>
      <c r="AB10" s="229">
        <f t="shared" si="15"/>
        <v>88</v>
      </c>
      <c r="AC10" s="229">
        <f t="shared" si="15"/>
        <v>88</v>
      </c>
      <c r="AD10" s="229">
        <f t="shared" si="15"/>
        <v>84</v>
      </c>
      <c r="AE10" s="229">
        <f t="shared" si="15"/>
        <v>84</v>
      </c>
      <c r="AF10" s="229">
        <f t="shared" si="15"/>
        <v>93</v>
      </c>
      <c r="AG10" s="229">
        <f t="shared" si="15"/>
        <v>91</v>
      </c>
      <c r="AH10" s="229">
        <f t="shared" si="15"/>
        <v>90</v>
      </c>
      <c r="AI10" s="229">
        <f t="shared" si="15"/>
        <v>96</v>
      </c>
      <c r="AJ10" s="229">
        <f t="shared" si="15"/>
        <v>90</v>
      </c>
      <c r="AK10" s="229">
        <f t="shared" si="15"/>
        <v>98</v>
      </c>
      <c r="AL10" s="229">
        <f t="shared" si="15"/>
        <v>92</v>
      </c>
      <c r="AM10" s="229">
        <f t="shared" si="15"/>
        <v>92</v>
      </c>
      <c r="AN10" s="235">
        <f>SUM(AB10:AM10)</f>
        <v>1086</v>
      </c>
      <c r="AO10" s="229">
        <f t="shared" ref="AO10:AZ10" si="16">+AO11</f>
        <v>88</v>
      </c>
      <c r="AP10" s="229">
        <f t="shared" si="16"/>
        <v>79</v>
      </c>
      <c r="AQ10" s="229">
        <f t="shared" si="16"/>
        <v>90</v>
      </c>
      <c r="AR10" s="229">
        <f t="shared" si="16"/>
        <v>88</v>
      </c>
      <c r="AS10" s="229">
        <f t="shared" si="16"/>
        <v>86</v>
      </c>
      <c r="AT10" s="229">
        <f t="shared" si="16"/>
        <v>64</v>
      </c>
      <c r="AU10" s="229">
        <f t="shared" si="16"/>
        <v>70</v>
      </c>
      <c r="AV10" s="229">
        <f t="shared" si="16"/>
        <v>80</v>
      </c>
      <c r="AW10" s="229">
        <f t="shared" si="16"/>
        <v>82</v>
      </c>
      <c r="AX10" s="229">
        <f t="shared" si="16"/>
        <v>91</v>
      </c>
      <c r="AY10" s="229">
        <f t="shared" si="16"/>
        <v>88</v>
      </c>
      <c r="AZ10" s="229">
        <f t="shared" si="16"/>
        <v>96</v>
      </c>
      <c r="BA10" s="235">
        <f>SUM(AO10:AZ10)</f>
        <v>1002</v>
      </c>
      <c r="BB10" s="229">
        <f>+BB11</f>
        <v>106</v>
      </c>
      <c r="BC10" s="229">
        <f>+BC11</f>
        <v>97</v>
      </c>
      <c r="BD10" s="229">
        <f>+BD11</f>
        <v>96</v>
      </c>
      <c r="BE10" s="229">
        <f t="shared" ref="BE10:DK10" si="17">+BE11</f>
        <v>90</v>
      </c>
      <c r="BF10" s="229">
        <f t="shared" si="17"/>
        <v>95</v>
      </c>
      <c r="BG10" s="229">
        <f t="shared" si="17"/>
        <v>92</v>
      </c>
      <c r="BH10" s="229">
        <f t="shared" si="17"/>
        <v>94</v>
      </c>
      <c r="BI10" s="229">
        <f t="shared" si="17"/>
        <v>91</v>
      </c>
      <c r="BJ10" s="229">
        <f t="shared" si="17"/>
        <v>94</v>
      </c>
      <c r="BK10" s="229">
        <f t="shared" si="17"/>
        <v>92</v>
      </c>
      <c r="BL10" s="229">
        <f t="shared" si="17"/>
        <v>85</v>
      </c>
      <c r="BM10" s="229">
        <f t="shared" si="17"/>
        <v>87</v>
      </c>
      <c r="BN10" s="235">
        <f>SUM(BB10:BM10)</f>
        <v>1119</v>
      </c>
      <c r="BO10" s="229">
        <f t="shared" si="17"/>
        <v>83</v>
      </c>
      <c r="BP10" s="229">
        <f t="shared" si="17"/>
        <v>73</v>
      </c>
      <c r="BQ10" s="229">
        <f t="shared" si="17"/>
        <v>74</v>
      </c>
      <c r="BR10" s="229">
        <f t="shared" si="17"/>
        <v>69</v>
      </c>
      <c r="BS10" s="229">
        <f t="shared" si="17"/>
        <v>63</v>
      </c>
      <c r="BT10" s="229">
        <f t="shared" si="17"/>
        <v>62</v>
      </c>
      <c r="BU10" s="229">
        <f t="shared" si="17"/>
        <v>61</v>
      </c>
      <c r="BV10" s="229">
        <f t="shared" si="17"/>
        <v>58</v>
      </c>
      <c r="BW10" s="229">
        <f t="shared" si="17"/>
        <v>53</v>
      </c>
      <c r="BX10" s="229">
        <f t="shared" si="17"/>
        <v>53</v>
      </c>
      <c r="BY10" s="229">
        <f t="shared" si="17"/>
        <v>49</v>
      </c>
      <c r="BZ10" s="229">
        <f t="shared" si="17"/>
        <v>48</v>
      </c>
      <c r="CA10" s="235">
        <f t="shared" si="6"/>
        <v>746</v>
      </c>
      <c r="CB10" s="229">
        <f t="shared" si="17"/>
        <v>48</v>
      </c>
      <c r="CC10" s="229">
        <f t="shared" si="17"/>
        <v>41</v>
      </c>
      <c r="CD10" s="229">
        <f t="shared" si="17"/>
        <v>38.597000000000001</v>
      </c>
      <c r="CE10" s="229">
        <f t="shared" si="17"/>
        <v>36.426000000000002</v>
      </c>
      <c r="CF10" s="229">
        <f t="shared" si="17"/>
        <v>55.658999999999999</v>
      </c>
      <c r="CG10" s="229">
        <f t="shared" si="17"/>
        <v>25.838999999999999</v>
      </c>
      <c r="CH10" s="229">
        <f t="shared" si="17"/>
        <v>6.891</v>
      </c>
      <c r="CI10" s="229">
        <f t="shared" si="17"/>
        <v>64.787999999999997</v>
      </c>
      <c r="CJ10" s="229">
        <f t="shared" si="17"/>
        <v>60.526000000000003</v>
      </c>
      <c r="CK10" s="229">
        <f t="shared" si="17"/>
        <v>59.802999999999997</v>
      </c>
      <c r="CL10" s="229">
        <f t="shared" si="17"/>
        <v>51.887999999999998</v>
      </c>
      <c r="CM10" s="229">
        <f t="shared" si="17"/>
        <v>47.07</v>
      </c>
      <c r="CN10" s="235">
        <f t="shared" si="7"/>
        <v>536.48699999999997</v>
      </c>
      <c r="CO10" s="229">
        <f t="shared" si="17"/>
        <v>51.148000000000003</v>
      </c>
      <c r="CP10" s="229">
        <f t="shared" si="17"/>
        <v>40.625</v>
      </c>
      <c r="CQ10" s="229">
        <f t="shared" si="17"/>
        <v>43.576000000000001</v>
      </c>
      <c r="CR10" s="229">
        <f t="shared" si="17"/>
        <v>40.734999999999999</v>
      </c>
      <c r="CS10" s="229">
        <f t="shared" si="17"/>
        <v>41.344000000000001</v>
      </c>
      <c r="CT10" s="229">
        <f t="shared" si="17"/>
        <v>38.624000000000002</v>
      </c>
      <c r="CU10" s="229">
        <f t="shared" si="17"/>
        <v>37.712000000000003</v>
      </c>
      <c r="CV10" s="229">
        <f t="shared" si="17"/>
        <v>35.722999999999999</v>
      </c>
      <c r="CW10" s="229">
        <f t="shared" si="17"/>
        <v>33.386000000000003</v>
      </c>
      <c r="CX10" s="229">
        <f t="shared" si="17"/>
        <v>32.844000000000001</v>
      </c>
      <c r="CY10" s="229">
        <f t="shared" si="17"/>
        <v>30.736000000000001</v>
      </c>
      <c r="CZ10" s="229">
        <f t="shared" si="17"/>
        <v>27.463000000000001</v>
      </c>
      <c r="DA10" s="235">
        <f>SUM(CO10:CZ10)</f>
        <v>453.91600000000005</v>
      </c>
      <c r="DB10" s="229">
        <f t="shared" si="17"/>
        <v>25.146000000000001</v>
      </c>
      <c r="DC10" s="229">
        <f t="shared" si="17"/>
        <v>13.429</v>
      </c>
      <c r="DD10" s="229">
        <f t="shared" si="17"/>
        <v>15.618</v>
      </c>
      <c r="DE10" s="229">
        <f t="shared" si="17"/>
        <v>13.452999999999999</v>
      </c>
      <c r="DF10" s="229">
        <f t="shared" si="17"/>
        <v>14.879</v>
      </c>
      <c r="DG10" s="229">
        <f t="shared" si="17"/>
        <v>28.213999999999999</v>
      </c>
      <c r="DH10" s="229">
        <f t="shared" si="17"/>
        <v>39.743000000000002</v>
      </c>
      <c r="DI10" s="229">
        <f t="shared" si="17"/>
        <v>37.743000000000002</v>
      </c>
      <c r="DJ10" s="229">
        <f t="shared" si="17"/>
        <v>34.567999999999998</v>
      </c>
      <c r="DK10" s="229">
        <f t="shared" si="17"/>
        <v>33.991999999999997</v>
      </c>
      <c r="DL10" s="229">
        <f>+DL11</f>
        <v>31.864000000000001</v>
      </c>
      <c r="DM10" s="229">
        <f>+DM11</f>
        <v>31.776</v>
      </c>
      <c r="DN10" s="235">
        <f t="shared" si="8"/>
        <v>320.42500000000001</v>
      </c>
      <c r="DO10" s="229">
        <f t="shared" ref="DO10:DZ10" si="18">+DO11</f>
        <v>31.648</v>
      </c>
      <c r="DP10" s="229">
        <f t="shared" si="18"/>
        <v>26.661999999999999</v>
      </c>
      <c r="DQ10" s="229">
        <f t="shared" si="18"/>
        <v>27.882000000000001</v>
      </c>
      <c r="DR10" s="229">
        <f t="shared" si="18"/>
        <v>26.603000000000002</v>
      </c>
      <c r="DS10" s="229">
        <f t="shared" si="18"/>
        <v>25.565000000000001</v>
      </c>
      <c r="DT10" s="229">
        <f t="shared" si="18"/>
        <v>23.251999999999999</v>
      </c>
      <c r="DU10" s="229">
        <f t="shared" si="18"/>
        <v>22.54</v>
      </c>
      <c r="DV10" s="229">
        <f t="shared" si="18"/>
        <v>21.317</v>
      </c>
      <c r="DW10" s="229">
        <f t="shared" si="18"/>
        <v>19.843</v>
      </c>
      <c r="DX10" s="229">
        <f t="shared" si="18"/>
        <v>19.547000000000001</v>
      </c>
      <c r="DY10" s="229">
        <f t="shared" si="18"/>
        <v>17.824000000000002</v>
      </c>
      <c r="DZ10" s="229">
        <f t="shared" si="18"/>
        <v>18.318999999999999</v>
      </c>
      <c r="EA10" s="235">
        <f t="shared" si="9"/>
        <v>281.00200000000001</v>
      </c>
      <c r="EB10" s="229">
        <v>18.170000000000002</v>
      </c>
      <c r="EC10" s="229">
        <v>16.876999999999999</v>
      </c>
      <c r="ED10" s="229">
        <v>17.190999999999999</v>
      </c>
      <c r="EE10" s="229">
        <v>17.468</v>
      </c>
      <c r="EF10" s="229">
        <v>14.718</v>
      </c>
      <c r="EG10" s="229">
        <v>11.794</v>
      </c>
      <c r="EH10" s="229">
        <v>18.841999999999999</v>
      </c>
      <c r="EI10" s="229">
        <v>10.627000000000001</v>
      </c>
      <c r="EJ10" s="229">
        <v>16.167000000000002</v>
      </c>
      <c r="EK10" s="229">
        <v>16.341999999999999</v>
      </c>
      <c r="EL10" s="229">
        <v>13.632</v>
      </c>
      <c r="EM10" s="229">
        <v>13.632</v>
      </c>
      <c r="EN10" s="235">
        <f t="shared" ref="EN10:EN11" si="19">SUM(EB10:EM10)</f>
        <v>185.45999999999998</v>
      </c>
      <c r="EO10" s="229">
        <v>12.484</v>
      </c>
      <c r="EP10" s="229">
        <v>10.811999999999999</v>
      </c>
      <c r="EQ10" s="229">
        <v>0</v>
      </c>
      <c r="ER10" s="229"/>
      <c r="ES10" s="229"/>
      <c r="ET10" s="229"/>
      <c r="EU10" s="229"/>
      <c r="EV10" s="229"/>
      <c r="EW10" s="229"/>
      <c r="EX10" s="229"/>
      <c r="EY10" s="229"/>
      <c r="EZ10" s="229"/>
      <c r="FA10" s="235">
        <f t="shared" si="11"/>
        <v>23.295999999999999</v>
      </c>
      <c r="FB10" s="110"/>
      <c r="FC10" s="338">
        <f t="shared" si="5"/>
        <v>-100</v>
      </c>
      <c r="FD10" s="256">
        <f t="shared" si="12"/>
        <v>-91.131515933653873</v>
      </c>
      <c r="FE10" s="237">
        <f>SUM(DO10:DY10)</f>
        <v>262.68299999999999</v>
      </c>
      <c r="FF10" s="238">
        <f t="shared" si="13"/>
        <v>23.295999999999999</v>
      </c>
      <c r="FH10" s="413"/>
    </row>
    <row r="11" spans="1:164" ht="13.9" customHeight="1" x14ac:dyDescent="0.25">
      <c r="A11" s="445" t="s">
        <v>268</v>
      </c>
      <c r="B11" s="151">
        <v>21</v>
      </c>
      <c r="C11" s="151">
        <v>62</v>
      </c>
      <c r="D11" s="151">
        <v>66</v>
      </c>
      <c r="E11" s="151">
        <v>97</v>
      </c>
      <c r="F11" s="151">
        <v>105</v>
      </c>
      <c r="G11" s="151">
        <v>120</v>
      </c>
      <c r="H11" s="151">
        <v>118</v>
      </c>
      <c r="I11" s="151">
        <v>124</v>
      </c>
      <c r="J11" s="151">
        <v>118</v>
      </c>
      <c r="K11" s="151">
        <v>114</v>
      </c>
      <c r="L11" s="151">
        <v>118</v>
      </c>
      <c r="M11" s="151">
        <v>117</v>
      </c>
      <c r="N11" s="161">
        <f>SUM(B11:M11)</f>
        <v>1180</v>
      </c>
      <c r="O11" s="151">
        <v>46</v>
      </c>
      <c r="P11" s="151">
        <v>2</v>
      </c>
      <c r="Q11" s="151">
        <v>0</v>
      </c>
      <c r="R11" s="151">
        <v>51</v>
      </c>
      <c r="S11" s="151">
        <v>81</v>
      </c>
      <c r="T11" s="151">
        <v>86</v>
      </c>
      <c r="U11" s="151">
        <v>92</v>
      </c>
      <c r="V11" s="151">
        <v>96</v>
      </c>
      <c r="W11" s="151">
        <v>90</v>
      </c>
      <c r="X11" s="151">
        <v>94</v>
      </c>
      <c r="Y11" s="151">
        <v>92</v>
      </c>
      <c r="Z11" s="151">
        <v>92</v>
      </c>
      <c r="AA11" s="161">
        <f>SUM(O11:Z11)</f>
        <v>822</v>
      </c>
      <c r="AB11" s="151">
        <v>88</v>
      </c>
      <c r="AC11" s="151">
        <v>88</v>
      </c>
      <c r="AD11" s="151">
        <v>84</v>
      </c>
      <c r="AE11" s="151">
        <v>84</v>
      </c>
      <c r="AF11" s="151">
        <v>93</v>
      </c>
      <c r="AG11" s="151">
        <v>91</v>
      </c>
      <c r="AH11" s="151">
        <v>90</v>
      </c>
      <c r="AI11" s="151">
        <v>96</v>
      </c>
      <c r="AJ11" s="151">
        <v>90</v>
      </c>
      <c r="AK11" s="151">
        <v>98</v>
      </c>
      <c r="AL11" s="151">
        <v>92</v>
      </c>
      <c r="AM11" s="151">
        <v>92</v>
      </c>
      <c r="AN11" s="161">
        <f>SUM(AB11:AM11)</f>
        <v>1086</v>
      </c>
      <c r="AO11" s="151">
        <v>88</v>
      </c>
      <c r="AP11" s="151">
        <v>79</v>
      </c>
      <c r="AQ11" s="151">
        <v>90</v>
      </c>
      <c r="AR11" s="151">
        <v>88</v>
      </c>
      <c r="AS11" s="151">
        <v>86</v>
      </c>
      <c r="AT11" s="151">
        <v>64</v>
      </c>
      <c r="AU11" s="151">
        <v>70</v>
      </c>
      <c r="AV11" s="151">
        <v>80</v>
      </c>
      <c r="AW11" s="151">
        <v>82</v>
      </c>
      <c r="AX11" s="151">
        <v>91</v>
      </c>
      <c r="AY11" s="151">
        <v>88</v>
      </c>
      <c r="AZ11" s="151">
        <v>96</v>
      </c>
      <c r="BA11" s="161">
        <f>SUM(AO11:AZ11)</f>
        <v>1002</v>
      </c>
      <c r="BB11" s="151">
        <v>106</v>
      </c>
      <c r="BC11" s="151">
        <v>97</v>
      </c>
      <c r="BD11" s="151">
        <v>96</v>
      </c>
      <c r="BE11" s="151">
        <v>90</v>
      </c>
      <c r="BF11" s="151">
        <v>95</v>
      </c>
      <c r="BG11" s="151">
        <v>92</v>
      </c>
      <c r="BH11" s="151">
        <v>94</v>
      </c>
      <c r="BI11" s="151">
        <v>91</v>
      </c>
      <c r="BJ11" s="151">
        <v>94</v>
      </c>
      <c r="BK11" s="151">
        <v>92</v>
      </c>
      <c r="BL11" s="151">
        <v>85</v>
      </c>
      <c r="BM11" s="151">
        <v>87</v>
      </c>
      <c r="BN11" s="161">
        <f>SUM(BB11:BM11)</f>
        <v>1119</v>
      </c>
      <c r="BO11" s="151">
        <v>83</v>
      </c>
      <c r="BP11" s="151">
        <v>73</v>
      </c>
      <c r="BQ11" s="151">
        <v>74</v>
      </c>
      <c r="BR11" s="151">
        <v>69</v>
      </c>
      <c r="BS11" s="151">
        <v>63</v>
      </c>
      <c r="BT11" s="151">
        <v>62</v>
      </c>
      <c r="BU11" s="151">
        <v>61</v>
      </c>
      <c r="BV11" s="151">
        <v>58</v>
      </c>
      <c r="BW11" s="151">
        <v>53</v>
      </c>
      <c r="BX11" s="151">
        <v>53</v>
      </c>
      <c r="BY11" s="151">
        <v>49</v>
      </c>
      <c r="BZ11" s="151">
        <v>48</v>
      </c>
      <c r="CA11" s="161">
        <f t="shared" si="6"/>
        <v>746</v>
      </c>
      <c r="CB11" s="151">
        <v>48</v>
      </c>
      <c r="CC11" s="151">
        <v>41</v>
      </c>
      <c r="CD11" s="151">
        <v>38.597000000000001</v>
      </c>
      <c r="CE11" s="151">
        <v>36.426000000000002</v>
      </c>
      <c r="CF11" s="151">
        <v>55.658999999999999</v>
      </c>
      <c r="CG11" s="151">
        <v>25.838999999999999</v>
      </c>
      <c r="CH11" s="151">
        <v>6.891</v>
      </c>
      <c r="CI11" s="151">
        <v>64.787999999999997</v>
      </c>
      <c r="CJ11" s="151">
        <v>60.526000000000003</v>
      </c>
      <c r="CK11" s="151">
        <v>59.802999999999997</v>
      </c>
      <c r="CL11" s="151">
        <v>51.887999999999998</v>
      </c>
      <c r="CM11" s="151">
        <v>47.07</v>
      </c>
      <c r="CN11" s="161">
        <f t="shared" si="7"/>
        <v>536.48699999999997</v>
      </c>
      <c r="CO11" s="151">
        <v>51.148000000000003</v>
      </c>
      <c r="CP11" s="151">
        <v>40.625</v>
      </c>
      <c r="CQ11" s="151">
        <v>43.576000000000001</v>
      </c>
      <c r="CR11" s="151">
        <v>40.734999999999999</v>
      </c>
      <c r="CS11" s="151">
        <v>41.344000000000001</v>
      </c>
      <c r="CT11" s="151">
        <v>38.624000000000002</v>
      </c>
      <c r="CU11" s="151">
        <v>37.712000000000003</v>
      </c>
      <c r="CV11" s="151">
        <v>35.722999999999999</v>
      </c>
      <c r="CW11" s="151">
        <v>33.386000000000003</v>
      </c>
      <c r="CX11" s="151">
        <v>32.844000000000001</v>
      </c>
      <c r="CY11" s="151">
        <v>30.736000000000001</v>
      </c>
      <c r="CZ11" s="151">
        <v>27.463000000000001</v>
      </c>
      <c r="DA11" s="161">
        <f>SUM(CO11:CZ11)</f>
        <v>453.91600000000005</v>
      </c>
      <c r="DB11" s="151">
        <v>25.146000000000001</v>
      </c>
      <c r="DC11" s="151">
        <v>13.429</v>
      </c>
      <c r="DD11" s="151">
        <v>15.618</v>
      </c>
      <c r="DE11" s="151">
        <v>13.452999999999999</v>
      </c>
      <c r="DF11" s="151">
        <v>14.879</v>
      </c>
      <c r="DG11" s="151">
        <v>28.213999999999999</v>
      </c>
      <c r="DH11" s="151">
        <v>39.743000000000002</v>
      </c>
      <c r="DI11" s="151">
        <v>37.743000000000002</v>
      </c>
      <c r="DJ11" s="151">
        <v>34.567999999999998</v>
      </c>
      <c r="DK11" s="151">
        <v>33.991999999999997</v>
      </c>
      <c r="DL11" s="151">
        <v>31.864000000000001</v>
      </c>
      <c r="DM11" s="151">
        <v>31.776</v>
      </c>
      <c r="DN11" s="161">
        <f t="shared" si="8"/>
        <v>320.42500000000001</v>
      </c>
      <c r="DO11" s="151">
        <v>31.648</v>
      </c>
      <c r="DP11" s="151">
        <v>26.661999999999999</v>
      </c>
      <c r="DQ11" s="151">
        <v>27.882000000000001</v>
      </c>
      <c r="DR11" s="151">
        <v>26.603000000000002</v>
      </c>
      <c r="DS11" s="151">
        <v>25.565000000000001</v>
      </c>
      <c r="DT11" s="151">
        <v>23.251999999999999</v>
      </c>
      <c r="DU11" s="151">
        <v>22.54</v>
      </c>
      <c r="DV11" s="151">
        <v>21.317</v>
      </c>
      <c r="DW11" s="151">
        <v>19.843</v>
      </c>
      <c r="DX11" s="151">
        <v>19.547000000000001</v>
      </c>
      <c r="DY11" s="151">
        <v>17.824000000000002</v>
      </c>
      <c r="DZ11" s="151">
        <v>18.318999999999999</v>
      </c>
      <c r="EA11" s="161">
        <f t="shared" si="9"/>
        <v>281.00200000000001</v>
      </c>
      <c r="EB11" s="151">
        <v>18.170000000000002</v>
      </c>
      <c r="EC11" s="151">
        <v>16.876999999999999</v>
      </c>
      <c r="ED11" s="151">
        <v>17.190999999999999</v>
      </c>
      <c r="EE11" s="151">
        <v>17.468</v>
      </c>
      <c r="EF11" s="151">
        <v>14.718</v>
      </c>
      <c r="EG11" s="151">
        <v>11.794</v>
      </c>
      <c r="EH11" s="151">
        <v>18.841999999999999</v>
      </c>
      <c r="EI11" s="151">
        <v>10.627000000000001</v>
      </c>
      <c r="EJ11" s="151">
        <v>16.167000000000002</v>
      </c>
      <c r="EK11" s="151">
        <v>16.341999999999999</v>
      </c>
      <c r="EL11" s="151">
        <v>13.632</v>
      </c>
      <c r="EM11" s="151">
        <v>13</v>
      </c>
      <c r="EN11" s="161">
        <f t="shared" si="19"/>
        <v>184.82799999999997</v>
      </c>
      <c r="EO11" s="151">
        <v>12.484</v>
      </c>
      <c r="EP11" s="151">
        <v>10.811999999999999</v>
      </c>
      <c r="EQ11" s="151">
        <v>0</v>
      </c>
      <c r="ER11" s="151"/>
      <c r="ES11" s="151"/>
      <c r="ET11" s="151"/>
      <c r="EU11" s="151"/>
      <c r="EV11" s="151"/>
      <c r="EW11" s="151"/>
      <c r="EX11" s="151"/>
      <c r="EY11" s="151"/>
      <c r="EZ11" s="151"/>
      <c r="FA11" s="161">
        <f t="shared" si="11"/>
        <v>23.295999999999999</v>
      </c>
      <c r="FC11" s="191">
        <f t="shared" si="5"/>
        <v>-100</v>
      </c>
      <c r="FD11" s="247">
        <f t="shared" si="12"/>
        <v>-91.131515933653873</v>
      </c>
      <c r="FE11" s="152">
        <f>SUM(DO11:DY11)</f>
        <v>262.68299999999999</v>
      </c>
      <c r="FF11" s="201">
        <f t="shared" si="13"/>
        <v>23.295999999999999</v>
      </c>
      <c r="FH11" s="169"/>
    </row>
    <row r="12" spans="1:164" ht="13.9" customHeight="1" x14ac:dyDescent="0.25">
      <c r="A12" s="161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6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6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61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6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6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61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16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6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6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61"/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151"/>
      <c r="EN12" s="161"/>
      <c r="EO12" s="151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151"/>
      <c r="FA12" s="161"/>
      <c r="FC12" s="191" t="str">
        <f t="shared" si="5"/>
        <v/>
      </c>
      <c r="FD12" s="247" t="str">
        <f t="shared" si="12"/>
        <v/>
      </c>
      <c r="FE12" s="152"/>
      <c r="FF12" s="201"/>
      <c r="FH12" s="169"/>
    </row>
    <row r="13" spans="1:164" s="125" customFormat="1" ht="13.9" customHeight="1" x14ac:dyDescent="0.25">
      <c r="A13" s="235" t="s">
        <v>660</v>
      </c>
      <c r="B13" s="229">
        <f t="shared" ref="B13:M13" si="20">+B14</f>
        <v>394</v>
      </c>
      <c r="C13" s="229">
        <f t="shared" si="20"/>
        <v>398</v>
      </c>
      <c r="D13" s="229">
        <f t="shared" si="20"/>
        <v>460</v>
      </c>
      <c r="E13" s="229">
        <f t="shared" si="20"/>
        <v>437</v>
      </c>
      <c r="F13" s="229">
        <f t="shared" si="20"/>
        <v>509</v>
      </c>
      <c r="G13" s="229">
        <f t="shared" si="20"/>
        <v>416</v>
      </c>
      <c r="H13" s="229">
        <f t="shared" si="20"/>
        <v>367</v>
      </c>
      <c r="I13" s="229">
        <f t="shared" si="20"/>
        <v>850</v>
      </c>
      <c r="J13" s="229">
        <f t="shared" si="20"/>
        <v>610</v>
      </c>
      <c r="K13" s="229">
        <f t="shared" si="20"/>
        <v>610</v>
      </c>
      <c r="L13" s="229">
        <f t="shared" si="20"/>
        <v>490</v>
      </c>
      <c r="M13" s="229">
        <f t="shared" si="20"/>
        <v>601</v>
      </c>
      <c r="N13" s="235">
        <f>SUM(B13:M13)</f>
        <v>6142</v>
      </c>
      <c r="O13" s="229">
        <f t="shared" ref="O13:AM13" si="21">+O14</f>
        <v>922</v>
      </c>
      <c r="P13" s="229">
        <f t="shared" si="21"/>
        <v>542</v>
      </c>
      <c r="Q13" s="229">
        <f t="shared" si="21"/>
        <v>423</v>
      </c>
      <c r="R13" s="229">
        <f t="shared" si="21"/>
        <v>454</v>
      </c>
      <c r="S13" s="229">
        <f t="shared" si="21"/>
        <v>404</v>
      </c>
      <c r="T13" s="229">
        <f t="shared" si="21"/>
        <v>745</v>
      </c>
      <c r="U13" s="229">
        <f t="shared" si="21"/>
        <v>274</v>
      </c>
      <c r="V13" s="229">
        <f t="shared" si="21"/>
        <v>194</v>
      </c>
      <c r="W13" s="229">
        <f t="shared" si="21"/>
        <v>139</v>
      </c>
      <c r="X13" s="229">
        <f t="shared" si="21"/>
        <v>318</v>
      </c>
      <c r="Y13" s="229">
        <f t="shared" si="21"/>
        <v>181</v>
      </c>
      <c r="Z13" s="229">
        <f t="shared" si="21"/>
        <v>2</v>
      </c>
      <c r="AA13" s="235">
        <f>SUM(O13:Z13)</f>
        <v>4598</v>
      </c>
      <c r="AB13" s="229">
        <f t="shared" si="21"/>
        <v>4</v>
      </c>
      <c r="AC13" s="229">
        <f t="shared" si="21"/>
        <v>40</v>
      </c>
      <c r="AD13" s="229">
        <f t="shared" si="21"/>
        <v>466</v>
      </c>
      <c r="AE13" s="229">
        <f t="shared" si="21"/>
        <v>3</v>
      </c>
      <c r="AF13" s="229">
        <f t="shared" si="21"/>
        <v>24</v>
      </c>
      <c r="AG13" s="229">
        <f t="shared" si="21"/>
        <v>3</v>
      </c>
      <c r="AH13" s="229">
        <f t="shared" si="21"/>
        <v>26</v>
      </c>
      <c r="AI13" s="229">
        <f t="shared" si="21"/>
        <v>120</v>
      </c>
      <c r="AJ13" s="229">
        <f t="shared" si="21"/>
        <v>491</v>
      </c>
      <c r="AK13" s="229">
        <f t="shared" si="21"/>
        <v>49</v>
      </c>
      <c r="AL13" s="229">
        <f t="shared" si="21"/>
        <v>264</v>
      </c>
      <c r="AM13" s="229">
        <f t="shared" si="21"/>
        <v>95</v>
      </c>
      <c r="AN13" s="235">
        <f>SUM(AB13:AM13)</f>
        <v>1585</v>
      </c>
      <c r="AO13" s="229">
        <f t="shared" ref="AO13:AZ13" si="22">+AO14</f>
        <v>117</v>
      </c>
      <c r="AP13" s="229">
        <f t="shared" si="22"/>
        <v>576</v>
      </c>
      <c r="AQ13" s="229">
        <f t="shared" si="22"/>
        <v>109</v>
      </c>
      <c r="AR13" s="229">
        <f t="shared" si="22"/>
        <v>59</v>
      </c>
      <c r="AS13" s="229">
        <f t="shared" si="22"/>
        <v>275</v>
      </c>
      <c r="AT13" s="229">
        <f t="shared" si="22"/>
        <v>258</v>
      </c>
      <c r="AU13" s="229">
        <f t="shared" si="22"/>
        <v>749</v>
      </c>
      <c r="AV13" s="229">
        <f t="shared" si="22"/>
        <v>779</v>
      </c>
      <c r="AW13" s="229">
        <f t="shared" si="22"/>
        <v>1128</v>
      </c>
      <c r="AX13" s="229">
        <f t="shared" si="22"/>
        <v>201</v>
      </c>
      <c r="AY13" s="229">
        <f t="shared" si="22"/>
        <v>2</v>
      </c>
      <c r="AZ13" s="229">
        <f t="shared" si="22"/>
        <v>285</v>
      </c>
      <c r="BA13" s="235">
        <f>SUM(AO13:AZ13)</f>
        <v>4538</v>
      </c>
      <c r="BB13" s="229">
        <f>+BB14</f>
        <v>266</v>
      </c>
      <c r="BC13" s="229">
        <f>+BC14</f>
        <v>191</v>
      </c>
      <c r="BD13" s="229">
        <f>+BD14</f>
        <v>101</v>
      </c>
      <c r="BE13" s="229">
        <f t="shared" ref="BE13:BZ13" si="23">+BE14</f>
        <v>106</v>
      </c>
      <c r="BF13" s="229">
        <f t="shared" si="23"/>
        <v>381</v>
      </c>
      <c r="BG13" s="229">
        <f t="shared" si="23"/>
        <v>272</v>
      </c>
      <c r="BH13" s="229">
        <f t="shared" si="23"/>
        <v>338</v>
      </c>
      <c r="BI13" s="229">
        <f t="shared" si="23"/>
        <v>894</v>
      </c>
      <c r="BJ13" s="229">
        <f t="shared" si="23"/>
        <v>634</v>
      </c>
      <c r="BK13" s="229">
        <f t="shared" si="23"/>
        <v>609</v>
      </c>
      <c r="BL13" s="229">
        <f t="shared" si="23"/>
        <v>188</v>
      </c>
      <c r="BM13" s="229">
        <f t="shared" si="23"/>
        <v>24</v>
      </c>
      <c r="BN13" s="235">
        <f>SUM(BB13:BM13)</f>
        <v>4004</v>
      </c>
      <c r="BO13" s="229">
        <f t="shared" si="23"/>
        <v>94</v>
      </c>
      <c r="BP13" s="229">
        <f t="shared" si="23"/>
        <v>110</v>
      </c>
      <c r="BQ13" s="229">
        <f t="shared" si="23"/>
        <v>7</v>
      </c>
      <c r="BR13" s="229">
        <f t="shared" si="23"/>
        <v>2</v>
      </c>
      <c r="BS13" s="229">
        <f t="shared" si="23"/>
        <v>2</v>
      </c>
      <c r="BT13" s="229">
        <f t="shared" si="23"/>
        <v>3</v>
      </c>
      <c r="BU13" s="229">
        <f t="shared" si="23"/>
        <v>1</v>
      </c>
      <c r="BV13" s="229">
        <f t="shared" si="23"/>
        <v>1</v>
      </c>
      <c r="BW13" s="229">
        <f t="shared" si="23"/>
        <v>27</v>
      </c>
      <c r="BX13" s="229">
        <f t="shared" si="23"/>
        <v>142</v>
      </c>
      <c r="BY13" s="229">
        <f t="shared" si="23"/>
        <v>541</v>
      </c>
      <c r="BZ13" s="229">
        <f t="shared" si="23"/>
        <v>30</v>
      </c>
      <c r="CA13" s="235">
        <f t="shared" si="6"/>
        <v>960</v>
      </c>
      <c r="CB13" s="229">
        <f t="shared" ref="CB13:DK13" si="24">+CB14</f>
        <v>56</v>
      </c>
      <c r="CC13" s="229">
        <f t="shared" si="24"/>
        <v>184</v>
      </c>
      <c r="CD13" s="229">
        <f t="shared" si="24"/>
        <v>168.49251989999999</v>
      </c>
      <c r="CE13" s="229">
        <f t="shared" si="24"/>
        <v>4.7132604999999996</v>
      </c>
      <c r="CF13" s="229">
        <f t="shared" si="24"/>
        <v>206.45737489999999</v>
      </c>
      <c r="CG13" s="229">
        <f t="shared" si="24"/>
        <v>270.62</v>
      </c>
      <c r="CH13" s="229">
        <f t="shared" si="24"/>
        <v>218.18899999999999</v>
      </c>
      <c r="CI13" s="229">
        <f t="shared" si="24"/>
        <v>538.91700000000003</v>
      </c>
      <c r="CJ13" s="229">
        <f t="shared" si="24"/>
        <v>582.0956698</v>
      </c>
      <c r="CK13" s="229">
        <f t="shared" si="24"/>
        <v>258.19499999999999</v>
      </c>
      <c r="CL13" s="229">
        <f t="shared" si="24"/>
        <v>53.658000000000001</v>
      </c>
      <c r="CM13" s="229">
        <f t="shared" si="24"/>
        <v>17.73</v>
      </c>
      <c r="CN13" s="235">
        <f t="shared" si="7"/>
        <v>2559.0678250999999</v>
      </c>
      <c r="CO13" s="229">
        <f t="shared" si="24"/>
        <v>186</v>
      </c>
      <c r="CP13" s="229">
        <f t="shared" si="24"/>
        <v>95.355000000000004</v>
      </c>
      <c r="CQ13" s="229">
        <f t="shared" si="24"/>
        <v>132.26728410000001</v>
      </c>
      <c r="CR13" s="229">
        <f t="shared" si="24"/>
        <v>150.78967610000001</v>
      </c>
      <c r="CS13" s="229">
        <f t="shared" si="24"/>
        <v>126.7180441</v>
      </c>
      <c r="CT13" s="229">
        <f t="shared" si="24"/>
        <v>437.536</v>
      </c>
      <c r="CU13" s="229">
        <f t="shared" si="24"/>
        <v>509.137</v>
      </c>
      <c r="CV13" s="229">
        <f t="shared" si="24"/>
        <v>397.327</v>
      </c>
      <c r="CW13" s="229">
        <f t="shared" si="24"/>
        <v>575.73</v>
      </c>
      <c r="CX13" s="229">
        <f t="shared" si="24"/>
        <v>118.964</v>
      </c>
      <c r="CY13" s="229">
        <f t="shared" si="24"/>
        <v>694.34799999999996</v>
      </c>
      <c r="CZ13" s="229">
        <f t="shared" si="24"/>
        <v>504.584</v>
      </c>
      <c r="DA13" s="235">
        <f>SUM(CO13:CZ13)</f>
        <v>3928.7560042999999</v>
      </c>
      <c r="DB13" s="229">
        <f t="shared" si="24"/>
        <v>212.624</v>
      </c>
      <c r="DC13" s="229">
        <f t="shared" si="24"/>
        <v>25.949000000000002</v>
      </c>
      <c r="DD13" s="229">
        <f t="shared" si="24"/>
        <v>281.96800000000002</v>
      </c>
      <c r="DE13" s="229">
        <f t="shared" si="24"/>
        <v>174.404</v>
      </c>
      <c r="DF13" s="229">
        <f t="shared" si="24"/>
        <v>418.95</v>
      </c>
      <c r="DG13" s="229">
        <f t="shared" si="24"/>
        <v>729.73099999999999</v>
      </c>
      <c r="DH13" s="229">
        <f t="shared" si="24"/>
        <v>558.197</v>
      </c>
      <c r="DI13" s="229">
        <f t="shared" si="24"/>
        <v>477.471</v>
      </c>
      <c r="DJ13" s="229">
        <f t="shared" si="24"/>
        <v>682.78599999999994</v>
      </c>
      <c r="DK13" s="229">
        <f t="shared" si="24"/>
        <v>398.88600000000002</v>
      </c>
      <c r="DL13" s="229">
        <f>+DL14</f>
        <v>400.83906999999999</v>
      </c>
      <c r="DM13" s="229">
        <f>+DM14</f>
        <v>144.2624036</v>
      </c>
      <c r="DN13" s="235">
        <f t="shared" si="8"/>
        <v>4506.0674736000001</v>
      </c>
      <c r="DO13" s="229">
        <f t="shared" ref="DO13:DZ13" si="25">+DO14</f>
        <v>189.99</v>
      </c>
      <c r="DP13" s="229">
        <f t="shared" si="25"/>
        <v>154.446</v>
      </c>
      <c r="DQ13" s="229">
        <f t="shared" si="25"/>
        <v>23.295999999999999</v>
      </c>
      <c r="DR13" s="229">
        <f t="shared" si="25"/>
        <v>34.145000000000003</v>
      </c>
      <c r="DS13" s="229">
        <f t="shared" si="25"/>
        <v>24.917000000000002</v>
      </c>
      <c r="DT13" s="229">
        <f t="shared" si="25"/>
        <v>182.83199999999999</v>
      </c>
      <c r="DU13" s="229">
        <f t="shared" si="25"/>
        <v>522.44100000000003</v>
      </c>
      <c r="DV13" s="229">
        <f t="shared" si="25"/>
        <v>292.31400000000002</v>
      </c>
      <c r="DW13" s="229">
        <f t="shared" si="25"/>
        <v>437.90899999999999</v>
      </c>
      <c r="DX13" s="229">
        <f t="shared" si="25"/>
        <v>428.911</v>
      </c>
      <c r="DY13" s="229">
        <f t="shared" si="25"/>
        <v>172.55</v>
      </c>
      <c r="DZ13" s="229">
        <f t="shared" si="25"/>
        <v>531.66179999999997</v>
      </c>
      <c r="EA13" s="235">
        <f t="shared" si="9"/>
        <v>2995.4128000000001</v>
      </c>
      <c r="EB13" s="229">
        <v>70.375961000000004</v>
      </c>
      <c r="EC13" s="229">
        <v>190.25559899999999</v>
      </c>
      <c r="ED13" s="229">
        <v>105.51828999999999</v>
      </c>
      <c r="EE13" s="229">
        <v>74.224999999999994</v>
      </c>
      <c r="EF13" s="229">
        <v>6.2779999999999996</v>
      </c>
      <c r="EG13" s="229">
        <v>116.036</v>
      </c>
      <c r="EH13" s="229">
        <v>59.591000000000001</v>
      </c>
      <c r="EI13" s="229">
        <v>95.0893528</v>
      </c>
      <c r="EJ13" s="229">
        <v>64.653000000000006</v>
      </c>
      <c r="EK13" s="229">
        <v>39.560129799999999</v>
      </c>
      <c r="EL13" s="229">
        <v>840.14269999999999</v>
      </c>
      <c r="EM13" s="229">
        <v>199</v>
      </c>
      <c r="EN13" s="235">
        <f t="shared" ref="EN13:EN14" si="26">SUM(EB13:EM13)</f>
        <v>1860.7250326000001</v>
      </c>
      <c r="EO13" s="229">
        <v>39.584000000000003</v>
      </c>
      <c r="EP13" s="229">
        <v>119.44799999999999</v>
      </c>
      <c r="EQ13" s="229">
        <v>287.63200000000001</v>
      </c>
      <c r="ER13" s="229"/>
      <c r="ES13" s="229"/>
      <c r="ET13" s="229"/>
      <c r="EU13" s="229"/>
      <c r="EV13" s="229"/>
      <c r="EW13" s="229"/>
      <c r="EX13" s="229"/>
      <c r="EY13" s="229"/>
      <c r="EZ13" s="229"/>
      <c r="FA13" s="235">
        <f t="shared" si="11"/>
        <v>446.66399999999999</v>
      </c>
      <c r="FB13" s="110"/>
      <c r="FC13" s="338">
        <f t="shared" si="5"/>
        <v>-100</v>
      </c>
      <c r="FD13" s="256">
        <f t="shared" si="12"/>
        <v>-81.870570524375225</v>
      </c>
      <c r="FE13" s="237">
        <f>SUM(DO13:DY13)</f>
        <v>2463.7510000000002</v>
      </c>
      <c r="FF13" s="238">
        <f t="shared" si="13"/>
        <v>446.66399999999999</v>
      </c>
      <c r="FH13" s="413"/>
    </row>
    <row r="14" spans="1:164" ht="13.9" customHeight="1" x14ac:dyDescent="0.25">
      <c r="A14" s="445" t="s">
        <v>354</v>
      </c>
      <c r="B14" s="151">
        <v>394</v>
      </c>
      <c r="C14" s="151">
        <v>398</v>
      </c>
      <c r="D14" s="151">
        <v>460</v>
      </c>
      <c r="E14" s="151">
        <v>437</v>
      </c>
      <c r="F14" s="151">
        <v>509</v>
      </c>
      <c r="G14" s="151">
        <v>416</v>
      </c>
      <c r="H14" s="151">
        <v>367</v>
      </c>
      <c r="I14" s="151">
        <v>850</v>
      </c>
      <c r="J14" s="151">
        <v>610</v>
      </c>
      <c r="K14" s="151">
        <v>610</v>
      </c>
      <c r="L14" s="151">
        <v>490</v>
      </c>
      <c r="M14" s="151">
        <v>601</v>
      </c>
      <c r="N14" s="161">
        <f>SUM(B14:M14)</f>
        <v>6142</v>
      </c>
      <c r="O14" s="151">
        <v>922</v>
      </c>
      <c r="P14" s="151">
        <v>542</v>
      </c>
      <c r="Q14" s="151">
        <v>423</v>
      </c>
      <c r="R14" s="151">
        <v>454</v>
      </c>
      <c r="S14" s="151">
        <v>404</v>
      </c>
      <c r="T14" s="151">
        <v>745</v>
      </c>
      <c r="U14" s="151">
        <v>274</v>
      </c>
      <c r="V14" s="151">
        <v>194</v>
      </c>
      <c r="W14" s="151">
        <v>139</v>
      </c>
      <c r="X14" s="151">
        <v>318</v>
      </c>
      <c r="Y14" s="151">
        <v>181</v>
      </c>
      <c r="Z14" s="151">
        <v>2</v>
      </c>
      <c r="AA14" s="161">
        <f>SUM(O14:Z14)</f>
        <v>4598</v>
      </c>
      <c r="AB14" s="151">
        <v>4</v>
      </c>
      <c r="AC14" s="151">
        <v>40</v>
      </c>
      <c r="AD14" s="151">
        <v>466</v>
      </c>
      <c r="AE14" s="151">
        <v>3</v>
      </c>
      <c r="AF14" s="151">
        <v>24</v>
      </c>
      <c r="AG14" s="151">
        <v>3</v>
      </c>
      <c r="AH14" s="151">
        <v>26</v>
      </c>
      <c r="AI14" s="151">
        <v>120</v>
      </c>
      <c r="AJ14" s="151">
        <v>491</v>
      </c>
      <c r="AK14" s="151">
        <v>49</v>
      </c>
      <c r="AL14" s="151">
        <v>264</v>
      </c>
      <c r="AM14" s="151">
        <v>95</v>
      </c>
      <c r="AN14" s="161">
        <f>SUM(AB14:AM14)</f>
        <v>1585</v>
      </c>
      <c r="AO14" s="151">
        <v>117</v>
      </c>
      <c r="AP14" s="151">
        <v>576</v>
      </c>
      <c r="AQ14" s="151">
        <v>109</v>
      </c>
      <c r="AR14" s="151">
        <v>59</v>
      </c>
      <c r="AS14" s="151">
        <v>275</v>
      </c>
      <c r="AT14" s="151">
        <v>258</v>
      </c>
      <c r="AU14" s="151">
        <v>749</v>
      </c>
      <c r="AV14" s="151">
        <v>779</v>
      </c>
      <c r="AW14" s="151">
        <v>1128</v>
      </c>
      <c r="AX14" s="151">
        <v>201</v>
      </c>
      <c r="AY14" s="151">
        <v>2</v>
      </c>
      <c r="AZ14" s="151">
        <v>285</v>
      </c>
      <c r="BA14" s="161">
        <f>SUM(AO14:AZ14)</f>
        <v>4538</v>
      </c>
      <c r="BB14" s="151">
        <v>266</v>
      </c>
      <c r="BC14" s="151">
        <v>191</v>
      </c>
      <c r="BD14" s="151">
        <v>101</v>
      </c>
      <c r="BE14" s="151">
        <v>106</v>
      </c>
      <c r="BF14" s="151">
        <v>381</v>
      </c>
      <c r="BG14" s="151">
        <v>272</v>
      </c>
      <c r="BH14" s="151">
        <v>338</v>
      </c>
      <c r="BI14" s="151">
        <v>894</v>
      </c>
      <c r="BJ14" s="151">
        <v>634</v>
      </c>
      <c r="BK14" s="151">
        <v>609</v>
      </c>
      <c r="BL14" s="151">
        <v>188</v>
      </c>
      <c r="BM14" s="151">
        <v>24</v>
      </c>
      <c r="BN14" s="161">
        <f>SUM(BB14:BM14)</f>
        <v>4004</v>
      </c>
      <c r="BO14" s="151">
        <v>94</v>
      </c>
      <c r="BP14" s="151">
        <v>110</v>
      </c>
      <c r="BQ14" s="151">
        <v>7</v>
      </c>
      <c r="BR14" s="151">
        <v>2</v>
      </c>
      <c r="BS14" s="151">
        <v>2</v>
      </c>
      <c r="BT14" s="151">
        <v>3</v>
      </c>
      <c r="BU14" s="151">
        <v>1</v>
      </c>
      <c r="BV14" s="151">
        <v>1</v>
      </c>
      <c r="BW14" s="151">
        <v>27</v>
      </c>
      <c r="BX14" s="151">
        <v>142</v>
      </c>
      <c r="BY14" s="151">
        <v>541</v>
      </c>
      <c r="BZ14" s="151">
        <v>30</v>
      </c>
      <c r="CA14" s="161">
        <f t="shared" si="6"/>
        <v>960</v>
      </c>
      <c r="CB14" s="151">
        <v>56</v>
      </c>
      <c r="CC14" s="151">
        <v>184</v>
      </c>
      <c r="CD14" s="151">
        <v>168.49251989999999</v>
      </c>
      <c r="CE14" s="151">
        <v>4.7132604999999996</v>
      </c>
      <c r="CF14" s="151">
        <v>206.45737489999999</v>
      </c>
      <c r="CG14" s="151">
        <v>270.62</v>
      </c>
      <c r="CH14" s="151">
        <v>218.18899999999999</v>
      </c>
      <c r="CI14" s="151">
        <v>538.91700000000003</v>
      </c>
      <c r="CJ14" s="151">
        <v>582.0956698</v>
      </c>
      <c r="CK14" s="151">
        <v>258.19499999999999</v>
      </c>
      <c r="CL14" s="151">
        <v>53.658000000000001</v>
      </c>
      <c r="CM14" s="151">
        <v>17.73</v>
      </c>
      <c r="CN14" s="161">
        <f t="shared" si="7"/>
        <v>2559.0678250999999</v>
      </c>
      <c r="CO14" s="151">
        <v>186</v>
      </c>
      <c r="CP14" s="151">
        <v>95.355000000000004</v>
      </c>
      <c r="CQ14" s="151">
        <v>132.26728410000001</v>
      </c>
      <c r="CR14" s="151">
        <v>150.78967610000001</v>
      </c>
      <c r="CS14" s="151">
        <v>126.7180441</v>
      </c>
      <c r="CT14" s="151">
        <v>437.536</v>
      </c>
      <c r="CU14" s="151">
        <v>509.137</v>
      </c>
      <c r="CV14" s="151">
        <v>397.327</v>
      </c>
      <c r="CW14" s="151">
        <v>575.73</v>
      </c>
      <c r="CX14" s="151">
        <v>118.964</v>
      </c>
      <c r="CY14" s="151">
        <v>694.34799999999996</v>
      </c>
      <c r="CZ14" s="151">
        <v>504.584</v>
      </c>
      <c r="DA14" s="161">
        <f>SUM(CO14:CZ14)</f>
        <v>3928.7560042999999</v>
      </c>
      <c r="DB14" s="151">
        <v>212.624</v>
      </c>
      <c r="DC14" s="151">
        <v>25.949000000000002</v>
      </c>
      <c r="DD14" s="151">
        <v>281.96800000000002</v>
      </c>
      <c r="DE14" s="151">
        <v>174.404</v>
      </c>
      <c r="DF14" s="151">
        <v>418.95</v>
      </c>
      <c r="DG14" s="151">
        <v>729.73099999999999</v>
      </c>
      <c r="DH14" s="151">
        <v>558.197</v>
      </c>
      <c r="DI14" s="151">
        <v>477.471</v>
      </c>
      <c r="DJ14" s="151">
        <v>682.78599999999994</v>
      </c>
      <c r="DK14" s="151">
        <v>398.88600000000002</v>
      </c>
      <c r="DL14" s="151">
        <v>400.83906999999999</v>
      </c>
      <c r="DM14" s="151">
        <v>144.2624036</v>
      </c>
      <c r="DN14" s="161">
        <f t="shared" si="8"/>
        <v>4506.0674736000001</v>
      </c>
      <c r="DO14" s="151">
        <v>189.99</v>
      </c>
      <c r="DP14" s="151">
        <v>154.446</v>
      </c>
      <c r="DQ14" s="151">
        <v>23.295999999999999</v>
      </c>
      <c r="DR14" s="151">
        <v>34.145000000000003</v>
      </c>
      <c r="DS14" s="151">
        <v>24.917000000000002</v>
      </c>
      <c r="DT14" s="151">
        <v>182.83199999999999</v>
      </c>
      <c r="DU14" s="151">
        <v>522.44100000000003</v>
      </c>
      <c r="DV14" s="151">
        <v>292.31400000000002</v>
      </c>
      <c r="DW14" s="151">
        <v>437.90899999999999</v>
      </c>
      <c r="DX14" s="151">
        <v>428.911</v>
      </c>
      <c r="DY14" s="151">
        <v>172.55</v>
      </c>
      <c r="DZ14" s="151">
        <v>531.66179999999997</v>
      </c>
      <c r="EA14" s="161">
        <f t="shared" si="9"/>
        <v>2995.4128000000001</v>
      </c>
      <c r="EB14" s="151">
        <v>70.375961000000004</v>
      </c>
      <c r="EC14" s="151">
        <v>190.25559899999999</v>
      </c>
      <c r="ED14" s="151">
        <v>105.51828999999999</v>
      </c>
      <c r="EE14" s="151">
        <v>74.224999999999994</v>
      </c>
      <c r="EF14" s="151">
        <v>6.2779999999999996</v>
      </c>
      <c r="EG14" s="151">
        <v>116.036</v>
      </c>
      <c r="EH14" s="151">
        <v>59.591000000000001</v>
      </c>
      <c r="EI14" s="151">
        <v>95.0893528</v>
      </c>
      <c r="EJ14" s="151">
        <v>64.653000000000006</v>
      </c>
      <c r="EK14" s="151">
        <v>39.560129799999999</v>
      </c>
      <c r="EL14" s="151">
        <v>840.14269999999999</v>
      </c>
      <c r="EM14" s="151">
        <v>199</v>
      </c>
      <c r="EN14" s="161">
        <f t="shared" si="26"/>
        <v>1860.7250326000001</v>
      </c>
      <c r="EO14" s="151">
        <v>39.584000000000003</v>
      </c>
      <c r="EP14" s="151">
        <v>119.44799999999999</v>
      </c>
      <c r="EQ14" s="151">
        <v>287.63200000000001</v>
      </c>
      <c r="ER14" s="151"/>
      <c r="ES14" s="151"/>
      <c r="ET14" s="151"/>
      <c r="EU14" s="151"/>
      <c r="EV14" s="151"/>
      <c r="EW14" s="151"/>
      <c r="EX14" s="151"/>
      <c r="EY14" s="151"/>
      <c r="EZ14" s="151"/>
      <c r="FA14" s="161">
        <f t="shared" si="11"/>
        <v>446.66399999999999</v>
      </c>
      <c r="FC14" s="191">
        <f t="shared" si="5"/>
        <v>-100</v>
      </c>
      <c r="FD14" s="247">
        <f t="shared" si="12"/>
        <v>-81.870570524375225</v>
      </c>
      <c r="FE14" s="152">
        <f>SUM(DO14:DY14)</f>
        <v>2463.7510000000002</v>
      </c>
      <c r="FF14" s="201">
        <f t="shared" si="13"/>
        <v>446.66399999999999</v>
      </c>
      <c r="FH14" s="169"/>
    </row>
    <row r="15" spans="1:164" ht="13.9" customHeight="1" x14ac:dyDescent="0.25">
      <c r="A15" s="137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2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2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  <c r="AN15" s="232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2"/>
      <c r="BB15" s="230"/>
      <c r="BC15" s="230"/>
      <c r="BD15" s="230"/>
      <c r="BE15" s="230"/>
      <c r="BF15" s="230"/>
      <c r="BG15" s="230"/>
      <c r="BH15" s="230"/>
      <c r="BI15" s="230"/>
      <c r="BJ15" s="230"/>
      <c r="BK15" s="230"/>
      <c r="BL15" s="230"/>
      <c r="BM15" s="230"/>
      <c r="BN15" s="232"/>
      <c r="BO15" s="230"/>
      <c r="BP15" s="230"/>
      <c r="BQ15" s="230"/>
      <c r="BR15" s="230"/>
      <c r="BS15" s="230"/>
      <c r="BT15" s="230"/>
      <c r="BU15" s="230"/>
      <c r="BV15" s="230"/>
      <c r="BW15" s="230"/>
      <c r="BX15" s="230"/>
      <c r="BY15" s="230"/>
      <c r="BZ15" s="230"/>
      <c r="CA15" s="232"/>
      <c r="CB15" s="230"/>
      <c r="CC15" s="230"/>
      <c r="CD15" s="230"/>
      <c r="CE15" s="230"/>
      <c r="CF15" s="230"/>
      <c r="CG15" s="230"/>
      <c r="CH15" s="230"/>
      <c r="CI15" s="230"/>
      <c r="CJ15" s="230"/>
      <c r="CK15" s="230"/>
      <c r="CL15" s="230"/>
      <c r="CM15" s="230"/>
      <c r="CN15" s="232"/>
      <c r="CO15" s="230"/>
      <c r="CP15" s="230"/>
      <c r="CQ15" s="230"/>
      <c r="CR15" s="230"/>
      <c r="CS15" s="230"/>
      <c r="CT15" s="230"/>
      <c r="CU15" s="230"/>
      <c r="CV15" s="230"/>
      <c r="CW15" s="230"/>
      <c r="CX15" s="230"/>
      <c r="CY15" s="230"/>
      <c r="CZ15" s="230"/>
      <c r="DA15" s="232"/>
      <c r="DB15" s="230"/>
      <c r="DC15" s="230"/>
      <c r="DD15" s="230"/>
      <c r="DE15" s="230"/>
      <c r="DF15" s="230"/>
      <c r="DG15" s="230"/>
      <c r="DH15" s="230"/>
      <c r="DI15" s="230"/>
      <c r="DJ15" s="230"/>
      <c r="DK15" s="230"/>
      <c r="DL15" s="230"/>
      <c r="DM15" s="230"/>
      <c r="DN15" s="232"/>
      <c r="DO15" s="230"/>
      <c r="DP15" s="230"/>
      <c r="DQ15" s="230"/>
      <c r="DR15" s="230"/>
      <c r="DS15" s="230"/>
      <c r="DT15" s="230"/>
      <c r="DU15" s="230"/>
      <c r="DV15" s="230"/>
      <c r="DW15" s="230"/>
      <c r="DX15" s="230"/>
      <c r="DY15" s="230"/>
      <c r="DZ15" s="230"/>
      <c r="EA15" s="232"/>
      <c r="EB15" s="230"/>
      <c r="EC15" s="230"/>
      <c r="ED15" s="230"/>
      <c r="EE15" s="230"/>
      <c r="EF15" s="230"/>
      <c r="EG15" s="230"/>
      <c r="EH15" s="230"/>
      <c r="EI15" s="230"/>
      <c r="EJ15" s="230"/>
      <c r="EK15" s="230"/>
      <c r="EL15" s="230"/>
      <c r="EM15" s="230"/>
      <c r="EN15" s="232"/>
      <c r="EO15" s="230"/>
      <c r="EP15" s="230"/>
      <c r="EQ15" s="230"/>
      <c r="ER15" s="230"/>
      <c r="ES15" s="230"/>
      <c r="ET15" s="230"/>
      <c r="EU15" s="230"/>
      <c r="EV15" s="230"/>
      <c r="EW15" s="230"/>
      <c r="EX15" s="230"/>
      <c r="EY15" s="230"/>
      <c r="EZ15" s="230"/>
      <c r="FA15" s="232"/>
      <c r="FC15" s="782"/>
      <c r="FD15" s="174"/>
      <c r="FE15" s="254"/>
      <c r="FF15" s="255"/>
      <c r="FH15" s="169"/>
    </row>
    <row r="16" spans="1:164" ht="13.9" customHeight="1" x14ac:dyDescent="0.25">
      <c r="A16" s="134" t="s">
        <v>355</v>
      </c>
    </row>
    <row r="17" spans="1:157" ht="13.9" customHeight="1" x14ac:dyDescent="0.25">
      <c r="A17" s="126" t="s">
        <v>356</v>
      </c>
    </row>
    <row r="18" spans="1:157" ht="13.9" customHeight="1" x14ac:dyDescent="0.25">
      <c r="A18" s="134" t="s">
        <v>192</v>
      </c>
      <c r="AU18" s="127"/>
      <c r="AV18" s="127"/>
      <c r="AW18" s="127"/>
    </row>
    <row r="19" spans="1:157" ht="13.9" customHeight="1" x14ac:dyDescent="0.25"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  <c r="CF19" s="127"/>
      <c r="CG19" s="127"/>
      <c r="CH19" s="127"/>
      <c r="CI19" s="127"/>
      <c r="CJ19" s="127"/>
      <c r="CK19" s="127"/>
      <c r="CL19" s="127"/>
      <c r="CM19" s="127"/>
      <c r="CN19" s="127"/>
      <c r="CO19" s="127"/>
      <c r="CP19" s="127"/>
      <c r="CQ19" s="127"/>
      <c r="CR19" s="127"/>
      <c r="CS19" s="127"/>
      <c r="CT19" s="127"/>
      <c r="CU19" s="127"/>
      <c r="CV19" s="127"/>
      <c r="CW19" s="127"/>
      <c r="CX19" s="127"/>
      <c r="CY19" s="127"/>
      <c r="CZ19" s="127"/>
      <c r="DA19" s="127"/>
      <c r="DB19" s="127"/>
      <c r="DC19" s="127"/>
      <c r="DD19" s="127"/>
      <c r="DE19" s="127"/>
      <c r="DF19" s="127"/>
      <c r="DG19" s="127"/>
      <c r="DH19" s="127"/>
      <c r="DI19" s="127"/>
      <c r="DJ19" s="127"/>
      <c r="DK19" s="127"/>
      <c r="DL19" s="127"/>
      <c r="DM19" s="127"/>
      <c r="DN19" s="127"/>
      <c r="DO19" s="127"/>
      <c r="DP19" s="127"/>
      <c r="DQ19" s="127"/>
      <c r="DR19" s="127"/>
      <c r="DS19" s="127"/>
      <c r="DT19" s="127"/>
      <c r="DU19" s="127"/>
      <c r="DV19" s="127"/>
      <c r="DW19" s="127"/>
      <c r="DX19" s="127"/>
      <c r="DY19" s="127"/>
      <c r="DZ19" s="127"/>
      <c r="EA19" s="127"/>
      <c r="EB19" s="127"/>
      <c r="EC19" s="127"/>
      <c r="ED19" s="127"/>
      <c r="EE19" s="127"/>
      <c r="EF19" s="127"/>
      <c r="EG19" s="127"/>
      <c r="EH19" s="127"/>
      <c r="EI19" s="127"/>
      <c r="EJ19" s="127"/>
      <c r="EK19" s="127"/>
      <c r="EL19" s="127"/>
      <c r="EM19" s="127"/>
      <c r="EN19" s="127"/>
      <c r="EO19" s="127"/>
      <c r="EP19" s="127"/>
      <c r="EQ19" s="127"/>
      <c r="ER19" s="127"/>
      <c r="ES19" s="127"/>
      <c r="ET19" s="127"/>
      <c r="EU19" s="127"/>
      <c r="EV19" s="127"/>
      <c r="EW19" s="127"/>
      <c r="EX19" s="127"/>
      <c r="EY19" s="127"/>
      <c r="EZ19" s="127"/>
      <c r="FA19" s="127"/>
    </row>
  </sheetData>
  <mergeCells count="1">
    <mergeCell ref="FC4:FD4"/>
  </mergeCells>
  <printOptions horizontalCentered="1" verticalCentered="1"/>
  <pageMargins left="0.75" right="0.75" top="1" bottom="1" header="0" footer="0"/>
  <pageSetup paperSize="9" scale="1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G34"/>
  <sheetViews>
    <sheetView showGridLines="0" tabSelected="1" view="pageBreakPreview" zoomScale="90" zoomScaleSheetLayoutView="90" workbookViewId="0">
      <pane xSplit="1" topLeftCell="EG1" activePane="topRight" state="frozen"/>
      <selection activeCell="DO55" sqref="DO55:EP55"/>
      <selection pane="topRight" activeCell="EV17" sqref="EV17"/>
    </sheetView>
  </sheetViews>
  <sheetFormatPr baseColWidth="10" defaultColWidth="9.7109375" defaultRowHeight="15" customHeight="1" x14ac:dyDescent="0.25"/>
  <cols>
    <col min="1" max="1" width="30.7109375" customWidth="1"/>
  </cols>
  <sheetData>
    <row r="1" spans="1:162" s="447" customFormat="1" ht="15" customHeight="1" x14ac:dyDescent="0.3">
      <c r="A1" s="723" t="s">
        <v>340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  <c r="AN1" s="724"/>
      <c r="AO1" s="724"/>
      <c r="AP1" s="724"/>
      <c r="AQ1" s="724"/>
      <c r="AR1" s="724"/>
      <c r="AS1" s="724"/>
      <c r="AT1" s="724"/>
      <c r="AU1" s="724"/>
      <c r="AV1" s="724"/>
      <c r="AW1" s="724"/>
      <c r="AX1" s="724"/>
      <c r="AY1" s="724"/>
      <c r="AZ1" s="724"/>
      <c r="BA1" s="724"/>
      <c r="BB1" s="724"/>
      <c r="BC1" s="724"/>
      <c r="BD1" s="724"/>
      <c r="BE1" s="725"/>
      <c r="BF1" s="725"/>
      <c r="BG1" s="725"/>
      <c r="BH1" s="725"/>
      <c r="BI1" s="725"/>
      <c r="BJ1" s="725"/>
      <c r="BK1" s="725"/>
      <c r="BL1" s="725"/>
      <c r="BM1" s="725"/>
      <c r="BN1" s="725"/>
      <c r="BO1" s="725"/>
      <c r="BP1" s="725"/>
      <c r="BQ1" s="725"/>
      <c r="BR1" s="725"/>
      <c r="BS1" s="725"/>
      <c r="BT1" s="725"/>
      <c r="BU1" s="725"/>
      <c r="BV1" s="725"/>
      <c r="BW1" s="725"/>
      <c r="BX1" s="725"/>
      <c r="BY1" s="725"/>
      <c r="BZ1" s="725"/>
      <c r="CA1" s="725"/>
      <c r="CB1" s="725"/>
      <c r="CC1" s="725"/>
      <c r="CD1" s="725"/>
      <c r="CE1" s="725"/>
      <c r="CF1" s="725"/>
      <c r="CG1" s="725"/>
      <c r="CH1" s="725"/>
      <c r="CI1" s="725"/>
      <c r="CJ1" s="725"/>
      <c r="CK1" s="725"/>
      <c r="CL1" s="725"/>
      <c r="CM1" s="725"/>
      <c r="CN1" s="725"/>
      <c r="CO1" s="725"/>
      <c r="CP1" s="725"/>
      <c r="CQ1" s="725"/>
      <c r="CR1" s="725"/>
      <c r="CS1" s="726"/>
      <c r="CT1" s="726"/>
      <c r="CU1" s="726"/>
      <c r="CV1" s="726"/>
      <c r="CW1" s="726"/>
      <c r="CX1" s="726"/>
      <c r="CY1" s="726"/>
      <c r="CZ1" s="725"/>
      <c r="DA1" s="725"/>
      <c r="DB1" s="472"/>
      <c r="DC1" s="472"/>
      <c r="DD1" s="472"/>
      <c r="DE1" s="727"/>
      <c r="DF1" s="727"/>
      <c r="DG1" s="727"/>
      <c r="DH1" s="727"/>
      <c r="DI1" s="727"/>
      <c r="DJ1" s="727"/>
      <c r="DK1" s="727"/>
      <c r="DL1" s="727"/>
      <c r="DM1" s="727"/>
      <c r="DN1" s="727"/>
      <c r="DO1" s="727"/>
      <c r="DP1" s="727"/>
      <c r="DQ1" s="727"/>
      <c r="DR1" s="727"/>
      <c r="DS1" s="727"/>
      <c r="DT1" s="727"/>
      <c r="DU1" s="727"/>
      <c r="DV1" s="727"/>
      <c r="DW1" s="727"/>
      <c r="DX1" s="727"/>
      <c r="DY1" s="727"/>
      <c r="DZ1" s="727"/>
      <c r="EA1" s="727"/>
      <c r="EB1" s="727"/>
      <c r="EC1" s="727"/>
      <c r="ED1" s="727"/>
      <c r="EE1" s="727"/>
      <c r="EF1" s="727"/>
      <c r="EG1" s="727"/>
      <c r="EH1" s="727"/>
      <c r="EI1" s="727"/>
      <c r="EJ1" s="727"/>
      <c r="EK1" s="727"/>
      <c r="EL1" s="727"/>
      <c r="EM1" s="727"/>
      <c r="EN1" s="727"/>
      <c r="EO1" s="727"/>
      <c r="EP1" s="727"/>
      <c r="EQ1" s="727"/>
      <c r="ER1" s="727"/>
      <c r="ES1" s="727"/>
      <c r="ET1" s="727"/>
      <c r="EU1" s="727"/>
      <c r="EV1" s="727"/>
      <c r="EW1" s="727"/>
      <c r="EX1" s="727"/>
      <c r="EY1" s="727"/>
      <c r="EZ1" s="727"/>
      <c r="FA1" s="727"/>
      <c r="FC1" s="472"/>
      <c r="FD1" s="472"/>
      <c r="FE1" s="472"/>
      <c r="FF1" s="472"/>
    </row>
    <row r="2" spans="1:162" s="447" customFormat="1" ht="15" customHeight="1" x14ac:dyDescent="0.3">
      <c r="A2" s="723" t="s">
        <v>341</v>
      </c>
      <c r="B2" s="724"/>
      <c r="C2" s="724"/>
      <c r="D2" s="724"/>
      <c r="E2" s="724"/>
      <c r="F2" s="724"/>
      <c r="G2" s="724"/>
      <c r="H2" s="724"/>
      <c r="I2" s="724"/>
      <c r="J2" s="724"/>
      <c r="K2" s="724"/>
      <c r="L2" s="724"/>
      <c r="M2" s="724"/>
      <c r="N2" s="724"/>
      <c r="O2" s="724"/>
      <c r="P2" s="724"/>
      <c r="Q2" s="724"/>
      <c r="R2" s="724"/>
      <c r="S2" s="724"/>
      <c r="T2" s="724"/>
      <c r="U2" s="724"/>
      <c r="V2" s="724"/>
      <c r="W2" s="724"/>
      <c r="X2" s="724"/>
      <c r="Y2" s="724"/>
      <c r="Z2" s="724"/>
      <c r="AA2" s="724"/>
      <c r="AB2" s="724"/>
      <c r="AC2" s="724"/>
      <c r="AD2" s="724"/>
      <c r="AE2" s="724"/>
      <c r="AF2" s="724"/>
      <c r="AG2" s="724"/>
      <c r="AH2" s="724"/>
      <c r="AI2" s="724"/>
      <c r="AJ2" s="724"/>
      <c r="AK2" s="724"/>
      <c r="AL2" s="724"/>
      <c r="AM2" s="724"/>
      <c r="AN2" s="724"/>
      <c r="AO2" s="724"/>
      <c r="AP2" s="724"/>
      <c r="AQ2" s="724"/>
      <c r="AR2" s="724"/>
      <c r="AS2" s="724"/>
      <c r="AT2" s="724"/>
      <c r="AU2" s="724"/>
      <c r="AV2" s="724"/>
      <c r="AW2" s="724"/>
      <c r="AX2" s="724"/>
      <c r="AY2" s="724"/>
      <c r="AZ2" s="724"/>
      <c r="BA2" s="724"/>
      <c r="BB2" s="724"/>
      <c r="BC2" s="724"/>
      <c r="BD2" s="724"/>
      <c r="BE2" s="725"/>
      <c r="BF2" s="725"/>
      <c r="BG2" s="725"/>
      <c r="BH2" s="725"/>
      <c r="BI2" s="725"/>
      <c r="BJ2" s="725"/>
      <c r="BK2" s="725"/>
      <c r="BL2" s="725"/>
      <c r="BM2" s="725"/>
      <c r="BN2" s="725"/>
      <c r="BO2" s="725"/>
      <c r="BP2" s="725"/>
      <c r="BQ2" s="725"/>
      <c r="BR2" s="725"/>
      <c r="BS2" s="725"/>
      <c r="BT2" s="725"/>
      <c r="BU2" s="725"/>
      <c r="BV2" s="725"/>
      <c r="BW2" s="725"/>
      <c r="BX2" s="725"/>
      <c r="BY2" s="725"/>
      <c r="BZ2" s="725"/>
      <c r="CA2" s="725"/>
      <c r="CB2" s="725"/>
      <c r="CC2" s="725"/>
      <c r="CD2" s="725"/>
      <c r="CE2" s="725"/>
      <c r="CF2" s="725"/>
      <c r="CG2" s="725"/>
      <c r="CH2" s="725"/>
      <c r="CI2" s="725"/>
      <c r="CJ2" s="725"/>
      <c r="CK2" s="725"/>
      <c r="CL2" s="725"/>
      <c r="CM2" s="725"/>
      <c r="CN2" s="725"/>
      <c r="CO2" s="725"/>
      <c r="CP2" s="725"/>
      <c r="CQ2" s="725"/>
      <c r="CR2" s="725"/>
      <c r="CS2" s="726"/>
      <c r="CT2" s="726"/>
      <c r="CU2" s="726"/>
      <c r="CV2" s="726"/>
      <c r="CW2" s="726"/>
      <c r="CX2" s="726"/>
      <c r="CY2" s="726"/>
      <c r="CZ2" s="725"/>
      <c r="DA2" s="725"/>
      <c r="DB2" s="472"/>
      <c r="DC2" s="472"/>
      <c r="DD2" s="472"/>
      <c r="DE2" s="727"/>
      <c r="DF2" s="727"/>
      <c r="DG2" s="727"/>
      <c r="DH2" s="727"/>
      <c r="DI2" s="727"/>
      <c r="DJ2" s="727"/>
      <c r="DK2" s="727"/>
      <c r="DL2" s="727"/>
      <c r="DM2" s="727"/>
      <c r="DN2" s="727"/>
      <c r="DO2" s="727"/>
      <c r="DP2" s="727"/>
      <c r="DQ2" s="727"/>
      <c r="DR2" s="727"/>
      <c r="DS2" s="727"/>
      <c r="DT2" s="727"/>
      <c r="DU2" s="727"/>
      <c r="DV2" s="727"/>
      <c r="DW2" s="727"/>
      <c r="DX2" s="727"/>
      <c r="DY2" s="727"/>
      <c r="DZ2" s="727"/>
      <c r="EA2" s="727"/>
      <c r="EB2" s="727"/>
      <c r="EC2" s="727"/>
      <c r="ED2" s="727"/>
      <c r="EE2" s="727"/>
      <c r="EF2" s="727"/>
      <c r="EG2" s="727"/>
      <c r="EH2" s="727"/>
      <c r="EI2" s="727"/>
      <c r="EJ2" s="727"/>
      <c r="EK2" s="727"/>
      <c r="EL2" s="727"/>
      <c r="EM2" s="727"/>
      <c r="EN2" s="727"/>
      <c r="EO2" s="727"/>
      <c r="EP2" s="727"/>
      <c r="EQ2" s="727"/>
      <c r="ER2" s="727"/>
      <c r="ES2" s="727"/>
      <c r="ET2" s="727"/>
      <c r="EU2" s="727"/>
      <c r="EV2" s="727"/>
      <c r="EW2" s="727"/>
      <c r="EX2" s="727"/>
      <c r="EY2" s="727"/>
      <c r="EZ2" s="727"/>
      <c r="FA2" s="727"/>
      <c r="FC2" s="472"/>
      <c r="FD2" s="472"/>
      <c r="FE2" s="472"/>
      <c r="FF2" s="472"/>
    </row>
    <row r="3" spans="1:162" s="447" customFormat="1" ht="15" customHeight="1" x14ac:dyDescent="0.3">
      <c r="A3" s="723"/>
      <c r="B3" s="724"/>
      <c r="C3" s="724"/>
      <c r="D3" s="724"/>
      <c r="E3" s="724"/>
      <c r="F3" s="724"/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4"/>
      <c r="U3" s="724"/>
      <c r="V3" s="724"/>
      <c r="W3" s="724"/>
      <c r="X3" s="724"/>
      <c r="Y3" s="724"/>
      <c r="Z3" s="724"/>
      <c r="AA3" s="724"/>
      <c r="AB3" s="724"/>
      <c r="AC3" s="724"/>
      <c r="AD3" s="724"/>
      <c r="AE3" s="724"/>
      <c r="AF3" s="724"/>
      <c r="AG3" s="724"/>
      <c r="AH3" s="724"/>
      <c r="AI3" s="724"/>
      <c r="AJ3" s="724"/>
      <c r="AK3" s="724"/>
      <c r="AL3" s="724"/>
      <c r="AM3" s="724"/>
      <c r="AN3" s="724"/>
      <c r="AO3" s="724"/>
      <c r="AP3" s="724"/>
      <c r="AQ3" s="724"/>
      <c r="AR3" s="724"/>
      <c r="AS3" s="724"/>
      <c r="AT3" s="724"/>
      <c r="AU3" s="724"/>
      <c r="AV3" s="724"/>
      <c r="AW3" s="724"/>
      <c r="AX3" s="724"/>
      <c r="AY3" s="724"/>
      <c r="AZ3" s="724"/>
      <c r="BA3" s="724"/>
      <c r="BB3" s="724"/>
      <c r="BC3" s="724"/>
      <c r="BD3" s="724"/>
      <c r="BE3" s="725"/>
      <c r="BF3" s="725"/>
      <c r="BG3" s="725"/>
      <c r="BH3" s="725"/>
      <c r="BI3" s="725"/>
      <c r="BJ3" s="725"/>
      <c r="BK3" s="725"/>
      <c r="BL3" s="725"/>
      <c r="BM3" s="725"/>
      <c r="BN3" s="725"/>
      <c r="BO3" s="725"/>
      <c r="BP3" s="725"/>
      <c r="BQ3" s="725"/>
      <c r="BR3" s="725"/>
      <c r="BS3" s="725"/>
      <c r="BT3" s="725"/>
      <c r="BU3" s="725"/>
      <c r="BV3" s="725"/>
      <c r="BW3" s="725"/>
      <c r="BX3" s="725"/>
      <c r="BY3" s="725"/>
      <c r="BZ3" s="725"/>
      <c r="CA3" s="725"/>
      <c r="CB3" s="725"/>
      <c r="CC3" s="725"/>
      <c r="CD3" s="725"/>
      <c r="CE3" s="725"/>
      <c r="CF3" s="725"/>
      <c r="CG3" s="725"/>
      <c r="CH3" s="725"/>
      <c r="CI3" s="725"/>
      <c r="CJ3" s="725"/>
      <c r="CK3" s="725"/>
      <c r="CL3" s="725"/>
      <c r="CM3" s="725"/>
      <c r="CN3" s="725"/>
      <c r="CO3" s="725"/>
      <c r="CP3" s="725"/>
      <c r="CQ3" s="725"/>
      <c r="CR3" s="725"/>
      <c r="CS3" s="726"/>
      <c r="CT3" s="726"/>
      <c r="CU3" s="726"/>
      <c r="CV3" s="726"/>
      <c r="CW3" s="726"/>
      <c r="CX3" s="726"/>
      <c r="CY3" s="726"/>
      <c r="CZ3" s="725"/>
      <c r="DA3" s="725"/>
      <c r="DB3" s="472"/>
      <c r="DC3" s="472"/>
      <c r="DD3" s="472"/>
      <c r="DE3" s="727"/>
      <c r="DF3" s="727"/>
      <c r="DG3" s="727"/>
      <c r="DH3" s="727"/>
      <c r="DI3" s="727"/>
      <c r="DJ3" s="727"/>
      <c r="DK3" s="727"/>
      <c r="DL3" s="727"/>
      <c r="DM3" s="727"/>
      <c r="DN3" s="727"/>
      <c r="DO3" s="727"/>
      <c r="DP3" s="727"/>
      <c r="DQ3" s="727"/>
      <c r="DR3" s="727"/>
      <c r="DS3" s="727"/>
      <c r="DT3" s="727"/>
      <c r="DU3" s="727"/>
      <c r="DV3" s="727"/>
      <c r="DW3" s="727"/>
      <c r="DX3" s="727"/>
      <c r="DY3" s="727"/>
      <c r="DZ3" s="727"/>
      <c r="EA3" s="727"/>
      <c r="EB3" s="727"/>
      <c r="EC3" s="727"/>
      <c r="ED3" s="727"/>
      <c r="EE3" s="727"/>
      <c r="EF3" s="727"/>
      <c r="EG3" s="727"/>
      <c r="EH3" s="727"/>
      <c r="EI3" s="727"/>
      <c r="EJ3" s="727"/>
      <c r="EK3" s="727"/>
      <c r="EL3" s="727"/>
      <c r="EM3" s="727"/>
      <c r="EN3" s="727"/>
      <c r="EO3" s="727"/>
      <c r="EP3" s="727"/>
      <c r="EQ3" s="727"/>
      <c r="ER3" s="727"/>
      <c r="ES3" s="727"/>
      <c r="ET3" s="727"/>
      <c r="EU3" s="727"/>
      <c r="EV3" s="727"/>
      <c r="EW3" s="727"/>
      <c r="EX3" s="727"/>
      <c r="EY3" s="727"/>
      <c r="EZ3" s="727"/>
      <c r="FA3" s="727"/>
      <c r="FC3" s="472"/>
      <c r="FD3" s="472"/>
      <c r="FE3" s="472"/>
      <c r="FF3" s="472"/>
    </row>
    <row r="4" spans="1:162" s="447" customFormat="1" ht="15" customHeight="1" x14ac:dyDescent="0.25">
      <c r="A4" s="986" t="s">
        <v>614</v>
      </c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475" t="s">
        <v>342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475" t="s">
        <v>342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475" t="s">
        <v>342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475" t="s">
        <v>342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475" t="s">
        <v>342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475" t="s">
        <v>342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475" t="s">
        <v>342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475" t="s">
        <v>342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475" t="s">
        <v>342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475" t="s">
        <v>342</v>
      </c>
      <c r="EB4" s="474">
        <f t="shared" ref="EB4" si="0">YEAR(EB5)</f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475" t="s">
        <v>342</v>
      </c>
      <c r="EO4" s="474">
        <f t="shared" ref="EO4" si="1">YEAR(EO5)</f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475" t="s">
        <v>342</v>
      </c>
      <c r="FC4" s="984" t="str">
        <f>CONCATENATE("Var.% ",FF4,"/",FF4-1)</f>
        <v>Var.% 2026/2025</v>
      </c>
      <c r="FD4" s="985"/>
      <c r="FE4" s="478">
        <f>FF4-1</f>
        <v>2025</v>
      </c>
      <c r="FF4" s="797">
        <f>YEAR(FC5)</f>
        <v>2026</v>
      </c>
    </row>
    <row r="5" spans="1:162" s="447" customFormat="1" ht="15" customHeight="1" x14ac:dyDescent="0.25">
      <c r="A5" s="987"/>
      <c r="B5" s="483">
        <v>42005</v>
      </c>
      <c r="C5" s="483">
        <v>42036</v>
      </c>
      <c r="D5" s="483">
        <v>42064</v>
      </c>
      <c r="E5" s="483">
        <v>42095</v>
      </c>
      <c r="F5" s="483">
        <v>42125</v>
      </c>
      <c r="G5" s="483">
        <v>42156</v>
      </c>
      <c r="H5" s="483">
        <v>42186</v>
      </c>
      <c r="I5" s="483">
        <v>42217</v>
      </c>
      <c r="J5" s="483">
        <v>42248</v>
      </c>
      <c r="K5" s="483">
        <v>42278</v>
      </c>
      <c r="L5" s="483">
        <v>42309</v>
      </c>
      <c r="M5" s="483">
        <v>42339</v>
      </c>
      <c r="N5" s="484">
        <f>YEAR(M5)</f>
        <v>2015</v>
      </c>
      <c r="O5" s="483">
        <v>42370</v>
      </c>
      <c r="P5" s="483">
        <v>42401</v>
      </c>
      <c r="Q5" s="483">
        <v>42430</v>
      </c>
      <c r="R5" s="483">
        <v>42461</v>
      </c>
      <c r="S5" s="483">
        <v>42491</v>
      </c>
      <c r="T5" s="483">
        <v>42522</v>
      </c>
      <c r="U5" s="483">
        <v>42552</v>
      </c>
      <c r="V5" s="483">
        <v>42583</v>
      </c>
      <c r="W5" s="483">
        <v>42614</v>
      </c>
      <c r="X5" s="483">
        <v>42644</v>
      </c>
      <c r="Y5" s="483">
        <v>42675</v>
      </c>
      <c r="Z5" s="483">
        <v>42705</v>
      </c>
      <c r="AA5" s="484">
        <f>YEAR(Z5)</f>
        <v>2016</v>
      </c>
      <c r="AB5" s="483">
        <v>42736</v>
      </c>
      <c r="AC5" s="483">
        <v>42767</v>
      </c>
      <c r="AD5" s="483">
        <v>42795</v>
      </c>
      <c r="AE5" s="483">
        <v>42826</v>
      </c>
      <c r="AF5" s="483">
        <v>42856</v>
      </c>
      <c r="AG5" s="483">
        <v>42887</v>
      </c>
      <c r="AH5" s="483">
        <v>42917</v>
      </c>
      <c r="AI5" s="483">
        <v>42948</v>
      </c>
      <c r="AJ5" s="483">
        <v>42979</v>
      </c>
      <c r="AK5" s="483">
        <v>43009</v>
      </c>
      <c r="AL5" s="483">
        <v>43040</v>
      </c>
      <c r="AM5" s="483">
        <v>43070</v>
      </c>
      <c r="AN5" s="484">
        <f>YEAR(AM5)</f>
        <v>2017</v>
      </c>
      <c r="AO5" s="483">
        <v>43101</v>
      </c>
      <c r="AP5" s="483">
        <v>43132</v>
      </c>
      <c r="AQ5" s="483">
        <v>43160</v>
      </c>
      <c r="AR5" s="483">
        <v>43191</v>
      </c>
      <c r="AS5" s="483">
        <v>43221</v>
      </c>
      <c r="AT5" s="483">
        <v>43252</v>
      </c>
      <c r="AU5" s="483">
        <v>43282</v>
      </c>
      <c r="AV5" s="483">
        <v>43313</v>
      </c>
      <c r="AW5" s="483">
        <v>43344</v>
      </c>
      <c r="AX5" s="483">
        <v>43374</v>
      </c>
      <c r="AY5" s="483">
        <v>43405</v>
      </c>
      <c r="AZ5" s="483">
        <v>43435</v>
      </c>
      <c r="BA5" s="484">
        <f>YEAR(AZ5)</f>
        <v>2018</v>
      </c>
      <c r="BB5" s="483">
        <v>43466</v>
      </c>
      <c r="BC5" s="483">
        <v>43497</v>
      </c>
      <c r="BD5" s="483">
        <v>43525</v>
      </c>
      <c r="BE5" s="483">
        <v>43556</v>
      </c>
      <c r="BF5" s="483">
        <v>43586</v>
      </c>
      <c r="BG5" s="483">
        <v>43617</v>
      </c>
      <c r="BH5" s="483">
        <v>43647</v>
      </c>
      <c r="BI5" s="483">
        <v>43678</v>
      </c>
      <c r="BJ5" s="483">
        <v>43709</v>
      </c>
      <c r="BK5" s="483">
        <v>43739</v>
      </c>
      <c r="BL5" s="483">
        <v>43770</v>
      </c>
      <c r="BM5" s="483">
        <v>43800</v>
      </c>
      <c r="BN5" s="484">
        <f>YEAR(BM5)</f>
        <v>2019</v>
      </c>
      <c r="BO5" s="483">
        <v>43831</v>
      </c>
      <c r="BP5" s="483">
        <v>43862</v>
      </c>
      <c r="BQ5" s="483">
        <v>43891</v>
      </c>
      <c r="BR5" s="483">
        <v>43922</v>
      </c>
      <c r="BS5" s="483">
        <v>43952</v>
      </c>
      <c r="BT5" s="483">
        <v>43983</v>
      </c>
      <c r="BU5" s="483">
        <v>44013</v>
      </c>
      <c r="BV5" s="483">
        <v>44044</v>
      </c>
      <c r="BW5" s="483">
        <v>44075</v>
      </c>
      <c r="BX5" s="483">
        <v>44105</v>
      </c>
      <c r="BY5" s="483">
        <v>44136</v>
      </c>
      <c r="BZ5" s="483">
        <v>44166</v>
      </c>
      <c r="CA5" s="484">
        <f>YEAR(BZ5)</f>
        <v>2020</v>
      </c>
      <c r="CB5" s="483">
        <v>44197</v>
      </c>
      <c r="CC5" s="483">
        <v>44228</v>
      </c>
      <c r="CD5" s="483">
        <v>44256</v>
      </c>
      <c r="CE5" s="483">
        <v>44287</v>
      </c>
      <c r="CF5" s="483">
        <v>44317</v>
      </c>
      <c r="CG5" s="483">
        <v>44348</v>
      </c>
      <c r="CH5" s="483">
        <v>44378</v>
      </c>
      <c r="CI5" s="483">
        <v>44409</v>
      </c>
      <c r="CJ5" s="483">
        <v>44440</v>
      </c>
      <c r="CK5" s="483">
        <v>44470</v>
      </c>
      <c r="CL5" s="483">
        <v>44501</v>
      </c>
      <c r="CM5" s="483">
        <v>44531</v>
      </c>
      <c r="CN5" s="484">
        <f>YEAR(CM5)</f>
        <v>2021</v>
      </c>
      <c r="CO5" s="483">
        <v>44562</v>
      </c>
      <c r="CP5" s="483">
        <v>44593</v>
      </c>
      <c r="CQ5" s="483">
        <v>44621</v>
      </c>
      <c r="CR5" s="483">
        <v>44652</v>
      </c>
      <c r="CS5" s="483">
        <v>44682</v>
      </c>
      <c r="CT5" s="483">
        <v>44713</v>
      </c>
      <c r="CU5" s="483">
        <v>44743</v>
      </c>
      <c r="CV5" s="483">
        <v>44774</v>
      </c>
      <c r="CW5" s="483">
        <v>44805</v>
      </c>
      <c r="CX5" s="483">
        <v>44835</v>
      </c>
      <c r="CY5" s="483">
        <v>44866</v>
      </c>
      <c r="CZ5" s="483">
        <v>44896</v>
      </c>
      <c r="DA5" s="484">
        <f>YEAR(CZ5)</f>
        <v>2022</v>
      </c>
      <c r="DB5" s="483">
        <v>44927</v>
      </c>
      <c r="DC5" s="483">
        <v>44958</v>
      </c>
      <c r="DD5" s="483">
        <v>44986</v>
      </c>
      <c r="DE5" s="483">
        <v>45017</v>
      </c>
      <c r="DF5" s="483">
        <v>45047</v>
      </c>
      <c r="DG5" s="483">
        <v>45078</v>
      </c>
      <c r="DH5" s="483">
        <v>45108</v>
      </c>
      <c r="DI5" s="483">
        <v>45139</v>
      </c>
      <c r="DJ5" s="483">
        <v>45170</v>
      </c>
      <c r="DK5" s="483">
        <v>45200</v>
      </c>
      <c r="DL5" s="483">
        <v>45231</v>
      </c>
      <c r="DM5" s="483">
        <v>45261</v>
      </c>
      <c r="DN5" s="484">
        <f>YEAR(DM5)</f>
        <v>2023</v>
      </c>
      <c r="DO5" s="483">
        <v>45292</v>
      </c>
      <c r="DP5" s="483">
        <v>45323</v>
      </c>
      <c r="DQ5" s="483">
        <v>45352</v>
      </c>
      <c r="DR5" s="483">
        <v>45383</v>
      </c>
      <c r="DS5" s="483">
        <v>45413</v>
      </c>
      <c r="DT5" s="483">
        <v>45444</v>
      </c>
      <c r="DU5" s="483">
        <v>45474</v>
      </c>
      <c r="DV5" s="483">
        <v>45505</v>
      </c>
      <c r="DW5" s="483">
        <v>45536</v>
      </c>
      <c r="DX5" s="483">
        <v>45566</v>
      </c>
      <c r="DY5" s="483">
        <v>45597</v>
      </c>
      <c r="DZ5" s="483">
        <v>45627</v>
      </c>
      <c r="EA5" s="484">
        <f>YEAR(DZ5)</f>
        <v>2024</v>
      </c>
      <c r="EB5" s="483">
        <v>45658</v>
      </c>
      <c r="EC5" s="483">
        <v>45689</v>
      </c>
      <c r="ED5" s="483">
        <v>45717</v>
      </c>
      <c r="EE5" s="483">
        <v>45748</v>
      </c>
      <c r="EF5" s="483">
        <v>45778</v>
      </c>
      <c r="EG5" s="483">
        <v>45809</v>
      </c>
      <c r="EH5" s="483">
        <v>45839</v>
      </c>
      <c r="EI5" s="483">
        <v>45870</v>
      </c>
      <c r="EJ5" s="483">
        <v>45901</v>
      </c>
      <c r="EK5" s="483">
        <v>45931</v>
      </c>
      <c r="EL5" s="483">
        <v>45962</v>
      </c>
      <c r="EM5" s="483">
        <v>45992</v>
      </c>
      <c r="EN5" s="484">
        <f>YEAR(EM5)</f>
        <v>2025</v>
      </c>
      <c r="EO5" s="483">
        <v>46023</v>
      </c>
      <c r="EP5" s="483">
        <v>46054</v>
      </c>
      <c r="EQ5" s="483">
        <v>46082</v>
      </c>
      <c r="ER5" s="483">
        <v>46113</v>
      </c>
      <c r="ES5" s="483">
        <v>46143</v>
      </c>
      <c r="ET5" s="483">
        <v>46174</v>
      </c>
      <c r="EU5" s="483">
        <v>46204</v>
      </c>
      <c r="EV5" s="483">
        <v>46235</v>
      </c>
      <c r="EW5" s="483">
        <v>46266</v>
      </c>
      <c r="EX5" s="483">
        <v>46296</v>
      </c>
      <c r="EY5" s="483">
        <v>46327</v>
      </c>
      <c r="EZ5" s="483">
        <v>46357</v>
      </c>
      <c r="FA5" s="484">
        <f>YEAR(EZ5)</f>
        <v>2026</v>
      </c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798" t="str">
        <f>FD5</f>
        <v>Ene.-Ago.</v>
      </c>
    </row>
    <row r="6" spans="1:162" s="447" customFormat="1" ht="15" customHeight="1" x14ac:dyDescent="0.25">
      <c r="A6" s="729"/>
      <c r="B6" s="730"/>
      <c r="C6" s="730"/>
      <c r="D6" s="730"/>
      <c r="E6" s="730"/>
      <c r="F6" s="730"/>
      <c r="G6" s="730"/>
      <c r="H6" s="730"/>
      <c r="I6" s="730"/>
      <c r="J6" s="730"/>
      <c r="K6" s="730"/>
      <c r="L6" s="730"/>
      <c r="M6" s="731"/>
      <c r="N6" s="732"/>
      <c r="O6" s="730"/>
      <c r="P6" s="730"/>
      <c r="Q6" s="730"/>
      <c r="R6" s="730"/>
      <c r="S6" s="730"/>
      <c r="T6" s="730"/>
      <c r="U6" s="730"/>
      <c r="V6" s="730"/>
      <c r="W6" s="730"/>
      <c r="X6" s="730"/>
      <c r="Y6" s="730"/>
      <c r="Z6" s="731"/>
      <c r="AA6" s="732"/>
      <c r="AB6" s="730"/>
      <c r="AC6" s="730"/>
      <c r="AD6" s="730"/>
      <c r="AE6" s="730"/>
      <c r="AF6" s="730"/>
      <c r="AG6" s="730"/>
      <c r="AH6" s="730"/>
      <c r="AI6" s="730"/>
      <c r="AJ6" s="730"/>
      <c r="AK6" s="730"/>
      <c r="AL6" s="730"/>
      <c r="AM6" s="731"/>
      <c r="AN6" s="732"/>
      <c r="AO6" s="730"/>
      <c r="AP6" s="730"/>
      <c r="AQ6" s="730"/>
      <c r="AR6" s="730"/>
      <c r="AS6" s="730"/>
      <c r="AT6" s="730"/>
      <c r="AU6" s="730"/>
      <c r="AV6" s="730"/>
      <c r="AW6" s="730"/>
      <c r="AX6" s="730"/>
      <c r="AY6" s="730"/>
      <c r="AZ6" s="731"/>
      <c r="BA6" s="732"/>
      <c r="BB6" s="730"/>
      <c r="BC6" s="730"/>
      <c r="BD6" s="730"/>
      <c r="BE6" s="730"/>
      <c r="BF6" s="730"/>
      <c r="BG6" s="730"/>
      <c r="BH6" s="730"/>
      <c r="BI6" s="730"/>
      <c r="BJ6" s="730"/>
      <c r="BK6" s="730"/>
      <c r="BL6" s="730"/>
      <c r="BM6" s="731"/>
      <c r="BN6" s="732"/>
      <c r="BO6" s="730"/>
      <c r="BP6" s="730"/>
      <c r="BQ6" s="730"/>
      <c r="BR6" s="730"/>
      <c r="BS6" s="730"/>
      <c r="BT6" s="730"/>
      <c r="BU6" s="730"/>
      <c r="BV6" s="730"/>
      <c r="BW6" s="730"/>
      <c r="BX6" s="730"/>
      <c r="BY6" s="730"/>
      <c r="BZ6" s="731"/>
      <c r="CA6" s="732"/>
      <c r="CB6" s="730"/>
      <c r="CC6" s="730"/>
      <c r="CD6" s="730"/>
      <c r="CE6" s="730"/>
      <c r="CF6" s="730"/>
      <c r="CG6" s="730"/>
      <c r="CH6" s="730"/>
      <c r="CI6" s="730"/>
      <c r="CJ6" s="730"/>
      <c r="CK6" s="730"/>
      <c r="CL6" s="730"/>
      <c r="CM6" s="731"/>
      <c r="CN6" s="732"/>
      <c r="CO6" s="730"/>
      <c r="CP6" s="730"/>
      <c r="CQ6" s="730"/>
      <c r="CR6" s="730"/>
      <c r="CS6" s="730"/>
      <c r="CT6" s="730"/>
      <c r="CU6" s="730"/>
      <c r="CV6" s="730"/>
      <c r="CW6" s="730"/>
      <c r="CX6" s="730"/>
      <c r="CY6" s="730"/>
      <c r="CZ6" s="731"/>
      <c r="DA6" s="732"/>
      <c r="DB6" s="730"/>
      <c r="DC6" s="730"/>
      <c r="DD6" s="730"/>
      <c r="DE6" s="730"/>
      <c r="DF6" s="730"/>
      <c r="DG6" s="730"/>
      <c r="DH6" s="730"/>
      <c r="DI6" s="730"/>
      <c r="DJ6" s="730"/>
      <c r="DK6" s="730"/>
      <c r="DL6" s="730"/>
      <c r="DM6" s="731"/>
      <c r="DN6" s="732"/>
      <c r="DO6" s="730"/>
      <c r="DP6" s="730"/>
      <c r="DQ6" s="730"/>
      <c r="DR6" s="730"/>
      <c r="DS6" s="730"/>
      <c r="DT6" s="730"/>
      <c r="DU6" s="730"/>
      <c r="DV6" s="730"/>
      <c r="DW6" s="730"/>
      <c r="DX6" s="730"/>
      <c r="DY6" s="730"/>
      <c r="DZ6" s="731"/>
      <c r="EA6" s="732"/>
      <c r="EB6" s="730"/>
      <c r="EC6" s="730"/>
      <c r="ED6" s="730"/>
      <c r="EE6" s="730"/>
      <c r="EF6" s="730"/>
      <c r="EG6" s="730"/>
      <c r="EH6" s="730"/>
      <c r="EI6" s="730"/>
      <c r="EJ6" s="730"/>
      <c r="EK6" s="730"/>
      <c r="EL6" s="730"/>
      <c r="EM6" s="731"/>
      <c r="EN6" s="732"/>
      <c r="EO6" s="730"/>
      <c r="EP6" s="730"/>
      <c r="EQ6" s="730"/>
      <c r="ER6" s="730"/>
      <c r="ES6" s="730"/>
      <c r="ET6" s="730"/>
      <c r="EU6" s="730"/>
      <c r="EV6" s="730"/>
      <c r="EW6" s="730"/>
      <c r="EX6" s="730"/>
      <c r="EY6" s="730"/>
      <c r="EZ6" s="731"/>
      <c r="FA6" s="732"/>
      <c r="FC6" s="799"/>
      <c r="FD6" s="800"/>
      <c r="FE6" s="799"/>
      <c r="FF6" s="800"/>
    </row>
    <row r="7" spans="1:162" s="447" customFormat="1" ht="15" customHeight="1" x14ac:dyDescent="0.25">
      <c r="A7" s="733" t="s">
        <v>343</v>
      </c>
      <c r="B7" s="734">
        <v>67.426943805130051</v>
      </c>
      <c r="C7" s="734">
        <v>61.309670076215909</v>
      </c>
      <c r="D7" s="734">
        <v>69.754576513014271</v>
      </c>
      <c r="E7" s="734">
        <v>64.374466431226324</v>
      </c>
      <c r="F7" s="734">
        <v>65.212575824121217</v>
      </c>
      <c r="G7" s="734">
        <v>72.576945056654566</v>
      </c>
      <c r="H7" s="734">
        <v>66.826481568903162</v>
      </c>
      <c r="I7" s="734">
        <v>69.024821987452896</v>
      </c>
      <c r="J7" s="734">
        <v>68.16332747189233</v>
      </c>
      <c r="K7" s="734">
        <v>58.31502086645024</v>
      </c>
      <c r="L7" s="734">
        <v>61.825736959715663</v>
      </c>
      <c r="M7" s="735">
        <v>76.286123569299605</v>
      </c>
      <c r="N7" s="735">
        <f>IFERROR(AVERAGE(B7:M7),)</f>
        <v>66.758057510839691</v>
      </c>
      <c r="O7" s="734">
        <v>68.625056547002998</v>
      </c>
      <c r="P7" s="734">
        <v>47.56934611257573</v>
      </c>
      <c r="Q7" s="734">
        <v>54.08443149970266</v>
      </c>
      <c r="R7" s="734">
        <v>60.685607334884473</v>
      </c>
      <c r="S7" s="734">
        <v>49.188314440788858</v>
      </c>
      <c r="T7" s="734">
        <v>37.418809841040819</v>
      </c>
      <c r="U7" s="734">
        <v>37.348598772698438</v>
      </c>
      <c r="V7" s="734">
        <v>51.255138989491989</v>
      </c>
      <c r="W7" s="734">
        <v>36.593705252140076</v>
      </c>
      <c r="X7" s="734">
        <v>51.990739845615686</v>
      </c>
      <c r="Y7" s="734">
        <v>41.88410249527719</v>
      </c>
      <c r="Z7" s="735">
        <v>48.815686107951812</v>
      </c>
      <c r="AA7" s="735">
        <f>IFERROR(AVERAGE(O7:Z7),)</f>
        <v>48.788294769930893</v>
      </c>
      <c r="AB7" s="734">
        <v>44.732993594526768</v>
      </c>
      <c r="AC7" s="734">
        <v>40.442235933151352</v>
      </c>
      <c r="AD7" s="734">
        <v>44.30142962640226</v>
      </c>
      <c r="AE7" s="734">
        <v>30.806671414281112</v>
      </c>
      <c r="AF7" s="734">
        <v>31.748431584245761</v>
      </c>
      <c r="AG7" s="734">
        <v>78.970026289629246</v>
      </c>
      <c r="AH7" s="734">
        <v>96.367442790161576</v>
      </c>
      <c r="AI7" s="734">
        <v>82.862736036510952</v>
      </c>
      <c r="AJ7" s="734">
        <v>77.146580034175756</v>
      </c>
      <c r="AK7" s="734">
        <v>89.310445395033838</v>
      </c>
      <c r="AL7" s="734">
        <v>62.669413954087503</v>
      </c>
      <c r="AM7" s="735">
        <v>16.588457879656165</v>
      </c>
      <c r="AN7" s="735">
        <f>IFERROR(AVERAGE(AB7:AM7),)</f>
        <v>57.995572044321868</v>
      </c>
      <c r="AO7" s="734">
        <v>8.7750846492297576</v>
      </c>
      <c r="AP7" s="734">
        <v>4.3731334346507325</v>
      </c>
      <c r="AQ7" s="734">
        <v>3.7506602703257093</v>
      </c>
      <c r="AR7" s="734">
        <v>3.3496536338366072</v>
      </c>
      <c r="AS7" s="734"/>
      <c r="AT7" s="734">
        <v>22.065154507977283</v>
      </c>
      <c r="AU7" s="734">
        <v>18.380610401131865</v>
      </c>
      <c r="AV7" s="734">
        <v>0.66588805646916194</v>
      </c>
      <c r="AW7" s="734">
        <v>0.1951814576026295</v>
      </c>
      <c r="AX7" s="734"/>
      <c r="AY7" s="734"/>
      <c r="AZ7" s="735"/>
      <c r="BA7" s="735">
        <f>IFERROR(AVERAGE(AO7:AZ7),)</f>
        <v>7.6944208014029689</v>
      </c>
      <c r="BB7" s="734"/>
      <c r="BC7" s="734"/>
      <c r="BD7" s="734"/>
      <c r="BE7" s="734"/>
      <c r="BF7" s="734"/>
      <c r="BG7" s="734"/>
      <c r="BH7" s="734"/>
      <c r="BI7" s="734"/>
      <c r="BJ7" s="734"/>
      <c r="BK7" s="734"/>
      <c r="BL7" s="734"/>
      <c r="BM7" s="735"/>
      <c r="BN7" s="735">
        <f>IFERROR(AVERAGE(BB7:BM7),)</f>
        <v>0</v>
      </c>
      <c r="BO7" s="734"/>
      <c r="BP7" s="734"/>
      <c r="BQ7" s="734"/>
      <c r="BR7" s="734"/>
      <c r="BS7" s="734"/>
      <c r="BT7" s="734"/>
      <c r="BU7" s="734"/>
      <c r="BV7" s="734"/>
      <c r="BW7" s="734"/>
      <c r="BX7" s="734"/>
      <c r="BY7" s="734"/>
      <c r="BZ7" s="735"/>
      <c r="CA7" s="735">
        <f>IFERROR(AVERAGE(BO7:BZ7),)</f>
        <v>0</v>
      </c>
      <c r="CB7" s="734"/>
      <c r="CC7" s="734"/>
      <c r="CD7" s="734"/>
      <c r="CE7" s="734"/>
      <c r="CF7" s="734"/>
      <c r="CG7" s="734"/>
      <c r="CH7" s="734"/>
      <c r="CI7" s="734"/>
      <c r="CJ7" s="734"/>
      <c r="CK7" s="734"/>
      <c r="CL7" s="734"/>
      <c r="CM7" s="735"/>
      <c r="CN7" s="735">
        <f>IFERROR(AVERAGE(CB7:CM7),)</f>
        <v>0</v>
      </c>
      <c r="CO7" s="734"/>
      <c r="CP7" s="734"/>
      <c r="CQ7" s="734"/>
      <c r="CR7" s="734"/>
      <c r="CS7" s="734"/>
      <c r="CT7" s="734"/>
      <c r="CU7" s="734"/>
      <c r="CV7" s="734"/>
      <c r="CW7" s="734"/>
      <c r="CX7" s="734"/>
      <c r="CY7" s="734"/>
      <c r="CZ7" s="735"/>
      <c r="DA7" s="735">
        <f>IFERROR(AVERAGE(CO7:CZ7),)</f>
        <v>0</v>
      </c>
      <c r="DB7" s="734"/>
      <c r="DC7" s="734"/>
      <c r="DD7" s="734"/>
      <c r="DE7" s="734"/>
      <c r="DF7" s="734"/>
      <c r="DG7" s="734"/>
      <c r="DH7" s="734"/>
      <c r="DI7" s="734"/>
      <c r="DJ7" s="734"/>
      <c r="DK7" s="734"/>
      <c r="DL7" s="734"/>
      <c r="DM7" s="735"/>
      <c r="DN7" s="735">
        <f>IFERROR(AVERAGE(DB7:DM7),)</f>
        <v>0</v>
      </c>
      <c r="DO7" s="734"/>
      <c r="DP7" s="734"/>
      <c r="DQ7" s="734"/>
      <c r="DR7" s="734"/>
      <c r="DS7" s="734"/>
      <c r="DT7" s="734"/>
      <c r="DU7" s="734"/>
      <c r="DV7" s="734"/>
      <c r="DW7" s="734"/>
      <c r="DX7" s="734"/>
      <c r="DY7" s="734"/>
      <c r="DZ7" s="735"/>
      <c r="EA7" s="735">
        <f>IFERROR(AVERAGE(DO7:DZ7),)</f>
        <v>0</v>
      </c>
      <c r="EB7" s="734"/>
      <c r="EC7" s="734"/>
      <c r="ED7" s="734"/>
      <c r="EE7" s="734"/>
      <c r="EF7" s="734"/>
      <c r="EG7" s="734"/>
      <c r="EH7" s="734"/>
      <c r="EI7" s="734"/>
      <c r="EJ7" s="734"/>
      <c r="EK7" s="734"/>
      <c r="EL7" s="734"/>
      <c r="EM7" s="735"/>
      <c r="EN7" s="735">
        <f>IFERROR(AVERAGE(EB7:EM7),)</f>
        <v>0</v>
      </c>
      <c r="EO7" s="734"/>
      <c r="EP7" s="734"/>
      <c r="EQ7" s="734"/>
      <c r="ER7" s="734"/>
      <c r="ES7" s="734"/>
      <c r="ET7" s="734"/>
      <c r="EU7" s="734"/>
      <c r="EV7" s="734"/>
      <c r="EW7" s="734"/>
      <c r="EX7" s="734"/>
      <c r="EY7" s="734"/>
      <c r="EZ7" s="735"/>
      <c r="FA7" s="735">
        <f>IFERROR(AVERAGE(EO7:EZ7),)</f>
        <v>0</v>
      </c>
      <c r="FC7" s="818" t="str" cm="1">
        <f t="array" ref="FC7">IFERROR(((
_xlfn.XLOOKUP((DATE(YEAR($FC$5),MONTH($FC$5),1)),UCA.MANUFACTURA.DATE,$B7:$FA7) /
_xlfn.XLOOKUP((DATE(YEAR($FC$5)-1,MONTH($FC$5),1)),UCA.MANUFACTURA.DATE,$B7:$FA7)
)-1)*100,"")</f>
        <v/>
      </c>
      <c r="FD7" s="819" t="str">
        <f>IFERROR(((FF7/FE7)-1)*100,"")</f>
        <v/>
      </c>
      <c r="FE7" s="816" cm="1">
        <f t="array" ref="FE7">SUMIFS($B7:$FA7,UCA.MANUFACTURA.DATE,"&gt;="&amp;DATE(YEAR($FC$5)-1,1,1),UCA.MANUFACTURA.DATE,"&lt;="&amp;DATE(YEAR($FC$5)-1,MONTH($FC$5),1))</f>
        <v>0</v>
      </c>
      <c r="FF7" s="817" cm="1">
        <f t="array" ref="FF7">SUMIFS($B7:$FA7,UCA.MANUFACTURA.DATE,"&gt;="&amp;DATE(YEAR($FC$5),1,1),UCA.MANUFACTURA.DATE,"&lt;="&amp;$FC$5)</f>
        <v>0</v>
      </c>
    </row>
    <row r="8" spans="1:162" s="447" customFormat="1" ht="15" customHeight="1" x14ac:dyDescent="0.25">
      <c r="A8" s="736" t="s">
        <v>567</v>
      </c>
      <c r="B8" s="737">
        <v>67.426943805130051</v>
      </c>
      <c r="C8" s="737">
        <v>61.309670076215909</v>
      </c>
      <c r="D8" s="737">
        <v>69.754576513014271</v>
      </c>
      <c r="E8" s="737">
        <v>64.374466431226324</v>
      </c>
      <c r="F8" s="737">
        <v>65.212575824121217</v>
      </c>
      <c r="G8" s="737">
        <v>72.576945056654566</v>
      </c>
      <c r="H8" s="737">
        <v>66.826481568903162</v>
      </c>
      <c r="I8" s="737">
        <v>69.024821987452896</v>
      </c>
      <c r="J8" s="737">
        <v>68.16332747189233</v>
      </c>
      <c r="K8" s="737">
        <v>58.31502086645024</v>
      </c>
      <c r="L8" s="737">
        <v>61.825736959715663</v>
      </c>
      <c r="M8" s="738">
        <v>76.286123569299605</v>
      </c>
      <c r="N8" s="739">
        <f t="shared" ref="N8:N15" si="2">IFERROR(AVERAGE(B8:M8),)</f>
        <v>66.758057510839691</v>
      </c>
      <c r="O8" s="737">
        <v>68.625056547002998</v>
      </c>
      <c r="P8" s="737">
        <v>47.56934611257573</v>
      </c>
      <c r="Q8" s="737">
        <v>54.08443149970266</v>
      </c>
      <c r="R8" s="737">
        <v>60.685607334884473</v>
      </c>
      <c r="S8" s="737">
        <v>49.188314440788858</v>
      </c>
      <c r="T8" s="737">
        <v>37.418809841040819</v>
      </c>
      <c r="U8" s="737">
        <v>37.348598772698438</v>
      </c>
      <c r="V8" s="737">
        <v>51.255138989491989</v>
      </c>
      <c r="W8" s="737">
        <v>36.593705252140076</v>
      </c>
      <c r="X8" s="737">
        <v>51.990739845615686</v>
      </c>
      <c r="Y8" s="737">
        <v>41.88410249527719</v>
      </c>
      <c r="Z8" s="738">
        <v>48.815686107951812</v>
      </c>
      <c r="AA8" s="739">
        <f t="shared" ref="AA8:AA15" si="3">IFERROR(AVERAGE(O8:Z8),)</f>
        <v>48.788294769930893</v>
      </c>
      <c r="AB8" s="737">
        <v>44.732993594526768</v>
      </c>
      <c r="AC8" s="737">
        <v>40.442235933151352</v>
      </c>
      <c r="AD8" s="737">
        <v>44.30142962640226</v>
      </c>
      <c r="AE8" s="737">
        <v>30.806671414281112</v>
      </c>
      <c r="AF8" s="737">
        <v>31.748431584245761</v>
      </c>
      <c r="AG8" s="737">
        <v>78.970026289629246</v>
      </c>
      <c r="AH8" s="737">
        <v>96.367442790161576</v>
      </c>
      <c r="AI8" s="737">
        <v>82.862736036510952</v>
      </c>
      <c r="AJ8" s="737">
        <v>77.146580034175756</v>
      </c>
      <c r="AK8" s="737">
        <v>89.310445395033838</v>
      </c>
      <c r="AL8" s="737">
        <v>62.669413954087503</v>
      </c>
      <c r="AM8" s="738">
        <v>16.588457879656165</v>
      </c>
      <c r="AN8" s="739">
        <f t="shared" ref="AN8:AN15" si="4">IFERROR(AVERAGE(AB8:AM8),)</f>
        <v>57.995572044321868</v>
      </c>
      <c r="AO8" s="737">
        <v>8.7750846492297576</v>
      </c>
      <c r="AP8" s="737">
        <v>4.3731334346507325</v>
      </c>
      <c r="AQ8" s="737">
        <v>3.7506602703257093</v>
      </c>
      <c r="AR8" s="737">
        <v>3.3496536338366072</v>
      </c>
      <c r="AS8" s="737"/>
      <c r="AT8" s="737">
        <v>22.065154507977283</v>
      </c>
      <c r="AU8" s="737">
        <v>18.380610401131865</v>
      </c>
      <c r="AV8" s="737">
        <v>0.66588805646916194</v>
      </c>
      <c r="AW8" s="737">
        <v>0.1951814576026295</v>
      </c>
      <c r="AX8" s="737"/>
      <c r="AY8" s="737"/>
      <c r="AZ8" s="738"/>
      <c r="BA8" s="739">
        <f t="shared" ref="BA8:BA15" si="5">IFERROR(AVERAGE(AO8:AZ8),)</f>
        <v>7.6944208014029689</v>
      </c>
      <c r="BB8" s="737"/>
      <c r="BC8" s="737"/>
      <c r="BD8" s="737"/>
      <c r="BE8" s="737"/>
      <c r="BF8" s="737"/>
      <c r="BG8" s="737"/>
      <c r="BH8" s="737"/>
      <c r="BI8" s="737"/>
      <c r="BJ8" s="737"/>
      <c r="BK8" s="737"/>
      <c r="BL8" s="737"/>
      <c r="BM8" s="738"/>
      <c r="BN8" s="739">
        <f t="shared" ref="BN8:BN15" si="6">IFERROR(AVERAGE(BB8:BM8),)</f>
        <v>0</v>
      </c>
      <c r="BO8" s="737"/>
      <c r="BP8" s="737"/>
      <c r="BQ8" s="737"/>
      <c r="BR8" s="737"/>
      <c r="BS8" s="737"/>
      <c r="BT8" s="737"/>
      <c r="BU8" s="737"/>
      <c r="BV8" s="737"/>
      <c r="BW8" s="737"/>
      <c r="BX8" s="737"/>
      <c r="BY8" s="737"/>
      <c r="BZ8" s="738"/>
      <c r="CA8" s="739">
        <f t="shared" ref="CA8:CA15" si="7">IFERROR(AVERAGE(BO8:BZ8),)</f>
        <v>0</v>
      </c>
      <c r="CB8" s="737"/>
      <c r="CC8" s="737"/>
      <c r="CD8" s="737"/>
      <c r="CE8" s="737"/>
      <c r="CF8" s="737"/>
      <c r="CG8" s="737"/>
      <c r="CH8" s="737"/>
      <c r="CI8" s="737"/>
      <c r="CJ8" s="737"/>
      <c r="CK8" s="737"/>
      <c r="CL8" s="737"/>
      <c r="CM8" s="738"/>
      <c r="CN8" s="739">
        <f t="shared" ref="CN8:CN15" si="8">IFERROR(AVERAGE(CB8:CM8),)</f>
        <v>0</v>
      </c>
      <c r="CO8" s="737"/>
      <c r="CP8" s="737"/>
      <c r="CQ8" s="737"/>
      <c r="CR8" s="737"/>
      <c r="CS8" s="737"/>
      <c r="CT8" s="737"/>
      <c r="CU8" s="737"/>
      <c r="CV8" s="737"/>
      <c r="CW8" s="737"/>
      <c r="CX8" s="737"/>
      <c r="CY8" s="737"/>
      <c r="CZ8" s="738"/>
      <c r="DA8" s="739">
        <f t="shared" ref="DA8:DA15" si="9">IFERROR(AVERAGE(CO8:CZ8),)</f>
        <v>0</v>
      </c>
      <c r="DB8" s="737"/>
      <c r="DC8" s="737"/>
      <c r="DD8" s="737"/>
      <c r="DE8" s="737"/>
      <c r="DF8" s="737"/>
      <c r="DG8" s="737"/>
      <c r="DH8" s="737"/>
      <c r="DI8" s="737"/>
      <c r="DJ8" s="737"/>
      <c r="DK8" s="737"/>
      <c r="DL8" s="737"/>
      <c r="DM8" s="738"/>
      <c r="DN8" s="739">
        <f t="shared" ref="DN8:DN15" si="10">IFERROR(AVERAGE(DB8:DM8),)</f>
        <v>0</v>
      </c>
      <c r="DO8" s="737"/>
      <c r="DP8" s="737"/>
      <c r="DQ8" s="737"/>
      <c r="DR8" s="737"/>
      <c r="DS8" s="737"/>
      <c r="DT8" s="737"/>
      <c r="DU8" s="737"/>
      <c r="DV8" s="737"/>
      <c r="DW8" s="737"/>
      <c r="DX8" s="737"/>
      <c r="DY8" s="737"/>
      <c r="DZ8" s="738"/>
      <c r="EA8" s="739">
        <f t="shared" ref="EA8:EA15" si="11">IFERROR(AVERAGE(DO8:DZ8),)</f>
        <v>0</v>
      </c>
      <c r="EB8" s="737"/>
      <c r="EC8" s="737"/>
      <c r="ED8" s="737"/>
      <c r="EE8" s="737"/>
      <c r="EF8" s="737"/>
      <c r="EG8" s="737"/>
      <c r="EH8" s="737"/>
      <c r="EI8" s="737"/>
      <c r="EJ8" s="737"/>
      <c r="EK8" s="737"/>
      <c r="EL8" s="737"/>
      <c r="EM8" s="738"/>
      <c r="EN8" s="739">
        <f t="shared" ref="EN8:EN15" si="12">IFERROR(AVERAGE(EB8:EM8),)</f>
        <v>0</v>
      </c>
      <c r="EO8" s="737"/>
      <c r="EP8" s="737"/>
      <c r="EQ8" s="737"/>
      <c r="ER8" s="737"/>
      <c r="ES8" s="737"/>
      <c r="ET8" s="737"/>
      <c r="EU8" s="737"/>
      <c r="EV8" s="737"/>
      <c r="EW8" s="737"/>
      <c r="EX8" s="737"/>
      <c r="EY8" s="737"/>
      <c r="EZ8" s="738"/>
      <c r="FA8" s="739">
        <f t="shared" ref="FA8:FA15" si="13">IFERROR(AVERAGE(EO8:EZ8),)</f>
        <v>0</v>
      </c>
      <c r="FC8" s="801" t="str" cm="1">
        <f t="array" ref="FC8">IFERROR(((
_xlfn.XLOOKUP((DATE(YEAR($FC$5),MONTH($FC$5),1)),UCA.MANUFACTURA.DATE,$B8:$FA8) /
_xlfn.XLOOKUP((DATE(YEAR($FC$5)-1,MONTH($FC$5),1)),UCA.MANUFACTURA.DATE,$B8:$FA8)
)-1)*100,"")</f>
        <v/>
      </c>
      <c r="FD8" s="802" t="str">
        <f t="shared" ref="FD8:FD17" si="14">IFERROR(((FF8/FE8)-1)*100,"")</f>
        <v/>
      </c>
      <c r="FE8" s="809" cm="1">
        <f t="array" ref="FE8">SUMIFS($B8:$FA8,UCA.MANUFACTURA.DATE,"&gt;="&amp;DATE(YEAR($FC$5)-1,1,1),UCA.MANUFACTURA.DATE,"&lt;="&amp;DATE(YEAR($FC$5)-1,MONTH($FC$5),1))</f>
        <v>0</v>
      </c>
      <c r="FF8" s="802" cm="1">
        <f t="array" ref="FF8">SUMIFS($B8:$FA8,UCA.MANUFACTURA.DATE,"&gt;="&amp;DATE(YEAR($FC$5),1,1),UCA.MANUFACTURA.DATE,"&lt;="&amp;$FC$5)</f>
        <v>0</v>
      </c>
    </row>
    <row r="9" spans="1:162" s="447" customFormat="1" ht="15" customHeight="1" x14ac:dyDescent="0.25">
      <c r="A9" s="733" t="s">
        <v>344</v>
      </c>
      <c r="B9" s="734">
        <v>138.47261585968323</v>
      </c>
      <c r="C9" s="734">
        <v>129.78592037490759</v>
      </c>
      <c r="D9" s="734">
        <v>155.81298083865548</v>
      </c>
      <c r="E9" s="734">
        <v>143.09260372513214</v>
      </c>
      <c r="F9" s="734">
        <v>155.20253456907997</v>
      </c>
      <c r="G9" s="734">
        <v>160.8929741322406</v>
      </c>
      <c r="H9" s="734">
        <v>163.7908511199723</v>
      </c>
      <c r="I9" s="734">
        <v>159.93842732304992</v>
      </c>
      <c r="J9" s="734">
        <v>163.95913786208195</v>
      </c>
      <c r="K9" s="734">
        <v>184.11299894343418</v>
      </c>
      <c r="L9" s="734">
        <v>190.55258690777652</v>
      </c>
      <c r="M9" s="735">
        <v>174.07462074898572</v>
      </c>
      <c r="N9" s="735">
        <f t="shared" si="2"/>
        <v>159.97402103374995</v>
      </c>
      <c r="O9" s="734">
        <v>167.02677015940154</v>
      </c>
      <c r="P9" s="734">
        <v>158.25924057617394</v>
      </c>
      <c r="Q9" s="734">
        <v>157.39733686868914</v>
      </c>
      <c r="R9" s="734">
        <v>156.50048095073785</v>
      </c>
      <c r="S9" s="734">
        <v>195.55041993231296</v>
      </c>
      <c r="T9" s="734">
        <v>183.80973190184176</v>
      </c>
      <c r="U9" s="734">
        <v>170.73605686047307</v>
      </c>
      <c r="V9" s="734">
        <v>184.02115451679333</v>
      </c>
      <c r="W9" s="734">
        <v>195.34329293799448</v>
      </c>
      <c r="X9" s="734">
        <v>183.40211737400546</v>
      </c>
      <c r="Y9" s="734">
        <v>190.16404236378764</v>
      </c>
      <c r="Z9" s="735">
        <v>185.30771949719593</v>
      </c>
      <c r="AA9" s="735">
        <f t="shared" si="3"/>
        <v>177.29319699495059</v>
      </c>
      <c r="AB9" s="734">
        <v>154.91171907935151</v>
      </c>
      <c r="AC9" s="734">
        <v>162.88813484219597</v>
      </c>
      <c r="AD9" s="734">
        <v>166.33322616480029</v>
      </c>
      <c r="AE9" s="734">
        <v>151.45809183346117</v>
      </c>
      <c r="AF9" s="734">
        <v>204.59825938216412</v>
      </c>
      <c r="AG9" s="734">
        <v>195.9549386369722</v>
      </c>
      <c r="AH9" s="734">
        <v>176.65255714918314</v>
      </c>
      <c r="AI9" s="734">
        <v>208.67368238208923</v>
      </c>
      <c r="AJ9" s="734">
        <v>204.24859717662977</v>
      </c>
      <c r="AK9" s="734">
        <v>208.1640224454907</v>
      </c>
      <c r="AL9" s="734">
        <v>220.37873393483204</v>
      </c>
      <c r="AM9" s="735">
        <v>209.9556450096288</v>
      </c>
      <c r="AN9" s="735">
        <f t="shared" si="4"/>
        <v>188.68480066973325</v>
      </c>
      <c r="AO9" s="734">
        <v>205.30124821693775</v>
      </c>
      <c r="AP9" s="734">
        <v>172.18774509857516</v>
      </c>
      <c r="AQ9" s="734">
        <v>172.51838741818023</v>
      </c>
      <c r="AR9" s="734">
        <v>195.87561682218262</v>
      </c>
      <c r="AS9" s="734">
        <v>208.61175239941943</v>
      </c>
      <c r="AT9" s="734">
        <v>209.10797537645379</v>
      </c>
      <c r="AU9" s="734">
        <v>199.72530334708784</v>
      </c>
      <c r="AV9" s="734">
        <v>234.59027376493839</v>
      </c>
      <c r="AW9" s="734">
        <v>201.91517467644391</v>
      </c>
      <c r="AX9" s="734">
        <v>216.89658327403691</v>
      </c>
      <c r="AY9" s="734">
        <v>215.8541816589948</v>
      </c>
      <c r="AZ9" s="735">
        <v>259.12849091081915</v>
      </c>
      <c r="BA9" s="735">
        <f t="shared" si="5"/>
        <v>207.64272774700581</v>
      </c>
      <c r="BB9" s="734">
        <v>240.93831289859887</v>
      </c>
      <c r="BC9" s="734">
        <v>182.47554104374748</v>
      </c>
      <c r="BD9" s="734">
        <v>202.84334905279781</v>
      </c>
      <c r="BE9" s="734">
        <v>222.38104808394604</v>
      </c>
      <c r="BF9" s="734">
        <v>170.10145427239434</v>
      </c>
      <c r="BG9" s="734">
        <v>198.21556105807045</v>
      </c>
      <c r="BH9" s="734">
        <v>182.35204678683024</v>
      </c>
      <c r="BI9" s="734">
        <v>167.16703970525941</v>
      </c>
      <c r="BJ9" s="734">
        <v>211.11589581076413</v>
      </c>
      <c r="BK9" s="734">
        <v>194.00478214251436</v>
      </c>
      <c r="BL9" s="734">
        <v>191.32544151529385</v>
      </c>
      <c r="BM9" s="735">
        <v>197.10171375433868</v>
      </c>
      <c r="BN9" s="735">
        <f t="shared" si="6"/>
        <v>196.66851551037962</v>
      </c>
      <c r="BO9" s="734">
        <v>252.75801442569224</v>
      </c>
      <c r="BP9" s="734">
        <v>204.80720076603382</v>
      </c>
      <c r="BQ9" s="734">
        <v>152.38253267188028</v>
      </c>
      <c r="BR9" s="734">
        <v>11.094182602178451</v>
      </c>
      <c r="BS9" s="734">
        <v>29.406682370376689</v>
      </c>
      <c r="BT9" s="734">
        <v>190.28541282680331</v>
      </c>
      <c r="BU9" s="734">
        <v>241.88807315817465</v>
      </c>
      <c r="BV9" s="734">
        <v>268.83559314403107</v>
      </c>
      <c r="BW9" s="734">
        <v>268.09406800230016</v>
      </c>
      <c r="BX9" s="734">
        <v>247.68565980451882</v>
      </c>
      <c r="BY9" s="734">
        <v>253.15581749182667</v>
      </c>
      <c r="BZ9" s="735">
        <v>284.95367478033796</v>
      </c>
      <c r="CA9" s="735">
        <f t="shared" si="7"/>
        <v>200.44557600367952</v>
      </c>
      <c r="CB9" s="734">
        <v>329.38050872337277</v>
      </c>
      <c r="CC9" s="734">
        <v>333.30301964206825</v>
      </c>
      <c r="CD9" s="734">
        <v>231.39433127379766</v>
      </c>
      <c r="CE9" s="734">
        <v>210.62190719987063</v>
      </c>
      <c r="CF9" s="734">
        <v>203.81012427260919</v>
      </c>
      <c r="CG9" s="734">
        <v>229.78405107515789</v>
      </c>
      <c r="CH9" s="734">
        <v>252.79668200502334</v>
      </c>
      <c r="CI9" s="734">
        <v>244.96084418871541</v>
      </c>
      <c r="CJ9" s="734">
        <v>266.83638732976704</v>
      </c>
      <c r="CK9" s="734">
        <v>276.22605416580853</v>
      </c>
      <c r="CL9" s="734">
        <v>269.70549889485153</v>
      </c>
      <c r="CM9" s="735">
        <v>241.1821872764292</v>
      </c>
      <c r="CN9" s="735">
        <f t="shared" si="8"/>
        <v>257.50013300395591</v>
      </c>
      <c r="CO9" s="734">
        <v>230.04440337671312</v>
      </c>
      <c r="CP9" s="734">
        <v>168.86388295973063</v>
      </c>
      <c r="CQ9" s="734">
        <v>231.48428891385063</v>
      </c>
      <c r="CR9" s="734">
        <v>227.37365643992953</v>
      </c>
      <c r="CS9" s="734">
        <v>253.75595095459778</v>
      </c>
      <c r="CT9" s="734">
        <v>255.49066319858167</v>
      </c>
      <c r="CU9" s="734">
        <v>220.70941797852592</v>
      </c>
      <c r="CV9" s="734">
        <v>335.78986500288818</v>
      </c>
      <c r="CW9" s="734">
        <v>262.94743862808542</v>
      </c>
      <c r="CX9" s="734">
        <v>235.64175543394651</v>
      </c>
      <c r="CY9" s="734">
        <v>240.85768142037458</v>
      </c>
      <c r="CZ9" s="735">
        <v>218.84429643409646</v>
      </c>
      <c r="DA9" s="735">
        <f t="shared" si="9"/>
        <v>240.15027506177671</v>
      </c>
      <c r="DB9" s="734">
        <v>201.78865966552985</v>
      </c>
      <c r="DC9" s="734">
        <v>229.32034943393211</v>
      </c>
      <c r="DD9" s="734">
        <v>297.21530631558841</v>
      </c>
      <c r="DE9" s="734">
        <v>180.68450949146913</v>
      </c>
      <c r="DF9" s="734">
        <v>185.62592571050996</v>
      </c>
      <c r="DG9" s="734">
        <v>176.0760710484571</v>
      </c>
      <c r="DH9" s="734">
        <v>197.00664730659244</v>
      </c>
      <c r="DI9" s="734">
        <v>187.83530571637968</v>
      </c>
      <c r="DJ9" s="734">
        <v>130.20206014464685</v>
      </c>
      <c r="DK9" s="734">
        <v>198.06512657070064</v>
      </c>
      <c r="DL9" s="734">
        <v>222.01187414785733</v>
      </c>
      <c r="DM9" s="735">
        <v>205.34369579450723</v>
      </c>
      <c r="DN9" s="735">
        <f t="shared" si="10"/>
        <v>200.93129427884756</v>
      </c>
      <c r="DO9" s="734">
        <v>162.35489458607952</v>
      </c>
      <c r="DP9" s="734">
        <v>142.73781985772422</v>
      </c>
      <c r="DQ9" s="734">
        <v>206.89253834722578</v>
      </c>
      <c r="DR9" s="734">
        <v>161.44019484655828</v>
      </c>
      <c r="DS9" s="734">
        <v>165.23297526756159</v>
      </c>
      <c r="DT9" s="734">
        <v>156.93245645141309</v>
      </c>
      <c r="DU9" s="734">
        <v>179.90172795661701</v>
      </c>
      <c r="DV9" s="734">
        <v>197.1928931123654</v>
      </c>
      <c r="DW9" s="734">
        <v>196.38743862342344</v>
      </c>
      <c r="DX9" s="734">
        <v>191.08250050888111</v>
      </c>
      <c r="DY9" s="734">
        <v>186.49494650445061</v>
      </c>
      <c r="DZ9" s="735">
        <v>186.74059741906649</v>
      </c>
      <c r="EA9" s="735">
        <f t="shared" si="11"/>
        <v>177.78258195678055</v>
      </c>
      <c r="EB9" s="734">
        <v>186.68344776490167</v>
      </c>
      <c r="EC9" s="734">
        <v>174.3749063745681</v>
      </c>
      <c r="ED9" s="734">
        <v>168.43888801071896</v>
      </c>
      <c r="EE9" s="734">
        <v>182.95124507998082</v>
      </c>
      <c r="EF9" s="734">
        <v>193.66514516566207</v>
      </c>
      <c r="EG9" s="734">
        <v>181.8625293834418</v>
      </c>
      <c r="EH9" s="734">
        <v>184.6934277093541</v>
      </c>
      <c r="EI9" s="734">
        <v>184.90695469061592</v>
      </c>
      <c r="EJ9" s="734">
        <v>184.45785770039694</v>
      </c>
      <c r="EK9" s="734">
        <v>189.00900619407935</v>
      </c>
      <c r="EL9" s="734">
        <v>175.33180719750092</v>
      </c>
      <c r="EM9" s="735">
        <v>229.52657764070247</v>
      </c>
      <c r="EN9" s="735">
        <f t="shared" si="12"/>
        <v>186.32514940932694</v>
      </c>
      <c r="EO9" s="734">
        <v>156.5903072820939</v>
      </c>
      <c r="EP9" s="734">
        <v>157.0053375646508</v>
      </c>
      <c r="EQ9" s="734">
        <v>191.80800320104211</v>
      </c>
      <c r="ER9" s="734">
        <v>164.514543833733</v>
      </c>
      <c r="ES9" s="734">
        <v>176.07974083506676</v>
      </c>
      <c r="ET9" s="734">
        <v>181.01675851014255</v>
      </c>
      <c r="EU9" s="734">
        <v>182.29757783298561</v>
      </c>
      <c r="EV9" s="734">
        <v>177.74536919848777</v>
      </c>
      <c r="EW9" s="734"/>
      <c r="EX9" s="734"/>
      <c r="EY9" s="734"/>
      <c r="EZ9" s="735"/>
      <c r="FA9" s="735">
        <f>IFERROR(AVERAGE(EO9:EZ9),)</f>
        <v>173.38220478227532</v>
      </c>
      <c r="FC9" s="803" cm="1">
        <f t="array" ref="FC9">IFERROR(((
_xlfn.XLOOKUP((DATE(YEAR($FC$5),MONTH($FC$5),1)),UCA.MANUFACTURA.DATE,$B9:$FA9) /
_xlfn.XLOOKUP((DATE(YEAR($FC$5)-1,MONTH($FC$5),1)),UCA.MANUFACTURA.DATE,$B9:$FA9)
)-1)*100,"")</f>
        <v>-3.8730752470132024</v>
      </c>
      <c r="FD9" s="804">
        <f t="shared" si="14"/>
        <v>-4.8380928056680599</v>
      </c>
      <c r="FE9" s="810" cm="1">
        <f t="array" ref="FE9">SUMIFS($B9:$FA9,UCA.MANUFACTURA.DATE,"&gt;="&amp;DATE(YEAR($FC$5)-1,1,1),UCA.MANUFACTURA.DATE,"&lt;="&amp;DATE(YEAR($FC$5)-1,MONTH($FC$5),1))</f>
        <v>1457.5765441792437</v>
      </c>
      <c r="FF9" s="804" cm="1">
        <f t="array" ref="FF9">SUMIFS($B9:$FA9,UCA.MANUFACTURA.DATE,"&gt;="&amp;DATE(YEAR($FC$5),1,1),UCA.MANUFACTURA.DATE,"&lt;="&amp;$FC$5)</f>
        <v>1387.0576382582026</v>
      </c>
    </row>
    <row r="10" spans="1:162" s="447" customFormat="1" ht="15" customHeight="1" x14ac:dyDescent="0.25">
      <c r="A10" s="736" t="s">
        <v>568</v>
      </c>
      <c r="B10" s="737">
        <v>244.06440358488854</v>
      </c>
      <c r="C10" s="737">
        <v>223.69713250017261</v>
      </c>
      <c r="D10" s="737">
        <v>279.59142654415871</v>
      </c>
      <c r="E10" s="737">
        <v>244.78004727822344</v>
      </c>
      <c r="F10" s="737">
        <v>272.32113820893636</v>
      </c>
      <c r="G10" s="737">
        <v>287.56940829257525</v>
      </c>
      <c r="H10" s="737">
        <v>298.72919843851935</v>
      </c>
      <c r="I10" s="737">
        <v>294.72115494127252</v>
      </c>
      <c r="J10" s="737">
        <v>298.66174040102459</v>
      </c>
      <c r="K10" s="737">
        <v>321.80238078956853</v>
      </c>
      <c r="L10" s="737">
        <v>351.38075335810271</v>
      </c>
      <c r="M10" s="738">
        <v>309.69832692341748</v>
      </c>
      <c r="N10" s="739">
        <f t="shared" si="2"/>
        <v>285.58475927173828</v>
      </c>
      <c r="O10" s="737">
        <v>292.06418897546888</v>
      </c>
      <c r="P10" s="737">
        <v>284.11395330546554</v>
      </c>
      <c r="Q10" s="737">
        <v>289.66097153110854</v>
      </c>
      <c r="R10" s="737">
        <v>275.03757346136422</v>
      </c>
      <c r="S10" s="737">
        <v>364.65141256577704</v>
      </c>
      <c r="T10" s="737">
        <v>351.8746152241248</v>
      </c>
      <c r="U10" s="737">
        <v>319.28963530437471</v>
      </c>
      <c r="V10" s="737">
        <v>353.3130454357804</v>
      </c>
      <c r="W10" s="737">
        <v>382.28502553329548</v>
      </c>
      <c r="X10" s="737">
        <v>340.6023221668886</v>
      </c>
      <c r="Y10" s="737">
        <v>358.23108681424537</v>
      </c>
      <c r="Z10" s="738">
        <v>336.17560178831917</v>
      </c>
      <c r="AA10" s="739">
        <f t="shared" si="3"/>
        <v>328.94161934218442</v>
      </c>
      <c r="AB10" s="737">
        <v>274.91341899575116</v>
      </c>
      <c r="AC10" s="737">
        <v>285.61402371372486</v>
      </c>
      <c r="AD10" s="737">
        <v>297.89661948132897</v>
      </c>
      <c r="AE10" s="737">
        <v>271.18853873264624</v>
      </c>
      <c r="AF10" s="737">
        <v>376.00647050419445</v>
      </c>
      <c r="AG10" s="737">
        <v>369.541625728969</v>
      </c>
      <c r="AH10" s="737">
        <v>336.20816741175759</v>
      </c>
      <c r="AI10" s="737">
        <v>384.99586471288865</v>
      </c>
      <c r="AJ10" s="737">
        <v>356.42023209333763</v>
      </c>
      <c r="AK10" s="737">
        <v>349.92643624789656</v>
      </c>
      <c r="AL10" s="737">
        <v>377.34142827902974</v>
      </c>
      <c r="AM10" s="738">
        <v>339.23181416394016</v>
      </c>
      <c r="AN10" s="739">
        <f t="shared" si="4"/>
        <v>334.94038667212214</v>
      </c>
      <c r="AO10" s="737">
        <v>335.15429551690312</v>
      </c>
      <c r="AP10" s="737">
        <v>269.35071404960479</v>
      </c>
      <c r="AQ10" s="737">
        <v>273.0669946701932</v>
      </c>
      <c r="AR10" s="737">
        <v>324.79603721977793</v>
      </c>
      <c r="AS10" s="737">
        <v>368.54842992380583</v>
      </c>
      <c r="AT10" s="737">
        <v>377.14515784898248</v>
      </c>
      <c r="AU10" s="737">
        <v>360.80034155199365</v>
      </c>
      <c r="AV10" s="737">
        <v>406.16257899583053</v>
      </c>
      <c r="AW10" s="737">
        <v>342.33460792520503</v>
      </c>
      <c r="AX10" s="737">
        <v>359.46651324188548</v>
      </c>
      <c r="AY10" s="737">
        <v>360.7013831797484</v>
      </c>
      <c r="AZ10" s="738">
        <v>464.71937575687161</v>
      </c>
      <c r="BA10" s="739">
        <f t="shared" si="5"/>
        <v>353.52053582340022</v>
      </c>
      <c r="BB10" s="737">
        <v>423.83148507044837</v>
      </c>
      <c r="BC10" s="737">
        <v>305.00634071576326</v>
      </c>
      <c r="BD10" s="737">
        <v>340.14886162064266</v>
      </c>
      <c r="BE10" s="737">
        <v>270.41148167964167</v>
      </c>
      <c r="BF10" s="737">
        <v>334.68476206187864</v>
      </c>
      <c r="BG10" s="737">
        <v>395.49055568092871</v>
      </c>
      <c r="BH10" s="737">
        <v>363.39548263745064</v>
      </c>
      <c r="BI10" s="737">
        <v>334.46520469405419</v>
      </c>
      <c r="BJ10" s="737">
        <v>431.27210722807689</v>
      </c>
      <c r="BK10" s="737">
        <v>391.57552488769187</v>
      </c>
      <c r="BL10" s="737">
        <v>391.57552488769187</v>
      </c>
      <c r="BM10" s="738">
        <v>399.02945649818793</v>
      </c>
      <c r="BN10" s="739">
        <f t="shared" si="6"/>
        <v>365.07389897187136</v>
      </c>
      <c r="BO10" s="737">
        <v>367.59330620392552</v>
      </c>
      <c r="BP10" s="737">
        <v>259.44720575006841</v>
      </c>
      <c r="BQ10" s="737">
        <v>161.14866172128913</v>
      </c>
      <c r="BR10" s="737">
        <v>14.213668657692068</v>
      </c>
      <c r="BS10" s="737">
        <v>45.983083457081392</v>
      </c>
      <c r="BT10" s="737">
        <v>263.09951345021136</v>
      </c>
      <c r="BU10" s="737">
        <v>406.48118711972387</v>
      </c>
      <c r="BV10" s="737">
        <v>322.00020076990472</v>
      </c>
      <c r="BW10" s="737">
        <v>296.3104060566572</v>
      </c>
      <c r="BX10" s="737">
        <v>314.07942193382746</v>
      </c>
      <c r="BY10" s="737">
        <v>359.70184068834487</v>
      </c>
      <c r="BZ10" s="738">
        <v>416.84688072246513</v>
      </c>
      <c r="CA10" s="739">
        <f t="shared" si="7"/>
        <v>268.90878137759927</v>
      </c>
      <c r="CB10" s="737">
        <v>397.46819869352396</v>
      </c>
      <c r="CC10" s="737">
        <v>345.28486460009287</v>
      </c>
      <c r="CD10" s="737">
        <v>308.16876626872511</v>
      </c>
      <c r="CE10" s="737">
        <v>298.96823074572973</v>
      </c>
      <c r="CF10" s="737">
        <v>291.88320093170699</v>
      </c>
      <c r="CG10" s="737">
        <v>351.17674159195064</v>
      </c>
      <c r="CH10" s="737">
        <v>401.93044448721162</v>
      </c>
      <c r="CI10" s="737">
        <v>380.41537075478351</v>
      </c>
      <c r="CJ10" s="737">
        <v>408.66579151776853</v>
      </c>
      <c r="CK10" s="737">
        <v>418.25403262846186</v>
      </c>
      <c r="CL10" s="737">
        <v>421.91744387546117</v>
      </c>
      <c r="CM10" s="738">
        <v>360.75532518031133</v>
      </c>
      <c r="CN10" s="739">
        <f t="shared" si="8"/>
        <v>365.40736760631063</v>
      </c>
      <c r="CO10" s="737">
        <v>345.54163025173079</v>
      </c>
      <c r="CP10" s="737">
        <v>212.19929541236237</v>
      </c>
      <c r="CQ10" s="737">
        <v>326.65830962954885</v>
      </c>
      <c r="CR10" s="737">
        <v>339.53273917670214</v>
      </c>
      <c r="CS10" s="737">
        <v>379.49192471377893</v>
      </c>
      <c r="CT10" s="737">
        <v>406.01267843965729</v>
      </c>
      <c r="CU10" s="737">
        <v>339.21001905304342</v>
      </c>
      <c r="CV10" s="737">
        <v>426.82604549755399</v>
      </c>
      <c r="CW10" s="737">
        <v>395.22445533293165</v>
      </c>
      <c r="CX10" s="737">
        <v>363.28169771298735</v>
      </c>
      <c r="CY10" s="737">
        <v>368.4945200132604</v>
      </c>
      <c r="CZ10" s="738">
        <v>310.57568820226084</v>
      </c>
      <c r="DA10" s="739">
        <f t="shared" si="9"/>
        <v>351.08741695298477</v>
      </c>
      <c r="DB10" s="737">
        <v>309.33616824975536</v>
      </c>
      <c r="DC10" s="737">
        <v>262.52325559636876</v>
      </c>
      <c r="DD10" s="737">
        <v>365.54263549749771</v>
      </c>
      <c r="DE10" s="737">
        <v>249.37090922058985</v>
      </c>
      <c r="DF10" s="737">
        <v>289.23404211084932</v>
      </c>
      <c r="DG10" s="737">
        <v>295.18496974479029</v>
      </c>
      <c r="DH10" s="737">
        <v>350.65610709709097</v>
      </c>
      <c r="DI10" s="737">
        <v>324.55241873168836</v>
      </c>
      <c r="DJ10" s="737">
        <v>194.92897840763041</v>
      </c>
      <c r="DK10" s="737">
        <v>311.22006670484279</v>
      </c>
      <c r="DL10" s="737">
        <v>263.65238467746275</v>
      </c>
      <c r="DM10" s="738">
        <v>361.97452130426387</v>
      </c>
      <c r="DN10" s="739">
        <f t="shared" si="10"/>
        <v>298.18137144523581</v>
      </c>
      <c r="DO10" s="737">
        <v>319.95540306403791</v>
      </c>
      <c r="DP10" s="737">
        <v>282.36017289710185</v>
      </c>
      <c r="DQ10" s="737">
        <v>280.77332840915506</v>
      </c>
      <c r="DR10" s="737">
        <v>287.22015641564633</v>
      </c>
      <c r="DS10" s="737">
        <v>294.55014506697188</v>
      </c>
      <c r="DT10" s="737">
        <v>290.80029325937954</v>
      </c>
      <c r="DU10" s="737">
        <v>333.66844724315541</v>
      </c>
      <c r="DV10" s="737">
        <v>340.44290264880215</v>
      </c>
      <c r="DW10" s="737">
        <v>337.04818106193051</v>
      </c>
      <c r="DX10" s="737">
        <v>350.46238723142727</v>
      </c>
      <c r="DY10" s="737">
        <v>349.52806032125062</v>
      </c>
      <c r="DZ10" s="738">
        <v>313.20887134063321</v>
      </c>
      <c r="EA10" s="739">
        <f t="shared" si="11"/>
        <v>315.00152907995766</v>
      </c>
      <c r="EB10" s="737">
        <v>291.47423465209624</v>
      </c>
      <c r="EC10" s="737">
        <v>279.13903311118366</v>
      </c>
      <c r="ED10" s="737">
        <v>272.24631720587394</v>
      </c>
      <c r="EE10" s="737">
        <v>293.56640999555657</v>
      </c>
      <c r="EF10" s="737">
        <v>321.95801198755458</v>
      </c>
      <c r="EG10" s="737">
        <v>321.60174357607258</v>
      </c>
      <c r="EH10" s="737">
        <v>327.38371159948014</v>
      </c>
      <c r="EI10" s="737">
        <v>320.96802903305752</v>
      </c>
      <c r="EJ10" s="737">
        <v>310.02155962966566</v>
      </c>
      <c r="EK10" s="737">
        <v>313.95934265535612</v>
      </c>
      <c r="EL10" s="737">
        <v>295.50201406001219</v>
      </c>
      <c r="EM10" s="738">
        <v>393.15818498787939</v>
      </c>
      <c r="EN10" s="739">
        <f t="shared" si="12"/>
        <v>311.74821604114908</v>
      </c>
      <c r="EO10" s="737">
        <v>266.75401283261027</v>
      </c>
      <c r="EP10" s="737">
        <v>277.3791046830197</v>
      </c>
      <c r="EQ10" s="737">
        <v>285.51133896663282</v>
      </c>
      <c r="ER10" s="737">
        <v>273.70149419935757</v>
      </c>
      <c r="ES10" s="737">
        <v>300.93228727251801</v>
      </c>
      <c r="ET10" s="737">
        <v>331.45057999662606</v>
      </c>
      <c r="EU10" s="737">
        <v>330.52607942131777</v>
      </c>
      <c r="EV10" s="737">
        <v>301.79364085743555</v>
      </c>
      <c r="EW10" s="737"/>
      <c r="EX10" s="737"/>
      <c r="EY10" s="737"/>
      <c r="EZ10" s="738"/>
      <c r="FA10" s="739">
        <f t="shared" si="13"/>
        <v>296.00606727868967</v>
      </c>
      <c r="FC10" s="801" cm="1">
        <f t="array" ref="FC10">IFERROR(((
_xlfn.XLOOKUP((DATE(YEAR($FC$5),MONTH($FC$5),1)),UCA.MANUFACTURA.DATE,$B10:$FA10) /
_xlfn.XLOOKUP((DATE(YEAR($FC$5)-1,MONTH($FC$5),1)),UCA.MANUFACTURA.DATE,$B10:$FA10)
)-1)*100,"")</f>
        <v>-5.9739246408392681</v>
      </c>
      <c r="FD10" s="805">
        <f t="shared" si="14"/>
        <v>-2.4827254510877972</v>
      </c>
      <c r="FE10" s="811" cm="1">
        <f t="array" ref="FE10">SUMIFS($B10:$FA10,UCA.MANUFACTURA.DATE,"&gt;="&amp;DATE(YEAR($FC$5)-1,1,1),UCA.MANUFACTURA.DATE,"&lt;="&amp;DATE(YEAR($FC$5)-1,MONTH($FC$5),1))</f>
        <v>2428.3374911608753</v>
      </c>
      <c r="FF10" s="806" cm="1">
        <f t="array" ref="FF10">SUMIFS($B10:$FA10,UCA.MANUFACTURA.DATE,"&gt;="&amp;DATE(YEAR($FC$5),1,1),UCA.MANUFACTURA.DATE,"&lt;="&amp;$FC$5)</f>
        <v>2368.0485382295174</v>
      </c>
    </row>
    <row r="11" spans="1:162" s="447" customFormat="1" ht="15" customHeight="1" x14ac:dyDescent="0.25">
      <c r="A11" s="736" t="s">
        <v>569</v>
      </c>
      <c r="B11" s="737">
        <v>403.89296903850823</v>
      </c>
      <c r="C11" s="737">
        <v>339.32190145612736</v>
      </c>
      <c r="D11" s="737">
        <v>370.77566437362748</v>
      </c>
      <c r="E11" s="737">
        <v>354.47582117353738</v>
      </c>
      <c r="F11" s="737">
        <v>323.81305279699063</v>
      </c>
      <c r="G11" s="737">
        <v>344.17193330245021</v>
      </c>
      <c r="H11" s="737">
        <v>341.24336828458974</v>
      </c>
      <c r="I11" s="737">
        <v>304.70423176892132</v>
      </c>
      <c r="J11" s="737">
        <v>411.30667542349215</v>
      </c>
      <c r="K11" s="737">
        <v>364.08590467547805</v>
      </c>
      <c r="L11" s="737">
        <v>333.31490969644125</v>
      </c>
      <c r="M11" s="738">
        <v>330.80511024983889</v>
      </c>
      <c r="N11" s="739">
        <f t="shared" si="2"/>
        <v>351.82596185333358</v>
      </c>
      <c r="O11" s="737">
        <v>309.01250782650078</v>
      </c>
      <c r="P11" s="737">
        <v>289.04615981389833</v>
      </c>
      <c r="Q11" s="737">
        <v>255.05951381261991</v>
      </c>
      <c r="R11" s="737">
        <v>286.57263131994642</v>
      </c>
      <c r="S11" s="737">
        <v>298.03890670414012</v>
      </c>
      <c r="T11" s="737">
        <v>304.31566384578468</v>
      </c>
      <c r="U11" s="737">
        <v>331.3718050987809</v>
      </c>
      <c r="V11" s="737">
        <v>379.47060996499346</v>
      </c>
      <c r="W11" s="737">
        <v>334.42600795715236</v>
      </c>
      <c r="X11" s="737">
        <v>296.24958638747859</v>
      </c>
      <c r="Y11" s="737">
        <v>326.70045499285811</v>
      </c>
      <c r="Z11" s="738">
        <v>290.5816665263049</v>
      </c>
      <c r="AA11" s="739">
        <f t="shared" si="3"/>
        <v>308.40379285420488</v>
      </c>
      <c r="AB11" s="737">
        <v>209.01818759112189</v>
      </c>
      <c r="AC11" s="737">
        <v>224.1031660002983</v>
      </c>
      <c r="AD11" s="737">
        <v>272.18714972434026</v>
      </c>
      <c r="AE11" s="737">
        <v>232.79024725610574</v>
      </c>
      <c r="AF11" s="737">
        <v>330.96557537176443</v>
      </c>
      <c r="AG11" s="737">
        <v>283.75303636437076</v>
      </c>
      <c r="AH11" s="737">
        <v>317.65489499791016</v>
      </c>
      <c r="AI11" s="737">
        <v>362.35760847239277</v>
      </c>
      <c r="AJ11" s="737">
        <v>326.80650407506261</v>
      </c>
      <c r="AK11" s="737">
        <v>296.55113999590077</v>
      </c>
      <c r="AL11" s="737">
        <v>349.18794930981829</v>
      </c>
      <c r="AM11" s="738">
        <v>337.31616363153984</v>
      </c>
      <c r="AN11" s="739">
        <f t="shared" si="4"/>
        <v>295.2243018992188</v>
      </c>
      <c r="AO11" s="737">
        <v>367.07838610223666</v>
      </c>
      <c r="AP11" s="737">
        <v>489.15748642314304</v>
      </c>
      <c r="AQ11" s="737">
        <v>303.83756263189957</v>
      </c>
      <c r="AR11" s="737">
        <v>262.73943377698487</v>
      </c>
      <c r="AS11" s="737">
        <v>431.33589543065864</v>
      </c>
      <c r="AT11" s="737">
        <v>329.09815766049019</v>
      </c>
      <c r="AU11" s="737">
        <v>327.9713718745445</v>
      </c>
      <c r="AV11" s="737">
        <v>518.83474054367571</v>
      </c>
      <c r="AW11" s="737">
        <v>541.48180301753155</v>
      </c>
      <c r="AX11" s="737">
        <v>501.07381785430113</v>
      </c>
      <c r="AY11" s="737">
        <v>412.55543478810819</v>
      </c>
      <c r="AZ11" s="738">
        <v>330.71754866440358</v>
      </c>
      <c r="BA11" s="739">
        <f t="shared" si="5"/>
        <v>401.32346989733151</v>
      </c>
      <c r="BB11" s="737">
        <v>305.69366859990123</v>
      </c>
      <c r="BC11" s="737">
        <v>180.78759626854543</v>
      </c>
      <c r="BD11" s="737">
        <v>268.36732813015971</v>
      </c>
      <c r="BE11" s="737">
        <v>256.89481048565875</v>
      </c>
      <c r="BF11" s="737">
        <v>311.97572777655239</v>
      </c>
      <c r="BG11" s="737">
        <v>231.68734945970658</v>
      </c>
      <c r="BH11" s="737">
        <v>337.31608300009111</v>
      </c>
      <c r="BI11" s="737">
        <v>284.30648192268967</v>
      </c>
      <c r="BJ11" s="737">
        <v>253.3802698063115</v>
      </c>
      <c r="BK11" s="737">
        <v>271.79830118896012</v>
      </c>
      <c r="BL11" s="737">
        <v>234.34343544702693</v>
      </c>
      <c r="BM11" s="738">
        <v>281.81388115211894</v>
      </c>
      <c r="BN11" s="739">
        <f t="shared" si="6"/>
        <v>268.19707776981016</v>
      </c>
      <c r="BO11" s="737">
        <v>307.80648889286209</v>
      </c>
      <c r="BP11" s="737">
        <v>271.5483912538246</v>
      </c>
      <c r="BQ11" s="737">
        <v>182.32047837216481</v>
      </c>
      <c r="BR11" s="737">
        <v>251.36659237428415</v>
      </c>
      <c r="BS11" s="737">
        <v>273.59341561879307</v>
      </c>
      <c r="BT11" s="737">
        <v>271.91056790887552</v>
      </c>
      <c r="BU11" s="737">
        <v>313.3363184814433</v>
      </c>
      <c r="BV11" s="737">
        <v>300.44728390101034</v>
      </c>
      <c r="BW11" s="737">
        <v>329.28461584119754</v>
      </c>
      <c r="BX11" s="737">
        <v>383.80945533979917</v>
      </c>
      <c r="BY11" s="737">
        <v>391.3573469450335</v>
      </c>
      <c r="BZ11" s="738">
        <v>374.84668105290245</v>
      </c>
      <c r="CA11" s="739">
        <f t="shared" si="7"/>
        <v>304.30230299851587</v>
      </c>
      <c r="CB11" s="737">
        <v>407.92324721491735</v>
      </c>
      <c r="CC11" s="737">
        <v>338.20465039295846</v>
      </c>
      <c r="CD11" s="737">
        <v>349.44812046845703</v>
      </c>
      <c r="CE11" s="737">
        <v>327.95525676036647</v>
      </c>
      <c r="CF11" s="737">
        <v>323.45308554693895</v>
      </c>
      <c r="CG11" s="737">
        <v>323.45308554693895</v>
      </c>
      <c r="CH11" s="737">
        <v>420.73975820322107</v>
      </c>
      <c r="CI11" s="737">
        <v>427.89658899039921</v>
      </c>
      <c r="CJ11" s="737">
        <v>400.79091600611883</v>
      </c>
      <c r="CK11" s="737">
        <v>405.97302383324978</v>
      </c>
      <c r="CL11" s="737">
        <v>504.02114651741368</v>
      </c>
      <c r="CM11" s="738">
        <v>287.43371430510854</v>
      </c>
      <c r="CN11" s="739">
        <f t="shared" si="8"/>
        <v>376.44104948217409</v>
      </c>
      <c r="CO11" s="737">
        <v>367.67546512687932</v>
      </c>
      <c r="CP11" s="737">
        <v>215.92941852173053</v>
      </c>
      <c r="CQ11" s="737">
        <v>226.39351871503925</v>
      </c>
      <c r="CR11" s="737">
        <v>308.72357743929325</v>
      </c>
      <c r="CS11" s="737">
        <v>397.59760024613144</v>
      </c>
      <c r="CT11" s="737">
        <v>342.95765258900622</v>
      </c>
      <c r="CU11" s="737">
        <v>418.0984858482434</v>
      </c>
      <c r="CV11" s="737">
        <v>451.52896770927578</v>
      </c>
      <c r="CW11" s="737">
        <v>416.34795040138283</v>
      </c>
      <c r="CX11" s="737">
        <v>397.42468674886993</v>
      </c>
      <c r="CY11" s="737">
        <v>344.27943544926006</v>
      </c>
      <c r="CZ11" s="738">
        <v>373.81687309242903</v>
      </c>
      <c r="DA11" s="739">
        <f t="shared" si="9"/>
        <v>355.06446932396176</v>
      </c>
      <c r="DB11" s="737">
        <v>409.81007064175014</v>
      </c>
      <c r="DC11" s="737">
        <v>304.57891500656996</v>
      </c>
      <c r="DD11" s="737">
        <v>336.36571574106404</v>
      </c>
      <c r="DE11" s="737">
        <v>280.57457830765429</v>
      </c>
      <c r="DF11" s="737">
        <v>412.05976969475432</v>
      </c>
      <c r="DG11" s="737">
        <v>409.12813961146867</v>
      </c>
      <c r="DH11" s="737">
        <v>436.89572828192729</v>
      </c>
      <c r="DI11" s="737">
        <v>522.05459715642701</v>
      </c>
      <c r="DJ11" s="737">
        <v>456.69081818600927</v>
      </c>
      <c r="DK11" s="737">
        <v>490.27082292417793</v>
      </c>
      <c r="DL11" s="737">
        <v>408.8749028015701</v>
      </c>
      <c r="DM11" s="738">
        <v>405.71051248801461</v>
      </c>
      <c r="DN11" s="739">
        <f t="shared" si="10"/>
        <v>406.08454757011572</v>
      </c>
      <c r="DO11" s="737">
        <v>446.12321474777087</v>
      </c>
      <c r="DP11" s="737">
        <v>413.96981718443919</v>
      </c>
      <c r="DQ11" s="737">
        <v>403.19368973451958</v>
      </c>
      <c r="DR11" s="737">
        <v>427.593105979543</v>
      </c>
      <c r="DS11" s="737">
        <v>451.88166910612273</v>
      </c>
      <c r="DT11" s="737">
        <v>383.3705698072946</v>
      </c>
      <c r="DU11" s="737">
        <v>413.28331650589519</v>
      </c>
      <c r="DV11" s="737">
        <v>442.69762988793423</v>
      </c>
      <c r="DW11" s="737">
        <v>398.37905992385083</v>
      </c>
      <c r="DX11" s="737">
        <v>453.31100098711994</v>
      </c>
      <c r="DY11" s="737">
        <v>367.506758268439</v>
      </c>
      <c r="DZ11" s="738">
        <v>367.53263870626239</v>
      </c>
      <c r="EA11" s="739">
        <f t="shared" si="11"/>
        <v>414.07020590326596</v>
      </c>
      <c r="EB11" s="737">
        <v>427.96664269476048</v>
      </c>
      <c r="EC11" s="737">
        <v>359.27436609550455</v>
      </c>
      <c r="ED11" s="737">
        <v>369.77970273779181</v>
      </c>
      <c r="EE11" s="737">
        <v>354.08384214359864</v>
      </c>
      <c r="EF11" s="737">
        <v>431.9707194004385</v>
      </c>
      <c r="EG11" s="737">
        <v>396.24935470938163</v>
      </c>
      <c r="EH11" s="737">
        <v>425.08952239391124</v>
      </c>
      <c r="EI11" s="737">
        <v>482.37611352218062</v>
      </c>
      <c r="EJ11" s="737">
        <v>427.53493905493008</v>
      </c>
      <c r="EK11" s="737">
        <v>471.79091195564894</v>
      </c>
      <c r="EL11" s="737">
        <v>388.19083053500458</v>
      </c>
      <c r="EM11" s="738">
        <v>386.62157559713853</v>
      </c>
      <c r="EN11" s="739">
        <f t="shared" si="12"/>
        <v>410.07737673669089</v>
      </c>
      <c r="EO11" s="737">
        <v>437.04492872126571</v>
      </c>
      <c r="EP11" s="737">
        <v>386.62209163997187</v>
      </c>
      <c r="EQ11" s="737">
        <v>386.48669623615569</v>
      </c>
      <c r="ER11" s="737">
        <v>390.83847406157082</v>
      </c>
      <c r="ES11" s="737">
        <v>441.92619425328064</v>
      </c>
      <c r="ET11" s="737">
        <v>389.80996225833815</v>
      </c>
      <c r="EU11" s="737">
        <v>419.18641944990321</v>
      </c>
      <c r="EV11" s="737">
        <v>462.53687170505742</v>
      </c>
      <c r="EW11" s="737"/>
      <c r="EX11" s="737"/>
      <c r="EY11" s="737"/>
      <c r="EZ11" s="738"/>
      <c r="FA11" s="739">
        <f t="shared" si="13"/>
        <v>414.3064547906929</v>
      </c>
      <c r="FC11" s="801">
        <f>IFERROR(((
_xlfn.XLOOKUP((DATE(YEAR($FC$5),MONTH($FC$5),1)),UCA.MANUFACTURA.DATE,$B11:$FA11) /
_xlfn.XLOOKUP((DATE(YEAR($FC$5)-1,MONTH($FC$5),1)),UCA.MANUFACTURA.DATE,$B11:$FA11)
)-1)*100,"")</f>
        <v>-4.1128159668318514</v>
      </c>
      <c r="FD11" s="806">
        <f t="shared" si="14"/>
        <v>2.0839465790106093</v>
      </c>
      <c r="FE11" s="811" cm="1">
        <f t="array" ref="FE11">SUMIFS($B11:$FA11,UCA.MANUFACTURA.DATE,"&gt;="&amp;DATE(YEAR($FC$5)-1,1,1),UCA.MANUFACTURA.DATE,"&lt;="&amp;DATE(YEAR($FC$5)-1,MONTH($FC$5),1))</f>
        <v>3246.7902636975682</v>
      </c>
      <c r="FF11" s="806" cm="1">
        <f t="array" ref="FF11">SUMIFS($B11:$FA11,UCA.MANUFACTURA.DATE,"&gt;="&amp;DATE(YEAR($FC$5),1,1),UCA.MANUFACTURA.DATE,"&lt;="&amp;$FC$5)</f>
        <v>3314.4516383255432</v>
      </c>
    </row>
    <row r="12" spans="1:162" s="447" customFormat="1" ht="15" customHeight="1" x14ac:dyDescent="0.25">
      <c r="A12" s="736" t="s">
        <v>570</v>
      </c>
      <c r="B12" s="737">
        <v>23.613686162143939</v>
      </c>
      <c r="C12" s="737">
        <v>23.880299710402525</v>
      </c>
      <c r="D12" s="737">
        <v>27.608292600707902</v>
      </c>
      <c r="E12" s="737">
        <v>26.289015215359392</v>
      </c>
      <c r="F12" s="737">
        <v>26.353370209766634</v>
      </c>
      <c r="G12" s="737">
        <v>29.350474235018311</v>
      </c>
      <c r="H12" s="737">
        <v>23.13562048940441</v>
      </c>
      <c r="I12" s="737">
        <v>14.525841594778049</v>
      </c>
      <c r="J12" s="737">
        <v>24.974334615325684</v>
      </c>
      <c r="K12" s="737">
        <v>42.281231325559659</v>
      </c>
      <c r="L12" s="737">
        <v>37.34428389746104</v>
      </c>
      <c r="M12" s="738">
        <v>43.090265540965014</v>
      </c>
      <c r="N12" s="739">
        <f t="shared" si="2"/>
        <v>28.537226299741047</v>
      </c>
      <c r="O12" s="737">
        <v>41.518164963302326</v>
      </c>
      <c r="P12" s="737">
        <v>37.413235677183096</v>
      </c>
      <c r="Q12" s="737">
        <v>29.915878828739107</v>
      </c>
      <c r="R12" s="737">
        <v>30.757090541348088</v>
      </c>
      <c r="S12" s="737">
        <v>26.495870554525535</v>
      </c>
      <c r="T12" s="737">
        <v>19.577708655746747</v>
      </c>
      <c r="U12" s="737">
        <v>25.066270321621744</v>
      </c>
      <c r="V12" s="737">
        <v>13.422613119225288</v>
      </c>
      <c r="W12" s="737">
        <v>11.827528614988585</v>
      </c>
      <c r="X12" s="737">
        <v>20.950593751436493</v>
      </c>
      <c r="Y12" s="737">
        <v>21.163599589353847</v>
      </c>
      <c r="Z12" s="738">
        <v>42.051392059819499</v>
      </c>
      <c r="AA12" s="739">
        <f t="shared" si="3"/>
        <v>26.679995556440858</v>
      </c>
      <c r="AB12" s="737">
        <v>43.876315829796361</v>
      </c>
      <c r="AC12" s="737">
        <v>51.598915158665704</v>
      </c>
      <c r="AD12" s="737">
        <v>44.910592525627081</v>
      </c>
      <c r="AE12" s="737">
        <v>38.741706633161208</v>
      </c>
      <c r="AF12" s="737">
        <v>45.03010894381196</v>
      </c>
      <c r="AG12" s="737">
        <v>35.022907313485433</v>
      </c>
      <c r="AH12" s="737">
        <v>23.815944715995279</v>
      </c>
      <c r="AI12" s="737">
        <v>43.720025129093052</v>
      </c>
      <c r="AJ12" s="737">
        <v>66.579838499609266</v>
      </c>
      <c r="AK12" s="737">
        <v>85.049721894488457</v>
      </c>
      <c r="AL12" s="737">
        <v>81.772213965033785</v>
      </c>
      <c r="AM12" s="738">
        <v>100.27427485711658</v>
      </c>
      <c r="AN12" s="739">
        <f t="shared" si="4"/>
        <v>55.032713788823685</v>
      </c>
      <c r="AO12" s="737">
        <v>107.20622711183978</v>
      </c>
      <c r="AP12" s="737">
        <v>94.964987818518907</v>
      </c>
      <c r="AQ12" s="737">
        <v>99.676692766192176</v>
      </c>
      <c r="AR12" s="737">
        <v>100.44895269907911</v>
      </c>
      <c r="AS12" s="737">
        <v>75.033326693532317</v>
      </c>
      <c r="AT12" s="737">
        <v>71.029526684338734</v>
      </c>
      <c r="AU12" s="737">
        <v>66.96137168073794</v>
      </c>
      <c r="AV12" s="737">
        <v>92.574659454821244</v>
      </c>
      <c r="AW12" s="737">
        <v>83.546573096547803</v>
      </c>
      <c r="AX12" s="737">
        <v>102.50371573479613</v>
      </c>
      <c r="AY12" s="737">
        <v>102.81170035088793</v>
      </c>
      <c r="AZ12" s="738">
        <v>95.355714570277186</v>
      </c>
      <c r="BA12" s="739">
        <f t="shared" si="5"/>
        <v>91.009454055130774</v>
      </c>
      <c r="BB12" s="737">
        <v>97.226606193402077</v>
      </c>
      <c r="BC12" s="737">
        <v>94.022646828984264</v>
      </c>
      <c r="BD12" s="737">
        <v>99.843353814565646</v>
      </c>
      <c r="BE12" s="737">
        <v>226.7226452967225</v>
      </c>
      <c r="BF12" s="737">
        <v>25.181718584803026</v>
      </c>
      <c r="BG12" s="737">
        <v>29.243465669675007</v>
      </c>
      <c r="BH12" s="737">
        <v>21.720582872377914</v>
      </c>
      <c r="BI12" s="737">
        <v>19.599947903099764</v>
      </c>
      <c r="BJ12" s="737">
        <v>19.424778205108559</v>
      </c>
      <c r="BK12" s="737">
        <v>20.464341204051305</v>
      </c>
      <c r="BL12" s="737">
        <v>16.373707920261097</v>
      </c>
      <c r="BM12" s="738">
        <v>19.958419012304059</v>
      </c>
      <c r="BN12" s="739">
        <f t="shared" si="6"/>
        <v>57.481851125446262</v>
      </c>
      <c r="BO12" s="737">
        <v>189.72771708318646</v>
      </c>
      <c r="BP12" s="737">
        <v>195.79087691341189</v>
      </c>
      <c r="BQ12" s="737">
        <v>182.09245667529842</v>
      </c>
      <c r="BR12" s="737"/>
      <c r="BS12" s="737">
        <v>8.0030032330723362</v>
      </c>
      <c r="BT12" s="737">
        <v>155.69771539769854</v>
      </c>
      <c r="BU12" s="737">
        <v>119.51182139956788</v>
      </c>
      <c r="BV12" s="737">
        <v>280.1189035134762</v>
      </c>
      <c r="BW12" s="737">
        <v>305.68622343441149</v>
      </c>
      <c r="BX12" s="737">
        <v>233.98096930879672</v>
      </c>
      <c r="BY12" s="737">
        <v>195.89660297565234</v>
      </c>
      <c r="BZ12" s="738">
        <v>210.00413710678333</v>
      </c>
      <c r="CA12" s="739">
        <f t="shared" si="7"/>
        <v>188.77367518557779</v>
      </c>
      <c r="CB12" s="737">
        <v>338.29581845762527</v>
      </c>
      <c r="CC12" s="737">
        <v>409.32074835664923</v>
      </c>
      <c r="CD12" s="737">
        <v>202.49298990239501</v>
      </c>
      <c r="CE12" s="737">
        <v>163.21345938740174</v>
      </c>
      <c r="CF12" s="737">
        <v>154.77376154942311</v>
      </c>
      <c r="CG12" s="737">
        <v>151.5835925409497</v>
      </c>
      <c r="CH12" s="737">
        <v>146.46277370025896</v>
      </c>
      <c r="CI12" s="737">
        <v>151.16988186261742</v>
      </c>
      <c r="CJ12" s="737">
        <v>173.95154988278196</v>
      </c>
      <c r="CK12" s="737">
        <v>185.82964313623339</v>
      </c>
      <c r="CL12" s="737">
        <v>161.54942310344299</v>
      </c>
      <c r="CM12" s="738">
        <v>170.17299235401376</v>
      </c>
      <c r="CN12" s="739">
        <f t="shared" si="8"/>
        <v>200.73471951948272</v>
      </c>
      <c r="CO12" s="737">
        <v>156.57570139282595</v>
      </c>
      <c r="CP12" s="737">
        <v>163.70071863077087</v>
      </c>
      <c r="CQ12" s="737">
        <v>187.43851799641448</v>
      </c>
      <c r="CR12" s="737">
        <v>159.40272436142988</v>
      </c>
      <c r="CS12" s="737">
        <v>174.93066515483505</v>
      </c>
      <c r="CT12" s="737">
        <v>151.87319001578231</v>
      </c>
      <c r="CU12" s="737">
        <v>138.73557758607481</v>
      </c>
      <c r="CV12" s="737">
        <v>319.10423976832203</v>
      </c>
      <c r="CW12" s="737">
        <v>178.85172302836216</v>
      </c>
      <c r="CX12" s="737">
        <v>149.02318312060433</v>
      </c>
      <c r="CY12" s="737">
        <v>158.21675375021067</v>
      </c>
      <c r="CZ12" s="738">
        <v>168.2</v>
      </c>
      <c r="DA12" s="739">
        <f t="shared" si="9"/>
        <v>175.50441623380269</v>
      </c>
      <c r="DB12" s="737">
        <v>126.51732221932794</v>
      </c>
      <c r="DC12" s="737">
        <v>250.51560608614375</v>
      </c>
      <c r="DD12" s="737">
        <v>298.94733616291006</v>
      </c>
      <c r="DE12" s="737">
        <v>147.99809999540321</v>
      </c>
      <c r="DF12" s="737">
        <v>109.60574904616705</v>
      </c>
      <c r="DG12" s="737">
        <v>79.846160918131247</v>
      </c>
      <c r="DH12" s="737">
        <v>67.444034138792262</v>
      </c>
      <c r="DI12" s="737">
        <v>70.602025650062046</v>
      </c>
      <c r="DJ12" s="737">
        <v>78.386566661048377</v>
      </c>
      <c r="DK12" s="737">
        <v>111.80693348451649</v>
      </c>
      <c r="DL12" s="737">
        <v>226.88023688766984</v>
      </c>
      <c r="DM12" s="738">
        <v>76.427637405574387</v>
      </c>
      <c r="DN12" s="739">
        <f t="shared" si="10"/>
        <v>137.08147572131222</v>
      </c>
      <c r="DO12" s="737">
        <v>17.117224154574565</v>
      </c>
      <c r="DP12" s="737">
        <v>12.89921394971117</v>
      </c>
      <c r="DQ12" s="737">
        <v>171.19281675681469</v>
      </c>
      <c r="DR12" s="737">
        <v>52.34882506167353</v>
      </c>
      <c r="DS12" s="737">
        <v>52.299482708425892</v>
      </c>
      <c r="DT12" s="737">
        <v>39.325958046672696</v>
      </c>
      <c r="DU12" s="737">
        <v>45.894304582994963</v>
      </c>
      <c r="DV12" s="737">
        <v>79.072866708548489</v>
      </c>
      <c r="DW12" s="737">
        <v>82.866083385685613</v>
      </c>
      <c r="DX12" s="737">
        <v>52.528385149318922</v>
      </c>
      <c r="DY12" s="737">
        <v>46.196419104239773</v>
      </c>
      <c r="DZ12" s="738">
        <v>87.444198397254198</v>
      </c>
      <c r="EA12" s="739">
        <f t="shared" si="11"/>
        <v>61.598814833826204</v>
      </c>
      <c r="EB12" s="737">
        <v>108.96968675241905</v>
      </c>
      <c r="EC12" s="737">
        <v>95.864913937907588</v>
      </c>
      <c r="ED12" s="737">
        <v>88.678847506421519</v>
      </c>
      <c r="EE12" s="737">
        <v>100.80541535815519</v>
      </c>
      <c r="EF12" s="737">
        <v>91.654806831517206</v>
      </c>
      <c r="EG12" s="737">
        <v>64.920094944207207</v>
      </c>
      <c r="EH12" s="737">
        <v>64.063309298584002</v>
      </c>
      <c r="EI12" s="737">
        <v>69.239600351167709</v>
      </c>
      <c r="EJ12" s="737">
        <v>82.815740930990444</v>
      </c>
      <c r="EK12" s="737">
        <v>87.528045764606574</v>
      </c>
      <c r="EL12" s="737">
        <v>78.603526364638768</v>
      </c>
      <c r="EM12" s="738">
        <v>101.18507357318936</v>
      </c>
      <c r="EN12" s="739">
        <f t="shared" si="12"/>
        <v>86.194088467817053</v>
      </c>
      <c r="EO12" s="737">
        <v>63.043455453496797</v>
      </c>
      <c r="EP12" s="737">
        <v>54.382063943809378</v>
      </c>
      <c r="EQ12" s="737">
        <v>129.93583213161813</v>
      </c>
      <c r="ER12" s="737">
        <v>76.577120209914369</v>
      </c>
      <c r="ES12" s="737">
        <v>71.977144769971531</v>
      </c>
      <c r="ET12" s="737">
        <v>52.123026495439952</v>
      </c>
      <c r="EU12" s="737">
        <v>54.978806940789482</v>
      </c>
      <c r="EV12" s="737">
        <v>74.156233529858113</v>
      </c>
      <c r="EW12" s="737"/>
      <c r="EX12" s="737"/>
      <c r="EY12" s="737"/>
      <c r="EZ12" s="738"/>
      <c r="FA12" s="739">
        <f t="shared" si="13"/>
        <v>72.146710434362205</v>
      </c>
      <c r="FC12" s="801" cm="1">
        <f t="array" ref="FC12">IFERROR(((
_xlfn.XLOOKUP((DATE(YEAR($FC$5),MONTH($FC$5),1)),UCA.MANUFACTURA.DATE,$B12:$FA12) /
_xlfn.XLOOKUP((DATE(YEAR($FC$5)-1,MONTH($FC$5),1)),UCA.MANUFACTURA.DATE,$B12:$FA12)
)-1)*100,"")</f>
        <v>7.1008976853626393</v>
      </c>
      <c r="FD12" s="806">
        <f t="shared" si="14"/>
        <v>-15.642138498926627</v>
      </c>
      <c r="FE12" s="811" cm="1">
        <f t="array" ref="FE12">SUMIFS($B12:$FA12,UCA.MANUFACTURA.DATE,"&gt;="&amp;DATE(YEAR($FC$5)-1,1,1),UCA.MANUFACTURA.DATE,"&lt;="&amp;DATE(YEAR($FC$5)-1,MONTH($FC$5),1))</f>
        <v>684.1966749803795</v>
      </c>
      <c r="FF12" s="806" cm="1">
        <f t="array" ref="FF12">SUMIFS($B12:$FA12,UCA.MANUFACTURA.DATE,"&gt;="&amp;DATE(YEAR($FC$5),1,1),UCA.MANUFACTURA.DATE,"&lt;="&amp;$FC$5)</f>
        <v>577.17368347489764</v>
      </c>
    </row>
    <row r="13" spans="1:162" s="447" customFormat="1" ht="15" customHeight="1" x14ac:dyDescent="0.25">
      <c r="A13" s="736" t="s">
        <v>571</v>
      </c>
      <c r="B13" s="737">
        <v>38.104632398421096</v>
      </c>
      <c r="C13" s="737">
        <v>45.112823673009913</v>
      </c>
      <c r="D13" s="737">
        <v>74.328161270358748</v>
      </c>
      <c r="E13" s="737">
        <v>84.881586423024245</v>
      </c>
      <c r="F13" s="737">
        <v>79.599999999999994</v>
      </c>
      <c r="G13" s="737">
        <v>56.558343598811355</v>
      </c>
      <c r="H13" s="737">
        <v>53.228708978784347</v>
      </c>
      <c r="I13" s="737">
        <v>91.781925225632833</v>
      </c>
      <c r="J13" s="737">
        <v>46.613722135359183</v>
      </c>
      <c r="K13" s="737">
        <v>68.356220351248894</v>
      </c>
      <c r="L13" s="737">
        <v>29.656364903153399</v>
      </c>
      <c r="M13" s="738">
        <v>29.656364903153399</v>
      </c>
      <c r="N13" s="739">
        <f t="shared" si="2"/>
        <v>58.156571155079796</v>
      </c>
      <c r="O13" s="737">
        <v>67.956040649971882</v>
      </c>
      <c r="P13" s="737">
        <v>58.919895275830989</v>
      </c>
      <c r="Q13" s="737">
        <v>63.675761262220945</v>
      </c>
      <c r="R13" s="737">
        <v>78.841689463264416</v>
      </c>
      <c r="S13" s="737">
        <v>73.557393922831153</v>
      </c>
      <c r="T13" s="737">
        <v>70.069758866145207</v>
      </c>
      <c r="U13" s="737">
        <v>62.196158510899615</v>
      </c>
      <c r="V13" s="737">
        <v>88.934693945491972</v>
      </c>
      <c r="W13" s="737">
        <v>89.991553053578627</v>
      </c>
      <c r="X13" s="737">
        <v>100.50730117904085</v>
      </c>
      <c r="Y13" s="737">
        <v>92.210957180560612</v>
      </c>
      <c r="Z13" s="738">
        <v>77.573458533560441</v>
      </c>
      <c r="AA13" s="739">
        <f t="shared" si="3"/>
        <v>77.03622182028306</v>
      </c>
      <c r="AB13" s="737">
        <v>70.281130687762527</v>
      </c>
      <c r="AC13" s="737">
        <v>66.370751987841899</v>
      </c>
      <c r="AD13" s="737">
        <v>70.492502509379847</v>
      </c>
      <c r="AE13" s="737">
        <v>67.163396318906905</v>
      </c>
      <c r="AF13" s="737">
        <v>72.07779117150983</v>
      </c>
      <c r="AG13" s="737">
        <v>77.467772622751767</v>
      </c>
      <c r="AH13" s="737">
        <v>77.837673310582119</v>
      </c>
      <c r="AI13" s="737">
        <v>84.865786379358354</v>
      </c>
      <c r="AJ13" s="737">
        <v>80.268449259181423</v>
      </c>
      <c r="AK13" s="737">
        <v>80.321292214585753</v>
      </c>
      <c r="AL13" s="737">
        <v>78.366102864625432</v>
      </c>
      <c r="AM13" s="738">
        <v>77.150714890325773</v>
      </c>
      <c r="AN13" s="739">
        <f t="shared" si="4"/>
        <v>75.221947018067638</v>
      </c>
      <c r="AO13" s="737">
        <v>47.664345774708117</v>
      </c>
      <c r="AP13" s="737">
        <v>21.771297626585085</v>
      </c>
      <c r="AQ13" s="737">
        <v>54.375401111058373</v>
      </c>
      <c r="AR13" s="737">
        <v>60.663712804173976</v>
      </c>
      <c r="AS13" s="737">
        <v>57.017548881275005</v>
      </c>
      <c r="AT13" s="737">
        <v>59.765382562300317</v>
      </c>
      <c r="AU13" s="737">
        <v>72.0249482161055</v>
      </c>
      <c r="AV13" s="737">
        <v>84.495885691528031</v>
      </c>
      <c r="AW13" s="737">
        <v>57.810193212339996</v>
      </c>
      <c r="AX13" s="737">
        <v>63.781447173029605</v>
      </c>
      <c r="AY13" s="737">
        <v>69.541329312101865</v>
      </c>
      <c r="AZ13" s="738">
        <v>55.907846817784026</v>
      </c>
      <c r="BA13" s="739">
        <f t="shared" si="5"/>
        <v>58.734944931915827</v>
      </c>
      <c r="BB13" s="737">
        <v>58.972738231235326</v>
      </c>
      <c r="BC13" s="737">
        <v>44.071024807213497</v>
      </c>
      <c r="BD13" s="737">
        <v>62.433951810219099</v>
      </c>
      <c r="BE13" s="737">
        <v>63.91355456154043</v>
      </c>
      <c r="BF13" s="737">
        <v>72.553377770148842</v>
      </c>
      <c r="BG13" s="737">
        <v>68.616577592526042</v>
      </c>
      <c r="BH13" s="737">
        <v>74.931310763343788</v>
      </c>
      <c r="BI13" s="737">
        <v>84.680836035443178</v>
      </c>
      <c r="BJ13" s="737">
        <v>69.039321235760696</v>
      </c>
      <c r="BK13" s="737">
        <v>72.051369693807672</v>
      </c>
      <c r="BL13" s="737">
        <v>73.953716088363649</v>
      </c>
      <c r="BM13" s="738">
        <v>67.747070780872932</v>
      </c>
      <c r="BN13" s="739">
        <f t="shared" si="6"/>
        <v>67.747070780872932</v>
      </c>
      <c r="BO13" s="737">
        <v>67.747070780872932</v>
      </c>
      <c r="BP13" s="737">
        <v>62.779832972865414</v>
      </c>
      <c r="BQ13" s="737">
        <v>62.674147062056754</v>
      </c>
      <c r="BR13" s="737">
        <v>62.832675928269751</v>
      </c>
      <c r="BS13" s="737">
        <v>68.169814424107358</v>
      </c>
      <c r="BT13" s="737">
        <v>68.434029201129007</v>
      </c>
      <c r="BU13" s="737">
        <v>64.497469218758312</v>
      </c>
      <c r="BV13" s="737">
        <v>63.451178701752518</v>
      </c>
      <c r="BW13" s="737">
        <v>59.18675220062287</v>
      </c>
      <c r="BX13" s="737">
        <v>60.518394676812051</v>
      </c>
      <c r="BY13" s="737">
        <v>64.761683995779975</v>
      </c>
      <c r="BZ13" s="738">
        <v>62.640039336296013</v>
      </c>
      <c r="CA13" s="739">
        <f t="shared" si="7"/>
        <v>63.974424041610241</v>
      </c>
      <c r="CB13" s="737">
        <v>64.249107328357937</v>
      </c>
      <c r="CC13" s="737">
        <v>60.814315227076307</v>
      </c>
      <c r="CD13" s="737">
        <v>66.098610767509584</v>
      </c>
      <c r="CE13" s="737">
        <v>66.627040321552911</v>
      </c>
      <c r="CF13" s="737">
        <v>64.407636194570941</v>
      </c>
      <c r="CG13" s="737">
        <v>60.285885673032979</v>
      </c>
      <c r="CH13" s="737"/>
      <c r="CI13" s="737"/>
      <c r="CJ13" s="737"/>
      <c r="CK13" s="737"/>
      <c r="CL13" s="737"/>
      <c r="CM13" s="738"/>
      <c r="CN13" s="739">
        <f t="shared" si="8"/>
        <v>63.747099252016774</v>
      </c>
      <c r="CO13" s="737"/>
      <c r="CP13" s="737"/>
      <c r="CQ13" s="737"/>
      <c r="CR13" s="737"/>
      <c r="CS13" s="737"/>
      <c r="CT13" s="737"/>
      <c r="CU13" s="737"/>
      <c r="CV13" s="737"/>
      <c r="CW13" s="737"/>
      <c r="CX13" s="737"/>
      <c r="CY13" s="737"/>
      <c r="CZ13" s="738"/>
      <c r="DA13" s="739">
        <f t="shared" si="9"/>
        <v>0</v>
      </c>
      <c r="DB13" s="737"/>
      <c r="DC13" s="737"/>
      <c r="DD13" s="737"/>
      <c r="DE13" s="737"/>
      <c r="DF13" s="737"/>
      <c r="DG13" s="737"/>
      <c r="DH13" s="737"/>
      <c r="DI13" s="737"/>
      <c r="DJ13" s="737"/>
      <c r="DK13" s="737"/>
      <c r="DL13" s="737"/>
      <c r="DM13" s="738"/>
      <c r="DN13" s="739">
        <f t="shared" si="10"/>
        <v>0</v>
      </c>
      <c r="DO13" s="737"/>
      <c r="DP13" s="737"/>
      <c r="DQ13" s="737"/>
      <c r="DR13" s="737"/>
      <c r="DS13" s="737"/>
      <c r="DT13" s="737"/>
      <c r="DU13" s="737"/>
      <c r="DV13" s="737"/>
      <c r="DW13" s="737"/>
      <c r="DX13" s="737"/>
      <c r="DY13" s="737"/>
      <c r="DZ13" s="738"/>
      <c r="EA13" s="739">
        <f t="shared" si="11"/>
        <v>0</v>
      </c>
      <c r="EB13" s="737"/>
      <c r="EC13" s="737"/>
      <c r="ED13" s="737"/>
      <c r="EE13" s="737"/>
      <c r="EF13" s="737"/>
      <c r="EG13" s="737"/>
      <c r="EH13" s="737"/>
      <c r="EI13" s="737"/>
      <c r="EJ13" s="737"/>
      <c r="EK13" s="737"/>
      <c r="EL13" s="737"/>
      <c r="EM13" s="738"/>
      <c r="EN13" s="739">
        <f t="shared" si="12"/>
        <v>0</v>
      </c>
      <c r="EO13" s="737"/>
      <c r="EP13" s="737"/>
      <c r="EQ13" s="737"/>
      <c r="ER13" s="737"/>
      <c r="ES13" s="737"/>
      <c r="ET13" s="737"/>
      <c r="EU13" s="737"/>
      <c r="EV13" s="737"/>
      <c r="EW13" s="737"/>
      <c r="EX13" s="737"/>
      <c r="EY13" s="737"/>
      <c r="EZ13" s="738"/>
      <c r="FA13" s="739">
        <f t="shared" si="13"/>
        <v>0</v>
      </c>
      <c r="FC13" s="801" t="str" cm="1">
        <f t="array" ref="FC13">IFERROR(((
_xlfn.XLOOKUP((DATE(YEAR($FC$5),MONTH($FC$5),1)),UCA.MANUFACTURA.DATE,$B13:$FA13) /
_xlfn.XLOOKUP((DATE(YEAR($FC$5)-1,MONTH($FC$5),1)),UCA.MANUFACTURA.DATE,$B13:$FA13)
)-1)*100,"")</f>
        <v/>
      </c>
      <c r="FD13" s="805" t="str">
        <f t="shared" si="14"/>
        <v/>
      </c>
      <c r="FE13" s="811" cm="1">
        <f t="array" ref="FE13">SUMIFS($B13:$FA13,UCA.MANUFACTURA.DATE,"&gt;="&amp;DATE(YEAR($FC$5)-1,1,1),UCA.MANUFACTURA.DATE,"&lt;="&amp;DATE(YEAR($FC$5)-1,MONTH($FC$5),1))</f>
        <v>0</v>
      </c>
      <c r="FF13" s="806" cm="1">
        <f t="array" ref="FF13">SUMIFS($B13:$FA13,UCA.MANUFACTURA.DATE,"&gt;="&amp;DATE(YEAR($FC$5),1,1),UCA.MANUFACTURA.DATE,"&lt;="&amp;$FC$5)</f>
        <v>0</v>
      </c>
    </row>
    <row r="14" spans="1:162" s="447" customFormat="1" ht="15" customHeight="1" x14ac:dyDescent="0.25">
      <c r="A14" s="736" t="s">
        <v>572</v>
      </c>
      <c r="B14" s="737">
        <v>171.84407611561048</v>
      </c>
      <c r="C14" s="737">
        <v>242.90970342472397</v>
      </c>
      <c r="D14" s="737">
        <v>64.961476505166786</v>
      </c>
      <c r="E14" s="737">
        <v>239.92163273549716</v>
      </c>
      <c r="F14" s="737">
        <v>266.71916789113516</v>
      </c>
      <c r="G14" s="737">
        <v>221.29849794248608</v>
      </c>
      <c r="H14" s="737">
        <v>249.26212314078683</v>
      </c>
      <c r="I14" s="737">
        <v>211.19917666915438</v>
      </c>
      <c r="J14" s="737">
        <v>187.78607086116764</v>
      </c>
      <c r="K14" s="737">
        <v>256.6646308742354</v>
      </c>
      <c r="L14" s="737">
        <v>200.65485832125148</v>
      </c>
      <c r="M14" s="738">
        <v>215.56855934910618</v>
      </c>
      <c r="N14" s="739">
        <f t="shared" si="2"/>
        <v>210.73249781919347</v>
      </c>
      <c r="O14" s="737">
        <v>172.94077821018001</v>
      </c>
      <c r="P14" s="737">
        <v>75.529219226750612</v>
      </c>
      <c r="Q14" s="737">
        <v>74.288050687438002</v>
      </c>
      <c r="R14" s="737">
        <v>226.99487214678936</v>
      </c>
      <c r="S14" s="737">
        <v>221.07988227810532</v>
      </c>
      <c r="T14" s="737">
        <v>98.362225748232945</v>
      </c>
      <c r="U14" s="737">
        <v>86.664688091136227</v>
      </c>
      <c r="V14" s="737">
        <v>55.59551659339148</v>
      </c>
      <c r="W14" s="737">
        <v>34.740477387173463</v>
      </c>
      <c r="X14" s="737">
        <v>178.2350224381178</v>
      </c>
      <c r="Y14" s="737">
        <v>120.32412258161133</v>
      </c>
      <c r="Z14" s="738">
        <v>62.300449014645586</v>
      </c>
      <c r="AA14" s="739">
        <f t="shared" si="3"/>
        <v>117.25460870029769</v>
      </c>
      <c r="AB14" s="737">
        <v>34.492253890236562</v>
      </c>
      <c r="AC14" s="737">
        <v>31.286560699531186</v>
      </c>
      <c r="AD14" s="737">
        <v>2.7699777733619291</v>
      </c>
      <c r="AE14" s="737">
        <v>42.913239358057517</v>
      </c>
      <c r="AF14" s="737">
        <v>48.817634748473054</v>
      </c>
      <c r="AG14" s="737"/>
      <c r="AH14" s="737"/>
      <c r="AI14" s="737"/>
      <c r="AJ14" s="737">
        <v>14.874329000217942</v>
      </c>
      <c r="AK14" s="737">
        <v>8.6218927448356233</v>
      </c>
      <c r="AL14" s="737">
        <v>15.188170367292559</v>
      </c>
      <c r="AM14" s="738">
        <v>7.5780707822742643</v>
      </c>
      <c r="AN14" s="739">
        <f t="shared" si="4"/>
        <v>22.949125484920074</v>
      </c>
      <c r="AO14" s="737">
        <v>14.765398646799827</v>
      </c>
      <c r="AP14" s="737">
        <v>14.303276107972628</v>
      </c>
      <c r="AQ14" s="737">
        <v>16.027920371126065</v>
      </c>
      <c r="AR14" s="737">
        <v>15.159091672950076</v>
      </c>
      <c r="AS14" s="737">
        <v>15.053220959774199</v>
      </c>
      <c r="AT14" s="737">
        <v>16.691229455632435</v>
      </c>
      <c r="AU14" s="737">
        <v>9.4977106046364579</v>
      </c>
      <c r="AV14" s="737">
        <v>9.5996662846011489</v>
      </c>
      <c r="AW14" s="737">
        <v>9.5393069708924756</v>
      </c>
      <c r="AX14" s="737">
        <v>11.066776849413289</v>
      </c>
      <c r="AY14" s="737">
        <v>5.3433722543251188</v>
      </c>
      <c r="AZ14" s="738">
        <v>3.4402559458608177</v>
      </c>
      <c r="BA14" s="739">
        <f t="shared" si="5"/>
        <v>11.70726884366538</v>
      </c>
      <c r="BB14" s="737">
        <v>16.681518058382451</v>
      </c>
      <c r="BC14" s="737">
        <v>8.0287055625621822</v>
      </c>
      <c r="BD14" s="737">
        <v>17.287062903359839</v>
      </c>
      <c r="BE14" s="737">
        <v>3.2774179281870612</v>
      </c>
      <c r="BF14" s="737">
        <v>3.5440147601600946</v>
      </c>
      <c r="BG14" s="737"/>
      <c r="BH14" s="737">
        <v>3.6530792992327901</v>
      </c>
      <c r="BI14" s="737">
        <v>1.9487041635698028</v>
      </c>
      <c r="BJ14" s="737">
        <v>3.350919307595067</v>
      </c>
      <c r="BK14" s="737">
        <v>20.258108211594763</v>
      </c>
      <c r="BL14" s="737">
        <v>6.6118748467401458</v>
      </c>
      <c r="BM14" s="738">
        <v>7.1438845590893489</v>
      </c>
      <c r="BN14" s="739">
        <f t="shared" si="6"/>
        <v>8.3441172364066869</v>
      </c>
      <c r="BO14" s="737">
        <v>0.87498990776845276</v>
      </c>
      <c r="BP14" s="737"/>
      <c r="BQ14" s="737">
        <v>2.4927486167598647</v>
      </c>
      <c r="BR14" s="737"/>
      <c r="BS14" s="737"/>
      <c r="BT14" s="737">
        <v>11.747869119013892</v>
      </c>
      <c r="BU14" s="737">
        <v>0.9966675668369267</v>
      </c>
      <c r="BV14" s="737">
        <v>2.10412057872741</v>
      </c>
      <c r="BW14" s="737">
        <v>4.0849660143667688</v>
      </c>
      <c r="BX14" s="737">
        <v>0.13302300516886767</v>
      </c>
      <c r="BY14" s="737"/>
      <c r="BZ14" s="738"/>
      <c r="CA14" s="739">
        <f t="shared" si="7"/>
        <v>3.2049121155203113</v>
      </c>
      <c r="CB14" s="737"/>
      <c r="CC14" s="737"/>
      <c r="CD14" s="737"/>
      <c r="CE14" s="737"/>
      <c r="CF14" s="737"/>
      <c r="CG14" s="737"/>
      <c r="CH14" s="737"/>
      <c r="CI14" s="737"/>
      <c r="CJ14" s="737"/>
      <c r="CK14" s="737"/>
      <c r="CL14" s="737"/>
      <c r="CM14" s="738"/>
      <c r="CN14" s="739">
        <f t="shared" si="8"/>
        <v>0</v>
      </c>
      <c r="CO14" s="737"/>
      <c r="CP14" s="737"/>
      <c r="CQ14" s="737"/>
      <c r="CR14" s="737"/>
      <c r="CS14" s="737"/>
      <c r="CT14" s="737"/>
      <c r="CU14" s="737"/>
      <c r="CV14" s="737"/>
      <c r="CW14" s="737"/>
      <c r="CX14" s="737"/>
      <c r="CY14" s="737"/>
      <c r="CZ14" s="738"/>
      <c r="DA14" s="739">
        <f t="shared" si="9"/>
        <v>0</v>
      </c>
      <c r="DB14" s="737"/>
      <c r="DC14" s="737"/>
      <c r="DD14" s="737"/>
      <c r="DE14" s="737"/>
      <c r="DF14" s="737"/>
      <c r="DG14" s="737"/>
      <c r="DH14" s="737"/>
      <c r="DI14" s="737"/>
      <c r="DJ14" s="737"/>
      <c r="DK14" s="737"/>
      <c r="DL14" s="737"/>
      <c r="DM14" s="738"/>
      <c r="DN14" s="739">
        <f t="shared" si="10"/>
        <v>0</v>
      </c>
      <c r="DO14" s="737"/>
      <c r="DP14" s="737"/>
      <c r="DQ14" s="737"/>
      <c r="DR14" s="737"/>
      <c r="DS14" s="737"/>
      <c r="DT14" s="737"/>
      <c r="DU14" s="737"/>
      <c r="DV14" s="737"/>
      <c r="DW14" s="737"/>
      <c r="DX14" s="737"/>
      <c r="DY14" s="737"/>
      <c r="DZ14" s="738"/>
      <c r="EA14" s="739">
        <f t="shared" si="11"/>
        <v>0</v>
      </c>
      <c r="EB14" s="737"/>
      <c r="EC14" s="737"/>
      <c r="ED14" s="737"/>
      <c r="EE14" s="737"/>
      <c r="EF14" s="737"/>
      <c r="EG14" s="737"/>
      <c r="EH14" s="737"/>
      <c r="EI14" s="737"/>
      <c r="EJ14" s="737"/>
      <c r="EK14" s="737"/>
      <c r="EL14" s="737"/>
      <c r="EM14" s="738"/>
      <c r="EN14" s="739">
        <f t="shared" si="12"/>
        <v>0</v>
      </c>
      <c r="EO14" s="737"/>
      <c r="EP14" s="737"/>
      <c r="EQ14" s="737"/>
      <c r="ER14" s="737"/>
      <c r="ES14" s="737"/>
      <c r="ET14" s="737"/>
      <c r="EU14" s="737"/>
      <c r="EV14" s="737"/>
      <c r="EW14" s="737"/>
      <c r="EX14" s="737"/>
      <c r="EY14" s="737"/>
      <c r="EZ14" s="738"/>
      <c r="FA14" s="739">
        <f t="shared" si="13"/>
        <v>0</v>
      </c>
      <c r="FC14" s="801" t="str" cm="1">
        <f t="array" ref="FC14">IFERROR(((
_xlfn.XLOOKUP((DATE(YEAR($FC$5),MONTH($FC$5),1)),UCA.MANUFACTURA.DATE,$B14:$FA14) /
_xlfn.XLOOKUP((DATE(YEAR($FC$5)-1,MONTH($FC$5),1)),UCA.MANUFACTURA.DATE,$B14:$FA14)
)-1)*100,"")</f>
        <v/>
      </c>
      <c r="FD14" s="806" t="str">
        <f t="shared" si="14"/>
        <v/>
      </c>
      <c r="FE14" s="811" cm="1">
        <f t="array" ref="FE14">SUMIFS($B14:$FA14,UCA.MANUFACTURA.DATE,"&gt;="&amp;DATE(YEAR($FC$5)-1,1,1),UCA.MANUFACTURA.DATE,"&lt;="&amp;DATE(YEAR($FC$5)-1,MONTH($FC$5),1))</f>
        <v>0</v>
      </c>
      <c r="FF14" s="806" cm="1">
        <f t="array" ref="FF14">SUMIFS($B14:$FA14,UCA.MANUFACTURA.DATE,"&gt;="&amp;DATE(YEAR($FC$5),1,1),UCA.MANUFACTURA.DATE,"&lt;="&amp;$FC$5)</f>
        <v>0</v>
      </c>
    </row>
    <row r="15" spans="1:162" s="447" customFormat="1" ht="15" customHeight="1" x14ac:dyDescent="0.25">
      <c r="A15" s="736" t="s">
        <v>573</v>
      </c>
      <c r="B15" s="737">
        <v>267.64377887525887</v>
      </c>
      <c r="C15" s="737">
        <v>194.36036323084272</v>
      </c>
      <c r="D15" s="737">
        <v>191.17412776804204</v>
      </c>
      <c r="E15" s="737">
        <v>25.489883702405603</v>
      </c>
      <c r="F15" s="737"/>
      <c r="G15" s="737"/>
      <c r="H15" s="737"/>
      <c r="I15" s="737"/>
      <c r="J15" s="737"/>
      <c r="K15" s="737"/>
      <c r="L15" s="737"/>
      <c r="M15" s="738"/>
      <c r="N15" s="739">
        <f t="shared" si="2"/>
        <v>169.66703839413731</v>
      </c>
      <c r="O15" s="737"/>
      <c r="P15" s="737"/>
      <c r="Q15" s="737"/>
      <c r="R15" s="737"/>
      <c r="S15" s="737"/>
      <c r="T15" s="737"/>
      <c r="U15" s="737"/>
      <c r="V15" s="737"/>
      <c r="W15" s="737"/>
      <c r="X15" s="737"/>
      <c r="Y15" s="737"/>
      <c r="Z15" s="738"/>
      <c r="AA15" s="739">
        <f t="shared" si="3"/>
        <v>0</v>
      </c>
      <c r="AB15" s="737"/>
      <c r="AC15" s="737"/>
      <c r="AD15" s="737"/>
      <c r="AE15" s="737"/>
      <c r="AF15" s="737"/>
      <c r="AG15" s="737"/>
      <c r="AH15" s="737"/>
      <c r="AI15" s="737"/>
      <c r="AJ15" s="737"/>
      <c r="AK15" s="737"/>
      <c r="AL15" s="737"/>
      <c r="AM15" s="738"/>
      <c r="AN15" s="739">
        <f t="shared" si="4"/>
        <v>0</v>
      </c>
      <c r="AO15" s="737"/>
      <c r="AP15" s="737"/>
      <c r="AQ15" s="737"/>
      <c r="AR15" s="737"/>
      <c r="AS15" s="737"/>
      <c r="AT15" s="737"/>
      <c r="AU15" s="737"/>
      <c r="AV15" s="737"/>
      <c r="AW15" s="737"/>
      <c r="AX15" s="737"/>
      <c r="AY15" s="737"/>
      <c r="AZ15" s="738"/>
      <c r="BA15" s="739">
        <f t="shared" si="5"/>
        <v>0</v>
      </c>
      <c r="BB15" s="737"/>
      <c r="BC15" s="737"/>
      <c r="BD15" s="737"/>
      <c r="BE15" s="737"/>
      <c r="BF15" s="737"/>
      <c r="BG15" s="737"/>
      <c r="BH15" s="737"/>
      <c r="BI15" s="737"/>
      <c r="BJ15" s="737"/>
      <c r="BK15" s="737"/>
      <c r="BL15" s="737"/>
      <c r="BM15" s="738"/>
      <c r="BN15" s="739">
        <f t="shared" si="6"/>
        <v>0</v>
      </c>
      <c r="BO15" s="737"/>
      <c r="BP15" s="737"/>
      <c r="BQ15" s="737"/>
      <c r="BR15" s="737"/>
      <c r="BS15" s="737"/>
      <c r="BT15" s="737"/>
      <c r="BU15" s="737"/>
      <c r="BV15" s="737"/>
      <c r="BW15" s="737"/>
      <c r="BX15" s="737"/>
      <c r="BY15" s="737"/>
      <c r="BZ15" s="738"/>
      <c r="CA15" s="739">
        <f t="shared" si="7"/>
        <v>0</v>
      </c>
      <c r="CB15" s="737"/>
      <c r="CC15" s="737"/>
      <c r="CD15" s="737"/>
      <c r="CE15" s="737"/>
      <c r="CF15" s="737"/>
      <c r="CG15" s="737"/>
      <c r="CH15" s="737"/>
      <c r="CI15" s="737"/>
      <c r="CJ15" s="737"/>
      <c r="CK15" s="737"/>
      <c r="CL15" s="737"/>
      <c r="CM15" s="738"/>
      <c r="CN15" s="739">
        <f t="shared" si="8"/>
        <v>0</v>
      </c>
      <c r="CO15" s="737"/>
      <c r="CP15" s="737"/>
      <c r="CQ15" s="737"/>
      <c r="CR15" s="737"/>
      <c r="CS15" s="737"/>
      <c r="CT15" s="737"/>
      <c r="CU15" s="737"/>
      <c r="CV15" s="737"/>
      <c r="CW15" s="737"/>
      <c r="CX15" s="737"/>
      <c r="CY15" s="737"/>
      <c r="CZ15" s="738"/>
      <c r="DA15" s="739">
        <f t="shared" si="9"/>
        <v>0</v>
      </c>
      <c r="DB15" s="737"/>
      <c r="DC15" s="737"/>
      <c r="DD15" s="737"/>
      <c r="DE15" s="737"/>
      <c r="DF15" s="737"/>
      <c r="DG15" s="737"/>
      <c r="DH15" s="737"/>
      <c r="DI15" s="737"/>
      <c r="DJ15" s="737"/>
      <c r="DK15" s="737"/>
      <c r="DL15" s="737"/>
      <c r="DM15" s="738"/>
      <c r="DN15" s="739">
        <f t="shared" si="10"/>
        <v>0</v>
      </c>
      <c r="DO15" s="737"/>
      <c r="DP15" s="737"/>
      <c r="DQ15" s="737"/>
      <c r="DR15" s="737"/>
      <c r="DS15" s="737"/>
      <c r="DT15" s="737"/>
      <c r="DU15" s="737"/>
      <c r="DV15" s="737"/>
      <c r="DW15" s="737"/>
      <c r="DX15" s="737"/>
      <c r="DY15" s="737"/>
      <c r="DZ15" s="738"/>
      <c r="EA15" s="739">
        <f t="shared" si="11"/>
        <v>0</v>
      </c>
      <c r="EB15" s="737"/>
      <c r="EC15" s="737"/>
      <c r="ED15" s="737"/>
      <c r="EE15" s="737"/>
      <c r="EF15" s="737"/>
      <c r="EG15" s="737"/>
      <c r="EH15" s="737"/>
      <c r="EI15" s="737"/>
      <c r="EJ15" s="737"/>
      <c r="EK15" s="737"/>
      <c r="EL15" s="737"/>
      <c r="EM15" s="738"/>
      <c r="EN15" s="739">
        <f t="shared" si="12"/>
        <v>0</v>
      </c>
      <c r="EO15" s="737"/>
      <c r="EP15" s="737"/>
      <c r="EQ15" s="737"/>
      <c r="ER15" s="737"/>
      <c r="ES15" s="737"/>
      <c r="ET15" s="737"/>
      <c r="EU15" s="737"/>
      <c r="EV15" s="737"/>
      <c r="EW15" s="737"/>
      <c r="EX15" s="737"/>
      <c r="EY15" s="737"/>
      <c r="EZ15" s="738"/>
      <c r="FA15" s="739">
        <f t="shared" si="13"/>
        <v>0</v>
      </c>
      <c r="FC15" s="801" t="str" cm="1">
        <f t="array" ref="FC15">IFERROR(((
_xlfn.XLOOKUP((DATE(YEAR($FC$5),MONTH($FC$5),1)),UCA.MANUFACTURA.DATE,$B15:$FA15) /
_xlfn.XLOOKUP((DATE(YEAR($FC$5)-1,MONTH($FC$5),1)),UCA.MANUFACTURA.DATE,$B15:$FA15)
)-1)*100,"")</f>
        <v/>
      </c>
      <c r="FD15" s="805" t="str">
        <f t="shared" si="14"/>
        <v/>
      </c>
      <c r="FE15" s="811" cm="1">
        <f t="array" ref="FE15">SUMIFS($B15:$FA15,UCA.MANUFACTURA.DATE,"&gt;="&amp;DATE(YEAR($FC$5)-1,1,1),UCA.MANUFACTURA.DATE,"&lt;="&amp;DATE(YEAR($FC$5)-1,MONTH($FC$5),1))</f>
        <v>0</v>
      </c>
      <c r="FF15" s="806" cm="1">
        <f t="array" ref="FF15">SUMIFS($B15:$FA15,UCA.MANUFACTURA.DATE,"&gt;="&amp;DATE(YEAR($FC$5),1,1),UCA.MANUFACTURA.DATE,"&lt;="&amp;$FC$5)</f>
        <v>0</v>
      </c>
    </row>
    <row r="16" spans="1:162" s="447" customFormat="1" ht="15" customHeight="1" x14ac:dyDescent="0.25">
      <c r="A16" s="736"/>
      <c r="B16" s="737"/>
      <c r="C16" s="737"/>
      <c r="D16" s="737"/>
      <c r="E16" s="737"/>
      <c r="F16" s="737"/>
      <c r="G16" s="737"/>
      <c r="H16" s="737"/>
      <c r="I16" s="737"/>
      <c r="J16" s="737"/>
      <c r="K16" s="737"/>
      <c r="L16" s="737"/>
      <c r="M16" s="738"/>
      <c r="N16" s="739"/>
      <c r="O16" s="737"/>
      <c r="P16" s="737"/>
      <c r="Q16" s="737"/>
      <c r="R16" s="737"/>
      <c r="S16" s="737"/>
      <c r="T16" s="737"/>
      <c r="U16" s="737"/>
      <c r="V16" s="737"/>
      <c r="W16" s="737"/>
      <c r="X16" s="737"/>
      <c r="Y16" s="737"/>
      <c r="Z16" s="738"/>
      <c r="AA16" s="739"/>
      <c r="AB16" s="737"/>
      <c r="AC16" s="737"/>
      <c r="AD16" s="737"/>
      <c r="AE16" s="737"/>
      <c r="AF16" s="737"/>
      <c r="AG16" s="737"/>
      <c r="AH16" s="737"/>
      <c r="AI16" s="737"/>
      <c r="AJ16" s="737"/>
      <c r="AK16" s="737"/>
      <c r="AL16" s="737"/>
      <c r="AM16" s="738"/>
      <c r="AN16" s="739"/>
      <c r="AO16" s="737"/>
      <c r="AP16" s="737"/>
      <c r="AQ16" s="737"/>
      <c r="AR16" s="737"/>
      <c r="AS16" s="737"/>
      <c r="AT16" s="737"/>
      <c r="AU16" s="737"/>
      <c r="AV16" s="737"/>
      <c r="AW16" s="737"/>
      <c r="AX16" s="737"/>
      <c r="AY16" s="737"/>
      <c r="AZ16" s="738"/>
      <c r="BA16" s="739"/>
      <c r="BB16" s="737"/>
      <c r="BC16" s="737"/>
      <c r="BD16" s="737"/>
      <c r="BE16" s="737"/>
      <c r="BF16" s="737"/>
      <c r="BG16" s="737"/>
      <c r="BH16" s="737"/>
      <c r="BI16" s="737"/>
      <c r="BJ16" s="737"/>
      <c r="BK16" s="737"/>
      <c r="BL16" s="737"/>
      <c r="BM16" s="738"/>
      <c r="BN16" s="739"/>
      <c r="BO16" s="737"/>
      <c r="BP16" s="737"/>
      <c r="BQ16" s="737"/>
      <c r="BR16" s="737"/>
      <c r="BS16" s="737"/>
      <c r="BT16" s="737"/>
      <c r="BU16" s="737"/>
      <c r="BV16" s="737"/>
      <c r="BW16" s="737"/>
      <c r="BX16" s="737"/>
      <c r="BY16" s="737"/>
      <c r="BZ16" s="738"/>
      <c r="CA16" s="739"/>
      <c r="CB16" s="737"/>
      <c r="CC16" s="737"/>
      <c r="CD16" s="737"/>
      <c r="CE16" s="737"/>
      <c r="CF16" s="737"/>
      <c r="CG16" s="737"/>
      <c r="CH16" s="737"/>
      <c r="CI16" s="737"/>
      <c r="CJ16" s="737"/>
      <c r="CK16" s="737"/>
      <c r="CL16" s="737"/>
      <c r="CM16" s="738"/>
      <c r="CN16" s="739"/>
      <c r="CO16" s="737"/>
      <c r="CP16" s="737"/>
      <c r="CQ16" s="737"/>
      <c r="CR16" s="737"/>
      <c r="CS16" s="737"/>
      <c r="CT16" s="737"/>
      <c r="CU16" s="737"/>
      <c r="CV16" s="737"/>
      <c r="CW16" s="737"/>
      <c r="CX16" s="737"/>
      <c r="CY16" s="737"/>
      <c r="CZ16" s="738"/>
      <c r="DA16" s="739"/>
      <c r="DB16" s="737"/>
      <c r="DC16" s="737"/>
      <c r="DD16" s="737"/>
      <c r="DE16" s="737"/>
      <c r="DF16" s="737"/>
      <c r="DG16" s="737"/>
      <c r="DH16" s="737"/>
      <c r="DI16" s="737"/>
      <c r="DJ16" s="737"/>
      <c r="DK16" s="737"/>
      <c r="DL16" s="737"/>
      <c r="DM16" s="738"/>
      <c r="DN16" s="739"/>
      <c r="DO16" s="737"/>
      <c r="DP16" s="737"/>
      <c r="DQ16" s="737"/>
      <c r="DR16" s="737"/>
      <c r="DS16" s="737"/>
      <c r="DT16" s="737"/>
      <c r="DU16" s="737"/>
      <c r="DV16" s="737"/>
      <c r="DW16" s="737"/>
      <c r="DX16" s="737"/>
      <c r="DY16" s="737"/>
      <c r="DZ16" s="738"/>
      <c r="EA16" s="739"/>
      <c r="EB16" s="737"/>
      <c r="EC16" s="737"/>
      <c r="ED16" s="737"/>
      <c r="EE16" s="737"/>
      <c r="EF16" s="737"/>
      <c r="EG16" s="737"/>
      <c r="EH16" s="737"/>
      <c r="EI16" s="737"/>
      <c r="EJ16" s="737"/>
      <c r="EK16" s="737"/>
      <c r="EL16" s="737"/>
      <c r="EM16" s="738"/>
      <c r="EN16" s="739"/>
      <c r="EO16" s="737"/>
      <c r="EP16" s="737"/>
      <c r="EQ16" s="737"/>
      <c r="ER16" s="737"/>
      <c r="ES16" s="737"/>
      <c r="ET16" s="737"/>
      <c r="EU16" s="737"/>
      <c r="EV16" s="737"/>
      <c r="EW16" s="737"/>
      <c r="EX16" s="737"/>
      <c r="EY16" s="737"/>
      <c r="EZ16" s="738"/>
      <c r="FA16" s="739"/>
      <c r="FC16" s="807"/>
      <c r="FD16" s="808"/>
      <c r="FE16" s="812"/>
      <c r="FF16" s="808"/>
    </row>
    <row r="17" spans="1:163" s="447" customFormat="1" ht="15" customHeight="1" x14ac:dyDescent="0.25">
      <c r="A17" s="740" t="s">
        <v>0</v>
      </c>
      <c r="B17" s="741">
        <v>114.64390403220095</v>
      </c>
      <c r="C17" s="741">
        <v>106.81899236638439</v>
      </c>
      <c r="D17" s="741">
        <v>126.94899999779531</v>
      </c>
      <c r="E17" s="741">
        <v>116.69054776692612</v>
      </c>
      <c r="F17" s="741">
        <v>125.0199107400861</v>
      </c>
      <c r="G17" s="741">
        <v>131.27178615932996</v>
      </c>
      <c r="H17" s="741">
        <v>131.26901055251656</v>
      </c>
      <c r="I17" s="741">
        <v>129.44601251309587</v>
      </c>
      <c r="J17" s="741">
        <v>131.82923192896371</v>
      </c>
      <c r="K17" s="741">
        <v>141.92036874669762</v>
      </c>
      <c r="L17" s="741">
        <v>147.3776133567267</v>
      </c>
      <c r="M17" s="742">
        <v>141.27636785121501</v>
      </c>
      <c r="N17" s="743">
        <f>IFERROR(AVERAGE(B17:M17),)</f>
        <v>128.70939550099487</v>
      </c>
      <c r="O17" s="741">
        <v>134.02284452688988</v>
      </c>
      <c r="P17" s="741">
        <v>121.13386022419134</v>
      </c>
      <c r="Q17" s="741">
        <v>122.74619797584856</v>
      </c>
      <c r="R17" s="741">
        <v>124.36418121349745</v>
      </c>
      <c r="S17" s="741">
        <v>146.46058330520523</v>
      </c>
      <c r="T17" s="741">
        <v>134.71023020006731</v>
      </c>
      <c r="U17" s="741">
        <v>125.99791577098709</v>
      </c>
      <c r="V17" s="741">
        <v>139.49144520453763</v>
      </c>
      <c r="W17" s="741">
        <v>142.09869593012618</v>
      </c>
      <c r="X17" s="741">
        <v>139.32675352113026</v>
      </c>
      <c r="Y17" s="741">
        <v>140.43096426425137</v>
      </c>
      <c r="Z17" s="742">
        <v>139.52830413911511</v>
      </c>
      <c r="AA17" s="743">
        <f>IFERROR(AVERAGE(O17:Z17),)</f>
        <v>134.19266468965395</v>
      </c>
      <c r="AB17" s="741">
        <v>117.89628062357119</v>
      </c>
      <c r="AC17" s="741">
        <v>121.75143975622221</v>
      </c>
      <c r="AD17" s="741">
        <v>125.3356521364319</v>
      </c>
      <c r="AE17" s="741">
        <v>110.92426638324983</v>
      </c>
      <c r="AF17" s="741">
        <v>146.52795465870543</v>
      </c>
      <c r="AG17" s="741">
        <v>156.65290637808255</v>
      </c>
      <c r="AH17" s="741">
        <v>149.68012035256254</v>
      </c>
      <c r="AI17" s="741">
        <v>166.40647225576001</v>
      </c>
      <c r="AJ17" s="741">
        <v>161.54764132113624</v>
      </c>
      <c r="AK17" s="741">
        <v>168.23419708944701</v>
      </c>
      <c r="AL17" s="741">
        <v>167.39500588785748</v>
      </c>
      <c r="AM17" s="742">
        <v>144.99236663550479</v>
      </c>
      <c r="AN17" s="743">
        <f>IFERROR(AVERAGE(AB17:AM17),)</f>
        <v>144.77869195654426</v>
      </c>
      <c r="AO17" s="741">
        <v>139.27668602963004</v>
      </c>
      <c r="AP17" s="741">
        <v>115.80906216597732</v>
      </c>
      <c r="AQ17" s="741">
        <v>115.81949759099888</v>
      </c>
      <c r="AR17" s="741">
        <v>131.19495446945285</v>
      </c>
      <c r="AS17" s="741">
        <v>138.52693840185009</v>
      </c>
      <c r="AT17" s="741">
        <v>146.26941925786602</v>
      </c>
      <c r="AU17" s="741">
        <v>138.80107962344388</v>
      </c>
      <c r="AV17" s="741">
        <v>156.00147484394643</v>
      </c>
      <c r="AW17" s="741">
        <v>134.14570319784283</v>
      </c>
      <c r="AX17" s="741">
        <v>144.02841299778026</v>
      </c>
      <c r="AY17" s="741">
        <v>143.33621467886459</v>
      </c>
      <c r="AZ17" s="742">
        <v>172.07216796606187</v>
      </c>
      <c r="BA17" s="743">
        <f>IFERROR(AVERAGE(AO17:AZ17),)</f>
        <v>139.60680093530959</v>
      </c>
      <c r="BB17" s="741">
        <v>159.99312812274124</v>
      </c>
      <c r="BC17" s="741">
        <v>121.17139970912694</v>
      </c>
      <c r="BD17" s="741">
        <v>134.69647705015922</v>
      </c>
      <c r="BE17" s="741">
        <v>147.67032727226825</v>
      </c>
      <c r="BF17" s="741">
        <v>112.95448797602194</v>
      </c>
      <c r="BG17" s="741">
        <v>131.62343205097343</v>
      </c>
      <c r="BH17" s="741">
        <v>121.0893943516905</v>
      </c>
      <c r="BI17" s="741">
        <v>111.00591383620699</v>
      </c>
      <c r="BJ17" s="741">
        <v>140.18979447828326</v>
      </c>
      <c r="BK17" s="741">
        <v>128.82729854099642</v>
      </c>
      <c r="BL17" s="741">
        <v>127.04810417751729</v>
      </c>
      <c r="BM17" s="742">
        <v>130.88379080325652</v>
      </c>
      <c r="BN17" s="743">
        <f>IFERROR(AVERAGE(BB17:BM17),)</f>
        <v>130.59612903077016</v>
      </c>
      <c r="BO17" s="741">
        <v>167.84190484092423</v>
      </c>
      <c r="BP17" s="741">
        <v>136.00055681642732</v>
      </c>
      <c r="BQ17" s="741">
        <v>101.18838212211007</v>
      </c>
      <c r="BR17" s="741">
        <v>7.3670017737463205</v>
      </c>
      <c r="BS17" s="741">
        <v>19.527268384785781</v>
      </c>
      <c r="BT17" s="741">
        <v>126.35748158118896</v>
      </c>
      <c r="BU17" s="741">
        <v>160.62380870262953</v>
      </c>
      <c r="BV17" s="741">
        <v>178.51809029619974</v>
      </c>
      <c r="BW17" s="741">
        <v>178.02568655359897</v>
      </c>
      <c r="BX17" s="741">
        <v>164.47364898727375</v>
      </c>
      <c r="BY17" s="741">
        <v>168.10606273329915</v>
      </c>
      <c r="BZ17" s="742">
        <v>189.22117138490879</v>
      </c>
      <c r="CA17" s="743">
        <f>IFERROR(AVERAGE(BO17:BZ17),)</f>
        <v>133.10425534809102</v>
      </c>
      <c r="CB17" s="741">
        <v>218.72244932457451</v>
      </c>
      <c r="CC17" s="741">
        <v>221.32716081453094</v>
      </c>
      <c r="CD17" s="741">
        <v>153.65552470663138</v>
      </c>
      <c r="CE17" s="741">
        <v>139.86176535679138</v>
      </c>
      <c r="CF17" s="741">
        <v>135.33845627607946</v>
      </c>
      <c r="CG17" s="741">
        <v>152.58623123049207</v>
      </c>
      <c r="CH17" s="741">
        <v>167.86758173265511</v>
      </c>
      <c r="CI17" s="741">
        <v>162.66425732728669</v>
      </c>
      <c r="CJ17" s="741">
        <v>177.19053392653308</v>
      </c>
      <c r="CK17" s="741">
        <v>183.42566586157278</v>
      </c>
      <c r="CL17" s="741">
        <v>179.09574413867642</v>
      </c>
      <c r="CM17" s="742">
        <v>160.15507092091499</v>
      </c>
      <c r="CN17" s="743">
        <f>IFERROR(AVERAGE(CB17:CM17),)</f>
        <v>170.99087013472823</v>
      </c>
      <c r="CO17" s="741">
        <v>152.75911605996833</v>
      </c>
      <c r="CP17" s="741">
        <v>112.13268880591086</v>
      </c>
      <c r="CQ17" s="741">
        <v>153.7152603462541</v>
      </c>
      <c r="CR17" s="741">
        <v>150.98562826676681</v>
      </c>
      <c r="CS17" s="741">
        <v>168.50457648084205</v>
      </c>
      <c r="CT17" s="741">
        <v>169.65649804519953</v>
      </c>
      <c r="CU17" s="741">
        <v>146.56029488923718</v>
      </c>
      <c r="CV17" s="741">
        <v>222.97853026112685</v>
      </c>
      <c r="CW17" s="741">
        <v>174.60810915396164</v>
      </c>
      <c r="CX17" s="741">
        <v>156.4759921933956</v>
      </c>
      <c r="CY17" s="741">
        <v>159.93958544506967</v>
      </c>
      <c r="CZ17" s="742">
        <v>145.3217760889998</v>
      </c>
      <c r="DA17" s="743">
        <f>IFERROR(AVERAGE(CO17:CZ17),)</f>
        <v>159.46983800306103</v>
      </c>
      <c r="DB17" s="741">
        <v>133.99611913598278</v>
      </c>
      <c r="DC17" s="741">
        <v>152.27831392500903</v>
      </c>
      <c r="DD17" s="741">
        <v>197.36340813261438</v>
      </c>
      <c r="DE17" s="741">
        <v>119.98207976590919</v>
      </c>
      <c r="DF17" s="741">
        <v>123.26338703800552</v>
      </c>
      <c r="DG17" s="741">
        <v>116.92188367924987</v>
      </c>
      <c r="DH17" s="741">
        <v>130.82066270141397</v>
      </c>
      <c r="DI17" s="741">
        <v>124.73050787112808</v>
      </c>
      <c r="DJ17" s="741">
        <v>86.459619642702691</v>
      </c>
      <c r="DK17" s="741">
        <v>131.52353725249876</v>
      </c>
      <c r="DL17" s="741">
        <v>147.42518032097752</v>
      </c>
      <c r="DM17" s="742">
        <v>136.35681197898373</v>
      </c>
      <c r="DN17" s="743">
        <f>IFERROR(AVERAGE(DB17:DM17),)</f>
        <v>133.42679262037294</v>
      </c>
      <c r="DO17" s="741">
        <v>107.81044798714461</v>
      </c>
      <c r="DP17" s="741">
        <v>94.783888978540418</v>
      </c>
      <c r="DQ17" s="741">
        <v>137.38530828576805</v>
      </c>
      <c r="DR17" s="741">
        <v>107.20304906059596</v>
      </c>
      <c r="DS17" s="741">
        <v>109.72161406812296</v>
      </c>
      <c r="DT17" s="741">
        <v>104.20972202214443</v>
      </c>
      <c r="DU17" s="741">
        <v>119.46228005082436</v>
      </c>
      <c r="DV17" s="741">
        <v>130.94433771476852</v>
      </c>
      <c r="DW17" s="741">
        <v>130.40948220882595</v>
      </c>
      <c r="DX17" s="741">
        <v>126.88678117704612</v>
      </c>
      <c r="DY17" s="741">
        <v>123.84045323205989</v>
      </c>
      <c r="DZ17" s="742">
        <v>124.00357572504483</v>
      </c>
      <c r="EA17" s="743">
        <f>IFERROR(AVERAGE(DO17:DZ17),)</f>
        <v>118.05507837590717</v>
      </c>
      <c r="EB17" s="741">
        <v>123.9656259617591</v>
      </c>
      <c r="EC17" s="741">
        <v>115.7922391061099</v>
      </c>
      <c r="ED17" s="741">
        <v>111.85047436475072</v>
      </c>
      <c r="EE17" s="741">
        <v>121.48728710744875</v>
      </c>
      <c r="EF17" s="741">
        <v>128.60176536738439</v>
      </c>
      <c r="EG17" s="741">
        <v>120.76433429919649</v>
      </c>
      <c r="EH17" s="741">
        <v>122.64416932049822</v>
      </c>
      <c r="EI17" s="741">
        <v>122.78596017667086</v>
      </c>
      <c r="EJ17" s="741">
        <v>122.48774097096951</v>
      </c>
      <c r="EK17" s="741">
        <v>125.50989413247937</v>
      </c>
      <c r="EL17" s="741">
        <v>116.4276613190507</v>
      </c>
      <c r="EM17" s="742">
        <v>152.41525808931146</v>
      </c>
      <c r="EN17" s="743">
        <f>IFERROR(AVERAGE(EB17:EM17),)</f>
        <v>123.72770085130246</v>
      </c>
      <c r="EO17" s="741">
        <v>103.98252064754607</v>
      </c>
      <c r="EP17" s="741">
        <v>104.25811813294844</v>
      </c>
      <c r="EQ17" s="741">
        <v>127.36854534225451</v>
      </c>
      <c r="ER17" s="741">
        <v>109.24454551452899</v>
      </c>
      <c r="ES17" s="741">
        <v>116.92432057121678</v>
      </c>
      <c r="ET17" s="741">
        <v>120.20270702594833</v>
      </c>
      <c r="EU17" s="741">
        <v>121.05322468566133</v>
      </c>
      <c r="EV17" s="741">
        <v>118.030367546261</v>
      </c>
      <c r="EW17" s="741"/>
      <c r="EX17" s="741"/>
      <c r="EY17" s="741"/>
      <c r="EZ17" s="742"/>
      <c r="FA17" s="743">
        <f>IFERROR(AVERAGE(EO17:EZ17),)</f>
        <v>115.13304368329568</v>
      </c>
      <c r="FC17" s="813" cm="1">
        <f t="array" ref="FC17">IFERROR(((
_xlfn.XLOOKUP((DATE(YEAR($FC$5),MONTH($FC$5),1)),UCA.MANUFACTURA.DATE,$B17:$FA17) /
_xlfn.XLOOKUP((DATE(YEAR($FC$5)-1,MONTH($FC$5),1)),UCA.MANUFACTURA.DATE,$B17:$FA17)
)-1)*100,"")</f>
        <v>-3.8730752470129803</v>
      </c>
      <c r="FD17" s="814">
        <f t="shared" si="14"/>
        <v>-4.8380928056680155</v>
      </c>
      <c r="FE17" s="815" cm="1">
        <f t="array" ref="FE17">SUMIFS($B17:$FA17,UCA.MANUFACTURA.DATE,"&gt;="&amp;DATE(YEAR($FC$5)-1,1,1),UCA.MANUFACTURA.DATE,"&lt;="&amp;DATE(YEAR($FC$5)-1,MONTH($FC$5),1))</f>
        <v>967.89185570381858</v>
      </c>
      <c r="FF17" s="814" cm="1">
        <f t="array" ref="FF17">SUMIFS($B17:$FA17,UCA.MANUFACTURA.DATE,"&gt;="&amp;DATE(YEAR($FC$5),1,1),UCA.MANUFACTURA.DATE,"&lt;="&amp;$FC$5)</f>
        <v>921.06434946636546</v>
      </c>
    </row>
    <row r="18" spans="1:163" s="447" customFormat="1" ht="15" customHeight="1" x14ac:dyDescent="0.25">
      <c r="A18" s="587" t="s">
        <v>345</v>
      </c>
      <c r="B18" s="744"/>
      <c r="C18" s="744"/>
      <c r="D18" s="744"/>
      <c r="E18" s="744"/>
      <c r="F18" s="744"/>
      <c r="G18" s="744"/>
      <c r="H18" s="744"/>
      <c r="I18" s="744"/>
      <c r="J18" s="744"/>
      <c r="K18" s="744"/>
      <c r="L18" s="744"/>
      <c r="M18" s="744"/>
      <c r="N18" s="744"/>
      <c r="O18" s="744"/>
      <c r="P18" s="744"/>
      <c r="Q18" s="744"/>
      <c r="R18" s="744"/>
      <c r="S18" s="744"/>
      <c r="T18" s="744"/>
      <c r="U18" s="744"/>
      <c r="V18" s="744"/>
      <c r="W18" s="744"/>
      <c r="X18" s="744"/>
      <c r="Y18" s="744"/>
      <c r="Z18" s="744"/>
      <c r="AA18" s="744"/>
      <c r="AB18" s="744"/>
      <c r="AC18" s="744"/>
      <c r="AD18" s="744"/>
      <c r="AE18" s="744"/>
      <c r="AF18" s="744"/>
      <c r="AG18" s="744"/>
      <c r="AH18" s="744"/>
      <c r="AI18" s="744"/>
      <c r="AJ18" s="744"/>
      <c r="AK18" s="744"/>
      <c r="AL18" s="744"/>
      <c r="AM18" s="744"/>
      <c r="AN18" s="744"/>
      <c r="AO18" s="744"/>
      <c r="AP18" s="744"/>
      <c r="AQ18" s="744"/>
      <c r="AR18" s="744"/>
      <c r="AS18" s="744"/>
      <c r="AT18" s="744"/>
      <c r="AU18" s="744"/>
      <c r="AV18" s="744"/>
      <c r="AW18" s="744"/>
      <c r="AX18" s="744"/>
      <c r="AY18" s="744"/>
      <c r="AZ18" s="744"/>
      <c r="BA18" s="744"/>
      <c r="BB18" s="744"/>
      <c r="BC18" s="744"/>
      <c r="BD18" s="744"/>
      <c r="BE18" s="744"/>
      <c r="BF18" s="744"/>
      <c r="BG18" s="744"/>
      <c r="BH18" s="744"/>
      <c r="BI18" s="744"/>
      <c r="BJ18" s="744"/>
      <c r="BK18" s="744"/>
      <c r="BL18" s="744"/>
      <c r="BM18" s="744"/>
      <c r="BN18" s="744"/>
      <c r="BO18" s="744"/>
      <c r="BP18" s="744"/>
      <c r="BQ18" s="744"/>
      <c r="BR18" s="744"/>
      <c r="BS18" s="744"/>
      <c r="BT18" s="744"/>
      <c r="BU18" s="744"/>
      <c r="BV18" s="744"/>
      <c r="BW18" s="744"/>
      <c r="BX18" s="744"/>
      <c r="BY18" s="744"/>
      <c r="BZ18" s="744"/>
      <c r="CA18" s="744"/>
      <c r="CB18" s="744"/>
      <c r="CC18" s="744"/>
      <c r="CD18" s="744"/>
      <c r="CE18" s="744"/>
      <c r="CF18" s="744"/>
      <c r="CG18" s="744"/>
      <c r="CH18" s="744"/>
      <c r="CI18" s="744"/>
      <c r="CJ18" s="744"/>
      <c r="CK18" s="744"/>
      <c r="CL18" s="744"/>
      <c r="CM18" s="744"/>
      <c r="CN18" s="744"/>
      <c r="CO18" s="744"/>
      <c r="CP18" s="744"/>
      <c r="CQ18" s="744"/>
      <c r="CR18" s="744"/>
      <c r="CS18" s="744"/>
      <c r="CT18" s="744"/>
      <c r="CU18" s="744"/>
      <c r="CV18" s="744"/>
      <c r="CW18" s="744"/>
      <c r="CX18" s="744"/>
      <c r="CY18" s="744"/>
      <c r="CZ18" s="744"/>
      <c r="DA18" s="744"/>
      <c r="DB18" s="744"/>
      <c r="DC18" s="744"/>
      <c r="DD18" s="744"/>
      <c r="DE18" s="745"/>
      <c r="DF18" s="745"/>
      <c r="DG18" s="745"/>
      <c r="DH18" s="745"/>
      <c r="DI18" s="745"/>
      <c r="DJ18" s="745"/>
      <c r="DK18" s="745"/>
      <c r="DL18" s="745"/>
      <c r="DM18" s="745"/>
      <c r="DN18" s="745"/>
      <c r="DO18" s="745"/>
      <c r="DP18" s="745"/>
      <c r="DQ18" s="745"/>
      <c r="DR18" s="745"/>
      <c r="DS18" s="745"/>
      <c r="DT18" s="745"/>
      <c r="DU18" s="745"/>
      <c r="DV18" s="745"/>
      <c r="DW18" s="745"/>
      <c r="DX18" s="745"/>
      <c r="DY18" s="745"/>
      <c r="DZ18" s="745"/>
      <c r="EA18" s="745"/>
      <c r="EB18" s="745"/>
      <c r="EC18" s="745"/>
      <c r="ED18" s="745"/>
      <c r="EE18" s="745"/>
      <c r="EF18" s="745"/>
      <c r="EG18" s="745"/>
      <c r="EH18" s="745"/>
      <c r="EI18" s="745"/>
      <c r="EJ18" s="745"/>
      <c r="EK18" s="745"/>
      <c r="EL18" s="745"/>
      <c r="EM18" s="745"/>
      <c r="EN18" s="745"/>
      <c r="EO18" s="745"/>
      <c r="EP18" s="745"/>
      <c r="EQ18" s="745"/>
      <c r="ER18" s="745"/>
      <c r="ES18" s="745"/>
      <c r="ET18" s="745"/>
      <c r="EU18" s="745"/>
      <c r="EV18" s="745"/>
      <c r="EW18" s="745"/>
      <c r="EX18" s="745"/>
      <c r="EY18" s="745"/>
      <c r="EZ18" s="745"/>
      <c r="FA18" s="745"/>
      <c r="FC18" s="746"/>
      <c r="FD18" s="472"/>
      <c r="FE18" s="472"/>
      <c r="FF18" s="472"/>
    </row>
    <row r="19" spans="1:163" s="447" customFormat="1" ht="15" customHeight="1" x14ac:dyDescent="0.25">
      <c r="A19" s="587" t="s">
        <v>145</v>
      </c>
      <c r="B19" s="744"/>
      <c r="C19" s="744"/>
      <c r="D19" s="744"/>
      <c r="E19" s="744"/>
      <c r="F19" s="744"/>
      <c r="G19" s="744"/>
      <c r="H19" s="744"/>
      <c r="I19" s="744"/>
      <c r="J19" s="744"/>
      <c r="K19" s="744"/>
      <c r="L19" s="744"/>
      <c r="M19" s="744"/>
      <c r="N19" s="744"/>
      <c r="O19" s="744"/>
      <c r="P19" s="744"/>
      <c r="Q19" s="744"/>
      <c r="R19" s="744"/>
      <c r="S19" s="744"/>
      <c r="T19" s="744"/>
      <c r="U19" s="744"/>
      <c r="V19" s="744"/>
      <c r="W19" s="744"/>
      <c r="X19" s="744"/>
      <c r="Y19" s="744"/>
      <c r="Z19" s="744"/>
      <c r="AA19" s="744"/>
      <c r="AB19" s="744"/>
      <c r="AC19" s="744"/>
      <c r="AD19" s="744"/>
      <c r="AE19" s="744"/>
      <c r="AF19" s="744"/>
      <c r="AG19" s="744"/>
      <c r="AH19" s="744"/>
      <c r="AI19" s="744"/>
      <c r="AJ19" s="744"/>
      <c r="AK19" s="744"/>
      <c r="AL19" s="744"/>
      <c r="AM19" s="744"/>
      <c r="AN19" s="744"/>
      <c r="AO19" s="744"/>
      <c r="AP19" s="744"/>
      <c r="AQ19" s="744"/>
      <c r="AR19" s="744"/>
      <c r="AS19" s="744"/>
      <c r="AT19" s="744"/>
      <c r="AU19" s="744"/>
      <c r="AV19" s="744"/>
      <c r="AW19" s="744"/>
      <c r="AX19" s="744"/>
      <c r="AY19" s="744"/>
      <c r="AZ19" s="744"/>
      <c r="BA19" s="744"/>
      <c r="BB19" s="744"/>
      <c r="BC19" s="744"/>
      <c r="BD19" s="744"/>
      <c r="BE19" s="744"/>
      <c r="BF19" s="744"/>
      <c r="BG19" s="744"/>
      <c r="BH19" s="744"/>
      <c r="BI19" s="744"/>
      <c r="BJ19" s="744"/>
      <c r="BK19" s="744"/>
      <c r="BL19" s="744"/>
      <c r="BM19" s="744"/>
      <c r="BN19" s="744"/>
      <c r="BO19" s="744">
        <f t="shared" ref="BO19:CN19" si="15">BO17/BO9</f>
        <v>0.66404187112439794</v>
      </c>
      <c r="BP19" s="744">
        <f t="shared" si="15"/>
        <v>0.66404187112439794</v>
      </c>
      <c r="BQ19" s="744">
        <f t="shared" si="15"/>
        <v>0.66404187112439783</v>
      </c>
      <c r="BR19" s="744">
        <f t="shared" si="15"/>
        <v>0.66404187112439794</v>
      </c>
      <c r="BS19" s="744">
        <f t="shared" si="15"/>
        <v>0.66404187112439794</v>
      </c>
      <c r="BT19" s="744">
        <f t="shared" si="15"/>
        <v>0.66404187112439783</v>
      </c>
      <c r="BU19" s="744">
        <f t="shared" si="15"/>
        <v>0.66404187112439783</v>
      </c>
      <c r="BV19" s="744">
        <f t="shared" si="15"/>
        <v>0.66404187112439794</v>
      </c>
      <c r="BW19" s="744">
        <f t="shared" si="15"/>
        <v>0.66404187112439794</v>
      </c>
      <c r="BX19" s="744">
        <f t="shared" si="15"/>
        <v>0.66404187112439794</v>
      </c>
      <c r="BY19" s="744">
        <f t="shared" si="15"/>
        <v>0.66404187112439783</v>
      </c>
      <c r="BZ19" s="744">
        <f t="shared" si="15"/>
        <v>0.66404187112439794</v>
      </c>
      <c r="CA19" s="744">
        <f t="shared" si="15"/>
        <v>0.66404187112439772</v>
      </c>
      <c r="CB19" s="744">
        <f t="shared" si="15"/>
        <v>0.66404187112439783</v>
      </c>
      <c r="CC19" s="744">
        <f t="shared" si="15"/>
        <v>0.66404187112439783</v>
      </c>
      <c r="CD19" s="744">
        <f t="shared" si="15"/>
        <v>0.66404187112439794</v>
      </c>
      <c r="CE19" s="744">
        <f t="shared" si="15"/>
        <v>0.66404187112439783</v>
      </c>
      <c r="CF19" s="744">
        <f t="shared" si="15"/>
        <v>0.66404187112439783</v>
      </c>
      <c r="CG19" s="744">
        <f t="shared" si="15"/>
        <v>0.66404187112439794</v>
      </c>
      <c r="CH19" s="744">
        <f t="shared" si="15"/>
        <v>0.66404187112439794</v>
      </c>
      <c r="CI19" s="744">
        <f t="shared" si="15"/>
        <v>0.66404187112439794</v>
      </c>
      <c r="CJ19" s="744">
        <f t="shared" si="15"/>
        <v>0.66404187112439783</v>
      </c>
      <c r="CK19" s="744">
        <f t="shared" si="15"/>
        <v>0.66404187112439794</v>
      </c>
      <c r="CL19" s="744">
        <f t="shared" si="15"/>
        <v>0.66404187112439783</v>
      </c>
      <c r="CM19" s="744">
        <f t="shared" si="15"/>
        <v>0.66404187112439783</v>
      </c>
      <c r="CN19" s="744">
        <f t="shared" si="15"/>
        <v>0.66404187112439794</v>
      </c>
      <c r="CO19" s="744"/>
      <c r="CP19" s="744"/>
      <c r="CQ19" s="744"/>
      <c r="CR19" s="744"/>
      <c r="CS19" s="744"/>
      <c r="CT19" s="744"/>
      <c r="CU19" s="744"/>
      <c r="CV19" s="744"/>
      <c r="CW19" s="744"/>
      <c r="CX19" s="744"/>
      <c r="CY19" s="744"/>
      <c r="CZ19" s="744"/>
      <c r="DA19" s="744"/>
      <c r="DB19" s="744"/>
      <c r="DC19" s="744"/>
      <c r="DD19" s="744"/>
      <c r="DE19" s="745"/>
      <c r="DF19" s="745"/>
      <c r="DG19" s="745"/>
      <c r="DH19" s="745"/>
      <c r="DI19" s="745"/>
      <c r="DJ19" s="745"/>
      <c r="DK19" s="745"/>
      <c r="DL19" s="745"/>
      <c r="DM19" s="745"/>
      <c r="DN19" s="745"/>
      <c r="DO19" s="745"/>
      <c r="DP19" s="745"/>
      <c r="DQ19" s="745"/>
      <c r="DR19" s="745"/>
      <c r="DS19" s="745"/>
      <c r="DT19" s="745"/>
      <c r="DU19" s="745"/>
      <c r="DV19" s="745"/>
      <c r="DW19" s="745"/>
      <c r="DX19" s="745"/>
      <c r="DY19" s="745"/>
      <c r="DZ19" s="745"/>
      <c r="EA19" s="745"/>
      <c r="EB19" s="745"/>
      <c r="EC19" s="745"/>
      <c r="ED19" s="745"/>
      <c r="EE19" s="745"/>
      <c r="EF19" s="745"/>
      <c r="EG19" s="745"/>
      <c r="EH19" s="745"/>
      <c r="EI19" s="745"/>
      <c r="EJ19" s="745"/>
      <c r="EK19" s="745"/>
      <c r="EL19" s="745"/>
      <c r="EM19" s="745"/>
      <c r="EN19" s="745"/>
      <c r="EO19" s="745"/>
      <c r="EP19" s="745"/>
      <c r="EQ19" s="745"/>
      <c r="ER19" s="745"/>
      <c r="ES19" s="745"/>
      <c r="ET19" s="745"/>
      <c r="EU19" s="745"/>
      <c r="EV19" s="745"/>
      <c r="EW19" s="745"/>
      <c r="EX19" s="745"/>
      <c r="EY19" s="745"/>
      <c r="EZ19" s="745"/>
      <c r="FA19" s="745"/>
      <c r="FC19" s="744"/>
      <c r="FD19" s="472"/>
      <c r="FE19" s="472"/>
      <c r="FF19" s="472"/>
    </row>
    <row r="21" spans="1:163" s="447" customFormat="1" ht="15" customHeight="1" x14ac:dyDescent="0.25">
      <c r="A21" s="747" t="s">
        <v>655</v>
      </c>
      <c r="B21" s="744"/>
      <c r="C21" s="744"/>
      <c r="D21" s="744"/>
      <c r="E21" s="744"/>
      <c r="F21" s="744"/>
      <c r="G21" s="744"/>
      <c r="H21" s="744"/>
      <c r="I21" s="744"/>
      <c r="J21" s="744"/>
      <c r="K21" s="744"/>
      <c r="L21" s="744"/>
      <c r="M21" s="744"/>
      <c r="N21" s="744"/>
      <c r="O21" s="744"/>
      <c r="P21" s="744"/>
      <c r="Q21" s="744"/>
      <c r="R21" s="744"/>
      <c r="S21" s="744"/>
      <c r="T21" s="744"/>
      <c r="U21" s="744"/>
      <c r="V21" s="744"/>
      <c r="W21" s="744"/>
      <c r="X21" s="744"/>
      <c r="Y21" s="744"/>
      <c r="Z21" s="744"/>
      <c r="AA21" s="744"/>
      <c r="AB21" s="744"/>
      <c r="AC21" s="744"/>
      <c r="AD21" s="744"/>
      <c r="AE21" s="744"/>
      <c r="AF21" s="744"/>
      <c r="AG21" s="744"/>
      <c r="AH21" s="744"/>
      <c r="AI21" s="744"/>
      <c r="AJ21" s="744"/>
      <c r="AK21" s="744"/>
      <c r="AL21" s="744"/>
      <c r="AM21" s="744"/>
      <c r="AN21" s="744"/>
      <c r="AO21" s="744"/>
      <c r="AP21" s="744"/>
      <c r="AQ21" s="744"/>
      <c r="AR21" s="744"/>
      <c r="AS21" s="744"/>
      <c r="AT21" s="744"/>
      <c r="AU21" s="744"/>
      <c r="AV21" s="744"/>
      <c r="AW21" s="744"/>
      <c r="AX21" s="744"/>
      <c r="AY21" s="744"/>
      <c r="AZ21" s="744"/>
      <c r="BA21" s="744"/>
      <c r="BB21" s="744"/>
      <c r="BC21" s="744"/>
      <c r="BD21" s="744"/>
      <c r="BE21" s="744"/>
      <c r="BF21" s="744"/>
      <c r="BG21" s="744"/>
      <c r="BH21" s="744"/>
      <c r="BI21" s="744"/>
      <c r="BJ21" s="744"/>
      <c r="BK21" s="744"/>
      <c r="BL21" s="744"/>
      <c r="BM21" s="744"/>
      <c r="BN21" s="744"/>
      <c r="BO21" s="744"/>
      <c r="BP21" s="744"/>
      <c r="BQ21" s="744"/>
      <c r="BR21" s="744"/>
      <c r="BS21" s="744"/>
      <c r="BT21" s="744"/>
      <c r="BU21" s="744"/>
      <c r="BV21" s="744"/>
      <c r="BW21" s="744"/>
      <c r="BX21" s="744"/>
      <c r="BY21" s="744"/>
      <c r="BZ21" s="744"/>
      <c r="CA21" s="744"/>
      <c r="CB21" s="744"/>
      <c r="CC21" s="744"/>
      <c r="CD21" s="744"/>
      <c r="CE21" s="744"/>
      <c r="CF21" s="744"/>
      <c r="CG21" s="744"/>
      <c r="CH21" s="744"/>
      <c r="CI21" s="744"/>
      <c r="CJ21" s="744"/>
      <c r="CK21" s="744"/>
      <c r="CL21" s="744"/>
      <c r="CM21" s="744"/>
      <c r="CN21" s="744"/>
      <c r="CO21" s="744"/>
      <c r="CP21" s="744"/>
      <c r="CQ21" s="744"/>
      <c r="CR21" s="744"/>
      <c r="CS21" s="744"/>
      <c r="CT21" s="744"/>
      <c r="CU21" s="744"/>
      <c r="CV21" s="744"/>
      <c r="CW21" s="744"/>
      <c r="CX21" s="744"/>
      <c r="CY21" s="744"/>
      <c r="CZ21" s="744"/>
      <c r="DA21" s="744"/>
      <c r="DB21" s="744"/>
      <c r="DC21" s="744"/>
      <c r="DD21" s="744"/>
      <c r="DE21" s="745"/>
      <c r="DF21" s="745"/>
      <c r="DG21" s="745"/>
      <c r="DH21" s="745"/>
      <c r="DI21" s="745"/>
      <c r="DJ21" s="745"/>
      <c r="DK21" s="745"/>
      <c r="DL21" s="745"/>
      <c r="DM21" s="745"/>
      <c r="DN21" s="745"/>
      <c r="DO21" s="745"/>
      <c r="DP21" s="745"/>
      <c r="DQ21" s="745"/>
      <c r="DR21" s="745"/>
      <c r="DS21" s="745"/>
      <c r="DT21" s="745"/>
      <c r="DU21" s="745"/>
      <c r="DV21" s="745"/>
      <c r="DW21" s="745"/>
      <c r="DX21" s="745"/>
      <c r="DY21" s="745"/>
      <c r="DZ21" s="745"/>
      <c r="EA21" s="745"/>
      <c r="EB21" s="745"/>
      <c r="EC21" s="745"/>
      <c r="ED21" s="745"/>
      <c r="EE21" s="745"/>
      <c r="EF21" s="745"/>
      <c r="EG21" s="745"/>
      <c r="EH21" s="745"/>
      <c r="EI21" s="745"/>
      <c r="EJ21" s="745"/>
      <c r="EK21" s="745"/>
      <c r="EL21" s="745"/>
      <c r="EM21" s="745"/>
      <c r="EN21" s="745"/>
      <c r="EO21" s="745"/>
      <c r="EP21" s="745"/>
      <c r="EQ21" s="745"/>
      <c r="ER21" s="745"/>
      <c r="ES21" s="745"/>
      <c r="ET21" s="745"/>
      <c r="EU21" s="745"/>
      <c r="EV21" s="745"/>
      <c r="EW21" s="745"/>
      <c r="EX21" s="745"/>
      <c r="EY21" s="745"/>
      <c r="EZ21" s="745"/>
      <c r="FA21" s="745"/>
      <c r="FB21"/>
      <c r="FC21"/>
      <c r="FD21"/>
      <c r="FE21"/>
      <c r="FF21"/>
      <c r="FG21"/>
    </row>
    <row r="22" spans="1:163" s="447" customFormat="1" ht="15" customHeight="1" x14ac:dyDescent="0.25">
      <c r="A22" s="748"/>
      <c r="B22" s="749"/>
      <c r="C22" s="749"/>
      <c r="D22" s="749"/>
      <c r="E22" s="749"/>
      <c r="F22" s="749"/>
      <c r="G22" s="749"/>
      <c r="H22" s="749"/>
      <c r="I22" s="749"/>
      <c r="J22" s="749"/>
      <c r="K22" s="749"/>
      <c r="L22" s="749"/>
      <c r="M22" s="750"/>
      <c r="N22" s="751"/>
      <c r="O22" s="749"/>
      <c r="P22" s="749"/>
      <c r="Q22" s="749"/>
      <c r="R22" s="749"/>
      <c r="S22" s="749"/>
      <c r="T22" s="749"/>
      <c r="U22" s="749"/>
      <c r="V22" s="749"/>
      <c r="W22" s="749"/>
      <c r="X22" s="749"/>
      <c r="Y22" s="749"/>
      <c r="Z22" s="750"/>
      <c r="AA22" s="751"/>
      <c r="AB22" s="749"/>
      <c r="AC22" s="749"/>
      <c r="AD22" s="749"/>
      <c r="AE22" s="749"/>
      <c r="AF22" s="749"/>
      <c r="AG22" s="749"/>
      <c r="AH22" s="749"/>
      <c r="AI22" s="749"/>
      <c r="AJ22" s="749"/>
      <c r="AK22" s="749"/>
      <c r="AL22" s="749"/>
      <c r="AM22" s="750"/>
      <c r="AN22" s="751"/>
      <c r="AO22" s="749"/>
      <c r="AP22" s="749"/>
      <c r="AQ22" s="749"/>
      <c r="AR22" s="749"/>
      <c r="AS22" s="749"/>
      <c r="AT22" s="749"/>
      <c r="AU22" s="749"/>
      <c r="AV22" s="749"/>
      <c r="AW22" s="749"/>
      <c r="AX22" s="749"/>
      <c r="AY22" s="749"/>
      <c r="AZ22" s="750"/>
      <c r="BA22" s="751"/>
      <c r="BB22" s="749"/>
      <c r="BC22" s="749"/>
      <c r="BD22" s="749"/>
      <c r="BE22" s="749"/>
      <c r="BF22" s="749"/>
      <c r="BG22" s="749"/>
      <c r="BH22" s="749"/>
      <c r="BI22" s="749"/>
      <c r="BJ22" s="749"/>
      <c r="BK22" s="749"/>
      <c r="BL22" s="749"/>
      <c r="BM22" s="750"/>
      <c r="BN22" s="751"/>
      <c r="BO22" s="749"/>
      <c r="BP22" s="749"/>
      <c r="BQ22" s="749"/>
      <c r="BR22" s="749"/>
      <c r="BS22" s="749"/>
      <c r="BT22" s="749"/>
      <c r="BU22" s="749"/>
      <c r="BV22" s="749"/>
      <c r="BW22" s="749"/>
      <c r="BX22" s="749"/>
      <c r="BY22" s="749"/>
      <c r="BZ22" s="750"/>
      <c r="CA22" s="751"/>
      <c r="CB22" s="749"/>
      <c r="CC22" s="749"/>
      <c r="CD22" s="749"/>
      <c r="CE22" s="749"/>
      <c r="CF22" s="749"/>
      <c r="CG22" s="749"/>
      <c r="CH22" s="749"/>
      <c r="CI22" s="749"/>
      <c r="CJ22" s="749"/>
      <c r="CK22" s="749"/>
      <c r="CL22" s="749"/>
      <c r="CM22" s="750"/>
      <c r="CN22" s="751"/>
      <c r="CO22" s="749"/>
      <c r="CP22" s="749"/>
      <c r="CQ22" s="749"/>
      <c r="CR22" s="749"/>
      <c r="CS22" s="749"/>
      <c r="CT22" s="749"/>
      <c r="CU22" s="749"/>
      <c r="CV22" s="749"/>
      <c r="CW22" s="749"/>
      <c r="CX22" s="749"/>
      <c r="CY22" s="749"/>
      <c r="CZ22" s="750"/>
      <c r="DA22" s="751"/>
      <c r="DB22" s="749"/>
      <c r="DC22" s="749"/>
      <c r="DD22" s="749"/>
      <c r="DE22" s="749"/>
      <c r="DF22" s="749"/>
      <c r="DG22" s="749"/>
      <c r="DH22" s="749"/>
      <c r="DI22" s="749"/>
      <c r="DJ22" s="749"/>
      <c r="DK22" s="749"/>
      <c r="DL22" s="749"/>
      <c r="DM22" s="750"/>
      <c r="DN22" s="751"/>
      <c r="DO22" s="749"/>
      <c r="DP22" s="749"/>
      <c r="DQ22" s="749"/>
      <c r="DR22" s="749"/>
      <c r="DS22" s="749"/>
      <c r="DT22" s="749"/>
      <c r="DU22" s="749"/>
      <c r="DV22" s="749"/>
      <c r="DW22" s="749"/>
      <c r="DX22" s="749"/>
      <c r="DY22" s="749"/>
      <c r="DZ22" s="750"/>
      <c r="EA22" s="751"/>
      <c r="EB22" s="749"/>
      <c r="EC22" s="749"/>
      <c r="ED22" s="749"/>
      <c r="EE22" s="749"/>
      <c r="EF22" s="749"/>
      <c r="EG22" s="749"/>
      <c r="EH22" s="749"/>
      <c r="EI22" s="749"/>
      <c r="EJ22" s="749"/>
      <c r="EK22" s="749"/>
      <c r="EL22" s="749"/>
      <c r="EM22" s="750"/>
      <c r="EN22" s="751"/>
      <c r="EO22" s="749"/>
      <c r="EP22" s="749"/>
      <c r="EQ22" s="749"/>
      <c r="ER22" s="749"/>
      <c r="ES22" s="749"/>
      <c r="ET22" s="749"/>
      <c r="EU22" s="749"/>
      <c r="EV22" s="749"/>
      <c r="EW22" s="749"/>
      <c r="EX22" s="749"/>
      <c r="EY22" s="749"/>
      <c r="EZ22" s="750"/>
      <c r="FA22" s="751"/>
      <c r="FB22"/>
      <c r="FC22"/>
      <c r="FD22"/>
      <c r="FE22"/>
      <c r="FF22"/>
      <c r="FG22"/>
    </row>
    <row r="23" spans="1:163" s="447" customFormat="1" ht="15" customHeight="1" x14ac:dyDescent="0.25">
      <c r="A23" s="733" t="s">
        <v>343</v>
      </c>
      <c r="B23" s="734"/>
      <c r="C23" s="734"/>
      <c r="D23" s="734"/>
      <c r="E23" s="734"/>
      <c r="F23" s="734"/>
      <c r="G23" s="734"/>
      <c r="H23" s="734"/>
      <c r="I23" s="734"/>
      <c r="J23" s="734"/>
      <c r="K23" s="734"/>
      <c r="L23" s="734"/>
      <c r="M23" s="735"/>
      <c r="N23" s="735"/>
      <c r="O23" s="734">
        <f t="shared" ref="O23:O31" si="16">IFERROR(((O7/B7)-1)*100,)</f>
        <v>1.7769050089762262</v>
      </c>
      <c r="P23" s="734">
        <f t="shared" ref="P23:P31" si="17">IFERROR(((P7/C7)-1)*100,)</f>
        <v>-22.411348726162061</v>
      </c>
      <c r="Q23" s="734">
        <f t="shared" ref="Q23:Q31" si="18">IFERROR(((Q7/D7)-1)*100,)</f>
        <v>-22.464683747865632</v>
      </c>
      <c r="R23" s="734">
        <f t="shared" ref="R23:R31" si="19">IFERROR(((R7/E7)-1)*100,)</f>
        <v>-5.730314052828378</v>
      </c>
      <c r="S23" s="734">
        <f t="shared" ref="S23:S31" si="20">IFERROR(((S7/F7)-1)*100,)</f>
        <v>-24.572348478535655</v>
      </c>
      <c r="T23" s="734">
        <f t="shared" ref="T23:T31" si="21">IFERROR(((T7/G7)-1)*100,)</f>
        <v>-48.442566972430193</v>
      </c>
      <c r="U23" s="734">
        <f t="shared" ref="U23:U31" si="22">IFERROR(((U7/H7)-1)*100,)</f>
        <v>-44.111080075060961</v>
      </c>
      <c r="V23" s="734">
        <f t="shared" ref="V23:V31" si="23">IFERROR(((V7/I7)-1)*100,)</f>
        <v>-25.74390268067771</v>
      </c>
      <c r="W23" s="734">
        <f t="shared" ref="W23:W31" si="24">IFERROR(((W7/J7)-1)*100,)</f>
        <v>-46.314672992996464</v>
      </c>
      <c r="X23" s="734">
        <f t="shared" ref="X23:X31" si="25">IFERROR(((X7/K7)-1)*100,)</f>
        <v>-10.845029165501053</v>
      </c>
      <c r="Y23" s="734">
        <f t="shared" ref="Y23:Y31" si="26">IFERROR(((Y7/L7)-1)*100,)</f>
        <v>-32.254584328581501</v>
      </c>
      <c r="Z23" s="735">
        <f t="shared" ref="Z23:Z31" si="27">IFERROR(((Z7/M7)-1)*100,)</f>
        <v>-36.009743549746872</v>
      </c>
      <c r="AA23" s="735">
        <f t="shared" ref="AA23:AA31" si="28">IFERROR(((AA7/N7)-1)*100,)</f>
        <v>-26.917743581725695</v>
      </c>
      <c r="AB23" s="734">
        <f t="shared" ref="AB23:AB31" si="29">IFERROR(((AB7/O7)-1)*100,)</f>
        <v>-34.815363592614254</v>
      </c>
      <c r="AC23" s="734">
        <f t="shared" ref="AC23:AC31" si="30">IFERROR(((AC7/P7)-1)*100,)</f>
        <v>-14.982569158208825</v>
      </c>
      <c r="AD23" s="734">
        <f t="shared" ref="AD23:AD31" si="31">IFERROR(((AD7/Q7)-1)*100,)</f>
        <v>-18.088388103615706</v>
      </c>
      <c r="AE23" s="734">
        <f t="shared" ref="AE23:AE31" si="32">IFERROR(((AE7/R7)-1)*100,)</f>
        <v>-49.235621480594084</v>
      </c>
      <c r="AF23" s="734">
        <f t="shared" ref="AF23:AF31" si="33">IFERROR(((AF7/S7)-1)*100,)</f>
        <v>-35.455337420713221</v>
      </c>
      <c r="AG23" s="734">
        <f t="shared" ref="AG23:AG31" si="34">IFERROR(((AG7/T7)-1)*100,)</f>
        <v>111.04366126315219</v>
      </c>
      <c r="AH23" s="734">
        <f t="shared" ref="AH23:AH31" si="35">IFERROR(((AH7/U7)-1)*100,)</f>
        <v>158.02157499039961</v>
      </c>
      <c r="AI23" s="734">
        <f t="shared" ref="AI23:AI31" si="36">IFERROR(((AI7/V7)-1)*100,)</f>
        <v>61.667176541066368</v>
      </c>
      <c r="AJ23" s="734">
        <f t="shared" ref="AJ23:AJ31" si="37">IFERROR(((AJ7/W7)-1)*100,)</f>
        <v>110.81926386687519</v>
      </c>
      <c r="AK23" s="734">
        <f t="shared" ref="AK23:AK31" si="38">IFERROR(((AK7/X7)-1)*100,)</f>
        <v>71.781447350504052</v>
      </c>
      <c r="AL23" s="734">
        <f t="shared" ref="AL23:AL31" si="39">IFERROR(((AL7/Y7)-1)*100,)</f>
        <v>49.625777372581979</v>
      </c>
      <c r="AM23" s="735">
        <f t="shared" ref="AM23:AM31" si="40">IFERROR(((AM7/Z7)-1)*100,)</f>
        <v>-66.018181444849148</v>
      </c>
      <c r="AN23" s="735">
        <f t="shared" ref="AN23:AN31" si="41">IFERROR(((AN7/AA7)-1)*100,)</f>
        <v>18.871898101397843</v>
      </c>
      <c r="AO23" s="734">
        <f t="shared" ref="AO23:AO31" si="42">IFERROR(((AO7/AB7)-1)*100,)</f>
        <v>-80.383417374724004</v>
      </c>
      <c r="AP23" s="734">
        <f t="shared" ref="AP23:AP31" si="43">IFERROR(((AP7/AC7)-1)*100,)</f>
        <v>-89.186716971140598</v>
      </c>
      <c r="AQ23" s="734">
        <f t="shared" ref="AQ23:AQ31" si="44">IFERROR(((AQ7/AD7)-1)*100,)</f>
        <v>-91.533771478809271</v>
      </c>
      <c r="AR23" s="734">
        <f t="shared" ref="AR23:AR31" si="45">IFERROR(((AR7/AE7)-1)*100,)</f>
        <v>-89.126856359159262</v>
      </c>
      <c r="AS23" s="734">
        <f t="shared" ref="AS23:AS31" si="46">IFERROR(((AS7/AF7)-1)*100,)</f>
        <v>-100</v>
      </c>
      <c r="AT23" s="734">
        <f t="shared" ref="AT23:AT31" si="47">IFERROR(((AT7/AG7)-1)*100,)</f>
        <v>-72.058823398321465</v>
      </c>
      <c r="AU23" s="734">
        <f t="shared" ref="AU23:AU31" si="48">IFERROR(((AU7/AH7)-1)*100,)</f>
        <v>-80.926535073515112</v>
      </c>
      <c r="AV23" s="734">
        <f t="shared" ref="AV23:AV31" si="49">IFERROR(((AV7/AI7)-1)*100,)</f>
        <v>-99.196396247191558</v>
      </c>
      <c r="AW23" s="734">
        <f t="shared" ref="AW23:AW31" si="50">IFERROR(((AW7/AJ7)-1)*100,)</f>
        <v>-99.746999209146836</v>
      </c>
      <c r="AX23" s="734">
        <f t="shared" ref="AX23:AX31" si="51">IFERROR(((AX7/AK7)-1)*100,)</f>
        <v>-100</v>
      </c>
      <c r="AY23" s="734">
        <f t="shared" ref="AY23:AY31" si="52">IFERROR(((AY7/AL7)-1)*100,)</f>
        <v>-100</v>
      </c>
      <c r="AZ23" s="735">
        <f t="shared" ref="AZ23:AZ31" si="53">IFERROR(((AZ7/AM7)-1)*100,)</f>
        <v>-100</v>
      </c>
      <c r="BA23" s="735">
        <f t="shared" ref="BA23:BA31" si="54">IFERROR(((BA7/AN7)-1)*100,)</f>
        <v>-86.732744362754659</v>
      </c>
      <c r="BB23" s="734">
        <f t="shared" ref="BB23:BB31" si="55">IFERROR(((BB7/AO7)-1)*100,)</f>
        <v>-100</v>
      </c>
      <c r="BC23" s="734">
        <f t="shared" ref="BC23:BC31" si="56">IFERROR(((BC7/AP7)-1)*100,)</f>
        <v>-100</v>
      </c>
      <c r="BD23" s="734">
        <f t="shared" ref="BD23:BD31" si="57">IFERROR(((BD7/AQ7)-1)*100,)</f>
        <v>-100</v>
      </c>
      <c r="BE23" s="734">
        <f t="shared" ref="BE23:BE31" si="58">IFERROR(((BE7/AR7)-1)*100,)</f>
        <v>-100</v>
      </c>
      <c r="BF23" s="734">
        <f t="shared" ref="BF23:BF31" si="59">IFERROR(((BF7/AS7)-1)*100,)</f>
        <v>0</v>
      </c>
      <c r="BG23" s="734">
        <f t="shared" ref="BG23:BG31" si="60">IFERROR(((BG7/AT7)-1)*100,)</f>
        <v>-100</v>
      </c>
      <c r="BH23" s="734">
        <f t="shared" ref="BH23:BH31" si="61">IFERROR(((BH7/AU7)-1)*100,)</f>
        <v>-100</v>
      </c>
      <c r="BI23" s="734">
        <f t="shared" ref="BI23:BI31" si="62">IFERROR(((BI7/AV7)-1)*100,)</f>
        <v>-100</v>
      </c>
      <c r="BJ23" s="734">
        <f t="shared" ref="BJ23:BJ31" si="63">IFERROR(((BJ7/AW7)-1)*100,)</f>
        <v>-100</v>
      </c>
      <c r="BK23" s="734">
        <f t="shared" ref="BK23:BK31" si="64">IFERROR(((BK7/AX7)-1)*100,)</f>
        <v>0</v>
      </c>
      <c r="BL23" s="734">
        <f t="shared" ref="BL23:BL31" si="65">IFERROR(((BL7/AY7)-1)*100,)</f>
        <v>0</v>
      </c>
      <c r="BM23" s="735">
        <f t="shared" ref="BM23:BM31" si="66">IFERROR(((BM7/AZ7)-1)*100,)</f>
        <v>0</v>
      </c>
      <c r="BN23" s="735">
        <f t="shared" ref="BN23:BN31" si="67">IFERROR(((BN7/BA7)-1)*100,)</f>
        <v>-100</v>
      </c>
      <c r="BO23" s="734">
        <f t="shared" ref="BO23:BO31" si="68">IFERROR(((BO7/BB7)-1)*100,)</f>
        <v>0</v>
      </c>
      <c r="BP23" s="734">
        <f t="shared" ref="BP23:BP31" si="69">IFERROR(((BP7/BC7)-1)*100,)</f>
        <v>0</v>
      </c>
      <c r="BQ23" s="734">
        <f t="shared" ref="BQ23:BQ31" si="70">IFERROR(((BQ7/BD7)-1)*100,)</f>
        <v>0</v>
      </c>
      <c r="BR23" s="734">
        <f t="shared" ref="BR23:BR31" si="71">IFERROR(((BR7/BE7)-1)*100,)</f>
        <v>0</v>
      </c>
      <c r="BS23" s="734">
        <f t="shared" ref="BS23:BS31" si="72">IFERROR(((BS7/BF7)-1)*100,)</f>
        <v>0</v>
      </c>
      <c r="BT23" s="734">
        <f t="shared" ref="BT23:BT31" si="73">IFERROR(((BT7/BG7)-1)*100,)</f>
        <v>0</v>
      </c>
      <c r="BU23" s="734">
        <f t="shared" ref="BU23:BU31" si="74">IFERROR(((BU7/BH7)-1)*100,)</f>
        <v>0</v>
      </c>
      <c r="BV23" s="734">
        <f t="shared" ref="BV23:BV31" si="75">IFERROR(((BV7/BI7)-1)*100,)</f>
        <v>0</v>
      </c>
      <c r="BW23" s="734">
        <f t="shared" ref="BW23:BW31" si="76">IFERROR(((BW7/BJ7)-1)*100,)</f>
        <v>0</v>
      </c>
      <c r="BX23" s="734">
        <f t="shared" ref="BX23:BX31" si="77">IFERROR(((BX7/BK7)-1)*100,)</f>
        <v>0</v>
      </c>
      <c r="BY23" s="734">
        <f t="shared" ref="BY23:BY31" si="78">IFERROR(((BY7/BL7)-1)*100,)</f>
        <v>0</v>
      </c>
      <c r="BZ23" s="735">
        <f t="shared" ref="BZ23:BZ31" si="79">IFERROR(((BZ7/BM7)-1)*100,)</f>
        <v>0</v>
      </c>
      <c r="CA23" s="735">
        <f t="shared" ref="CA23:CA31" si="80">IFERROR(((CA7/BN7)-1)*100,)</f>
        <v>0</v>
      </c>
      <c r="CB23" s="734">
        <f t="shared" ref="CB23:CB31" si="81">IFERROR(((CB7/BO7)-1)*100,)</f>
        <v>0</v>
      </c>
      <c r="CC23" s="734">
        <f t="shared" ref="CC23:CC31" si="82">IFERROR(((CC7/BP7)-1)*100,)</f>
        <v>0</v>
      </c>
      <c r="CD23" s="734">
        <f t="shared" ref="CD23:CD31" si="83">IFERROR(((CD7/BQ7)-1)*100,)</f>
        <v>0</v>
      </c>
      <c r="CE23" s="734">
        <f t="shared" ref="CE23:CE31" si="84">IFERROR(((CE7/BR7)-1)*100,)</f>
        <v>0</v>
      </c>
      <c r="CF23" s="734">
        <f t="shared" ref="CF23:CF31" si="85">IFERROR(((CF7/BS7)-1)*100,)</f>
        <v>0</v>
      </c>
      <c r="CG23" s="734">
        <f t="shared" ref="CG23:CG31" si="86">IFERROR(((CG7/BT7)-1)*100,)</f>
        <v>0</v>
      </c>
      <c r="CH23" s="734">
        <f t="shared" ref="CH23:CH31" si="87">IFERROR(((CH7/BU7)-1)*100,)</f>
        <v>0</v>
      </c>
      <c r="CI23" s="734">
        <f t="shared" ref="CI23:CI31" si="88">IFERROR(((CI7/BV7)-1)*100,)</f>
        <v>0</v>
      </c>
      <c r="CJ23" s="734">
        <f t="shared" ref="CJ23:CJ31" si="89">IFERROR(((CJ7/BW7)-1)*100,)</f>
        <v>0</v>
      </c>
      <c r="CK23" s="734">
        <f t="shared" ref="CK23:CK31" si="90">IFERROR(((CK7/BX7)-1)*100,)</f>
        <v>0</v>
      </c>
      <c r="CL23" s="734">
        <f t="shared" ref="CL23:CL31" si="91">IFERROR(((CL7/BY7)-1)*100,)</f>
        <v>0</v>
      </c>
      <c r="CM23" s="735">
        <f t="shared" ref="CM23:CM31" si="92">IFERROR(((CM7/BZ7)-1)*100,)</f>
        <v>0</v>
      </c>
      <c r="CN23" s="735">
        <f t="shared" ref="CN23:CN31" si="93">IFERROR(((CN7/CA7)-1)*100,)</f>
        <v>0</v>
      </c>
      <c r="CO23" s="734">
        <f t="shared" ref="CO23:CO31" si="94">IFERROR(((CO7/CB7)-1)*100,)</f>
        <v>0</v>
      </c>
      <c r="CP23" s="734">
        <f t="shared" ref="CP23:CP31" si="95">IFERROR(((CP7/CC7)-1)*100,)</f>
        <v>0</v>
      </c>
      <c r="CQ23" s="734">
        <f t="shared" ref="CQ23:CQ31" si="96">IFERROR(((CQ7/CD7)-1)*100,)</f>
        <v>0</v>
      </c>
      <c r="CR23" s="734">
        <f t="shared" ref="CR23:CR31" si="97">IFERROR(((CR7/CE7)-1)*100,)</f>
        <v>0</v>
      </c>
      <c r="CS23" s="734">
        <f t="shared" ref="CS23:CS31" si="98">IFERROR(((CS7/CF7)-1)*100,)</f>
        <v>0</v>
      </c>
      <c r="CT23" s="734">
        <f t="shared" ref="CT23:CT31" si="99">IFERROR(((CT7/CG7)-1)*100,)</f>
        <v>0</v>
      </c>
      <c r="CU23" s="734">
        <f t="shared" ref="CU23:CU31" si="100">IFERROR(((CU7/CH7)-1)*100,)</f>
        <v>0</v>
      </c>
      <c r="CV23" s="734">
        <f t="shared" ref="CV23:CV31" si="101">IFERROR(((CV7/CI7)-1)*100,)</f>
        <v>0</v>
      </c>
      <c r="CW23" s="734">
        <f t="shared" ref="CW23:CW31" si="102">IFERROR(((CW7/CJ7)-1)*100,)</f>
        <v>0</v>
      </c>
      <c r="CX23" s="734">
        <f t="shared" ref="CX23:CX31" si="103">IFERROR(((CX7/CK7)-1)*100,)</f>
        <v>0</v>
      </c>
      <c r="CY23" s="734">
        <f t="shared" ref="CY23:CY31" si="104">IFERROR(((CY7/CL7)-1)*100,)</f>
        <v>0</v>
      </c>
      <c r="CZ23" s="735">
        <f t="shared" ref="CZ23:CZ31" si="105">IFERROR(((CZ7/CM7)-1)*100,)</f>
        <v>0</v>
      </c>
      <c r="DA23" s="735">
        <f t="shared" ref="DA23:DA31" si="106">IFERROR(((DA7/CN7)-1)*100,)</f>
        <v>0</v>
      </c>
      <c r="DB23" s="734">
        <f t="shared" ref="DB23:DB31" si="107">IFERROR(((DB7/CO7)-1)*100,)</f>
        <v>0</v>
      </c>
      <c r="DC23" s="734">
        <f t="shared" ref="DC23:DC31" si="108">IFERROR(((DC7/CP7)-1)*100,)</f>
        <v>0</v>
      </c>
      <c r="DD23" s="734">
        <f t="shared" ref="DD23:DD31" si="109">IFERROR(((DD7/CQ7)-1)*100,)</f>
        <v>0</v>
      </c>
      <c r="DE23" s="734">
        <f t="shared" ref="DE23:DE31" si="110">IFERROR(((DE7/CR7)-1)*100,)</f>
        <v>0</v>
      </c>
      <c r="DF23" s="734">
        <f t="shared" ref="DF23:DF31" si="111">IFERROR(((DF7/CS7)-1)*100,)</f>
        <v>0</v>
      </c>
      <c r="DG23" s="734">
        <f t="shared" ref="DG23:DG31" si="112">IFERROR(((DG7/CT7)-1)*100,)</f>
        <v>0</v>
      </c>
      <c r="DH23" s="734">
        <f t="shared" ref="DH23:DH31" si="113">IFERROR(((DH7/CU7)-1)*100,)</f>
        <v>0</v>
      </c>
      <c r="DI23" s="734">
        <f t="shared" ref="DI23:DI31" si="114">IFERROR(((DI7/CV7)-1)*100,)</f>
        <v>0</v>
      </c>
      <c r="DJ23" s="734">
        <f t="shared" ref="DJ23:DJ31" si="115">IFERROR(((DJ7/CW7)-1)*100,)</f>
        <v>0</v>
      </c>
      <c r="DK23" s="734">
        <f t="shared" ref="DK23:DK31" si="116">IFERROR(((DK7/CX7)-1)*100,)</f>
        <v>0</v>
      </c>
      <c r="DL23" s="734">
        <f t="shared" ref="DL23:DL31" si="117">IFERROR(((DL7/CY7)-1)*100,)</f>
        <v>0</v>
      </c>
      <c r="DM23" s="735">
        <f t="shared" ref="DM23:DM31" si="118">IFERROR(((DM7/CZ7)-1)*100,)</f>
        <v>0</v>
      </c>
      <c r="DN23" s="735">
        <f t="shared" ref="DN23:DN31" si="119">IFERROR(((DN7/DA7)-1)*100,)</f>
        <v>0</v>
      </c>
      <c r="DO23" s="734">
        <f t="shared" ref="DO23:DO31" si="120">IFERROR(((DO7/DB7)-1)*100,)</f>
        <v>0</v>
      </c>
      <c r="DP23" s="734">
        <f t="shared" ref="DP23:DP31" si="121">IFERROR(((DP7/DC7)-1)*100,)</f>
        <v>0</v>
      </c>
      <c r="DQ23" s="734">
        <f t="shared" ref="DQ23:DQ31" si="122">IFERROR(((DQ7/DD7)-1)*100,)</f>
        <v>0</v>
      </c>
      <c r="DR23" s="734">
        <f t="shared" ref="DR23:DR31" si="123">IFERROR(((DR7/DE7)-1)*100,)</f>
        <v>0</v>
      </c>
      <c r="DS23" s="734">
        <f t="shared" ref="DS23:DS31" si="124">IFERROR(((DS7/DF7)-1)*100,)</f>
        <v>0</v>
      </c>
      <c r="DT23" s="734">
        <f t="shared" ref="DT23:DT31" si="125">IFERROR(((DT7/DG7)-1)*100,)</f>
        <v>0</v>
      </c>
      <c r="DU23" s="734">
        <f t="shared" ref="DU23:DU31" si="126">IFERROR(((DU7/DH7)-1)*100,)</f>
        <v>0</v>
      </c>
      <c r="DV23" s="734">
        <f t="shared" ref="DV23:DV31" si="127">IFERROR(((DV7/DI7)-1)*100,)</f>
        <v>0</v>
      </c>
      <c r="DW23" s="734">
        <f t="shared" ref="DW23:DW31" si="128">IFERROR(((DW7/DJ7)-1)*100,)</f>
        <v>0</v>
      </c>
      <c r="DX23" s="734">
        <f t="shared" ref="DX23:DX31" si="129">IFERROR(((DX7/DK7)-1)*100,)</f>
        <v>0</v>
      </c>
      <c r="DY23" s="734">
        <f t="shared" ref="DY23:DY31" si="130">IFERROR(((DY7/DL7)-1)*100,)</f>
        <v>0</v>
      </c>
      <c r="DZ23" s="735">
        <f t="shared" ref="DZ23:DZ31" si="131">IFERROR(((DZ7/DM7)-1)*100,)</f>
        <v>0</v>
      </c>
      <c r="EA23" s="735">
        <f t="shared" ref="EA23:EA31" si="132">IFERROR(((EA7/DN7)-1)*100,)</f>
        <v>0</v>
      </c>
      <c r="EB23" s="734">
        <f t="shared" ref="EB23:EB24" si="133">IFERROR(((EB7/DB7)-1)*100,)</f>
        <v>0</v>
      </c>
      <c r="EC23" s="734">
        <f t="shared" ref="EC23:EC24" si="134">IFERROR(((EC7/DC7)-1)*100,)</f>
        <v>0</v>
      </c>
      <c r="ED23" s="734">
        <f t="shared" ref="ED23:ED24" si="135">IFERROR(((ED7/DD7)-1)*100,)</f>
        <v>0</v>
      </c>
      <c r="EE23" s="734">
        <f t="shared" ref="EE23:EE24" si="136">IFERROR(((EE7/DE7)-1)*100,)</f>
        <v>0</v>
      </c>
      <c r="EF23" s="734">
        <f t="shared" ref="EF23:EF24" si="137">IFERROR(((EF7/DF7)-1)*100,)</f>
        <v>0</v>
      </c>
      <c r="EG23" s="734">
        <f t="shared" ref="EG23:EG24" si="138">IFERROR(((EG7/DG7)-1)*100,)</f>
        <v>0</v>
      </c>
      <c r="EH23" s="734">
        <f t="shared" ref="EH23:EH24" si="139">IFERROR(((EH7/DH7)-1)*100,)</f>
        <v>0</v>
      </c>
      <c r="EI23" s="734">
        <f t="shared" ref="EI23:EI24" si="140">IFERROR(((EI7/DI7)-1)*100,)</f>
        <v>0</v>
      </c>
      <c r="EJ23" s="734">
        <f t="shared" ref="EJ23:EJ24" si="141">IFERROR(((EJ7/DJ7)-1)*100,)</f>
        <v>0</v>
      </c>
      <c r="EK23" s="734">
        <f t="shared" ref="EK23:EK24" si="142">IFERROR(((EK7/DK7)-1)*100,)</f>
        <v>0</v>
      </c>
      <c r="EL23" s="734">
        <f t="shared" ref="EL23:EL24" si="143">IFERROR(((EL7/DL7)-1)*100,)</f>
        <v>0</v>
      </c>
      <c r="EM23" s="735">
        <f t="shared" ref="EM23:EM24" si="144">IFERROR(((EM7/DM7)-1)*100,)</f>
        <v>0</v>
      </c>
      <c r="EN23" s="735">
        <f t="shared" ref="EN23:EN31" si="145">IFERROR(((EN7/DN7)-1)*100,)</f>
        <v>0</v>
      </c>
      <c r="EO23" s="734">
        <f t="shared" ref="EO23:EO24" si="146">IFERROR(((EO7/DO7)-1)*100,)</f>
        <v>0</v>
      </c>
      <c r="EP23" s="734">
        <f t="shared" ref="EP23:EP24" si="147">IFERROR(((EP7/DP7)-1)*100,)</f>
        <v>0</v>
      </c>
      <c r="EQ23" s="734">
        <f t="shared" ref="EQ23:EQ24" si="148">IFERROR(((EQ7/DQ7)-1)*100,)</f>
        <v>0</v>
      </c>
      <c r="ER23" s="734">
        <f>IFERROR(((ER7/EE7)-1)*100,)</f>
        <v>0</v>
      </c>
      <c r="ES23" s="734">
        <f>IFERROR(((ES7/EF7)-1)*100,)</f>
        <v>0</v>
      </c>
      <c r="ET23" s="734">
        <f>IFERROR(((ET7/EG7)-1)*100,)</f>
        <v>0</v>
      </c>
      <c r="EU23" s="734">
        <f>IFERROR(((EU7/EH7)-1)*100,)</f>
        <v>0</v>
      </c>
      <c r="EV23" s="734">
        <f>IFERROR(((EV7/EI7)-1)*100,)</f>
        <v>0</v>
      </c>
      <c r="EW23" s="734">
        <f t="shared" ref="EW23:EW31" si="149">IFERROR(((EW7/DW7)-1)*100,)</f>
        <v>0</v>
      </c>
      <c r="EX23" s="734">
        <f t="shared" ref="EX23:EX31" si="150">IFERROR(((EX7/DX7)-1)*100,)</f>
        <v>0</v>
      </c>
      <c r="EY23" s="734">
        <f t="shared" ref="EY23:EY31" si="151">IFERROR(((EY7/DY7)-1)*100,)</f>
        <v>0</v>
      </c>
      <c r="EZ23" s="735">
        <f t="shared" ref="EZ23:EZ31" si="152">IFERROR(((EZ7/DZ7)-1)*100,)</f>
        <v>0</v>
      </c>
      <c r="FA23" s="735">
        <f>IFERROR(((FA7/EN7)-1)*100,)</f>
        <v>0</v>
      </c>
      <c r="FB23"/>
      <c r="FC23"/>
      <c r="FD23"/>
      <c r="FE23"/>
      <c r="FF23"/>
      <c r="FG23"/>
    </row>
    <row r="24" spans="1:163" s="447" customFormat="1" ht="15" customHeight="1" x14ac:dyDescent="0.25">
      <c r="A24" s="736" t="s">
        <v>567</v>
      </c>
      <c r="B24" s="737"/>
      <c r="C24" s="737"/>
      <c r="D24" s="737"/>
      <c r="E24" s="737"/>
      <c r="F24" s="737"/>
      <c r="G24" s="737"/>
      <c r="H24" s="737"/>
      <c r="I24" s="737"/>
      <c r="J24" s="737"/>
      <c r="K24" s="737"/>
      <c r="L24" s="737"/>
      <c r="M24" s="738"/>
      <c r="N24" s="739"/>
      <c r="O24" s="737">
        <f t="shared" si="16"/>
        <v>1.7769050089762262</v>
      </c>
      <c r="P24" s="737">
        <f t="shared" si="17"/>
        <v>-22.411348726162061</v>
      </c>
      <c r="Q24" s="737">
        <f t="shared" si="18"/>
        <v>-22.464683747865632</v>
      </c>
      <c r="R24" s="737">
        <f t="shared" si="19"/>
        <v>-5.730314052828378</v>
      </c>
      <c r="S24" s="737">
        <f t="shared" si="20"/>
        <v>-24.572348478535655</v>
      </c>
      <c r="T24" s="737">
        <f t="shared" si="21"/>
        <v>-48.442566972430193</v>
      </c>
      <c r="U24" s="737">
        <f t="shared" si="22"/>
        <v>-44.111080075060961</v>
      </c>
      <c r="V24" s="737">
        <f t="shared" si="23"/>
        <v>-25.74390268067771</v>
      </c>
      <c r="W24" s="737">
        <f t="shared" si="24"/>
        <v>-46.314672992996464</v>
      </c>
      <c r="X24" s="737">
        <f t="shared" si="25"/>
        <v>-10.845029165501053</v>
      </c>
      <c r="Y24" s="737">
        <f t="shared" si="26"/>
        <v>-32.254584328581501</v>
      </c>
      <c r="Z24" s="738">
        <f t="shared" si="27"/>
        <v>-36.009743549746872</v>
      </c>
      <c r="AA24" s="739">
        <f t="shared" si="28"/>
        <v>-26.917743581725695</v>
      </c>
      <c r="AB24" s="737">
        <f t="shared" si="29"/>
        <v>-34.815363592614254</v>
      </c>
      <c r="AC24" s="737">
        <f t="shared" si="30"/>
        <v>-14.982569158208825</v>
      </c>
      <c r="AD24" s="737">
        <f t="shared" si="31"/>
        <v>-18.088388103615706</v>
      </c>
      <c r="AE24" s="737">
        <f t="shared" si="32"/>
        <v>-49.235621480594084</v>
      </c>
      <c r="AF24" s="737">
        <f t="shared" si="33"/>
        <v>-35.455337420713221</v>
      </c>
      <c r="AG24" s="737">
        <f t="shared" si="34"/>
        <v>111.04366126315219</v>
      </c>
      <c r="AH24" s="737">
        <f t="shared" si="35"/>
        <v>158.02157499039961</v>
      </c>
      <c r="AI24" s="737">
        <f t="shared" si="36"/>
        <v>61.667176541066368</v>
      </c>
      <c r="AJ24" s="737">
        <f t="shared" si="37"/>
        <v>110.81926386687519</v>
      </c>
      <c r="AK24" s="737">
        <f t="shared" si="38"/>
        <v>71.781447350504052</v>
      </c>
      <c r="AL24" s="737">
        <f t="shared" si="39"/>
        <v>49.625777372581979</v>
      </c>
      <c r="AM24" s="738">
        <f t="shared" si="40"/>
        <v>-66.018181444849148</v>
      </c>
      <c r="AN24" s="739">
        <f t="shared" si="41"/>
        <v>18.871898101397843</v>
      </c>
      <c r="AO24" s="737">
        <f t="shared" si="42"/>
        <v>-80.383417374724004</v>
      </c>
      <c r="AP24" s="737">
        <f t="shared" si="43"/>
        <v>-89.186716971140598</v>
      </c>
      <c r="AQ24" s="737">
        <f t="shared" si="44"/>
        <v>-91.533771478809271</v>
      </c>
      <c r="AR24" s="737">
        <f t="shared" si="45"/>
        <v>-89.126856359159262</v>
      </c>
      <c r="AS24" s="737">
        <f t="shared" si="46"/>
        <v>-100</v>
      </c>
      <c r="AT24" s="737">
        <f t="shared" si="47"/>
        <v>-72.058823398321465</v>
      </c>
      <c r="AU24" s="737">
        <f t="shared" si="48"/>
        <v>-80.926535073515112</v>
      </c>
      <c r="AV24" s="737">
        <f t="shared" si="49"/>
        <v>-99.196396247191558</v>
      </c>
      <c r="AW24" s="737">
        <f t="shared" si="50"/>
        <v>-99.746999209146836</v>
      </c>
      <c r="AX24" s="737">
        <f t="shared" si="51"/>
        <v>-100</v>
      </c>
      <c r="AY24" s="737">
        <f t="shared" si="52"/>
        <v>-100</v>
      </c>
      <c r="AZ24" s="738">
        <f t="shared" si="53"/>
        <v>-100</v>
      </c>
      <c r="BA24" s="739">
        <f t="shared" si="54"/>
        <v>-86.732744362754659</v>
      </c>
      <c r="BB24" s="737">
        <f t="shared" si="55"/>
        <v>-100</v>
      </c>
      <c r="BC24" s="737">
        <f t="shared" si="56"/>
        <v>-100</v>
      </c>
      <c r="BD24" s="737">
        <f t="shared" si="57"/>
        <v>-100</v>
      </c>
      <c r="BE24" s="737">
        <f t="shared" si="58"/>
        <v>-100</v>
      </c>
      <c r="BF24" s="737">
        <f t="shared" si="59"/>
        <v>0</v>
      </c>
      <c r="BG24" s="737">
        <f t="shared" si="60"/>
        <v>-100</v>
      </c>
      <c r="BH24" s="737">
        <f t="shared" si="61"/>
        <v>-100</v>
      </c>
      <c r="BI24" s="737">
        <f t="shared" si="62"/>
        <v>-100</v>
      </c>
      <c r="BJ24" s="737">
        <f t="shared" si="63"/>
        <v>-100</v>
      </c>
      <c r="BK24" s="737">
        <f t="shared" si="64"/>
        <v>0</v>
      </c>
      <c r="BL24" s="737">
        <f t="shared" si="65"/>
        <v>0</v>
      </c>
      <c r="BM24" s="738">
        <f t="shared" si="66"/>
        <v>0</v>
      </c>
      <c r="BN24" s="739">
        <f t="shared" si="67"/>
        <v>-100</v>
      </c>
      <c r="BO24" s="737">
        <f t="shared" si="68"/>
        <v>0</v>
      </c>
      <c r="BP24" s="737">
        <f t="shared" si="69"/>
        <v>0</v>
      </c>
      <c r="BQ24" s="737">
        <f t="shared" si="70"/>
        <v>0</v>
      </c>
      <c r="BR24" s="737">
        <f t="shared" si="71"/>
        <v>0</v>
      </c>
      <c r="BS24" s="737">
        <f t="shared" si="72"/>
        <v>0</v>
      </c>
      <c r="BT24" s="737">
        <f t="shared" si="73"/>
        <v>0</v>
      </c>
      <c r="BU24" s="737">
        <f t="shared" si="74"/>
        <v>0</v>
      </c>
      <c r="BV24" s="737">
        <f t="shared" si="75"/>
        <v>0</v>
      </c>
      <c r="BW24" s="737">
        <f t="shared" si="76"/>
        <v>0</v>
      </c>
      <c r="BX24" s="737">
        <f t="shared" si="77"/>
        <v>0</v>
      </c>
      <c r="BY24" s="737">
        <f t="shared" si="78"/>
        <v>0</v>
      </c>
      <c r="BZ24" s="738">
        <f t="shared" si="79"/>
        <v>0</v>
      </c>
      <c r="CA24" s="739">
        <f t="shared" si="80"/>
        <v>0</v>
      </c>
      <c r="CB24" s="737">
        <f t="shared" si="81"/>
        <v>0</v>
      </c>
      <c r="CC24" s="737">
        <f t="shared" si="82"/>
        <v>0</v>
      </c>
      <c r="CD24" s="737">
        <f t="shared" si="83"/>
        <v>0</v>
      </c>
      <c r="CE24" s="737">
        <f t="shared" si="84"/>
        <v>0</v>
      </c>
      <c r="CF24" s="737">
        <f t="shared" si="85"/>
        <v>0</v>
      </c>
      <c r="CG24" s="737">
        <f t="shared" si="86"/>
        <v>0</v>
      </c>
      <c r="CH24" s="737">
        <f t="shared" si="87"/>
        <v>0</v>
      </c>
      <c r="CI24" s="737">
        <f t="shared" si="88"/>
        <v>0</v>
      </c>
      <c r="CJ24" s="737">
        <f t="shared" si="89"/>
        <v>0</v>
      </c>
      <c r="CK24" s="737">
        <f t="shared" si="90"/>
        <v>0</v>
      </c>
      <c r="CL24" s="737">
        <f t="shared" si="91"/>
        <v>0</v>
      </c>
      <c r="CM24" s="738">
        <f t="shared" si="92"/>
        <v>0</v>
      </c>
      <c r="CN24" s="739">
        <f t="shared" si="93"/>
        <v>0</v>
      </c>
      <c r="CO24" s="737">
        <f t="shared" si="94"/>
        <v>0</v>
      </c>
      <c r="CP24" s="737">
        <f t="shared" si="95"/>
        <v>0</v>
      </c>
      <c r="CQ24" s="737">
        <f t="shared" si="96"/>
        <v>0</v>
      </c>
      <c r="CR24" s="737">
        <f t="shared" si="97"/>
        <v>0</v>
      </c>
      <c r="CS24" s="737">
        <f t="shared" si="98"/>
        <v>0</v>
      </c>
      <c r="CT24" s="737">
        <f t="shared" si="99"/>
        <v>0</v>
      </c>
      <c r="CU24" s="737">
        <f t="shared" si="100"/>
        <v>0</v>
      </c>
      <c r="CV24" s="737">
        <f t="shared" si="101"/>
        <v>0</v>
      </c>
      <c r="CW24" s="737">
        <f t="shared" si="102"/>
        <v>0</v>
      </c>
      <c r="CX24" s="737">
        <f t="shared" si="103"/>
        <v>0</v>
      </c>
      <c r="CY24" s="737">
        <f t="shared" si="104"/>
        <v>0</v>
      </c>
      <c r="CZ24" s="738">
        <f t="shared" si="105"/>
        <v>0</v>
      </c>
      <c r="DA24" s="739">
        <f t="shared" si="106"/>
        <v>0</v>
      </c>
      <c r="DB24" s="737">
        <f t="shared" si="107"/>
        <v>0</v>
      </c>
      <c r="DC24" s="737">
        <f t="shared" si="108"/>
        <v>0</v>
      </c>
      <c r="DD24" s="737">
        <f t="shared" si="109"/>
        <v>0</v>
      </c>
      <c r="DE24" s="737">
        <f t="shared" si="110"/>
        <v>0</v>
      </c>
      <c r="DF24" s="737">
        <f t="shared" si="111"/>
        <v>0</v>
      </c>
      <c r="DG24" s="737">
        <f t="shared" si="112"/>
        <v>0</v>
      </c>
      <c r="DH24" s="737">
        <f t="shared" si="113"/>
        <v>0</v>
      </c>
      <c r="DI24" s="737">
        <f t="shared" si="114"/>
        <v>0</v>
      </c>
      <c r="DJ24" s="737">
        <f t="shared" si="115"/>
        <v>0</v>
      </c>
      <c r="DK24" s="737">
        <f t="shared" si="116"/>
        <v>0</v>
      </c>
      <c r="DL24" s="737">
        <f t="shared" si="117"/>
        <v>0</v>
      </c>
      <c r="DM24" s="738">
        <f t="shared" si="118"/>
        <v>0</v>
      </c>
      <c r="DN24" s="739">
        <f t="shared" si="119"/>
        <v>0</v>
      </c>
      <c r="DO24" s="737">
        <f t="shared" si="120"/>
        <v>0</v>
      </c>
      <c r="DP24" s="737">
        <f t="shared" si="121"/>
        <v>0</v>
      </c>
      <c r="DQ24" s="737">
        <f t="shared" si="122"/>
        <v>0</v>
      </c>
      <c r="DR24" s="737">
        <f t="shared" si="123"/>
        <v>0</v>
      </c>
      <c r="DS24" s="737">
        <f t="shared" si="124"/>
        <v>0</v>
      </c>
      <c r="DT24" s="737">
        <f t="shared" si="125"/>
        <v>0</v>
      </c>
      <c r="DU24" s="737">
        <f t="shared" si="126"/>
        <v>0</v>
      </c>
      <c r="DV24" s="737">
        <f t="shared" si="127"/>
        <v>0</v>
      </c>
      <c r="DW24" s="737">
        <f t="shared" si="128"/>
        <v>0</v>
      </c>
      <c r="DX24" s="737">
        <f t="shared" si="129"/>
        <v>0</v>
      </c>
      <c r="DY24" s="737">
        <f t="shared" si="130"/>
        <v>0</v>
      </c>
      <c r="DZ24" s="738">
        <f t="shared" si="131"/>
        <v>0</v>
      </c>
      <c r="EA24" s="739">
        <f t="shared" si="132"/>
        <v>0</v>
      </c>
      <c r="EB24" s="737">
        <f t="shared" si="133"/>
        <v>0</v>
      </c>
      <c r="EC24" s="737">
        <f t="shared" si="134"/>
        <v>0</v>
      </c>
      <c r="ED24" s="737">
        <f t="shared" si="135"/>
        <v>0</v>
      </c>
      <c r="EE24" s="737">
        <f t="shared" si="136"/>
        <v>0</v>
      </c>
      <c r="EF24" s="737">
        <f t="shared" si="137"/>
        <v>0</v>
      </c>
      <c r="EG24" s="737">
        <f t="shared" si="138"/>
        <v>0</v>
      </c>
      <c r="EH24" s="737">
        <f t="shared" si="139"/>
        <v>0</v>
      </c>
      <c r="EI24" s="737">
        <f t="shared" si="140"/>
        <v>0</v>
      </c>
      <c r="EJ24" s="737">
        <f t="shared" si="141"/>
        <v>0</v>
      </c>
      <c r="EK24" s="737">
        <f t="shared" si="142"/>
        <v>0</v>
      </c>
      <c r="EL24" s="737">
        <f t="shared" si="143"/>
        <v>0</v>
      </c>
      <c r="EM24" s="738">
        <f t="shared" si="144"/>
        <v>0</v>
      </c>
      <c r="EN24" s="739">
        <f t="shared" si="145"/>
        <v>0</v>
      </c>
      <c r="EO24" s="737">
        <f t="shared" si="146"/>
        <v>0</v>
      </c>
      <c r="EP24" s="737">
        <f t="shared" si="147"/>
        <v>0</v>
      </c>
      <c r="EQ24" s="737">
        <f t="shared" si="148"/>
        <v>0</v>
      </c>
      <c r="ER24" s="737">
        <f t="shared" ref="ER24:ER32" si="153">IFERROR(((ER8/EE8)-1)*100,)</f>
        <v>0</v>
      </c>
      <c r="ES24" s="737">
        <f t="shared" ref="ES24:ES32" si="154">IFERROR(((ES8/EF8)-1)*100,)</f>
        <v>0</v>
      </c>
      <c r="ET24" s="737">
        <f>IFERROR(((ET8/EG8)-1)*100,)</f>
        <v>0</v>
      </c>
      <c r="EU24" s="737">
        <f t="shared" ref="EU24:EU33" si="155">IFERROR(((EU8/EH8)-1)*100,)</f>
        <v>0</v>
      </c>
      <c r="EV24" s="737">
        <f t="shared" ref="EV24:EV33" si="156">IFERROR(((EV8/EI8)-1)*100,)</f>
        <v>0</v>
      </c>
      <c r="EW24" s="737">
        <f t="shared" si="149"/>
        <v>0</v>
      </c>
      <c r="EX24" s="737">
        <f t="shared" si="150"/>
        <v>0</v>
      </c>
      <c r="EY24" s="737">
        <f t="shared" si="151"/>
        <v>0</v>
      </c>
      <c r="EZ24" s="738">
        <f t="shared" si="152"/>
        <v>0</v>
      </c>
      <c r="FA24" s="739">
        <f t="shared" ref="FA24:FA33" si="157">IFERROR(((FA8/EN8)-1)*100,)</f>
        <v>0</v>
      </c>
      <c r="FB24"/>
      <c r="FC24"/>
      <c r="FD24"/>
      <c r="FE24"/>
      <c r="FF24"/>
      <c r="FG24"/>
    </row>
    <row r="25" spans="1:163" s="447" customFormat="1" ht="15" customHeight="1" x14ac:dyDescent="0.25">
      <c r="A25" s="733" t="s">
        <v>344</v>
      </c>
      <c r="B25" s="734"/>
      <c r="C25" s="734"/>
      <c r="D25" s="734"/>
      <c r="E25" s="734"/>
      <c r="F25" s="734"/>
      <c r="G25" s="734"/>
      <c r="H25" s="734"/>
      <c r="I25" s="734"/>
      <c r="J25" s="734"/>
      <c r="K25" s="734"/>
      <c r="L25" s="734"/>
      <c r="M25" s="735"/>
      <c r="N25" s="735"/>
      <c r="O25" s="734">
        <f t="shared" si="16"/>
        <v>20.620795037664873</v>
      </c>
      <c r="P25" s="734">
        <f t="shared" si="17"/>
        <v>21.938681883995237</v>
      </c>
      <c r="Q25" s="734">
        <f t="shared" si="18"/>
        <v>1.0168318592622683</v>
      </c>
      <c r="R25" s="734">
        <f t="shared" si="19"/>
        <v>9.3700700641110792</v>
      </c>
      <c r="S25" s="734">
        <f t="shared" si="20"/>
        <v>25.996924261101118</v>
      </c>
      <c r="T25" s="734">
        <f t="shared" si="21"/>
        <v>14.24347948889646</v>
      </c>
      <c r="U25" s="734">
        <f t="shared" si="22"/>
        <v>4.2402891816061272</v>
      </c>
      <c r="V25" s="734">
        <f t="shared" si="23"/>
        <v>15.057499061873457</v>
      </c>
      <c r="W25" s="734">
        <f t="shared" si="24"/>
        <v>19.141449195903949</v>
      </c>
      <c r="X25" s="734">
        <f t="shared" si="25"/>
        <v>-0.38611155839525235</v>
      </c>
      <c r="Y25" s="734">
        <f t="shared" si="26"/>
        <v>-0.20390410347822518</v>
      </c>
      <c r="Z25" s="735">
        <f t="shared" si="27"/>
        <v>6.4530364621091074</v>
      </c>
      <c r="AA25" s="735">
        <f t="shared" si="28"/>
        <v>10.826242816980125</v>
      </c>
      <c r="AB25" s="734">
        <f t="shared" si="29"/>
        <v>-7.2533588888104905</v>
      </c>
      <c r="AC25" s="734">
        <f t="shared" si="30"/>
        <v>2.9248808784685387</v>
      </c>
      <c r="AD25" s="734">
        <f t="shared" si="31"/>
        <v>5.6772811242454813</v>
      </c>
      <c r="AE25" s="734">
        <f t="shared" si="32"/>
        <v>-3.2219639752186446</v>
      </c>
      <c r="AF25" s="734">
        <f t="shared" si="33"/>
        <v>4.6268575915014321</v>
      </c>
      <c r="AG25" s="734">
        <f t="shared" si="34"/>
        <v>6.6074884117758526</v>
      </c>
      <c r="AH25" s="734">
        <f t="shared" si="35"/>
        <v>3.4652904591471856</v>
      </c>
      <c r="AI25" s="734">
        <f t="shared" si="36"/>
        <v>13.396572763620052</v>
      </c>
      <c r="AJ25" s="734">
        <f t="shared" si="37"/>
        <v>4.5587970309592274</v>
      </c>
      <c r="AK25" s="734">
        <f t="shared" si="38"/>
        <v>13.501428132909265</v>
      </c>
      <c r="AL25" s="734">
        <f t="shared" si="39"/>
        <v>15.888751204206674</v>
      </c>
      <c r="AM25" s="735">
        <f t="shared" si="40"/>
        <v>13.301078648699161</v>
      </c>
      <c r="AN25" s="735">
        <f t="shared" si="41"/>
        <v>6.4252909123789337</v>
      </c>
      <c r="AO25" s="734">
        <f t="shared" si="42"/>
        <v>32.527900043362678</v>
      </c>
      <c r="AP25" s="734">
        <f t="shared" si="43"/>
        <v>5.7092005291782266</v>
      </c>
      <c r="AQ25" s="734">
        <f t="shared" si="44"/>
        <v>3.7185362155194301</v>
      </c>
      <c r="AR25" s="734">
        <f t="shared" si="45"/>
        <v>29.326610715234459</v>
      </c>
      <c r="AS25" s="734">
        <f t="shared" si="46"/>
        <v>1.9616457292330081</v>
      </c>
      <c r="AT25" s="734">
        <f t="shared" si="47"/>
        <v>6.7122762156298643</v>
      </c>
      <c r="AU25" s="734">
        <f t="shared" si="48"/>
        <v>13.061088144011279</v>
      </c>
      <c r="AV25" s="734">
        <f t="shared" si="49"/>
        <v>12.419674147214653</v>
      </c>
      <c r="AW25" s="734">
        <f t="shared" si="50"/>
        <v>-1.1424423631012592</v>
      </c>
      <c r="AX25" s="734">
        <f t="shared" si="51"/>
        <v>4.1950384730064849</v>
      </c>
      <c r="AY25" s="734">
        <f t="shared" si="52"/>
        <v>-2.0530802564530548</v>
      </c>
      <c r="AZ25" s="735">
        <f t="shared" si="53"/>
        <v>23.420587666949967</v>
      </c>
      <c r="BA25" s="735">
        <f t="shared" si="54"/>
        <v>10.047405519671827</v>
      </c>
      <c r="BB25" s="734">
        <f t="shared" si="55"/>
        <v>17.358425723746286</v>
      </c>
      <c r="BC25" s="734">
        <f t="shared" si="56"/>
        <v>5.974755020621636</v>
      </c>
      <c r="BD25" s="734">
        <f t="shared" si="57"/>
        <v>17.577814219368193</v>
      </c>
      <c r="BE25" s="734">
        <f t="shared" si="58"/>
        <v>13.53176658319104</v>
      </c>
      <c r="BF25" s="734">
        <f t="shared" si="59"/>
        <v>-18.460272580085125</v>
      </c>
      <c r="BG25" s="734">
        <f t="shared" si="60"/>
        <v>-5.2089903786662894</v>
      </c>
      <c r="BH25" s="734">
        <f t="shared" si="61"/>
        <v>-8.6985756281796167</v>
      </c>
      <c r="BI25" s="734">
        <f t="shared" si="62"/>
        <v>-28.740848023067521</v>
      </c>
      <c r="BJ25" s="734">
        <f t="shared" si="63"/>
        <v>4.5567259365541846</v>
      </c>
      <c r="BK25" s="734">
        <f t="shared" si="64"/>
        <v>-10.554246999179339</v>
      </c>
      <c r="BL25" s="734">
        <f t="shared" si="65"/>
        <v>-11.363569589053091</v>
      </c>
      <c r="BM25" s="735">
        <f t="shared" si="66"/>
        <v>-23.936687524579238</v>
      </c>
      <c r="BN25" s="735">
        <f t="shared" si="67"/>
        <v>-5.2851416255700894</v>
      </c>
      <c r="BO25" s="734">
        <f t="shared" si="68"/>
        <v>4.905696144750471</v>
      </c>
      <c r="BP25" s="734">
        <f t="shared" si="69"/>
        <v>12.238166054776855</v>
      </c>
      <c r="BQ25" s="734">
        <f t="shared" si="70"/>
        <v>-24.876741888038513</v>
      </c>
      <c r="BR25" s="734">
        <f t="shared" si="71"/>
        <v>-95.011183417936536</v>
      </c>
      <c r="BS25" s="734">
        <f t="shared" si="72"/>
        <v>-82.712268689198922</v>
      </c>
      <c r="BT25" s="734">
        <f t="shared" si="73"/>
        <v>-4.0007697624425571</v>
      </c>
      <c r="BU25" s="734">
        <f t="shared" si="74"/>
        <v>32.648948789120034</v>
      </c>
      <c r="BV25" s="734">
        <f t="shared" si="75"/>
        <v>60.818540316337824</v>
      </c>
      <c r="BW25" s="734">
        <f t="shared" si="76"/>
        <v>26.989048822078754</v>
      </c>
      <c r="BX25" s="734">
        <f t="shared" si="77"/>
        <v>27.669873427434855</v>
      </c>
      <c r="BY25" s="734">
        <f t="shared" si="78"/>
        <v>32.316860469176191</v>
      </c>
      <c r="BZ25" s="735">
        <f t="shared" si="79"/>
        <v>44.571891006232022</v>
      </c>
      <c r="CA25" s="735">
        <f t="shared" si="80"/>
        <v>1.9205211792532983</v>
      </c>
      <c r="CB25" s="734">
        <f t="shared" si="81"/>
        <v>30.314565681242378</v>
      </c>
      <c r="CC25" s="734">
        <f t="shared" si="82"/>
        <v>62.739893126523704</v>
      </c>
      <c r="CD25" s="734">
        <f t="shared" si="83"/>
        <v>51.850955103922949</v>
      </c>
      <c r="CE25" s="734">
        <f t="shared" si="84"/>
        <v>1798.4896386914795</v>
      </c>
      <c r="CF25" s="734">
        <f t="shared" si="85"/>
        <v>593.07418533523764</v>
      </c>
      <c r="CG25" s="734">
        <f t="shared" si="86"/>
        <v>20.757575508063788</v>
      </c>
      <c r="CH25" s="734">
        <f t="shared" si="87"/>
        <v>4.5097754115869026</v>
      </c>
      <c r="CI25" s="734">
        <f t="shared" si="88"/>
        <v>-8.8807991070306453</v>
      </c>
      <c r="CJ25" s="734">
        <f t="shared" si="89"/>
        <v>-0.46911917220128219</v>
      </c>
      <c r="CK25" s="734">
        <f t="shared" si="90"/>
        <v>11.522828727272572</v>
      </c>
      <c r="CL25" s="734">
        <f t="shared" si="91"/>
        <v>6.5373498294421628</v>
      </c>
      <c r="CM25" s="735">
        <f t="shared" si="92"/>
        <v>-15.360913502045847</v>
      </c>
      <c r="CN25" s="735">
        <f t="shared" si="93"/>
        <v>28.463864425338613</v>
      </c>
      <c r="CO25" s="734">
        <f t="shared" si="94"/>
        <v>-30.158464971613174</v>
      </c>
      <c r="CP25" s="734">
        <f t="shared" si="95"/>
        <v>-49.33622769422481</v>
      </c>
      <c r="CQ25" s="734">
        <f t="shared" si="96"/>
        <v>3.8876337012139217E-2</v>
      </c>
      <c r="CR25" s="734">
        <f t="shared" si="97"/>
        <v>7.953469543014946</v>
      </c>
      <c r="CS25" s="734">
        <f t="shared" si="98"/>
        <v>24.506057714376752</v>
      </c>
      <c r="CT25" s="734">
        <f t="shared" si="99"/>
        <v>11.187291721571935</v>
      </c>
      <c r="CU25" s="734">
        <f t="shared" si="100"/>
        <v>-12.692913440161302</v>
      </c>
      <c r="CV25" s="734">
        <f t="shared" si="101"/>
        <v>37.078995671732343</v>
      </c>
      <c r="CW25" s="734">
        <f t="shared" si="102"/>
        <v>-1.4574281793417798</v>
      </c>
      <c r="CX25" s="734">
        <f t="shared" si="103"/>
        <v>-14.692422427140317</v>
      </c>
      <c r="CY25" s="734">
        <f t="shared" si="104"/>
        <v>-10.69604349658576</v>
      </c>
      <c r="CZ25" s="735">
        <f t="shared" si="105"/>
        <v>-9.2618327640964342</v>
      </c>
      <c r="DA25" s="735">
        <f t="shared" si="106"/>
        <v>-6.7378054293714351</v>
      </c>
      <c r="DB25" s="734">
        <f t="shared" si="107"/>
        <v>-12.282734679231734</v>
      </c>
      <c r="DC25" s="734">
        <f t="shared" si="108"/>
        <v>35.801892870495379</v>
      </c>
      <c r="DD25" s="734">
        <f t="shared" si="109"/>
        <v>28.395455134408842</v>
      </c>
      <c r="DE25" s="734">
        <f t="shared" si="110"/>
        <v>-20.534105700497165</v>
      </c>
      <c r="DF25" s="734">
        <f t="shared" si="111"/>
        <v>-26.848641376799755</v>
      </c>
      <c r="DG25" s="734">
        <f t="shared" si="112"/>
        <v>-31.083168032797779</v>
      </c>
      <c r="DH25" s="734">
        <f t="shared" si="113"/>
        <v>-10.739356249056698</v>
      </c>
      <c r="DI25" s="734">
        <f t="shared" si="114"/>
        <v>-44.061651260747823</v>
      </c>
      <c r="DJ25" s="734">
        <f t="shared" si="115"/>
        <v>-50.48361724914708</v>
      </c>
      <c r="DK25" s="734">
        <f t="shared" si="116"/>
        <v>-15.946506931272243</v>
      </c>
      <c r="DL25" s="734">
        <f t="shared" si="117"/>
        <v>-7.8244576470970939</v>
      </c>
      <c r="DM25" s="735">
        <f t="shared" si="118"/>
        <v>-6.1690438634094624</v>
      </c>
      <c r="DN25" s="735">
        <f t="shared" si="119"/>
        <v>-16.331016390816288</v>
      </c>
      <c r="DO25" s="734">
        <f t="shared" si="120"/>
        <v>-19.542111605683321</v>
      </c>
      <c r="DP25" s="734">
        <f t="shared" si="121"/>
        <v>-37.756147585651824</v>
      </c>
      <c r="DQ25" s="734">
        <f t="shared" si="122"/>
        <v>-30.389675783540003</v>
      </c>
      <c r="DR25" s="734">
        <f t="shared" si="123"/>
        <v>-10.650782792101744</v>
      </c>
      <c r="DS25" s="734">
        <f t="shared" si="124"/>
        <v>-10.986046461393483</v>
      </c>
      <c r="DT25" s="734">
        <f t="shared" si="125"/>
        <v>-10.872354478977197</v>
      </c>
      <c r="DU25" s="734">
        <f t="shared" si="126"/>
        <v>-8.6824072100246568</v>
      </c>
      <c r="DV25" s="734">
        <f t="shared" si="127"/>
        <v>4.9818043313513805</v>
      </c>
      <c r="DW25" s="734">
        <f t="shared" si="128"/>
        <v>50.832819699817748</v>
      </c>
      <c r="DX25" s="734">
        <f t="shared" si="129"/>
        <v>-3.5254192308947663</v>
      </c>
      <c r="DY25" s="734">
        <f t="shared" si="130"/>
        <v>-15.997760380939285</v>
      </c>
      <c r="DZ25" s="735">
        <f t="shared" si="131"/>
        <v>-9.0594933063137937</v>
      </c>
      <c r="EA25" s="735">
        <f t="shared" si="132"/>
        <v>-11.520710303065984</v>
      </c>
      <c r="EB25" s="734">
        <f t="shared" ref="EB25:EM25" si="158">IFERROR(((EB9/DO9)-1)*100,)</f>
        <v>14.984798112090992</v>
      </c>
      <c r="EC25" s="734">
        <f t="shared" si="158"/>
        <v>22.164473682152753</v>
      </c>
      <c r="ED25" s="734">
        <f t="shared" si="158"/>
        <v>-18.586291532646015</v>
      </c>
      <c r="EE25" s="734">
        <f t="shared" si="158"/>
        <v>13.324469940009575</v>
      </c>
      <c r="EF25" s="734">
        <f t="shared" si="158"/>
        <v>17.2073218751041</v>
      </c>
      <c r="EG25" s="734">
        <f t="shared" si="158"/>
        <v>15.885861660329748</v>
      </c>
      <c r="EH25" s="734">
        <f t="shared" si="158"/>
        <v>2.66350957667989</v>
      </c>
      <c r="EI25" s="734">
        <f t="shared" si="158"/>
        <v>-6.2304164353167879</v>
      </c>
      <c r="EJ25" s="734">
        <f t="shared" si="158"/>
        <v>-6.074513220726752</v>
      </c>
      <c r="EK25" s="734">
        <f t="shared" si="158"/>
        <v>-1.0851304066462064</v>
      </c>
      <c r="EL25" s="734">
        <f t="shared" si="158"/>
        <v>-5.9857596767016297</v>
      </c>
      <c r="EM25" s="735">
        <f t="shared" si="158"/>
        <v>22.911986366638605</v>
      </c>
      <c r="EN25" s="735">
        <f t="shared" si="145"/>
        <v>-7.2692235034581332</v>
      </c>
      <c r="EO25" s="734">
        <f>IFERROR(((EO9/EB9)-1)*100,)</f>
        <v>-16.119876102087705</v>
      </c>
      <c r="EP25" s="734">
        <f>IFERROR(((EP9/EC9)-1)*100,)</f>
        <v>-9.9610483934003629</v>
      </c>
      <c r="EQ25" s="734">
        <f>IFERROR(((EQ9/ED9)-1)*100,)</f>
        <v>13.873942927500217</v>
      </c>
      <c r="ER25" s="734">
        <f t="shared" si="153"/>
        <v>-10.077384954766423</v>
      </c>
      <c r="ES25" s="734">
        <f t="shared" si="154"/>
        <v>-9.0803145375243801</v>
      </c>
      <c r="ET25" s="734">
        <f t="shared" ref="ET25:ET31" si="159">IFERROR(((ET9/EG9)-1)*100,)</f>
        <v>-0.46506054664839924</v>
      </c>
      <c r="EU25" s="734">
        <f t="shared" si="155"/>
        <v>-1.297203645025613</v>
      </c>
      <c r="EV25" s="734">
        <f t="shared" si="156"/>
        <v>-3.8730752470132024</v>
      </c>
      <c r="EW25" s="734">
        <f t="shared" si="149"/>
        <v>-100</v>
      </c>
      <c r="EX25" s="734">
        <f t="shared" si="150"/>
        <v>-100</v>
      </c>
      <c r="EY25" s="734">
        <f t="shared" si="151"/>
        <v>-100</v>
      </c>
      <c r="EZ25" s="735">
        <f t="shared" si="152"/>
        <v>-100</v>
      </c>
      <c r="FA25" s="735">
        <f>IFERROR(((FA9/EN9)-1)*100,)</f>
        <v>-6.9464292222935597</v>
      </c>
      <c r="FB25"/>
      <c r="FC25"/>
      <c r="FD25"/>
      <c r="FE25"/>
      <c r="FF25"/>
      <c r="FG25"/>
    </row>
    <row r="26" spans="1:163" s="447" customFormat="1" ht="15" customHeight="1" x14ac:dyDescent="0.25">
      <c r="A26" s="736" t="s">
        <v>568</v>
      </c>
      <c r="B26" s="737"/>
      <c r="C26" s="737"/>
      <c r="D26" s="737"/>
      <c r="E26" s="737"/>
      <c r="F26" s="737"/>
      <c r="G26" s="737"/>
      <c r="H26" s="737"/>
      <c r="I26" s="737"/>
      <c r="J26" s="737"/>
      <c r="K26" s="737"/>
      <c r="L26" s="737"/>
      <c r="M26" s="738"/>
      <c r="N26" s="739"/>
      <c r="O26" s="737">
        <f t="shared" si="16"/>
        <v>19.666852144575621</v>
      </c>
      <c r="P26" s="737">
        <f t="shared" si="17"/>
        <v>27.00831259213674</v>
      </c>
      <c r="Q26" s="737">
        <f t="shared" si="18"/>
        <v>3.6015213740323571</v>
      </c>
      <c r="R26" s="737">
        <f t="shared" si="19"/>
        <v>12.361108072158068</v>
      </c>
      <c r="S26" s="737">
        <f t="shared" si="20"/>
        <v>33.904923783772148</v>
      </c>
      <c r="T26" s="737">
        <f t="shared" si="21"/>
        <v>22.361629949916285</v>
      </c>
      <c r="U26" s="737">
        <f t="shared" si="22"/>
        <v>6.8826338280042032</v>
      </c>
      <c r="V26" s="737">
        <f t="shared" si="23"/>
        <v>19.880449540917123</v>
      </c>
      <c r="W26" s="737">
        <f t="shared" si="24"/>
        <v>27.999329616169355</v>
      </c>
      <c r="X26" s="737">
        <f t="shared" si="25"/>
        <v>5.8420765350439163</v>
      </c>
      <c r="Y26" s="737">
        <f t="shared" si="26"/>
        <v>1.949547148122055</v>
      </c>
      <c r="Z26" s="738">
        <f t="shared" si="27"/>
        <v>8.5493761390093006</v>
      </c>
      <c r="AA26" s="739">
        <f t="shared" si="28"/>
        <v>15.181783573118279</v>
      </c>
      <c r="AB26" s="737">
        <f t="shared" si="29"/>
        <v>-5.8722604917367143</v>
      </c>
      <c r="AC26" s="737">
        <f t="shared" si="30"/>
        <v>0.52798195611551968</v>
      </c>
      <c r="AD26" s="737">
        <f t="shared" si="31"/>
        <v>2.8432024883048301</v>
      </c>
      <c r="AE26" s="737">
        <f t="shared" si="32"/>
        <v>-1.3994577832685318</v>
      </c>
      <c r="AF26" s="737">
        <f t="shared" si="33"/>
        <v>3.1139487047425529</v>
      </c>
      <c r="AG26" s="737">
        <f t="shared" si="34"/>
        <v>5.020825527181394</v>
      </c>
      <c r="AH26" s="737">
        <f t="shared" si="35"/>
        <v>5.2988040439379214</v>
      </c>
      <c r="AI26" s="737">
        <f t="shared" si="36"/>
        <v>8.9673505369806783</v>
      </c>
      <c r="AJ26" s="737">
        <f t="shared" si="37"/>
        <v>-6.7658400702135584</v>
      </c>
      <c r="AK26" s="737">
        <f t="shared" si="38"/>
        <v>2.7375368499217956</v>
      </c>
      <c r="AL26" s="737">
        <f t="shared" si="39"/>
        <v>5.3346407300195242</v>
      </c>
      <c r="AM26" s="738">
        <f t="shared" si="40"/>
        <v>0.90911189252378399</v>
      </c>
      <c r="AN26" s="739">
        <f t="shared" si="41"/>
        <v>1.8236571407212132</v>
      </c>
      <c r="AO26" s="737">
        <f t="shared" si="42"/>
        <v>21.912672266493828</v>
      </c>
      <c r="AP26" s="737">
        <f t="shared" si="43"/>
        <v>-5.6941565587903415</v>
      </c>
      <c r="AQ26" s="737">
        <f t="shared" si="44"/>
        <v>-8.3349803882860058</v>
      </c>
      <c r="AR26" s="737">
        <f t="shared" si="45"/>
        <v>19.767612133483681</v>
      </c>
      <c r="AS26" s="737">
        <f t="shared" si="46"/>
        <v>-1.9834872975425077</v>
      </c>
      <c r="AT26" s="737">
        <f t="shared" si="47"/>
        <v>2.0575576851496802</v>
      </c>
      <c r="AU26" s="737">
        <f t="shared" si="48"/>
        <v>7.3145677362792316</v>
      </c>
      <c r="AV26" s="737">
        <f t="shared" si="49"/>
        <v>5.4979069187475638</v>
      </c>
      <c r="AW26" s="737">
        <f t="shared" si="50"/>
        <v>-3.9519709881239096</v>
      </c>
      <c r="AX26" s="737">
        <f t="shared" si="51"/>
        <v>2.7263093055451604</v>
      </c>
      <c r="AY26" s="737">
        <f t="shared" si="52"/>
        <v>-4.4098113411964572</v>
      </c>
      <c r="AZ26" s="738">
        <f t="shared" si="53"/>
        <v>36.991684256443946</v>
      </c>
      <c r="BA26" s="739">
        <f t="shared" si="54"/>
        <v>5.5473003228680318</v>
      </c>
      <c r="BB26" s="737">
        <f t="shared" si="55"/>
        <v>26.458616446129636</v>
      </c>
      <c r="BC26" s="737">
        <f t="shared" si="56"/>
        <v>13.23762099238095</v>
      </c>
      <c r="BD26" s="737">
        <f t="shared" si="57"/>
        <v>24.566083876768062</v>
      </c>
      <c r="BE26" s="737">
        <f t="shared" si="58"/>
        <v>-16.744217696023235</v>
      </c>
      <c r="BF26" s="737">
        <f t="shared" si="59"/>
        <v>-9.1883902120891374</v>
      </c>
      <c r="BG26" s="737">
        <f t="shared" si="60"/>
        <v>4.8642803573504034</v>
      </c>
      <c r="BH26" s="737">
        <f t="shared" si="61"/>
        <v>0.71927345586588753</v>
      </c>
      <c r="BI26" s="737">
        <f t="shared" si="62"/>
        <v>-17.652383062722365</v>
      </c>
      <c r="BJ26" s="737">
        <f t="shared" si="63"/>
        <v>25.979698588435831</v>
      </c>
      <c r="BK26" s="737">
        <f t="shared" si="64"/>
        <v>8.9324069038386966</v>
      </c>
      <c r="BL26" s="737">
        <f t="shared" si="65"/>
        <v>8.559474165519898</v>
      </c>
      <c r="BM26" s="738">
        <f t="shared" si="66"/>
        <v>-14.135394968565041</v>
      </c>
      <c r="BN26" s="739">
        <f t="shared" si="67"/>
        <v>3.2680882658094212</v>
      </c>
      <c r="BO26" s="737">
        <f t="shared" si="68"/>
        <v>-13.268995071750044</v>
      </c>
      <c r="BP26" s="737">
        <f t="shared" si="69"/>
        <v>-14.937110769166473</v>
      </c>
      <c r="BQ26" s="737">
        <f t="shared" si="70"/>
        <v>-52.624077307360452</v>
      </c>
      <c r="BR26" s="737">
        <f t="shared" si="71"/>
        <v>-94.743688925705044</v>
      </c>
      <c r="BS26" s="737">
        <f t="shared" si="72"/>
        <v>-86.260777702039576</v>
      </c>
      <c r="BT26" s="737">
        <f t="shared" si="73"/>
        <v>-33.475146328785385</v>
      </c>
      <c r="BU26" s="737">
        <f t="shared" si="74"/>
        <v>11.856422696717628</v>
      </c>
      <c r="BV26" s="737">
        <f t="shared" si="75"/>
        <v>-3.7268462456510498</v>
      </c>
      <c r="BW26" s="737">
        <f t="shared" si="76"/>
        <v>-31.293862716710684</v>
      </c>
      <c r="BX26" s="737">
        <f t="shared" si="77"/>
        <v>-19.790844429332278</v>
      </c>
      <c r="BY26" s="737">
        <f t="shared" si="78"/>
        <v>-8.1398560874019648</v>
      </c>
      <c r="BZ26" s="738">
        <f t="shared" si="79"/>
        <v>4.4651902094245743</v>
      </c>
      <c r="CA26" s="739">
        <f t="shared" si="80"/>
        <v>-26.341274428299112</v>
      </c>
      <c r="CB26" s="737">
        <f t="shared" si="81"/>
        <v>8.1271590057260479</v>
      </c>
      <c r="CC26" s="737">
        <f t="shared" si="82"/>
        <v>33.084826873299967</v>
      </c>
      <c r="CD26" s="737">
        <f t="shared" si="83"/>
        <v>91.232594163090937</v>
      </c>
      <c r="CE26" s="737">
        <f t="shared" si="84"/>
        <v>2003.3853957467618</v>
      </c>
      <c r="CF26" s="737">
        <f t="shared" si="85"/>
        <v>534.76213204392457</v>
      </c>
      <c r="CG26" s="737">
        <f t="shared" si="86"/>
        <v>33.476773478871102</v>
      </c>
      <c r="CH26" s="737">
        <f t="shared" si="87"/>
        <v>-1.1195456952776239</v>
      </c>
      <c r="CI26" s="737">
        <f t="shared" si="88"/>
        <v>18.141345826868349</v>
      </c>
      <c r="CJ26" s="737">
        <f t="shared" si="89"/>
        <v>37.918136914715021</v>
      </c>
      <c r="CK26" s="737">
        <f t="shared" si="90"/>
        <v>33.168238165116939</v>
      </c>
      <c r="CL26" s="737">
        <f t="shared" si="91"/>
        <v>17.296437257050769</v>
      </c>
      <c r="CM26" s="738">
        <f t="shared" si="92"/>
        <v>-13.456153358983469</v>
      </c>
      <c r="CN26" s="739">
        <f t="shared" si="93"/>
        <v>35.885249166783041</v>
      </c>
      <c r="CO26" s="737">
        <f t="shared" si="94"/>
        <v>-13.064332847879534</v>
      </c>
      <c r="CP26" s="737">
        <f t="shared" si="95"/>
        <v>-38.543701978327228</v>
      </c>
      <c r="CQ26" s="737">
        <f t="shared" si="96"/>
        <v>5.9998109427808588</v>
      </c>
      <c r="CR26" s="737">
        <f t="shared" si="97"/>
        <v>13.568166868362752</v>
      </c>
      <c r="CS26" s="737">
        <f t="shared" si="98"/>
        <v>30.014993498228115</v>
      </c>
      <c r="CT26" s="737">
        <f t="shared" si="99"/>
        <v>15.614911340405113</v>
      </c>
      <c r="CU26" s="737">
        <f t="shared" si="100"/>
        <v>-15.604795878099697</v>
      </c>
      <c r="CV26" s="737">
        <f t="shared" si="101"/>
        <v>12.19999987137399</v>
      </c>
      <c r="CW26" s="737">
        <f t="shared" si="102"/>
        <v>-3.2890778880503513</v>
      </c>
      <c r="CX26" s="737">
        <f t="shared" si="103"/>
        <v>-13.143288677937704</v>
      </c>
      <c r="CY26" s="737">
        <f t="shared" si="104"/>
        <v>-12.661937693661651</v>
      </c>
      <c r="CZ26" s="738">
        <f t="shared" si="105"/>
        <v>-13.909603954694195</v>
      </c>
      <c r="DA26" s="739">
        <f t="shared" si="106"/>
        <v>-3.9189003623906538</v>
      </c>
      <c r="DB26" s="737">
        <f t="shared" si="107"/>
        <v>-10.477887129142548</v>
      </c>
      <c r="DC26" s="737">
        <f t="shared" si="108"/>
        <v>23.715422846344936</v>
      </c>
      <c r="DD26" s="737">
        <f t="shared" si="109"/>
        <v>11.903669590418842</v>
      </c>
      <c r="DE26" s="737">
        <f t="shared" si="110"/>
        <v>-26.554679285048156</v>
      </c>
      <c r="DF26" s="737">
        <f t="shared" si="111"/>
        <v>-23.783874365970782</v>
      </c>
      <c r="DG26" s="737">
        <f t="shared" si="112"/>
        <v>-27.296612785784845</v>
      </c>
      <c r="DH26" s="737">
        <f t="shared" si="113"/>
        <v>3.3743366649372719</v>
      </c>
      <c r="DI26" s="737">
        <f t="shared" si="114"/>
        <v>-23.961430621377509</v>
      </c>
      <c r="DJ26" s="737">
        <f t="shared" si="115"/>
        <v>-50.678917820653346</v>
      </c>
      <c r="DK26" s="737">
        <f t="shared" si="116"/>
        <v>-14.330925927701465</v>
      </c>
      <c r="DL26" s="737">
        <f t="shared" si="117"/>
        <v>-28.451477468925425</v>
      </c>
      <c r="DM26" s="738">
        <f t="shared" si="118"/>
        <v>16.549535283820994</v>
      </c>
      <c r="DN26" s="739">
        <f t="shared" si="119"/>
        <v>-15.069194437929333</v>
      </c>
      <c r="DO26" s="737">
        <f t="shared" si="120"/>
        <v>3.4329108278436715</v>
      </c>
      <c r="DP26" s="737">
        <f t="shared" si="121"/>
        <v>7.5562514473888953</v>
      </c>
      <c r="DQ26" s="737">
        <f t="shared" si="122"/>
        <v>-23.189991770172846</v>
      </c>
      <c r="DR26" s="737">
        <f t="shared" si="123"/>
        <v>15.177891965568291</v>
      </c>
      <c r="DS26" s="737">
        <f t="shared" si="124"/>
        <v>1.837993521552761</v>
      </c>
      <c r="DT26" s="737">
        <f t="shared" si="125"/>
        <v>-1.4853996425365557</v>
      </c>
      <c r="DU26" s="737">
        <f t="shared" si="126"/>
        <v>-4.8445355749164083</v>
      </c>
      <c r="DV26" s="737">
        <f t="shared" si="127"/>
        <v>4.8961224751341792</v>
      </c>
      <c r="DW26" s="737">
        <f t="shared" si="128"/>
        <v>72.908196521249963</v>
      </c>
      <c r="DX26" s="737">
        <f t="shared" si="129"/>
        <v>12.609187107398645</v>
      </c>
      <c r="DY26" s="737">
        <f t="shared" si="130"/>
        <v>32.571552784869851</v>
      </c>
      <c r="DZ26" s="738">
        <f t="shared" si="131"/>
        <v>-13.472122233332517</v>
      </c>
      <c r="EA26" s="739">
        <f t="shared" si="132"/>
        <v>5.6409149750694887</v>
      </c>
      <c r="EB26" s="737">
        <f t="shared" ref="EB26:EM26" si="160">IFERROR(((EB10/DO10)-1)*100,)</f>
        <v>-8.9016057047929475</v>
      </c>
      <c r="EC26" s="737">
        <f t="shared" si="160"/>
        <v>-1.1407911225114753</v>
      </c>
      <c r="ED26" s="737">
        <f t="shared" si="160"/>
        <v>-3.0369733662362619</v>
      </c>
      <c r="EE26" s="737">
        <f t="shared" si="160"/>
        <v>2.2095432504139367</v>
      </c>
      <c r="EF26" s="737">
        <f t="shared" si="160"/>
        <v>9.3049918255348363</v>
      </c>
      <c r="EG26" s="737">
        <f t="shared" si="160"/>
        <v>10.591959853774856</v>
      </c>
      <c r="EH26" s="737">
        <f t="shared" si="160"/>
        <v>-1.8835271047056401</v>
      </c>
      <c r="EI26" s="737">
        <f t="shared" si="160"/>
        <v>-5.7204522297927713</v>
      </c>
      <c r="EJ26" s="737">
        <f t="shared" si="160"/>
        <v>-8.0186225444423549</v>
      </c>
      <c r="EK26" s="737">
        <f t="shared" si="160"/>
        <v>-10.415681084762573</v>
      </c>
      <c r="EL26" s="737">
        <f t="shared" si="160"/>
        <v>-15.456855226897437</v>
      </c>
      <c r="EM26" s="738">
        <f t="shared" si="160"/>
        <v>25.525877764904227</v>
      </c>
      <c r="EN26" s="739">
        <f t="shared" si="145"/>
        <v>4.549863235975149</v>
      </c>
      <c r="EO26" s="770">
        <f t="shared" ref="EO26:EO32" si="161">IFERROR(((EO10/EB10)-1)*100,)</f>
        <v>-8.4811001730537345</v>
      </c>
      <c r="EP26" s="770">
        <f t="shared" ref="EP26:EP32" si="162">IFERROR(((EP10/EC10)-1)*100,)</f>
        <v>-0.63048453258164328</v>
      </c>
      <c r="EQ26" s="770">
        <f t="shared" ref="EQ26:EQ32" si="163">IFERROR(((EQ10/ED10)-1)*100,)</f>
        <v>4.8724338668382439</v>
      </c>
      <c r="ER26" s="770">
        <f t="shared" si="153"/>
        <v>-6.7667536611220829</v>
      </c>
      <c r="ES26" s="770">
        <f t="shared" si="154"/>
        <v>-6.5305797439975883</v>
      </c>
      <c r="ET26" s="770">
        <f t="shared" si="159"/>
        <v>3.0624325325598889</v>
      </c>
      <c r="EU26" s="770">
        <f t="shared" si="155"/>
        <v>0.95984244496623017</v>
      </c>
      <c r="EV26" s="770">
        <f t="shared" si="156"/>
        <v>-5.9739246408392681</v>
      </c>
      <c r="EW26" s="770">
        <f t="shared" si="149"/>
        <v>-100</v>
      </c>
      <c r="EX26" s="770">
        <f t="shared" si="150"/>
        <v>-100</v>
      </c>
      <c r="EY26" s="770">
        <f t="shared" si="151"/>
        <v>-100</v>
      </c>
      <c r="EZ26" s="771">
        <f t="shared" si="152"/>
        <v>-100</v>
      </c>
      <c r="FA26" s="739">
        <f t="shared" si="157"/>
        <v>-5.0496355560159856</v>
      </c>
      <c r="FB26"/>
      <c r="FC26"/>
      <c r="FD26"/>
      <c r="FE26"/>
      <c r="FF26"/>
      <c r="FG26"/>
    </row>
    <row r="27" spans="1:163" s="447" customFormat="1" ht="15" customHeight="1" x14ac:dyDescent="0.25">
      <c r="A27" s="736" t="s">
        <v>569</v>
      </c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8"/>
      <c r="N27" s="739"/>
      <c r="O27" s="737">
        <f t="shared" si="16"/>
        <v>-23.491486231581639</v>
      </c>
      <c r="P27" s="737">
        <f t="shared" si="17"/>
        <v>-14.816533040302271</v>
      </c>
      <c r="Q27" s="737">
        <f t="shared" si="18"/>
        <v>-31.209208607715254</v>
      </c>
      <c r="R27" s="737">
        <f t="shared" si="19"/>
        <v>-19.15594401581151</v>
      </c>
      <c r="S27" s="737">
        <f t="shared" si="20"/>
        <v>-7.9595760177738057</v>
      </c>
      <c r="T27" s="737">
        <f t="shared" si="21"/>
        <v>-11.58033691888547</v>
      </c>
      <c r="U27" s="737">
        <f t="shared" si="22"/>
        <v>-2.8928219866755533</v>
      </c>
      <c r="V27" s="737">
        <f t="shared" si="23"/>
        <v>24.537361283768689</v>
      </c>
      <c r="W27" s="737">
        <f t="shared" si="24"/>
        <v>-18.691811259124702</v>
      </c>
      <c r="X27" s="737">
        <f t="shared" si="25"/>
        <v>-18.631954002301796</v>
      </c>
      <c r="Y27" s="737">
        <f t="shared" si="26"/>
        <v>-1.9844460932176955</v>
      </c>
      <c r="Z27" s="738">
        <f t="shared" si="27"/>
        <v>-12.159257060193362</v>
      </c>
      <c r="AA27" s="739">
        <f t="shared" si="28"/>
        <v>-12.341945651307618</v>
      </c>
      <c r="AB27" s="737">
        <f t="shared" si="29"/>
        <v>-32.359311582145423</v>
      </c>
      <c r="AC27" s="737">
        <f t="shared" si="30"/>
        <v>-22.468035505267881</v>
      </c>
      <c r="AD27" s="737">
        <f t="shared" si="31"/>
        <v>6.715152732668983</v>
      </c>
      <c r="AE27" s="737">
        <f t="shared" si="32"/>
        <v>-18.767453059324033</v>
      </c>
      <c r="AF27" s="737">
        <f t="shared" si="33"/>
        <v>11.047775282678195</v>
      </c>
      <c r="AG27" s="737">
        <f t="shared" si="34"/>
        <v>-6.7570059396726556</v>
      </c>
      <c r="AH27" s="737">
        <f t="shared" si="35"/>
        <v>-4.1394318677117852</v>
      </c>
      <c r="AI27" s="737">
        <f t="shared" si="36"/>
        <v>-4.5097040569701541</v>
      </c>
      <c r="AJ27" s="737">
        <f t="shared" si="37"/>
        <v>-2.2783825721670481</v>
      </c>
      <c r="AK27" s="737">
        <f t="shared" si="38"/>
        <v>0.10179038968438636</v>
      </c>
      <c r="AL27" s="737">
        <f t="shared" si="39"/>
        <v>6.883214875673116</v>
      </c>
      <c r="AM27" s="738">
        <f t="shared" si="40"/>
        <v>16.08308523518096</v>
      </c>
      <c r="AN27" s="739">
        <f t="shared" si="41"/>
        <v>-4.2734529407089887</v>
      </c>
      <c r="AO27" s="737">
        <f t="shared" si="42"/>
        <v>75.62030861176045</v>
      </c>
      <c r="AP27" s="737">
        <f t="shared" si="43"/>
        <v>118.27334934772496</v>
      </c>
      <c r="AQ27" s="737">
        <f t="shared" si="44"/>
        <v>11.628180441146284</v>
      </c>
      <c r="AR27" s="737">
        <f t="shared" si="45"/>
        <v>12.865309811682234</v>
      </c>
      <c r="AS27" s="737">
        <f t="shared" si="46"/>
        <v>30.326513549377765</v>
      </c>
      <c r="AT27" s="737">
        <f t="shared" si="47"/>
        <v>15.980488482911316</v>
      </c>
      <c r="AU27" s="737">
        <f t="shared" si="48"/>
        <v>3.2476996385345291</v>
      </c>
      <c r="AV27" s="737">
        <f t="shared" si="49"/>
        <v>43.183067890019089</v>
      </c>
      <c r="AW27" s="737">
        <f t="shared" si="50"/>
        <v>65.688808596404556</v>
      </c>
      <c r="AX27" s="737">
        <f t="shared" si="51"/>
        <v>68.967085360463457</v>
      </c>
      <c r="AY27" s="737">
        <f t="shared" si="52"/>
        <v>18.14709975058928</v>
      </c>
      <c r="AZ27" s="738">
        <f t="shared" si="53"/>
        <v>-1.9562107241158255</v>
      </c>
      <c r="BA27" s="739">
        <f t="shared" si="54"/>
        <v>35.938493991030576</v>
      </c>
      <c r="BB27" s="737">
        <f t="shared" si="55"/>
        <v>-16.722509367587467</v>
      </c>
      <c r="BC27" s="737">
        <f t="shared" si="56"/>
        <v>-63.041024355874598</v>
      </c>
      <c r="BD27" s="737">
        <f t="shared" si="57"/>
        <v>-11.674078147049972</v>
      </c>
      <c r="BE27" s="737">
        <f t="shared" si="58"/>
        <v>-2.2244941337154156</v>
      </c>
      <c r="BF27" s="737">
        <f t="shared" si="59"/>
        <v>-27.672208345872416</v>
      </c>
      <c r="BG27" s="737">
        <f t="shared" si="60"/>
        <v>-29.59931738702597</v>
      </c>
      <c r="BH27" s="737">
        <f t="shared" si="61"/>
        <v>2.8492459790426805</v>
      </c>
      <c r="BI27" s="737">
        <f t="shared" si="62"/>
        <v>-45.202882593256753</v>
      </c>
      <c r="BJ27" s="737">
        <f t="shared" si="63"/>
        <v>-53.206133909894696</v>
      </c>
      <c r="BK27" s="737">
        <f t="shared" si="64"/>
        <v>-45.756834321766185</v>
      </c>
      <c r="BL27" s="737">
        <f t="shared" si="65"/>
        <v>-43.197103786212963</v>
      </c>
      <c r="BM27" s="738">
        <f t="shared" si="66"/>
        <v>-14.787140177405512</v>
      </c>
      <c r="BN27" s="739">
        <f t="shared" si="67"/>
        <v>-33.171843192120896</v>
      </c>
      <c r="BO27" s="737">
        <f t="shared" si="68"/>
        <v>0.69115605260576807</v>
      </c>
      <c r="BP27" s="737">
        <f t="shared" si="69"/>
        <v>50.202998910645015</v>
      </c>
      <c r="BQ27" s="737">
        <f t="shared" si="70"/>
        <v>-32.063086947849953</v>
      </c>
      <c r="BR27" s="737">
        <f t="shared" si="71"/>
        <v>-2.151938414374166</v>
      </c>
      <c r="BS27" s="737">
        <f t="shared" si="72"/>
        <v>-12.302980245068952</v>
      </c>
      <c r="BT27" s="737">
        <f t="shared" si="73"/>
        <v>17.360990379047124</v>
      </c>
      <c r="BU27" s="737">
        <f t="shared" si="74"/>
        <v>-7.1089893803377713</v>
      </c>
      <c r="BV27" s="737">
        <f t="shared" si="75"/>
        <v>5.6772543028793088</v>
      </c>
      <c r="BW27" s="737">
        <f t="shared" si="76"/>
        <v>29.956691613324395</v>
      </c>
      <c r="BX27" s="737">
        <f t="shared" si="77"/>
        <v>41.211131070670824</v>
      </c>
      <c r="BY27" s="737">
        <f t="shared" si="78"/>
        <v>67.001625711636109</v>
      </c>
      <c r="BZ27" s="738">
        <f t="shared" si="79"/>
        <v>33.012142453893453</v>
      </c>
      <c r="CA27" s="739">
        <f t="shared" si="80"/>
        <v>13.462199338239733</v>
      </c>
      <c r="CB27" s="737">
        <f t="shared" si="81"/>
        <v>32.525876462891205</v>
      </c>
      <c r="CC27" s="737">
        <f t="shared" si="82"/>
        <v>24.546733210740413</v>
      </c>
      <c r="CD27" s="737">
        <f t="shared" si="83"/>
        <v>91.666961160084298</v>
      </c>
      <c r="CE27" s="737">
        <f t="shared" si="84"/>
        <v>30.468911426400691</v>
      </c>
      <c r="CF27" s="737">
        <f t="shared" si="85"/>
        <v>18.224002143975948</v>
      </c>
      <c r="CG27" s="737">
        <f t="shared" si="86"/>
        <v>18.955687538903131</v>
      </c>
      <c r="CH27" s="737">
        <f t="shared" si="87"/>
        <v>34.277366965406067</v>
      </c>
      <c r="CI27" s="737">
        <f t="shared" si="88"/>
        <v>42.419855967604668</v>
      </c>
      <c r="CJ27" s="737">
        <f t="shared" si="89"/>
        <v>21.715651665732928</v>
      </c>
      <c r="CK27" s="737">
        <f t="shared" si="90"/>
        <v>5.7746280569947128</v>
      </c>
      <c r="CL27" s="737">
        <f t="shared" si="91"/>
        <v>28.787960786182442</v>
      </c>
      <c r="CM27" s="738">
        <f t="shared" si="92"/>
        <v>-23.319658720803037</v>
      </c>
      <c r="CN27" s="739">
        <f t="shared" si="93"/>
        <v>23.706276874286438</v>
      </c>
      <c r="CO27" s="737">
        <f t="shared" si="94"/>
        <v>-9.8665085559179193</v>
      </c>
      <c r="CP27" s="737">
        <f t="shared" si="95"/>
        <v>-36.154213648202912</v>
      </c>
      <c r="CQ27" s="737">
        <f t="shared" si="96"/>
        <v>-35.213983005103991</v>
      </c>
      <c r="CR27" s="737">
        <f t="shared" si="97"/>
        <v>-5.864116803935115</v>
      </c>
      <c r="CS27" s="737">
        <f t="shared" si="98"/>
        <v>22.922803340651001</v>
      </c>
      <c r="CT27" s="737">
        <f t="shared" si="99"/>
        <v>6.030106965616433</v>
      </c>
      <c r="CU27" s="737">
        <f t="shared" si="100"/>
        <v>-0.62776866304655732</v>
      </c>
      <c r="CV27" s="737">
        <f t="shared" si="101"/>
        <v>5.5229182299947777</v>
      </c>
      <c r="CW27" s="737">
        <f t="shared" si="102"/>
        <v>3.8815835823550637</v>
      </c>
      <c r="CX27" s="737">
        <f t="shared" si="103"/>
        <v>-2.1056416516706866</v>
      </c>
      <c r="CY27" s="737">
        <f t="shared" si="104"/>
        <v>-31.693454167926394</v>
      </c>
      <c r="CZ27" s="738">
        <f t="shared" si="105"/>
        <v>30.053245144244102</v>
      </c>
      <c r="DA27" s="739">
        <f t="shared" si="106"/>
        <v>-5.6785996605889792</v>
      </c>
      <c r="DB27" s="737">
        <f t="shared" si="107"/>
        <v>11.459727262554974</v>
      </c>
      <c r="DC27" s="737">
        <f t="shared" si="108"/>
        <v>41.054848890781415</v>
      </c>
      <c r="DD27" s="737">
        <f t="shared" si="109"/>
        <v>48.575682577046919</v>
      </c>
      <c r="DE27" s="737">
        <f t="shared" si="110"/>
        <v>-9.1178650380773441</v>
      </c>
      <c r="DF27" s="737">
        <f t="shared" si="111"/>
        <v>3.6373885153406782</v>
      </c>
      <c r="DG27" s="737">
        <f t="shared" si="112"/>
        <v>19.294069259845294</v>
      </c>
      <c r="DH27" s="737">
        <f t="shared" si="113"/>
        <v>4.4958886649751451</v>
      </c>
      <c r="DI27" s="737">
        <f t="shared" si="114"/>
        <v>15.619292335760026</v>
      </c>
      <c r="DJ27" s="737">
        <f t="shared" si="115"/>
        <v>9.6897001043799058</v>
      </c>
      <c r="DK27" s="737">
        <f t="shared" si="116"/>
        <v>23.361944859247473</v>
      </c>
      <c r="DL27" s="737">
        <f t="shared" si="117"/>
        <v>18.762511117754556</v>
      </c>
      <c r="DM27" s="738">
        <f t="shared" si="118"/>
        <v>8.5318886576047248</v>
      </c>
      <c r="DN27" s="739">
        <f t="shared" si="119"/>
        <v>14.369243518872942</v>
      </c>
      <c r="DO27" s="737">
        <f t="shared" si="120"/>
        <v>8.8609691921810239</v>
      </c>
      <c r="DP27" s="737">
        <f t="shared" si="121"/>
        <v>35.915454677980449</v>
      </c>
      <c r="DQ27" s="737">
        <f t="shared" si="122"/>
        <v>19.867653231609395</v>
      </c>
      <c r="DR27" s="737">
        <f t="shared" si="123"/>
        <v>52.399090665541578</v>
      </c>
      <c r="DS27" s="737">
        <f t="shared" si="124"/>
        <v>9.6641075737307958</v>
      </c>
      <c r="DT27" s="737">
        <f t="shared" si="125"/>
        <v>-6.2957218803465604</v>
      </c>
      <c r="DU27" s="737">
        <f t="shared" si="126"/>
        <v>-5.4045874673315897</v>
      </c>
      <c r="DV27" s="737">
        <f t="shared" si="127"/>
        <v>-15.200894255263975</v>
      </c>
      <c r="DW27" s="737">
        <f t="shared" si="128"/>
        <v>-12.768322887194151</v>
      </c>
      <c r="DX27" s="737">
        <f t="shared" si="129"/>
        <v>-7.5386541904766684</v>
      </c>
      <c r="DY27" s="737">
        <f t="shared" si="130"/>
        <v>-10.11755533286115</v>
      </c>
      <c r="DZ27" s="738">
        <f t="shared" si="131"/>
        <v>-9.410126828517928</v>
      </c>
      <c r="EA27" s="739">
        <f t="shared" si="132"/>
        <v>1.9665014049251361</v>
      </c>
      <c r="EB27" s="737">
        <f t="shared" ref="EB27:EM27" si="164">IFERROR(((EB11/DO11)-1)*100,)</f>
        <v>-4.0698559171092992</v>
      </c>
      <c r="EC27" s="737">
        <f t="shared" si="164"/>
        <v>-13.212424872165441</v>
      </c>
      <c r="ED27" s="737">
        <f t="shared" si="164"/>
        <v>-8.2873288564434091</v>
      </c>
      <c r="EE27" s="737">
        <f t="shared" si="164"/>
        <v>-17.191405288807715</v>
      </c>
      <c r="EF27" s="737">
        <f t="shared" si="164"/>
        <v>-4.406230893382002</v>
      </c>
      <c r="EG27" s="737">
        <f t="shared" si="164"/>
        <v>3.359356694636384</v>
      </c>
      <c r="EH27" s="737">
        <f t="shared" si="164"/>
        <v>2.8566858173302734</v>
      </c>
      <c r="EI27" s="737">
        <f t="shared" si="164"/>
        <v>8.9628859418765536</v>
      </c>
      <c r="EJ27" s="737">
        <f t="shared" si="164"/>
        <v>7.3186274240047533</v>
      </c>
      <c r="EK27" s="737">
        <f t="shared" si="164"/>
        <v>4.0766517751141151</v>
      </c>
      <c r="EL27" s="737">
        <f t="shared" si="164"/>
        <v>5.6282154820829877</v>
      </c>
      <c r="EM27" s="738">
        <f t="shared" si="164"/>
        <v>5.1938072651371625</v>
      </c>
      <c r="EN27" s="739">
        <f t="shared" si="145"/>
        <v>0.98325070246259028</v>
      </c>
      <c r="EO27" s="770">
        <f t="shared" si="161"/>
        <v>2.1212601919958773</v>
      </c>
      <c r="EP27" s="770">
        <f t="shared" si="162"/>
        <v>7.61193342059856</v>
      </c>
      <c r="EQ27" s="770">
        <f t="shared" si="163"/>
        <v>4.5180937121934717</v>
      </c>
      <c r="ER27" s="770">
        <f t="shared" si="153"/>
        <v>10.380205912662444</v>
      </c>
      <c r="ES27" s="770">
        <f t="shared" si="154"/>
        <v>2.3046642760092606</v>
      </c>
      <c r="ET27" s="770">
        <f t="shared" si="159"/>
        <v>-1.6250859148442709</v>
      </c>
      <c r="EU27" s="770">
        <f t="shared" si="155"/>
        <v>-1.3886728872460674</v>
      </c>
      <c r="EV27" s="770">
        <f t="shared" si="156"/>
        <v>-4.1128159668318514</v>
      </c>
      <c r="EW27" s="770">
        <f t="shared" si="149"/>
        <v>-100</v>
      </c>
      <c r="EX27" s="770">
        <f t="shared" si="150"/>
        <v>-100</v>
      </c>
      <c r="EY27" s="770">
        <f t="shared" si="151"/>
        <v>-100</v>
      </c>
      <c r="EZ27" s="771">
        <f t="shared" si="152"/>
        <v>-100</v>
      </c>
      <c r="FA27" s="739">
        <f t="shared" si="157"/>
        <v>1.0312878236922396</v>
      </c>
      <c r="FB27"/>
      <c r="FC27"/>
      <c r="FD27"/>
      <c r="FE27"/>
      <c r="FF27"/>
      <c r="FG27"/>
    </row>
    <row r="28" spans="1:163" s="447" customFormat="1" ht="15" customHeight="1" x14ac:dyDescent="0.25">
      <c r="A28" s="736" t="s">
        <v>570</v>
      </c>
      <c r="B28" s="737"/>
      <c r="C28" s="737"/>
      <c r="D28" s="737"/>
      <c r="E28" s="737"/>
      <c r="F28" s="737"/>
      <c r="G28" s="737"/>
      <c r="H28" s="737"/>
      <c r="I28" s="737"/>
      <c r="J28" s="737"/>
      <c r="K28" s="737"/>
      <c r="L28" s="737"/>
      <c r="M28" s="738"/>
      <c r="N28" s="739"/>
      <c r="O28" s="737">
        <f t="shared" si="16"/>
        <v>75.82246447342807</v>
      </c>
      <c r="P28" s="737">
        <f t="shared" si="17"/>
        <v>56.669874879692038</v>
      </c>
      <c r="Q28" s="737">
        <f t="shared" si="18"/>
        <v>8.3583083583083972</v>
      </c>
      <c r="R28" s="737">
        <f t="shared" si="19"/>
        <v>16.995978317887751</v>
      </c>
      <c r="S28" s="737">
        <f t="shared" si="20"/>
        <v>0.5407291121577007</v>
      </c>
      <c r="T28" s="737">
        <f t="shared" si="21"/>
        <v>-33.296789350039155</v>
      </c>
      <c r="U28" s="737">
        <f t="shared" si="22"/>
        <v>8.3449235048678627</v>
      </c>
      <c r="V28" s="737">
        <f t="shared" si="23"/>
        <v>-7.5949367088607449</v>
      </c>
      <c r="W28" s="737">
        <f t="shared" si="24"/>
        <v>-52.641266335357997</v>
      </c>
      <c r="X28" s="737">
        <f t="shared" si="25"/>
        <v>-50.449423787779956</v>
      </c>
      <c r="Y28" s="737">
        <f t="shared" si="26"/>
        <v>-43.328409650418507</v>
      </c>
      <c r="Z28" s="738">
        <f t="shared" si="27"/>
        <v>-2.4109238318753889</v>
      </c>
      <c r="AA28" s="739">
        <f t="shared" si="28"/>
        <v>-6.5080983126837406</v>
      </c>
      <c r="AB28" s="737">
        <f t="shared" si="29"/>
        <v>5.6798051372896508</v>
      </c>
      <c r="AC28" s="737">
        <f t="shared" si="30"/>
        <v>37.91620592210343</v>
      </c>
      <c r="AD28" s="737">
        <f t="shared" si="31"/>
        <v>50.12292562999383</v>
      </c>
      <c r="AE28" s="737">
        <f t="shared" si="32"/>
        <v>25.960245105365388</v>
      </c>
      <c r="AF28" s="737">
        <f t="shared" si="33"/>
        <v>69.951422623178345</v>
      </c>
      <c r="AG28" s="737">
        <f t="shared" si="34"/>
        <v>78.891758628786107</v>
      </c>
      <c r="AH28" s="737">
        <f t="shared" si="35"/>
        <v>-4.9880799559875229</v>
      </c>
      <c r="AI28" s="737">
        <f t="shared" si="36"/>
        <v>225.7191780821918</v>
      </c>
      <c r="AJ28" s="737">
        <f t="shared" si="37"/>
        <v>462.92265837543709</v>
      </c>
      <c r="AK28" s="737">
        <f t="shared" si="38"/>
        <v>305.95375435914292</v>
      </c>
      <c r="AL28" s="737">
        <f t="shared" si="39"/>
        <v>286.38140747176368</v>
      </c>
      <c r="AM28" s="738">
        <f t="shared" si="40"/>
        <v>138.4564932225623</v>
      </c>
      <c r="AN28" s="739">
        <f t="shared" si="41"/>
        <v>106.26957629135796</v>
      </c>
      <c r="AO28" s="737">
        <f t="shared" si="42"/>
        <v>144.33734939759034</v>
      </c>
      <c r="AP28" s="737">
        <f t="shared" si="43"/>
        <v>84.044543429844083</v>
      </c>
      <c r="AQ28" s="737">
        <f t="shared" si="44"/>
        <v>121.94472876151482</v>
      </c>
      <c r="AR28" s="737">
        <f t="shared" si="45"/>
        <v>159.27859515899385</v>
      </c>
      <c r="AS28" s="737">
        <f t="shared" si="46"/>
        <v>66.629236423029809</v>
      </c>
      <c r="AT28" s="737">
        <f t="shared" si="47"/>
        <v>102.8087675547972</v>
      </c>
      <c r="AU28" s="737">
        <f t="shared" si="48"/>
        <v>181.16193784983597</v>
      </c>
      <c r="AV28" s="737">
        <f t="shared" si="49"/>
        <v>111.7442960782252</v>
      </c>
      <c r="AW28" s="737">
        <f t="shared" si="50"/>
        <v>25.483291908312623</v>
      </c>
      <c r="AX28" s="737">
        <f t="shared" si="51"/>
        <v>20.522105718300708</v>
      </c>
      <c r="AY28" s="737">
        <f t="shared" si="52"/>
        <v>25.729383326774968</v>
      </c>
      <c r="AZ28" s="738">
        <f t="shared" si="53"/>
        <v>-4.9051068121389818</v>
      </c>
      <c r="BA28" s="739">
        <f t="shared" si="54"/>
        <v>65.373371199465396</v>
      </c>
      <c r="BB28" s="737">
        <f t="shared" si="55"/>
        <v>-9.3088071348940922</v>
      </c>
      <c r="BC28" s="737">
        <f t="shared" si="56"/>
        <v>-0.99230359649545852</v>
      </c>
      <c r="BD28" s="737">
        <f t="shared" si="57"/>
        <v>0.16720162331669286</v>
      </c>
      <c r="BE28" s="737">
        <f t="shared" si="58"/>
        <v>125.70931722496796</v>
      </c>
      <c r="BF28" s="737">
        <f t="shared" si="59"/>
        <v>-66.439288121056165</v>
      </c>
      <c r="BG28" s="737">
        <f t="shared" si="60"/>
        <v>-58.829141858659064</v>
      </c>
      <c r="BH28" s="737">
        <f t="shared" si="61"/>
        <v>-67.562518020182608</v>
      </c>
      <c r="BI28" s="737">
        <f t="shared" si="62"/>
        <v>-78.827955707830583</v>
      </c>
      <c r="BJ28" s="737">
        <f t="shared" si="63"/>
        <v>-76.749760660247588</v>
      </c>
      <c r="BK28" s="737">
        <f t="shared" si="64"/>
        <v>-80.035512803264723</v>
      </c>
      <c r="BL28" s="737">
        <f t="shared" si="65"/>
        <v>-84.074081194670484</v>
      </c>
      <c r="BM28" s="738">
        <f t="shared" si="66"/>
        <v>-79.069509255688402</v>
      </c>
      <c r="BN28" s="739">
        <f t="shared" si="67"/>
        <v>-36.83969240093947</v>
      </c>
      <c r="BO28" s="737">
        <f t="shared" si="68"/>
        <v>95.139709706396843</v>
      </c>
      <c r="BP28" s="737">
        <f t="shared" si="69"/>
        <v>108.23799745770999</v>
      </c>
      <c r="BQ28" s="737">
        <f t="shared" si="70"/>
        <v>82.378145082636294</v>
      </c>
      <c r="BR28" s="737">
        <f t="shared" si="71"/>
        <v>-100</v>
      </c>
      <c r="BS28" s="737">
        <f t="shared" si="72"/>
        <v>-68.218995037526597</v>
      </c>
      <c r="BT28" s="737">
        <f t="shared" si="73"/>
        <v>432.41882188797655</v>
      </c>
      <c r="BU28" s="737">
        <f t="shared" si="74"/>
        <v>450.22382272968918</v>
      </c>
      <c r="BV28" s="737">
        <f t="shared" si="75"/>
        <v>1329.1818779231292</v>
      </c>
      <c r="BW28" s="737">
        <f t="shared" si="76"/>
        <v>1473.6922203519341</v>
      </c>
      <c r="BX28" s="737">
        <f t="shared" si="77"/>
        <v>1043.3594024638121</v>
      </c>
      <c r="BY28" s="737">
        <f t="shared" si="78"/>
        <v>1096.4095361274071</v>
      </c>
      <c r="BZ28" s="738">
        <f t="shared" si="79"/>
        <v>952.20827850802721</v>
      </c>
      <c r="CA28" s="739">
        <f t="shared" si="80"/>
        <v>228.40569934605116</v>
      </c>
      <c r="CB28" s="737">
        <f t="shared" si="81"/>
        <v>78.305955322963626</v>
      </c>
      <c r="CC28" s="737">
        <f t="shared" si="82"/>
        <v>109.06017420702932</v>
      </c>
      <c r="CD28" s="737">
        <f t="shared" si="83"/>
        <v>11.203392825587599</v>
      </c>
      <c r="CE28" s="737">
        <f t="shared" si="84"/>
        <v>0</v>
      </c>
      <c r="CF28" s="737">
        <f t="shared" si="85"/>
        <v>1833.9460080413562</v>
      </c>
      <c r="CG28" s="737">
        <f t="shared" si="86"/>
        <v>-2.6423784358300617</v>
      </c>
      <c r="CH28" s="737">
        <f t="shared" si="87"/>
        <v>22.550867341051607</v>
      </c>
      <c r="CI28" s="737">
        <f t="shared" si="88"/>
        <v>-46.033673569857882</v>
      </c>
      <c r="CJ28" s="737">
        <f t="shared" si="89"/>
        <v>-43.094736842105263</v>
      </c>
      <c r="CK28" s="737">
        <f t="shared" si="90"/>
        <v>-20.579163474195006</v>
      </c>
      <c r="CL28" s="737">
        <f t="shared" si="91"/>
        <v>-17.533320818471932</v>
      </c>
      <c r="CM28" s="738">
        <f t="shared" si="92"/>
        <v>-18.966838130677466</v>
      </c>
      <c r="CN28" s="739">
        <f t="shared" si="93"/>
        <v>6.3361823740234913</v>
      </c>
      <c r="CO28" s="737">
        <f t="shared" si="94"/>
        <v>-53.716335570834573</v>
      </c>
      <c r="CP28" s="737">
        <f t="shared" si="95"/>
        <v>-60.006738166095793</v>
      </c>
      <c r="CQ28" s="737">
        <f t="shared" si="96"/>
        <v>-7.4345644820776435</v>
      </c>
      <c r="CR28" s="737">
        <f t="shared" si="97"/>
        <v>-2.334816650706939</v>
      </c>
      <c r="CS28" s="737">
        <f t="shared" si="98"/>
        <v>13.023463023463023</v>
      </c>
      <c r="CT28" s="737">
        <f t="shared" si="99"/>
        <v>0.19104803493450451</v>
      </c>
      <c r="CU28" s="737">
        <f t="shared" si="100"/>
        <v>-5.2758772205134701</v>
      </c>
      <c r="CV28" s="737">
        <f t="shared" si="101"/>
        <v>111.08982545764157</v>
      </c>
      <c r="CW28" s="737">
        <f t="shared" si="102"/>
        <v>2.8169758469425599</v>
      </c>
      <c r="CX28" s="737">
        <f t="shared" si="103"/>
        <v>-19.806560134566851</v>
      </c>
      <c r="CY28" s="737">
        <f t="shared" si="104"/>
        <v>-2.0629410425677341</v>
      </c>
      <c r="CZ28" s="738">
        <f t="shared" si="105"/>
        <v>-1.1594039258058797</v>
      </c>
      <c r="DA28" s="739">
        <f t="shared" si="106"/>
        <v>-12.56897827444906</v>
      </c>
      <c r="DB28" s="737">
        <f t="shared" si="107"/>
        <v>-19.197346016088311</v>
      </c>
      <c r="DC28" s="737">
        <f t="shared" si="108"/>
        <v>53.032685611591603</v>
      </c>
      <c r="DD28" s="737">
        <f t="shared" si="109"/>
        <v>59.490876986462652</v>
      </c>
      <c r="DE28" s="737">
        <f t="shared" si="110"/>
        <v>-7.1545981486287547</v>
      </c>
      <c r="DF28" s="737">
        <f t="shared" si="111"/>
        <v>-37.343318880567601</v>
      </c>
      <c r="DG28" s="737">
        <f t="shared" si="112"/>
        <v>-47.425769545083099</v>
      </c>
      <c r="DH28" s="737">
        <f t="shared" si="113"/>
        <v>-51.386633975017403</v>
      </c>
      <c r="DI28" s="737">
        <f t="shared" si="114"/>
        <v>-77.874933375588824</v>
      </c>
      <c r="DJ28" s="737">
        <f t="shared" si="115"/>
        <v>-56.172316747198515</v>
      </c>
      <c r="DK28" s="737">
        <f t="shared" si="116"/>
        <v>-24.973463092630865</v>
      </c>
      <c r="DL28" s="737">
        <f t="shared" si="117"/>
        <v>43.398364275545461</v>
      </c>
      <c r="DM28" s="738">
        <f t="shared" si="118"/>
        <v>-54.561452196448037</v>
      </c>
      <c r="DN28" s="739">
        <f t="shared" si="119"/>
        <v>-21.892862491451137</v>
      </c>
      <c r="DO28" s="737">
        <f t="shared" si="120"/>
        <v>-86.470450168949611</v>
      </c>
      <c r="DP28" s="737">
        <f t="shared" si="121"/>
        <v>-94.850933979228586</v>
      </c>
      <c r="DQ28" s="737">
        <f t="shared" si="122"/>
        <v>-42.734791032383072</v>
      </c>
      <c r="DR28" s="737">
        <f t="shared" si="123"/>
        <v>-64.628718163747038</v>
      </c>
      <c r="DS28" s="737">
        <f t="shared" si="124"/>
        <v>-52.283996812615349</v>
      </c>
      <c r="DT28" s="737">
        <f t="shared" si="125"/>
        <v>-50.747841105354055</v>
      </c>
      <c r="DU28" s="737">
        <f t="shared" si="126"/>
        <v>-31.952017448200642</v>
      </c>
      <c r="DV28" s="737">
        <f t="shared" si="127"/>
        <v>11.998014193632422</v>
      </c>
      <c r="DW28" s="737">
        <f t="shared" si="128"/>
        <v>5.7146484601208858</v>
      </c>
      <c r="DX28" s="737">
        <f t="shared" si="129"/>
        <v>-53.018669314820912</v>
      </c>
      <c r="DY28" s="737">
        <f t="shared" si="130"/>
        <v>-79.63841199305871</v>
      </c>
      <c r="DZ28" s="738">
        <f t="shared" si="131"/>
        <v>14.414368107728915</v>
      </c>
      <c r="EA28" s="739">
        <f t="shared" si="132"/>
        <v>-55.064085420952779</v>
      </c>
      <c r="EB28" s="737">
        <f t="shared" ref="EB28:EM28" si="165">IFERROR(((EB12/DO12)-1)*100,)</f>
        <v>536.60839963527019</v>
      </c>
      <c r="EC28" s="737">
        <f t="shared" si="165"/>
        <v>643.18415301619314</v>
      </c>
      <c r="ED28" s="737">
        <f t="shared" si="165"/>
        <v>-48.199434306643319</v>
      </c>
      <c r="EE28" s="737">
        <f t="shared" si="165"/>
        <v>92.564809696098564</v>
      </c>
      <c r="EF28" s="737">
        <f t="shared" si="165"/>
        <v>75.249929989748907</v>
      </c>
      <c r="EG28" s="737">
        <f t="shared" si="165"/>
        <v>65.082042927368661</v>
      </c>
      <c r="EH28" s="737">
        <f t="shared" si="165"/>
        <v>39.58880057269922</v>
      </c>
      <c r="EI28" s="737">
        <f t="shared" si="165"/>
        <v>-12.435702367570434</v>
      </c>
      <c r="EJ28" s="737">
        <f t="shared" si="165"/>
        <v>-6.0751579703433034E-2</v>
      </c>
      <c r="EK28" s="737">
        <f t="shared" si="165"/>
        <v>66.629995412568775</v>
      </c>
      <c r="EL28" s="737">
        <f t="shared" si="165"/>
        <v>70.150691089874456</v>
      </c>
      <c r="EM28" s="738">
        <f t="shared" si="165"/>
        <v>15.713878596623543</v>
      </c>
      <c r="EN28" s="739">
        <f t="shared" si="145"/>
        <v>-37.122001339516977</v>
      </c>
      <c r="EO28" s="770">
        <f t="shared" si="161"/>
        <v>-42.145878058057939</v>
      </c>
      <c r="EP28" s="770">
        <f>IFERROR(((EP12/EC12)-1)*100,)</f>
        <v>-43.272192390395261</v>
      </c>
      <c r="EQ28" s="770">
        <f t="shared" si="163"/>
        <v>46.524042412943011</v>
      </c>
      <c r="ER28" s="770">
        <f t="shared" si="153"/>
        <v>-24.034715855452049</v>
      </c>
      <c r="ES28" s="770">
        <f t="shared" si="154"/>
        <v>-21.469318131582316</v>
      </c>
      <c r="ET28" s="770">
        <f t="shared" si="159"/>
        <v>-19.712029780247775</v>
      </c>
      <c r="EU28" s="770">
        <f t="shared" si="155"/>
        <v>-14.180507465597492</v>
      </c>
      <c r="EV28" s="770">
        <f t="shared" si="156"/>
        <v>7.1008976853626393</v>
      </c>
      <c r="EW28" s="770">
        <f t="shared" si="149"/>
        <v>-100</v>
      </c>
      <c r="EX28" s="770">
        <f t="shared" si="150"/>
        <v>-100</v>
      </c>
      <c r="EY28" s="770">
        <f t="shared" si="151"/>
        <v>-100</v>
      </c>
      <c r="EZ28" s="771">
        <f t="shared" si="152"/>
        <v>-100</v>
      </c>
      <c r="FA28" s="739">
        <f t="shared" si="157"/>
        <v>-16.297379882031958</v>
      </c>
      <c r="FB28"/>
      <c r="FC28"/>
      <c r="FD28"/>
      <c r="FE28"/>
      <c r="FF28"/>
      <c r="FG28"/>
    </row>
    <row r="29" spans="1:163" s="447" customFormat="1" ht="15" customHeight="1" x14ac:dyDescent="0.25">
      <c r="A29" s="736" t="s">
        <v>571</v>
      </c>
      <c r="B29" s="737"/>
      <c r="C29" s="737"/>
      <c r="D29" s="737"/>
      <c r="E29" s="737"/>
      <c r="F29" s="737"/>
      <c r="G29" s="737"/>
      <c r="H29" s="737"/>
      <c r="I29" s="737"/>
      <c r="J29" s="737"/>
      <c r="K29" s="737"/>
      <c r="L29" s="737"/>
      <c r="M29" s="738"/>
      <c r="N29" s="739"/>
      <c r="O29" s="737">
        <f t="shared" si="16"/>
        <v>78.340627825575652</v>
      </c>
      <c r="P29" s="737">
        <f t="shared" si="17"/>
        <v>30.605647083628607</v>
      </c>
      <c r="Q29" s="737">
        <f t="shared" si="18"/>
        <v>-14.331580152226719</v>
      </c>
      <c r="R29" s="737">
        <f t="shared" si="19"/>
        <v>-7.115673980996073</v>
      </c>
      <c r="S29" s="737">
        <f t="shared" si="20"/>
        <v>-7.5912136647849788</v>
      </c>
      <c r="T29" s="737">
        <f t="shared" si="21"/>
        <v>23.889340471452236</v>
      </c>
      <c r="U29" s="737">
        <f t="shared" si="22"/>
        <v>16.847016777524093</v>
      </c>
      <c r="V29" s="737">
        <f t="shared" si="23"/>
        <v>-3.1021699241341349</v>
      </c>
      <c r="W29" s="737">
        <f t="shared" si="24"/>
        <v>93.058071595863538</v>
      </c>
      <c r="X29" s="737">
        <f t="shared" si="25"/>
        <v>47.034608792855146</v>
      </c>
      <c r="Y29" s="737">
        <f t="shared" si="26"/>
        <v>210.93142224843513</v>
      </c>
      <c r="Z29" s="738">
        <f t="shared" si="27"/>
        <v>161.57439992017348</v>
      </c>
      <c r="AA29" s="739">
        <f t="shared" si="28"/>
        <v>32.463486567767141</v>
      </c>
      <c r="AB29" s="737">
        <f t="shared" si="29"/>
        <v>3.4214618973561484</v>
      </c>
      <c r="AC29" s="737">
        <f t="shared" si="30"/>
        <v>12.645739910313903</v>
      </c>
      <c r="AD29" s="737">
        <f t="shared" si="31"/>
        <v>10.705394190871331</v>
      </c>
      <c r="AE29" s="737">
        <f t="shared" si="32"/>
        <v>-14.812332439678254</v>
      </c>
      <c r="AF29" s="737">
        <f t="shared" si="33"/>
        <v>-2.0114942528735691</v>
      </c>
      <c r="AG29" s="737">
        <f t="shared" si="34"/>
        <v>10.558069381598756</v>
      </c>
      <c r="AH29" s="737">
        <f t="shared" si="35"/>
        <v>25.148683092608358</v>
      </c>
      <c r="AI29" s="737">
        <f t="shared" si="36"/>
        <v>-4.5751633986928049</v>
      </c>
      <c r="AJ29" s="737">
        <f t="shared" si="37"/>
        <v>-10.804462712859642</v>
      </c>
      <c r="AK29" s="737">
        <f t="shared" si="38"/>
        <v>-20.084121976866452</v>
      </c>
      <c r="AL29" s="737">
        <f t="shared" si="39"/>
        <v>-15.014326647564481</v>
      </c>
      <c r="AM29" s="738">
        <f t="shared" si="40"/>
        <v>-0.54495912806540314</v>
      </c>
      <c r="AN29" s="739">
        <f t="shared" si="41"/>
        <v>-2.3550931748027915</v>
      </c>
      <c r="AO29" s="737">
        <f t="shared" si="42"/>
        <v>-32.180451127819552</v>
      </c>
      <c r="AP29" s="737">
        <f t="shared" si="43"/>
        <v>-67.197452229299358</v>
      </c>
      <c r="AQ29" s="737">
        <f t="shared" si="44"/>
        <v>-22.863568215892048</v>
      </c>
      <c r="AR29" s="737">
        <f t="shared" si="45"/>
        <v>-9.6774193548387117</v>
      </c>
      <c r="AS29" s="737">
        <f t="shared" si="46"/>
        <v>-20.894428152492672</v>
      </c>
      <c r="AT29" s="737">
        <f t="shared" si="47"/>
        <v>-22.851296043656188</v>
      </c>
      <c r="AU29" s="737">
        <f t="shared" si="48"/>
        <v>-7.4677528852681867</v>
      </c>
      <c r="AV29" s="737">
        <f t="shared" si="49"/>
        <v>-0.43586550435864568</v>
      </c>
      <c r="AW29" s="737">
        <f t="shared" si="50"/>
        <v>-27.978933508887451</v>
      </c>
      <c r="AX29" s="737">
        <f t="shared" si="51"/>
        <v>-20.592105263157901</v>
      </c>
      <c r="AY29" s="737">
        <f t="shared" si="52"/>
        <v>-11.26095751854349</v>
      </c>
      <c r="AZ29" s="738">
        <f t="shared" si="53"/>
        <v>-27.534246575342458</v>
      </c>
      <c r="BA29" s="739">
        <f t="shared" si="54"/>
        <v>-21.917808219178081</v>
      </c>
      <c r="BB29" s="737">
        <f t="shared" si="55"/>
        <v>23.72505543237251</v>
      </c>
      <c r="BC29" s="737">
        <f t="shared" si="56"/>
        <v>102.42718446601944</v>
      </c>
      <c r="BD29" s="737">
        <f t="shared" si="57"/>
        <v>14.820213799805604</v>
      </c>
      <c r="BE29" s="737">
        <f t="shared" si="58"/>
        <v>5.3571428571428381</v>
      </c>
      <c r="BF29" s="737">
        <f t="shared" si="59"/>
        <v>27.247451343836925</v>
      </c>
      <c r="BG29" s="737">
        <f t="shared" si="60"/>
        <v>14.809902740937208</v>
      </c>
      <c r="BH29" s="737">
        <f t="shared" si="61"/>
        <v>4.0352164343359975</v>
      </c>
      <c r="BI29" s="737">
        <f t="shared" si="62"/>
        <v>0.21888680425263818</v>
      </c>
      <c r="BJ29" s="737">
        <f t="shared" si="63"/>
        <v>19.424131627056674</v>
      </c>
      <c r="BK29" s="737">
        <f t="shared" si="64"/>
        <v>12.966031483015739</v>
      </c>
      <c r="BL29" s="737">
        <f t="shared" si="65"/>
        <v>6.3449848024316191</v>
      </c>
      <c r="BM29" s="738">
        <f t="shared" si="66"/>
        <v>21.176318955146932</v>
      </c>
      <c r="BN29" s="739">
        <f t="shared" si="67"/>
        <v>15.343720606878497</v>
      </c>
      <c r="BO29" s="737">
        <f t="shared" si="68"/>
        <v>14.878624959270104</v>
      </c>
      <c r="BP29" s="737">
        <f t="shared" si="69"/>
        <v>42.451493350773362</v>
      </c>
      <c r="BQ29" s="737">
        <f t="shared" si="70"/>
        <v>0.38471896279732576</v>
      </c>
      <c r="BR29" s="737">
        <f t="shared" si="71"/>
        <v>-1.6911571272881343</v>
      </c>
      <c r="BS29" s="737">
        <f t="shared" si="72"/>
        <v>-6.0418459908630817</v>
      </c>
      <c r="BT29" s="737">
        <f t="shared" si="73"/>
        <v>-0.26604123639200061</v>
      </c>
      <c r="BU29" s="737">
        <f t="shared" si="74"/>
        <v>-13.924541607898423</v>
      </c>
      <c r="BV29" s="737">
        <f t="shared" si="75"/>
        <v>-25.07020280811232</v>
      </c>
      <c r="BW29" s="737">
        <f t="shared" si="76"/>
        <v>-14.270952927669335</v>
      </c>
      <c r="BX29" s="737">
        <f t="shared" si="77"/>
        <v>-16.006600660066017</v>
      </c>
      <c r="BY29" s="737">
        <f t="shared" si="78"/>
        <v>-12.429439085387628</v>
      </c>
      <c r="BZ29" s="738">
        <f t="shared" si="79"/>
        <v>-7.5383797199078177</v>
      </c>
      <c r="CA29" s="739">
        <f t="shared" si="80"/>
        <v>-5.5687230396503367</v>
      </c>
      <c r="CB29" s="737">
        <f t="shared" si="81"/>
        <v>-5.1632689239496603</v>
      </c>
      <c r="CC29" s="737">
        <f t="shared" si="82"/>
        <v>-3.130810728086264</v>
      </c>
      <c r="CD29" s="737">
        <f t="shared" si="83"/>
        <v>5.4639175257735761</v>
      </c>
      <c r="CE29" s="737">
        <f t="shared" si="84"/>
        <v>6.0388394051764216</v>
      </c>
      <c r="CF29" s="737">
        <f t="shared" si="85"/>
        <v>-5.5188330220919184</v>
      </c>
      <c r="CG29" s="737">
        <f t="shared" si="86"/>
        <v>-11.906566986065471</v>
      </c>
      <c r="CH29" s="737">
        <f t="shared" si="87"/>
        <v>-100</v>
      </c>
      <c r="CI29" s="737">
        <f t="shared" si="88"/>
        <v>-100</v>
      </c>
      <c r="CJ29" s="737">
        <f t="shared" si="89"/>
        <v>-100</v>
      </c>
      <c r="CK29" s="737">
        <f t="shared" si="90"/>
        <v>-100</v>
      </c>
      <c r="CL29" s="737">
        <f t="shared" si="91"/>
        <v>-100</v>
      </c>
      <c r="CM29" s="738">
        <f t="shared" si="92"/>
        <v>-100</v>
      </c>
      <c r="CN29" s="739">
        <f t="shared" si="93"/>
        <v>-0.3553369850514132</v>
      </c>
      <c r="CO29" s="737">
        <f t="shared" si="94"/>
        <v>-100</v>
      </c>
      <c r="CP29" s="737">
        <f t="shared" si="95"/>
        <v>-100</v>
      </c>
      <c r="CQ29" s="737">
        <f t="shared" si="96"/>
        <v>-100</v>
      </c>
      <c r="CR29" s="737">
        <f t="shared" si="97"/>
        <v>-100</v>
      </c>
      <c r="CS29" s="737">
        <f t="shared" si="98"/>
        <v>-100</v>
      </c>
      <c r="CT29" s="737">
        <f t="shared" si="99"/>
        <v>-100</v>
      </c>
      <c r="CU29" s="737">
        <f t="shared" si="100"/>
        <v>0</v>
      </c>
      <c r="CV29" s="737">
        <f t="shared" si="101"/>
        <v>0</v>
      </c>
      <c r="CW29" s="737">
        <f t="shared" si="102"/>
        <v>0</v>
      </c>
      <c r="CX29" s="737">
        <f t="shared" si="103"/>
        <v>0</v>
      </c>
      <c r="CY29" s="737">
        <f t="shared" si="104"/>
        <v>0</v>
      </c>
      <c r="CZ29" s="738">
        <f t="shared" si="105"/>
        <v>0</v>
      </c>
      <c r="DA29" s="739">
        <f t="shared" si="106"/>
        <v>-100</v>
      </c>
      <c r="DB29" s="737">
        <f t="shared" si="107"/>
        <v>0</v>
      </c>
      <c r="DC29" s="737">
        <f t="shared" si="108"/>
        <v>0</v>
      </c>
      <c r="DD29" s="737">
        <f t="shared" si="109"/>
        <v>0</v>
      </c>
      <c r="DE29" s="737">
        <f t="shared" si="110"/>
        <v>0</v>
      </c>
      <c r="DF29" s="737">
        <f t="shared" si="111"/>
        <v>0</v>
      </c>
      <c r="DG29" s="737">
        <f t="shared" si="112"/>
        <v>0</v>
      </c>
      <c r="DH29" s="737">
        <f t="shared" si="113"/>
        <v>0</v>
      </c>
      <c r="DI29" s="737">
        <f t="shared" si="114"/>
        <v>0</v>
      </c>
      <c r="DJ29" s="737">
        <f t="shared" si="115"/>
        <v>0</v>
      </c>
      <c r="DK29" s="737">
        <f t="shared" si="116"/>
        <v>0</v>
      </c>
      <c r="DL29" s="737">
        <f t="shared" si="117"/>
        <v>0</v>
      </c>
      <c r="DM29" s="738">
        <f t="shared" si="118"/>
        <v>0</v>
      </c>
      <c r="DN29" s="739">
        <f t="shared" si="119"/>
        <v>0</v>
      </c>
      <c r="DO29" s="737">
        <f t="shared" si="120"/>
        <v>0</v>
      </c>
      <c r="DP29" s="737">
        <f t="shared" si="121"/>
        <v>0</v>
      </c>
      <c r="DQ29" s="737">
        <f t="shared" si="122"/>
        <v>0</v>
      </c>
      <c r="DR29" s="737">
        <f t="shared" si="123"/>
        <v>0</v>
      </c>
      <c r="DS29" s="737">
        <f t="shared" si="124"/>
        <v>0</v>
      </c>
      <c r="DT29" s="737">
        <f t="shared" si="125"/>
        <v>0</v>
      </c>
      <c r="DU29" s="737">
        <f t="shared" si="126"/>
        <v>0</v>
      </c>
      <c r="DV29" s="737">
        <f t="shared" si="127"/>
        <v>0</v>
      </c>
      <c r="DW29" s="737">
        <f t="shared" si="128"/>
        <v>0</v>
      </c>
      <c r="DX29" s="737">
        <f t="shared" si="129"/>
        <v>0</v>
      </c>
      <c r="DY29" s="737">
        <f t="shared" si="130"/>
        <v>0</v>
      </c>
      <c r="DZ29" s="738">
        <f t="shared" si="131"/>
        <v>0</v>
      </c>
      <c r="EA29" s="739">
        <f t="shared" si="132"/>
        <v>0</v>
      </c>
      <c r="EB29" s="737">
        <f t="shared" ref="EB29:EM29" si="166">IFERROR(((EB13/DO13)-1)*100,)</f>
        <v>0</v>
      </c>
      <c r="EC29" s="737">
        <f t="shared" si="166"/>
        <v>0</v>
      </c>
      <c r="ED29" s="737">
        <f t="shared" si="166"/>
        <v>0</v>
      </c>
      <c r="EE29" s="737">
        <f t="shared" si="166"/>
        <v>0</v>
      </c>
      <c r="EF29" s="737">
        <f t="shared" si="166"/>
        <v>0</v>
      </c>
      <c r="EG29" s="737">
        <f t="shared" si="166"/>
        <v>0</v>
      </c>
      <c r="EH29" s="737">
        <f t="shared" si="166"/>
        <v>0</v>
      </c>
      <c r="EI29" s="737">
        <f t="shared" si="166"/>
        <v>0</v>
      </c>
      <c r="EJ29" s="737">
        <f t="shared" si="166"/>
        <v>0</v>
      </c>
      <c r="EK29" s="737">
        <f t="shared" si="166"/>
        <v>0</v>
      </c>
      <c r="EL29" s="737">
        <f t="shared" si="166"/>
        <v>0</v>
      </c>
      <c r="EM29" s="738">
        <f t="shared" si="166"/>
        <v>0</v>
      </c>
      <c r="EN29" s="739">
        <f t="shared" si="145"/>
        <v>0</v>
      </c>
      <c r="EO29" s="770">
        <f t="shared" si="161"/>
        <v>0</v>
      </c>
      <c r="EP29" s="770">
        <f t="shared" si="162"/>
        <v>0</v>
      </c>
      <c r="EQ29" s="770">
        <f t="shared" si="163"/>
        <v>0</v>
      </c>
      <c r="ER29" s="770">
        <f t="shared" si="153"/>
        <v>0</v>
      </c>
      <c r="ES29" s="770">
        <f t="shared" si="154"/>
        <v>0</v>
      </c>
      <c r="ET29" s="770">
        <f t="shared" si="159"/>
        <v>0</v>
      </c>
      <c r="EU29" s="770">
        <f t="shared" si="155"/>
        <v>0</v>
      </c>
      <c r="EV29" s="770">
        <f t="shared" si="156"/>
        <v>0</v>
      </c>
      <c r="EW29" s="770">
        <f t="shared" si="149"/>
        <v>0</v>
      </c>
      <c r="EX29" s="770">
        <f t="shared" si="150"/>
        <v>0</v>
      </c>
      <c r="EY29" s="770">
        <f t="shared" si="151"/>
        <v>0</v>
      </c>
      <c r="EZ29" s="771">
        <f t="shared" si="152"/>
        <v>0</v>
      </c>
      <c r="FA29" s="739">
        <f t="shared" si="157"/>
        <v>0</v>
      </c>
      <c r="FB29"/>
      <c r="FC29"/>
      <c r="FD29"/>
      <c r="FE29"/>
      <c r="FF29"/>
      <c r="FG29"/>
    </row>
    <row r="30" spans="1:163" s="447" customFormat="1" ht="15" customHeight="1" x14ac:dyDescent="0.25">
      <c r="A30" s="736" t="s">
        <v>572</v>
      </c>
      <c r="B30" s="737"/>
      <c r="C30" s="737"/>
      <c r="D30" s="737"/>
      <c r="E30" s="737"/>
      <c r="F30" s="737"/>
      <c r="G30" s="737"/>
      <c r="H30" s="737"/>
      <c r="I30" s="737"/>
      <c r="J30" s="737"/>
      <c r="K30" s="737"/>
      <c r="L30" s="737"/>
      <c r="M30" s="738"/>
      <c r="N30" s="739"/>
      <c r="O30" s="737">
        <f t="shared" si="16"/>
        <v>0.63819604338977154</v>
      </c>
      <c r="P30" s="737">
        <f t="shared" si="17"/>
        <v>-68.906462705325154</v>
      </c>
      <c r="Q30" s="737">
        <f t="shared" si="18"/>
        <v>14.357084666216636</v>
      </c>
      <c r="R30" s="737">
        <f t="shared" si="19"/>
        <v>-5.387909560851889</v>
      </c>
      <c r="S30" s="737">
        <f t="shared" si="20"/>
        <v>-17.111363226679721</v>
      </c>
      <c r="T30" s="737">
        <f t="shared" si="21"/>
        <v>-55.552239774444111</v>
      </c>
      <c r="U30" s="737">
        <f t="shared" si="22"/>
        <v>-65.231505292849178</v>
      </c>
      <c r="V30" s="737">
        <f t="shared" si="23"/>
        <v>-73.676262630283645</v>
      </c>
      <c r="W30" s="737">
        <f t="shared" si="24"/>
        <v>-81.499971095908649</v>
      </c>
      <c r="X30" s="737">
        <f t="shared" si="25"/>
        <v>-30.55723266933019</v>
      </c>
      <c r="Y30" s="737">
        <f t="shared" si="26"/>
        <v>-40.034283949920322</v>
      </c>
      <c r="Z30" s="738">
        <f t="shared" si="27"/>
        <v>-71.099473317093498</v>
      </c>
      <c r="AA30" s="739">
        <f t="shared" si="28"/>
        <v>-44.358554132025205</v>
      </c>
      <c r="AB30" s="737">
        <f t="shared" si="29"/>
        <v>-80.055453521599688</v>
      </c>
      <c r="AC30" s="737">
        <f t="shared" si="30"/>
        <v>-58.576877902571709</v>
      </c>
      <c r="AD30" s="737">
        <f t="shared" si="31"/>
        <v>-96.271301040033435</v>
      </c>
      <c r="AE30" s="737">
        <f t="shared" si="32"/>
        <v>-81.095062213428733</v>
      </c>
      <c r="AF30" s="737">
        <f t="shared" si="33"/>
        <v>-77.918554033304858</v>
      </c>
      <c r="AG30" s="737">
        <f t="shared" si="34"/>
        <v>-100</v>
      </c>
      <c r="AH30" s="737">
        <f t="shared" si="35"/>
        <v>-100</v>
      </c>
      <c r="AI30" s="737">
        <f t="shared" si="36"/>
        <v>-100</v>
      </c>
      <c r="AJ30" s="737">
        <f t="shared" si="37"/>
        <v>-57.184442705126173</v>
      </c>
      <c r="AK30" s="737">
        <f t="shared" si="38"/>
        <v>-95.162627060105933</v>
      </c>
      <c r="AL30" s="737">
        <f t="shared" si="39"/>
        <v>-87.377285583785593</v>
      </c>
      <c r="AM30" s="738">
        <f t="shared" si="40"/>
        <v>-87.836250136025811</v>
      </c>
      <c r="AN30" s="739">
        <f t="shared" si="41"/>
        <v>-80.427954398297516</v>
      </c>
      <c r="AO30" s="737">
        <f t="shared" si="42"/>
        <v>-57.192131619501538</v>
      </c>
      <c r="AP30" s="737">
        <f t="shared" si="43"/>
        <v>-54.283002707335115</v>
      </c>
      <c r="AQ30" s="737">
        <f t="shared" si="44"/>
        <v>478.62992711573054</v>
      </c>
      <c r="AR30" s="737">
        <f t="shared" si="45"/>
        <v>-64.675023606429846</v>
      </c>
      <c r="AS30" s="737">
        <f t="shared" si="46"/>
        <v>-69.164378738678977</v>
      </c>
      <c r="AT30" s="737">
        <f t="shared" si="47"/>
        <v>0</v>
      </c>
      <c r="AU30" s="737">
        <f t="shared" si="48"/>
        <v>0</v>
      </c>
      <c r="AV30" s="737">
        <f t="shared" si="49"/>
        <v>0</v>
      </c>
      <c r="AW30" s="737">
        <f t="shared" si="50"/>
        <v>-35.867312261597128</v>
      </c>
      <c r="AX30" s="737">
        <f t="shared" si="51"/>
        <v>28.356698197644747</v>
      </c>
      <c r="AY30" s="737">
        <f t="shared" si="52"/>
        <v>-64.818854904130049</v>
      </c>
      <c r="AZ30" s="738">
        <f t="shared" si="53"/>
        <v>-54.602483340379173</v>
      </c>
      <c r="BA30" s="739">
        <f t="shared" si="54"/>
        <v>-48.985991421075049</v>
      </c>
      <c r="BB30" s="737">
        <f t="shared" si="55"/>
        <v>12.977092304906467</v>
      </c>
      <c r="BC30" s="737">
        <f t="shared" si="56"/>
        <v>-43.868065595916228</v>
      </c>
      <c r="BD30" s="737">
        <f t="shared" si="57"/>
        <v>7.8559320428250423</v>
      </c>
      <c r="BE30" s="737">
        <f t="shared" si="58"/>
        <v>-78.379852837519977</v>
      </c>
      <c r="BF30" s="737">
        <f t="shared" si="59"/>
        <v>-76.456767826430323</v>
      </c>
      <c r="BG30" s="737">
        <f t="shared" si="60"/>
        <v>-100</v>
      </c>
      <c r="BH30" s="737">
        <f t="shared" si="61"/>
        <v>-61.537264596696794</v>
      </c>
      <c r="BI30" s="737">
        <f t="shared" si="62"/>
        <v>-79.700292637300066</v>
      </c>
      <c r="BJ30" s="737">
        <f t="shared" si="63"/>
        <v>-64.872507847584629</v>
      </c>
      <c r="BK30" s="737">
        <f t="shared" si="64"/>
        <v>83.053372153869319</v>
      </c>
      <c r="BL30" s="737">
        <f t="shared" si="65"/>
        <v>23.739738353214214</v>
      </c>
      <c r="BM30" s="738">
        <f t="shared" si="66"/>
        <v>107.65561259140016</v>
      </c>
      <c r="BN30" s="739">
        <f t="shared" si="67"/>
        <v>-28.727038322677977</v>
      </c>
      <c r="BO30" s="737">
        <f t="shared" si="68"/>
        <v>-94.754734522924494</v>
      </c>
      <c r="BP30" s="737">
        <f t="shared" si="69"/>
        <v>-100</v>
      </c>
      <c r="BQ30" s="737">
        <f t="shared" si="70"/>
        <v>-85.580265249828031</v>
      </c>
      <c r="BR30" s="737">
        <f t="shared" si="71"/>
        <v>-100</v>
      </c>
      <c r="BS30" s="737">
        <f t="shared" si="72"/>
        <v>-100</v>
      </c>
      <c r="BT30" s="737">
        <f t="shared" si="73"/>
        <v>0</v>
      </c>
      <c r="BU30" s="737">
        <f t="shared" si="74"/>
        <v>-72.717056346237968</v>
      </c>
      <c r="BV30" s="737">
        <f t="shared" si="75"/>
        <v>7.9753724584290975</v>
      </c>
      <c r="BW30" s="737">
        <f t="shared" si="76"/>
        <v>21.905830591263097</v>
      </c>
      <c r="BX30" s="737">
        <f t="shared" si="77"/>
        <v>-99.343359193368656</v>
      </c>
      <c r="BY30" s="737">
        <f t="shared" si="78"/>
        <v>-100</v>
      </c>
      <c r="BZ30" s="738">
        <f t="shared" si="79"/>
        <v>-100</v>
      </c>
      <c r="CA30" s="739">
        <f t="shared" si="80"/>
        <v>-61.590758797865639</v>
      </c>
      <c r="CB30" s="737">
        <f t="shared" si="81"/>
        <v>-100</v>
      </c>
      <c r="CC30" s="737">
        <f t="shared" si="82"/>
        <v>0</v>
      </c>
      <c r="CD30" s="737">
        <f t="shared" si="83"/>
        <v>-100</v>
      </c>
      <c r="CE30" s="737">
        <f t="shared" si="84"/>
        <v>0</v>
      </c>
      <c r="CF30" s="737">
        <f t="shared" si="85"/>
        <v>0</v>
      </c>
      <c r="CG30" s="737">
        <f t="shared" si="86"/>
        <v>-100</v>
      </c>
      <c r="CH30" s="737">
        <f t="shared" si="87"/>
        <v>-100</v>
      </c>
      <c r="CI30" s="737">
        <f t="shared" si="88"/>
        <v>-100</v>
      </c>
      <c r="CJ30" s="737">
        <f t="shared" si="89"/>
        <v>-100</v>
      </c>
      <c r="CK30" s="737">
        <f t="shared" si="90"/>
        <v>-100</v>
      </c>
      <c r="CL30" s="737">
        <f t="shared" si="91"/>
        <v>0</v>
      </c>
      <c r="CM30" s="738">
        <f t="shared" si="92"/>
        <v>0</v>
      </c>
      <c r="CN30" s="739">
        <f t="shared" si="93"/>
        <v>-100</v>
      </c>
      <c r="CO30" s="737">
        <f t="shared" si="94"/>
        <v>0</v>
      </c>
      <c r="CP30" s="737">
        <f t="shared" si="95"/>
        <v>0</v>
      </c>
      <c r="CQ30" s="737">
        <f t="shared" si="96"/>
        <v>0</v>
      </c>
      <c r="CR30" s="737">
        <f t="shared" si="97"/>
        <v>0</v>
      </c>
      <c r="CS30" s="737">
        <f t="shared" si="98"/>
        <v>0</v>
      </c>
      <c r="CT30" s="737">
        <f t="shared" si="99"/>
        <v>0</v>
      </c>
      <c r="CU30" s="737">
        <f t="shared" si="100"/>
        <v>0</v>
      </c>
      <c r="CV30" s="737">
        <f t="shared" si="101"/>
        <v>0</v>
      </c>
      <c r="CW30" s="737">
        <f t="shared" si="102"/>
        <v>0</v>
      </c>
      <c r="CX30" s="737">
        <f t="shared" si="103"/>
        <v>0</v>
      </c>
      <c r="CY30" s="737">
        <f t="shared" si="104"/>
        <v>0</v>
      </c>
      <c r="CZ30" s="738">
        <f t="shared" si="105"/>
        <v>0</v>
      </c>
      <c r="DA30" s="739">
        <f t="shared" si="106"/>
        <v>0</v>
      </c>
      <c r="DB30" s="737">
        <f t="shared" si="107"/>
        <v>0</v>
      </c>
      <c r="DC30" s="737">
        <f t="shared" si="108"/>
        <v>0</v>
      </c>
      <c r="DD30" s="737">
        <f t="shared" si="109"/>
        <v>0</v>
      </c>
      <c r="DE30" s="737">
        <f t="shared" si="110"/>
        <v>0</v>
      </c>
      <c r="DF30" s="737">
        <f t="shared" si="111"/>
        <v>0</v>
      </c>
      <c r="DG30" s="737">
        <f t="shared" si="112"/>
        <v>0</v>
      </c>
      <c r="DH30" s="737">
        <f t="shared" si="113"/>
        <v>0</v>
      </c>
      <c r="DI30" s="737">
        <f t="shared" si="114"/>
        <v>0</v>
      </c>
      <c r="DJ30" s="737">
        <f t="shared" si="115"/>
        <v>0</v>
      </c>
      <c r="DK30" s="737">
        <f t="shared" si="116"/>
        <v>0</v>
      </c>
      <c r="DL30" s="737">
        <f t="shared" si="117"/>
        <v>0</v>
      </c>
      <c r="DM30" s="738">
        <f t="shared" si="118"/>
        <v>0</v>
      </c>
      <c r="DN30" s="739">
        <f t="shared" si="119"/>
        <v>0</v>
      </c>
      <c r="DO30" s="737">
        <f t="shared" si="120"/>
        <v>0</v>
      </c>
      <c r="DP30" s="737">
        <f t="shared" si="121"/>
        <v>0</v>
      </c>
      <c r="DQ30" s="737">
        <f t="shared" si="122"/>
        <v>0</v>
      </c>
      <c r="DR30" s="737">
        <f t="shared" si="123"/>
        <v>0</v>
      </c>
      <c r="DS30" s="737">
        <f t="shared" si="124"/>
        <v>0</v>
      </c>
      <c r="DT30" s="737">
        <f t="shared" si="125"/>
        <v>0</v>
      </c>
      <c r="DU30" s="737">
        <f t="shared" si="126"/>
        <v>0</v>
      </c>
      <c r="DV30" s="737">
        <f t="shared" si="127"/>
        <v>0</v>
      </c>
      <c r="DW30" s="737">
        <f t="shared" si="128"/>
        <v>0</v>
      </c>
      <c r="DX30" s="737">
        <f t="shared" si="129"/>
        <v>0</v>
      </c>
      <c r="DY30" s="737">
        <f t="shared" si="130"/>
        <v>0</v>
      </c>
      <c r="DZ30" s="738">
        <f t="shared" si="131"/>
        <v>0</v>
      </c>
      <c r="EA30" s="739">
        <f t="shared" si="132"/>
        <v>0</v>
      </c>
      <c r="EB30" s="737">
        <f t="shared" ref="EB30:EM30" si="167">IFERROR(((EB14/DO14)-1)*100,)</f>
        <v>0</v>
      </c>
      <c r="EC30" s="737">
        <f t="shared" si="167"/>
        <v>0</v>
      </c>
      <c r="ED30" s="737">
        <f t="shared" si="167"/>
        <v>0</v>
      </c>
      <c r="EE30" s="737">
        <f t="shared" si="167"/>
        <v>0</v>
      </c>
      <c r="EF30" s="737">
        <f t="shared" si="167"/>
        <v>0</v>
      </c>
      <c r="EG30" s="737">
        <f t="shared" si="167"/>
        <v>0</v>
      </c>
      <c r="EH30" s="737">
        <f t="shared" si="167"/>
        <v>0</v>
      </c>
      <c r="EI30" s="737">
        <f t="shared" si="167"/>
        <v>0</v>
      </c>
      <c r="EJ30" s="737">
        <f t="shared" si="167"/>
        <v>0</v>
      </c>
      <c r="EK30" s="737">
        <f t="shared" si="167"/>
        <v>0</v>
      </c>
      <c r="EL30" s="737">
        <f t="shared" si="167"/>
        <v>0</v>
      </c>
      <c r="EM30" s="738">
        <f t="shared" si="167"/>
        <v>0</v>
      </c>
      <c r="EN30" s="739">
        <f t="shared" si="145"/>
        <v>0</v>
      </c>
      <c r="EO30" s="770">
        <f t="shared" si="161"/>
        <v>0</v>
      </c>
      <c r="EP30" s="770">
        <f t="shared" si="162"/>
        <v>0</v>
      </c>
      <c r="EQ30" s="770">
        <f t="shared" si="163"/>
        <v>0</v>
      </c>
      <c r="ER30" s="770">
        <f t="shared" si="153"/>
        <v>0</v>
      </c>
      <c r="ES30" s="770">
        <f t="shared" si="154"/>
        <v>0</v>
      </c>
      <c r="ET30" s="770">
        <f t="shared" si="159"/>
        <v>0</v>
      </c>
      <c r="EU30" s="770">
        <f t="shared" si="155"/>
        <v>0</v>
      </c>
      <c r="EV30" s="770">
        <f t="shared" si="156"/>
        <v>0</v>
      </c>
      <c r="EW30" s="770">
        <f t="shared" si="149"/>
        <v>0</v>
      </c>
      <c r="EX30" s="770">
        <f t="shared" si="150"/>
        <v>0</v>
      </c>
      <c r="EY30" s="770">
        <f t="shared" si="151"/>
        <v>0</v>
      </c>
      <c r="EZ30" s="771">
        <f t="shared" si="152"/>
        <v>0</v>
      </c>
      <c r="FA30" s="739">
        <f t="shared" si="157"/>
        <v>0</v>
      </c>
      <c r="FB30"/>
      <c r="FC30"/>
      <c r="FD30"/>
      <c r="FE30"/>
      <c r="FF30"/>
      <c r="FG30"/>
    </row>
    <row r="31" spans="1:163" s="447" customFormat="1" ht="15" customHeight="1" x14ac:dyDescent="0.25">
      <c r="A31" s="736" t="s">
        <v>573</v>
      </c>
      <c r="B31" s="737"/>
      <c r="C31" s="737"/>
      <c r="D31" s="737"/>
      <c r="E31" s="737"/>
      <c r="F31" s="737"/>
      <c r="G31" s="737"/>
      <c r="H31" s="737"/>
      <c r="I31" s="737"/>
      <c r="J31" s="737"/>
      <c r="K31" s="737"/>
      <c r="L31" s="737"/>
      <c r="M31" s="738"/>
      <c r="N31" s="739"/>
      <c r="O31" s="737">
        <f t="shared" si="16"/>
        <v>-100</v>
      </c>
      <c r="P31" s="737">
        <f t="shared" si="17"/>
        <v>-100</v>
      </c>
      <c r="Q31" s="737">
        <f t="shared" si="18"/>
        <v>-100</v>
      </c>
      <c r="R31" s="737">
        <f t="shared" si="19"/>
        <v>-100</v>
      </c>
      <c r="S31" s="737">
        <f t="shared" si="20"/>
        <v>0</v>
      </c>
      <c r="T31" s="737">
        <f t="shared" si="21"/>
        <v>0</v>
      </c>
      <c r="U31" s="737">
        <f t="shared" si="22"/>
        <v>0</v>
      </c>
      <c r="V31" s="737">
        <f t="shared" si="23"/>
        <v>0</v>
      </c>
      <c r="W31" s="737">
        <f t="shared" si="24"/>
        <v>0</v>
      </c>
      <c r="X31" s="737">
        <f t="shared" si="25"/>
        <v>0</v>
      </c>
      <c r="Y31" s="737">
        <f t="shared" si="26"/>
        <v>0</v>
      </c>
      <c r="Z31" s="738">
        <f t="shared" si="27"/>
        <v>0</v>
      </c>
      <c r="AA31" s="739">
        <f t="shared" si="28"/>
        <v>-100</v>
      </c>
      <c r="AB31" s="737">
        <f t="shared" si="29"/>
        <v>0</v>
      </c>
      <c r="AC31" s="737">
        <f t="shared" si="30"/>
        <v>0</v>
      </c>
      <c r="AD31" s="737">
        <f t="shared" si="31"/>
        <v>0</v>
      </c>
      <c r="AE31" s="737">
        <f t="shared" si="32"/>
        <v>0</v>
      </c>
      <c r="AF31" s="737">
        <f t="shared" si="33"/>
        <v>0</v>
      </c>
      <c r="AG31" s="737">
        <f t="shared" si="34"/>
        <v>0</v>
      </c>
      <c r="AH31" s="737">
        <f t="shared" si="35"/>
        <v>0</v>
      </c>
      <c r="AI31" s="737">
        <f t="shared" si="36"/>
        <v>0</v>
      </c>
      <c r="AJ31" s="737">
        <f t="shared" si="37"/>
        <v>0</v>
      </c>
      <c r="AK31" s="737">
        <f t="shared" si="38"/>
        <v>0</v>
      </c>
      <c r="AL31" s="737">
        <f t="shared" si="39"/>
        <v>0</v>
      </c>
      <c r="AM31" s="738">
        <f t="shared" si="40"/>
        <v>0</v>
      </c>
      <c r="AN31" s="739">
        <f t="shared" si="41"/>
        <v>0</v>
      </c>
      <c r="AO31" s="737">
        <f t="shared" si="42"/>
        <v>0</v>
      </c>
      <c r="AP31" s="737">
        <f t="shared" si="43"/>
        <v>0</v>
      </c>
      <c r="AQ31" s="737">
        <f t="shared" si="44"/>
        <v>0</v>
      </c>
      <c r="AR31" s="737">
        <f t="shared" si="45"/>
        <v>0</v>
      </c>
      <c r="AS31" s="737">
        <f t="shared" si="46"/>
        <v>0</v>
      </c>
      <c r="AT31" s="737">
        <f t="shared" si="47"/>
        <v>0</v>
      </c>
      <c r="AU31" s="737">
        <f t="shared" si="48"/>
        <v>0</v>
      </c>
      <c r="AV31" s="737">
        <f t="shared" si="49"/>
        <v>0</v>
      </c>
      <c r="AW31" s="737">
        <f t="shared" si="50"/>
        <v>0</v>
      </c>
      <c r="AX31" s="737">
        <f t="shared" si="51"/>
        <v>0</v>
      </c>
      <c r="AY31" s="737">
        <f t="shared" si="52"/>
        <v>0</v>
      </c>
      <c r="AZ31" s="738">
        <f t="shared" si="53"/>
        <v>0</v>
      </c>
      <c r="BA31" s="739">
        <f t="shared" si="54"/>
        <v>0</v>
      </c>
      <c r="BB31" s="737">
        <f t="shared" si="55"/>
        <v>0</v>
      </c>
      <c r="BC31" s="737">
        <f t="shared" si="56"/>
        <v>0</v>
      </c>
      <c r="BD31" s="737">
        <f t="shared" si="57"/>
        <v>0</v>
      </c>
      <c r="BE31" s="737">
        <f t="shared" si="58"/>
        <v>0</v>
      </c>
      <c r="BF31" s="737">
        <f t="shared" si="59"/>
        <v>0</v>
      </c>
      <c r="BG31" s="737">
        <f t="shared" si="60"/>
        <v>0</v>
      </c>
      <c r="BH31" s="737">
        <f t="shared" si="61"/>
        <v>0</v>
      </c>
      <c r="BI31" s="737">
        <f t="shared" si="62"/>
        <v>0</v>
      </c>
      <c r="BJ31" s="737">
        <f t="shared" si="63"/>
        <v>0</v>
      </c>
      <c r="BK31" s="737">
        <f t="shared" si="64"/>
        <v>0</v>
      </c>
      <c r="BL31" s="737">
        <f t="shared" si="65"/>
        <v>0</v>
      </c>
      <c r="BM31" s="738">
        <f t="shared" si="66"/>
        <v>0</v>
      </c>
      <c r="BN31" s="739">
        <f t="shared" si="67"/>
        <v>0</v>
      </c>
      <c r="BO31" s="737">
        <f t="shared" si="68"/>
        <v>0</v>
      </c>
      <c r="BP31" s="737">
        <f t="shared" si="69"/>
        <v>0</v>
      </c>
      <c r="BQ31" s="737">
        <f t="shared" si="70"/>
        <v>0</v>
      </c>
      <c r="BR31" s="737">
        <f t="shared" si="71"/>
        <v>0</v>
      </c>
      <c r="BS31" s="737">
        <f t="shared" si="72"/>
        <v>0</v>
      </c>
      <c r="BT31" s="737">
        <f t="shared" si="73"/>
        <v>0</v>
      </c>
      <c r="BU31" s="737">
        <f t="shared" si="74"/>
        <v>0</v>
      </c>
      <c r="BV31" s="737">
        <f t="shared" si="75"/>
        <v>0</v>
      </c>
      <c r="BW31" s="737">
        <f t="shared" si="76"/>
        <v>0</v>
      </c>
      <c r="BX31" s="737">
        <f t="shared" si="77"/>
        <v>0</v>
      </c>
      <c r="BY31" s="737">
        <f t="shared" si="78"/>
        <v>0</v>
      </c>
      <c r="BZ31" s="738">
        <f t="shared" si="79"/>
        <v>0</v>
      </c>
      <c r="CA31" s="739">
        <f t="shared" si="80"/>
        <v>0</v>
      </c>
      <c r="CB31" s="737">
        <f t="shared" si="81"/>
        <v>0</v>
      </c>
      <c r="CC31" s="737">
        <f t="shared" si="82"/>
        <v>0</v>
      </c>
      <c r="CD31" s="737">
        <f t="shared" si="83"/>
        <v>0</v>
      </c>
      <c r="CE31" s="737">
        <f t="shared" si="84"/>
        <v>0</v>
      </c>
      <c r="CF31" s="737">
        <f t="shared" si="85"/>
        <v>0</v>
      </c>
      <c r="CG31" s="737">
        <f t="shared" si="86"/>
        <v>0</v>
      </c>
      <c r="CH31" s="737">
        <f t="shared" si="87"/>
        <v>0</v>
      </c>
      <c r="CI31" s="737">
        <f t="shared" si="88"/>
        <v>0</v>
      </c>
      <c r="CJ31" s="737">
        <f t="shared" si="89"/>
        <v>0</v>
      </c>
      <c r="CK31" s="737">
        <f t="shared" si="90"/>
        <v>0</v>
      </c>
      <c r="CL31" s="737">
        <f t="shared" si="91"/>
        <v>0</v>
      </c>
      <c r="CM31" s="738">
        <f t="shared" si="92"/>
        <v>0</v>
      </c>
      <c r="CN31" s="739">
        <f t="shared" si="93"/>
        <v>0</v>
      </c>
      <c r="CO31" s="737">
        <f t="shared" si="94"/>
        <v>0</v>
      </c>
      <c r="CP31" s="737">
        <f t="shared" si="95"/>
        <v>0</v>
      </c>
      <c r="CQ31" s="737">
        <f t="shared" si="96"/>
        <v>0</v>
      </c>
      <c r="CR31" s="737">
        <f t="shared" si="97"/>
        <v>0</v>
      </c>
      <c r="CS31" s="737">
        <f t="shared" si="98"/>
        <v>0</v>
      </c>
      <c r="CT31" s="737">
        <f t="shared" si="99"/>
        <v>0</v>
      </c>
      <c r="CU31" s="737">
        <f t="shared" si="100"/>
        <v>0</v>
      </c>
      <c r="CV31" s="737">
        <f t="shared" si="101"/>
        <v>0</v>
      </c>
      <c r="CW31" s="737">
        <f t="shared" si="102"/>
        <v>0</v>
      </c>
      <c r="CX31" s="737">
        <f t="shared" si="103"/>
        <v>0</v>
      </c>
      <c r="CY31" s="737">
        <f t="shared" si="104"/>
        <v>0</v>
      </c>
      <c r="CZ31" s="738">
        <f t="shared" si="105"/>
        <v>0</v>
      </c>
      <c r="DA31" s="739">
        <f t="shared" si="106"/>
        <v>0</v>
      </c>
      <c r="DB31" s="737">
        <f t="shared" si="107"/>
        <v>0</v>
      </c>
      <c r="DC31" s="737">
        <f t="shared" si="108"/>
        <v>0</v>
      </c>
      <c r="DD31" s="737">
        <f t="shared" si="109"/>
        <v>0</v>
      </c>
      <c r="DE31" s="737">
        <f t="shared" si="110"/>
        <v>0</v>
      </c>
      <c r="DF31" s="737">
        <f t="shared" si="111"/>
        <v>0</v>
      </c>
      <c r="DG31" s="737">
        <f t="shared" si="112"/>
        <v>0</v>
      </c>
      <c r="DH31" s="737">
        <f t="shared" si="113"/>
        <v>0</v>
      </c>
      <c r="DI31" s="737">
        <f t="shared" si="114"/>
        <v>0</v>
      </c>
      <c r="DJ31" s="737">
        <f t="shared" si="115"/>
        <v>0</v>
      </c>
      <c r="DK31" s="737">
        <f t="shared" si="116"/>
        <v>0</v>
      </c>
      <c r="DL31" s="737">
        <f t="shared" si="117"/>
        <v>0</v>
      </c>
      <c r="DM31" s="738">
        <f t="shared" si="118"/>
        <v>0</v>
      </c>
      <c r="DN31" s="739">
        <f t="shared" si="119"/>
        <v>0</v>
      </c>
      <c r="DO31" s="737">
        <f t="shared" si="120"/>
        <v>0</v>
      </c>
      <c r="DP31" s="737">
        <f t="shared" si="121"/>
        <v>0</v>
      </c>
      <c r="DQ31" s="737">
        <f t="shared" si="122"/>
        <v>0</v>
      </c>
      <c r="DR31" s="737">
        <f t="shared" si="123"/>
        <v>0</v>
      </c>
      <c r="DS31" s="737">
        <f t="shared" si="124"/>
        <v>0</v>
      </c>
      <c r="DT31" s="737">
        <f t="shared" si="125"/>
        <v>0</v>
      </c>
      <c r="DU31" s="737">
        <f t="shared" si="126"/>
        <v>0</v>
      </c>
      <c r="DV31" s="737">
        <f t="shared" si="127"/>
        <v>0</v>
      </c>
      <c r="DW31" s="737">
        <f t="shared" si="128"/>
        <v>0</v>
      </c>
      <c r="DX31" s="737">
        <f t="shared" si="129"/>
        <v>0</v>
      </c>
      <c r="DY31" s="737">
        <f t="shared" si="130"/>
        <v>0</v>
      </c>
      <c r="DZ31" s="738">
        <f t="shared" si="131"/>
        <v>0</v>
      </c>
      <c r="EA31" s="739">
        <f t="shared" si="132"/>
        <v>0</v>
      </c>
      <c r="EB31" s="737">
        <f t="shared" ref="EB31:EM31" si="168">IFERROR(((EB15/DO15)-1)*100,)</f>
        <v>0</v>
      </c>
      <c r="EC31" s="737">
        <f t="shared" si="168"/>
        <v>0</v>
      </c>
      <c r="ED31" s="737">
        <f t="shared" si="168"/>
        <v>0</v>
      </c>
      <c r="EE31" s="737">
        <f t="shared" si="168"/>
        <v>0</v>
      </c>
      <c r="EF31" s="737">
        <f t="shared" si="168"/>
        <v>0</v>
      </c>
      <c r="EG31" s="737">
        <f t="shared" si="168"/>
        <v>0</v>
      </c>
      <c r="EH31" s="737">
        <f t="shared" si="168"/>
        <v>0</v>
      </c>
      <c r="EI31" s="737">
        <f t="shared" si="168"/>
        <v>0</v>
      </c>
      <c r="EJ31" s="737">
        <f t="shared" si="168"/>
        <v>0</v>
      </c>
      <c r="EK31" s="737">
        <f t="shared" si="168"/>
        <v>0</v>
      </c>
      <c r="EL31" s="737">
        <f t="shared" si="168"/>
        <v>0</v>
      </c>
      <c r="EM31" s="738">
        <f t="shared" si="168"/>
        <v>0</v>
      </c>
      <c r="EN31" s="739">
        <f t="shared" si="145"/>
        <v>0</v>
      </c>
      <c r="EO31" s="770">
        <f t="shared" si="161"/>
        <v>0</v>
      </c>
      <c r="EP31" s="770">
        <f t="shared" si="162"/>
        <v>0</v>
      </c>
      <c r="EQ31" s="770">
        <f t="shared" si="163"/>
        <v>0</v>
      </c>
      <c r="ER31" s="770">
        <f t="shared" si="153"/>
        <v>0</v>
      </c>
      <c r="ES31" s="770">
        <f t="shared" si="154"/>
        <v>0</v>
      </c>
      <c r="ET31" s="770">
        <f t="shared" si="159"/>
        <v>0</v>
      </c>
      <c r="EU31" s="770">
        <f t="shared" si="155"/>
        <v>0</v>
      </c>
      <c r="EV31" s="770">
        <f t="shared" si="156"/>
        <v>0</v>
      </c>
      <c r="EW31" s="770">
        <f t="shared" si="149"/>
        <v>0</v>
      </c>
      <c r="EX31" s="770">
        <f t="shared" si="150"/>
        <v>0</v>
      </c>
      <c r="EY31" s="770">
        <f t="shared" si="151"/>
        <v>0</v>
      </c>
      <c r="EZ31" s="771">
        <f t="shared" si="152"/>
        <v>0</v>
      </c>
      <c r="FA31" s="739">
        <f t="shared" si="157"/>
        <v>0</v>
      </c>
      <c r="FB31"/>
      <c r="FC31"/>
      <c r="FD31"/>
      <c r="FE31"/>
      <c r="FF31"/>
      <c r="FG31"/>
    </row>
    <row r="32" spans="1:163" s="447" customFormat="1" ht="15" customHeight="1" x14ac:dyDescent="0.25">
      <c r="A32" s="736"/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8"/>
      <c r="N32" s="739"/>
      <c r="O32" s="737"/>
      <c r="P32" s="737"/>
      <c r="Q32" s="737"/>
      <c r="R32" s="737"/>
      <c r="S32" s="737"/>
      <c r="T32" s="737"/>
      <c r="U32" s="737"/>
      <c r="V32" s="737"/>
      <c r="W32" s="737"/>
      <c r="X32" s="737"/>
      <c r="Y32" s="737"/>
      <c r="Z32" s="738"/>
      <c r="AA32" s="739"/>
      <c r="AB32" s="737"/>
      <c r="AC32" s="737"/>
      <c r="AD32" s="737"/>
      <c r="AE32" s="737"/>
      <c r="AF32" s="737"/>
      <c r="AG32" s="737"/>
      <c r="AH32" s="737"/>
      <c r="AI32" s="737"/>
      <c r="AJ32" s="737"/>
      <c r="AK32" s="737"/>
      <c r="AL32" s="737"/>
      <c r="AM32" s="738"/>
      <c r="AN32" s="739"/>
      <c r="AO32" s="737"/>
      <c r="AP32" s="737"/>
      <c r="AQ32" s="737"/>
      <c r="AR32" s="737"/>
      <c r="AS32" s="737"/>
      <c r="AT32" s="737"/>
      <c r="AU32" s="737"/>
      <c r="AV32" s="737"/>
      <c r="AW32" s="737"/>
      <c r="AX32" s="737"/>
      <c r="AY32" s="737"/>
      <c r="AZ32" s="738"/>
      <c r="BA32" s="739"/>
      <c r="BB32" s="737"/>
      <c r="BC32" s="737"/>
      <c r="BD32" s="737"/>
      <c r="BE32" s="737"/>
      <c r="BF32" s="737"/>
      <c r="BG32" s="737"/>
      <c r="BH32" s="737"/>
      <c r="BI32" s="737"/>
      <c r="BJ32" s="737"/>
      <c r="BK32" s="737"/>
      <c r="BL32" s="737"/>
      <c r="BM32" s="738"/>
      <c r="BN32" s="739"/>
      <c r="BO32" s="737"/>
      <c r="BP32" s="737"/>
      <c r="BQ32" s="737"/>
      <c r="BR32" s="737"/>
      <c r="BS32" s="737"/>
      <c r="BT32" s="737"/>
      <c r="BU32" s="737"/>
      <c r="BV32" s="737"/>
      <c r="BW32" s="737"/>
      <c r="BX32" s="737"/>
      <c r="BY32" s="737"/>
      <c r="BZ32" s="738"/>
      <c r="CA32" s="739"/>
      <c r="CB32" s="737"/>
      <c r="CC32" s="737"/>
      <c r="CD32" s="737"/>
      <c r="CE32" s="737"/>
      <c r="CF32" s="737"/>
      <c r="CG32" s="737"/>
      <c r="CH32" s="737"/>
      <c r="CI32" s="737"/>
      <c r="CJ32" s="737"/>
      <c r="CK32" s="737"/>
      <c r="CL32" s="737"/>
      <c r="CM32" s="738"/>
      <c r="CN32" s="739"/>
      <c r="CO32" s="737"/>
      <c r="CP32" s="737"/>
      <c r="CQ32" s="737"/>
      <c r="CR32" s="737"/>
      <c r="CS32" s="737"/>
      <c r="CT32" s="737"/>
      <c r="CU32" s="737"/>
      <c r="CV32" s="737"/>
      <c r="CW32" s="737"/>
      <c r="CX32" s="737"/>
      <c r="CY32" s="737"/>
      <c r="CZ32" s="738"/>
      <c r="DA32" s="739"/>
      <c r="DB32" s="737"/>
      <c r="DC32" s="737"/>
      <c r="DD32" s="737"/>
      <c r="DE32" s="737"/>
      <c r="DF32" s="737"/>
      <c r="DG32" s="737"/>
      <c r="DH32" s="737"/>
      <c r="DI32" s="737"/>
      <c r="DJ32" s="737"/>
      <c r="DK32" s="737"/>
      <c r="DL32" s="737"/>
      <c r="DM32" s="738"/>
      <c r="DN32" s="739"/>
      <c r="DO32" s="737"/>
      <c r="DP32" s="737"/>
      <c r="DQ32" s="737"/>
      <c r="DR32" s="737"/>
      <c r="DS32" s="737"/>
      <c r="DT32" s="737"/>
      <c r="DU32" s="737"/>
      <c r="DV32" s="737"/>
      <c r="DW32" s="737"/>
      <c r="DX32" s="737"/>
      <c r="DY32" s="737"/>
      <c r="DZ32" s="738"/>
      <c r="EA32" s="739"/>
      <c r="EB32" s="737">
        <f t="shared" ref="EB32:EM32" si="169">IFERROR(((EB16/DO16)-1)*100,)</f>
        <v>0</v>
      </c>
      <c r="EC32" s="737">
        <f t="shared" si="169"/>
        <v>0</v>
      </c>
      <c r="ED32" s="737">
        <f t="shared" si="169"/>
        <v>0</v>
      </c>
      <c r="EE32" s="737">
        <f t="shared" si="169"/>
        <v>0</v>
      </c>
      <c r="EF32" s="737">
        <f t="shared" si="169"/>
        <v>0</v>
      </c>
      <c r="EG32" s="737">
        <f t="shared" si="169"/>
        <v>0</v>
      </c>
      <c r="EH32" s="737">
        <f t="shared" si="169"/>
        <v>0</v>
      </c>
      <c r="EI32" s="737">
        <f t="shared" si="169"/>
        <v>0</v>
      </c>
      <c r="EJ32" s="737">
        <f t="shared" si="169"/>
        <v>0</v>
      </c>
      <c r="EK32" s="737">
        <f t="shared" si="169"/>
        <v>0</v>
      </c>
      <c r="EL32" s="737">
        <f t="shared" si="169"/>
        <v>0</v>
      </c>
      <c r="EM32" s="738">
        <f t="shared" si="169"/>
        <v>0</v>
      </c>
      <c r="EN32" s="739"/>
      <c r="EO32" s="770">
        <f t="shared" si="161"/>
        <v>0</v>
      </c>
      <c r="EP32" s="770">
        <f t="shared" si="162"/>
        <v>0</v>
      </c>
      <c r="EQ32" s="770">
        <f t="shared" si="163"/>
        <v>0</v>
      </c>
      <c r="ER32" s="770">
        <f t="shared" si="153"/>
        <v>0</v>
      </c>
      <c r="ES32" s="770">
        <f t="shared" si="154"/>
        <v>0</v>
      </c>
      <c r="ET32" s="770">
        <f>IFERROR(((ET16/EG16)-1)*100,)</f>
        <v>0</v>
      </c>
      <c r="EU32" s="770">
        <f t="shared" si="155"/>
        <v>0</v>
      </c>
      <c r="EV32" s="770">
        <f t="shared" si="156"/>
        <v>0</v>
      </c>
      <c r="EW32" s="770"/>
      <c r="EX32" s="770"/>
      <c r="EY32" s="770"/>
      <c r="EZ32" s="771"/>
      <c r="FA32" s="739">
        <f t="shared" si="157"/>
        <v>0</v>
      </c>
      <c r="FB32"/>
      <c r="FC32"/>
      <c r="FD32"/>
      <c r="FE32"/>
      <c r="FF32"/>
      <c r="FG32"/>
    </row>
    <row r="33" spans="1:163" s="447" customFormat="1" ht="15" customHeight="1" x14ac:dyDescent="0.25">
      <c r="A33" s="740" t="s">
        <v>0</v>
      </c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2"/>
      <c r="N33" s="743"/>
      <c r="O33" s="741">
        <f t="shared" ref="O33:AD33" si="170">IFERROR(((O17/B17)-1)*100,)</f>
        <v>16.903594358794539</v>
      </c>
      <c r="P33" s="741">
        <f t="shared" si="170"/>
        <v>13.401051199497926</v>
      </c>
      <c r="Q33" s="741">
        <f t="shared" si="170"/>
        <v>-3.3106223932600765</v>
      </c>
      <c r="R33" s="741">
        <f t="shared" si="170"/>
        <v>6.5760540107313581</v>
      </c>
      <c r="S33" s="741">
        <f t="shared" si="170"/>
        <v>17.149806329404484</v>
      </c>
      <c r="T33" s="741">
        <f t="shared" si="170"/>
        <v>2.619332105806782</v>
      </c>
      <c r="U33" s="741">
        <f t="shared" si="170"/>
        <v>-4.0154906015846592</v>
      </c>
      <c r="V33" s="741">
        <f t="shared" si="170"/>
        <v>7.7603260976659927</v>
      </c>
      <c r="W33" s="741">
        <f t="shared" si="170"/>
        <v>7.7899748416164538</v>
      </c>
      <c r="X33" s="741">
        <f t="shared" si="170"/>
        <v>-1.8275144353637529</v>
      </c>
      <c r="Y33" s="741">
        <f t="shared" si="170"/>
        <v>-4.7135035873196003</v>
      </c>
      <c r="Z33" s="742">
        <f t="shared" si="170"/>
        <v>-1.2373362499953799</v>
      </c>
      <c r="AA33" s="743">
        <f t="shared" si="170"/>
        <v>4.2601934126997643</v>
      </c>
      <c r="AB33" s="741">
        <f t="shared" si="170"/>
        <v>-12.032697828677353</v>
      </c>
      <c r="AC33" s="741">
        <f t="shared" si="170"/>
        <v>0.50983228874887931</v>
      </c>
      <c r="AD33" s="741">
        <f t="shared" si="170"/>
        <v>2.1096002998747476</v>
      </c>
      <c r="AE33" s="741">
        <f t="shared" ref="AE33:AS33" si="171">IFERROR(((AE17/R17)-1)*100,)</f>
        <v>-10.806901713263528</v>
      </c>
      <c r="AF33" s="741">
        <f t="shared" si="171"/>
        <v>4.5999648492323075E-2</v>
      </c>
      <c r="AG33" s="741">
        <f t="shared" si="171"/>
        <v>16.288797180011262</v>
      </c>
      <c r="AH33" s="741">
        <f t="shared" si="171"/>
        <v>18.79571137082938</v>
      </c>
      <c r="AI33" s="741">
        <f t="shared" si="171"/>
        <v>19.295109468366768</v>
      </c>
      <c r="AJ33" s="741">
        <f t="shared" si="171"/>
        <v>13.686927430054418</v>
      </c>
      <c r="AK33" s="741">
        <f t="shared" si="171"/>
        <v>20.7479488596084</v>
      </c>
      <c r="AL33" s="741">
        <f t="shared" si="171"/>
        <v>19.200923218662382</v>
      </c>
      <c r="AM33" s="742">
        <f t="shared" si="171"/>
        <v>3.9160961140485284</v>
      </c>
      <c r="AN33" s="743">
        <f t="shared" si="171"/>
        <v>7.8886780371881793</v>
      </c>
      <c r="AO33" s="741">
        <f t="shared" si="171"/>
        <v>18.134927830610657</v>
      </c>
      <c r="AP33" s="741">
        <f t="shared" si="171"/>
        <v>-4.8807452315496764</v>
      </c>
      <c r="AQ33" s="741">
        <f t="shared" si="171"/>
        <v>-7.5925360288343064</v>
      </c>
      <c r="AR33" s="741">
        <f t="shared" si="171"/>
        <v>18.27434947026525</v>
      </c>
      <c r="AS33" s="741">
        <f t="shared" si="171"/>
        <v>-5.4604026074692724</v>
      </c>
      <c r="AT33" s="741">
        <f t="shared" ref="AT33:BZ33" si="172">IFERROR(((AT17/AG17)-1)*100,)</f>
        <v>-6.6283399142023747</v>
      </c>
      <c r="AU33" s="741">
        <f t="shared" si="172"/>
        <v>-7.2681934671710131</v>
      </c>
      <c r="AV33" s="741">
        <f t="shared" si="172"/>
        <v>-6.2527600463890165</v>
      </c>
      <c r="AW33" s="741">
        <f t="shared" si="172"/>
        <v>-16.962140641113933</v>
      </c>
      <c r="AX33" s="741">
        <f t="shared" si="172"/>
        <v>-14.388147303248322</v>
      </c>
      <c r="AY33" s="741">
        <f t="shared" si="172"/>
        <v>-14.372466538882611</v>
      </c>
      <c r="AZ33" s="742">
        <f t="shared" si="172"/>
        <v>18.676708270189678</v>
      </c>
      <c r="BA33" s="743">
        <f t="shared" si="172"/>
        <v>-3.5722736207528638</v>
      </c>
      <c r="BB33" s="741">
        <f t="shared" si="172"/>
        <v>14.87430716775091</v>
      </c>
      <c r="BC33" s="741">
        <f t="shared" si="172"/>
        <v>4.6303263689885688</v>
      </c>
      <c r="BD33" s="741">
        <f t="shared" si="172"/>
        <v>16.298619707211891</v>
      </c>
      <c r="BE33" s="741">
        <f t="shared" si="172"/>
        <v>12.557931720347892</v>
      </c>
      <c r="BF33" s="741">
        <f t="shared" si="172"/>
        <v>-18.460272580085135</v>
      </c>
      <c r="BG33" s="741">
        <f t="shared" si="172"/>
        <v>-10.01302068552854</v>
      </c>
      <c r="BH33" s="741">
        <f t="shared" si="172"/>
        <v>-12.760480912543148</v>
      </c>
      <c r="BI33" s="741">
        <f t="shared" si="172"/>
        <v>-28.843035652547535</v>
      </c>
      <c r="BJ33" s="741">
        <f t="shared" si="172"/>
        <v>4.5056167557796289</v>
      </c>
      <c r="BK33" s="741">
        <f t="shared" si="172"/>
        <v>-10.554246999179329</v>
      </c>
      <c r="BL33" s="741">
        <f t="shared" si="172"/>
        <v>-11.363569589053091</v>
      </c>
      <c r="BM33" s="742">
        <f t="shared" si="172"/>
        <v>-23.936687524579238</v>
      </c>
      <c r="BN33" s="743">
        <f t="shared" si="172"/>
        <v>-6.4543215976381907</v>
      </c>
      <c r="BO33" s="741">
        <f t="shared" si="172"/>
        <v>4.905696144750471</v>
      </c>
      <c r="BP33" s="741">
        <f t="shared" si="172"/>
        <v>12.238166054776878</v>
      </c>
      <c r="BQ33" s="741">
        <f t="shared" si="172"/>
        <v>-24.876741888038524</v>
      </c>
      <c r="BR33" s="741">
        <f t="shared" si="172"/>
        <v>-95.011183417936536</v>
      </c>
      <c r="BS33" s="741">
        <f t="shared" si="172"/>
        <v>-82.712268689198922</v>
      </c>
      <c r="BT33" s="741">
        <f t="shared" si="172"/>
        <v>-4.0007697624425571</v>
      </c>
      <c r="BU33" s="741">
        <f t="shared" si="172"/>
        <v>32.648948789120034</v>
      </c>
      <c r="BV33" s="741">
        <f t="shared" si="172"/>
        <v>60.818540316337824</v>
      </c>
      <c r="BW33" s="741">
        <f t="shared" si="172"/>
        <v>26.989048822078733</v>
      </c>
      <c r="BX33" s="741">
        <f t="shared" si="172"/>
        <v>27.669873427434833</v>
      </c>
      <c r="BY33" s="741">
        <f t="shared" si="172"/>
        <v>32.316860469176191</v>
      </c>
      <c r="BZ33" s="742">
        <f t="shared" si="172"/>
        <v>44.571891006232043</v>
      </c>
      <c r="CA33" s="743">
        <f t="shared" ref="CA33:CP33" si="173">IFERROR(((CA17/BN17)-1)*100,)</f>
        <v>1.9205211792532539</v>
      </c>
      <c r="CB33" s="741">
        <f t="shared" si="173"/>
        <v>30.314565681242357</v>
      </c>
      <c r="CC33" s="741">
        <f t="shared" si="173"/>
        <v>62.739893126523683</v>
      </c>
      <c r="CD33" s="741">
        <f t="shared" si="173"/>
        <v>51.850955103922971</v>
      </c>
      <c r="CE33" s="741">
        <f t="shared" si="173"/>
        <v>1798.4896386914791</v>
      </c>
      <c r="CF33" s="741">
        <f t="shared" si="173"/>
        <v>593.07418533523753</v>
      </c>
      <c r="CG33" s="741">
        <f t="shared" si="173"/>
        <v>20.757575508063809</v>
      </c>
      <c r="CH33" s="741">
        <f t="shared" si="173"/>
        <v>4.5097754115869026</v>
      </c>
      <c r="CI33" s="741">
        <f t="shared" si="173"/>
        <v>-8.8807991070306347</v>
      </c>
      <c r="CJ33" s="741">
        <f t="shared" si="173"/>
        <v>-0.46911917220128219</v>
      </c>
      <c r="CK33" s="741">
        <f t="shared" si="173"/>
        <v>11.522828727272572</v>
      </c>
      <c r="CL33" s="741">
        <f t="shared" si="173"/>
        <v>6.5373498294421628</v>
      </c>
      <c r="CM33" s="742">
        <f t="shared" si="173"/>
        <v>-15.360913502045859</v>
      </c>
      <c r="CN33" s="743">
        <f t="shared" si="173"/>
        <v>28.463864425338659</v>
      </c>
      <c r="CO33" s="741">
        <f t="shared" si="173"/>
        <v>-30.158464971613174</v>
      </c>
      <c r="CP33" s="741">
        <f t="shared" si="173"/>
        <v>-49.336227694224796</v>
      </c>
      <c r="CQ33" s="741">
        <f t="shared" ref="CQ33:DD33" si="174">IFERROR(((CQ17/CD17)-1)*100,)</f>
        <v>3.8876337012139217E-2</v>
      </c>
      <c r="CR33" s="741">
        <f t="shared" si="174"/>
        <v>7.953469543014946</v>
      </c>
      <c r="CS33" s="741">
        <f t="shared" si="174"/>
        <v>24.506057714376773</v>
      </c>
      <c r="CT33" s="741">
        <f t="shared" si="174"/>
        <v>11.187291721571935</v>
      </c>
      <c r="CU33" s="741">
        <f t="shared" si="174"/>
        <v>-12.692913440161291</v>
      </c>
      <c r="CV33" s="741">
        <f t="shared" si="174"/>
        <v>37.078995671732315</v>
      </c>
      <c r="CW33" s="741">
        <f t="shared" si="174"/>
        <v>-1.4574281793417798</v>
      </c>
      <c r="CX33" s="741">
        <f t="shared" si="174"/>
        <v>-14.692422427140317</v>
      </c>
      <c r="CY33" s="741">
        <f t="shared" si="174"/>
        <v>-10.69604349658575</v>
      </c>
      <c r="CZ33" s="742">
        <f t="shared" si="174"/>
        <v>-9.2618327640964448</v>
      </c>
      <c r="DA33" s="743">
        <f t="shared" si="174"/>
        <v>-6.7378054293714467</v>
      </c>
      <c r="DB33" s="741">
        <f t="shared" si="174"/>
        <v>-12.28273467923171</v>
      </c>
      <c r="DC33" s="741">
        <f t="shared" si="174"/>
        <v>35.801892870495379</v>
      </c>
      <c r="DD33" s="741">
        <f t="shared" si="174"/>
        <v>28.39545513440882</v>
      </c>
      <c r="DE33" s="741">
        <f t="shared" ref="DE33:EM33" si="175">IFERROR(((DE17/CR17)-1)*100,)</f>
        <v>-20.534105700497165</v>
      </c>
      <c r="DF33" s="741">
        <f t="shared" si="175"/>
        <v>-26.84864137679974</v>
      </c>
      <c r="DG33" s="741">
        <f t="shared" si="175"/>
        <v>-31.083168032797779</v>
      </c>
      <c r="DH33" s="741">
        <f t="shared" si="175"/>
        <v>-10.739356249056698</v>
      </c>
      <c r="DI33" s="741">
        <f t="shared" si="175"/>
        <v>-44.061651260747823</v>
      </c>
      <c r="DJ33" s="741">
        <f t="shared" si="175"/>
        <v>-50.48361724914708</v>
      </c>
      <c r="DK33" s="741">
        <f t="shared" si="175"/>
        <v>-15.946506931272243</v>
      </c>
      <c r="DL33" s="741">
        <f t="shared" si="175"/>
        <v>-7.8244576470970939</v>
      </c>
      <c r="DM33" s="742">
        <f t="shared" si="175"/>
        <v>-6.1690438634094509</v>
      </c>
      <c r="DN33" s="743">
        <f t="shared" si="175"/>
        <v>-16.331016390816298</v>
      </c>
      <c r="DO33" s="741">
        <f t="shared" si="175"/>
        <v>-19.542111605683342</v>
      </c>
      <c r="DP33" s="741">
        <f t="shared" si="175"/>
        <v>-37.756147585651831</v>
      </c>
      <c r="DQ33" s="741">
        <f t="shared" si="175"/>
        <v>-30.389675783540003</v>
      </c>
      <c r="DR33" s="741">
        <f t="shared" si="175"/>
        <v>-10.650782792101731</v>
      </c>
      <c r="DS33" s="741">
        <f t="shared" si="175"/>
        <v>-10.986046461393483</v>
      </c>
      <c r="DT33" s="741">
        <f t="shared" si="175"/>
        <v>-10.872354478977208</v>
      </c>
      <c r="DU33" s="741">
        <f t="shared" si="175"/>
        <v>-8.6824072100246568</v>
      </c>
      <c r="DV33" s="741">
        <f t="shared" si="175"/>
        <v>4.9818043313513805</v>
      </c>
      <c r="DW33" s="741">
        <f t="shared" si="175"/>
        <v>50.832819699817748</v>
      </c>
      <c r="DX33" s="741">
        <f t="shared" si="175"/>
        <v>-3.5254192308947663</v>
      </c>
      <c r="DY33" s="741">
        <f t="shared" si="175"/>
        <v>-15.997760380939274</v>
      </c>
      <c r="DZ33" s="742">
        <f t="shared" si="175"/>
        <v>-9.0594933063137812</v>
      </c>
      <c r="EA33" s="743">
        <f t="shared" si="175"/>
        <v>-11.520710303065961</v>
      </c>
      <c r="EB33" s="741">
        <f t="shared" si="175"/>
        <v>14.984798112090992</v>
      </c>
      <c r="EC33" s="741">
        <f t="shared" si="175"/>
        <v>22.164473682152774</v>
      </c>
      <c r="ED33" s="741">
        <f t="shared" si="175"/>
        <v>-18.586291532646005</v>
      </c>
      <c r="EE33" s="741">
        <f t="shared" si="175"/>
        <v>13.324469940009553</v>
      </c>
      <c r="EF33" s="741">
        <f t="shared" si="175"/>
        <v>17.2073218751041</v>
      </c>
      <c r="EG33" s="741">
        <f t="shared" si="175"/>
        <v>15.885861660329748</v>
      </c>
      <c r="EH33" s="741">
        <f t="shared" si="175"/>
        <v>2.66350957667989</v>
      </c>
      <c r="EI33" s="741">
        <f t="shared" si="175"/>
        <v>-6.2304164353167995</v>
      </c>
      <c r="EJ33" s="741">
        <f t="shared" si="175"/>
        <v>-6.074513220726752</v>
      </c>
      <c r="EK33" s="741">
        <f t="shared" si="175"/>
        <v>-1.0851304066461953</v>
      </c>
      <c r="EL33" s="741">
        <f t="shared" si="175"/>
        <v>-5.9857596767016297</v>
      </c>
      <c r="EM33" s="742">
        <f t="shared" si="175"/>
        <v>22.911986366638605</v>
      </c>
      <c r="EN33" s="743">
        <f t="shared" ref="EN33:ES33" si="176">IFERROR(((EN17/EA17)-1)*100,)</f>
        <v>4.8050643423679817</v>
      </c>
      <c r="EO33" s="741">
        <f t="shared" si="176"/>
        <v>-16.119876102087705</v>
      </c>
      <c r="EP33" s="741">
        <f t="shared" si="176"/>
        <v>-9.9610483934003629</v>
      </c>
      <c r="EQ33" s="741">
        <f t="shared" si="176"/>
        <v>13.873942927500217</v>
      </c>
      <c r="ER33" s="741">
        <f t="shared" si="176"/>
        <v>-10.077384954766277</v>
      </c>
      <c r="ES33" s="741">
        <f t="shared" si="176"/>
        <v>-9.0803145375243801</v>
      </c>
      <c r="ET33" s="741">
        <f>IFERROR(((ET17/EG17)-1)*100,)</f>
        <v>-0.46506054664841034</v>
      </c>
      <c r="EU33" s="741">
        <f t="shared" si="155"/>
        <v>-1.297203645025613</v>
      </c>
      <c r="EV33" s="741">
        <f t="shared" si="156"/>
        <v>-3.8730752470129803</v>
      </c>
      <c r="EW33" s="741">
        <f t="shared" ref="EW33:EZ33" si="177">IFERROR(((EW17/DW17)-1)*100,)</f>
        <v>-100</v>
      </c>
      <c r="EX33" s="741">
        <f t="shared" si="177"/>
        <v>-100</v>
      </c>
      <c r="EY33" s="741">
        <f t="shared" si="177"/>
        <v>-100</v>
      </c>
      <c r="EZ33" s="742">
        <f t="shared" si="177"/>
        <v>-100</v>
      </c>
      <c r="FA33" s="743">
        <f t="shared" si="157"/>
        <v>-6.9464292222935153</v>
      </c>
      <c r="FB33"/>
      <c r="FC33"/>
      <c r="FD33"/>
      <c r="FE33"/>
      <c r="FF33"/>
      <c r="FG33"/>
    </row>
    <row r="34" spans="1:163" ht="15" customHeight="1" x14ac:dyDescent="0.25">
      <c r="A34" s="779" t="s">
        <v>654</v>
      </c>
    </row>
  </sheetData>
  <mergeCells count="2">
    <mergeCell ref="FC4:FD4"/>
    <mergeCell ref="A4:A5"/>
  </mergeCells>
  <printOptions horizontalCentered="1" verticalCentered="1"/>
  <pageMargins left="0.23622047244094491" right="0.15748031496062992" top="0.98425196850393704" bottom="0.43307086614173229" header="0" footer="0"/>
  <pageSetup paperSize="9" scale="10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K28"/>
  <sheetViews>
    <sheetView showGridLines="0" view="pageBreakPreview" zoomScaleNormal="90" zoomScaleSheetLayoutView="100" workbookViewId="0">
      <pane xSplit="1" topLeftCell="EC1" activePane="topRight" state="frozen"/>
      <selection activeCell="DO55" sqref="DO55:EP55"/>
      <selection pane="topRight" activeCell="EL12" sqref="EL12:EM13"/>
    </sheetView>
  </sheetViews>
  <sheetFormatPr baseColWidth="10" defaultColWidth="10.7109375" defaultRowHeight="15" customHeight="1" x14ac:dyDescent="0.25"/>
  <cols>
    <col min="1" max="1" width="20.7109375" style="126" customWidth="1"/>
    <col min="2" max="157" width="10.7109375" style="126"/>
    <col min="159" max="16384" width="10.7109375" style="126"/>
  </cols>
  <sheetData>
    <row r="1" spans="1:167" ht="15" customHeight="1" x14ac:dyDescent="0.25">
      <c r="A1" s="772" t="s">
        <v>284</v>
      </c>
    </row>
    <row r="2" spans="1:167" ht="15" customHeight="1" x14ac:dyDescent="0.25">
      <c r="A2" s="772" t="s">
        <v>357</v>
      </c>
    </row>
    <row r="3" spans="1:167" ht="15" customHeight="1" x14ac:dyDescent="0.25">
      <c r="A3" s="773" t="s">
        <v>93</v>
      </c>
    </row>
    <row r="4" spans="1:167" s="795" customFormat="1" ht="15" customHeight="1" x14ac:dyDescent="0.25">
      <c r="A4" s="794"/>
      <c r="B4" s="683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07" t="s">
        <v>83</v>
      </c>
      <c r="O4" s="683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07" t="s">
        <v>83</v>
      </c>
      <c r="AB4" s="683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07" t="s">
        <v>83</v>
      </c>
      <c r="AO4" s="683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07" t="s">
        <v>83</v>
      </c>
      <c r="BB4" s="683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07" t="s">
        <v>83</v>
      </c>
      <c r="BO4" s="683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07" t="s">
        <v>83</v>
      </c>
      <c r="CB4" s="683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07" t="s">
        <v>83</v>
      </c>
      <c r="CO4" s="683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07" t="s">
        <v>83</v>
      </c>
      <c r="DB4" s="683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07" t="s">
        <v>83</v>
      </c>
      <c r="DO4" s="683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07" t="s">
        <v>83</v>
      </c>
      <c r="EB4" s="683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07" t="s">
        <v>83</v>
      </c>
      <c r="EO4" s="683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707" t="s">
        <v>83</v>
      </c>
      <c r="FB4" s="753"/>
      <c r="FC4" s="984" t="str">
        <f>CONCATENATE("Var.% ",FF4,"/",FE4)</f>
        <v>Var.% 2026/2025</v>
      </c>
      <c r="FD4" s="985"/>
      <c r="FE4" s="728">
        <f>FF4-1</f>
        <v>2025</v>
      </c>
      <c r="FF4" s="728">
        <f>YEAR(FC5)</f>
        <v>2026</v>
      </c>
    </row>
    <row r="5" spans="1:167" s="795" customFormat="1" ht="15" customHeight="1" x14ac:dyDescent="0.25">
      <c r="A5" s="796"/>
      <c r="B5" s="711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12">
        <f>YEAR(M5)</f>
        <v>2015</v>
      </c>
      <c r="O5" s="711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12">
        <f>YEAR(Z5)</f>
        <v>2016</v>
      </c>
      <c r="AB5" s="711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12">
        <f>YEAR(AM5)</f>
        <v>2017</v>
      </c>
      <c r="AO5" s="711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12">
        <f>YEAR(AZ5)</f>
        <v>2018</v>
      </c>
      <c r="BB5" s="711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12">
        <f>YEAR(BM5)</f>
        <v>2019</v>
      </c>
      <c r="BO5" s="711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12">
        <f>YEAR(BZ5)</f>
        <v>2020</v>
      </c>
      <c r="CB5" s="711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12">
        <f>YEAR(CM5)</f>
        <v>2021</v>
      </c>
      <c r="CO5" s="711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12">
        <f>YEAR(CZ5)</f>
        <v>2022</v>
      </c>
      <c r="DB5" s="711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12">
        <f>YEAR(DM5)</f>
        <v>2023</v>
      </c>
      <c r="DO5" s="711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12">
        <f>YEAR(DZ5)</f>
        <v>2024</v>
      </c>
      <c r="EB5" s="711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12">
        <f>YEAR(EM5)</f>
        <v>2025</v>
      </c>
      <c r="EO5" s="711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645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12">
        <f>YEAR(EZ5)</f>
        <v>2026</v>
      </c>
      <c r="FB5" s="753"/>
      <c r="FC5" s="485">
        <f>EX5</f>
        <v>46296</v>
      </c>
      <c r="FD5" s="487" t="str">
        <f>CONCATENATE("Ene.-",TEXT(FC5,"MMM."))</f>
        <v>Ene.-Oct.</v>
      </c>
      <c r="FE5" s="487" t="str">
        <f>FD5</f>
        <v>Ene.-Oct.</v>
      </c>
      <c r="FF5" s="487" t="str">
        <f>FD5</f>
        <v>Ene.-Oct.</v>
      </c>
    </row>
    <row r="6" spans="1:167" ht="15" customHeight="1" x14ac:dyDescent="0.25">
      <c r="A6" s="135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5"/>
      <c r="O6" s="164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5"/>
      <c r="AB6" s="164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5"/>
      <c r="AO6" s="164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5"/>
      <c r="BB6" s="164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5"/>
      <c r="BO6" s="164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5"/>
      <c r="CB6" s="164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5"/>
      <c r="CO6" s="164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5"/>
      <c r="DB6" s="164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5"/>
      <c r="DO6" s="164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5"/>
      <c r="EB6" s="164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5"/>
      <c r="EO6" s="164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5"/>
      <c r="FC6" s="139"/>
      <c r="FD6" s="167"/>
      <c r="FE6" s="140"/>
      <c r="FF6" s="143"/>
    </row>
    <row r="7" spans="1:167" s="793" customFormat="1" ht="15" customHeight="1" x14ac:dyDescent="0.25">
      <c r="A7" s="786" t="s">
        <v>85</v>
      </c>
      <c r="B7" s="787">
        <f t="shared" ref="B7:O7" si="0">SUM(B8:B9)</f>
        <v>34555</v>
      </c>
      <c r="C7" s="788">
        <f t="shared" si="0"/>
        <v>35232</v>
      </c>
      <c r="D7" s="788">
        <f t="shared" si="0"/>
        <v>36880</v>
      </c>
      <c r="E7" s="788">
        <f t="shared" si="0"/>
        <v>35612</v>
      </c>
      <c r="F7" s="788">
        <f t="shared" si="0"/>
        <v>43990</v>
      </c>
      <c r="G7" s="788">
        <f t="shared" si="0"/>
        <v>44395</v>
      </c>
      <c r="H7" s="788">
        <f t="shared" si="0"/>
        <v>40066</v>
      </c>
      <c r="I7" s="788">
        <f t="shared" si="0"/>
        <v>35785</v>
      </c>
      <c r="J7" s="788">
        <f t="shared" si="0"/>
        <v>32574</v>
      </c>
      <c r="K7" s="788">
        <f t="shared" si="0"/>
        <v>49796</v>
      </c>
      <c r="L7" s="788">
        <f t="shared" si="0"/>
        <v>44585</v>
      </c>
      <c r="M7" s="788">
        <f t="shared" si="0"/>
        <v>44348</v>
      </c>
      <c r="N7" s="789">
        <f>SUM(B7:M7)</f>
        <v>477818</v>
      </c>
      <c r="O7" s="787">
        <f t="shared" si="0"/>
        <v>34804</v>
      </c>
      <c r="P7" s="788">
        <f t="shared" ref="P7:Z7" si="1">P8+P9</f>
        <v>41007</v>
      </c>
      <c r="Q7" s="788">
        <f t="shared" si="1"/>
        <v>37517</v>
      </c>
      <c r="R7" s="788">
        <f t="shared" si="1"/>
        <v>41508</v>
      </c>
      <c r="S7" s="788">
        <f t="shared" si="1"/>
        <v>41218</v>
      </c>
      <c r="T7" s="788">
        <f t="shared" si="1"/>
        <v>32035</v>
      </c>
      <c r="U7" s="788">
        <f t="shared" si="1"/>
        <v>38645</v>
      </c>
      <c r="V7" s="788">
        <f t="shared" si="1"/>
        <v>40689</v>
      </c>
      <c r="W7" s="788">
        <f t="shared" si="1"/>
        <v>38018</v>
      </c>
      <c r="X7" s="788">
        <f t="shared" si="1"/>
        <v>34982</v>
      </c>
      <c r="Y7" s="788">
        <f t="shared" si="1"/>
        <v>35422</v>
      </c>
      <c r="Z7" s="788">
        <f t="shared" si="1"/>
        <v>31837</v>
      </c>
      <c r="AA7" s="789">
        <f>SUM(O7:Z7)</f>
        <v>447682</v>
      </c>
      <c r="AB7" s="787">
        <f t="shared" ref="AB7:BZ7" si="2">SUM(AB8:AB9)</f>
        <v>31853</v>
      </c>
      <c r="AC7" s="788">
        <f t="shared" si="2"/>
        <v>29757</v>
      </c>
      <c r="AD7" s="788">
        <f t="shared" si="2"/>
        <v>33046</v>
      </c>
      <c r="AE7" s="788">
        <f t="shared" si="2"/>
        <v>29280</v>
      </c>
      <c r="AF7" s="788">
        <f t="shared" si="2"/>
        <v>29514</v>
      </c>
      <c r="AG7" s="788">
        <f t="shared" si="2"/>
        <v>31420</v>
      </c>
      <c r="AH7" s="788">
        <f t="shared" si="2"/>
        <v>32006</v>
      </c>
      <c r="AI7" s="788">
        <f t="shared" si="2"/>
        <v>30805</v>
      </c>
      <c r="AJ7" s="788">
        <f t="shared" si="2"/>
        <v>32767</v>
      </c>
      <c r="AK7" s="788">
        <f t="shared" si="2"/>
        <v>32484</v>
      </c>
      <c r="AL7" s="788">
        <f t="shared" si="2"/>
        <v>31887</v>
      </c>
      <c r="AM7" s="788">
        <f t="shared" si="2"/>
        <v>31429</v>
      </c>
      <c r="AN7" s="789">
        <f>SUM(AB7:AM7)</f>
        <v>376248</v>
      </c>
      <c r="AO7" s="787">
        <f t="shared" si="2"/>
        <v>32522</v>
      </c>
      <c r="AP7" s="788">
        <f t="shared" si="2"/>
        <v>31437</v>
      </c>
      <c r="AQ7" s="788">
        <f t="shared" si="2"/>
        <v>34453</v>
      </c>
      <c r="AR7" s="788">
        <f t="shared" si="2"/>
        <v>33839</v>
      </c>
      <c r="AS7" s="788">
        <f t="shared" si="2"/>
        <v>35565</v>
      </c>
      <c r="AT7" s="788">
        <f t="shared" si="2"/>
        <v>36495</v>
      </c>
      <c r="AU7" s="788">
        <f t="shared" si="2"/>
        <v>38828</v>
      </c>
      <c r="AV7" s="788">
        <f t="shared" si="2"/>
        <v>41612</v>
      </c>
      <c r="AW7" s="788">
        <f t="shared" si="2"/>
        <v>34649</v>
      </c>
      <c r="AX7" s="788">
        <f t="shared" si="2"/>
        <v>36542</v>
      </c>
      <c r="AY7" s="788">
        <f t="shared" si="2"/>
        <v>41149</v>
      </c>
      <c r="AZ7" s="788">
        <f t="shared" si="2"/>
        <v>36289</v>
      </c>
      <c r="BA7" s="789">
        <f>SUM(AO7:AZ7)</f>
        <v>433380</v>
      </c>
      <c r="BB7" s="787">
        <f t="shared" si="2"/>
        <v>33983</v>
      </c>
      <c r="BC7" s="788">
        <f t="shared" si="2"/>
        <v>32898</v>
      </c>
      <c r="BD7" s="788">
        <f t="shared" si="2"/>
        <v>38289</v>
      </c>
      <c r="BE7" s="788">
        <f t="shared" si="2"/>
        <v>37349</v>
      </c>
      <c r="BF7" s="788">
        <f t="shared" si="2"/>
        <v>37971</v>
      </c>
      <c r="BG7" s="788">
        <f t="shared" si="2"/>
        <v>42687</v>
      </c>
      <c r="BH7" s="788">
        <f t="shared" si="2"/>
        <v>37569</v>
      </c>
      <c r="BI7" s="788">
        <f t="shared" si="2"/>
        <v>49935</v>
      </c>
      <c r="BJ7" s="788">
        <f t="shared" si="2"/>
        <v>41253</v>
      </c>
      <c r="BK7" s="788">
        <f t="shared" si="2"/>
        <v>41879</v>
      </c>
      <c r="BL7" s="788">
        <f t="shared" si="2"/>
        <v>34483</v>
      </c>
      <c r="BM7" s="788">
        <f t="shared" si="2"/>
        <v>38787</v>
      </c>
      <c r="BN7" s="789">
        <f t="shared" si="2"/>
        <v>467083</v>
      </c>
      <c r="BO7" s="787">
        <f t="shared" si="2"/>
        <v>33875</v>
      </c>
      <c r="BP7" s="788">
        <f t="shared" si="2"/>
        <v>32669</v>
      </c>
      <c r="BQ7" s="788">
        <f t="shared" si="2"/>
        <v>22899</v>
      </c>
      <c r="BR7" s="788">
        <f t="shared" si="2"/>
        <v>170</v>
      </c>
      <c r="BS7" s="788">
        <f t="shared" si="2"/>
        <v>374</v>
      </c>
      <c r="BT7" s="788">
        <f t="shared" si="2"/>
        <v>879</v>
      </c>
      <c r="BU7" s="788">
        <f t="shared" si="2"/>
        <v>17009</v>
      </c>
      <c r="BV7" s="788">
        <f t="shared" si="2"/>
        <v>22082</v>
      </c>
      <c r="BW7" s="788">
        <f t="shared" si="2"/>
        <v>24876</v>
      </c>
      <c r="BX7" s="788">
        <f t="shared" si="2"/>
        <v>30753</v>
      </c>
      <c r="BY7" s="788">
        <f t="shared" si="2"/>
        <v>29731</v>
      </c>
      <c r="BZ7" s="788">
        <f t="shared" si="2"/>
        <v>31966</v>
      </c>
      <c r="CA7" s="789">
        <f>SUM(BO7:BZ7)</f>
        <v>247283</v>
      </c>
      <c r="CB7" s="787">
        <f t="shared" ref="CB7:CM7" si="3">SUM(CB8:CB9)</f>
        <v>28814</v>
      </c>
      <c r="CC7" s="788">
        <f t="shared" si="3"/>
        <v>19450</v>
      </c>
      <c r="CD7" s="788">
        <f t="shared" si="3"/>
        <v>25386</v>
      </c>
      <c r="CE7" s="788">
        <f t="shared" si="3"/>
        <v>21162</v>
      </c>
      <c r="CF7" s="788">
        <f t="shared" si="3"/>
        <v>25998</v>
      </c>
      <c r="CG7" s="788">
        <f t="shared" si="3"/>
        <v>24775</v>
      </c>
      <c r="CH7" s="788">
        <f t="shared" si="3"/>
        <v>30749</v>
      </c>
      <c r="CI7" s="788">
        <f t="shared" si="3"/>
        <v>34098</v>
      </c>
      <c r="CJ7" s="788">
        <f t="shared" si="3"/>
        <v>36808</v>
      </c>
      <c r="CK7" s="788">
        <f t="shared" si="3"/>
        <v>35757</v>
      </c>
      <c r="CL7" s="788">
        <f t="shared" si="3"/>
        <v>36329</v>
      </c>
      <c r="CM7" s="788">
        <f t="shared" si="3"/>
        <v>38147</v>
      </c>
      <c r="CN7" s="789">
        <f>SUM(CB7:CM7)</f>
        <v>357473</v>
      </c>
      <c r="CO7" s="787">
        <f>SUM(CO8:CO9)</f>
        <v>34792</v>
      </c>
      <c r="CP7" s="788">
        <f>SUM(CP8:CP9)</f>
        <v>29012</v>
      </c>
      <c r="CQ7" s="788">
        <f>SUM(CQ8:CQ9)</f>
        <v>32785</v>
      </c>
      <c r="CR7" s="788">
        <f>SUM(CR8:CR9)</f>
        <v>33439</v>
      </c>
      <c r="CS7" s="788">
        <f t="shared" ref="CS7:CZ7" si="4">SUM(CS8:CS9)</f>
        <v>36119</v>
      </c>
      <c r="CT7" s="788">
        <f t="shared" si="4"/>
        <v>34864</v>
      </c>
      <c r="CU7" s="788">
        <f t="shared" si="4"/>
        <v>39095</v>
      </c>
      <c r="CV7" s="788">
        <f t="shared" si="4"/>
        <v>36511</v>
      </c>
      <c r="CW7" s="788">
        <f t="shared" si="4"/>
        <v>32482</v>
      </c>
      <c r="CX7" s="788">
        <f t="shared" si="4"/>
        <v>36177</v>
      </c>
      <c r="CY7" s="788">
        <f t="shared" si="4"/>
        <v>32153</v>
      </c>
      <c r="CZ7" s="788">
        <f t="shared" si="4"/>
        <v>33271</v>
      </c>
      <c r="DA7" s="789">
        <f>SUM(CO7:CZ7)</f>
        <v>410700</v>
      </c>
      <c r="DB7" s="787">
        <f t="shared" ref="DB7:DH7" si="5">SUM(DB8:DB9)</f>
        <v>29448</v>
      </c>
      <c r="DC7" s="788">
        <f t="shared" si="5"/>
        <v>30996</v>
      </c>
      <c r="DD7" s="788">
        <f t="shared" si="5"/>
        <v>25542</v>
      </c>
      <c r="DE7" s="788">
        <f t="shared" si="5"/>
        <v>27079</v>
      </c>
      <c r="DF7" s="788">
        <f t="shared" si="5"/>
        <v>26902</v>
      </c>
      <c r="DG7" s="788">
        <f t="shared" si="5"/>
        <v>27551</v>
      </c>
      <c r="DH7" s="788">
        <f t="shared" si="5"/>
        <v>29637</v>
      </c>
      <c r="DI7" s="788">
        <f t="shared" ref="DI7:DP7" si="6">SUM(DI8:DI9)</f>
        <v>29277</v>
      </c>
      <c r="DJ7" s="788">
        <f t="shared" si="6"/>
        <v>27864</v>
      </c>
      <c r="DK7" s="788">
        <f t="shared" si="6"/>
        <v>29760</v>
      </c>
      <c r="DL7" s="788">
        <f t="shared" si="6"/>
        <v>28643</v>
      </c>
      <c r="DM7" s="788">
        <f t="shared" si="6"/>
        <v>27607</v>
      </c>
      <c r="DN7" s="789">
        <f>SUM(DB7:DM7)</f>
        <v>340306</v>
      </c>
      <c r="DO7" s="787">
        <f t="shared" si="6"/>
        <v>26938</v>
      </c>
      <c r="DP7" s="788">
        <f t="shared" si="6"/>
        <v>25390</v>
      </c>
      <c r="DQ7" s="788">
        <f>SUM(DQ8:DQ9)</f>
        <v>24756</v>
      </c>
      <c r="DR7" s="788">
        <f t="shared" ref="DR7:ER7" si="7">SUM(DR8:DR9)</f>
        <v>24465</v>
      </c>
      <c r="DS7" s="788">
        <f t="shared" si="7"/>
        <v>24472</v>
      </c>
      <c r="DT7" s="788">
        <f t="shared" si="7"/>
        <v>28115</v>
      </c>
      <c r="DU7" s="788">
        <f t="shared" si="7"/>
        <v>29122</v>
      </c>
      <c r="DV7" s="788">
        <f t="shared" si="7"/>
        <v>31902</v>
      </c>
      <c r="DW7" s="788">
        <f t="shared" si="7"/>
        <v>27925</v>
      </c>
      <c r="DX7" s="788">
        <f t="shared" si="7"/>
        <v>28180</v>
      </c>
      <c r="DY7" s="788">
        <f t="shared" si="7"/>
        <v>27228</v>
      </c>
      <c r="DZ7" s="788">
        <f t="shared" si="7"/>
        <v>26289</v>
      </c>
      <c r="EA7" s="789">
        <f>SUM(DO7:DZ7)</f>
        <v>324782</v>
      </c>
      <c r="EB7" s="787">
        <f t="shared" ref="EB7:EM7" si="8">SUM(EB8:EB9)</f>
        <v>28324</v>
      </c>
      <c r="EC7" s="788">
        <f t="shared" si="8"/>
        <v>26291</v>
      </c>
      <c r="ED7" s="788">
        <f t="shared" si="8"/>
        <v>26473</v>
      </c>
      <c r="EE7" s="788">
        <f t="shared" si="8"/>
        <v>27461</v>
      </c>
      <c r="EF7" s="788">
        <f t="shared" si="8"/>
        <v>28885</v>
      </c>
      <c r="EG7" s="788">
        <f t="shared" si="8"/>
        <v>28971</v>
      </c>
      <c r="EH7" s="788">
        <f t="shared" si="8"/>
        <v>31533</v>
      </c>
      <c r="EI7" s="788">
        <f t="shared" si="8"/>
        <v>30270</v>
      </c>
      <c r="EJ7" s="788">
        <f t="shared" si="8"/>
        <v>27471</v>
      </c>
      <c r="EK7" s="788">
        <f t="shared" si="8"/>
        <v>29412</v>
      </c>
      <c r="EL7" s="788">
        <f t="shared" si="8"/>
        <v>30029</v>
      </c>
      <c r="EM7" s="788">
        <f t="shared" si="8"/>
        <v>30478</v>
      </c>
      <c r="EN7" s="789">
        <f>SUM(EB7:EM7)</f>
        <v>345598</v>
      </c>
      <c r="EO7" s="787">
        <f t="shared" si="7"/>
        <v>0</v>
      </c>
      <c r="EP7" s="788">
        <f t="shared" si="7"/>
        <v>0</v>
      </c>
      <c r="EQ7" s="788">
        <f t="shared" si="7"/>
        <v>0</v>
      </c>
      <c r="ER7" s="788">
        <f t="shared" si="7"/>
        <v>0</v>
      </c>
      <c r="ES7" s="788">
        <f t="shared" ref="ES7:EZ7" si="9">SUM(ES8:ES9)</f>
        <v>0</v>
      </c>
      <c r="ET7" s="788">
        <f t="shared" si="9"/>
        <v>0</v>
      </c>
      <c r="EU7" s="788">
        <f t="shared" si="9"/>
        <v>0</v>
      </c>
      <c r="EV7" s="788">
        <f t="shared" si="9"/>
        <v>0</v>
      </c>
      <c r="EW7" s="788">
        <f t="shared" si="9"/>
        <v>0</v>
      </c>
      <c r="EX7" s="788">
        <f t="shared" si="9"/>
        <v>0</v>
      </c>
      <c r="EY7" s="788">
        <f t="shared" si="9"/>
        <v>0</v>
      </c>
      <c r="EZ7" s="788">
        <f t="shared" si="9"/>
        <v>0</v>
      </c>
      <c r="FA7" s="789">
        <f>SUM(EO7:EZ7)</f>
        <v>0</v>
      </c>
      <c r="FB7" s="753"/>
      <c r="FC7" s="790">
        <f>IFERROR(((EX7/DX7)-1)*100,"")</f>
        <v>-100</v>
      </c>
      <c r="FD7" s="791">
        <f>IFERROR(((FF7/FE7)-1)*100,"")</f>
        <v>-100</v>
      </c>
      <c r="FE7" s="792">
        <f>IFERROR(SUM(DO7:DX7),"")</f>
        <v>271265</v>
      </c>
      <c r="FF7" s="792">
        <f>IFERROR(SUM(EO7:EX7),"")</f>
        <v>0</v>
      </c>
    </row>
    <row r="8" spans="1:167" ht="15" customHeight="1" x14ac:dyDescent="0.25">
      <c r="A8" s="135" t="s">
        <v>358</v>
      </c>
      <c r="B8" s="162">
        <v>33853</v>
      </c>
      <c r="C8" s="151">
        <v>34413</v>
      </c>
      <c r="D8" s="151">
        <v>36149</v>
      </c>
      <c r="E8" s="151">
        <v>34423</v>
      </c>
      <c r="F8" s="151">
        <v>42897</v>
      </c>
      <c r="G8" s="151">
        <v>43216</v>
      </c>
      <c r="H8" s="151">
        <v>38968</v>
      </c>
      <c r="I8" s="151">
        <v>34410</v>
      </c>
      <c r="J8" s="151">
        <v>31305</v>
      </c>
      <c r="K8" s="151">
        <v>48711</v>
      </c>
      <c r="L8" s="151">
        <v>43428</v>
      </c>
      <c r="M8" s="151">
        <v>43117</v>
      </c>
      <c r="N8" s="161">
        <f t="shared" ref="N8:N13" si="10">SUM(B8:M8)</f>
        <v>464890</v>
      </c>
      <c r="O8" s="162">
        <v>33743</v>
      </c>
      <c r="P8" s="151">
        <v>39437</v>
      </c>
      <c r="Q8" s="151">
        <v>36533</v>
      </c>
      <c r="R8" s="151">
        <v>40641</v>
      </c>
      <c r="S8" s="151">
        <v>40319</v>
      </c>
      <c r="T8" s="151">
        <v>31091</v>
      </c>
      <c r="U8" s="151">
        <v>37820</v>
      </c>
      <c r="V8" s="151">
        <v>39842</v>
      </c>
      <c r="W8" s="151">
        <v>36929</v>
      </c>
      <c r="X8" s="151">
        <v>34084</v>
      </c>
      <c r="Y8" s="151">
        <v>34557</v>
      </c>
      <c r="Z8" s="151">
        <v>30883</v>
      </c>
      <c r="AA8" s="161">
        <f t="shared" ref="AA8:AA13" si="11">SUM(O8:Z8)</f>
        <v>435879</v>
      </c>
      <c r="AB8" s="162">
        <v>30535</v>
      </c>
      <c r="AC8" s="151">
        <v>28745</v>
      </c>
      <c r="AD8" s="151">
        <v>31834</v>
      </c>
      <c r="AE8" s="151">
        <v>28444</v>
      </c>
      <c r="AF8" s="151">
        <v>28553</v>
      </c>
      <c r="AG8" s="151">
        <v>30155</v>
      </c>
      <c r="AH8" s="151">
        <v>30761</v>
      </c>
      <c r="AI8" s="151">
        <v>29816</v>
      </c>
      <c r="AJ8" s="151">
        <v>31688</v>
      </c>
      <c r="AK8" s="151">
        <v>31235</v>
      </c>
      <c r="AL8" s="151">
        <v>30739</v>
      </c>
      <c r="AM8" s="151">
        <v>30269</v>
      </c>
      <c r="AN8" s="161">
        <f t="shared" ref="AN8:AN13" si="12">SUM(AB8:AM8)</f>
        <v>362774</v>
      </c>
      <c r="AO8" s="162">
        <v>31160</v>
      </c>
      <c r="AP8" s="151">
        <v>30019</v>
      </c>
      <c r="AQ8" s="151">
        <v>33183</v>
      </c>
      <c r="AR8" s="151">
        <v>32528</v>
      </c>
      <c r="AS8" s="151">
        <v>34512</v>
      </c>
      <c r="AT8" s="151">
        <v>35250</v>
      </c>
      <c r="AU8" s="151">
        <v>37555</v>
      </c>
      <c r="AV8" s="151">
        <v>40537</v>
      </c>
      <c r="AW8" s="151">
        <v>33641</v>
      </c>
      <c r="AX8" s="151">
        <v>35552</v>
      </c>
      <c r="AY8" s="151">
        <v>39710</v>
      </c>
      <c r="AZ8" s="151">
        <v>35105</v>
      </c>
      <c r="BA8" s="161">
        <f t="shared" ref="BA8:BA13" si="13">SUM(AO8:AZ8)</f>
        <v>418752</v>
      </c>
      <c r="BB8" s="162">
        <v>33126</v>
      </c>
      <c r="BC8" s="151">
        <v>32153</v>
      </c>
      <c r="BD8" s="151">
        <v>37051</v>
      </c>
      <c r="BE8" s="151">
        <v>36307</v>
      </c>
      <c r="BF8" s="151">
        <v>36755</v>
      </c>
      <c r="BG8" s="151">
        <v>41342</v>
      </c>
      <c r="BH8" s="151">
        <v>36243</v>
      </c>
      <c r="BI8" s="151">
        <v>48662</v>
      </c>
      <c r="BJ8" s="151">
        <v>39699</v>
      </c>
      <c r="BK8" s="151">
        <v>39891</v>
      </c>
      <c r="BL8" s="151">
        <v>32739</v>
      </c>
      <c r="BM8" s="151">
        <v>37468</v>
      </c>
      <c r="BN8" s="161">
        <f>SUM(BB8:BM8)</f>
        <v>451436</v>
      </c>
      <c r="BO8" s="162">
        <v>32249</v>
      </c>
      <c r="BP8" s="151">
        <v>31103</v>
      </c>
      <c r="BQ8" s="151">
        <v>21776</v>
      </c>
      <c r="BR8" s="151">
        <v>153</v>
      </c>
      <c r="BS8" s="151">
        <v>336</v>
      </c>
      <c r="BT8" s="151">
        <v>857</v>
      </c>
      <c r="BU8" s="151">
        <v>16876</v>
      </c>
      <c r="BV8" s="151">
        <v>21494</v>
      </c>
      <c r="BW8" s="151">
        <v>24255</v>
      </c>
      <c r="BX8" s="151">
        <v>30098</v>
      </c>
      <c r="BY8" s="151">
        <v>28715</v>
      </c>
      <c r="BZ8" s="151">
        <v>30663</v>
      </c>
      <c r="CA8" s="161">
        <f t="shared" ref="CA8:CA13" si="14">SUM(BO8:BZ8)</f>
        <v>238575</v>
      </c>
      <c r="CB8" s="162">
        <v>27987</v>
      </c>
      <c r="CC8" s="151">
        <v>18903</v>
      </c>
      <c r="CD8" s="151">
        <v>24744</v>
      </c>
      <c r="CE8" s="151">
        <v>20623</v>
      </c>
      <c r="CF8" s="151">
        <v>25275</v>
      </c>
      <c r="CG8" s="151">
        <v>24041</v>
      </c>
      <c r="CH8" s="151">
        <v>29895</v>
      </c>
      <c r="CI8" s="151">
        <v>33123</v>
      </c>
      <c r="CJ8" s="151">
        <v>35853</v>
      </c>
      <c r="CK8" s="151">
        <v>34918</v>
      </c>
      <c r="CL8" s="151">
        <v>35269</v>
      </c>
      <c r="CM8" s="151">
        <v>36948</v>
      </c>
      <c r="CN8" s="161">
        <f t="shared" ref="CN8:CN13" si="15">SUM(CB8:CM8)</f>
        <v>347579</v>
      </c>
      <c r="CO8" s="162">
        <v>33786</v>
      </c>
      <c r="CP8" s="151">
        <v>27906</v>
      </c>
      <c r="CQ8" s="151">
        <v>31448</v>
      </c>
      <c r="CR8" s="151">
        <v>32479</v>
      </c>
      <c r="CS8" s="151">
        <v>34693</v>
      </c>
      <c r="CT8" s="151">
        <v>33410</v>
      </c>
      <c r="CU8" s="151">
        <v>37934</v>
      </c>
      <c r="CV8" s="151">
        <v>35117</v>
      </c>
      <c r="CW8" s="151">
        <v>31378</v>
      </c>
      <c r="CX8" s="151">
        <v>34903</v>
      </c>
      <c r="CY8" s="151">
        <v>30705</v>
      </c>
      <c r="CZ8" s="151">
        <v>32283</v>
      </c>
      <c r="DA8" s="161">
        <f>SUM(CO8:CZ8)</f>
        <v>396042</v>
      </c>
      <c r="DB8" s="162">
        <v>28294</v>
      </c>
      <c r="DC8" s="151">
        <v>29615</v>
      </c>
      <c r="DD8" s="151">
        <v>24471</v>
      </c>
      <c r="DE8" s="151">
        <v>25982</v>
      </c>
      <c r="DF8" s="151">
        <v>25566</v>
      </c>
      <c r="DG8" s="151">
        <v>26411</v>
      </c>
      <c r="DH8" s="151">
        <v>28293</v>
      </c>
      <c r="DI8" s="151">
        <v>28152</v>
      </c>
      <c r="DJ8" s="151">
        <v>26731</v>
      </c>
      <c r="DK8" s="151">
        <v>28333</v>
      </c>
      <c r="DL8" s="151">
        <v>26701</v>
      </c>
      <c r="DM8" s="151">
        <v>26596</v>
      </c>
      <c r="DN8" s="161">
        <f>SUM(DB8:DM8)</f>
        <v>325145</v>
      </c>
      <c r="DO8" s="162">
        <v>25510</v>
      </c>
      <c r="DP8" s="151">
        <v>24145</v>
      </c>
      <c r="DQ8" s="151">
        <v>23286</v>
      </c>
      <c r="DR8" s="151">
        <v>22989</v>
      </c>
      <c r="DS8" s="151">
        <v>23135</v>
      </c>
      <c r="DT8" s="151">
        <v>26733</v>
      </c>
      <c r="DU8" s="151">
        <v>27688</v>
      </c>
      <c r="DV8" s="151">
        <v>30394</v>
      </c>
      <c r="DW8" s="151">
        <v>26483</v>
      </c>
      <c r="DX8" s="151">
        <v>26506</v>
      </c>
      <c r="DY8" s="151">
        <v>25726</v>
      </c>
      <c r="DZ8" s="151">
        <v>25214</v>
      </c>
      <c r="EA8" s="161">
        <f t="shared" ref="EA8:EA13" si="16">SUM(DO8:DZ8)</f>
        <v>307809</v>
      </c>
      <c r="EB8" s="162">
        <v>26910</v>
      </c>
      <c r="EC8" s="151">
        <v>24946</v>
      </c>
      <c r="ED8" s="151">
        <v>25081</v>
      </c>
      <c r="EE8" s="151">
        <v>26255</v>
      </c>
      <c r="EF8" s="151">
        <v>27003</v>
      </c>
      <c r="EG8" s="151">
        <v>27540</v>
      </c>
      <c r="EH8" s="151">
        <v>29877</v>
      </c>
      <c r="EI8" s="151">
        <v>28708</v>
      </c>
      <c r="EJ8" s="151">
        <v>26255</v>
      </c>
      <c r="EK8" s="151">
        <v>28049</v>
      </c>
      <c r="EL8" s="151">
        <v>28183</v>
      </c>
      <c r="EM8" s="151">
        <v>29282</v>
      </c>
      <c r="EN8" s="161">
        <f t="shared" ref="EN8:EN9" si="17">SUM(EB8:EM8)</f>
        <v>328089</v>
      </c>
      <c r="EO8" s="162"/>
      <c r="EP8" s="151"/>
      <c r="EQ8" s="151"/>
      <c r="ER8" s="151"/>
      <c r="ES8" s="151"/>
      <c r="ET8" s="151"/>
      <c r="EU8" s="151"/>
      <c r="EV8" s="151"/>
      <c r="EW8" s="151"/>
      <c r="EX8" s="151"/>
      <c r="EY8" s="151"/>
      <c r="EZ8" s="151"/>
      <c r="FA8" s="161">
        <f t="shared" ref="FA8:FA13" si="18">SUM(EO8:EZ8)</f>
        <v>0</v>
      </c>
      <c r="FC8" s="149">
        <f t="shared" ref="FC8:FC13" si="19">IFERROR(((EX8/DX8)-1)*100,"")</f>
        <v>-100</v>
      </c>
      <c r="FD8" s="171">
        <f t="shared" ref="FD8:FD13" si="20">IFERROR(((FF8/FE8)-1)*100,"")</f>
        <v>-100</v>
      </c>
      <c r="FE8" s="202">
        <f t="shared" ref="FE8:FE13" si="21">IFERROR(SUM(DO8:DX8),"")</f>
        <v>256869</v>
      </c>
      <c r="FF8" s="202">
        <f t="shared" ref="FF8:FF13" si="22">IFERROR(SUM(EO8:EX8),"")</f>
        <v>0</v>
      </c>
    </row>
    <row r="9" spans="1:167" ht="15" customHeight="1" x14ac:dyDescent="0.25">
      <c r="A9" s="135" t="s">
        <v>359</v>
      </c>
      <c r="B9" s="162">
        <v>702</v>
      </c>
      <c r="C9" s="151">
        <v>819</v>
      </c>
      <c r="D9" s="151">
        <v>731</v>
      </c>
      <c r="E9" s="151">
        <v>1189</v>
      </c>
      <c r="F9" s="151">
        <v>1093</v>
      </c>
      <c r="G9" s="151">
        <v>1179</v>
      </c>
      <c r="H9" s="151">
        <v>1098</v>
      </c>
      <c r="I9" s="151">
        <v>1375</v>
      </c>
      <c r="J9" s="151">
        <v>1269</v>
      </c>
      <c r="K9" s="151">
        <v>1085</v>
      </c>
      <c r="L9" s="151">
        <v>1157</v>
      </c>
      <c r="M9" s="151">
        <v>1231</v>
      </c>
      <c r="N9" s="161">
        <f t="shared" si="10"/>
        <v>12928</v>
      </c>
      <c r="O9" s="162">
        <v>1061</v>
      </c>
      <c r="P9" s="151">
        <v>1570</v>
      </c>
      <c r="Q9" s="151">
        <v>984</v>
      </c>
      <c r="R9" s="151">
        <v>867</v>
      </c>
      <c r="S9" s="151">
        <v>899</v>
      </c>
      <c r="T9" s="151">
        <v>944</v>
      </c>
      <c r="U9" s="151">
        <v>825</v>
      </c>
      <c r="V9" s="151">
        <v>847</v>
      </c>
      <c r="W9" s="151">
        <v>1089</v>
      </c>
      <c r="X9" s="151">
        <v>898</v>
      </c>
      <c r="Y9" s="151">
        <v>865</v>
      </c>
      <c r="Z9" s="151">
        <v>954</v>
      </c>
      <c r="AA9" s="161">
        <f t="shared" si="11"/>
        <v>11803</v>
      </c>
      <c r="AB9" s="162">
        <v>1318</v>
      </c>
      <c r="AC9" s="151">
        <v>1012</v>
      </c>
      <c r="AD9" s="151">
        <v>1212</v>
      </c>
      <c r="AE9" s="151">
        <v>836</v>
      </c>
      <c r="AF9" s="151">
        <v>961</v>
      </c>
      <c r="AG9" s="151">
        <v>1265</v>
      </c>
      <c r="AH9" s="151">
        <v>1245</v>
      </c>
      <c r="AI9" s="151">
        <v>989</v>
      </c>
      <c r="AJ9" s="151">
        <v>1079</v>
      </c>
      <c r="AK9" s="151">
        <v>1249</v>
      </c>
      <c r="AL9" s="151">
        <v>1148</v>
      </c>
      <c r="AM9" s="151">
        <v>1160</v>
      </c>
      <c r="AN9" s="161">
        <f t="shared" si="12"/>
        <v>13474</v>
      </c>
      <c r="AO9" s="162">
        <v>1362</v>
      </c>
      <c r="AP9" s="151">
        <v>1418</v>
      </c>
      <c r="AQ9" s="151">
        <v>1270</v>
      </c>
      <c r="AR9" s="151">
        <v>1311</v>
      </c>
      <c r="AS9" s="151">
        <v>1053</v>
      </c>
      <c r="AT9" s="151">
        <v>1245</v>
      </c>
      <c r="AU9" s="151">
        <v>1273</v>
      </c>
      <c r="AV9" s="151">
        <v>1075</v>
      </c>
      <c r="AW9" s="151">
        <v>1008</v>
      </c>
      <c r="AX9" s="151">
        <v>990</v>
      </c>
      <c r="AY9" s="151">
        <v>1439</v>
      </c>
      <c r="AZ9" s="151">
        <v>1184</v>
      </c>
      <c r="BA9" s="161">
        <f t="shared" si="13"/>
        <v>14628</v>
      </c>
      <c r="BB9" s="162">
        <v>857</v>
      </c>
      <c r="BC9" s="151">
        <v>745</v>
      </c>
      <c r="BD9" s="151">
        <v>1238</v>
      </c>
      <c r="BE9" s="151">
        <v>1042</v>
      </c>
      <c r="BF9" s="151">
        <v>1216</v>
      </c>
      <c r="BG9" s="151">
        <v>1345</v>
      </c>
      <c r="BH9" s="151">
        <v>1326</v>
      </c>
      <c r="BI9" s="151">
        <v>1273</v>
      </c>
      <c r="BJ9" s="151">
        <v>1554</v>
      </c>
      <c r="BK9" s="151">
        <v>1988</v>
      </c>
      <c r="BL9" s="151">
        <v>1744</v>
      </c>
      <c r="BM9" s="151">
        <v>1319</v>
      </c>
      <c r="BN9" s="161">
        <f>SUM(BB9:BM9)</f>
        <v>15647</v>
      </c>
      <c r="BO9" s="162">
        <v>1626</v>
      </c>
      <c r="BP9" s="151">
        <v>1566</v>
      </c>
      <c r="BQ9" s="151">
        <v>1123</v>
      </c>
      <c r="BR9" s="151">
        <v>17</v>
      </c>
      <c r="BS9" s="151">
        <v>38</v>
      </c>
      <c r="BT9" s="151">
        <v>22</v>
      </c>
      <c r="BU9" s="151">
        <v>133</v>
      </c>
      <c r="BV9" s="151">
        <v>588</v>
      </c>
      <c r="BW9" s="151">
        <v>621</v>
      </c>
      <c r="BX9" s="151">
        <v>655</v>
      </c>
      <c r="BY9" s="151">
        <v>1016</v>
      </c>
      <c r="BZ9" s="151">
        <v>1303</v>
      </c>
      <c r="CA9" s="161">
        <f t="shared" si="14"/>
        <v>8708</v>
      </c>
      <c r="CB9" s="162">
        <v>827</v>
      </c>
      <c r="CC9" s="151">
        <v>547</v>
      </c>
      <c r="CD9" s="151">
        <v>642</v>
      </c>
      <c r="CE9" s="151">
        <v>539</v>
      </c>
      <c r="CF9" s="151">
        <v>723</v>
      </c>
      <c r="CG9" s="151">
        <v>734</v>
      </c>
      <c r="CH9" s="151">
        <v>854</v>
      </c>
      <c r="CI9" s="151">
        <v>975</v>
      </c>
      <c r="CJ9" s="151">
        <v>955</v>
      </c>
      <c r="CK9" s="151">
        <v>839</v>
      </c>
      <c r="CL9" s="151">
        <v>1060</v>
      </c>
      <c r="CM9" s="151">
        <v>1199</v>
      </c>
      <c r="CN9" s="161">
        <f t="shared" si="15"/>
        <v>9894</v>
      </c>
      <c r="CO9" s="162">
        <v>1006</v>
      </c>
      <c r="CP9" s="151">
        <v>1106</v>
      </c>
      <c r="CQ9" s="151">
        <v>1337</v>
      </c>
      <c r="CR9" s="151">
        <v>960</v>
      </c>
      <c r="CS9" s="151">
        <v>1426</v>
      </c>
      <c r="CT9" s="151">
        <v>1454</v>
      </c>
      <c r="CU9" s="151">
        <v>1161</v>
      </c>
      <c r="CV9" s="151">
        <v>1394</v>
      </c>
      <c r="CW9" s="151">
        <v>1104</v>
      </c>
      <c r="CX9" s="151">
        <v>1274</v>
      </c>
      <c r="CY9" s="151">
        <v>1448</v>
      </c>
      <c r="CZ9" s="151">
        <v>988</v>
      </c>
      <c r="DA9" s="161">
        <f>SUM(CO9:CZ9)</f>
        <v>14658</v>
      </c>
      <c r="DB9" s="162">
        <v>1154</v>
      </c>
      <c r="DC9" s="151">
        <v>1381</v>
      </c>
      <c r="DD9" s="151">
        <v>1071</v>
      </c>
      <c r="DE9" s="151">
        <v>1097</v>
      </c>
      <c r="DF9" s="151">
        <v>1336</v>
      </c>
      <c r="DG9" s="151">
        <v>1140</v>
      </c>
      <c r="DH9" s="151">
        <v>1344</v>
      </c>
      <c r="DI9" s="151">
        <v>1125</v>
      </c>
      <c r="DJ9" s="151">
        <v>1133</v>
      </c>
      <c r="DK9" s="151">
        <v>1427</v>
      </c>
      <c r="DL9" s="151">
        <v>1942</v>
      </c>
      <c r="DM9" s="151">
        <v>1011</v>
      </c>
      <c r="DN9" s="161">
        <f>SUM(DB9:DM9)</f>
        <v>15161</v>
      </c>
      <c r="DO9" s="162">
        <v>1428</v>
      </c>
      <c r="DP9" s="151">
        <v>1245</v>
      </c>
      <c r="DQ9" s="151">
        <v>1470</v>
      </c>
      <c r="DR9" s="151">
        <v>1476</v>
      </c>
      <c r="DS9" s="151">
        <v>1337</v>
      </c>
      <c r="DT9" s="151">
        <v>1382</v>
      </c>
      <c r="DU9" s="151">
        <v>1434</v>
      </c>
      <c r="DV9" s="151">
        <v>1508</v>
      </c>
      <c r="DW9" s="151">
        <v>1442</v>
      </c>
      <c r="DX9" s="151">
        <v>1674</v>
      </c>
      <c r="DY9" s="151">
        <v>1502</v>
      </c>
      <c r="DZ9" s="151">
        <v>1075</v>
      </c>
      <c r="EA9" s="161">
        <f t="shared" si="16"/>
        <v>16973</v>
      </c>
      <c r="EB9" s="162">
        <v>1414</v>
      </c>
      <c r="EC9" s="151">
        <v>1345</v>
      </c>
      <c r="ED9" s="151">
        <v>1392</v>
      </c>
      <c r="EE9" s="151">
        <v>1206</v>
      </c>
      <c r="EF9" s="151">
        <v>1882</v>
      </c>
      <c r="EG9" s="151">
        <v>1431</v>
      </c>
      <c r="EH9" s="151">
        <v>1656</v>
      </c>
      <c r="EI9" s="151">
        <v>1562</v>
      </c>
      <c r="EJ9" s="151">
        <v>1216</v>
      </c>
      <c r="EK9" s="151">
        <v>1363</v>
      </c>
      <c r="EL9" s="151">
        <v>1846</v>
      </c>
      <c r="EM9" s="151">
        <v>1196</v>
      </c>
      <c r="EN9" s="161">
        <f t="shared" si="17"/>
        <v>17509</v>
      </c>
      <c r="EO9" s="162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161">
        <f t="shared" si="18"/>
        <v>0</v>
      </c>
      <c r="FC9" s="149">
        <f t="shared" si="19"/>
        <v>-100</v>
      </c>
      <c r="FD9" s="171">
        <f t="shared" si="20"/>
        <v>-100</v>
      </c>
      <c r="FE9" s="202">
        <f t="shared" si="21"/>
        <v>14396</v>
      </c>
      <c r="FF9" s="202">
        <f t="shared" si="22"/>
        <v>0</v>
      </c>
    </row>
    <row r="10" spans="1:167" ht="15" customHeight="1" x14ac:dyDescent="0.25">
      <c r="A10" s="135"/>
      <c r="B10" s="162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61"/>
      <c r="O10" s="162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61"/>
      <c r="AB10" s="162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61"/>
      <c r="AO10" s="162"/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61"/>
      <c r="BB10" s="162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61"/>
      <c r="BO10" s="162"/>
      <c r="BP10" s="151"/>
      <c r="BQ10" s="151"/>
      <c r="BR10" s="151"/>
      <c r="BS10" s="151"/>
      <c r="BT10" s="151"/>
      <c r="BU10" s="151"/>
      <c r="BV10" s="151"/>
      <c r="BW10" s="151"/>
      <c r="BX10" s="151"/>
      <c r="BY10" s="151"/>
      <c r="BZ10" s="151"/>
      <c r="CA10" s="161"/>
      <c r="CB10" s="162"/>
      <c r="CC10" s="151"/>
      <c r="CD10" s="151"/>
      <c r="CE10" s="151"/>
      <c r="CF10" s="151"/>
      <c r="CG10" s="151"/>
      <c r="CH10" s="151"/>
      <c r="CI10" s="151"/>
      <c r="CJ10" s="151"/>
      <c r="CK10" s="151"/>
      <c r="CL10" s="151"/>
      <c r="CM10" s="151"/>
      <c r="CN10" s="161"/>
      <c r="CO10" s="162"/>
      <c r="CP10" s="151"/>
      <c r="CQ10" s="151"/>
      <c r="CR10" s="151"/>
      <c r="CS10" s="151"/>
      <c r="CT10" s="151"/>
      <c r="CU10" s="151"/>
      <c r="CV10" s="151"/>
      <c r="CW10" s="151"/>
      <c r="CX10" s="151"/>
      <c r="CY10" s="151"/>
      <c r="CZ10" s="151"/>
      <c r="DA10" s="161"/>
      <c r="DB10" s="162"/>
      <c r="DC10" s="151"/>
      <c r="DD10" s="151"/>
      <c r="DE10" s="151"/>
      <c r="DF10" s="151"/>
      <c r="DG10" s="151"/>
      <c r="DH10" s="151"/>
      <c r="DI10" s="151"/>
      <c r="DJ10" s="151"/>
      <c r="DK10" s="151"/>
      <c r="DL10" s="151"/>
      <c r="DM10" s="151"/>
      <c r="DN10" s="161"/>
      <c r="DO10" s="162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61"/>
      <c r="EB10" s="162"/>
      <c r="EC10" s="151"/>
      <c r="ED10" s="151"/>
      <c r="EE10" s="151"/>
      <c r="EF10" s="151"/>
      <c r="EG10" s="151"/>
      <c r="EH10" s="151"/>
      <c r="EI10" s="151"/>
      <c r="EJ10" s="151"/>
      <c r="EK10" s="151"/>
      <c r="EL10" s="151"/>
      <c r="EM10" s="151"/>
      <c r="EN10" s="161"/>
      <c r="EO10" s="162"/>
      <c r="EP10" s="151"/>
      <c r="EQ10" s="151"/>
      <c r="ER10" s="151"/>
      <c r="ES10" s="151"/>
      <c r="ET10" s="151"/>
      <c r="EU10" s="151"/>
      <c r="EV10" s="151"/>
      <c r="EW10" s="151"/>
      <c r="EX10" s="151"/>
      <c r="EY10" s="151"/>
      <c r="EZ10" s="151"/>
      <c r="FA10" s="161"/>
      <c r="FC10" s="149" t="str">
        <f t="shared" si="19"/>
        <v/>
      </c>
      <c r="FD10" s="247" t="str">
        <f t="shared" si="20"/>
        <v/>
      </c>
      <c r="FE10" s="202"/>
      <c r="FF10" s="202"/>
    </row>
    <row r="11" spans="1:167" s="793" customFormat="1" ht="15" customHeight="1" x14ac:dyDescent="0.25">
      <c r="A11" s="786" t="s">
        <v>86</v>
      </c>
      <c r="B11" s="787">
        <f t="shared" ref="B11:O11" si="23">SUM(B12:B13)</f>
        <v>80430</v>
      </c>
      <c r="C11" s="788">
        <f t="shared" si="23"/>
        <v>79701</v>
      </c>
      <c r="D11" s="788">
        <f t="shared" si="23"/>
        <v>74480</v>
      </c>
      <c r="E11" s="788">
        <f t="shared" si="23"/>
        <v>74931</v>
      </c>
      <c r="F11" s="788">
        <f t="shared" si="23"/>
        <v>87652</v>
      </c>
      <c r="G11" s="788">
        <f t="shared" si="23"/>
        <v>80282</v>
      </c>
      <c r="H11" s="788">
        <f t="shared" si="23"/>
        <v>83070</v>
      </c>
      <c r="I11" s="788">
        <f t="shared" si="23"/>
        <v>86600</v>
      </c>
      <c r="J11" s="788">
        <f t="shared" si="23"/>
        <v>79287</v>
      </c>
      <c r="K11" s="788">
        <f t="shared" si="23"/>
        <v>92148</v>
      </c>
      <c r="L11" s="788">
        <f t="shared" si="23"/>
        <v>85566</v>
      </c>
      <c r="M11" s="788">
        <f t="shared" si="23"/>
        <v>80807</v>
      </c>
      <c r="N11" s="789">
        <f t="shared" si="10"/>
        <v>984954</v>
      </c>
      <c r="O11" s="787">
        <f t="shared" si="23"/>
        <v>69204</v>
      </c>
      <c r="P11" s="788">
        <f t="shared" ref="P11:Z11" si="24">P12+P13</f>
        <v>70561</v>
      </c>
      <c r="Q11" s="788">
        <f t="shared" si="24"/>
        <v>63788</v>
      </c>
      <c r="R11" s="788">
        <f t="shared" si="24"/>
        <v>67617</v>
      </c>
      <c r="S11" s="788">
        <f t="shared" si="24"/>
        <v>67062</v>
      </c>
      <c r="T11" s="788">
        <f t="shared" si="24"/>
        <v>65397</v>
      </c>
      <c r="U11" s="788">
        <f t="shared" si="24"/>
        <v>79951</v>
      </c>
      <c r="V11" s="788">
        <f t="shared" si="24"/>
        <v>84082</v>
      </c>
      <c r="W11" s="788">
        <f t="shared" si="24"/>
        <v>69593</v>
      </c>
      <c r="X11" s="788">
        <f t="shared" si="24"/>
        <v>64721</v>
      </c>
      <c r="Y11" s="788">
        <f t="shared" si="24"/>
        <v>65119</v>
      </c>
      <c r="Z11" s="788">
        <f t="shared" si="24"/>
        <v>59925</v>
      </c>
      <c r="AA11" s="789">
        <f t="shared" si="11"/>
        <v>827020</v>
      </c>
      <c r="AB11" s="787">
        <f t="shared" ref="AB11:BZ11" si="25">SUM(AB12:AB13)</f>
        <v>60145</v>
      </c>
      <c r="AC11" s="788">
        <f t="shared" si="25"/>
        <v>57439</v>
      </c>
      <c r="AD11" s="788">
        <f t="shared" si="25"/>
        <v>77829</v>
      </c>
      <c r="AE11" s="788">
        <f t="shared" si="25"/>
        <v>61788</v>
      </c>
      <c r="AF11" s="788">
        <f t="shared" si="25"/>
        <v>68947</v>
      </c>
      <c r="AG11" s="788">
        <f t="shared" si="25"/>
        <v>76154</v>
      </c>
      <c r="AH11" s="788">
        <f t="shared" si="25"/>
        <v>62605</v>
      </c>
      <c r="AI11" s="788">
        <f t="shared" si="25"/>
        <v>68822</v>
      </c>
      <c r="AJ11" s="788">
        <f t="shared" si="25"/>
        <v>63524</v>
      </c>
      <c r="AK11" s="788">
        <f t="shared" si="25"/>
        <v>60948</v>
      </c>
      <c r="AL11" s="788">
        <f t="shared" si="25"/>
        <v>60970</v>
      </c>
      <c r="AM11" s="788">
        <f t="shared" si="25"/>
        <v>60837</v>
      </c>
      <c r="AN11" s="789">
        <f t="shared" si="12"/>
        <v>780008</v>
      </c>
      <c r="AO11" s="787">
        <f t="shared" si="25"/>
        <v>62583</v>
      </c>
      <c r="AP11" s="788">
        <f t="shared" si="25"/>
        <v>63836</v>
      </c>
      <c r="AQ11" s="788">
        <f t="shared" si="25"/>
        <v>68178</v>
      </c>
      <c r="AR11" s="788">
        <f t="shared" si="25"/>
        <v>65947</v>
      </c>
      <c r="AS11" s="788">
        <f t="shared" si="25"/>
        <v>66104</v>
      </c>
      <c r="AT11" s="788">
        <f t="shared" si="25"/>
        <v>68135</v>
      </c>
      <c r="AU11" s="788">
        <f t="shared" si="25"/>
        <v>73536</v>
      </c>
      <c r="AV11" s="788">
        <f t="shared" si="25"/>
        <v>75296</v>
      </c>
      <c r="AW11" s="788">
        <f t="shared" si="25"/>
        <v>68527</v>
      </c>
      <c r="AX11" s="788">
        <f t="shared" si="25"/>
        <v>70332</v>
      </c>
      <c r="AY11" s="788">
        <f t="shared" si="25"/>
        <v>77662</v>
      </c>
      <c r="AZ11" s="788">
        <f t="shared" si="25"/>
        <v>65106</v>
      </c>
      <c r="BA11" s="789">
        <f t="shared" si="13"/>
        <v>825242</v>
      </c>
      <c r="BB11" s="787">
        <f t="shared" si="25"/>
        <v>62816</v>
      </c>
      <c r="BC11" s="788">
        <f t="shared" si="25"/>
        <v>61091</v>
      </c>
      <c r="BD11" s="788">
        <f t="shared" si="25"/>
        <v>65766</v>
      </c>
      <c r="BE11" s="788">
        <f t="shared" si="25"/>
        <v>65488</v>
      </c>
      <c r="BF11" s="788">
        <f t="shared" si="25"/>
        <v>67397</v>
      </c>
      <c r="BG11" s="788">
        <f t="shared" si="25"/>
        <v>72451</v>
      </c>
      <c r="BH11" s="788">
        <f t="shared" si="25"/>
        <v>69997</v>
      </c>
      <c r="BI11" s="788">
        <f t="shared" si="25"/>
        <v>84030</v>
      </c>
      <c r="BJ11" s="788">
        <f t="shared" si="25"/>
        <v>72497</v>
      </c>
      <c r="BK11" s="788">
        <f t="shared" si="25"/>
        <v>76870</v>
      </c>
      <c r="BL11" s="788">
        <f t="shared" si="25"/>
        <v>66902</v>
      </c>
      <c r="BM11" s="788">
        <f t="shared" si="25"/>
        <v>68409</v>
      </c>
      <c r="BN11" s="789">
        <f t="shared" si="25"/>
        <v>833714</v>
      </c>
      <c r="BO11" s="787">
        <f t="shared" si="25"/>
        <v>71755</v>
      </c>
      <c r="BP11" s="788">
        <f t="shared" si="25"/>
        <v>67125</v>
      </c>
      <c r="BQ11" s="788">
        <f t="shared" si="25"/>
        <v>52492</v>
      </c>
      <c r="BR11" s="788">
        <f t="shared" si="25"/>
        <v>1931</v>
      </c>
      <c r="BS11" s="788">
        <f t="shared" si="25"/>
        <v>3830</v>
      </c>
      <c r="BT11" s="788">
        <f t="shared" si="25"/>
        <v>5486</v>
      </c>
      <c r="BU11" s="788">
        <f t="shared" si="25"/>
        <v>35034</v>
      </c>
      <c r="BV11" s="788">
        <f t="shared" si="25"/>
        <v>38886</v>
      </c>
      <c r="BW11" s="788">
        <f t="shared" si="25"/>
        <v>47166</v>
      </c>
      <c r="BX11" s="788">
        <f t="shared" si="25"/>
        <v>56400</v>
      </c>
      <c r="BY11" s="788">
        <f t="shared" si="25"/>
        <v>54606</v>
      </c>
      <c r="BZ11" s="788">
        <f t="shared" si="25"/>
        <v>54459</v>
      </c>
      <c r="CA11" s="789">
        <f t="shared" si="14"/>
        <v>489170</v>
      </c>
      <c r="CB11" s="787">
        <f t="shared" ref="CB11:CM11" si="26">SUM(CB12:CB13)</f>
        <v>56106</v>
      </c>
      <c r="CC11" s="788">
        <f t="shared" si="26"/>
        <v>43960</v>
      </c>
      <c r="CD11" s="788">
        <f t="shared" si="26"/>
        <v>55288</v>
      </c>
      <c r="CE11" s="788">
        <f t="shared" si="26"/>
        <v>48673</v>
      </c>
      <c r="CF11" s="788">
        <f t="shared" si="26"/>
        <v>56132</v>
      </c>
      <c r="CG11" s="788">
        <f t="shared" si="26"/>
        <v>57105</v>
      </c>
      <c r="CH11" s="788">
        <f t="shared" si="26"/>
        <v>66074</v>
      </c>
      <c r="CI11" s="788">
        <f t="shared" si="26"/>
        <v>73245</v>
      </c>
      <c r="CJ11" s="788">
        <f t="shared" si="26"/>
        <v>72492</v>
      </c>
      <c r="CK11" s="788">
        <f t="shared" si="26"/>
        <v>75491</v>
      </c>
      <c r="CL11" s="788">
        <f t="shared" si="26"/>
        <v>72357</v>
      </c>
      <c r="CM11" s="788">
        <f t="shared" si="26"/>
        <v>81952</v>
      </c>
      <c r="CN11" s="789">
        <f t="shared" si="15"/>
        <v>758875</v>
      </c>
      <c r="CO11" s="787">
        <f t="shared" ref="CO11:CZ11" si="27">SUM(CO12:CO13)</f>
        <v>60440</v>
      </c>
      <c r="CP11" s="788">
        <f t="shared" si="27"/>
        <v>52672</v>
      </c>
      <c r="CQ11" s="788">
        <f t="shared" si="27"/>
        <v>66966</v>
      </c>
      <c r="CR11" s="788">
        <f t="shared" si="27"/>
        <v>66532</v>
      </c>
      <c r="CS11" s="788">
        <f t="shared" si="27"/>
        <v>73746</v>
      </c>
      <c r="CT11" s="788">
        <f t="shared" si="27"/>
        <v>59650</v>
      </c>
      <c r="CU11" s="788">
        <f t="shared" si="27"/>
        <v>66760</v>
      </c>
      <c r="CV11" s="788">
        <f t="shared" si="27"/>
        <v>74393</v>
      </c>
      <c r="CW11" s="788">
        <f t="shared" si="27"/>
        <v>77236</v>
      </c>
      <c r="CX11" s="788">
        <f t="shared" si="27"/>
        <v>75182</v>
      </c>
      <c r="CY11" s="788">
        <f t="shared" si="27"/>
        <v>68275</v>
      </c>
      <c r="CZ11" s="788">
        <f t="shared" si="27"/>
        <v>72133</v>
      </c>
      <c r="DA11" s="789">
        <f>SUM(CO11:CZ11)</f>
        <v>813985</v>
      </c>
      <c r="DB11" s="787">
        <f t="shared" ref="DB11:DH11" si="28">SUM(DB12:DB13)</f>
        <v>74376</v>
      </c>
      <c r="DC11" s="788">
        <f t="shared" si="28"/>
        <v>85000</v>
      </c>
      <c r="DD11" s="788">
        <f t="shared" si="28"/>
        <v>96108</v>
      </c>
      <c r="DE11" s="788">
        <f t="shared" si="28"/>
        <v>96236</v>
      </c>
      <c r="DF11" s="788">
        <f t="shared" si="28"/>
        <v>87185</v>
      </c>
      <c r="DG11" s="788">
        <f t="shared" si="28"/>
        <v>93151</v>
      </c>
      <c r="DH11" s="788">
        <f t="shared" si="28"/>
        <v>93370</v>
      </c>
      <c r="DI11" s="788">
        <f t="shared" ref="DI11:DP11" si="29">SUM(DI12:DI13)</f>
        <v>101064</v>
      </c>
      <c r="DJ11" s="788">
        <f t="shared" si="29"/>
        <v>87812</v>
      </c>
      <c r="DK11" s="788">
        <f t="shared" si="29"/>
        <v>89971</v>
      </c>
      <c r="DL11" s="788">
        <f t="shared" si="29"/>
        <v>91177</v>
      </c>
      <c r="DM11" s="788">
        <f t="shared" si="29"/>
        <v>76176</v>
      </c>
      <c r="DN11" s="789">
        <f>SUM(DB11:DM11)</f>
        <v>1071626</v>
      </c>
      <c r="DO11" s="787">
        <f t="shared" si="29"/>
        <v>78395</v>
      </c>
      <c r="DP11" s="788">
        <f t="shared" si="29"/>
        <v>68304</v>
      </c>
      <c r="DQ11" s="788">
        <f>SUM(DQ12:DQ13)</f>
        <v>68254</v>
      </c>
      <c r="DR11" s="788">
        <f t="shared" ref="DR11:ER11" si="30">SUM(DR12:DR13)</f>
        <v>65221</v>
      </c>
      <c r="DS11" s="788">
        <f t="shared" si="30"/>
        <v>80267</v>
      </c>
      <c r="DT11" s="788">
        <f t="shared" si="30"/>
        <v>89818</v>
      </c>
      <c r="DU11" s="788">
        <f t="shared" si="30"/>
        <v>96398</v>
      </c>
      <c r="DV11" s="788">
        <f t="shared" si="30"/>
        <v>93509</v>
      </c>
      <c r="DW11" s="788">
        <f t="shared" si="30"/>
        <v>85506</v>
      </c>
      <c r="DX11" s="788">
        <f t="shared" si="30"/>
        <v>85533</v>
      </c>
      <c r="DY11" s="788">
        <f t="shared" si="30"/>
        <v>82600</v>
      </c>
      <c r="DZ11" s="788">
        <f t="shared" si="30"/>
        <v>80925</v>
      </c>
      <c r="EA11" s="789">
        <f t="shared" si="16"/>
        <v>974730</v>
      </c>
      <c r="EB11" s="787">
        <f t="shared" ref="EB11:EM11" si="31">SUM(EB12:EB13)</f>
        <v>88986</v>
      </c>
      <c r="EC11" s="788">
        <f t="shared" si="31"/>
        <v>88331</v>
      </c>
      <c r="ED11" s="788">
        <f t="shared" si="31"/>
        <v>82244</v>
      </c>
      <c r="EE11" s="788">
        <f t="shared" si="31"/>
        <v>78790</v>
      </c>
      <c r="EF11" s="788">
        <f t="shared" si="31"/>
        <v>86083</v>
      </c>
      <c r="EG11" s="788">
        <f t="shared" si="31"/>
        <v>87810</v>
      </c>
      <c r="EH11" s="788">
        <f t="shared" si="31"/>
        <v>94499</v>
      </c>
      <c r="EI11" s="788">
        <f t="shared" si="31"/>
        <v>87827</v>
      </c>
      <c r="EJ11" s="788">
        <f t="shared" si="31"/>
        <v>73162</v>
      </c>
      <c r="EK11" s="788">
        <f t="shared" si="31"/>
        <v>76841</v>
      </c>
      <c r="EL11" s="788">
        <f t="shared" si="31"/>
        <v>84135</v>
      </c>
      <c r="EM11" s="788">
        <f t="shared" si="31"/>
        <v>90434</v>
      </c>
      <c r="EN11" s="789">
        <f t="shared" ref="EN11:EN13" si="32">SUM(EB11:EM11)</f>
        <v>1019142</v>
      </c>
      <c r="EO11" s="787">
        <f t="shared" si="30"/>
        <v>0</v>
      </c>
      <c r="EP11" s="788">
        <f t="shared" si="30"/>
        <v>0</v>
      </c>
      <c r="EQ11" s="788">
        <f t="shared" si="30"/>
        <v>0</v>
      </c>
      <c r="ER11" s="788">
        <f t="shared" si="30"/>
        <v>0</v>
      </c>
      <c r="ES11" s="788">
        <f t="shared" ref="ES11:EZ11" si="33">SUM(ES12:ES13)</f>
        <v>0</v>
      </c>
      <c r="ET11" s="788">
        <f t="shared" si="33"/>
        <v>0</v>
      </c>
      <c r="EU11" s="788">
        <f t="shared" si="33"/>
        <v>0</v>
      </c>
      <c r="EV11" s="788">
        <f t="shared" si="33"/>
        <v>0</v>
      </c>
      <c r="EW11" s="788">
        <f t="shared" si="33"/>
        <v>0</v>
      </c>
      <c r="EX11" s="788">
        <f t="shared" si="33"/>
        <v>0</v>
      </c>
      <c r="EY11" s="788">
        <f t="shared" si="33"/>
        <v>0</v>
      </c>
      <c r="EZ11" s="788">
        <f t="shared" si="33"/>
        <v>0</v>
      </c>
      <c r="FA11" s="789">
        <f t="shared" si="18"/>
        <v>0</v>
      </c>
      <c r="FB11" s="753"/>
      <c r="FC11" s="790">
        <f t="shared" si="19"/>
        <v>-100</v>
      </c>
      <c r="FD11" s="791">
        <f t="shared" si="20"/>
        <v>-100</v>
      </c>
      <c r="FE11" s="792">
        <f t="shared" si="21"/>
        <v>811205</v>
      </c>
      <c r="FF11" s="792">
        <f t="shared" si="22"/>
        <v>0</v>
      </c>
    </row>
    <row r="12" spans="1:167" ht="15" customHeight="1" x14ac:dyDescent="0.25">
      <c r="A12" s="135" t="s">
        <v>358</v>
      </c>
      <c r="B12" s="162">
        <v>78525</v>
      </c>
      <c r="C12" s="151">
        <v>77664</v>
      </c>
      <c r="D12" s="151">
        <v>72881</v>
      </c>
      <c r="E12" s="151">
        <v>71674</v>
      </c>
      <c r="F12" s="151">
        <v>85024</v>
      </c>
      <c r="G12" s="151">
        <v>77335</v>
      </c>
      <c r="H12" s="151">
        <v>80470</v>
      </c>
      <c r="I12" s="151">
        <v>83266</v>
      </c>
      <c r="J12" s="151">
        <v>76531</v>
      </c>
      <c r="K12" s="151">
        <v>89629</v>
      </c>
      <c r="L12" s="151">
        <v>82562</v>
      </c>
      <c r="M12" s="241">
        <v>78189</v>
      </c>
      <c r="N12" s="161">
        <f t="shared" si="10"/>
        <v>953750</v>
      </c>
      <c r="O12" s="162">
        <v>66811</v>
      </c>
      <c r="P12" s="151">
        <v>67538</v>
      </c>
      <c r="Q12" s="151">
        <v>61661</v>
      </c>
      <c r="R12" s="151">
        <v>65665</v>
      </c>
      <c r="S12" s="151">
        <v>65061</v>
      </c>
      <c r="T12" s="151">
        <v>63005</v>
      </c>
      <c r="U12" s="151">
        <v>78058</v>
      </c>
      <c r="V12" s="151">
        <v>82354</v>
      </c>
      <c r="W12" s="151">
        <v>67033</v>
      </c>
      <c r="X12" s="151">
        <v>62787</v>
      </c>
      <c r="Y12" s="151">
        <v>63194</v>
      </c>
      <c r="Z12" s="241">
        <v>57644</v>
      </c>
      <c r="AA12" s="161">
        <f t="shared" si="11"/>
        <v>800811</v>
      </c>
      <c r="AB12" s="162">
        <v>57348</v>
      </c>
      <c r="AC12" s="151">
        <v>55470</v>
      </c>
      <c r="AD12" s="151">
        <v>75086</v>
      </c>
      <c r="AE12" s="151">
        <v>60160</v>
      </c>
      <c r="AF12" s="151">
        <v>66656</v>
      </c>
      <c r="AG12" s="151">
        <v>73243</v>
      </c>
      <c r="AH12" s="151">
        <v>59320</v>
      </c>
      <c r="AI12" s="151">
        <v>66212</v>
      </c>
      <c r="AJ12" s="151">
        <v>61009</v>
      </c>
      <c r="AK12" s="151">
        <v>58167</v>
      </c>
      <c r="AL12" s="151">
        <v>58429</v>
      </c>
      <c r="AM12" s="241">
        <v>58320</v>
      </c>
      <c r="AN12" s="161">
        <f t="shared" si="12"/>
        <v>749420</v>
      </c>
      <c r="AO12" s="162">
        <v>59922</v>
      </c>
      <c r="AP12" s="151">
        <v>61056</v>
      </c>
      <c r="AQ12" s="151">
        <v>65394</v>
      </c>
      <c r="AR12" s="151">
        <v>63474</v>
      </c>
      <c r="AS12" s="151">
        <v>64087</v>
      </c>
      <c r="AT12" s="151">
        <v>65568</v>
      </c>
      <c r="AU12" s="151">
        <v>70649</v>
      </c>
      <c r="AV12" s="151">
        <v>72883</v>
      </c>
      <c r="AW12" s="151">
        <v>66299</v>
      </c>
      <c r="AX12" s="151">
        <v>68354</v>
      </c>
      <c r="AY12" s="151">
        <v>74669</v>
      </c>
      <c r="AZ12" s="241">
        <v>62501</v>
      </c>
      <c r="BA12" s="161">
        <f t="shared" si="13"/>
        <v>794856</v>
      </c>
      <c r="BB12" s="162">
        <v>60905</v>
      </c>
      <c r="BC12" s="151">
        <v>59543</v>
      </c>
      <c r="BD12" s="151">
        <v>62983</v>
      </c>
      <c r="BE12" s="151">
        <v>63449</v>
      </c>
      <c r="BF12" s="151">
        <v>64969</v>
      </c>
      <c r="BG12" s="151">
        <v>69812</v>
      </c>
      <c r="BH12" s="151">
        <v>67205</v>
      </c>
      <c r="BI12" s="151">
        <v>81179</v>
      </c>
      <c r="BJ12" s="151">
        <v>69523</v>
      </c>
      <c r="BK12" s="151">
        <v>73014</v>
      </c>
      <c r="BL12" s="151">
        <v>63314</v>
      </c>
      <c r="BM12" s="241">
        <v>65610</v>
      </c>
      <c r="BN12" s="161">
        <f>SUM(BB12:BM12)</f>
        <v>801506</v>
      </c>
      <c r="BO12" s="162">
        <v>68311</v>
      </c>
      <c r="BP12" s="151">
        <v>63594</v>
      </c>
      <c r="BQ12" s="151">
        <v>49146</v>
      </c>
      <c r="BR12" s="151">
        <v>1497</v>
      </c>
      <c r="BS12" s="151">
        <v>3221</v>
      </c>
      <c r="BT12" s="151">
        <v>4859</v>
      </c>
      <c r="BU12" s="151">
        <v>34596</v>
      </c>
      <c r="BV12" s="151">
        <v>37694</v>
      </c>
      <c r="BW12" s="151">
        <v>45656</v>
      </c>
      <c r="BX12" s="151">
        <v>54741</v>
      </c>
      <c r="BY12" s="151">
        <v>52212</v>
      </c>
      <c r="BZ12" s="241">
        <v>51780</v>
      </c>
      <c r="CA12" s="161">
        <f t="shared" si="14"/>
        <v>467307</v>
      </c>
      <c r="CB12" s="162">
        <v>54353</v>
      </c>
      <c r="CC12" s="151">
        <v>42662</v>
      </c>
      <c r="CD12" s="151">
        <v>53768</v>
      </c>
      <c r="CE12" s="151">
        <v>47448</v>
      </c>
      <c r="CF12" s="151">
        <v>54364</v>
      </c>
      <c r="CG12" s="151">
        <v>55268</v>
      </c>
      <c r="CH12" s="151">
        <v>63879</v>
      </c>
      <c r="CI12" s="151">
        <v>70798</v>
      </c>
      <c r="CJ12" s="151">
        <v>69792</v>
      </c>
      <c r="CK12" s="151">
        <v>73506</v>
      </c>
      <c r="CL12" s="151">
        <v>69979</v>
      </c>
      <c r="CM12" s="241">
        <v>79391</v>
      </c>
      <c r="CN12" s="161">
        <f t="shared" si="15"/>
        <v>735208</v>
      </c>
      <c r="CO12" s="162">
        <v>58344</v>
      </c>
      <c r="CP12" s="151">
        <v>50223</v>
      </c>
      <c r="CQ12" s="151">
        <v>64166</v>
      </c>
      <c r="CR12" s="151">
        <v>64419</v>
      </c>
      <c r="CS12" s="151">
        <v>70771</v>
      </c>
      <c r="CT12" s="151">
        <v>56435</v>
      </c>
      <c r="CU12" s="151">
        <v>63829</v>
      </c>
      <c r="CV12" s="151">
        <v>70954</v>
      </c>
      <c r="CW12" s="151">
        <v>74883</v>
      </c>
      <c r="CX12" s="151">
        <v>72558</v>
      </c>
      <c r="CY12" s="151">
        <v>65361</v>
      </c>
      <c r="CZ12" s="241">
        <v>70013</v>
      </c>
      <c r="DA12" s="161">
        <f>SUM(CO12:CZ12)</f>
        <v>781956</v>
      </c>
      <c r="DB12" s="162">
        <v>72053</v>
      </c>
      <c r="DC12" s="151">
        <v>82430</v>
      </c>
      <c r="DD12" s="151">
        <v>94002</v>
      </c>
      <c r="DE12" s="151">
        <v>94085</v>
      </c>
      <c r="DF12" s="151">
        <v>84330</v>
      </c>
      <c r="DG12" s="151">
        <v>90880</v>
      </c>
      <c r="DH12" s="151">
        <v>90428</v>
      </c>
      <c r="DI12" s="151">
        <v>98543</v>
      </c>
      <c r="DJ12" s="151">
        <v>85403</v>
      </c>
      <c r="DK12" s="151">
        <v>87016</v>
      </c>
      <c r="DL12" s="151">
        <v>87151</v>
      </c>
      <c r="DM12" s="241">
        <v>73544</v>
      </c>
      <c r="DN12" s="161">
        <f>SUM(DB12:DM12)</f>
        <v>1039865</v>
      </c>
      <c r="DO12" s="162">
        <v>75434</v>
      </c>
      <c r="DP12" s="151">
        <v>65713</v>
      </c>
      <c r="DQ12" s="151">
        <v>63900</v>
      </c>
      <c r="DR12" s="151">
        <v>61770</v>
      </c>
      <c r="DS12" s="151">
        <v>77039</v>
      </c>
      <c r="DT12" s="151">
        <v>85933</v>
      </c>
      <c r="DU12" s="151">
        <v>93513</v>
      </c>
      <c r="DV12" s="151">
        <v>90339</v>
      </c>
      <c r="DW12" s="151">
        <v>82145</v>
      </c>
      <c r="DX12" s="151">
        <v>81545</v>
      </c>
      <c r="DY12" s="151">
        <v>79523</v>
      </c>
      <c r="DZ12" s="241">
        <v>78644</v>
      </c>
      <c r="EA12" s="161">
        <f t="shared" si="16"/>
        <v>935498</v>
      </c>
      <c r="EB12" s="162">
        <v>85958</v>
      </c>
      <c r="EC12" s="151">
        <v>85315</v>
      </c>
      <c r="ED12" s="151">
        <v>78776</v>
      </c>
      <c r="EE12" s="151">
        <v>76235</v>
      </c>
      <c r="EF12" s="151">
        <v>82068</v>
      </c>
      <c r="EG12" s="151">
        <v>84051</v>
      </c>
      <c r="EH12" s="151">
        <v>90442</v>
      </c>
      <c r="EI12" s="151">
        <v>84465</v>
      </c>
      <c r="EJ12" s="151">
        <v>70655</v>
      </c>
      <c r="EK12" s="151">
        <v>73521</v>
      </c>
      <c r="EL12" s="151">
        <v>80472</v>
      </c>
      <c r="EM12" s="241">
        <v>87904</v>
      </c>
      <c r="EN12" s="161">
        <f t="shared" si="32"/>
        <v>979862</v>
      </c>
      <c r="EO12" s="162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241"/>
      <c r="FA12" s="161">
        <f t="shared" si="18"/>
        <v>0</v>
      </c>
      <c r="FC12" s="149">
        <f t="shared" si="19"/>
        <v>-100</v>
      </c>
      <c r="FD12" s="171">
        <f t="shared" si="20"/>
        <v>-100</v>
      </c>
      <c r="FE12" s="202">
        <f t="shared" si="21"/>
        <v>777331</v>
      </c>
      <c r="FF12" s="202">
        <f t="shared" si="22"/>
        <v>0</v>
      </c>
      <c r="FK12" s="192"/>
    </row>
    <row r="13" spans="1:167" ht="15" customHeight="1" x14ac:dyDescent="0.25">
      <c r="A13" s="137" t="s">
        <v>359</v>
      </c>
      <c r="B13" s="233">
        <v>1905</v>
      </c>
      <c r="C13" s="230">
        <v>2037</v>
      </c>
      <c r="D13" s="230">
        <v>1599</v>
      </c>
      <c r="E13" s="230">
        <v>3257</v>
      </c>
      <c r="F13" s="230">
        <v>2628</v>
      </c>
      <c r="G13" s="230">
        <v>2947</v>
      </c>
      <c r="H13" s="230">
        <v>2600</v>
      </c>
      <c r="I13" s="230">
        <v>3334</v>
      </c>
      <c r="J13" s="230">
        <v>2756</v>
      </c>
      <c r="K13" s="230">
        <v>2519</v>
      </c>
      <c r="L13" s="230">
        <v>3004</v>
      </c>
      <c r="M13" s="199">
        <v>2618</v>
      </c>
      <c r="N13" s="232">
        <f t="shared" si="10"/>
        <v>31204</v>
      </c>
      <c r="O13" s="233">
        <v>2393</v>
      </c>
      <c r="P13" s="230">
        <v>3023</v>
      </c>
      <c r="Q13" s="230">
        <v>2127</v>
      </c>
      <c r="R13" s="230">
        <v>1952</v>
      </c>
      <c r="S13" s="230">
        <v>2001</v>
      </c>
      <c r="T13" s="230">
        <v>2392</v>
      </c>
      <c r="U13" s="230">
        <v>1893</v>
      </c>
      <c r="V13" s="230">
        <v>1728</v>
      </c>
      <c r="W13" s="230">
        <v>2560</v>
      </c>
      <c r="X13" s="230">
        <v>1934</v>
      </c>
      <c r="Y13" s="230">
        <v>1925</v>
      </c>
      <c r="Z13" s="199">
        <v>2281</v>
      </c>
      <c r="AA13" s="232">
        <f t="shared" si="11"/>
        <v>26209</v>
      </c>
      <c r="AB13" s="233">
        <v>2797</v>
      </c>
      <c r="AC13" s="230">
        <v>1969</v>
      </c>
      <c r="AD13" s="230">
        <v>2743</v>
      </c>
      <c r="AE13" s="230">
        <v>1628</v>
      </c>
      <c r="AF13" s="230">
        <v>2291</v>
      </c>
      <c r="AG13" s="230">
        <v>2911</v>
      </c>
      <c r="AH13" s="230">
        <v>3285</v>
      </c>
      <c r="AI13" s="230">
        <v>2610</v>
      </c>
      <c r="AJ13" s="230">
        <v>2515</v>
      </c>
      <c r="AK13" s="230">
        <v>2781</v>
      </c>
      <c r="AL13" s="230">
        <v>2541</v>
      </c>
      <c r="AM13" s="199">
        <v>2517</v>
      </c>
      <c r="AN13" s="232">
        <f t="shared" si="12"/>
        <v>30588</v>
      </c>
      <c r="AO13" s="233">
        <v>2661</v>
      </c>
      <c r="AP13" s="230">
        <v>2780</v>
      </c>
      <c r="AQ13" s="230">
        <v>2784</v>
      </c>
      <c r="AR13" s="230">
        <v>2473</v>
      </c>
      <c r="AS13" s="230">
        <v>2017</v>
      </c>
      <c r="AT13" s="230">
        <v>2567</v>
      </c>
      <c r="AU13" s="230">
        <v>2887</v>
      </c>
      <c r="AV13" s="230">
        <v>2413</v>
      </c>
      <c r="AW13" s="230">
        <v>2228</v>
      </c>
      <c r="AX13" s="230">
        <v>1978</v>
      </c>
      <c r="AY13" s="230">
        <v>2993</v>
      </c>
      <c r="AZ13" s="199">
        <v>2605</v>
      </c>
      <c r="BA13" s="232">
        <f t="shared" si="13"/>
        <v>30386</v>
      </c>
      <c r="BB13" s="233">
        <v>1911</v>
      </c>
      <c r="BC13" s="230">
        <v>1548</v>
      </c>
      <c r="BD13" s="230">
        <v>2783</v>
      </c>
      <c r="BE13" s="230">
        <v>2039</v>
      </c>
      <c r="BF13" s="230">
        <v>2428</v>
      </c>
      <c r="BG13" s="230">
        <v>2639</v>
      </c>
      <c r="BH13" s="230">
        <v>2792</v>
      </c>
      <c r="BI13" s="230">
        <v>2851</v>
      </c>
      <c r="BJ13" s="230">
        <v>2974</v>
      </c>
      <c r="BK13" s="230">
        <v>3856</v>
      </c>
      <c r="BL13" s="230">
        <v>3588</v>
      </c>
      <c r="BM13" s="199">
        <v>2799</v>
      </c>
      <c r="BN13" s="232">
        <f>SUM(BB13:BM13)</f>
        <v>32208</v>
      </c>
      <c r="BO13" s="233">
        <v>3444</v>
      </c>
      <c r="BP13" s="230">
        <v>3531</v>
      </c>
      <c r="BQ13" s="230">
        <v>3346</v>
      </c>
      <c r="BR13" s="230">
        <v>434</v>
      </c>
      <c r="BS13" s="230">
        <v>609</v>
      </c>
      <c r="BT13" s="230">
        <v>627</v>
      </c>
      <c r="BU13" s="230">
        <v>438</v>
      </c>
      <c r="BV13" s="230">
        <v>1192</v>
      </c>
      <c r="BW13" s="230">
        <v>1510</v>
      </c>
      <c r="BX13" s="230">
        <v>1659</v>
      </c>
      <c r="BY13" s="230">
        <v>2394</v>
      </c>
      <c r="BZ13" s="199">
        <v>2679</v>
      </c>
      <c r="CA13" s="232">
        <f t="shared" si="14"/>
        <v>21863</v>
      </c>
      <c r="CB13" s="233">
        <v>1753</v>
      </c>
      <c r="CC13" s="230">
        <v>1298</v>
      </c>
      <c r="CD13" s="230">
        <v>1520</v>
      </c>
      <c r="CE13" s="230">
        <v>1225</v>
      </c>
      <c r="CF13" s="230">
        <v>1768</v>
      </c>
      <c r="CG13" s="230">
        <v>1837</v>
      </c>
      <c r="CH13" s="230">
        <v>2195</v>
      </c>
      <c r="CI13" s="230">
        <v>2447</v>
      </c>
      <c r="CJ13" s="230">
        <v>2700</v>
      </c>
      <c r="CK13" s="230">
        <v>1985</v>
      </c>
      <c r="CL13" s="230">
        <v>2378</v>
      </c>
      <c r="CM13" s="199">
        <v>2561</v>
      </c>
      <c r="CN13" s="232">
        <f t="shared" si="15"/>
        <v>23667</v>
      </c>
      <c r="CO13" s="233">
        <v>2096</v>
      </c>
      <c r="CP13" s="230">
        <v>2449</v>
      </c>
      <c r="CQ13" s="230">
        <v>2800</v>
      </c>
      <c r="CR13" s="230">
        <v>2113</v>
      </c>
      <c r="CS13" s="230">
        <v>2975</v>
      </c>
      <c r="CT13" s="230">
        <v>3215</v>
      </c>
      <c r="CU13" s="230">
        <v>2931</v>
      </c>
      <c r="CV13" s="230">
        <v>3439</v>
      </c>
      <c r="CW13" s="230">
        <v>2353</v>
      </c>
      <c r="CX13" s="230">
        <v>2624</v>
      </c>
      <c r="CY13" s="230">
        <v>2914</v>
      </c>
      <c r="CZ13" s="199">
        <v>2120</v>
      </c>
      <c r="DA13" s="232">
        <f>SUM(CO13:CZ13)</f>
        <v>32029</v>
      </c>
      <c r="DB13" s="233">
        <v>2323</v>
      </c>
      <c r="DC13" s="230">
        <v>2570</v>
      </c>
      <c r="DD13" s="230">
        <v>2106</v>
      </c>
      <c r="DE13" s="230">
        <v>2151</v>
      </c>
      <c r="DF13" s="230">
        <v>2855</v>
      </c>
      <c r="DG13" s="230">
        <v>2271</v>
      </c>
      <c r="DH13" s="230">
        <v>2942</v>
      </c>
      <c r="DI13" s="230">
        <v>2521</v>
      </c>
      <c r="DJ13" s="230">
        <v>2409</v>
      </c>
      <c r="DK13" s="230">
        <v>2955</v>
      </c>
      <c r="DL13" s="230">
        <v>4026</v>
      </c>
      <c r="DM13" s="199">
        <v>2632</v>
      </c>
      <c r="DN13" s="232">
        <f>SUM(DB13:DM13)</f>
        <v>31761</v>
      </c>
      <c r="DO13" s="233">
        <v>2961</v>
      </c>
      <c r="DP13" s="230">
        <v>2591</v>
      </c>
      <c r="DQ13" s="230">
        <v>4354</v>
      </c>
      <c r="DR13" s="230">
        <v>3451</v>
      </c>
      <c r="DS13" s="230">
        <v>3228</v>
      </c>
      <c r="DT13" s="230">
        <v>3885</v>
      </c>
      <c r="DU13" s="230">
        <v>2885</v>
      </c>
      <c r="DV13" s="230">
        <v>3170</v>
      </c>
      <c r="DW13" s="230">
        <v>3361</v>
      </c>
      <c r="DX13" s="230">
        <v>3988</v>
      </c>
      <c r="DY13" s="230">
        <v>3077</v>
      </c>
      <c r="DZ13" s="199">
        <v>2281</v>
      </c>
      <c r="EA13" s="232">
        <f t="shared" si="16"/>
        <v>39232</v>
      </c>
      <c r="EB13" s="233">
        <v>3028</v>
      </c>
      <c r="EC13" s="230">
        <v>3016</v>
      </c>
      <c r="ED13" s="230">
        <v>3468</v>
      </c>
      <c r="EE13" s="230">
        <v>2555</v>
      </c>
      <c r="EF13" s="230">
        <v>4015</v>
      </c>
      <c r="EG13" s="230">
        <v>3759</v>
      </c>
      <c r="EH13" s="230">
        <v>4057</v>
      </c>
      <c r="EI13" s="230">
        <v>3362</v>
      </c>
      <c r="EJ13" s="230">
        <v>2507</v>
      </c>
      <c r="EK13" s="230">
        <v>3320</v>
      </c>
      <c r="EL13" s="230">
        <v>3663</v>
      </c>
      <c r="EM13" s="199">
        <v>2530</v>
      </c>
      <c r="EN13" s="232">
        <f t="shared" si="32"/>
        <v>39280</v>
      </c>
      <c r="EO13" s="233"/>
      <c r="EP13" s="230"/>
      <c r="EQ13" s="230"/>
      <c r="ER13" s="230"/>
      <c r="ES13" s="230"/>
      <c r="ET13" s="230"/>
      <c r="EU13" s="230"/>
      <c r="EV13" s="230"/>
      <c r="EW13" s="230"/>
      <c r="EX13" s="230"/>
      <c r="EY13" s="230"/>
      <c r="EZ13" s="199"/>
      <c r="FA13" s="232">
        <f t="shared" si="18"/>
        <v>0</v>
      </c>
      <c r="FC13" s="156">
        <f t="shared" si="19"/>
        <v>-100</v>
      </c>
      <c r="FD13" s="203">
        <f t="shared" si="20"/>
        <v>-100</v>
      </c>
      <c r="FE13" s="204">
        <f t="shared" si="21"/>
        <v>33874</v>
      </c>
      <c r="FF13" s="204">
        <f t="shared" si="22"/>
        <v>0</v>
      </c>
      <c r="FK13" s="192"/>
    </row>
    <row r="14" spans="1:167" ht="15" customHeight="1" x14ac:dyDescent="0.25">
      <c r="A14" s="134" t="s">
        <v>282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  <c r="CF14" s="127"/>
      <c r="CG14" s="127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7"/>
      <c r="CS14" s="127"/>
      <c r="CT14" s="127"/>
      <c r="CU14" s="127"/>
      <c r="CV14" s="127"/>
      <c r="CW14" s="127"/>
      <c r="CX14" s="127"/>
      <c r="CY14" s="127"/>
      <c r="CZ14" s="127"/>
      <c r="DA14" s="127"/>
      <c r="DB14" s="127"/>
      <c r="DC14" s="127"/>
      <c r="DD14" s="127"/>
      <c r="DE14" s="127"/>
      <c r="DF14" s="127"/>
      <c r="DG14" s="127"/>
      <c r="DH14" s="127"/>
      <c r="DI14" s="127"/>
      <c r="DJ14" s="127"/>
      <c r="DK14" s="127"/>
      <c r="DL14" s="127"/>
      <c r="DM14" s="127"/>
      <c r="DN14" s="127"/>
      <c r="DO14" s="127"/>
      <c r="DP14" s="127"/>
      <c r="DQ14" s="127"/>
      <c r="DR14" s="127"/>
      <c r="DS14" s="127"/>
      <c r="DT14" s="127"/>
      <c r="DU14" s="127"/>
      <c r="DV14" s="127"/>
      <c r="DW14" s="127"/>
      <c r="DX14" s="127"/>
      <c r="DY14" s="127"/>
      <c r="DZ14" s="127"/>
      <c r="EA14" s="127"/>
      <c r="EB14" s="127"/>
      <c r="EC14" s="127"/>
      <c r="ED14" s="127"/>
      <c r="EE14" s="127"/>
      <c r="EF14" s="127"/>
      <c r="EG14" s="127"/>
      <c r="EH14" s="127"/>
      <c r="EI14" s="127"/>
      <c r="EJ14" s="127"/>
      <c r="EK14" s="127"/>
      <c r="EL14" s="127"/>
      <c r="EM14" s="127"/>
      <c r="EN14" s="127"/>
      <c r="EO14" s="127"/>
      <c r="EP14" s="127"/>
      <c r="EQ14" s="127"/>
      <c r="ER14" s="127"/>
      <c r="ES14" s="127"/>
      <c r="ET14" s="127"/>
      <c r="EU14" s="127"/>
      <c r="EV14" s="127"/>
      <c r="EW14" s="127"/>
      <c r="EX14" s="127"/>
      <c r="EY14" s="127"/>
      <c r="EZ14" s="127"/>
      <c r="FA14" s="127"/>
      <c r="FC14" s="190"/>
      <c r="FD14" s="190"/>
      <c r="FE14" s="205"/>
      <c r="FF14" s="205"/>
      <c r="FK14" s="192"/>
    </row>
    <row r="15" spans="1:167" ht="15" customHeight="1" x14ac:dyDescent="0.25">
      <c r="A15" s="134" t="s">
        <v>283</v>
      </c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>
        <f t="shared" ref="DN15:DN17" si="34">((DN11/DA11)-1)*100</f>
        <v>31.651811765573079</v>
      </c>
      <c r="DO15" s="190">
        <f>((DO7/DB7)-1)*100</f>
        <v>-8.5234990491714235</v>
      </c>
      <c r="DP15" s="190">
        <f t="shared" ref="DP15:EM17" si="35">((DP7/DC7)-1)*100</f>
        <v>-18.086204671570528</v>
      </c>
      <c r="DQ15" s="190">
        <f t="shared" si="35"/>
        <v>-3.0772844726333126</v>
      </c>
      <c r="DR15" s="190">
        <f t="shared" si="35"/>
        <v>-9.6532368255843988</v>
      </c>
      <c r="DS15" s="190">
        <f t="shared" si="35"/>
        <v>-9.0327856664931936</v>
      </c>
      <c r="DT15" s="190">
        <f t="shared" si="35"/>
        <v>2.0471126274908436</v>
      </c>
      <c r="DU15" s="190">
        <f t="shared" si="35"/>
        <v>-1.7376927489286986</v>
      </c>
      <c r="DV15" s="190">
        <f t="shared" si="35"/>
        <v>8.9660825904293482</v>
      </c>
      <c r="DW15" s="190">
        <f t="shared" si="35"/>
        <v>0.21892047085845245</v>
      </c>
      <c r="DX15" s="190">
        <f t="shared" si="35"/>
        <v>-5.3091397849462378</v>
      </c>
      <c r="DY15" s="190">
        <f t="shared" si="35"/>
        <v>-4.9401249869078008</v>
      </c>
      <c r="DZ15" s="190">
        <f t="shared" si="35"/>
        <v>-4.7741514833194447</v>
      </c>
      <c r="EA15" s="190">
        <f t="shared" si="35"/>
        <v>-4.5617767538627003</v>
      </c>
      <c r="EB15" s="190">
        <f t="shared" si="35"/>
        <v>5.1451481179003666</v>
      </c>
      <c r="EC15" s="190">
        <f t="shared" si="35"/>
        <v>3.5486411973217891</v>
      </c>
      <c r="ED15" s="190">
        <f t="shared" si="35"/>
        <v>6.9356923574082963</v>
      </c>
      <c r="EE15" s="190">
        <f t="shared" si="35"/>
        <v>12.246065808297569</v>
      </c>
      <c r="EF15" s="190">
        <f t="shared" si="35"/>
        <v>18.032853873814968</v>
      </c>
      <c r="EG15" s="190">
        <f t="shared" si="35"/>
        <v>3.0446380935443607</v>
      </c>
      <c r="EH15" s="190">
        <f t="shared" si="35"/>
        <v>8.2789643568436322</v>
      </c>
      <c r="EI15" s="190">
        <f t="shared" si="35"/>
        <v>-5.1156667293586588</v>
      </c>
      <c r="EJ15" s="190">
        <f t="shared" si="35"/>
        <v>-1.6257833482542505</v>
      </c>
      <c r="EK15" s="190">
        <f t="shared" si="35"/>
        <v>4.3718949609652169</v>
      </c>
      <c r="EL15" s="190">
        <f t="shared" si="35"/>
        <v>10.287204348464819</v>
      </c>
      <c r="EM15" s="190">
        <f t="shared" si="35"/>
        <v>15.934421240823159</v>
      </c>
      <c r="EN15" s="190"/>
      <c r="EO15" s="190">
        <f t="shared" ref="EO15:EZ17" si="36">((EO11/DO11)-1)*100</f>
        <v>-100</v>
      </c>
      <c r="EP15" s="190">
        <f t="shared" si="36"/>
        <v>-100</v>
      </c>
      <c r="EQ15" s="190">
        <f t="shared" si="36"/>
        <v>-100</v>
      </c>
      <c r="ER15" s="190">
        <f t="shared" si="36"/>
        <v>-100</v>
      </c>
      <c r="ES15" s="190">
        <f t="shared" si="36"/>
        <v>-100</v>
      </c>
      <c r="ET15" s="190">
        <f t="shared" si="36"/>
        <v>-100</v>
      </c>
      <c r="EU15" s="190">
        <f t="shared" si="36"/>
        <v>-100</v>
      </c>
      <c r="EV15" s="190">
        <f t="shared" si="36"/>
        <v>-100</v>
      </c>
      <c r="EW15" s="190">
        <f t="shared" si="36"/>
        <v>-100</v>
      </c>
      <c r="EX15" s="190">
        <f t="shared" si="36"/>
        <v>-100</v>
      </c>
      <c r="EY15" s="190">
        <f t="shared" si="36"/>
        <v>-100</v>
      </c>
      <c r="EZ15" s="190">
        <f t="shared" si="36"/>
        <v>-100</v>
      </c>
      <c r="FC15" s="206"/>
      <c r="FF15" s="207"/>
    </row>
    <row r="16" spans="1:167" ht="15" customHeight="1" x14ac:dyDescent="0.25">
      <c r="A16" s="134" t="s">
        <v>306</v>
      </c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>
        <f t="shared" si="34"/>
        <v>32.98254633253022</v>
      </c>
      <c r="DO16" s="190">
        <f t="shared" ref="DO16:DO17" si="37">((DO8/DB8)-1)*100</f>
        <v>-9.8395419523573899</v>
      </c>
      <c r="DP16" s="190">
        <f t="shared" si="35"/>
        <v>-18.470369745061621</v>
      </c>
      <c r="DQ16" s="190">
        <f t="shared" si="35"/>
        <v>-4.8424665931102169</v>
      </c>
      <c r="DR16" s="190">
        <f t="shared" si="35"/>
        <v>-11.519513509352631</v>
      </c>
      <c r="DS16" s="190">
        <f t="shared" si="35"/>
        <v>-9.5087225220996672</v>
      </c>
      <c r="DT16" s="190">
        <f t="shared" si="35"/>
        <v>1.2191889742910078</v>
      </c>
      <c r="DU16" s="190">
        <f t="shared" si="35"/>
        <v>-2.138338104831583</v>
      </c>
      <c r="DV16" s="190">
        <f t="shared" si="35"/>
        <v>7.963910201761859</v>
      </c>
      <c r="DW16" s="190">
        <f t="shared" si="35"/>
        <v>-0.92776177471849408</v>
      </c>
      <c r="DX16" s="190">
        <f t="shared" si="35"/>
        <v>-6.4483111566018376</v>
      </c>
      <c r="DY16" s="190">
        <f t="shared" si="35"/>
        <v>-3.6515486311374135</v>
      </c>
      <c r="DZ16" s="190">
        <f t="shared" si="35"/>
        <v>-5.1962701158068896</v>
      </c>
      <c r="EA16" s="190">
        <f t="shared" si="35"/>
        <v>-5.3317750542065889</v>
      </c>
      <c r="EB16" s="190">
        <f t="shared" si="35"/>
        <v>5.4880439043512252</v>
      </c>
      <c r="EC16" s="190">
        <f t="shared" si="35"/>
        <v>3.3174570304410844</v>
      </c>
      <c r="ED16" s="190">
        <f t="shared" si="35"/>
        <v>7.7084943743021661</v>
      </c>
      <c r="EE16" s="190">
        <f t="shared" si="35"/>
        <v>14.20679455391709</v>
      </c>
      <c r="EF16" s="190">
        <f t="shared" si="35"/>
        <v>16.719256537713424</v>
      </c>
      <c r="EG16" s="190">
        <f t="shared" si="35"/>
        <v>3.0187408820558925</v>
      </c>
      <c r="EH16" s="190">
        <f t="shared" si="35"/>
        <v>7.9059520369835212</v>
      </c>
      <c r="EI16" s="190">
        <f t="shared" si="35"/>
        <v>-5.5471474633151274</v>
      </c>
      <c r="EJ16" s="190">
        <f t="shared" si="35"/>
        <v>-0.86092965298493196</v>
      </c>
      <c r="EK16" s="190">
        <f t="shared" si="35"/>
        <v>5.8213234739304287</v>
      </c>
      <c r="EL16" s="190">
        <f t="shared" si="35"/>
        <v>9.5506491487211456</v>
      </c>
      <c r="EM16" s="190">
        <f t="shared" si="35"/>
        <v>16.13389386848576</v>
      </c>
      <c r="EN16" s="190"/>
      <c r="EO16" s="190">
        <f t="shared" si="36"/>
        <v>-100</v>
      </c>
      <c r="EP16" s="190">
        <f t="shared" si="36"/>
        <v>-100</v>
      </c>
      <c r="EQ16" s="190">
        <f t="shared" si="36"/>
        <v>-100</v>
      </c>
      <c r="ER16" s="190">
        <f t="shared" si="36"/>
        <v>-100</v>
      </c>
      <c r="ES16" s="190">
        <f t="shared" si="36"/>
        <v>-100</v>
      </c>
      <c r="ET16" s="190">
        <f t="shared" si="36"/>
        <v>-100</v>
      </c>
      <c r="EU16" s="190">
        <f t="shared" si="36"/>
        <v>-100</v>
      </c>
      <c r="EV16" s="190">
        <f t="shared" si="36"/>
        <v>-100</v>
      </c>
      <c r="EW16" s="190">
        <f t="shared" si="36"/>
        <v>-100</v>
      </c>
      <c r="EX16" s="190">
        <f t="shared" si="36"/>
        <v>-100</v>
      </c>
      <c r="EY16" s="190">
        <f t="shared" si="36"/>
        <v>-100</v>
      </c>
      <c r="EZ16" s="190">
        <f t="shared" si="36"/>
        <v>-100</v>
      </c>
    </row>
    <row r="17" spans="1:162" ht="15" customHeight="1" x14ac:dyDescent="0.25">
      <c r="A17" s="134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>
        <f t="shared" si="34"/>
        <v>-0.83674170283181137</v>
      </c>
      <c r="DO17" s="190">
        <f t="shared" si="37"/>
        <v>23.743500866551127</v>
      </c>
      <c r="DP17" s="190">
        <f t="shared" si="35"/>
        <v>-9.8479362780593771</v>
      </c>
      <c r="DQ17" s="190">
        <f t="shared" si="35"/>
        <v>37.254901960784316</v>
      </c>
      <c r="DR17" s="190">
        <f t="shared" si="35"/>
        <v>34.548769371011858</v>
      </c>
      <c r="DS17" s="190">
        <f t="shared" si="35"/>
        <v>7.4850299401196807E-2</v>
      </c>
      <c r="DT17" s="190">
        <f t="shared" si="35"/>
        <v>21.228070175438596</v>
      </c>
      <c r="DU17" s="190">
        <f t="shared" si="35"/>
        <v>6.6964285714285809</v>
      </c>
      <c r="DV17" s="190">
        <f t="shared" si="35"/>
        <v>34.044444444444451</v>
      </c>
      <c r="DW17" s="190">
        <f t="shared" si="35"/>
        <v>27.27272727272727</v>
      </c>
      <c r="DX17" s="190">
        <f t="shared" si="35"/>
        <v>17.30903994393833</v>
      </c>
      <c r="DY17" s="190">
        <f t="shared" si="35"/>
        <v>-22.657054582904223</v>
      </c>
      <c r="DZ17" s="190">
        <f t="shared" si="35"/>
        <v>6.3303659742828922</v>
      </c>
      <c r="EA17" s="190">
        <f t="shared" si="35"/>
        <v>11.951718224391538</v>
      </c>
      <c r="EB17" s="190">
        <f t="shared" si="35"/>
        <v>-0.98039215686274161</v>
      </c>
      <c r="EC17" s="190">
        <f t="shared" si="35"/>
        <v>8.032128514056236</v>
      </c>
      <c r="ED17" s="190">
        <f t="shared" si="35"/>
        <v>-5.3061224489795888</v>
      </c>
      <c r="EE17" s="190">
        <f t="shared" si="35"/>
        <v>-18.292682926829272</v>
      </c>
      <c r="EF17" s="190">
        <f t="shared" si="35"/>
        <v>40.762902019446521</v>
      </c>
      <c r="EG17" s="190">
        <f t="shared" si="35"/>
        <v>3.5455861070911698</v>
      </c>
      <c r="EH17" s="190">
        <f t="shared" si="35"/>
        <v>15.481171548117146</v>
      </c>
      <c r="EI17" s="190">
        <f t="shared" si="35"/>
        <v>3.5809018567639184</v>
      </c>
      <c r="EJ17" s="190">
        <f t="shared" si="35"/>
        <v>-15.672676837725385</v>
      </c>
      <c r="EK17" s="190">
        <f t="shared" si="35"/>
        <v>-18.578255675029865</v>
      </c>
      <c r="EL17" s="190">
        <f t="shared" si="35"/>
        <v>22.902796271637825</v>
      </c>
      <c r="EM17" s="190">
        <f t="shared" si="35"/>
        <v>11.255813953488381</v>
      </c>
      <c r="EN17" s="190"/>
      <c r="EO17" s="190">
        <f t="shared" si="36"/>
        <v>-100</v>
      </c>
      <c r="EP17" s="190">
        <f t="shared" si="36"/>
        <v>-100</v>
      </c>
      <c r="EQ17" s="190">
        <f t="shared" si="36"/>
        <v>-100</v>
      </c>
      <c r="ER17" s="190">
        <f t="shared" si="36"/>
        <v>-100</v>
      </c>
      <c r="ES17" s="190">
        <f t="shared" si="36"/>
        <v>-100</v>
      </c>
      <c r="ET17" s="190">
        <f t="shared" si="36"/>
        <v>-100</v>
      </c>
      <c r="EU17" s="190">
        <f t="shared" si="36"/>
        <v>-100</v>
      </c>
      <c r="EV17" s="190">
        <f t="shared" si="36"/>
        <v>-100</v>
      </c>
      <c r="EW17" s="190">
        <f t="shared" si="36"/>
        <v>-100</v>
      </c>
      <c r="EX17" s="190">
        <f t="shared" si="36"/>
        <v>-100</v>
      </c>
      <c r="EY17" s="190">
        <f t="shared" si="36"/>
        <v>-100</v>
      </c>
      <c r="EZ17" s="190">
        <f t="shared" si="36"/>
        <v>-100</v>
      </c>
      <c r="FA17" s="190"/>
      <c r="FC17" s="190"/>
      <c r="FE17" s="190"/>
    </row>
    <row r="18" spans="1:162" ht="15" customHeight="1" x14ac:dyDescent="0.25">
      <c r="A18" s="134" t="s">
        <v>654</v>
      </c>
      <c r="B18" s="225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25"/>
      <c r="AA18" s="225"/>
      <c r="AB18" s="225"/>
      <c r="AC18" s="225"/>
      <c r="AD18" s="225"/>
      <c r="AE18" s="225"/>
      <c r="AF18" s="225"/>
      <c r="AG18" s="225"/>
      <c r="AH18" s="225"/>
      <c r="AI18" s="225"/>
      <c r="AJ18" s="225"/>
      <c r="AK18" s="225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5"/>
      <c r="BK18" s="225"/>
      <c r="BL18" s="225"/>
      <c r="BM18" s="225"/>
      <c r="BN18" s="225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90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  <c r="EB18" s="190"/>
      <c r="EC18" s="190"/>
      <c r="ED18" s="190"/>
      <c r="EE18" s="190"/>
      <c r="EF18" s="190"/>
      <c r="EG18" s="190"/>
      <c r="EH18" s="190"/>
      <c r="EI18" s="190"/>
      <c r="EJ18" s="190"/>
      <c r="EK18" s="190"/>
      <c r="EL18" s="190"/>
      <c r="EM18" s="190"/>
      <c r="EN18" s="190"/>
      <c r="EO18" s="190"/>
      <c r="EP18" s="190"/>
      <c r="EQ18" s="190"/>
      <c r="ER18" s="190"/>
      <c r="ES18" s="190"/>
      <c r="ET18" s="190"/>
      <c r="EU18" s="190"/>
      <c r="EV18" s="190"/>
      <c r="EW18" s="190"/>
      <c r="EX18" s="190"/>
      <c r="EY18" s="190"/>
      <c r="EZ18" s="190"/>
      <c r="FA18" s="190"/>
      <c r="FC18" s="190"/>
      <c r="FD18" s="208"/>
      <c r="FE18" s="208"/>
    </row>
    <row r="19" spans="1:162" ht="15" customHeight="1" x14ac:dyDescent="0.25">
      <c r="B19" s="225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5"/>
      <c r="BM19" s="225"/>
      <c r="BN19" s="225"/>
      <c r="CM19" s="190"/>
      <c r="FA19" s="190"/>
      <c r="FC19" s="190"/>
      <c r="FD19" s="208"/>
      <c r="FE19" s="208"/>
    </row>
    <row r="20" spans="1:162" ht="15" customHeight="1" x14ac:dyDescent="0.25">
      <c r="B20" s="225"/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4"/>
      <c r="BN20" s="124"/>
      <c r="BO20" s="209"/>
      <c r="BP20" s="209"/>
      <c r="BQ20" s="209"/>
      <c r="BR20" s="209"/>
      <c r="BS20" s="209"/>
      <c r="BT20" s="209"/>
      <c r="BU20" s="209"/>
      <c r="BV20" s="209"/>
      <c r="BW20" s="209"/>
      <c r="BX20" s="209"/>
      <c r="BY20" s="209"/>
      <c r="BZ20" s="209"/>
      <c r="CA20" s="209"/>
      <c r="CB20" s="209"/>
      <c r="CC20" s="209"/>
      <c r="CD20" s="209"/>
      <c r="CE20" s="209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209"/>
      <c r="DI20" s="209"/>
      <c r="DJ20" s="209"/>
      <c r="DK20" s="209"/>
      <c r="DL20" s="209"/>
      <c r="DM20" s="209"/>
      <c r="DO20" s="126">
        <f>((DO11/DB11)-1)*100</f>
        <v>5.4036248252124386</v>
      </c>
      <c r="DP20" s="126">
        <f t="shared" ref="DP20:EM22" si="38">((DP11/DC11)-1)*100</f>
        <v>-19.642352941176465</v>
      </c>
      <c r="DQ20" s="126">
        <f t="shared" si="38"/>
        <v>-28.981978607400006</v>
      </c>
      <c r="DR20" s="126">
        <f t="shared" si="38"/>
        <v>-32.228064341826347</v>
      </c>
      <c r="DS20" s="126">
        <f t="shared" si="38"/>
        <v>-7.9348511785284126</v>
      </c>
      <c r="DT20" s="126">
        <f t="shared" si="38"/>
        <v>-3.5780614271451738</v>
      </c>
      <c r="DU20" s="126">
        <f t="shared" si="38"/>
        <v>3.2430116739852188</v>
      </c>
      <c r="DV20" s="126">
        <f t="shared" si="38"/>
        <v>-7.4754610939602673</v>
      </c>
      <c r="DW20" s="126">
        <f t="shared" si="38"/>
        <v>-2.6260647747460508</v>
      </c>
      <c r="DX20" s="126">
        <f t="shared" si="38"/>
        <v>-4.9327005368396515</v>
      </c>
      <c r="DY20" s="126">
        <f t="shared" si="38"/>
        <v>-9.4069776369040454</v>
      </c>
      <c r="DZ20" s="126">
        <f t="shared" si="38"/>
        <v>6.2342470069313149</v>
      </c>
      <c r="EA20" s="126">
        <f t="shared" si="38"/>
        <v>-9.0419605347388021</v>
      </c>
      <c r="EB20" s="126">
        <f t="shared" si="38"/>
        <v>13.509790165189116</v>
      </c>
      <c r="EC20" s="126">
        <f t="shared" si="38"/>
        <v>29.320391192316709</v>
      </c>
      <c r="ED20" s="126">
        <f t="shared" si="38"/>
        <v>20.496967210712924</v>
      </c>
      <c r="EE20" s="126">
        <f t="shared" si="38"/>
        <v>20.804648809432535</v>
      </c>
      <c r="EF20" s="126">
        <f t="shared" si="38"/>
        <v>7.2458170854772241</v>
      </c>
      <c r="EG20" s="126">
        <f t="shared" si="38"/>
        <v>-2.2356320559353327</v>
      </c>
      <c r="EH20" s="126">
        <f t="shared" si="38"/>
        <v>-1.9699578829436293</v>
      </c>
      <c r="EI20" s="126">
        <f t="shared" si="38"/>
        <v>-6.0764204515073361</v>
      </c>
      <c r="EJ20" s="126">
        <f t="shared" si="38"/>
        <v>-14.436413818913296</v>
      </c>
      <c r="EK20" s="126">
        <f t="shared" si="38"/>
        <v>-10.1621596342932</v>
      </c>
      <c r="EL20" s="126">
        <f t="shared" si="38"/>
        <v>1.8583535108958937</v>
      </c>
      <c r="EM20" s="126">
        <f t="shared" si="38"/>
        <v>11.750386160024707</v>
      </c>
      <c r="FA20" s="190"/>
      <c r="FC20" s="225"/>
      <c r="FD20" s="208"/>
      <c r="FE20" s="208"/>
    </row>
    <row r="21" spans="1:162" ht="15" customHeight="1" x14ac:dyDescent="0.25">
      <c r="DO21" s="126">
        <f t="shared" ref="DO21:DO22" si="39">((DO12/DB12)-1)*100</f>
        <v>4.6923792208513282</v>
      </c>
      <c r="DP21" s="126">
        <f t="shared" si="38"/>
        <v>-20.280237777508191</v>
      </c>
      <c r="DQ21" s="126">
        <f t="shared" si="38"/>
        <v>-32.022722920788915</v>
      </c>
      <c r="DR21" s="126">
        <f t="shared" si="38"/>
        <v>-34.346601477387473</v>
      </c>
      <c r="DS21" s="126">
        <f t="shared" si="38"/>
        <v>-8.6457962765326695</v>
      </c>
      <c r="DT21" s="126">
        <f t="shared" si="38"/>
        <v>-5.4434419014084519</v>
      </c>
      <c r="DU21" s="126">
        <f t="shared" si="38"/>
        <v>3.4115539434688369</v>
      </c>
      <c r="DV21" s="126">
        <f t="shared" si="38"/>
        <v>-8.3252996153963199</v>
      </c>
      <c r="DW21" s="126">
        <f t="shared" si="38"/>
        <v>-3.8148542791236806</v>
      </c>
      <c r="DX21" s="126">
        <f t="shared" si="38"/>
        <v>-6.2873494529741674</v>
      </c>
      <c r="DY21" s="126">
        <f t="shared" si="38"/>
        <v>-8.7526247547360381</v>
      </c>
      <c r="DZ21" s="126">
        <f t="shared" si="38"/>
        <v>6.9346241705645628</v>
      </c>
      <c r="EA21" s="126">
        <f t="shared" si="38"/>
        <v>-10.036591288292229</v>
      </c>
      <c r="EB21" s="126">
        <f t="shared" si="38"/>
        <v>13.951268658695026</v>
      </c>
      <c r="EC21" s="126">
        <f t="shared" si="38"/>
        <v>29.829714059622916</v>
      </c>
      <c r="ED21" s="126">
        <f t="shared" si="38"/>
        <v>23.280125195618151</v>
      </c>
      <c r="EE21" s="126">
        <f t="shared" si="38"/>
        <v>23.417516593815769</v>
      </c>
      <c r="EF21" s="126">
        <f t="shared" si="38"/>
        <v>6.5278625111956368</v>
      </c>
      <c r="EG21" s="126">
        <f t="shared" si="38"/>
        <v>-2.1900783168282256</v>
      </c>
      <c r="EH21" s="126">
        <f t="shared" si="38"/>
        <v>-3.2840353747607298</v>
      </c>
      <c r="EI21" s="126">
        <f t="shared" si="38"/>
        <v>-6.5021751403048551</v>
      </c>
      <c r="EJ21" s="126">
        <f t="shared" si="38"/>
        <v>-13.98746119666443</v>
      </c>
      <c r="EK21" s="126">
        <f t="shared" si="38"/>
        <v>-9.8399656631307906</v>
      </c>
      <c r="EL21" s="126">
        <f t="shared" si="38"/>
        <v>1.193365441444616</v>
      </c>
      <c r="EM21" s="126">
        <f t="shared" si="38"/>
        <v>11.77457911601647</v>
      </c>
      <c r="FA21" s="190"/>
    </row>
    <row r="22" spans="1:162" ht="15" customHeight="1" x14ac:dyDescent="0.25">
      <c r="B22" s="209"/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DO22" s="126">
        <f t="shared" si="39"/>
        <v>27.464485578992679</v>
      </c>
      <c r="DP22" s="126">
        <f t="shared" si="38"/>
        <v>0.81712062256809048</v>
      </c>
      <c r="DQ22" s="126">
        <f t="shared" si="38"/>
        <v>106.74264007597341</v>
      </c>
      <c r="DR22" s="126">
        <f t="shared" si="38"/>
        <v>60.437006043700613</v>
      </c>
      <c r="DS22" s="126">
        <f t="shared" si="38"/>
        <v>13.064798598949201</v>
      </c>
      <c r="DT22" s="126">
        <f t="shared" si="38"/>
        <v>71.070013210039633</v>
      </c>
      <c r="DU22" s="126">
        <f t="shared" si="38"/>
        <v>-1.9374575118966675</v>
      </c>
      <c r="DV22" s="126">
        <f t="shared" si="38"/>
        <v>25.74375247917493</v>
      </c>
      <c r="DW22" s="126">
        <f t="shared" si="38"/>
        <v>39.51847239518473</v>
      </c>
      <c r="DX22" s="126">
        <f t="shared" si="38"/>
        <v>34.957698815566829</v>
      </c>
      <c r="DY22" s="126">
        <f t="shared" si="38"/>
        <v>-23.571783407848979</v>
      </c>
      <c r="DZ22" s="126">
        <f t="shared" si="38"/>
        <v>-13.335866261398177</v>
      </c>
      <c r="EA22" s="126">
        <f t="shared" si="38"/>
        <v>23.522559113378037</v>
      </c>
      <c r="EB22" s="126">
        <f t="shared" si="38"/>
        <v>2.2627490712597176</v>
      </c>
      <c r="EC22" s="126">
        <f t="shared" si="38"/>
        <v>16.402933230412977</v>
      </c>
      <c r="ED22" s="126">
        <f t="shared" si="38"/>
        <v>-20.34910427193385</v>
      </c>
      <c r="EE22" s="126">
        <f t="shared" si="38"/>
        <v>-25.963488843813387</v>
      </c>
      <c r="EF22" s="126">
        <f t="shared" si="38"/>
        <v>24.380421313506815</v>
      </c>
      <c r="EG22" s="126">
        <f t="shared" si="38"/>
        <v>-3.2432432432432434</v>
      </c>
      <c r="EH22" s="126">
        <f t="shared" si="38"/>
        <v>40.623916811091853</v>
      </c>
      <c r="EI22" s="126">
        <f t="shared" si="38"/>
        <v>6.056782334384847</v>
      </c>
      <c r="EJ22" s="126">
        <f t="shared" si="38"/>
        <v>-25.409104433204398</v>
      </c>
      <c r="EK22" s="126">
        <f t="shared" si="38"/>
        <v>-16.750250752256768</v>
      </c>
      <c r="EL22" s="126">
        <f t="shared" si="38"/>
        <v>19.04452388690283</v>
      </c>
      <c r="EM22" s="126">
        <f t="shared" si="38"/>
        <v>10.91626479614205</v>
      </c>
      <c r="FA22" s="190"/>
      <c r="FC22" s="209"/>
      <c r="FD22" s="209"/>
      <c r="FE22" s="209"/>
      <c r="FF22" s="209"/>
    </row>
    <row r="23" spans="1:162" ht="15" customHeight="1" x14ac:dyDescent="0.25">
      <c r="FA23" s="190"/>
    </row>
    <row r="24" spans="1:162" customFormat="1" ht="15" customHeight="1" x14ac:dyDescent="0.25"/>
    <row r="25" spans="1:162" customFormat="1" ht="15" customHeight="1" x14ac:dyDescent="0.25"/>
    <row r="26" spans="1:162" customFormat="1" ht="15" customHeight="1" x14ac:dyDescent="0.25"/>
    <row r="27" spans="1:162" customFormat="1" ht="15" customHeight="1" x14ac:dyDescent="0.25"/>
    <row r="28" spans="1:162" customFormat="1" ht="15" customHeight="1" x14ac:dyDescent="0.25"/>
  </sheetData>
  <mergeCells count="1">
    <mergeCell ref="FC4:FD4"/>
  </mergeCells>
  <phoneticPr fontId="11" type="noConversion"/>
  <pageMargins left="0.7" right="0.7" top="0.75" bottom="0.75" header="0.3" footer="0.3"/>
  <pageSetup paperSize="9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I49"/>
  <sheetViews>
    <sheetView showGridLines="0" view="pageBreakPreview" zoomScaleNormal="75" zoomScaleSheetLayoutView="100" workbookViewId="0">
      <pane xSplit="1" topLeftCell="EM1" activePane="topRight" state="frozen"/>
      <selection activeCell="DO55" sqref="DO55:EP55"/>
      <selection pane="topRight"/>
    </sheetView>
  </sheetViews>
  <sheetFormatPr baseColWidth="10" defaultColWidth="10.7109375" defaultRowHeight="15" customHeight="1" x14ac:dyDescent="0.25"/>
  <cols>
    <col min="1" max="1" width="20.7109375" style="126" customWidth="1"/>
    <col min="2" max="157" width="10.7109375" style="126"/>
    <col min="159" max="16384" width="10.7109375" style="126"/>
  </cols>
  <sheetData>
    <row r="1" spans="1:165" ht="15" customHeight="1" x14ac:dyDescent="0.25">
      <c r="A1" s="772" t="s">
        <v>259</v>
      </c>
    </row>
    <row r="2" spans="1:165" ht="15" customHeight="1" x14ac:dyDescent="0.25">
      <c r="A2" s="772" t="s">
        <v>206</v>
      </c>
    </row>
    <row r="3" spans="1:165" ht="15" customHeight="1" x14ac:dyDescent="0.25">
      <c r="A3" s="772"/>
    </row>
    <row r="4" spans="1:165" s="795" customFormat="1" ht="15" customHeight="1" x14ac:dyDescent="0.25">
      <c r="A4" s="210" t="s">
        <v>207</v>
      </c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758" t="s">
        <v>83</v>
      </c>
      <c r="FB4" s="753"/>
      <c r="FC4" s="476" t="str">
        <f>CONCATENATE("Var.% ",FF4,"/",FF4-1)</f>
        <v>Var.% 2026/2025</v>
      </c>
      <c r="FD4" s="477"/>
      <c r="FE4" s="478">
        <f>FF4-1</f>
        <v>2025</v>
      </c>
      <c r="FF4" s="478">
        <f>YEAR(FC5)</f>
        <v>2026</v>
      </c>
    </row>
    <row r="5" spans="1:165" s="795" customFormat="1" ht="15" customHeight="1" x14ac:dyDescent="0.25">
      <c r="A5" s="211" t="s">
        <v>227</v>
      </c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 t="shared" ref="EN5" si="10"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645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B5" s="753"/>
      <c r="FC5" s="485">
        <f>EY5</f>
        <v>46327</v>
      </c>
      <c r="FD5" s="486" t="str">
        <f>CONCATENATE("Ene.-",TEXT(FC5,"MMM."))</f>
        <v>Ene.-Nov.</v>
      </c>
      <c r="FE5" s="487" t="str">
        <f>FD5</f>
        <v>Ene.-Nov.</v>
      </c>
      <c r="FF5" s="487" t="str">
        <f>FD5</f>
        <v>Ene.-Nov.</v>
      </c>
      <c r="FG5" s="831"/>
    </row>
    <row r="6" spans="1:165" ht="15" customHeight="1" x14ac:dyDescent="0.25">
      <c r="A6" s="376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832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832"/>
      <c r="AB6" s="375"/>
      <c r="AC6" s="375"/>
      <c r="AD6" s="375"/>
      <c r="AE6" s="375"/>
      <c r="AF6" s="375"/>
      <c r="AG6" s="375"/>
      <c r="AH6" s="375"/>
      <c r="AI6" s="375"/>
      <c r="AJ6" s="375"/>
      <c r="AK6" s="375"/>
      <c r="AL6" s="375"/>
      <c r="AM6" s="375"/>
      <c r="AN6" s="832"/>
      <c r="AO6" s="375"/>
      <c r="AP6" s="375"/>
      <c r="AQ6" s="375"/>
      <c r="AR6" s="375"/>
      <c r="AS6" s="375"/>
      <c r="AT6" s="375"/>
      <c r="AU6" s="375"/>
      <c r="AV6" s="375"/>
      <c r="AW6" s="375"/>
      <c r="AX6" s="375"/>
      <c r="AY6" s="375"/>
      <c r="AZ6" s="375"/>
      <c r="BA6" s="832"/>
      <c r="BB6" s="375"/>
      <c r="BC6" s="375"/>
      <c r="BD6" s="375"/>
      <c r="BE6" s="375"/>
      <c r="BF6" s="375"/>
      <c r="BG6" s="375"/>
      <c r="BH6" s="375"/>
      <c r="BI6" s="375"/>
      <c r="BJ6" s="375"/>
      <c r="BK6" s="375"/>
      <c r="BL6" s="375"/>
      <c r="BM6" s="375"/>
      <c r="BN6" s="832"/>
      <c r="BO6" s="375"/>
      <c r="BP6" s="375"/>
      <c r="BQ6" s="375"/>
      <c r="BR6" s="375"/>
      <c r="BS6" s="375"/>
      <c r="BT6" s="375"/>
      <c r="BU6" s="375"/>
      <c r="BV6" s="375"/>
      <c r="BW6" s="375"/>
      <c r="BX6" s="375"/>
      <c r="BY6" s="375"/>
      <c r="BZ6" s="375"/>
      <c r="CA6" s="832"/>
      <c r="CB6" s="375"/>
      <c r="CC6" s="375"/>
      <c r="CD6" s="375"/>
      <c r="CE6" s="375"/>
      <c r="CF6" s="375"/>
      <c r="CG6" s="375"/>
      <c r="CH6" s="375"/>
      <c r="CI6" s="375"/>
      <c r="CJ6" s="375"/>
      <c r="CK6" s="375"/>
      <c r="CL6" s="375"/>
      <c r="CM6" s="375"/>
      <c r="CN6" s="832"/>
      <c r="CO6" s="375"/>
      <c r="CP6" s="375"/>
      <c r="CQ6" s="375"/>
      <c r="CR6" s="375"/>
      <c r="CS6" s="375"/>
      <c r="CT6" s="375"/>
      <c r="CU6" s="375"/>
      <c r="CV6" s="375"/>
      <c r="CW6" s="375"/>
      <c r="CX6" s="375"/>
      <c r="CY6" s="375"/>
      <c r="CZ6" s="375"/>
      <c r="DA6" s="832"/>
      <c r="DB6" s="375"/>
      <c r="DC6" s="375"/>
      <c r="DD6" s="375"/>
      <c r="DE6" s="375"/>
      <c r="DF6" s="375"/>
      <c r="DG6" s="375"/>
      <c r="DH6" s="375"/>
      <c r="DI6" s="375"/>
      <c r="DJ6" s="375"/>
      <c r="DK6" s="375"/>
      <c r="DL6" s="375"/>
      <c r="DM6" s="375"/>
      <c r="DN6" s="832"/>
      <c r="DO6" s="375"/>
      <c r="DP6" s="375"/>
      <c r="DQ6" s="375"/>
      <c r="DR6" s="375"/>
      <c r="DS6" s="375"/>
      <c r="DT6" s="375"/>
      <c r="DU6" s="375"/>
      <c r="DV6" s="375"/>
      <c r="DW6" s="375"/>
      <c r="DX6" s="375"/>
      <c r="DY6" s="375"/>
      <c r="DZ6" s="375"/>
      <c r="EA6" s="832"/>
      <c r="EB6" s="375"/>
      <c r="EC6" s="375"/>
      <c r="ED6" s="375"/>
      <c r="EE6" s="375"/>
      <c r="EF6" s="375"/>
      <c r="EG6" s="375"/>
      <c r="EH6" s="375"/>
      <c r="EI6" s="375"/>
      <c r="EJ6" s="375"/>
      <c r="EK6" s="375"/>
      <c r="EL6" s="375"/>
      <c r="EM6" s="375"/>
      <c r="EN6" s="832"/>
      <c r="EO6" s="375"/>
      <c r="EP6" s="375"/>
      <c r="EQ6" s="375"/>
      <c r="ER6" s="375"/>
      <c r="ES6" s="375"/>
      <c r="ET6" s="375"/>
      <c r="EU6" s="375"/>
      <c r="EV6" s="375"/>
      <c r="EW6" s="375"/>
      <c r="EX6" s="375"/>
      <c r="EY6" s="375"/>
      <c r="EZ6" s="375"/>
      <c r="FA6" s="832"/>
      <c r="FC6" s="494"/>
      <c r="FD6" s="495"/>
      <c r="FE6" s="496"/>
      <c r="FF6" s="497"/>
    </row>
    <row r="7" spans="1:165" s="793" customFormat="1" ht="15" customHeight="1" x14ac:dyDescent="0.25">
      <c r="A7" s="822" t="s">
        <v>309</v>
      </c>
      <c r="B7" s="788">
        <v>29031.167333333298</v>
      </c>
      <c r="C7" s="788">
        <v>26605.028333333299</v>
      </c>
      <c r="D7" s="788">
        <v>31754.737333333302</v>
      </c>
      <c r="E7" s="788">
        <v>29905.4156497084</v>
      </c>
      <c r="F7" s="788">
        <v>34662.708354738999</v>
      </c>
      <c r="G7" s="788">
        <v>29292.5439500469</v>
      </c>
      <c r="H7" s="788">
        <v>26508.020921835199</v>
      </c>
      <c r="I7" s="788">
        <v>69337.133689213195</v>
      </c>
      <c r="J7" s="788">
        <v>50672.495928644501</v>
      </c>
      <c r="K7" s="788">
        <v>49113.291635737201</v>
      </c>
      <c r="L7" s="788">
        <v>38370.969333333298</v>
      </c>
      <c r="M7" s="788">
        <v>49984.640456044697</v>
      </c>
      <c r="N7" s="833">
        <f>SUM(B7:M7)</f>
        <v>465238.15291930235</v>
      </c>
      <c r="O7" s="788">
        <v>77542.190333333405</v>
      </c>
      <c r="P7" s="788">
        <v>44966.9073333333</v>
      </c>
      <c r="Q7" s="788">
        <v>34387.4603333333</v>
      </c>
      <c r="R7" s="788">
        <v>37743.422333333299</v>
      </c>
      <c r="S7" s="788">
        <v>32845.004333333301</v>
      </c>
      <c r="T7" s="788">
        <v>62019.8183333333</v>
      </c>
      <c r="U7" s="788">
        <v>24561.2713588933</v>
      </c>
      <c r="V7" s="788">
        <v>17635.752113606301</v>
      </c>
      <c r="W7" s="788">
        <v>12057.1969770334</v>
      </c>
      <c r="X7" s="788">
        <v>28526.4348333333</v>
      </c>
      <c r="Y7" s="788">
        <v>17944.214994198901</v>
      </c>
      <c r="Z7" s="788">
        <v>2059.06023180481</v>
      </c>
      <c r="AA7" s="833">
        <f>SUM(O7:Z7)</f>
        <v>392288.73350886989</v>
      </c>
      <c r="AB7" s="788">
        <v>1617.81533333333</v>
      </c>
      <c r="AC7" s="788">
        <v>3555.7053333333301</v>
      </c>
      <c r="AD7" s="788">
        <v>39270.161333333301</v>
      </c>
      <c r="AE7" s="788">
        <v>1573.1293333333299</v>
      </c>
      <c r="AF7" s="788">
        <v>3051.0503333333299</v>
      </c>
      <c r="AG7" s="788">
        <v>1538.3723333333301</v>
      </c>
      <c r="AH7" s="788">
        <v>3611.9353333333302</v>
      </c>
      <c r="AI7" s="788">
        <v>11651.8613333333</v>
      </c>
      <c r="AJ7" s="788">
        <v>42978.540333333302</v>
      </c>
      <c r="AK7" s="788">
        <v>4628.0083333333296</v>
      </c>
      <c r="AL7" s="788">
        <v>23328.243333333299</v>
      </c>
      <c r="AM7" s="788">
        <v>9249.6483333333308</v>
      </c>
      <c r="AN7" s="833">
        <f>SUM(AB7:AM7)</f>
        <v>146054.47099999984</v>
      </c>
      <c r="AO7" s="788">
        <v>10812.6652258333</v>
      </c>
      <c r="AP7" s="788">
        <v>48940.8801358333</v>
      </c>
      <c r="AQ7" s="788">
        <v>10149.3092358333</v>
      </c>
      <c r="AR7" s="788">
        <v>8118.8376158333303</v>
      </c>
      <c r="AS7" s="788">
        <v>24139.697763333301</v>
      </c>
      <c r="AT7" s="788">
        <v>23259.053023333301</v>
      </c>
      <c r="AU7" s="788">
        <v>63441.9573033333</v>
      </c>
      <c r="AV7" s="788">
        <v>67508.711828333297</v>
      </c>
      <c r="AW7" s="788">
        <v>95025.322708333304</v>
      </c>
      <c r="AX7" s="788">
        <v>15981.7067283333</v>
      </c>
      <c r="AY7" s="788">
        <v>1901.2767808333299</v>
      </c>
      <c r="AZ7" s="788">
        <v>23990.6625333333</v>
      </c>
      <c r="BA7" s="833">
        <f>SUM(AO7:AZ7)</f>
        <v>393270.08088249963</v>
      </c>
      <c r="BB7" s="788">
        <v>23567.6275358333</v>
      </c>
      <c r="BC7" s="788">
        <v>16986.469853333299</v>
      </c>
      <c r="BD7" s="788">
        <v>9759.2770783333308</v>
      </c>
      <c r="BE7" s="788">
        <v>9975.9868833333294</v>
      </c>
      <c r="BF7" s="788">
        <v>32918.345795833302</v>
      </c>
      <c r="BG7" s="788">
        <v>24174.464058333298</v>
      </c>
      <c r="BH7" s="788">
        <v>28584.730208333302</v>
      </c>
      <c r="BI7" s="788">
        <v>74260.865433333296</v>
      </c>
      <c r="BJ7" s="788">
        <v>52079.940528333304</v>
      </c>
      <c r="BK7" s="788">
        <v>51786.207855833301</v>
      </c>
      <c r="BL7" s="788">
        <v>16806.4489758333</v>
      </c>
      <c r="BM7" s="788">
        <v>3268.29586583333</v>
      </c>
      <c r="BN7" s="833">
        <f>SUM(BB7:BM7)</f>
        <v>344168.66007249971</v>
      </c>
      <c r="BO7" s="788">
        <v>8808.4506183333306</v>
      </c>
      <c r="BP7" s="788">
        <v>10276.656235833299</v>
      </c>
      <c r="BQ7" s="788">
        <v>1600.0639558333301</v>
      </c>
      <c r="BR7" s="788">
        <v>1480.64288333333</v>
      </c>
      <c r="BS7" s="788">
        <v>1469.11533333333</v>
      </c>
      <c r="BT7" s="788">
        <v>1518.0594708333299</v>
      </c>
      <c r="BU7" s="788">
        <v>1678.43396333333</v>
      </c>
      <c r="BV7" s="788">
        <v>1554.9012033333299</v>
      </c>
      <c r="BW7" s="788">
        <v>3651.34861083333</v>
      </c>
      <c r="BX7" s="788">
        <v>12882.0025233333</v>
      </c>
      <c r="BY7" s="788">
        <v>46029.3302308333</v>
      </c>
      <c r="BZ7" s="788">
        <v>4231.70082083333</v>
      </c>
      <c r="CA7" s="833">
        <f>SUM(BO7:BZ7)</f>
        <v>95180.705849999882</v>
      </c>
      <c r="CB7" s="788">
        <v>6096.5717833333301</v>
      </c>
      <c r="CC7" s="788">
        <v>15638.0334783333</v>
      </c>
      <c r="CD7" s="788">
        <v>15150.4777858333</v>
      </c>
      <c r="CE7" s="788">
        <v>1527.15049083333</v>
      </c>
      <c r="CF7" s="788">
        <v>18842.687473333299</v>
      </c>
      <c r="CG7" s="788">
        <v>23916.8148933333</v>
      </c>
      <c r="CH7" s="788">
        <v>19801.4621833333</v>
      </c>
      <c r="CI7" s="788">
        <v>48311.675833333298</v>
      </c>
      <c r="CJ7" s="788">
        <v>54745.413638333303</v>
      </c>
      <c r="CK7" s="788">
        <v>25425.7693958333</v>
      </c>
      <c r="CL7" s="788">
        <v>6164.3483683333297</v>
      </c>
      <c r="CM7" s="788">
        <v>3229.1198458333301</v>
      </c>
      <c r="CN7" s="833">
        <f>SUM(CB7:CM7)</f>
        <v>238849.52516999975</v>
      </c>
      <c r="CO7" s="788">
        <v>1582.0550000000001</v>
      </c>
      <c r="CP7" s="788">
        <v>9436.4410000000007</v>
      </c>
      <c r="CQ7" s="788">
        <v>11855.33</v>
      </c>
      <c r="CR7" s="788">
        <v>14067.5435125</v>
      </c>
      <c r="CS7" s="788">
        <v>11300.222454999999</v>
      </c>
      <c r="CT7" s="788">
        <v>37591.239034999999</v>
      </c>
      <c r="CU7" s="788">
        <v>44142.449307499999</v>
      </c>
      <c r="CV7" s="788">
        <v>34206.773482500001</v>
      </c>
      <c r="CW7" s="788">
        <v>48496.996594999997</v>
      </c>
      <c r="CX7" s="788">
        <v>12558.70383</v>
      </c>
      <c r="CY7" s="788">
        <v>59063.142517499997</v>
      </c>
      <c r="CZ7" s="788">
        <v>43689.704272499999</v>
      </c>
      <c r="DA7" s="833">
        <f>SUM(CO7:CZ7)</f>
        <v>327990.60100750002</v>
      </c>
      <c r="DB7" s="788">
        <v>19252.900000000001</v>
      </c>
      <c r="DC7" s="788">
        <v>3505.4580000000001</v>
      </c>
      <c r="DD7" s="788">
        <v>23882.208999999999</v>
      </c>
      <c r="DE7" s="788">
        <v>15583.002</v>
      </c>
      <c r="DF7" s="788">
        <v>34969.911</v>
      </c>
      <c r="DG7" s="788">
        <v>62409.072999999997</v>
      </c>
      <c r="DH7" s="788">
        <v>47314.502</v>
      </c>
      <c r="DI7" s="788">
        <v>39348.406999999999</v>
      </c>
      <c r="DJ7" s="788">
        <v>58332.942000000003</v>
      </c>
      <c r="DK7" s="788">
        <v>34713.353999999999</v>
      </c>
      <c r="DL7" s="788">
        <v>33186.894999999997</v>
      </c>
      <c r="DM7" s="788">
        <v>13556.004999999999</v>
      </c>
      <c r="DN7" s="833">
        <f>SUM(DB7:DM7)</f>
        <v>386054.658</v>
      </c>
      <c r="DO7" s="788">
        <v>16478.173019999998</v>
      </c>
      <c r="DP7" s="788">
        <v>14307.079239999999</v>
      </c>
      <c r="DQ7" s="788">
        <v>3525.9244450000001</v>
      </c>
      <c r="DR7" s="788">
        <v>4329.1704049999998</v>
      </c>
      <c r="DS7" s="788">
        <v>3673.3731625</v>
      </c>
      <c r="DT7" s="788">
        <v>16755.050759999998</v>
      </c>
      <c r="DU7" s="788">
        <v>44547.765529999997</v>
      </c>
      <c r="DV7" s="788">
        <v>32652.67023</v>
      </c>
      <c r="DW7" s="788">
        <v>36776.600862500003</v>
      </c>
      <c r="DX7" s="788">
        <v>34708.709402499997</v>
      </c>
      <c r="DY7" s="788">
        <v>16440.106262500001</v>
      </c>
      <c r="DZ7" s="788">
        <v>1766.4090000000001</v>
      </c>
      <c r="EA7" s="833">
        <f>SUM(DO7:DZ7)</f>
        <v>225961.03231999997</v>
      </c>
      <c r="EB7" s="788">
        <v>6396.5242049999997</v>
      </c>
      <c r="EC7" s="788">
        <v>16383.015815000001</v>
      </c>
      <c r="ED7" s="788">
        <v>9018.9097750000001</v>
      </c>
      <c r="EE7" s="788">
        <v>6877.7475949999998</v>
      </c>
      <c r="EF7" s="788">
        <v>2139.3158199999998</v>
      </c>
      <c r="EG7" s="788">
        <v>11057.2999175</v>
      </c>
      <c r="EH7" s="788">
        <v>6520.2953625</v>
      </c>
      <c r="EI7" s="788">
        <v>8805.9509949999992</v>
      </c>
      <c r="EJ7" s="788">
        <v>6786.9345524999999</v>
      </c>
      <c r="EK7" s="788">
        <v>4483.7691025000004</v>
      </c>
      <c r="EL7" s="788">
        <v>1893.6092925</v>
      </c>
      <c r="EM7" s="788"/>
      <c r="EN7" s="833">
        <f>SUM(EB7:EM7)</f>
        <v>80363.372432499993</v>
      </c>
      <c r="EO7" s="788">
        <v>6396.5242049999997</v>
      </c>
      <c r="EP7" s="788">
        <v>16383.015815000001</v>
      </c>
      <c r="EQ7" s="788">
        <v>9018.9097750000001</v>
      </c>
      <c r="ER7" s="788">
        <v>6877.7475949999998</v>
      </c>
      <c r="ES7" s="788">
        <v>2139.3158199999998</v>
      </c>
      <c r="ET7" s="788">
        <v>11057.2999175</v>
      </c>
      <c r="EU7" s="788">
        <v>6520.2953625</v>
      </c>
      <c r="EV7" s="788">
        <v>8805.9509949999992</v>
      </c>
      <c r="EW7" s="788">
        <v>6786.9345524999999</v>
      </c>
      <c r="EX7" s="788">
        <v>4483.7691025000004</v>
      </c>
      <c r="EY7" s="788">
        <v>1893.6092925</v>
      </c>
      <c r="EZ7" s="788"/>
      <c r="FA7" s="833">
        <f>SUM(EO7:EZ7)</f>
        <v>80363.372432499993</v>
      </c>
      <c r="FB7" s="757"/>
      <c r="FC7" s="544">
        <f>IFERROR(((
_xlfn.XLOOKUP((DATE(YEAR($FC$5),MONTH($FC$5),1)),$B$5:$FA$5,$B7:$FA7) /
_xlfn.XLOOKUP((DATE(YEAR($FC$5)-1,MONTH($FC$5),1)),$B$5:$FA$5,$B7:$FA7)
)-1)*100,"")</f>
        <v>0</v>
      </c>
      <c r="FD7" s="545">
        <f>IFERROR(((FF7/FE7)-1)*100,"")</f>
        <v>0</v>
      </c>
      <c r="FE7" s="546">
        <f>SUMIFS($B7:$FA7,$B$5:$FA$5,"&gt;="&amp;DATE(YEAR($FC$5)-1,1,1),$B$5:$FA$5,"&lt;="&amp;DATE(YEAR($FC$5)-1,MONTH($FC$5),1))</f>
        <v>80363.372432499993</v>
      </c>
      <c r="FF7" s="547">
        <f>SUMIFS($B7:$FA7,$B$5:$FA$5,"&gt;="&amp;DATE(YEAR($FC$5),1,1),$B$5:$FA$5,"&lt;="&amp;$FC$5)</f>
        <v>80363.372432499993</v>
      </c>
    </row>
    <row r="8" spans="1:165" ht="15" customHeight="1" x14ac:dyDescent="0.25">
      <c r="A8" s="138" t="s">
        <v>360</v>
      </c>
      <c r="B8" s="151">
        <v>340</v>
      </c>
      <c r="C8" s="151">
        <v>300</v>
      </c>
      <c r="D8" s="151">
        <v>382</v>
      </c>
      <c r="E8" s="151">
        <v>400</v>
      </c>
      <c r="F8" s="151">
        <v>397</v>
      </c>
      <c r="G8" s="151">
        <v>425</v>
      </c>
      <c r="H8" s="151">
        <v>403</v>
      </c>
      <c r="I8" s="151">
        <v>400</v>
      </c>
      <c r="J8" s="151">
        <v>405</v>
      </c>
      <c r="K8" s="151">
        <v>407</v>
      </c>
      <c r="L8" s="151"/>
      <c r="M8" s="151"/>
      <c r="N8" s="834">
        <f t="shared" ref="N8:N14" si="11">SUM(B8:M8)</f>
        <v>3859</v>
      </c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834">
        <f t="shared" ref="AA8:AA14" si="12">SUM(O8:Z8)</f>
        <v>0</v>
      </c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834">
        <f t="shared" ref="AN8:AN14" si="13">SUM(AB8:AM8)</f>
        <v>0</v>
      </c>
      <c r="AO8" s="151"/>
      <c r="AP8" s="151"/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834">
        <f t="shared" ref="BA8:BA14" si="14">SUM(AO8:AZ8)</f>
        <v>0</v>
      </c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834">
        <f t="shared" ref="BN8:BN14" si="15">SUM(BB8:BM8)</f>
        <v>0</v>
      </c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834">
        <f t="shared" ref="CA8:CA14" si="16">SUM(BO8:BZ8)</f>
        <v>0</v>
      </c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834">
        <f t="shared" ref="CN8:CN14" si="17">SUM(CB8:CM8)</f>
        <v>0</v>
      </c>
      <c r="CO8" s="151"/>
      <c r="CP8" s="151"/>
      <c r="CQ8" s="151"/>
      <c r="CR8" s="151"/>
      <c r="CS8" s="151"/>
      <c r="CT8" s="151"/>
      <c r="CU8" s="151"/>
      <c r="CV8" s="151"/>
      <c r="CW8" s="151"/>
      <c r="CX8" s="151"/>
      <c r="CY8" s="151"/>
      <c r="CZ8" s="151"/>
      <c r="DA8" s="834">
        <f t="shared" ref="DA8:DA14" si="18">SUM(CO8:CZ8)</f>
        <v>0</v>
      </c>
      <c r="DB8" s="151"/>
      <c r="DC8" s="151"/>
      <c r="DD8" s="151"/>
      <c r="DE8" s="151"/>
      <c r="DF8" s="151"/>
      <c r="DG8" s="151"/>
      <c r="DH8" s="151"/>
      <c r="DI8" s="151"/>
      <c r="DJ8" s="151"/>
      <c r="DK8" s="151"/>
      <c r="DL8" s="151"/>
      <c r="DM8" s="151"/>
      <c r="DN8" s="834">
        <f t="shared" ref="DN8:DN14" si="19">SUM(DB8:DM8)</f>
        <v>0</v>
      </c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834">
        <f t="shared" ref="EA8:EA14" si="20">SUM(DO8:DZ8)</f>
        <v>0</v>
      </c>
      <c r="EB8" s="151"/>
      <c r="EC8" s="151"/>
      <c r="ED8" s="151"/>
      <c r="EE8" s="151"/>
      <c r="EF8" s="151"/>
      <c r="EG8" s="151"/>
      <c r="EH8" s="151"/>
      <c r="EI8" s="151"/>
      <c r="EJ8" s="151"/>
      <c r="EK8" s="151"/>
      <c r="EL8" s="151"/>
      <c r="EM8" s="151"/>
      <c r="EN8" s="834">
        <f t="shared" ref="EN8:EN11" si="21">SUM(EB8:EM8)</f>
        <v>0</v>
      </c>
      <c r="EO8" s="151"/>
      <c r="EP8" s="151"/>
      <c r="EQ8" s="151"/>
      <c r="ER8" s="151"/>
      <c r="ES8" s="151"/>
      <c r="ET8" s="151"/>
      <c r="EU8" s="151"/>
      <c r="EV8" s="151"/>
      <c r="EW8" s="151"/>
      <c r="EX8" s="151"/>
      <c r="EY8" s="151"/>
      <c r="EZ8" s="151"/>
      <c r="FA8" s="834">
        <f t="shared" ref="FA8:FA14" si="22">SUM(EO8:EZ8)</f>
        <v>0</v>
      </c>
      <c r="FC8" s="595" t="str">
        <f t="shared" ref="FC8:FC14" si="23">IFERROR(((
_xlfn.XLOOKUP((DATE(YEAR($FC$5),MONTH($FC$5),1)),$B$5:$FA$5,$B8:$FA8) /
_xlfn.XLOOKUP((DATE(YEAR($FC$5)-1,MONTH($FC$5),1)),$B$5:$FA$5,$B8:$FA8)
)-1)*100,"")</f>
        <v/>
      </c>
      <c r="FD8" s="596" t="str">
        <f t="shared" ref="FD8:FD14" si="24">IFERROR(((FF8/FE8)-1)*100,"")</f>
        <v/>
      </c>
      <c r="FE8" s="498">
        <f t="shared" ref="FE8:FE14" si="25">SUMIFS($B8:$FA8,$B$5:$FA$5,"&gt;="&amp;DATE(YEAR($FC$5)-1,1,1),$B$5:$FA$5,"&lt;="&amp;DATE(YEAR($FC$5)-1,MONTH($FC$5),1))</f>
        <v>0</v>
      </c>
      <c r="FF8" s="597">
        <f t="shared" ref="FF8:FF14" si="26">SUMIFS($B8:$FA8,$B$5:$FA$5,"&gt;="&amp;DATE(YEAR($FC$5),1,1),$B$5:$FA$5,"&lt;="&amp;$FC$5)</f>
        <v>0</v>
      </c>
    </row>
    <row r="9" spans="1:165" ht="15" customHeight="1" x14ac:dyDescent="0.25">
      <c r="A9" s="138" t="s">
        <v>361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834">
        <f t="shared" si="11"/>
        <v>0</v>
      </c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834">
        <f t="shared" si="12"/>
        <v>0</v>
      </c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834">
        <f t="shared" si="13"/>
        <v>0</v>
      </c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834">
        <f t="shared" si="14"/>
        <v>0</v>
      </c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834">
        <f t="shared" si="15"/>
        <v>0</v>
      </c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834">
        <f t="shared" si="16"/>
        <v>0</v>
      </c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834">
        <f t="shared" si="17"/>
        <v>0</v>
      </c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834">
        <f t="shared" si="18"/>
        <v>0</v>
      </c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151"/>
      <c r="DN9" s="834">
        <f t="shared" si="19"/>
        <v>0</v>
      </c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834">
        <f t="shared" si="20"/>
        <v>0</v>
      </c>
      <c r="EB9" s="151"/>
      <c r="EC9" s="151"/>
      <c r="ED9" s="151"/>
      <c r="EE9" s="151"/>
      <c r="EF9" s="151"/>
      <c r="EG9" s="151"/>
      <c r="EH9" s="151"/>
      <c r="EI9" s="151"/>
      <c r="EJ9" s="151"/>
      <c r="EK9" s="151"/>
      <c r="EL9" s="151"/>
      <c r="EM9" s="151"/>
      <c r="EN9" s="834">
        <f t="shared" si="21"/>
        <v>0</v>
      </c>
      <c r="EO9" s="151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834">
        <f t="shared" si="22"/>
        <v>0</v>
      </c>
      <c r="FC9" s="595" t="str">
        <f t="shared" si="23"/>
        <v/>
      </c>
      <c r="FD9" s="596" t="str">
        <f t="shared" si="24"/>
        <v/>
      </c>
      <c r="FE9" s="498">
        <f t="shared" si="25"/>
        <v>0</v>
      </c>
      <c r="FF9" s="597">
        <f t="shared" si="26"/>
        <v>0</v>
      </c>
      <c r="FH9" s="214"/>
      <c r="FI9" s="214"/>
    </row>
    <row r="10" spans="1:165" ht="15" customHeight="1" x14ac:dyDescent="0.25">
      <c r="A10" s="138" t="s">
        <v>362</v>
      </c>
      <c r="B10" s="151">
        <v>130</v>
      </c>
      <c r="C10" s="151">
        <v>104</v>
      </c>
      <c r="D10" s="151">
        <v>100</v>
      </c>
      <c r="E10" s="151">
        <v>85</v>
      </c>
      <c r="F10" s="151">
        <v>100</v>
      </c>
      <c r="G10" s="151">
        <v>60</v>
      </c>
      <c r="H10" s="151">
        <v>100</v>
      </c>
      <c r="I10" s="151">
        <v>121</v>
      </c>
      <c r="J10" s="151">
        <v>120</v>
      </c>
      <c r="K10" s="151">
        <v>140</v>
      </c>
      <c r="L10" s="151">
        <v>526</v>
      </c>
      <c r="M10" s="151">
        <v>563</v>
      </c>
      <c r="N10" s="834">
        <f t="shared" si="11"/>
        <v>2149</v>
      </c>
      <c r="O10" s="151">
        <v>543</v>
      </c>
      <c r="P10" s="151">
        <v>1046</v>
      </c>
      <c r="Q10" s="151">
        <v>1593</v>
      </c>
      <c r="R10" s="151">
        <v>2152</v>
      </c>
      <c r="S10" s="151">
        <v>2714</v>
      </c>
      <c r="T10" s="151">
        <v>3257</v>
      </c>
      <c r="U10" s="151">
        <v>3830</v>
      </c>
      <c r="V10" s="151">
        <v>4421</v>
      </c>
      <c r="W10" s="151">
        <v>4983</v>
      </c>
      <c r="X10" s="151">
        <v>5593</v>
      </c>
      <c r="Y10" s="151">
        <v>6186</v>
      </c>
      <c r="Z10" s="151">
        <v>6632</v>
      </c>
      <c r="AA10" s="834">
        <f t="shared" si="12"/>
        <v>42950</v>
      </c>
      <c r="AB10" s="151">
        <v>571</v>
      </c>
      <c r="AC10" s="151">
        <v>1117</v>
      </c>
      <c r="AD10" s="151">
        <v>1717</v>
      </c>
      <c r="AE10" s="151">
        <v>3044</v>
      </c>
      <c r="AF10" s="151">
        <v>2909</v>
      </c>
      <c r="AG10" s="151">
        <v>3482</v>
      </c>
      <c r="AH10" s="151">
        <v>4077</v>
      </c>
      <c r="AI10" s="151">
        <v>4715</v>
      </c>
      <c r="AJ10" s="151">
        <v>5316</v>
      </c>
      <c r="AK10" s="151">
        <v>5941</v>
      </c>
      <c r="AL10" s="151">
        <v>6545</v>
      </c>
      <c r="AM10" s="151">
        <v>7175</v>
      </c>
      <c r="AN10" s="834">
        <f t="shared" si="13"/>
        <v>46609</v>
      </c>
      <c r="AO10" s="151">
        <v>579.82600000000002</v>
      </c>
      <c r="AP10" s="151">
        <v>526.50700000000006</v>
      </c>
      <c r="AQ10" s="151">
        <v>595.69599999999991</v>
      </c>
      <c r="AR10" s="151">
        <v>605.96899999999994</v>
      </c>
      <c r="AS10" s="151">
        <v>608.93000000000006</v>
      </c>
      <c r="AT10" s="151">
        <v>586.25300000000004</v>
      </c>
      <c r="AU10" s="151">
        <v>621.36500000000001</v>
      </c>
      <c r="AV10" s="151">
        <v>611.69299999999998</v>
      </c>
      <c r="AW10" s="151">
        <v>636.61</v>
      </c>
      <c r="AX10" s="151">
        <v>645.41025000000002</v>
      </c>
      <c r="AY10" s="151">
        <v>662.18174999999997</v>
      </c>
      <c r="AZ10" s="151">
        <v>632.44374999999991</v>
      </c>
      <c r="BA10" s="834">
        <f t="shared" si="14"/>
        <v>7312.8847499999993</v>
      </c>
      <c r="BB10" s="151">
        <v>627.26400000000001</v>
      </c>
      <c r="BC10" s="151">
        <v>590.43499999999995</v>
      </c>
      <c r="BD10" s="151">
        <v>694.75399999999991</v>
      </c>
      <c r="BE10" s="151">
        <v>623.88099999999997</v>
      </c>
      <c r="BF10" s="151">
        <v>704.17197199999998</v>
      </c>
      <c r="BG10" s="151">
        <v>714.33930799999996</v>
      </c>
      <c r="BH10" s="151">
        <v>667.41349999999989</v>
      </c>
      <c r="BI10" s="151">
        <v>668.91370000000006</v>
      </c>
      <c r="BJ10" s="151">
        <v>689.68870000000004</v>
      </c>
      <c r="BK10" s="151">
        <v>713.48822000000007</v>
      </c>
      <c r="BL10" s="151">
        <v>704.68932000000007</v>
      </c>
      <c r="BM10" s="151">
        <v>725.65435200000002</v>
      </c>
      <c r="BN10" s="834">
        <f t="shared" si="15"/>
        <v>8124.693072</v>
      </c>
      <c r="BO10" s="151">
        <v>692.74693799999989</v>
      </c>
      <c r="BP10" s="151">
        <v>673.00607200000002</v>
      </c>
      <c r="BQ10" s="151">
        <v>690.08748800000001</v>
      </c>
      <c r="BR10" s="151">
        <v>615.93214</v>
      </c>
      <c r="BS10" s="151">
        <v>607.04274799999996</v>
      </c>
      <c r="BT10" s="151">
        <v>660.65069200000005</v>
      </c>
      <c r="BU10" s="151">
        <v>677.68491600000004</v>
      </c>
      <c r="BV10" s="151">
        <v>691.24491599999999</v>
      </c>
      <c r="BW10" s="151">
        <v>714.36398200000008</v>
      </c>
      <c r="BX10" s="151">
        <v>749.92001200000016</v>
      </c>
      <c r="BY10" s="151">
        <v>735.330242</v>
      </c>
      <c r="BZ10" s="151">
        <v>763.3629820000001</v>
      </c>
      <c r="CA10" s="834">
        <f t="shared" si="16"/>
        <v>8271.3731279999993</v>
      </c>
      <c r="CB10" s="151">
        <v>719.46359199999995</v>
      </c>
      <c r="CC10" s="151">
        <v>604.93741599999998</v>
      </c>
      <c r="CD10" s="151">
        <v>679.95954200000006</v>
      </c>
      <c r="CE10" s="151">
        <v>672.57239200000004</v>
      </c>
      <c r="CF10" s="151">
        <v>689.44836599999985</v>
      </c>
      <c r="CG10" s="151">
        <v>677.88778599999989</v>
      </c>
      <c r="CH10" s="151">
        <v>665.19828800000005</v>
      </c>
      <c r="CI10" s="151">
        <v>707.98773999999992</v>
      </c>
      <c r="CJ10" s="151">
        <v>706.53407700000002</v>
      </c>
      <c r="CK10" s="151">
        <v>762.89121399999999</v>
      </c>
      <c r="CL10" s="151">
        <v>739.4458340000001</v>
      </c>
      <c r="CM10" s="151">
        <v>775.81705799999997</v>
      </c>
      <c r="CN10" s="834">
        <f t="shared" si="17"/>
        <v>8402.1433049999996</v>
      </c>
      <c r="CO10" s="151">
        <v>744.54257799999993</v>
      </c>
      <c r="CP10" s="151">
        <v>662.66960599999993</v>
      </c>
      <c r="CQ10" s="151">
        <v>746.60736999999995</v>
      </c>
      <c r="CR10" s="151">
        <v>729.60282000000007</v>
      </c>
      <c r="CS10" s="151">
        <v>737.28087200000004</v>
      </c>
      <c r="CT10" s="151">
        <v>714.02637200000004</v>
      </c>
      <c r="CU10" s="151">
        <v>773.59154999999998</v>
      </c>
      <c r="CV10" s="151">
        <v>754.94678999511052</v>
      </c>
      <c r="CW10" s="151">
        <v>770.42135600000006</v>
      </c>
      <c r="CX10" s="151">
        <v>815.65118400000006</v>
      </c>
      <c r="CY10" s="151">
        <v>759.27514400000018</v>
      </c>
      <c r="CZ10" s="151">
        <v>799.35146600000007</v>
      </c>
      <c r="DA10" s="834">
        <f t="shared" si="18"/>
        <v>9007.9671079951113</v>
      </c>
      <c r="DB10" s="151">
        <v>731.84343800000011</v>
      </c>
      <c r="DC10" s="151">
        <v>690.07524600000011</v>
      </c>
      <c r="DD10" s="151">
        <v>781.52283200000022</v>
      </c>
      <c r="DE10" s="151">
        <v>760.49219600000004</v>
      </c>
      <c r="DF10" s="151">
        <v>799.2340102500001</v>
      </c>
      <c r="DG10" s="151">
        <v>783.75608199999999</v>
      </c>
      <c r="DH10" s="151">
        <v>822.57740575000014</v>
      </c>
      <c r="DI10" s="151">
        <v>878.21904575000008</v>
      </c>
      <c r="DJ10" s="151">
        <v>884.68634425000005</v>
      </c>
      <c r="DK10" s="151">
        <v>928.77237350000007</v>
      </c>
      <c r="DL10" s="151">
        <v>879.41929975000005</v>
      </c>
      <c r="DM10" s="151">
        <v>919.41870849999998</v>
      </c>
      <c r="DN10" s="834">
        <f t="shared" si="19"/>
        <v>9860.0169817500009</v>
      </c>
      <c r="DO10" s="151">
        <v>897.28</v>
      </c>
      <c r="DP10" s="151">
        <v>835.61</v>
      </c>
      <c r="DQ10" s="151">
        <v>918.46</v>
      </c>
      <c r="DR10" s="151">
        <v>922.36</v>
      </c>
      <c r="DS10" s="151">
        <v>915.89</v>
      </c>
      <c r="DT10" s="151">
        <v>899.73</v>
      </c>
      <c r="DU10" s="151">
        <v>916.24</v>
      </c>
      <c r="DV10" s="151">
        <v>944.3</v>
      </c>
      <c r="DW10" s="151">
        <v>1021.16</v>
      </c>
      <c r="DX10" s="151">
        <v>1089.8399999999999</v>
      </c>
      <c r="DY10" s="151">
        <v>1036.6300000000001</v>
      </c>
      <c r="DZ10" s="151">
        <v>1018.21</v>
      </c>
      <c r="EA10" s="834">
        <f t="shared" si="20"/>
        <v>11415.71</v>
      </c>
      <c r="EB10" s="151"/>
      <c r="EC10" s="151"/>
      <c r="ED10" s="151"/>
      <c r="EE10" s="151"/>
      <c r="EF10" s="151"/>
      <c r="EG10" s="151"/>
      <c r="EH10" s="151"/>
      <c r="EI10" s="151"/>
      <c r="EJ10" s="151"/>
      <c r="EK10" s="151"/>
      <c r="EL10" s="151"/>
      <c r="EM10" s="151"/>
      <c r="EN10" s="834">
        <f t="shared" si="21"/>
        <v>0</v>
      </c>
      <c r="EO10" s="151"/>
      <c r="EP10" s="151"/>
      <c r="EQ10" s="151"/>
      <c r="ER10" s="151"/>
      <c r="ES10" s="151"/>
      <c r="ET10" s="151"/>
      <c r="EU10" s="151"/>
      <c r="EV10" s="151"/>
      <c r="EW10" s="151"/>
      <c r="EX10" s="151"/>
      <c r="EY10" s="151"/>
      <c r="EZ10" s="151"/>
      <c r="FA10" s="834">
        <f t="shared" si="22"/>
        <v>0</v>
      </c>
      <c r="FC10" s="595" t="str">
        <f t="shared" si="23"/>
        <v/>
      </c>
      <c r="FD10" s="596" t="str">
        <f t="shared" si="24"/>
        <v/>
      </c>
      <c r="FE10" s="498">
        <f t="shared" si="25"/>
        <v>0</v>
      </c>
      <c r="FF10" s="597">
        <f t="shared" si="26"/>
        <v>0</v>
      </c>
      <c r="FH10" s="169"/>
    </row>
    <row r="11" spans="1:165" ht="15" customHeight="1" x14ac:dyDescent="0.25">
      <c r="A11" s="138" t="s">
        <v>234</v>
      </c>
      <c r="B11" s="151">
        <v>317</v>
      </c>
      <c r="C11" s="151">
        <v>395</v>
      </c>
      <c r="D11" s="151">
        <v>312</v>
      </c>
      <c r="E11" s="151">
        <v>369</v>
      </c>
      <c r="F11" s="151">
        <v>399</v>
      </c>
      <c r="G11" s="151">
        <v>438</v>
      </c>
      <c r="H11" s="151">
        <v>381</v>
      </c>
      <c r="I11" s="151">
        <v>793</v>
      </c>
      <c r="J11" s="151">
        <v>1587</v>
      </c>
      <c r="K11" s="151">
        <v>1171</v>
      </c>
      <c r="L11" s="151">
        <v>933</v>
      </c>
      <c r="M11" s="151">
        <v>899</v>
      </c>
      <c r="N11" s="834">
        <f t="shared" si="11"/>
        <v>7994</v>
      </c>
      <c r="O11" s="151">
        <v>1180</v>
      </c>
      <c r="P11" s="151">
        <v>2053</v>
      </c>
      <c r="Q11" s="151">
        <v>2566</v>
      </c>
      <c r="R11" s="151">
        <v>3501</v>
      </c>
      <c r="S11" s="151">
        <v>4374</v>
      </c>
      <c r="T11" s="151">
        <v>4858</v>
      </c>
      <c r="U11" s="151">
        <v>4868</v>
      </c>
      <c r="V11" s="151">
        <v>4868</v>
      </c>
      <c r="W11" s="151">
        <v>4868</v>
      </c>
      <c r="X11" s="151">
        <v>4868</v>
      </c>
      <c r="Y11" s="151">
        <v>4868</v>
      </c>
      <c r="Z11" s="151">
        <v>4868</v>
      </c>
      <c r="AA11" s="834">
        <f t="shared" si="12"/>
        <v>47740</v>
      </c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834">
        <f t="shared" si="13"/>
        <v>0</v>
      </c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834">
        <f t="shared" si="14"/>
        <v>0</v>
      </c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834">
        <f t="shared" si="15"/>
        <v>0</v>
      </c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834">
        <f t="shared" si="16"/>
        <v>0</v>
      </c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834">
        <f t="shared" si="17"/>
        <v>0</v>
      </c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834">
        <f t="shared" si="18"/>
        <v>0</v>
      </c>
      <c r="DB11" s="151"/>
      <c r="DC11" s="151"/>
      <c r="DD11" s="151"/>
      <c r="DE11" s="151"/>
      <c r="DF11" s="151"/>
      <c r="DG11" s="151"/>
      <c r="DH11" s="151"/>
      <c r="DI11" s="151"/>
      <c r="DJ11" s="151"/>
      <c r="DK11" s="151"/>
      <c r="DL11" s="151"/>
      <c r="DM11" s="151"/>
      <c r="DN11" s="834">
        <f t="shared" si="19"/>
        <v>0</v>
      </c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834">
        <f t="shared" si="20"/>
        <v>0</v>
      </c>
      <c r="EB11" s="151">
        <v>927.19120799999996</v>
      </c>
      <c r="EC11" s="151">
        <v>854.4586425</v>
      </c>
      <c r="ED11" s="151">
        <v>920.80851599999994</v>
      </c>
      <c r="EE11" s="151">
        <v>947.13435400000003</v>
      </c>
      <c r="EF11" s="151">
        <v>1008.8764170000001</v>
      </c>
      <c r="EG11" s="151">
        <v>968.59776299999999</v>
      </c>
      <c r="EH11" s="151">
        <v>1009.2956620000001</v>
      </c>
      <c r="EI11" s="151">
        <v>1029.1126790000001</v>
      </c>
      <c r="EJ11" s="151">
        <v>968.66955499999995</v>
      </c>
      <c r="EK11" s="151">
        <v>1033.5340074999999</v>
      </c>
      <c r="EL11" s="151">
        <v>1063.5302613348972</v>
      </c>
      <c r="EM11" s="151">
        <v>1092.5989184999999</v>
      </c>
      <c r="EN11" s="834">
        <f t="shared" si="21"/>
        <v>11823.807983834899</v>
      </c>
      <c r="EO11" s="151">
        <v>927.19120799999996</v>
      </c>
      <c r="EP11" s="151">
        <v>854.4586425</v>
      </c>
      <c r="EQ11" s="151">
        <v>920.80851599999994</v>
      </c>
      <c r="ER11" s="151">
        <v>947.13435400000003</v>
      </c>
      <c r="ES11" s="151">
        <v>1008.8764170000001</v>
      </c>
      <c r="ET11" s="151">
        <v>968.59776299999999</v>
      </c>
      <c r="EU11" s="151">
        <v>1009.2956620000001</v>
      </c>
      <c r="EV11" s="151">
        <v>1029.1126790000001</v>
      </c>
      <c r="EW11" s="151">
        <v>968.66955499999995</v>
      </c>
      <c r="EX11" s="151">
        <v>1033.5340074999999</v>
      </c>
      <c r="EY11" s="151">
        <v>1063.5302613348972</v>
      </c>
      <c r="EZ11" s="151">
        <v>1092.5989184999999</v>
      </c>
      <c r="FA11" s="834">
        <f t="shared" si="22"/>
        <v>11823.807983834899</v>
      </c>
      <c r="FC11" s="595">
        <f t="shared" si="23"/>
        <v>0</v>
      </c>
      <c r="FD11" s="596">
        <f t="shared" si="24"/>
        <v>0</v>
      </c>
      <c r="FE11" s="498">
        <f t="shared" si="25"/>
        <v>10731.209065334899</v>
      </c>
      <c r="FF11" s="597">
        <f t="shared" si="26"/>
        <v>10731.209065334899</v>
      </c>
    </row>
    <row r="12" spans="1:165" ht="15" customHeight="1" x14ac:dyDescent="0.25">
      <c r="A12" s="138"/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834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834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834"/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834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834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834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834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834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834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834"/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151"/>
      <c r="EN12" s="834"/>
      <c r="EO12" s="151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151"/>
      <c r="FA12" s="834"/>
      <c r="FC12" s="823"/>
      <c r="FD12" s="826"/>
      <c r="FE12" s="824"/>
      <c r="FF12" s="825"/>
    </row>
    <row r="13" spans="1:165" s="793" customFormat="1" ht="15" customHeight="1" x14ac:dyDescent="0.25">
      <c r="A13" s="822" t="s">
        <v>310</v>
      </c>
      <c r="B13" s="788">
        <f>SUM(B8:B11)</f>
        <v>787</v>
      </c>
      <c r="C13" s="788">
        <f t="shared" ref="C13:M13" si="27">SUM(C8:C11)</f>
        <v>799</v>
      </c>
      <c r="D13" s="788">
        <f t="shared" si="27"/>
        <v>794</v>
      </c>
      <c r="E13" s="788">
        <f t="shared" si="27"/>
        <v>854</v>
      </c>
      <c r="F13" s="788">
        <f t="shared" si="27"/>
        <v>896</v>
      </c>
      <c r="G13" s="788">
        <f t="shared" si="27"/>
        <v>923</v>
      </c>
      <c r="H13" s="788">
        <f t="shared" si="27"/>
        <v>884</v>
      </c>
      <c r="I13" s="788">
        <f t="shared" si="27"/>
        <v>1314</v>
      </c>
      <c r="J13" s="788">
        <f t="shared" si="27"/>
        <v>2112</v>
      </c>
      <c r="K13" s="788">
        <f t="shared" si="27"/>
        <v>1718</v>
      </c>
      <c r="L13" s="788">
        <f t="shared" si="27"/>
        <v>1459</v>
      </c>
      <c r="M13" s="788">
        <f t="shared" si="27"/>
        <v>1462</v>
      </c>
      <c r="N13" s="833">
        <f t="shared" si="11"/>
        <v>14002</v>
      </c>
      <c r="O13" s="788">
        <f t="shared" ref="O13:Z13" si="28">SUM(O8:O11)</f>
        <v>1723</v>
      </c>
      <c r="P13" s="788">
        <f t="shared" si="28"/>
        <v>3099</v>
      </c>
      <c r="Q13" s="788">
        <f t="shared" si="28"/>
        <v>4159</v>
      </c>
      <c r="R13" s="788">
        <f t="shared" si="28"/>
        <v>5653</v>
      </c>
      <c r="S13" s="788">
        <f t="shared" si="28"/>
        <v>7088</v>
      </c>
      <c r="T13" s="788">
        <f t="shared" si="28"/>
        <v>8115</v>
      </c>
      <c r="U13" s="788">
        <f t="shared" si="28"/>
        <v>8698</v>
      </c>
      <c r="V13" s="788">
        <f t="shared" si="28"/>
        <v>9289</v>
      </c>
      <c r="W13" s="788">
        <f t="shared" si="28"/>
        <v>9851</v>
      </c>
      <c r="X13" s="788">
        <f t="shared" si="28"/>
        <v>10461</v>
      </c>
      <c r="Y13" s="788">
        <f t="shared" si="28"/>
        <v>11054</v>
      </c>
      <c r="Z13" s="788">
        <f t="shared" si="28"/>
        <v>11500</v>
      </c>
      <c r="AA13" s="833">
        <f t="shared" si="12"/>
        <v>90690</v>
      </c>
      <c r="AB13" s="788">
        <f t="shared" ref="AB13:AM13" si="29">SUM(AB8:AB11)</f>
        <v>571</v>
      </c>
      <c r="AC13" s="788">
        <f t="shared" si="29"/>
        <v>1117</v>
      </c>
      <c r="AD13" s="788">
        <f t="shared" si="29"/>
        <v>1717</v>
      </c>
      <c r="AE13" s="788">
        <f t="shared" si="29"/>
        <v>3044</v>
      </c>
      <c r="AF13" s="788">
        <f t="shared" si="29"/>
        <v>2909</v>
      </c>
      <c r="AG13" s="788">
        <f t="shared" si="29"/>
        <v>3482</v>
      </c>
      <c r="AH13" s="788">
        <f t="shared" si="29"/>
        <v>4077</v>
      </c>
      <c r="AI13" s="788">
        <f t="shared" si="29"/>
        <v>4715</v>
      </c>
      <c r="AJ13" s="788">
        <f t="shared" si="29"/>
        <v>5316</v>
      </c>
      <c r="AK13" s="788">
        <f t="shared" si="29"/>
        <v>5941</v>
      </c>
      <c r="AL13" s="788">
        <f t="shared" si="29"/>
        <v>6545</v>
      </c>
      <c r="AM13" s="788">
        <f t="shared" si="29"/>
        <v>7175</v>
      </c>
      <c r="AN13" s="833">
        <f t="shared" si="13"/>
        <v>46609</v>
      </c>
      <c r="AO13" s="788">
        <f>AO11+AO10+AO9+AO8</f>
        <v>579.82600000000002</v>
      </c>
      <c r="AP13" s="788">
        <f t="shared" ref="AP13:CZ13" si="30">AP11+AP10+AP9+AP8</f>
        <v>526.50700000000006</v>
      </c>
      <c r="AQ13" s="788">
        <f t="shared" si="30"/>
        <v>595.69599999999991</v>
      </c>
      <c r="AR13" s="788">
        <f t="shared" si="30"/>
        <v>605.96899999999994</v>
      </c>
      <c r="AS13" s="788">
        <f t="shared" si="30"/>
        <v>608.93000000000006</v>
      </c>
      <c r="AT13" s="788">
        <f t="shared" si="30"/>
        <v>586.25300000000004</v>
      </c>
      <c r="AU13" s="788">
        <f t="shared" si="30"/>
        <v>621.36500000000001</v>
      </c>
      <c r="AV13" s="788">
        <f t="shared" si="30"/>
        <v>611.69299999999998</v>
      </c>
      <c r="AW13" s="788">
        <f t="shared" si="30"/>
        <v>636.61</v>
      </c>
      <c r="AX13" s="788">
        <f t="shared" si="30"/>
        <v>645.41025000000002</v>
      </c>
      <c r="AY13" s="788">
        <f t="shared" si="30"/>
        <v>662.18174999999997</v>
      </c>
      <c r="AZ13" s="788">
        <f t="shared" si="30"/>
        <v>632.44374999999991</v>
      </c>
      <c r="BA13" s="833">
        <f t="shared" si="14"/>
        <v>7312.8847499999993</v>
      </c>
      <c r="BB13" s="788">
        <f t="shared" si="30"/>
        <v>627.26400000000001</v>
      </c>
      <c r="BC13" s="788">
        <f t="shared" si="30"/>
        <v>590.43499999999995</v>
      </c>
      <c r="BD13" s="788">
        <f t="shared" si="30"/>
        <v>694.75399999999991</v>
      </c>
      <c r="BE13" s="788">
        <f t="shared" si="30"/>
        <v>623.88099999999997</v>
      </c>
      <c r="BF13" s="788">
        <f t="shared" si="30"/>
        <v>704.17197199999998</v>
      </c>
      <c r="BG13" s="788">
        <f t="shared" si="30"/>
        <v>714.33930799999996</v>
      </c>
      <c r="BH13" s="788">
        <f t="shared" si="30"/>
        <v>667.41349999999989</v>
      </c>
      <c r="BI13" s="788">
        <f t="shared" si="30"/>
        <v>668.91370000000006</v>
      </c>
      <c r="BJ13" s="788">
        <f t="shared" si="30"/>
        <v>689.68870000000004</v>
      </c>
      <c r="BK13" s="788">
        <f t="shared" si="30"/>
        <v>713.48822000000007</v>
      </c>
      <c r="BL13" s="788">
        <f t="shared" si="30"/>
        <v>704.68932000000007</v>
      </c>
      <c r="BM13" s="788">
        <f t="shared" si="30"/>
        <v>725.65435200000002</v>
      </c>
      <c r="BN13" s="833">
        <f t="shared" si="15"/>
        <v>8124.693072</v>
      </c>
      <c r="BO13" s="788">
        <f t="shared" si="30"/>
        <v>692.74693799999989</v>
      </c>
      <c r="BP13" s="788">
        <f t="shared" si="30"/>
        <v>673.00607200000002</v>
      </c>
      <c r="BQ13" s="788">
        <f t="shared" si="30"/>
        <v>690.08748800000001</v>
      </c>
      <c r="BR13" s="788">
        <f t="shared" si="30"/>
        <v>615.93214</v>
      </c>
      <c r="BS13" s="788">
        <f t="shared" si="30"/>
        <v>607.04274799999996</v>
      </c>
      <c r="BT13" s="788">
        <f t="shared" si="30"/>
        <v>660.65069200000005</v>
      </c>
      <c r="BU13" s="788">
        <f t="shared" si="30"/>
        <v>677.68491600000004</v>
      </c>
      <c r="BV13" s="788">
        <f t="shared" si="30"/>
        <v>691.24491599999999</v>
      </c>
      <c r="BW13" s="788">
        <f t="shared" si="30"/>
        <v>714.36398200000008</v>
      </c>
      <c r="BX13" s="788">
        <f t="shared" si="30"/>
        <v>749.92001200000016</v>
      </c>
      <c r="BY13" s="788">
        <f t="shared" si="30"/>
        <v>735.330242</v>
      </c>
      <c r="BZ13" s="788">
        <f t="shared" si="30"/>
        <v>763.3629820000001</v>
      </c>
      <c r="CA13" s="833">
        <f t="shared" si="16"/>
        <v>8271.3731279999993</v>
      </c>
      <c r="CB13" s="788">
        <f t="shared" si="30"/>
        <v>719.46359199999995</v>
      </c>
      <c r="CC13" s="788">
        <f t="shared" si="30"/>
        <v>604.93741599999998</v>
      </c>
      <c r="CD13" s="788">
        <f t="shared" si="30"/>
        <v>679.95954200000006</v>
      </c>
      <c r="CE13" s="788">
        <f t="shared" si="30"/>
        <v>672.57239200000004</v>
      </c>
      <c r="CF13" s="788">
        <f t="shared" si="30"/>
        <v>689.44836599999985</v>
      </c>
      <c r="CG13" s="788">
        <f t="shared" si="30"/>
        <v>677.88778599999989</v>
      </c>
      <c r="CH13" s="788">
        <f t="shared" si="30"/>
        <v>665.19828800000005</v>
      </c>
      <c r="CI13" s="788">
        <f t="shared" si="30"/>
        <v>707.98773999999992</v>
      </c>
      <c r="CJ13" s="788">
        <f t="shared" si="30"/>
        <v>706.53407700000002</v>
      </c>
      <c r="CK13" s="788">
        <f t="shared" si="30"/>
        <v>762.89121399999999</v>
      </c>
      <c r="CL13" s="788">
        <f t="shared" si="30"/>
        <v>739.4458340000001</v>
      </c>
      <c r="CM13" s="788">
        <f t="shared" si="30"/>
        <v>775.81705799999997</v>
      </c>
      <c r="CN13" s="833">
        <f t="shared" si="17"/>
        <v>8402.1433049999996</v>
      </c>
      <c r="CO13" s="788">
        <f t="shared" si="30"/>
        <v>744.54257799999993</v>
      </c>
      <c r="CP13" s="788">
        <f t="shared" si="30"/>
        <v>662.66960599999993</v>
      </c>
      <c r="CQ13" s="788">
        <f t="shared" si="30"/>
        <v>746.60736999999995</v>
      </c>
      <c r="CR13" s="788">
        <f t="shared" si="30"/>
        <v>729.60282000000007</v>
      </c>
      <c r="CS13" s="788">
        <f t="shared" si="30"/>
        <v>737.28087200000004</v>
      </c>
      <c r="CT13" s="788">
        <f t="shared" si="30"/>
        <v>714.02637200000004</v>
      </c>
      <c r="CU13" s="788">
        <f t="shared" si="30"/>
        <v>773.59154999999998</v>
      </c>
      <c r="CV13" s="788">
        <f t="shared" si="30"/>
        <v>754.94678999511052</v>
      </c>
      <c r="CW13" s="788">
        <f t="shared" si="30"/>
        <v>770.42135600000006</v>
      </c>
      <c r="CX13" s="788">
        <f t="shared" si="30"/>
        <v>815.65118400000006</v>
      </c>
      <c r="CY13" s="788">
        <f t="shared" si="30"/>
        <v>759.27514400000018</v>
      </c>
      <c r="CZ13" s="788">
        <f t="shared" si="30"/>
        <v>799.35146600000007</v>
      </c>
      <c r="DA13" s="833">
        <f t="shared" si="18"/>
        <v>9007.9671079951113</v>
      </c>
      <c r="DB13" s="788">
        <f t="shared" ref="DB13:EZ13" si="31">DB11+DB10+DB9+DB8</f>
        <v>731.84343800000011</v>
      </c>
      <c r="DC13" s="788">
        <f t="shared" si="31"/>
        <v>690.07524600000011</v>
      </c>
      <c r="DD13" s="788">
        <f t="shared" si="31"/>
        <v>781.52283200000022</v>
      </c>
      <c r="DE13" s="788">
        <f t="shared" si="31"/>
        <v>760.49219600000004</v>
      </c>
      <c r="DF13" s="788">
        <f t="shared" si="31"/>
        <v>799.2340102500001</v>
      </c>
      <c r="DG13" s="788">
        <f t="shared" si="31"/>
        <v>783.75608199999999</v>
      </c>
      <c r="DH13" s="788">
        <f t="shared" si="31"/>
        <v>822.57740575000014</v>
      </c>
      <c r="DI13" s="788">
        <f t="shared" si="31"/>
        <v>878.21904575000008</v>
      </c>
      <c r="DJ13" s="788">
        <f t="shared" si="31"/>
        <v>884.68634425000005</v>
      </c>
      <c r="DK13" s="788">
        <f t="shared" si="31"/>
        <v>928.77237350000007</v>
      </c>
      <c r="DL13" s="788">
        <f t="shared" si="31"/>
        <v>879.41929975000005</v>
      </c>
      <c r="DM13" s="788">
        <f t="shared" si="31"/>
        <v>919.41870849999998</v>
      </c>
      <c r="DN13" s="833">
        <f t="shared" si="19"/>
        <v>9860.0169817500009</v>
      </c>
      <c r="DO13" s="788">
        <f t="shared" si="31"/>
        <v>897.28</v>
      </c>
      <c r="DP13" s="788">
        <f t="shared" si="31"/>
        <v>835.61</v>
      </c>
      <c r="DQ13" s="788">
        <f t="shared" si="31"/>
        <v>918.46</v>
      </c>
      <c r="DR13" s="788">
        <f t="shared" si="31"/>
        <v>922.36</v>
      </c>
      <c r="DS13" s="788">
        <f t="shared" si="31"/>
        <v>915.89</v>
      </c>
      <c r="DT13" s="788">
        <f t="shared" si="31"/>
        <v>899.73</v>
      </c>
      <c r="DU13" s="788">
        <f t="shared" si="31"/>
        <v>916.24</v>
      </c>
      <c r="DV13" s="788">
        <f t="shared" si="31"/>
        <v>944.3</v>
      </c>
      <c r="DW13" s="788">
        <f t="shared" si="31"/>
        <v>1021.16</v>
      </c>
      <c r="DX13" s="788">
        <f t="shared" si="31"/>
        <v>1089.8399999999999</v>
      </c>
      <c r="DY13" s="788">
        <f t="shared" si="31"/>
        <v>1036.6300000000001</v>
      </c>
      <c r="DZ13" s="788">
        <f t="shared" si="31"/>
        <v>1018.21</v>
      </c>
      <c r="EA13" s="833">
        <f t="shared" si="20"/>
        <v>11415.71</v>
      </c>
      <c r="EB13" s="788">
        <f t="shared" ref="EB13:EM13" si="32">EB11+EB10+EB9+EB8</f>
        <v>927.19120799999996</v>
      </c>
      <c r="EC13" s="788">
        <f t="shared" si="32"/>
        <v>854.4586425</v>
      </c>
      <c r="ED13" s="788">
        <f t="shared" si="32"/>
        <v>920.80851599999994</v>
      </c>
      <c r="EE13" s="788">
        <f t="shared" si="32"/>
        <v>947.13435400000003</v>
      </c>
      <c r="EF13" s="788">
        <f t="shared" si="32"/>
        <v>1008.8764170000001</v>
      </c>
      <c r="EG13" s="788">
        <f t="shared" si="32"/>
        <v>968.59776299999999</v>
      </c>
      <c r="EH13" s="788">
        <f t="shared" si="32"/>
        <v>1009.2956620000001</v>
      </c>
      <c r="EI13" s="788">
        <f t="shared" si="32"/>
        <v>1029.1126790000001</v>
      </c>
      <c r="EJ13" s="788">
        <f t="shared" si="32"/>
        <v>968.66955499999995</v>
      </c>
      <c r="EK13" s="788">
        <f t="shared" si="32"/>
        <v>1033.5340074999999</v>
      </c>
      <c r="EL13" s="788">
        <f t="shared" si="32"/>
        <v>1063.5302613348972</v>
      </c>
      <c r="EM13" s="788">
        <f t="shared" si="32"/>
        <v>1092.5989184999999</v>
      </c>
      <c r="EN13" s="833">
        <f t="shared" ref="EN13:EN14" si="33">SUM(EB13:EM13)</f>
        <v>11823.807983834899</v>
      </c>
      <c r="EO13" s="788">
        <f t="shared" si="31"/>
        <v>927.19120799999996</v>
      </c>
      <c r="EP13" s="788">
        <f t="shared" si="31"/>
        <v>854.4586425</v>
      </c>
      <c r="EQ13" s="788">
        <f t="shared" si="31"/>
        <v>920.80851599999994</v>
      </c>
      <c r="ER13" s="788">
        <f t="shared" si="31"/>
        <v>947.13435400000003</v>
      </c>
      <c r="ES13" s="788">
        <f t="shared" si="31"/>
        <v>1008.8764170000001</v>
      </c>
      <c r="ET13" s="788">
        <f t="shared" si="31"/>
        <v>968.59776299999999</v>
      </c>
      <c r="EU13" s="788">
        <f t="shared" si="31"/>
        <v>1009.2956620000001</v>
      </c>
      <c r="EV13" s="788">
        <f t="shared" si="31"/>
        <v>1029.1126790000001</v>
      </c>
      <c r="EW13" s="788">
        <f t="shared" si="31"/>
        <v>968.66955499999995</v>
      </c>
      <c r="EX13" s="788">
        <f t="shared" si="31"/>
        <v>1033.5340074999999</v>
      </c>
      <c r="EY13" s="788">
        <f t="shared" si="31"/>
        <v>1063.5302613348972</v>
      </c>
      <c r="EZ13" s="788">
        <f t="shared" si="31"/>
        <v>1092.5989184999999</v>
      </c>
      <c r="FA13" s="833">
        <f t="shared" si="22"/>
        <v>11823.807983834899</v>
      </c>
      <c r="FB13" s="757"/>
      <c r="FC13" s="544">
        <f t="shared" si="23"/>
        <v>0</v>
      </c>
      <c r="FD13" s="545">
        <f t="shared" si="24"/>
        <v>0</v>
      </c>
      <c r="FE13" s="546">
        <f t="shared" si="25"/>
        <v>10731.209065334899</v>
      </c>
      <c r="FF13" s="547">
        <f t="shared" si="26"/>
        <v>10731.209065334899</v>
      </c>
    </row>
    <row r="14" spans="1:165" ht="15" customHeight="1" x14ac:dyDescent="0.25">
      <c r="A14" s="138" t="s">
        <v>235</v>
      </c>
      <c r="B14" s="151">
        <v>25206</v>
      </c>
      <c r="C14" s="151">
        <v>23027</v>
      </c>
      <c r="D14" s="151">
        <v>26140</v>
      </c>
      <c r="E14" s="151">
        <v>25012</v>
      </c>
      <c r="F14" s="151">
        <v>25914</v>
      </c>
      <c r="G14" s="151">
        <v>25104</v>
      </c>
      <c r="H14" s="151">
        <v>25829</v>
      </c>
      <c r="I14" s="151">
        <v>27006</v>
      </c>
      <c r="J14" s="151">
        <v>26396</v>
      </c>
      <c r="K14" s="151">
        <v>27183</v>
      </c>
      <c r="L14" s="151">
        <v>26234</v>
      </c>
      <c r="M14" s="151">
        <v>26786</v>
      </c>
      <c r="N14" s="834">
        <f t="shared" si="11"/>
        <v>309837</v>
      </c>
      <c r="O14" s="151">
        <v>25864</v>
      </c>
      <c r="P14" s="151">
        <v>26218</v>
      </c>
      <c r="Q14" s="151">
        <v>25418</v>
      </c>
      <c r="R14" s="151">
        <v>25476</v>
      </c>
      <c r="S14" s="151">
        <v>26235</v>
      </c>
      <c r="T14" s="151">
        <v>25161</v>
      </c>
      <c r="U14" s="151">
        <v>26147</v>
      </c>
      <c r="V14" s="151">
        <v>27570</v>
      </c>
      <c r="W14" s="151">
        <v>24734</v>
      </c>
      <c r="X14" s="151">
        <v>25993</v>
      </c>
      <c r="Y14" s="151">
        <v>25772</v>
      </c>
      <c r="Z14" s="151">
        <v>25810</v>
      </c>
      <c r="AA14" s="834">
        <f t="shared" si="12"/>
        <v>310398</v>
      </c>
      <c r="AB14" s="151">
        <v>23836</v>
      </c>
      <c r="AC14" s="151">
        <v>22600</v>
      </c>
      <c r="AD14" s="151">
        <v>31697</v>
      </c>
      <c r="AE14" s="151">
        <v>26676</v>
      </c>
      <c r="AF14" s="151">
        <v>28288</v>
      </c>
      <c r="AG14" s="151">
        <v>26538</v>
      </c>
      <c r="AH14" s="151">
        <v>26967</v>
      </c>
      <c r="AI14" s="151">
        <v>29349</v>
      </c>
      <c r="AJ14" s="151">
        <v>28590</v>
      </c>
      <c r="AK14" s="151">
        <v>29707</v>
      </c>
      <c r="AL14" s="151">
        <v>28164</v>
      </c>
      <c r="AM14" s="151">
        <v>28954</v>
      </c>
      <c r="AN14" s="834">
        <f t="shared" si="13"/>
        <v>331366</v>
      </c>
      <c r="AO14" s="151">
        <v>24840.935679443406</v>
      </c>
      <c r="AP14" s="151">
        <v>22865.841703019498</v>
      </c>
      <c r="AQ14" s="151">
        <v>25110.045878069119</v>
      </c>
      <c r="AR14" s="151">
        <v>24644.913678316087</v>
      </c>
      <c r="AS14" s="151">
        <v>25118.155495555726</v>
      </c>
      <c r="AT14" s="151">
        <v>23590.613219753548</v>
      </c>
      <c r="AU14" s="151">
        <v>24572.900738850236</v>
      </c>
      <c r="AV14" s="151">
        <v>25117.513994534151</v>
      </c>
      <c r="AW14" s="151">
        <v>26243.403779530345</v>
      </c>
      <c r="AX14" s="151">
        <v>26868.917859022724</v>
      </c>
      <c r="AY14" s="151">
        <v>26286.62011294088</v>
      </c>
      <c r="AZ14" s="151">
        <v>26089.784738927017</v>
      </c>
      <c r="BA14" s="834">
        <f t="shared" si="14"/>
        <v>301349.64687796275</v>
      </c>
      <c r="BB14" s="151">
        <v>25581.786589130505</v>
      </c>
      <c r="BC14" s="151">
        <v>23145.370026188208</v>
      </c>
      <c r="BD14" s="151">
        <v>26017.502565321483</v>
      </c>
      <c r="BE14" s="151">
        <v>25989.697292751138</v>
      </c>
      <c r="BF14" s="151">
        <v>26541.462035202068</v>
      </c>
      <c r="BG14" s="151">
        <v>25111.799257797658</v>
      </c>
      <c r="BH14" s="151">
        <v>25565.917539440423</v>
      </c>
      <c r="BI14" s="151">
        <v>26150.982765217108</v>
      </c>
      <c r="BJ14" s="151">
        <v>27546.440302272495</v>
      </c>
      <c r="BK14" s="151">
        <v>27805.833032913713</v>
      </c>
      <c r="BL14" s="151">
        <v>26996.981843735834</v>
      </c>
      <c r="BM14" s="151">
        <v>26552.585754260374</v>
      </c>
      <c r="BN14" s="834">
        <f t="shared" si="15"/>
        <v>313006.359004231</v>
      </c>
      <c r="BO14" s="151">
        <v>27241.247848468258</v>
      </c>
      <c r="BP14" s="151">
        <v>25079.808978106517</v>
      </c>
      <c r="BQ14" s="151">
        <v>23797.485833316605</v>
      </c>
      <c r="BR14" s="151">
        <v>19650.933144956791</v>
      </c>
      <c r="BS14" s="151">
        <v>19770.43046250979</v>
      </c>
      <c r="BT14" s="151">
        <v>21884.46835362805</v>
      </c>
      <c r="BU14" s="151">
        <v>23914.655300144041</v>
      </c>
      <c r="BV14" s="151">
        <v>25793.4911305815</v>
      </c>
      <c r="BW14" s="151">
        <v>25899.411837786971</v>
      </c>
      <c r="BX14" s="151">
        <v>27488.989310954541</v>
      </c>
      <c r="BY14" s="151">
        <v>26656.990494519301</v>
      </c>
      <c r="BZ14" s="151">
        <v>26439.397857022264</v>
      </c>
      <c r="CA14" s="834">
        <f t="shared" si="16"/>
        <v>293617.3105519946</v>
      </c>
      <c r="CB14" s="151">
        <v>26429.524547612193</v>
      </c>
      <c r="CC14" s="151">
        <v>24020.855079913086</v>
      </c>
      <c r="CD14" s="151">
        <v>25727.932579165052</v>
      </c>
      <c r="CE14" s="151">
        <v>24946.512931035824</v>
      </c>
      <c r="CF14" s="151">
        <v>26065.835174177879</v>
      </c>
      <c r="CG14" s="151">
        <v>25161.589913685413</v>
      </c>
      <c r="CH14" s="151">
        <v>25598.836962115962</v>
      </c>
      <c r="CI14" s="151">
        <v>27817.64275794772</v>
      </c>
      <c r="CJ14" s="151">
        <v>27914.1636280202</v>
      </c>
      <c r="CK14" s="151">
        <v>29741.572585424827</v>
      </c>
      <c r="CL14" s="151">
        <v>28185.565591206887</v>
      </c>
      <c r="CM14" s="151">
        <v>28476.216276756368</v>
      </c>
      <c r="CN14" s="834">
        <f t="shared" si="17"/>
        <v>320086.2480270614</v>
      </c>
      <c r="CO14" s="151">
        <v>28142.498720995289</v>
      </c>
      <c r="CP14" s="151">
        <v>24635.227780676632</v>
      </c>
      <c r="CQ14" s="151">
        <v>27755.654407753318</v>
      </c>
      <c r="CR14" s="151">
        <v>26494.667373955028</v>
      </c>
      <c r="CS14" s="151">
        <v>27615.186697879079</v>
      </c>
      <c r="CT14" s="151">
        <v>26327.99316145038</v>
      </c>
      <c r="CU14" s="151">
        <v>28685.997699816842</v>
      </c>
      <c r="CV14" s="151">
        <v>28566.684967425928</v>
      </c>
      <c r="CW14" s="151">
        <v>30093.450793898268</v>
      </c>
      <c r="CX14" s="151">
        <v>30909.950582044996</v>
      </c>
      <c r="CY14" s="151">
        <v>29261.478044162865</v>
      </c>
      <c r="CZ14" s="151">
        <v>29646.605527139538</v>
      </c>
      <c r="DA14" s="834">
        <f t="shared" si="18"/>
        <v>338135.39575719816</v>
      </c>
      <c r="DB14" s="151">
        <v>28673.694846880622</v>
      </c>
      <c r="DC14" s="151">
        <v>25752.336986902475</v>
      </c>
      <c r="DD14" s="151">
        <v>28138.26652270816</v>
      </c>
      <c r="DE14" s="151">
        <v>27668.521621638403</v>
      </c>
      <c r="DF14" s="151">
        <v>29735.30078463869</v>
      </c>
      <c r="DG14" s="151">
        <v>27498.216901825806</v>
      </c>
      <c r="DH14" s="151">
        <v>29409.860550408364</v>
      </c>
      <c r="DI14" s="151">
        <v>31513.646213598087</v>
      </c>
      <c r="DJ14" s="151">
        <v>31034.005597080079</v>
      </c>
      <c r="DK14" s="151">
        <v>32772.332544789533</v>
      </c>
      <c r="DL14" s="151">
        <v>30797.13157942535</v>
      </c>
      <c r="DM14" s="151">
        <v>30670.101734570522</v>
      </c>
      <c r="DN14" s="834">
        <f t="shared" si="19"/>
        <v>353663.41588446609</v>
      </c>
      <c r="DO14" s="151">
        <v>30389.08</v>
      </c>
      <c r="DP14" s="151">
        <v>28281.919999999998</v>
      </c>
      <c r="DQ14" s="151">
        <v>30524.42</v>
      </c>
      <c r="DR14" s="151">
        <v>30971.09</v>
      </c>
      <c r="DS14" s="151">
        <v>29927.51</v>
      </c>
      <c r="DT14" s="151">
        <v>29492.11</v>
      </c>
      <c r="DU14" s="151">
        <v>29996.5</v>
      </c>
      <c r="DV14" s="151">
        <v>32207.71</v>
      </c>
      <c r="DW14" s="151">
        <v>33377.230000000003</v>
      </c>
      <c r="DX14" s="151">
        <v>34727.39</v>
      </c>
      <c r="DY14" s="151">
        <v>31190.28</v>
      </c>
      <c r="DZ14" s="151">
        <v>31499.32</v>
      </c>
      <c r="EA14" s="834">
        <f t="shared" si="20"/>
        <v>372584.56</v>
      </c>
      <c r="EB14" s="151">
        <v>31697.458284357755</v>
      </c>
      <c r="EC14" s="151">
        <v>28082.825536098058</v>
      </c>
      <c r="ED14" s="151">
        <v>30680.373074355975</v>
      </c>
      <c r="EE14" s="151">
        <v>30896.841471633772</v>
      </c>
      <c r="EF14" s="151">
        <v>31512.950480889325</v>
      </c>
      <c r="EG14" s="151">
        <v>29469.632283743533</v>
      </c>
      <c r="EH14" s="151">
        <v>30478.103869537681</v>
      </c>
      <c r="EI14" s="151">
        <v>32820.469476033002</v>
      </c>
      <c r="EJ14" s="151">
        <v>32692.191649776523</v>
      </c>
      <c r="EK14" s="151">
        <v>33960.757122795156</v>
      </c>
      <c r="EL14" s="151">
        <v>32993.618563794444</v>
      </c>
      <c r="EM14" s="151">
        <v>33723.070936117794</v>
      </c>
      <c r="EN14" s="834">
        <f t="shared" si="33"/>
        <v>379008.29274913296</v>
      </c>
      <c r="EO14" s="151">
        <v>31697.458284357755</v>
      </c>
      <c r="EP14" s="151">
        <v>28082.825536098058</v>
      </c>
      <c r="EQ14" s="151">
        <v>30680.373074355975</v>
      </c>
      <c r="ER14" s="151">
        <v>30896.841471633772</v>
      </c>
      <c r="ES14" s="151">
        <v>31512.950480889325</v>
      </c>
      <c r="ET14" s="151">
        <v>29469.632283743533</v>
      </c>
      <c r="EU14" s="151">
        <v>30478.103869537681</v>
      </c>
      <c r="EV14" s="151">
        <v>32820.469476033002</v>
      </c>
      <c r="EW14" s="151">
        <v>32692.191649776523</v>
      </c>
      <c r="EX14" s="151">
        <v>33960.757122795156</v>
      </c>
      <c r="EY14" s="151">
        <v>32993.618563794444</v>
      </c>
      <c r="EZ14" s="151">
        <v>33723.070936117794</v>
      </c>
      <c r="FA14" s="834">
        <f t="shared" si="22"/>
        <v>379008.29274913296</v>
      </c>
      <c r="FC14" s="595">
        <f t="shared" si="23"/>
        <v>0</v>
      </c>
      <c r="FD14" s="596">
        <f t="shared" si="24"/>
        <v>0</v>
      </c>
      <c r="FE14" s="498">
        <f t="shared" si="25"/>
        <v>345285.22181301517</v>
      </c>
      <c r="FF14" s="597">
        <f t="shared" si="26"/>
        <v>345285.22181301517</v>
      </c>
      <c r="FH14" s="169"/>
    </row>
    <row r="15" spans="1:165" ht="15" customHeight="1" x14ac:dyDescent="0.25">
      <c r="A15" s="159"/>
      <c r="B15" s="821"/>
      <c r="C15" s="821"/>
      <c r="D15" s="821"/>
      <c r="E15" s="821"/>
      <c r="F15" s="821"/>
      <c r="G15" s="821"/>
      <c r="H15" s="821"/>
      <c r="I15" s="821"/>
      <c r="J15" s="821"/>
      <c r="K15" s="821"/>
      <c r="L15" s="821"/>
      <c r="M15" s="821"/>
      <c r="N15" s="835"/>
      <c r="O15" s="821"/>
      <c r="P15" s="821"/>
      <c r="Q15" s="821"/>
      <c r="R15" s="821"/>
      <c r="S15" s="821"/>
      <c r="T15" s="821"/>
      <c r="U15" s="821"/>
      <c r="V15" s="821"/>
      <c r="W15" s="821"/>
      <c r="X15" s="821"/>
      <c r="Y15" s="821"/>
      <c r="Z15" s="821"/>
      <c r="AA15" s="835"/>
      <c r="AB15" s="821"/>
      <c r="AC15" s="821"/>
      <c r="AD15" s="821"/>
      <c r="AE15" s="821"/>
      <c r="AF15" s="821"/>
      <c r="AG15" s="821"/>
      <c r="AH15" s="821"/>
      <c r="AI15" s="821"/>
      <c r="AJ15" s="821"/>
      <c r="AK15" s="821"/>
      <c r="AL15" s="821"/>
      <c r="AM15" s="821"/>
      <c r="AN15" s="835"/>
      <c r="AO15" s="821"/>
      <c r="AP15" s="821"/>
      <c r="AQ15" s="821"/>
      <c r="AR15" s="821"/>
      <c r="AS15" s="821"/>
      <c r="AT15" s="821"/>
      <c r="AU15" s="821"/>
      <c r="AV15" s="821"/>
      <c r="AW15" s="821"/>
      <c r="AX15" s="821"/>
      <c r="AY15" s="821"/>
      <c r="AZ15" s="821"/>
      <c r="BA15" s="835"/>
      <c r="BB15" s="821"/>
      <c r="BC15" s="821"/>
      <c r="BD15" s="821"/>
      <c r="BE15" s="821"/>
      <c r="BF15" s="821"/>
      <c r="BG15" s="821"/>
      <c r="BH15" s="821"/>
      <c r="BI15" s="821"/>
      <c r="BJ15" s="821"/>
      <c r="BK15" s="821"/>
      <c r="BL15" s="821"/>
      <c r="BM15" s="821"/>
      <c r="BN15" s="835"/>
      <c r="BO15" s="821"/>
      <c r="BP15" s="821"/>
      <c r="BQ15" s="821"/>
      <c r="BR15" s="821"/>
      <c r="BS15" s="821"/>
      <c r="BT15" s="821"/>
      <c r="BU15" s="821"/>
      <c r="BV15" s="821"/>
      <c r="BW15" s="821"/>
      <c r="BX15" s="821"/>
      <c r="BY15" s="821"/>
      <c r="BZ15" s="821"/>
      <c r="CA15" s="835"/>
      <c r="CB15" s="821"/>
      <c r="CC15" s="821"/>
      <c r="CD15" s="821"/>
      <c r="CE15" s="821"/>
      <c r="CF15" s="821"/>
      <c r="CG15" s="821"/>
      <c r="CH15" s="821"/>
      <c r="CI15" s="821"/>
      <c r="CJ15" s="821"/>
      <c r="CK15" s="821"/>
      <c r="CL15" s="821"/>
      <c r="CM15" s="821"/>
      <c r="CN15" s="835"/>
      <c r="CO15" s="821"/>
      <c r="CP15" s="821"/>
      <c r="CQ15" s="821"/>
      <c r="CR15" s="821"/>
      <c r="CS15" s="821"/>
      <c r="CT15" s="821"/>
      <c r="CU15" s="821"/>
      <c r="CV15" s="821"/>
      <c r="CW15" s="821"/>
      <c r="CX15" s="821"/>
      <c r="CY15" s="821"/>
      <c r="CZ15" s="821"/>
      <c r="DA15" s="835"/>
      <c r="DB15" s="821"/>
      <c r="DC15" s="821"/>
      <c r="DD15" s="821"/>
      <c r="DE15" s="821"/>
      <c r="DF15" s="821"/>
      <c r="DG15" s="821"/>
      <c r="DH15" s="821"/>
      <c r="DI15" s="821"/>
      <c r="DJ15" s="821"/>
      <c r="DK15" s="821"/>
      <c r="DL15" s="821"/>
      <c r="DM15" s="821"/>
      <c r="DN15" s="835"/>
      <c r="DO15" s="821"/>
      <c r="DP15" s="821"/>
      <c r="DQ15" s="821"/>
      <c r="DR15" s="821"/>
      <c r="DS15" s="821"/>
      <c r="DT15" s="821"/>
      <c r="DU15" s="821"/>
      <c r="DV15" s="821"/>
      <c r="DW15" s="821"/>
      <c r="DX15" s="821"/>
      <c r="DY15" s="821"/>
      <c r="DZ15" s="821"/>
      <c r="EA15" s="835"/>
      <c r="EB15" s="821"/>
      <c r="EC15" s="821"/>
      <c r="ED15" s="821"/>
      <c r="EE15" s="821"/>
      <c r="EF15" s="821"/>
      <c r="EG15" s="821"/>
      <c r="EH15" s="821"/>
      <c r="EI15" s="821"/>
      <c r="EJ15" s="821"/>
      <c r="EK15" s="821"/>
      <c r="EL15" s="821"/>
      <c r="EM15" s="821"/>
      <c r="EN15" s="835"/>
      <c r="EO15" s="821"/>
      <c r="EP15" s="821"/>
      <c r="EQ15" s="821"/>
      <c r="ER15" s="821"/>
      <c r="ES15" s="821"/>
      <c r="ET15" s="821"/>
      <c r="EU15" s="821"/>
      <c r="EV15" s="821"/>
      <c r="EW15" s="821"/>
      <c r="EX15" s="821"/>
      <c r="EY15" s="821"/>
      <c r="EZ15" s="821"/>
      <c r="FA15" s="835"/>
      <c r="FC15" s="827"/>
      <c r="FD15" s="828"/>
      <c r="FE15" s="829"/>
      <c r="FF15" s="830"/>
    </row>
    <row r="16" spans="1:165" customFormat="1" ht="15" customHeight="1" x14ac:dyDescent="0.25"/>
    <row r="17" spans="1:163" customFormat="1" ht="15" customHeight="1" x14ac:dyDescent="0.25"/>
    <row r="18" spans="1:163" s="795" customFormat="1" ht="15" customHeight="1" x14ac:dyDescent="0.25">
      <c r="A18" s="210" t="s">
        <v>208</v>
      </c>
      <c r="B18" s="474">
        <v>2015</v>
      </c>
      <c r="C18" s="474"/>
      <c r="D18" s="474"/>
      <c r="E18" s="474"/>
      <c r="F18" s="474"/>
      <c r="G18" s="474"/>
      <c r="H18" s="474"/>
      <c r="I18" s="474"/>
      <c r="J18" s="474"/>
      <c r="K18" s="474"/>
      <c r="L18" s="474"/>
      <c r="M18" s="474"/>
      <c r="N18" s="758" t="s">
        <v>83</v>
      </c>
      <c r="O18" s="474">
        <v>2016</v>
      </c>
      <c r="P18" s="474"/>
      <c r="Q18" s="474"/>
      <c r="R18" s="474"/>
      <c r="S18" s="474"/>
      <c r="T18" s="474"/>
      <c r="U18" s="474"/>
      <c r="V18" s="474"/>
      <c r="W18" s="474"/>
      <c r="X18" s="474"/>
      <c r="Y18" s="474"/>
      <c r="Z18" s="474"/>
      <c r="AA18" s="758" t="s">
        <v>83</v>
      </c>
      <c r="AB18" s="474">
        <v>2017</v>
      </c>
      <c r="AC18" s="474"/>
      <c r="AD18" s="474"/>
      <c r="AE18" s="474"/>
      <c r="AF18" s="474"/>
      <c r="AG18" s="474"/>
      <c r="AH18" s="474"/>
      <c r="AI18" s="474"/>
      <c r="AJ18" s="474"/>
      <c r="AK18" s="474"/>
      <c r="AL18" s="474"/>
      <c r="AM18" s="474"/>
      <c r="AN18" s="758" t="s">
        <v>83</v>
      </c>
      <c r="AO18" s="474">
        <v>2018</v>
      </c>
      <c r="AP18" s="474"/>
      <c r="AQ18" s="474"/>
      <c r="AR18" s="474"/>
      <c r="AS18" s="474"/>
      <c r="AT18" s="474"/>
      <c r="AU18" s="474"/>
      <c r="AV18" s="474"/>
      <c r="AW18" s="474"/>
      <c r="AX18" s="474"/>
      <c r="AY18" s="474"/>
      <c r="AZ18" s="474"/>
      <c r="BA18" s="758" t="s">
        <v>83</v>
      </c>
      <c r="BB18" s="474">
        <v>2019</v>
      </c>
      <c r="BC18" s="474"/>
      <c r="BD18" s="474"/>
      <c r="BE18" s="474"/>
      <c r="BF18" s="474"/>
      <c r="BG18" s="474"/>
      <c r="BH18" s="474"/>
      <c r="BI18" s="474"/>
      <c r="BJ18" s="474"/>
      <c r="BK18" s="474"/>
      <c r="BL18" s="474"/>
      <c r="BM18" s="474"/>
      <c r="BN18" s="758" t="s">
        <v>83</v>
      </c>
      <c r="BO18" s="474">
        <v>2020</v>
      </c>
      <c r="BP18" s="474"/>
      <c r="BQ18" s="474"/>
      <c r="BR18" s="474"/>
      <c r="BS18" s="474"/>
      <c r="BT18" s="474"/>
      <c r="BU18" s="474"/>
      <c r="BV18" s="474"/>
      <c r="BW18" s="474"/>
      <c r="BX18" s="474"/>
      <c r="BY18" s="474"/>
      <c r="BZ18" s="474"/>
      <c r="CA18" s="758" t="s">
        <v>83</v>
      </c>
      <c r="CB18" s="474">
        <v>2021</v>
      </c>
      <c r="CC18" s="474"/>
      <c r="CD18" s="474"/>
      <c r="CE18" s="474"/>
      <c r="CF18" s="474"/>
      <c r="CG18" s="474"/>
      <c r="CH18" s="474"/>
      <c r="CI18" s="474"/>
      <c r="CJ18" s="474"/>
      <c r="CK18" s="474"/>
      <c r="CL18" s="474"/>
      <c r="CM18" s="474"/>
      <c r="CN18" s="758" t="s">
        <v>83</v>
      </c>
      <c r="CO18" s="474">
        <v>2022</v>
      </c>
      <c r="CP18" s="474"/>
      <c r="CQ18" s="474"/>
      <c r="CR18" s="474"/>
      <c r="CS18" s="474"/>
      <c r="CT18" s="474"/>
      <c r="CU18" s="474"/>
      <c r="CV18" s="474"/>
      <c r="CW18" s="474"/>
      <c r="CX18" s="474"/>
      <c r="CY18" s="474"/>
      <c r="CZ18" s="474"/>
      <c r="DA18" s="758" t="s">
        <v>83</v>
      </c>
      <c r="DB18" s="474">
        <v>2023</v>
      </c>
      <c r="DC18" s="474"/>
      <c r="DD18" s="474"/>
      <c r="DE18" s="474"/>
      <c r="DF18" s="474"/>
      <c r="DG18" s="474"/>
      <c r="DH18" s="474"/>
      <c r="DI18" s="474"/>
      <c r="DJ18" s="474"/>
      <c r="DK18" s="474"/>
      <c r="DL18" s="474"/>
      <c r="DM18" s="474"/>
      <c r="DN18" s="758" t="s">
        <v>83</v>
      </c>
      <c r="DO18" s="474">
        <v>2024</v>
      </c>
      <c r="DP18" s="474"/>
      <c r="DQ18" s="474"/>
      <c r="DR18" s="474"/>
      <c r="DS18" s="474"/>
      <c r="DT18" s="474"/>
      <c r="DU18" s="474"/>
      <c r="DV18" s="474"/>
      <c r="DW18" s="474"/>
      <c r="DX18" s="474"/>
      <c r="DY18" s="474"/>
      <c r="DZ18" s="474"/>
      <c r="EA18" s="758" t="s">
        <v>83</v>
      </c>
      <c r="EB18" s="474">
        <v>2025</v>
      </c>
      <c r="EC18" s="474"/>
      <c r="ED18" s="474"/>
      <c r="EE18" s="474"/>
      <c r="EF18" s="474"/>
      <c r="EG18" s="474"/>
      <c r="EH18" s="474"/>
      <c r="EI18" s="474"/>
      <c r="EJ18" s="474"/>
      <c r="EK18" s="474"/>
      <c r="EL18" s="474"/>
      <c r="EM18" s="474"/>
      <c r="EN18" s="758" t="s">
        <v>83</v>
      </c>
      <c r="EO18" s="474">
        <v>2026</v>
      </c>
      <c r="EP18" s="474"/>
      <c r="EQ18" s="474"/>
      <c r="ER18" s="474"/>
      <c r="ES18" s="474"/>
      <c r="ET18" s="474"/>
      <c r="EU18" s="474"/>
      <c r="EV18" s="474"/>
      <c r="EW18" s="474"/>
      <c r="EX18" s="474"/>
      <c r="EY18" s="474"/>
      <c r="EZ18" s="474"/>
      <c r="FA18" s="758" t="s">
        <v>83</v>
      </c>
      <c r="FB18" s="753"/>
      <c r="FC18" s="476" t="str">
        <f>CONCATENATE("Var.% ",FF18,"/",FF18-1)</f>
        <v>Var.% 2026/2025</v>
      </c>
      <c r="FD18" s="477"/>
      <c r="FE18" s="478">
        <f>FF18-1</f>
        <v>2025</v>
      </c>
      <c r="FF18" s="478">
        <f>YEAR(FC19)</f>
        <v>2026</v>
      </c>
    </row>
    <row r="19" spans="1:163" s="795" customFormat="1" ht="15" customHeight="1" x14ac:dyDescent="0.25">
      <c r="A19" s="211" t="s">
        <v>363</v>
      </c>
      <c r="B19" s="645">
        <v>42005</v>
      </c>
      <c r="C19" s="645">
        <v>42036</v>
      </c>
      <c r="D19" s="645">
        <v>42064</v>
      </c>
      <c r="E19" s="645">
        <v>42095</v>
      </c>
      <c r="F19" s="645">
        <v>42125</v>
      </c>
      <c r="G19" s="645">
        <v>42156</v>
      </c>
      <c r="H19" s="645">
        <v>42186</v>
      </c>
      <c r="I19" s="645">
        <v>42217</v>
      </c>
      <c r="J19" s="645">
        <v>42248</v>
      </c>
      <c r="K19" s="645">
        <v>42278</v>
      </c>
      <c r="L19" s="645">
        <v>42309</v>
      </c>
      <c r="M19" s="645">
        <v>42339</v>
      </c>
      <c r="N19" s="759">
        <f t="shared" ref="N19" si="34">YEAR(M19)</f>
        <v>2015</v>
      </c>
      <c r="O19" s="645">
        <v>42370</v>
      </c>
      <c r="P19" s="645">
        <v>42401</v>
      </c>
      <c r="Q19" s="645">
        <v>42430</v>
      </c>
      <c r="R19" s="645">
        <v>42461</v>
      </c>
      <c r="S19" s="645">
        <v>42491</v>
      </c>
      <c r="T19" s="645">
        <v>42522</v>
      </c>
      <c r="U19" s="645">
        <v>42552</v>
      </c>
      <c r="V19" s="645">
        <v>42583</v>
      </c>
      <c r="W19" s="645">
        <v>42614</v>
      </c>
      <c r="X19" s="645">
        <v>42644</v>
      </c>
      <c r="Y19" s="645">
        <v>42675</v>
      </c>
      <c r="Z19" s="645">
        <v>42705</v>
      </c>
      <c r="AA19" s="759">
        <f t="shared" ref="AA19" si="35">YEAR(Z19)</f>
        <v>2016</v>
      </c>
      <c r="AB19" s="645">
        <v>42736</v>
      </c>
      <c r="AC19" s="645">
        <v>42767</v>
      </c>
      <c r="AD19" s="645">
        <v>42795</v>
      </c>
      <c r="AE19" s="645">
        <v>42826</v>
      </c>
      <c r="AF19" s="645">
        <v>42856</v>
      </c>
      <c r="AG19" s="645">
        <v>42887</v>
      </c>
      <c r="AH19" s="645">
        <v>42917</v>
      </c>
      <c r="AI19" s="645">
        <v>42948</v>
      </c>
      <c r="AJ19" s="645">
        <v>42979</v>
      </c>
      <c r="AK19" s="645">
        <v>43009</v>
      </c>
      <c r="AL19" s="645">
        <v>43040</v>
      </c>
      <c r="AM19" s="645">
        <v>43070</v>
      </c>
      <c r="AN19" s="759">
        <f t="shared" ref="AN19" si="36">YEAR(AM19)</f>
        <v>2017</v>
      </c>
      <c r="AO19" s="645">
        <v>43101</v>
      </c>
      <c r="AP19" s="645">
        <v>43132</v>
      </c>
      <c r="AQ19" s="645">
        <v>43160</v>
      </c>
      <c r="AR19" s="645">
        <v>43191</v>
      </c>
      <c r="AS19" s="645">
        <v>43221</v>
      </c>
      <c r="AT19" s="645">
        <v>43252</v>
      </c>
      <c r="AU19" s="645">
        <v>43282</v>
      </c>
      <c r="AV19" s="645">
        <v>43313</v>
      </c>
      <c r="AW19" s="645">
        <v>43344</v>
      </c>
      <c r="AX19" s="645">
        <v>43374</v>
      </c>
      <c r="AY19" s="645">
        <v>43405</v>
      </c>
      <c r="AZ19" s="645">
        <v>43435</v>
      </c>
      <c r="BA19" s="759">
        <f t="shared" ref="BA19" si="37">YEAR(AZ19)</f>
        <v>2018</v>
      </c>
      <c r="BB19" s="645">
        <v>43466</v>
      </c>
      <c r="BC19" s="645">
        <v>43497</v>
      </c>
      <c r="BD19" s="645">
        <v>43525</v>
      </c>
      <c r="BE19" s="645">
        <v>43556</v>
      </c>
      <c r="BF19" s="645">
        <v>43586</v>
      </c>
      <c r="BG19" s="645">
        <v>43617</v>
      </c>
      <c r="BH19" s="645">
        <v>43647</v>
      </c>
      <c r="BI19" s="645">
        <v>43678</v>
      </c>
      <c r="BJ19" s="645">
        <v>43709</v>
      </c>
      <c r="BK19" s="645">
        <v>43739</v>
      </c>
      <c r="BL19" s="645">
        <v>43770</v>
      </c>
      <c r="BM19" s="645">
        <v>43800</v>
      </c>
      <c r="BN19" s="759">
        <f t="shared" ref="BN19" si="38">YEAR(BM19)</f>
        <v>2019</v>
      </c>
      <c r="BO19" s="645">
        <v>43831</v>
      </c>
      <c r="BP19" s="645">
        <v>43862</v>
      </c>
      <c r="BQ19" s="645">
        <v>43891</v>
      </c>
      <c r="BR19" s="645">
        <v>43922</v>
      </c>
      <c r="BS19" s="645">
        <v>43952</v>
      </c>
      <c r="BT19" s="645">
        <v>43983</v>
      </c>
      <c r="BU19" s="645">
        <v>44013</v>
      </c>
      <c r="BV19" s="645">
        <v>44044</v>
      </c>
      <c r="BW19" s="645">
        <v>44075</v>
      </c>
      <c r="BX19" s="645">
        <v>44105</v>
      </c>
      <c r="BY19" s="645">
        <v>44136</v>
      </c>
      <c r="BZ19" s="645">
        <v>44166</v>
      </c>
      <c r="CA19" s="759">
        <f t="shared" ref="CA19" si="39">YEAR(BZ19)</f>
        <v>2020</v>
      </c>
      <c r="CB19" s="645">
        <v>44197</v>
      </c>
      <c r="CC19" s="645">
        <v>44228</v>
      </c>
      <c r="CD19" s="645">
        <v>44256</v>
      </c>
      <c r="CE19" s="645">
        <v>44287</v>
      </c>
      <c r="CF19" s="645">
        <v>44317</v>
      </c>
      <c r="CG19" s="645">
        <v>44348</v>
      </c>
      <c r="CH19" s="645">
        <v>44378</v>
      </c>
      <c r="CI19" s="645">
        <v>44409</v>
      </c>
      <c r="CJ19" s="645">
        <v>44440</v>
      </c>
      <c r="CK19" s="645">
        <v>44470</v>
      </c>
      <c r="CL19" s="645">
        <v>44501</v>
      </c>
      <c r="CM19" s="645">
        <v>44531</v>
      </c>
      <c r="CN19" s="759">
        <f t="shared" ref="CN19" si="40">YEAR(CM19)</f>
        <v>2021</v>
      </c>
      <c r="CO19" s="645">
        <v>44562</v>
      </c>
      <c r="CP19" s="645">
        <v>44593</v>
      </c>
      <c r="CQ19" s="645">
        <v>44621</v>
      </c>
      <c r="CR19" s="645">
        <v>44652</v>
      </c>
      <c r="CS19" s="645">
        <v>44682</v>
      </c>
      <c r="CT19" s="645">
        <v>44713</v>
      </c>
      <c r="CU19" s="645">
        <v>44743</v>
      </c>
      <c r="CV19" s="645">
        <v>44774</v>
      </c>
      <c r="CW19" s="645">
        <v>44805</v>
      </c>
      <c r="CX19" s="645">
        <v>44835</v>
      </c>
      <c r="CY19" s="645">
        <v>44866</v>
      </c>
      <c r="CZ19" s="645">
        <v>44896</v>
      </c>
      <c r="DA19" s="759">
        <f t="shared" ref="DA19" si="41">YEAR(CZ19)</f>
        <v>2022</v>
      </c>
      <c r="DB19" s="645">
        <v>44927</v>
      </c>
      <c r="DC19" s="645">
        <v>44958</v>
      </c>
      <c r="DD19" s="645">
        <v>44986</v>
      </c>
      <c r="DE19" s="645">
        <v>45017</v>
      </c>
      <c r="DF19" s="645">
        <v>45047</v>
      </c>
      <c r="DG19" s="645">
        <v>45078</v>
      </c>
      <c r="DH19" s="645">
        <v>45108</v>
      </c>
      <c r="DI19" s="645">
        <v>45139</v>
      </c>
      <c r="DJ19" s="645">
        <v>45170</v>
      </c>
      <c r="DK19" s="645">
        <v>45200</v>
      </c>
      <c r="DL19" s="645">
        <v>45231</v>
      </c>
      <c r="DM19" s="645">
        <v>45261</v>
      </c>
      <c r="DN19" s="759">
        <f t="shared" ref="DN19" si="42">YEAR(DM19)</f>
        <v>2023</v>
      </c>
      <c r="DO19" s="645">
        <v>45292</v>
      </c>
      <c r="DP19" s="645">
        <v>45323</v>
      </c>
      <c r="DQ19" s="645">
        <v>45352</v>
      </c>
      <c r="DR19" s="645">
        <v>45383</v>
      </c>
      <c r="DS19" s="645">
        <v>45413</v>
      </c>
      <c r="DT19" s="645">
        <v>45444</v>
      </c>
      <c r="DU19" s="645">
        <v>45474</v>
      </c>
      <c r="DV19" s="645">
        <v>45505</v>
      </c>
      <c r="DW19" s="645">
        <v>45536</v>
      </c>
      <c r="DX19" s="645">
        <v>45566</v>
      </c>
      <c r="DY19" s="645">
        <v>45597</v>
      </c>
      <c r="DZ19" s="645">
        <v>45627</v>
      </c>
      <c r="EA19" s="759">
        <f t="shared" ref="EA19" si="43">YEAR(DZ19)</f>
        <v>2024</v>
      </c>
      <c r="EB19" s="645">
        <v>45658</v>
      </c>
      <c r="EC19" s="645">
        <v>45689</v>
      </c>
      <c r="ED19" s="645">
        <v>45717</v>
      </c>
      <c r="EE19" s="645">
        <v>45748</v>
      </c>
      <c r="EF19" s="645">
        <v>45778</v>
      </c>
      <c r="EG19" s="645">
        <v>45809</v>
      </c>
      <c r="EH19" s="645">
        <v>45839</v>
      </c>
      <c r="EI19" s="645">
        <v>45870</v>
      </c>
      <c r="EJ19" s="645">
        <v>45901</v>
      </c>
      <c r="EK19" s="645">
        <v>45931</v>
      </c>
      <c r="EL19" s="645">
        <v>45962</v>
      </c>
      <c r="EM19" s="645">
        <v>45992</v>
      </c>
      <c r="EN19" s="759">
        <f t="shared" ref="EN19" si="44">YEAR(EM19)</f>
        <v>2025</v>
      </c>
      <c r="EO19" s="645">
        <v>46023</v>
      </c>
      <c r="EP19" s="645">
        <v>46054</v>
      </c>
      <c r="EQ19" s="645">
        <v>46082</v>
      </c>
      <c r="ER19" s="645">
        <v>46113</v>
      </c>
      <c r="ES19" s="645">
        <v>46143</v>
      </c>
      <c r="ET19" s="645">
        <v>46174</v>
      </c>
      <c r="EU19" s="645">
        <v>46204</v>
      </c>
      <c r="EV19" s="645">
        <v>46235</v>
      </c>
      <c r="EW19" s="645">
        <v>46266</v>
      </c>
      <c r="EX19" s="645">
        <v>46296</v>
      </c>
      <c r="EY19" s="645">
        <v>46327</v>
      </c>
      <c r="EZ19" s="645">
        <v>46357</v>
      </c>
      <c r="FA19" s="759">
        <f>YEAR(EZ19)</f>
        <v>2026</v>
      </c>
      <c r="FB19" s="753"/>
      <c r="FC19" s="485">
        <f>$FC$5</f>
        <v>46327</v>
      </c>
      <c r="FD19" s="486" t="str">
        <f>CONCATENATE("Ene.-",TEXT(FC19,"MMM."))</f>
        <v>Ene.-Nov.</v>
      </c>
      <c r="FE19" s="487" t="str">
        <f>FD19</f>
        <v>Ene.-Nov.</v>
      </c>
      <c r="FF19" s="487" t="str">
        <f>FD19</f>
        <v>Ene.-Nov.</v>
      </c>
      <c r="FG19" s="831"/>
    </row>
    <row r="20" spans="1:163" ht="15" customHeight="1" x14ac:dyDescent="0.25">
      <c r="A20" s="376"/>
      <c r="B20" s="375"/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832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  <c r="AA20" s="832"/>
      <c r="AB20" s="375"/>
      <c r="AC20" s="375"/>
      <c r="AD20" s="375"/>
      <c r="AE20" s="375"/>
      <c r="AF20" s="375"/>
      <c r="AG20" s="375"/>
      <c r="AH20" s="375"/>
      <c r="AI20" s="375"/>
      <c r="AJ20" s="375"/>
      <c r="AK20" s="375"/>
      <c r="AL20" s="375"/>
      <c r="AM20" s="375"/>
      <c r="AN20" s="832"/>
      <c r="AO20" s="375"/>
      <c r="AP20" s="375"/>
      <c r="AQ20" s="375"/>
      <c r="AR20" s="375"/>
      <c r="AS20" s="375"/>
      <c r="AT20" s="375"/>
      <c r="AU20" s="375"/>
      <c r="AV20" s="375"/>
      <c r="AW20" s="375"/>
      <c r="AX20" s="375"/>
      <c r="AY20" s="375"/>
      <c r="AZ20" s="375"/>
      <c r="BA20" s="832"/>
      <c r="BB20" s="375"/>
      <c r="BC20" s="375"/>
      <c r="BD20" s="375"/>
      <c r="BE20" s="375"/>
      <c r="BF20" s="375"/>
      <c r="BG20" s="375"/>
      <c r="BH20" s="375"/>
      <c r="BI20" s="375"/>
      <c r="BJ20" s="375"/>
      <c r="BK20" s="375"/>
      <c r="BL20" s="375"/>
      <c r="BM20" s="375"/>
      <c r="BN20" s="832"/>
      <c r="BO20" s="375"/>
      <c r="BP20" s="375"/>
      <c r="BQ20" s="375"/>
      <c r="BR20" s="375"/>
      <c r="BS20" s="375"/>
      <c r="BT20" s="375"/>
      <c r="BU20" s="375"/>
      <c r="BV20" s="375"/>
      <c r="BW20" s="375"/>
      <c r="BX20" s="375"/>
      <c r="BY20" s="375"/>
      <c r="BZ20" s="375"/>
      <c r="CA20" s="832"/>
      <c r="CB20" s="375"/>
      <c r="CC20" s="375"/>
      <c r="CD20" s="375"/>
      <c r="CE20" s="375"/>
      <c r="CF20" s="375"/>
      <c r="CG20" s="375"/>
      <c r="CH20" s="375"/>
      <c r="CI20" s="375"/>
      <c r="CJ20" s="375"/>
      <c r="CK20" s="375"/>
      <c r="CL20" s="375"/>
      <c r="CM20" s="375"/>
      <c r="CN20" s="832"/>
      <c r="CO20" s="375"/>
      <c r="CP20" s="375"/>
      <c r="CQ20" s="375"/>
      <c r="CR20" s="375"/>
      <c r="CS20" s="375"/>
      <c r="CT20" s="375"/>
      <c r="CU20" s="375"/>
      <c r="CV20" s="375"/>
      <c r="CW20" s="375"/>
      <c r="CX20" s="375"/>
      <c r="CY20" s="375"/>
      <c r="CZ20" s="375"/>
      <c r="DA20" s="832"/>
      <c r="DB20" s="375"/>
      <c r="DC20" s="375"/>
      <c r="DD20" s="375"/>
      <c r="DE20" s="375"/>
      <c r="DF20" s="375"/>
      <c r="DG20" s="375"/>
      <c r="DH20" s="375"/>
      <c r="DI20" s="375"/>
      <c r="DJ20" s="375"/>
      <c r="DK20" s="375"/>
      <c r="DL20" s="375"/>
      <c r="DM20" s="375"/>
      <c r="DN20" s="832"/>
      <c r="DO20" s="375"/>
      <c r="DP20" s="375"/>
      <c r="DQ20" s="375"/>
      <c r="DR20" s="375"/>
      <c r="DS20" s="375"/>
      <c r="DT20" s="375"/>
      <c r="DU20" s="375"/>
      <c r="DV20" s="375"/>
      <c r="DW20" s="375"/>
      <c r="DX20" s="375"/>
      <c r="DY20" s="375"/>
      <c r="DZ20" s="375"/>
      <c r="EA20" s="832"/>
      <c r="EB20" s="375"/>
      <c r="EC20" s="375"/>
      <c r="ED20" s="375"/>
      <c r="EE20" s="375"/>
      <c r="EF20" s="375"/>
      <c r="EG20" s="375"/>
      <c r="EH20" s="375"/>
      <c r="EI20" s="375"/>
      <c r="EJ20" s="375"/>
      <c r="EK20" s="375"/>
      <c r="EL20" s="375"/>
      <c r="EM20" s="375"/>
      <c r="EN20" s="832"/>
      <c r="EO20" s="375"/>
      <c r="EP20" s="375"/>
      <c r="EQ20" s="375"/>
      <c r="ER20" s="375"/>
      <c r="ES20" s="375"/>
      <c r="ET20" s="375"/>
      <c r="EU20" s="375"/>
      <c r="EV20" s="375"/>
      <c r="EW20" s="375"/>
      <c r="EX20" s="375"/>
      <c r="EY20" s="375"/>
      <c r="EZ20" s="375"/>
      <c r="FA20" s="832"/>
      <c r="FC20" s="494"/>
      <c r="FD20" s="495"/>
      <c r="FE20" s="496"/>
      <c r="FF20" s="497"/>
    </row>
    <row r="21" spans="1:163" s="793" customFormat="1" ht="15" customHeight="1" x14ac:dyDescent="0.25">
      <c r="A21" s="822" t="s">
        <v>209</v>
      </c>
      <c r="B21" s="788">
        <f t="shared" ref="B21:BM21" si="45">B22</f>
        <v>1276648</v>
      </c>
      <c r="C21" s="788">
        <f t="shared" si="45"/>
        <v>1129179</v>
      </c>
      <c r="D21" s="788">
        <f t="shared" si="45"/>
        <v>1249046</v>
      </c>
      <c r="E21" s="788">
        <f t="shared" si="45"/>
        <v>1155642</v>
      </c>
      <c r="F21" s="788">
        <f t="shared" si="45"/>
        <v>0</v>
      </c>
      <c r="G21" s="788">
        <f t="shared" si="45"/>
        <v>0</v>
      </c>
      <c r="H21" s="788">
        <f t="shared" si="45"/>
        <v>0</v>
      </c>
      <c r="I21" s="788">
        <f t="shared" si="45"/>
        <v>0</v>
      </c>
      <c r="J21" s="788">
        <f t="shared" si="45"/>
        <v>0</v>
      </c>
      <c r="K21" s="788">
        <f t="shared" si="45"/>
        <v>0</v>
      </c>
      <c r="L21" s="788">
        <f t="shared" si="45"/>
        <v>0</v>
      </c>
      <c r="M21" s="788">
        <f t="shared" si="45"/>
        <v>0</v>
      </c>
      <c r="N21" s="833">
        <f>SUM(B21:M21)</f>
        <v>4810515</v>
      </c>
      <c r="O21" s="788">
        <f t="shared" si="45"/>
        <v>0</v>
      </c>
      <c r="P21" s="788">
        <f t="shared" si="45"/>
        <v>0</v>
      </c>
      <c r="Q21" s="788">
        <f t="shared" si="45"/>
        <v>0</v>
      </c>
      <c r="R21" s="788">
        <f t="shared" si="45"/>
        <v>0</v>
      </c>
      <c r="S21" s="788">
        <f t="shared" si="45"/>
        <v>0</v>
      </c>
      <c r="T21" s="788">
        <f t="shared" si="45"/>
        <v>0</v>
      </c>
      <c r="U21" s="788">
        <f t="shared" si="45"/>
        <v>0</v>
      </c>
      <c r="V21" s="788">
        <f t="shared" si="45"/>
        <v>0</v>
      </c>
      <c r="W21" s="788">
        <f t="shared" si="45"/>
        <v>0</v>
      </c>
      <c r="X21" s="788">
        <f t="shared" si="45"/>
        <v>0</v>
      </c>
      <c r="Y21" s="788">
        <f t="shared" si="45"/>
        <v>0</v>
      </c>
      <c r="Z21" s="788">
        <f t="shared" si="45"/>
        <v>0</v>
      </c>
      <c r="AA21" s="833">
        <f t="shared" ref="AA21" si="46">SUM(O21:Z21)</f>
        <v>0</v>
      </c>
      <c r="AB21" s="788">
        <f t="shared" si="45"/>
        <v>0</v>
      </c>
      <c r="AC21" s="788">
        <f t="shared" si="45"/>
        <v>0</v>
      </c>
      <c r="AD21" s="788">
        <f t="shared" si="45"/>
        <v>0</v>
      </c>
      <c r="AE21" s="788">
        <f t="shared" si="45"/>
        <v>0</v>
      </c>
      <c r="AF21" s="788">
        <f t="shared" si="45"/>
        <v>0</v>
      </c>
      <c r="AG21" s="788">
        <f t="shared" si="45"/>
        <v>0</v>
      </c>
      <c r="AH21" s="788">
        <f t="shared" si="45"/>
        <v>0</v>
      </c>
      <c r="AI21" s="788">
        <f t="shared" si="45"/>
        <v>0</v>
      </c>
      <c r="AJ21" s="788">
        <f t="shared" si="45"/>
        <v>0</v>
      </c>
      <c r="AK21" s="788">
        <f t="shared" si="45"/>
        <v>0</v>
      </c>
      <c r="AL21" s="788">
        <f t="shared" si="45"/>
        <v>0</v>
      </c>
      <c r="AM21" s="788">
        <f t="shared" si="45"/>
        <v>0</v>
      </c>
      <c r="AN21" s="833">
        <f t="shared" ref="AN21" si="47">SUM(AB21:AM21)</f>
        <v>0</v>
      </c>
      <c r="AO21" s="788">
        <f t="shared" si="45"/>
        <v>0</v>
      </c>
      <c r="AP21" s="788">
        <f t="shared" si="45"/>
        <v>0</v>
      </c>
      <c r="AQ21" s="788">
        <f t="shared" si="45"/>
        <v>0</v>
      </c>
      <c r="AR21" s="788">
        <f t="shared" si="45"/>
        <v>0</v>
      </c>
      <c r="AS21" s="788">
        <f t="shared" si="45"/>
        <v>0</v>
      </c>
      <c r="AT21" s="788">
        <f t="shared" si="45"/>
        <v>0</v>
      </c>
      <c r="AU21" s="788">
        <f t="shared" si="45"/>
        <v>0</v>
      </c>
      <c r="AV21" s="788">
        <f t="shared" si="45"/>
        <v>0</v>
      </c>
      <c r="AW21" s="788">
        <f t="shared" si="45"/>
        <v>0</v>
      </c>
      <c r="AX21" s="788">
        <f t="shared" si="45"/>
        <v>0</v>
      </c>
      <c r="AY21" s="788">
        <f t="shared" si="45"/>
        <v>0</v>
      </c>
      <c r="AZ21" s="788">
        <f t="shared" si="45"/>
        <v>0</v>
      </c>
      <c r="BA21" s="833">
        <f t="shared" ref="BA21" si="48">SUM(AO21:AZ21)</f>
        <v>0</v>
      </c>
      <c r="BB21" s="788">
        <f t="shared" si="45"/>
        <v>0</v>
      </c>
      <c r="BC21" s="788">
        <f t="shared" si="45"/>
        <v>0</v>
      </c>
      <c r="BD21" s="788">
        <f t="shared" si="45"/>
        <v>0</v>
      </c>
      <c r="BE21" s="788">
        <f t="shared" si="45"/>
        <v>0</v>
      </c>
      <c r="BF21" s="788">
        <f t="shared" si="45"/>
        <v>0</v>
      </c>
      <c r="BG21" s="788">
        <f t="shared" si="45"/>
        <v>0</v>
      </c>
      <c r="BH21" s="788">
        <f t="shared" si="45"/>
        <v>0</v>
      </c>
      <c r="BI21" s="788">
        <f t="shared" si="45"/>
        <v>0</v>
      </c>
      <c r="BJ21" s="788">
        <f t="shared" si="45"/>
        <v>0</v>
      </c>
      <c r="BK21" s="788">
        <f t="shared" si="45"/>
        <v>0</v>
      </c>
      <c r="BL21" s="788">
        <f t="shared" si="45"/>
        <v>0</v>
      </c>
      <c r="BM21" s="788">
        <f t="shared" si="45"/>
        <v>0</v>
      </c>
      <c r="BN21" s="833">
        <f t="shared" ref="BN21" si="49">SUM(BB21:BM21)</f>
        <v>0</v>
      </c>
      <c r="BO21" s="788">
        <f t="shared" ref="BO21:DZ21" si="50">BO22</f>
        <v>1462470</v>
      </c>
      <c r="BP21" s="788">
        <f t="shared" si="50"/>
        <v>1444220</v>
      </c>
      <c r="BQ21" s="788">
        <f t="shared" si="50"/>
        <v>1532511</v>
      </c>
      <c r="BR21" s="788">
        <f t="shared" si="50"/>
        <v>1435413</v>
      </c>
      <c r="BS21" s="788">
        <f t="shared" si="50"/>
        <v>1510462</v>
      </c>
      <c r="BT21" s="788">
        <f t="shared" si="50"/>
        <v>1421457</v>
      </c>
      <c r="BU21" s="788">
        <f t="shared" si="50"/>
        <v>1463537</v>
      </c>
      <c r="BV21" s="788">
        <f t="shared" si="50"/>
        <v>1449144</v>
      </c>
      <c r="BW21" s="788">
        <f t="shared" si="50"/>
        <v>1376464</v>
      </c>
      <c r="BX21" s="788">
        <f t="shared" si="50"/>
        <v>1554357</v>
      </c>
      <c r="BY21" s="788">
        <f t="shared" si="50"/>
        <v>1498195</v>
      </c>
      <c r="BZ21" s="788">
        <f t="shared" si="50"/>
        <v>1434198</v>
      </c>
      <c r="CA21" s="833">
        <f t="shared" ref="CA21" si="51">SUM(BO21:BZ21)</f>
        <v>17582428</v>
      </c>
      <c r="CB21" s="788">
        <f t="shared" si="50"/>
        <v>1477656</v>
      </c>
      <c r="CC21" s="788">
        <f t="shared" si="50"/>
        <v>1316121</v>
      </c>
      <c r="CD21" s="788">
        <f t="shared" si="50"/>
        <v>1456193</v>
      </c>
      <c r="CE21" s="788">
        <f t="shared" si="50"/>
        <v>1389862</v>
      </c>
      <c r="CF21" s="788">
        <f t="shared" si="50"/>
        <v>1449679</v>
      </c>
      <c r="CG21" s="788">
        <f t="shared" si="50"/>
        <v>1378188</v>
      </c>
      <c r="CH21" s="788">
        <f t="shared" si="50"/>
        <v>1438362</v>
      </c>
      <c r="CI21" s="788">
        <f t="shared" si="50"/>
        <v>1466670</v>
      </c>
      <c r="CJ21" s="788">
        <f t="shared" si="50"/>
        <v>1378080</v>
      </c>
      <c r="CK21" s="788">
        <f t="shared" si="50"/>
        <v>1447084</v>
      </c>
      <c r="CL21" s="788">
        <f t="shared" si="50"/>
        <v>1404751</v>
      </c>
      <c r="CM21" s="788">
        <f t="shared" si="50"/>
        <v>1412888</v>
      </c>
      <c r="CN21" s="833">
        <f t="shared" ref="CN21" si="52">SUM(CB21:CM21)</f>
        <v>17015534</v>
      </c>
      <c r="CO21" s="788">
        <f t="shared" si="50"/>
        <v>1438183</v>
      </c>
      <c r="CP21" s="788">
        <f t="shared" si="50"/>
        <v>1314707</v>
      </c>
      <c r="CQ21" s="788">
        <f t="shared" si="50"/>
        <v>1439683</v>
      </c>
      <c r="CR21" s="788">
        <f t="shared" si="50"/>
        <v>1403841</v>
      </c>
      <c r="CS21" s="788">
        <f t="shared" si="50"/>
        <v>1426650</v>
      </c>
      <c r="CT21" s="788">
        <f t="shared" si="50"/>
        <v>1409548</v>
      </c>
      <c r="CU21" s="788">
        <f t="shared" si="50"/>
        <v>1388578</v>
      </c>
      <c r="CV21" s="788">
        <f t="shared" si="50"/>
        <v>1419909</v>
      </c>
      <c r="CW21" s="788">
        <f t="shared" si="50"/>
        <v>1400879</v>
      </c>
      <c r="CX21" s="788">
        <f t="shared" si="50"/>
        <v>1483818</v>
      </c>
      <c r="CY21" s="788">
        <f t="shared" si="50"/>
        <v>1401717</v>
      </c>
      <c r="CZ21" s="788">
        <f t="shared" si="50"/>
        <v>1418229</v>
      </c>
      <c r="DA21" s="833">
        <f t="shared" ref="DA21" si="53">SUM(CO21:CZ21)</f>
        <v>16945742</v>
      </c>
      <c r="DB21" s="788">
        <f t="shared" si="50"/>
        <v>1399042</v>
      </c>
      <c r="DC21" s="788">
        <f t="shared" si="50"/>
        <v>1277937</v>
      </c>
      <c r="DD21" s="788">
        <f t="shared" si="50"/>
        <v>1464813</v>
      </c>
      <c r="DE21" s="788">
        <f t="shared" si="50"/>
        <v>1388992</v>
      </c>
      <c r="DF21" s="788">
        <f t="shared" si="50"/>
        <v>1513715</v>
      </c>
      <c r="DG21" s="788">
        <f t="shared" si="50"/>
        <v>1448425</v>
      </c>
      <c r="DH21" s="788">
        <f t="shared" si="50"/>
        <v>1507780</v>
      </c>
      <c r="DI21" s="788">
        <f t="shared" si="50"/>
        <v>1473116</v>
      </c>
      <c r="DJ21" s="788">
        <f t="shared" si="50"/>
        <v>1441805</v>
      </c>
      <c r="DK21" s="788">
        <f t="shared" si="50"/>
        <v>1461787</v>
      </c>
      <c r="DL21" s="788">
        <f t="shared" si="50"/>
        <v>1437263</v>
      </c>
      <c r="DM21" s="788">
        <f t="shared" si="50"/>
        <v>1510090</v>
      </c>
      <c r="DN21" s="833">
        <f t="shared" ref="DN21" si="54">SUM(DB21:DM21)</f>
        <v>17324765</v>
      </c>
      <c r="DO21" s="788">
        <f t="shared" si="50"/>
        <v>1560502</v>
      </c>
      <c r="DP21" s="788">
        <f t="shared" si="50"/>
        <v>1541144</v>
      </c>
      <c r="DQ21" s="788">
        <f t="shared" si="50"/>
        <v>1663373</v>
      </c>
      <c r="DR21" s="788">
        <f t="shared" si="50"/>
        <v>1591724</v>
      </c>
      <c r="DS21" s="788">
        <f t="shared" si="50"/>
        <v>1605133</v>
      </c>
      <c r="DT21" s="788">
        <f t="shared" si="50"/>
        <v>1561515</v>
      </c>
      <c r="DU21" s="788">
        <f t="shared" si="50"/>
        <v>1600369</v>
      </c>
      <c r="DV21" s="788">
        <f t="shared" si="50"/>
        <v>1587890</v>
      </c>
      <c r="DW21" s="788">
        <f t="shared" si="50"/>
        <v>1575462</v>
      </c>
      <c r="DX21" s="788">
        <f t="shared" si="50"/>
        <v>1617521</v>
      </c>
      <c r="DY21" s="788">
        <f t="shared" si="50"/>
        <v>1545230</v>
      </c>
      <c r="DZ21" s="788">
        <f t="shared" si="50"/>
        <v>1548839</v>
      </c>
      <c r="EA21" s="833">
        <f t="shared" ref="EA21" si="55">SUM(DO21:DZ21)</f>
        <v>18998702</v>
      </c>
      <c r="EB21" s="788">
        <f t="shared" ref="EB21:EZ21" si="56">EB22</f>
        <v>1556645</v>
      </c>
      <c r="EC21" s="788">
        <f t="shared" si="56"/>
        <v>1389163</v>
      </c>
      <c r="ED21" s="788">
        <f t="shared" si="56"/>
        <v>1572917</v>
      </c>
      <c r="EE21" s="788">
        <f t="shared" si="56"/>
        <v>1513865</v>
      </c>
      <c r="EF21" s="788">
        <f t="shared" si="56"/>
        <v>1508733</v>
      </c>
      <c r="EG21" s="788">
        <f t="shared" si="56"/>
        <v>1414847</v>
      </c>
      <c r="EH21" s="788">
        <f t="shared" si="56"/>
        <v>1411781</v>
      </c>
      <c r="EI21" s="788">
        <f t="shared" si="56"/>
        <v>1424251</v>
      </c>
      <c r="EJ21" s="788">
        <f t="shared" si="56"/>
        <v>1354705</v>
      </c>
      <c r="EK21" s="788">
        <f t="shared" si="56"/>
        <v>1431923</v>
      </c>
      <c r="EL21" s="788">
        <f t="shared" si="56"/>
        <v>1415762</v>
      </c>
      <c r="EM21" s="788">
        <f t="shared" si="56"/>
        <v>0</v>
      </c>
      <c r="EN21" s="833">
        <f t="shared" ref="EN21" si="57">SUM(EB21:EM21)</f>
        <v>15994592</v>
      </c>
      <c r="EO21" s="788">
        <f t="shared" si="56"/>
        <v>1556645</v>
      </c>
      <c r="EP21" s="788">
        <f t="shared" si="56"/>
        <v>1389163</v>
      </c>
      <c r="EQ21" s="788">
        <f t="shared" si="56"/>
        <v>1572917</v>
      </c>
      <c r="ER21" s="788">
        <f t="shared" si="56"/>
        <v>1513865</v>
      </c>
      <c r="ES21" s="788">
        <f t="shared" si="56"/>
        <v>1508733</v>
      </c>
      <c r="ET21" s="788">
        <f t="shared" si="56"/>
        <v>1414847</v>
      </c>
      <c r="EU21" s="788">
        <f t="shared" si="56"/>
        <v>1411781</v>
      </c>
      <c r="EV21" s="788">
        <f t="shared" si="56"/>
        <v>1424251</v>
      </c>
      <c r="EW21" s="788">
        <f t="shared" si="56"/>
        <v>1354705</v>
      </c>
      <c r="EX21" s="788">
        <f t="shared" si="56"/>
        <v>1431923</v>
      </c>
      <c r="EY21" s="788">
        <f t="shared" si="56"/>
        <v>1415762</v>
      </c>
      <c r="EZ21" s="788">
        <f t="shared" si="56"/>
        <v>0</v>
      </c>
      <c r="FA21" s="833">
        <f t="shared" ref="FA21" si="58">SUM(EO21:EZ21)</f>
        <v>15994592</v>
      </c>
      <c r="FB21" s="757"/>
      <c r="FC21" s="544"/>
      <c r="FD21" s="545"/>
      <c r="FE21" s="546"/>
      <c r="FF21" s="547"/>
    </row>
    <row r="22" spans="1:163" ht="15" customHeight="1" x14ac:dyDescent="0.25">
      <c r="A22" s="138" t="s">
        <v>210</v>
      </c>
      <c r="B22" s="151">
        <v>1276648</v>
      </c>
      <c r="C22" s="151">
        <v>1129179</v>
      </c>
      <c r="D22" s="151">
        <v>1249046</v>
      </c>
      <c r="E22" s="151">
        <v>1155642</v>
      </c>
      <c r="F22" s="151"/>
      <c r="G22" s="151"/>
      <c r="H22" s="151"/>
      <c r="I22" s="151"/>
      <c r="J22" s="151"/>
      <c r="K22" s="151"/>
      <c r="L22" s="151"/>
      <c r="M22" s="151"/>
      <c r="N22" s="834">
        <f>SUM(B22:M22)</f>
        <v>4810515</v>
      </c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834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834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834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834"/>
      <c r="BO22" s="151">
        <v>1462470</v>
      </c>
      <c r="BP22" s="151">
        <v>1444220</v>
      </c>
      <c r="BQ22" s="151">
        <v>1532511</v>
      </c>
      <c r="BR22" s="151">
        <v>1435413</v>
      </c>
      <c r="BS22" s="151">
        <v>1510462</v>
      </c>
      <c r="BT22" s="151">
        <v>1421457</v>
      </c>
      <c r="BU22" s="151">
        <v>1463537</v>
      </c>
      <c r="BV22" s="151">
        <v>1449144</v>
      </c>
      <c r="BW22" s="151">
        <v>1376464</v>
      </c>
      <c r="BX22" s="151">
        <v>1554357</v>
      </c>
      <c r="BY22" s="151">
        <v>1498195</v>
      </c>
      <c r="BZ22" s="151">
        <v>1434198</v>
      </c>
      <c r="CA22" s="834">
        <f>SUM(BO22:BZ22)</f>
        <v>17582428</v>
      </c>
      <c r="CB22" s="151">
        <v>1477656</v>
      </c>
      <c r="CC22" s="151">
        <v>1316121</v>
      </c>
      <c r="CD22" s="151">
        <v>1456193</v>
      </c>
      <c r="CE22" s="151">
        <v>1389862</v>
      </c>
      <c r="CF22" s="151">
        <v>1449679</v>
      </c>
      <c r="CG22" s="151">
        <v>1378188</v>
      </c>
      <c r="CH22" s="151">
        <v>1438362</v>
      </c>
      <c r="CI22" s="151">
        <v>1466670</v>
      </c>
      <c r="CJ22" s="151">
        <v>1378080</v>
      </c>
      <c r="CK22" s="151">
        <v>1447084</v>
      </c>
      <c r="CL22" s="151">
        <v>1404751</v>
      </c>
      <c r="CM22" s="151">
        <v>1412888</v>
      </c>
      <c r="CN22" s="834">
        <f>SUM(CB22:CM22)</f>
        <v>17015534</v>
      </c>
      <c r="CO22" s="151">
        <v>1438183</v>
      </c>
      <c r="CP22" s="151">
        <v>1314707</v>
      </c>
      <c r="CQ22" s="151">
        <v>1439683</v>
      </c>
      <c r="CR22" s="151">
        <v>1403841</v>
      </c>
      <c r="CS22" s="151">
        <v>1426650</v>
      </c>
      <c r="CT22" s="151">
        <v>1409548</v>
      </c>
      <c r="CU22" s="151">
        <v>1388578</v>
      </c>
      <c r="CV22" s="151">
        <v>1419909</v>
      </c>
      <c r="CW22" s="151">
        <v>1400879</v>
      </c>
      <c r="CX22" s="151">
        <v>1483818</v>
      </c>
      <c r="CY22" s="151">
        <v>1401717</v>
      </c>
      <c r="CZ22" s="151">
        <v>1418229</v>
      </c>
      <c r="DA22" s="834">
        <f>SUM(CO22:CZ22)</f>
        <v>16945742</v>
      </c>
      <c r="DB22" s="151">
        <v>1399042</v>
      </c>
      <c r="DC22" s="151">
        <v>1277937</v>
      </c>
      <c r="DD22" s="151">
        <v>1464813</v>
      </c>
      <c r="DE22" s="151">
        <v>1388992</v>
      </c>
      <c r="DF22" s="151">
        <v>1513715</v>
      </c>
      <c r="DG22" s="151">
        <v>1448425</v>
      </c>
      <c r="DH22" s="151">
        <v>1507780</v>
      </c>
      <c r="DI22" s="151">
        <v>1473116</v>
      </c>
      <c r="DJ22" s="151">
        <v>1441805</v>
      </c>
      <c r="DK22" s="151">
        <v>1461787</v>
      </c>
      <c r="DL22" s="151">
        <v>1437263</v>
      </c>
      <c r="DM22" s="151">
        <v>1510090</v>
      </c>
      <c r="DN22" s="834">
        <f>SUM(DB22:DM22)</f>
        <v>17324765</v>
      </c>
      <c r="DO22" s="151">
        <v>1560502</v>
      </c>
      <c r="DP22" s="151">
        <v>1541144</v>
      </c>
      <c r="DQ22" s="151">
        <v>1663373</v>
      </c>
      <c r="DR22" s="151">
        <v>1591724</v>
      </c>
      <c r="DS22" s="151">
        <v>1605133</v>
      </c>
      <c r="DT22" s="151">
        <v>1561515</v>
      </c>
      <c r="DU22" s="151">
        <v>1600369</v>
      </c>
      <c r="DV22" s="151">
        <v>1587890</v>
      </c>
      <c r="DW22" s="151">
        <v>1575462</v>
      </c>
      <c r="DX22" s="151">
        <v>1617521</v>
      </c>
      <c r="DY22" s="151">
        <v>1545230</v>
      </c>
      <c r="DZ22" s="151">
        <v>1548839</v>
      </c>
      <c r="EA22" s="834">
        <f>SUM(DO22:DZ22)</f>
        <v>18998702</v>
      </c>
      <c r="EB22" s="151">
        <v>1556645</v>
      </c>
      <c r="EC22" s="151">
        <v>1389163</v>
      </c>
      <c r="ED22" s="151">
        <v>1572917</v>
      </c>
      <c r="EE22" s="151">
        <v>1513865</v>
      </c>
      <c r="EF22" s="151">
        <v>1508733</v>
      </c>
      <c r="EG22" s="151">
        <v>1414847</v>
      </c>
      <c r="EH22" s="151">
        <v>1411781</v>
      </c>
      <c r="EI22" s="151">
        <v>1424251</v>
      </c>
      <c r="EJ22" s="151">
        <v>1354705</v>
      </c>
      <c r="EK22" s="151">
        <v>1431923</v>
      </c>
      <c r="EL22" s="151">
        <v>1415762</v>
      </c>
      <c r="EM22" s="151"/>
      <c r="EN22" s="834">
        <f>SUM(EB22:EM22)</f>
        <v>15994592</v>
      </c>
      <c r="EO22" s="151">
        <v>1556645</v>
      </c>
      <c r="EP22" s="151">
        <v>1389163</v>
      </c>
      <c r="EQ22" s="151">
        <v>1572917</v>
      </c>
      <c r="ER22" s="151">
        <v>1513865</v>
      </c>
      <c r="ES22" s="151">
        <v>1508733</v>
      </c>
      <c r="ET22" s="151">
        <v>1414847</v>
      </c>
      <c r="EU22" s="151">
        <v>1411781</v>
      </c>
      <c r="EV22" s="151">
        <v>1424251</v>
      </c>
      <c r="EW22" s="151">
        <v>1354705</v>
      </c>
      <c r="EX22" s="151">
        <v>1431923</v>
      </c>
      <c r="EY22" s="151">
        <v>1415762</v>
      </c>
      <c r="EZ22" s="151"/>
      <c r="FA22" s="834">
        <f>SUM(EO22:EZ22)</f>
        <v>15994592</v>
      </c>
      <c r="FC22" s="595">
        <f>((EY22/DY22)-1)*100</f>
        <v>-8.3785585317396105</v>
      </c>
      <c r="FD22" s="596">
        <f>((FF22/FE22)-1)*100</f>
        <v>-8.3397273663409326</v>
      </c>
      <c r="FE22" s="498">
        <f>SUM(DO22:DY22)</f>
        <v>17449863</v>
      </c>
      <c r="FF22" s="597">
        <f>SUM(EO22:EY22)</f>
        <v>15994592</v>
      </c>
    </row>
    <row r="23" spans="1:163" ht="15" customHeight="1" x14ac:dyDescent="0.25">
      <c r="A23" s="159"/>
      <c r="B23" s="821"/>
      <c r="C23" s="821"/>
      <c r="D23" s="821"/>
      <c r="E23" s="821"/>
      <c r="F23" s="821"/>
      <c r="G23" s="821"/>
      <c r="H23" s="821"/>
      <c r="I23" s="821"/>
      <c r="J23" s="821"/>
      <c r="K23" s="821"/>
      <c r="L23" s="821"/>
      <c r="M23" s="821"/>
      <c r="N23" s="835"/>
      <c r="O23" s="821"/>
      <c r="P23" s="821"/>
      <c r="Q23" s="821"/>
      <c r="R23" s="821"/>
      <c r="S23" s="821"/>
      <c r="T23" s="821"/>
      <c r="U23" s="821"/>
      <c r="V23" s="821"/>
      <c r="W23" s="821"/>
      <c r="X23" s="821"/>
      <c r="Y23" s="821"/>
      <c r="Z23" s="821"/>
      <c r="AA23" s="835"/>
      <c r="AB23" s="821"/>
      <c r="AC23" s="821"/>
      <c r="AD23" s="821"/>
      <c r="AE23" s="821"/>
      <c r="AF23" s="821"/>
      <c r="AG23" s="821"/>
      <c r="AH23" s="821"/>
      <c r="AI23" s="821"/>
      <c r="AJ23" s="821"/>
      <c r="AK23" s="821"/>
      <c r="AL23" s="821"/>
      <c r="AM23" s="821"/>
      <c r="AN23" s="835"/>
      <c r="AO23" s="821"/>
      <c r="AP23" s="821"/>
      <c r="AQ23" s="821"/>
      <c r="AR23" s="821"/>
      <c r="AS23" s="821"/>
      <c r="AT23" s="821"/>
      <c r="AU23" s="821"/>
      <c r="AV23" s="821"/>
      <c r="AW23" s="821"/>
      <c r="AX23" s="821"/>
      <c r="AY23" s="821"/>
      <c r="AZ23" s="821"/>
      <c r="BA23" s="835"/>
      <c r="BB23" s="821"/>
      <c r="BC23" s="821"/>
      <c r="BD23" s="821"/>
      <c r="BE23" s="821"/>
      <c r="BF23" s="821"/>
      <c r="BG23" s="821"/>
      <c r="BH23" s="821"/>
      <c r="BI23" s="821"/>
      <c r="BJ23" s="821"/>
      <c r="BK23" s="821"/>
      <c r="BL23" s="821"/>
      <c r="BM23" s="821"/>
      <c r="BN23" s="835"/>
      <c r="BO23" s="821"/>
      <c r="BP23" s="821"/>
      <c r="BQ23" s="821"/>
      <c r="BR23" s="821"/>
      <c r="BS23" s="821"/>
      <c r="BT23" s="821"/>
      <c r="BU23" s="821"/>
      <c r="BV23" s="821"/>
      <c r="BW23" s="821"/>
      <c r="BX23" s="821"/>
      <c r="BY23" s="821"/>
      <c r="BZ23" s="821"/>
      <c r="CA23" s="835"/>
      <c r="CB23" s="821"/>
      <c r="CC23" s="821"/>
      <c r="CD23" s="821"/>
      <c r="CE23" s="821"/>
      <c r="CF23" s="821"/>
      <c r="CG23" s="821"/>
      <c r="CH23" s="821"/>
      <c r="CI23" s="821"/>
      <c r="CJ23" s="821"/>
      <c r="CK23" s="821"/>
      <c r="CL23" s="821"/>
      <c r="CM23" s="821"/>
      <c r="CN23" s="835"/>
      <c r="CO23" s="821"/>
      <c r="CP23" s="821"/>
      <c r="CQ23" s="821"/>
      <c r="CR23" s="821"/>
      <c r="CS23" s="821"/>
      <c r="CT23" s="821"/>
      <c r="CU23" s="821"/>
      <c r="CV23" s="821"/>
      <c r="CW23" s="821"/>
      <c r="CX23" s="821"/>
      <c r="CY23" s="821"/>
      <c r="CZ23" s="821"/>
      <c r="DA23" s="835"/>
      <c r="DB23" s="821"/>
      <c r="DC23" s="821"/>
      <c r="DD23" s="821"/>
      <c r="DE23" s="821"/>
      <c r="DF23" s="821"/>
      <c r="DG23" s="821"/>
      <c r="DH23" s="821"/>
      <c r="DI23" s="821"/>
      <c r="DJ23" s="821"/>
      <c r="DK23" s="821"/>
      <c r="DL23" s="821"/>
      <c r="DM23" s="821"/>
      <c r="DN23" s="835"/>
      <c r="DO23" s="821"/>
      <c r="DP23" s="821"/>
      <c r="DQ23" s="821"/>
      <c r="DR23" s="821"/>
      <c r="DS23" s="821"/>
      <c r="DT23" s="821"/>
      <c r="DU23" s="821"/>
      <c r="DV23" s="821"/>
      <c r="DW23" s="821"/>
      <c r="DX23" s="821"/>
      <c r="DY23" s="821"/>
      <c r="DZ23" s="821"/>
      <c r="EA23" s="835"/>
      <c r="EB23" s="821"/>
      <c r="EC23" s="821"/>
      <c r="ED23" s="821"/>
      <c r="EE23" s="821"/>
      <c r="EF23" s="821"/>
      <c r="EG23" s="821"/>
      <c r="EH23" s="821"/>
      <c r="EI23" s="821"/>
      <c r="EJ23" s="821"/>
      <c r="EK23" s="821"/>
      <c r="EL23" s="821"/>
      <c r="EM23" s="821"/>
      <c r="EN23" s="835"/>
      <c r="EO23" s="821"/>
      <c r="EP23" s="821"/>
      <c r="EQ23" s="821"/>
      <c r="ER23" s="821"/>
      <c r="ES23" s="821"/>
      <c r="ET23" s="821"/>
      <c r="EU23" s="821"/>
      <c r="EV23" s="821"/>
      <c r="EW23" s="821"/>
      <c r="EX23" s="821"/>
      <c r="EY23" s="821"/>
      <c r="EZ23" s="821"/>
      <c r="FA23" s="835"/>
      <c r="FC23" s="827"/>
      <c r="FD23" s="828"/>
      <c r="FE23" s="829"/>
      <c r="FF23" s="830"/>
    </row>
    <row r="24" spans="1:163" ht="15" customHeight="1" x14ac:dyDescent="0.25">
      <c r="A24" s="126" t="s">
        <v>364</v>
      </c>
      <c r="B24" s="820"/>
      <c r="C24" s="820"/>
      <c r="D24" s="820"/>
      <c r="E24" s="820"/>
      <c r="F24" s="820"/>
      <c r="G24" s="820"/>
      <c r="H24" s="820"/>
      <c r="I24" s="820"/>
      <c r="J24" s="820"/>
      <c r="K24" s="820"/>
      <c r="L24" s="820"/>
      <c r="M24" s="820"/>
      <c r="N24" s="820"/>
      <c r="O24" s="820"/>
      <c r="P24" s="820"/>
      <c r="Q24" s="820"/>
      <c r="R24" s="820"/>
      <c r="S24" s="820"/>
      <c r="T24" s="820"/>
      <c r="U24" s="820"/>
      <c r="V24" s="820"/>
      <c r="W24" s="820"/>
      <c r="X24" s="820"/>
      <c r="Y24" s="820"/>
      <c r="Z24" s="820"/>
      <c r="AA24" s="820"/>
      <c r="AB24" s="820"/>
      <c r="AC24" s="820"/>
      <c r="AD24" s="820"/>
      <c r="AE24" s="820"/>
      <c r="AF24" s="820"/>
      <c r="AG24" s="820"/>
      <c r="AH24" s="820"/>
      <c r="AI24" s="820"/>
      <c r="AJ24" s="820"/>
      <c r="AK24" s="820"/>
      <c r="AL24" s="820"/>
      <c r="AM24" s="820"/>
      <c r="AN24" s="820"/>
      <c r="AO24" s="820"/>
      <c r="AP24" s="820"/>
      <c r="AQ24" s="820"/>
      <c r="AR24" s="820"/>
      <c r="AS24" s="820"/>
      <c r="AT24" s="820"/>
      <c r="AU24" s="820"/>
      <c r="AV24" s="820"/>
      <c r="AW24" s="820"/>
      <c r="AX24" s="820"/>
      <c r="AY24" s="820"/>
      <c r="AZ24" s="820"/>
      <c r="BA24" s="820"/>
      <c r="BB24" s="820"/>
      <c r="BC24" s="820"/>
      <c r="BD24" s="820"/>
      <c r="BE24" s="820"/>
      <c r="BF24" s="820"/>
      <c r="BL24" s="820"/>
      <c r="BM24" s="820"/>
      <c r="BN24" s="820"/>
      <c r="BO24" s="820"/>
      <c r="BP24" s="820"/>
      <c r="BQ24" s="820"/>
      <c r="BR24" s="820"/>
      <c r="BS24" s="820"/>
      <c r="BT24" s="820"/>
      <c r="BU24" s="820"/>
      <c r="BV24" s="820"/>
      <c r="BW24" s="820"/>
      <c r="BX24" s="820"/>
      <c r="BY24" s="820"/>
      <c r="BZ24" s="820"/>
      <c r="CA24" s="820"/>
      <c r="CB24" s="820"/>
      <c r="CC24" s="820"/>
      <c r="CD24" s="820"/>
      <c r="CE24" s="820"/>
      <c r="CF24" s="820"/>
      <c r="CG24" s="820"/>
      <c r="CH24" s="820"/>
      <c r="CI24" s="820"/>
      <c r="CJ24" s="820"/>
      <c r="CK24" s="820"/>
      <c r="CL24" s="820"/>
      <c r="CM24" s="820"/>
      <c r="CN24" s="820"/>
      <c r="CO24" s="820"/>
      <c r="CP24" s="820"/>
      <c r="CQ24" s="820"/>
      <c r="CR24" s="820"/>
      <c r="CS24" s="820"/>
      <c r="CT24" s="820"/>
      <c r="CU24" s="820"/>
      <c r="CV24" s="820"/>
      <c r="CW24" s="820"/>
      <c r="CX24" s="820"/>
      <c r="CY24" s="820"/>
      <c r="CZ24" s="820"/>
      <c r="DA24" s="820"/>
      <c r="DB24" s="820"/>
      <c r="DC24" s="820"/>
      <c r="DD24" s="820"/>
      <c r="DE24" s="820"/>
      <c r="DF24" s="820"/>
      <c r="DG24" s="820"/>
      <c r="DH24" s="820"/>
      <c r="DI24" s="820"/>
      <c r="DJ24" s="820"/>
      <c r="DK24" s="820"/>
      <c r="DL24" s="820"/>
      <c r="DM24" s="820"/>
      <c r="DN24" s="820"/>
      <c r="DO24" s="820"/>
      <c r="DP24" s="820"/>
      <c r="DQ24" s="820"/>
      <c r="DR24" s="820"/>
      <c r="DS24" s="820"/>
      <c r="DT24" s="820"/>
      <c r="DU24" s="820"/>
      <c r="DV24" s="820"/>
      <c r="DW24" s="820"/>
      <c r="DX24" s="820"/>
      <c r="DY24" s="820"/>
      <c r="DZ24" s="820"/>
      <c r="EA24" s="820"/>
      <c r="EB24" s="820"/>
      <c r="EC24" s="820"/>
      <c r="ED24" s="820"/>
      <c r="EE24" s="820"/>
      <c r="EF24" s="820"/>
      <c r="EG24" s="820"/>
      <c r="EH24" s="820"/>
      <c r="EI24" s="820"/>
      <c r="EJ24" s="820"/>
      <c r="EK24" s="820"/>
      <c r="EL24" s="820"/>
      <c r="EM24" s="820"/>
      <c r="EN24" s="820"/>
      <c r="EO24" s="820"/>
      <c r="EP24" s="820"/>
      <c r="EQ24" s="820"/>
      <c r="ER24" s="820"/>
      <c r="ES24" s="820"/>
      <c r="ET24" s="820"/>
      <c r="EU24" s="820"/>
      <c r="EV24" s="820"/>
      <c r="EW24" s="820"/>
      <c r="EX24" s="820"/>
      <c r="EY24" s="820"/>
      <c r="EZ24" s="820"/>
      <c r="FA24" s="820"/>
      <c r="FC24" s="198"/>
    </row>
    <row r="25" spans="1:163" ht="15" customHeight="1" x14ac:dyDescent="0.25">
      <c r="A25" s="126" t="s">
        <v>246</v>
      </c>
    </row>
    <row r="27" spans="1:163" ht="15" customHeight="1" x14ac:dyDescent="0.25">
      <c r="A27" s="772" t="s">
        <v>316</v>
      </c>
    </row>
    <row r="28" spans="1:163" s="795" customFormat="1" ht="15" customHeight="1" x14ac:dyDescent="0.25">
      <c r="A28" s="210" t="s">
        <v>207</v>
      </c>
      <c r="B28" s="474">
        <v>2015</v>
      </c>
      <c r="C28" s="474"/>
      <c r="D28" s="474"/>
      <c r="E28" s="474"/>
      <c r="F28" s="474"/>
      <c r="G28" s="474"/>
      <c r="H28" s="474"/>
      <c r="I28" s="474"/>
      <c r="J28" s="474"/>
      <c r="K28" s="474"/>
      <c r="L28" s="474"/>
      <c r="M28" s="474"/>
      <c r="N28" s="758" t="s">
        <v>83</v>
      </c>
      <c r="O28" s="474">
        <v>2016</v>
      </c>
      <c r="P28" s="474"/>
      <c r="Q28" s="474"/>
      <c r="R28" s="474"/>
      <c r="S28" s="474"/>
      <c r="T28" s="474"/>
      <c r="U28" s="474"/>
      <c r="V28" s="474"/>
      <c r="W28" s="474"/>
      <c r="X28" s="474"/>
      <c r="Y28" s="474"/>
      <c r="Z28" s="474"/>
      <c r="AA28" s="758" t="s">
        <v>83</v>
      </c>
      <c r="AB28" s="474">
        <v>2017</v>
      </c>
      <c r="AC28" s="474"/>
      <c r="AD28" s="474"/>
      <c r="AE28" s="474"/>
      <c r="AF28" s="474"/>
      <c r="AG28" s="474"/>
      <c r="AH28" s="474"/>
      <c r="AI28" s="474"/>
      <c r="AJ28" s="474"/>
      <c r="AK28" s="474"/>
      <c r="AL28" s="474"/>
      <c r="AM28" s="474"/>
      <c r="AN28" s="758" t="s">
        <v>83</v>
      </c>
      <c r="AO28" s="474">
        <v>2018</v>
      </c>
      <c r="AP28" s="474"/>
      <c r="AQ28" s="474"/>
      <c r="AR28" s="474"/>
      <c r="AS28" s="474"/>
      <c r="AT28" s="474"/>
      <c r="AU28" s="474"/>
      <c r="AV28" s="474"/>
      <c r="AW28" s="474"/>
      <c r="AX28" s="474"/>
      <c r="AY28" s="474"/>
      <c r="AZ28" s="474"/>
      <c r="BA28" s="758" t="s">
        <v>83</v>
      </c>
      <c r="BB28" s="474">
        <v>2019</v>
      </c>
      <c r="BC28" s="474"/>
      <c r="BD28" s="474"/>
      <c r="BE28" s="474"/>
      <c r="BF28" s="474"/>
      <c r="BG28" s="474"/>
      <c r="BH28" s="474"/>
      <c r="BI28" s="474"/>
      <c r="BJ28" s="474"/>
      <c r="BK28" s="474"/>
      <c r="BL28" s="474"/>
      <c r="BM28" s="474"/>
      <c r="BN28" s="758" t="s">
        <v>83</v>
      </c>
      <c r="BO28" s="474">
        <v>2020</v>
      </c>
      <c r="BP28" s="474"/>
      <c r="BQ28" s="474"/>
      <c r="BR28" s="474"/>
      <c r="BS28" s="474"/>
      <c r="BT28" s="474"/>
      <c r="BU28" s="474"/>
      <c r="BV28" s="474"/>
      <c r="BW28" s="474"/>
      <c r="BX28" s="474"/>
      <c r="BY28" s="474"/>
      <c r="BZ28" s="474"/>
      <c r="CA28" s="758" t="s">
        <v>83</v>
      </c>
      <c r="CB28" s="474">
        <v>2021</v>
      </c>
      <c r="CC28" s="474"/>
      <c r="CD28" s="474"/>
      <c r="CE28" s="474"/>
      <c r="CF28" s="474"/>
      <c r="CG28" s="474"/>
      <c r="CH28" s="474"/>
      <c r="CI28" s="474"/>
      <c r="CJ28" s="474"/>
      <c r="CK28" s="474"/>
      <c r="CL28" s="474"/>
      <c r="CM28" s="474"/>
      <c r="CN28" s="758" t="s">
        <v>83</v>
      </c>
      <c r="CO28" s="474">
        <v>2022</v>
      </c>
      <c r="CP28" s="474"/>
      <c r="CQ28" s="474"/>
      <c r="CR28" s="474"/>
      <c r="CS28" s="474"/>
      <c r="CT28" s="474"/>
      <c r="CU28" s="474"/>
      <c r="CV28" s="474"/>
      <c r="CW28" s="474"/>
      <c r="CX28" s="474"/>
      <c r="CY28" s="474"/>
      <c r="CZ28" s="474"/>
      <c r="DA28" s="758" t="s">
        <v>83</v>
      </c>
      <c r="DB28" s="474">
        <v>2023</v>
      </c>
      <c r="DC28" s="474"/>
      <c r="DD28" s="474"/>
      <c r="DE28" s="474"/>
      <c r="DF28" s="474"/>
      <c r="DG28" s="474"/>
      <c r="DH28" s="474"/>
      <c r="DI28" s="474"/>
      <c r="DJ28" s="474"/>
      <c r="DK28" s="474"/>
      <c r="DL28" s="474"/>
      <c r="DM28" s="474"/>
      <c r="DN28" s="758" t="s">
        <v>83</v>
      </c>
      <c r="DO28" s="474">
        <v>2024</v>
      </c>
      <c r="DP28" s="474"/>
      <c r="DQ28" s="474"/>
      <c r="DR28" s="474"/>
      <c r="DS28" s="474"/>
      <c r="DT28" s="474"/>
      <c r="DU28" s="474"/>
      <c r="DV28" s="474"/>
      <c r="DW28" s="474"/>
      <c r="DX28" s="474"/>
      <c r="DY28" s="474"/>
      <c r="DZ28" s="474"/>
      <c r="EA28" s="758" t="s">
        <v>83</v>
      </c>
      <c r="EB28" s="474">
        <v>2025</v>
      </c>
      <c r="EC28" s="474"/>
      <c r="ED28" s="474"/>
      <c r="EE28" s="474"/>
      <c r="EF28" s="474"/>
      <c r="EG28" s="474"/>
      <c r="EH28" s="474"/>
      <c r="EI28" s="474"/>
      <c r="EJ28" s="474"/>
      <c r="EK28" s="474"/>
      <c r="EL28" s="474"/>
      <c r="EM28" s="474"/>
      <c r="EN28" s="758" t="s">
        <v>83</v>
      </c>
      <c r="EO28" s="474">
        <v>2026</v>
      </c>
      <c r="EP28" s="474"/>
      <c r="EQ28" s="474"/>
      <c r="ER28" s="474"/>
      <c r="ES28" s="474"/>
      <c r="ET28" s="474"/>
      <c r="EU28" s="474"/>
      <c r="EV28" s="474"/>
      <c r="EW28" s="474"/>
      <c r="EX28" s="474"/>
      <c r="EY28" s="474"/>
      <c r="EZ28" s="474"/>
      <c r="FA28" s="758" t="s">
        <v>83</v>
      </c>
      <c r="FB28" s="753"/>
      <c r="FC28" s="476" t="str">
        <f>CONCATENATE("Var.% ",FF28,"/",FF28-1)</f>
        <v>Var.% 2026/2025</v>
      </c>
      <c r="FD28" s="477"/>
      <c r="FE28" s="478">
        <f>FF28-1</f>
        <v>2025</v>
      </c>
      <c r="FF28" s="478">
        <f>YEAR(FC29)</f>
        <v>2026</v>
      </c>
    </row>
    <row r="29" spans="1:163" s="795" customFormat="1" ht="15" customHeight="1" x14ac:dyDescent="0.25">
      <c r="A29" s="211" t="s">
        <v>227</v>
      </c>
      <c r="B29" s="645">
        <v>42005</v>
      </c>
      <c r="C29" s="645">
        <v>42036</v>
      </c>
      <c r="D29" s="645">
        <v>42064</v>
      </c>
      <c r="E29" s="645">
        <v>42095</v>
      </c>
      <c r="F29" s="645">
        <v>42125</v>
      </c>
      <c r="G29" s="645">
        <v>42156</v>
      </c>
      <c r="H29" s="645">
        <v>42186</v>
      </c>
      <c r="I29" s="645">
        <v>42217</v>
      </c>
      <c r="J29" s="645">
        <v>42248</v>
      </c>
      <c r="K29" s="645">
        <v>42278</v>
      </c>
      <c r="L29" s="645">
        <v>42309</v>
      </c>
      <c r="M29" s="645">
        <v>42339</v>
      </c>
      <c r="N29" s="759">
        <f t="shared" ref="N29" si="59">YEAR(M29)</f>
        <v>2015</v>
      </c>
      <c r="O29" s="645">
        <v>42370</v>
      </c>
      <c r="P29" s="645">
        <v>42401</v>
      </c>
      <c r="Q29" s="645">
        <v>42430</v>
      </c>
      <c r="R29" s="645">
        <v>42461</v>
      </c>
      <c r="S29" s="645">
        <v>42491</v>
      </c>
      <c r="T29" s="645">
        <v>42522</v>
      </c>
      <c r="U29" s="645">
        <v>42552</v>
      </c>
      <c r="V29" s="645">
        <v>42583</v>
      </c>
      <c r="W29" s="645">
        <v>42614</v>
      </c>
      <c r="X29" s="645">
        <v>42644</v>
      </c>
      <c r="Y29" s="645">
        <v>42675</v>
      </c>
      <c r="Z29" s="645">
        <v>42705</v>
      </c>
      <c r="AA29" s="759">
        <f t="shared" ref="AA29" si="60">YEAR(Z29)</f>
        <v>2016</v>
      </c>
      <c r="AB29" s="645">
        <v>42736</v>
      </c>
      <c r="AC29" s="645">
        <v>42767</v>
      </c>
      <c r="AD29" s="645">
        <v>42795</v>
      </c>
      <c r="AE29" s="645">
        <v>42826</v>
      </c>
      <c r="AF29" s="645">
        <v>42856</v>
      </c>
      <c r="AG29" s="645">
        <v>42887</v>
      </c>
      <c r="AH29" s="645">
        <v>42917</v>
      </c>
      <c r="AI29" s="645">
        <v>42948</v>
      </c>
      <c r="AJ29" s="645">
        <v>42979</v>
      </c>
      <c r="AK29" s="645">
        <v>43009</v>
      </c>
      <c r="AL29" s="645">
        <v>43040</v>
      </c>
      <c r="AM29" s="645">
        <v>43070</v>
      </c>
      <c r="AN29" s="759">
        <f t="shared" ref="AN29" si="61">YEAR(AM29)</f>
        <v>2017</v>
      </c>
      <c r="AO29" s="645">
        <v>43101</v>
      </c>
      <c r="AP29" s="645">
        <v>43132</v>
      </c>
      <c r="AQ29" s="645">
        <v>43160</v>
      </c>
      <c r="AR29" s="645">
        <v>43191</v>
      </c>
      <c r="AS29" s="645">
        <v>43221</v>
      </c>
      <c r="AT29" s="645">
        <v>43252</v>
      </c>
      <c r="AU29" s="645">
        <v>43282</v>
      </c>
      <c r="AV29" s="645">
        <v>43313</v>
      </c>
      <c r="AW29" s="645">
        <v>43344</v>
      </c>
      <c r="AX29" s="645">
        <v>43374</v>
      </c>
      <c r="AY29" s="645">
        <v>43405</v>
      </c>
      <c r="AZ29" s="645">
        <v>43435</v>
      </c>
      <c r="BA29" s="759">
        <f t="shared" ref="BA29" si="62">YEAR(AZ29)</f>
        <v>2018</v>
      </c>
      <c r="BB29" s="645">
        <v>43466</v>
      </c>
      <c r="BC29" s="645">
        <v>43497</v>
      </c>
      <c r="BD29" s="645">
        <v>43525</v>
      </c>
      <c r="BE29" s="645">
        <v>43556</v>
      </c>
      <c r="BF29" s="645">
        <v>43586</v>
      </c>
      <c r="BG29" s="645">
        <v>43617</v>
      </c>
      <c r="BH29" s="645">
        <v>43647</v>
      </c>
      <c r="BI29" s="645">
        <v>43678</v>
      </c>
      <c r="BJ29" s="645">
        <v>43709</v>
      </c>
      <c r="BK29" s="645">
        <v>43739</v>
      </c>
      <c r="BL29" s="645">
        <v>43770</v>
      </c>
      <c r="BM29" s="645">
        <v>43800</v>
      </c>
      <c r="BN29" s="759">
        <f t="shared" ref="BN29" si="63">YEAR(BM29)</f>
        <v>2019</v>
      </c>
      <c r="BO29" s="645">
        <v>43831</v>
      </c>
      <c r="BP29" s="645">
        <v>43862</v>
      </c>
      <c r="BQ29" s="645">
        <v>43891</v>
      </c>
      <c r="BR29" s="645">
        <v>43922</v>
      </c>
      <c r="BS29" s="645">
        <v>43952</v>
      </c>
      <c r="BT29" s="645">
        <v>43983</v>
      </c>
      <c r="BU29" s="645">
        <v>44013</v>
      </c>
      <c r="BV29" s="645">
        <v>44044</v>
      </c>
      <c r="BW29" s="645">
        <v>44075</v>
      </c>
      <c r="BX29" s="645">
        <v>44105</v>
      </c>
      <c r="BY29" s="645">
        <v>44136</v>
      </c>
      <c r="BZ29" s="645">
        <v>44166</v>
      </c>
      <c r="CA29" s="759">
        <f t="shared" ref="CA29" si="64">YEAR(BZ29)</f>
        <v>2020</v>
      </c>
      <c r="CB29" s="645">
        <v>44197</v>
      </c>
      <c r="CC29" s="645">
        <v>44228</v>
      </c>
      <c r="CD29" s="645">
        <v>44256</v>
      </c>
      <c r="CE29" s="645">
        <v>44287</v>
      </c>
      <c r="CF29" s="645">
        <v>44317</v>
      </c>
      <c r="CG29" s="645">
        <v>44348</v>
      </c>
      <c r="CH29" s="645">
        <v>44378</v>
      </c>
      <c r="CI29" s="645">
        <v>44409</v>
      </c>
      <c r="CJ29" s="645">
        <v>44440</v>
      </c>
      <c r="CK29" s="645">
        <v>44470</v>
      </c>
      <c r="CL29" s="645">
        <v>44501</v>
      </c>
      <c r="CM29" s="645">
        <v>44531</v>
      </c>
      <c r="CN29" s="759">
        <f t="shared" ref="CN29" si="65">YEAR(CM29)</f>
        <v>2021</v>
      </c>
      <c r="CO29" s="645">
        <v>44562</v>
      </c>
      <c r="CP29" s="645">
        <v>44593</v>
      </c>
      <c r="CQ29" s="645">
        <v>44621</v>
      </c>
      <c r="CR29" s="645">
        <v>44652</v>
      </c>
      <c r="CS29" s="645">
        <v>44682</v>
      </c>
      <c r="CT29" s="645">
        <v>44713</v>
      </c>
      <c r="CU29" s="645">
        <v>44743</v>
      </c>
      <c r="CV29" s="645">
        <v>44774</v>
      </c>
      <c r="CW29" s="645">
        <v>44805</v>
      </c>
      <c r="CX29" s="645">
        <v>44835</v>
      </c>
      <c r="CY29" s="645">
        <v>44866</v>
      </c>
      <c r="CZ29" s="645">
        <v>44896</v>
      </c>
      <c r="DA29" s="759">
        <f t="shared" ref="DA29" si="66">YEAR(CZ29)</f>
        <v>2022</v>
      </c>
      <c r="DB29" s="645">
        <v>44927</v>
      </c>
      <c r="DC29" s="645">
        <v>44958</v>
      </c>
      <c r="DD29" s="645">
        <v>44986</v>
      </c>
      <c r="DE29" s="645">
        <v>45017</v>
      </c>
      <c r="DF29" s="645">
        <v>45047</v>
      </c>
      <c r="DG29" s="645">
        <v>45078</v>
      </c>
      <c r="DH29" s="645">
        <v>45108</v>
      </c>
      <c r="DI29" s="645">
        <v>45139</v>
      </c>
      <c r="DJ29" s="645">
        <v>45170</v>
      </c>
      <c r="DK29" s="645">
        <v>45200</v>
      </c>
      <c r="DL29" s="645">
        <v>45231</v>
      </c>
      <c r="DM29" s="645">
        <v>45261</v>
      </c>
      <c r="DN29" s="759">
        <f t="shared" ref="DN29" si="67">YEAR(DM29)</f>
        <v>2023</v>
      </c>
      <c r="DO29" s="645">
        <v>45292</v>
      </c>
      <c r="DP29" s="645">
        <v>45323</v>
      </c>
      <c r="DQ29" s="645">
        <v>45352</v>
      </c>
      <c r="DR29" s="645">
        <v>45383</v>
      </c>
      <c r="DS29" s="645">
        <v>45413</v>
      </c>
      <c r="DT29" s="645">
        <v>45444</v>
      </c>
      <c r="DU29" s="645">
        <v>45474</v>
      </c>
      <c r="DV29" s="645">
        <v>45505</v>
      </c>
      <c r="DW29" s="645">
        <v>45536</v>
      </c>
      <c r="DX29" s="645">
        <v>45566</v>
      </c>
      <c r="DY29" s="645">
        <v>45597</v>
      </c>
      <c r="DZ29" s="645">
        <v>45627</v>
      </c>
      <c r="EA29" s="759">
        <f t="shared" ref="EA29" si="68">YEAR(DZ29)</f>
        <v>2024</v>
      </c>
      <c r="EB29" s="645">
        <v>45658</v>
      </c>
      <c r="EC29" s="645">
        <v>45689</v>
      </c>
      <c r="ED29" s="645">
        <v>45717</v>
      </c>
      <c r="EE29" s="645">
        <v>45748</v>
      </c>
      <c r="EF29" s="645">
        <v>45778</v>
      </c>
      <c r="EG29" s="645">
        <v>45809</v>
      </c>
      <c r="EH29" s="645">
        <v>45839</v>
      </c>
      <c r="EI29" s="645">
        <v>45870</v>
      </c>
      <c r="EJ29" s="645">
        <v>45901</v>
      </c>
      <c r="EK29" s="645">
        <v>45931</v>
      </c>
      <c r="EL29" s="645">
        <v>45962</v>
      </c>
      <c r="EM29" s="645">
        <v>45992</v>
      </c>
      <c r="EN29" s="759">
        <f t="shared" ref="EN29" si="69">YEAR(EM29)</f>
        <v>2025</v>
      </c>
      <c r="EO29" s="645">
        <v>46023</v>
      </c>
      <c r="EP29" s="645">
        <v>46054</v>
      </c>
      <c r="EQ29" s="645">
        <v>46082</v>
      </c>
      <c r="ER29" s="645">
        <v>46113</v>
      </c>
      <c r="ES29" s="645">
        <v>46143</v>
      </c>
      <c r="ET29" s="645">
        <v>46174</v>
      </c>
      <c r="EU29" s="645">
        <v>46204</v>
      </c>
      <c r="EV29" s="645">
        <v>46235</v>
      </c>
      <c r="EW29" s="645">
        <v>46266</v>
      </c>
      <c r="EX29" s="645">
        <v>46296</v>
      </c>
      <c r="EY29" s="645">
        <v>46327</v>
      </c>
      <c r="EZ29" s="645">
        <v>46357</v>
      </c>
      <c r="FA29" s="759">
        <f>YEAR(EZ29)</f>
        <v>2026</v>
      </c>
      <c r="FB29" s="753"/>
      <c r="FC29" s="485">
        <f>$FC$5</f>
        <v>46327</v>
      </c>
      <c r="FD29" s="486" t="str">
        <f>CONCATENATE("Ene.-",TEXT(FC29,"MMM."))</f>
        <v>Ene.-Nov.</v>
      </c>
      <c r="FE29" s="487" t="str">
        <f>FD29</f>
        <v>Ene.-Nov.</v>
      </c>
      <c r="FF29" s="487" t="str">
        <f>FD29</f>
        <v>Ene.-Nov.</v>
      </c>
      <c r="FG29" s="831"/>
    </row>
    <row r="30" spans="1:163" ht="15" customHeight="1" x14ac:dyDescent="0.25">
      <c r="A30" s="376"/>
      <c r="B30" s="375"/>
      <c r="C30" s="375"/>
      <c r="D30" s="375"/>
      <c r="E30" s="375"/>
      <c r="F30" s="375"/>
      <c r="G30" s="375"/>
      <c r="H30" s="375"/>
      <c r="I30" s="375"/>
      <c r="J30" s="375"/>
      <c r="K30" s="375"/>
      <c r="L30" s="375"/>
      <c r="M30" s="375"/>
      <c r="N30" s="832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832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832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832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832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832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832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832"/>
      <c r="DB30" s="375"/>
      <c r="DC30" s="375"/>
      <c r="DD30" s="375"/>
      <c r="DE30" s="375"/>
      <c r="DF30" s="375"/>
      <c r="DG30" s="375"/>
      <c r="DH30" s="375"/>
      <c r="DI30" s="375"/>
      <c r="DJ30" s="375"/>
      <c r="DK30" s="375"/>
      <c r="DL30" s="375"/>
      <c r="DM30" s="375"/>
      <c r="DN30" s="832"/>
      <c r="DO30" s="375"/>
      <c r="DP30" s="375"/>
      <c r="DQ30" s="375"/>
      <c r="DR30" s="375"/>
      <c r="DS30" s="375"/>
      <c r="DT30" s="375"/>
      <c r="DU30" s="375"/>
      <c r="DV30" s="375"/>
      <c r="DW30" s="375"/>
      <c r="DX30" s="375"/>
      <c r="DY30" s="375"/>
      <c r="DZ30" s="375"/>
      <c r="EA30" s="832"/>
      <c r="EB30" s="375"/>
      <c r="EC30" s="375"/>
      <c r="ED30" s="375"/>
      <c r="EE30" s="375"/>
      <c r="EF30" s="375"/>
      <c r="EG30" s="375"/>
      <c r="EH30" s="375"/>
      <c r="EI30" s="375"/>
      <c r="EJ30" s="375"/>
      <c r="EK30" s="375"/>
      <c r="EL30" s="375"/>
      <c r="EM30" s="375"/>
      <c r="EN30" s="832"/>
      <c r="EO30" s="375"/>
      <c r="EP30" s="375"/>
      <c r="EQ30" s="375"/>
      <c r="ER30" s="375"/>
      <c r="ES30" s="375"/>
      <c r="ET30" s="375"/>
      <c r="EU30" s="375"/>
      <c r="EV30" s="375"/>
      <c r="EW30" s="375"/>
      <c r="EX30" s="375"/>
      <c r="EY30" s="375"/>
      <c r="EZ30" s="375"/>
      <c r="FA30" s="832"/>
      <c r="FC30" s="494"/>
      <c r="FD30" s="495"/>
      <c r="FE30" s="496"/>
      <c r="FF30" s="497"/>
    </row>
    <row r="31" spans="1:163" s="793" customFormat="1" ht="15" customHeight="1" x14ac:dyDescent="0.25">
      <c r="A31" s="822" t="s">
        <v>311</v>
      </c>
      <c r="B31" s="788">
        <f t="shared" ref="B31:M31" si="70">SUM(B32:B35)</f>
        <v>23391</v>
      </c>
      <c r="C31" s="788">
        <f t="shared" si="70"/>
        <v>21257</v>
      </c>
      <c r="D31" s="788">
        <f t="shared" si="70"/>
        <v>23916</v>
      </c>
      <c r="E31" s="788">
        <f t="shared" si="70"/>
        <v>23291</v>
      </c>
      <c r="F31" s="788">
        <f t="shared" si="70"/>
        <v>23942</v>
      </c>
      <c r="G31" s="788">
        <f t="shared" si="70"/>
        <v>23167</v>
      </c>
      <c r="H31" s="788">
        <f t="shared" si="70"/>
        <v>23541</v>
      </c>
      <c r="I31" s="788">
        <f t="shared" si="70"/>
        <v>25298</v>
      </c>
      <c r="J31" s="788">
        <f t="shared" si="70"/>
        <v>25414</v>
      </c>
      <c r="K31" s="788">
        <f t="shared" si="70"/>
        <v>25638</v>
      </c>
      <c r="L31" s="788">
        <f t="shared" si="70"/>
        <v>24718</v>
      </c>
      <c r="M31" s="788">
        <f t="shared" si="70"/>
        <v>24574</v>
      </c>
      <c r="N31" s="833">
        <f>SUM(B31:M31)</f>
        <v>288147</v>
      </c>
      <c r="O31" s="788">
        <f t="shared" ref="O31:Z31" si="71">SUM(O32:O35)</f>
        <v>25384</v>
      </c>
      <c r="P31" s="788">
        <f t="shared" si="71"/>
        <v>23772</v>
      </c>
      <c r="Q31" s="788">
        <f t="shared" si="71"/>
        <v>22784</v>
      </c>
      <c r="R31" s="788">
        <f t="shared" si="71"/>
        <v>23820</v>
      </c>
      <c r="S31" s="788">
        <f t="shared" si="71"/>
        <v>24581</v>
      </c>
      <c r="T31" s="788">
        <f t="shared" si="71"/>
        <v>23156</v>
      </c>
      <c r="U31" s="788">
        <f t="shared" si="71"/>
        <v>22492</v>
      </c>
      <c r="V31" s="788">
        <f t="shared" si="71"/>
        <v>24954</v>
      </c>
      <c r="W31" s="788">
        <f t="shared" si="71"/>
        <v>22463</v>
      </c>
      <c r="X31" s="788">
        <f t="shared" si="71"/>
        <v>23502</v>
      </c>
      <c r="Y31" s="788">
        <f t="shared" si="71"/>
        <v>23247</v>
      </c>
      <c r="Z31" s="788">
        <f t="shared" si="71"/>
        <v>23113</v>
      </c>
      <c r="AA31" s="833">
        <f>SUM(O31:Z31)</f>
        <v>283268</v>
      </c>
      <c r="AB31" s="788">
        <f>SUM(AB32:AB35)</f>
        <v>21654</v>
      </c>
      <c r="AC31" s="788">
        <f t="shared" ref="AC31:CP31" si="72">SUM(AC32:AC35)</f>
        <v>20207</v>
      </c>
      <c r="AD31" s="788">
        <f t="shared" si="72"/>
        <v>22155</v>
      </c>
      <c r="AE31" s="788">
        <f t="shared" si="72"/>
        <v>21415</v>
      </c>
      <c r="AF31" s="788">
        <f t="shared" si="72"/>
        <v>22572</v>
      </c>
      <c r="AG31" s="788">
        <f t="shared" si="72"/>
        <v>21437</v>
      </c>
      <c r="AH31" s="788">
        <f t="shared" si="72"/>
        <v>21744</v>
      </c>
      <c r="AI31" s="788">
        <f t="shared" si="72"/>
        <v>23646</v>
      </c>
      <c r="AJ31" s="788">
        <f t="shared" si="72"/>
        <v>22793</v>
      </c>
      <c r="AK31" s="788">
        <f t="shared" si="72"/>
        <v>24104</v>
      </c>
      <c r="AL31" s="788">
        <f t="shared" si="72"/>
        <v>22627</v>
      </c>
      <c r="AM31" s="788">
        <f t="shared" si="72"/>
        <v>23413</v>
      </c>
      <c r="AN31" s="833">
        <f>SUM(AB31:AM31)</f>
        <v>267767</v>
      </c>
      <c r="AO31" s="788">
        <f t="shared" si="72"/>
        <v>22820.586426136364</v>
      </c>
      <c r="AP31" s="788">
        <f t="shared" si="72"/>
        <v>21064.61570836409</v>
      </c>
      <c r="AQ31" s="788">
        <f t="shared" si="72"/>
        <v>23042.252247027274</v>
      </c>
      <c r="AR31" s="788">
        <f t="shared" si="72"/>
        <v>22916.04813922727</v>
      </c>
      <c r="AS31" s="788">
        <f t="shared" si="72"/>
        <v>23196.923499081822</v>
      </c>
      <c r="AT31" s="788">
        <f t="shared" si="72"/>
        <v>21907.763995618181</v>
      </c>
      <c r="AU31" s="788">
        <f t="shared" si="72"/>
        <v>22807.123488909372</v>
      </c>
      <c r="AV31" s="788">
        <f t="shared" si="72"/>
        <v>23208.63736316</v>
      </c>
      <c r="AW31" s="788">
        <f t="shared" si="72"/>
        <v>24254.15956463636</v>
      </c>
      <c r="AX31" s="788">
        <f t="shared" si="72"/>
        <v>25080.509303738181</v>
      </c>
      <c r="AY31" s="788">
        <f t="shared" si="72"/>
        <v>24229.273840000002</v>
      </c>
      <c r="AZ31" s="788">
        <f t="shared" si="72"/>
        <v>24147.501812780327</v>
      </c>
      <c r="BA31" s="833">
        <f>SUM(AO31:AZ31)</f>
        <v>278675.39538867923</v>
      </c>
      <c r="BB31" s="788">
        <f t="shared" si="72"/>
        <v>23977</v>
      </c>
      <c r="BC31" s="788">
        <f t="shared" si="72"/>
        <v>21514</v>
      </c>
      <c r="BD31" s="788">
        <f t="shared" si="72"/>
        <v>24183</v>
      </c>
      <c r="BE31" s="788">
        <f t="shared" si="72"/>
        <v>24076</v>
      </c>
      <c r="BF31" s="788">
        <f t="shared" si="72"/>
        <v>24697</v>
      </c>
      <c r="BG31" s="788">
        <f t="shared" si="72"/>
        <v>23504</v>
      </c>
      <c r="BH31" s="788">
        <f t="shared" si="72"/>
        <v>23546</v>
      </c>
      <c r="BI31" s="788">
        <f t="shared" si="72"/>
        <v>24445</v>
      </c>
      <c r="BJ31" s="788">
        <f t="shared" si="72"/>
        <v>25890</v>
      </c>
      <c r="BK31" s="788">
        <f t="shared" si="72"/>
        <v>25909</v>
      </c>
      <c r="BL31" s="788">
        <f t="shared" si="72"/>
        <v>25308</v>
      </c>
      <c r="BM31" s="788">
        <f t="shared" si="72"/>
        <v>24878.238371137279</v>
      </c>
      <c r="BN31" s="833">
        <f>SUM(BB31:BM31)</f>
        <v>291927.2383711373</v>
      </c>
      <c r="BO31" s="788">
        <f t="shared" si="72"/>
        <v>25616.930468758645</v>
      </c>
      <c r="BP31" s="788">
        <f t="shared" si="72"/>
        <v>23652.923362923881</v>
      </c>
      <c r="BQ31" s="788">
        <f t="shared" si="72"/>
        <v>22765.069108939028</v>
      </c>
      <c r="BR31" s="788">
        <f t="shared" si="72"/>
        <v>20755.926183439024</v>
      </c>
      <c r="BS31" s="788">
        <f t="shared" si="72"/>
        <v>19606.21756907977</v>
      </c>
      <c r="BT31" s="788">
        <f t="shared" si="72"/>
        <v>18243.21358506471</v>
      </c>
      <c r="BU31" s="788">
        <f t="shared" si="72"/>
        <v>22216.395247737273</v>
      </c>
      <c r="BV31" s="788">
        <f t="shared" si="72"/>
        <v>24130.536346091314</v>
      </c>
      <c r="BW31" s="788">
        <f t="shared" si="72"/>
        <v>24050.328485017424</v>
      </c>
      <c r="BX31" s="788">
        <f t="shared" si="72"/>
        <v>25773.448879254593</v>
      </c>
      <c r="BY31" s="788">
        <f t="shared" si="72"/>
        <v>25019.747226709769</v>
      </c>
      <c r="BZ31" s="788">
        <f t="shared" si="72"/>
        <v>24601.942319750004</v>
      </c>
      <c r="CA31" s="833">
        <f t="shared" si="72"/>
        <v>276432.6787827654</v>
      </c>
      <c r="CB31" s="788">
        <f t="shared" si="72"/>
        <v>25062.816206905791</v>
      </c>
      <c r="CC31" s="788">
        <f t="shared" si="72"/>
        <v>22544.83114738125</v>
      </c>
      <c r="CD31" s="788">
        <f t="shared" si="72"/>
        <v>24084.870663894395</v>
      </c>
      <c r="CE31" s="788">
        <f t="shared" si="72"/>
        <v>23223.634107972608</v>
      </c>
      <c r="CF31" s="788">
        <f t="shared" si="72"/>
        <v>24444.108801507016</v>
      </c>
      <c r="CG31" s="788">
        <f t="shared" si="72"/>
        <v>23683.977211549936</v>
      </c>
      <c r="CH31" s="788">
        <f t="shared" si="72"/>
        <v>23837.214661967944</v>
      </c>
      <c r="CI31" s="788">
        <f t="shared" si="72"/>
        <v>26051.592073651875</v>
      </c>
      <c r="CJ31" s="788">
        <f t="shared" si="72"/>
        <v>26172.720245929828</v>
      </c>
      <c r="CK31" s="788">
        <f t="shared" si="72"/>
        <v>27724.796088410931</v>
      </c>
      <c r="CL31" s="788">
        <f t="shared" si="72"/>
        <v>26199.88209414397</v>
      </c>
      <c r="CM31" s="788">
        <f t="shared" si="72"/>
        <v>26534.341397308941</v>
      </c>
      <c r="CN31" s="833">
        <f>SUM(CB31:CM31)</f>
        <v>299564.78470062447</v>
      </c>
      <c r="CO31" s="788">
        <f t="shared" si="72"/>
        <v>26647.459198572731</v>
      </c>
      <c r="CP31" s="788">
        <f t="shared" si="72"/>
        <v>22768.381174310343</v>
      </c>
      <c r="CQ31" s="788">
        <f t="shared" ref="CQ31:CZ31" si="73">SUM(CQ32:CQ35)</f>
        <v>25951.562870531285</v>
      </c>
      <c r="CR31" s="788">
        <f t="shared" si="73"/>
        <v>24941.88709916452</v>
      </c>
      <c r="CS31" s="788">
        <f t="shared" si="73"/>
        <v>25901.859273923015</v>
      </c>
      <c r="CT31" s="788">
        <f t="shared" si="73"/>
        <v>24669.578182302237</v>
      </c>
      <c r="CU31" s="788">
        <f t="shared" si="73"/>
        <v>26915.415056542672</v>
      </c>
      <c r="CV31" s="788">
        <f t="shared" si="73"/>
        <v>26825.865170957062</v>
      </c>
      <c r="CW31" s="788">
        <f t="shared" si="73"/>
        <v>28270.744658530675</v>
      </c>
      <c r="CX31" s="788">
        <f t="shared" si="73"/>
        <v>28823.22860303372</v>
      </c>
      <c r="CY31" s="788">
        <f t="shared" si="73"/>
        <v>26965.95635972848</v>
      </c>
      <c r="CZ31" s="788">
        <f t="shared" si="73"/>
        <v>28003.37376560062</v>
      </c>
      <c r="DA31" s="833">
        <f>SUM(CO31:CZ31)</f>
        <v>316685.31141319737</v>
      </c>
      <c r="DB31" s="788">
        <f t="shared" ref="DB31:EZ31" si="74">SUM(DB32:DB35)</f>
        <v>26957.22993940071</v>
      </c>
      <c r="DC31" s="788">
        <f t="shared" si="74"/>
        <v>24100.351598471712</v>
      </c>
      <c r="DD31" s="788">
        <f t="shared" si="74"/>
        <v>26478.350543283221</v>
      </c>
      <c r="DE31" s="788">
        <f t="shared" si="74"/>
        <v>25946.150453787319</v>
      </c>
      <c r="DF31" s="788">
        <f t="shared" si="74"/>
        <v>27946.198294124602</v>
      </c>
      <c r="DG31" s="788">
        <f t="shared" si="74"/>
        <v>25847.679947733293</v>
      </c>
      <c r="DH31" s="788">
        <f t="shared" si="74"/>
        <v>27602.21260801511</v>
      </c>
      <c r="DI31" s="788">
        <f t="shared" si="74"/>
        <v>29398.221301222526</v>
      </c>
      <c r="DJ31" s="788">
        <f t="shared" si="74"/>
        <v>29222.134146415076</v>
      </c>
      <c r="DK31" s="788">
        <f t="shared" si="74"/>
        <v>30472.400100051153</v>
      </c>
      <c r="DL31" s="788">
        <f t="shared" si="74"/>
        <v>28959.286722207034</v>
      </c>
      <c r="DM31" s="788">
        <f t="shared" si="74"/>
        <v>28962.877684640018</v>
      </c>
      <c r="DN31" s="833">
        <f>SUM(DB31:DM31)</f>
        <v>331893.09333935176</v>
      </c>
      <c r="DO31" s="788">
        <f t="shared" si="74"/>
        <v>28482.176101022818</v>
      </c>
      <c r="DP31" s="788">
        <f t="shared" si="74"/>
        <v>26575.761521695655</v>
      </c>
      <c r="DQ31" s="788">
        <f t="shared" si="74"/>
        <v>28459.59592432317</v>
      </c>
      <c r="DR31" s="788">
        <f t="shared" si="74"/>
        <v>28926.252580061464</v>
      </c>
      <c r="DS31" s="788">
        <f t="shared" si="74"/>
        <v>28164.061104783348</v>
      </c>
      <c r="DT31" s="788">
        <f t="shared" si="74"/>
        <v>27676.700101157068</v>
      </c>
      <c r="DU31" s="788">
        <f t="shared" si="74"/>
        <v>28182.383110223185</v>
      </c>
      <c r="DV31" s="788">
        <f t="shared" si="74"/>
        <v>30099.993750223188</v>
      </c>
      <c r="DW31" s="788">
        <f t="shared" si="74"/>
        <v>31327.144555327708</v>
      </c>
      <c r="DX31" s="788">
        <f t="shared" si="74"/>
        <v>32108.326766213944</v>
      </c>
      <c r="DY31" s="788">
        <f t="shared" si="74"/>
        <v>29185.047574872486</v>
      </c>
      <c r="DZ31" s="788">
        <f t="shared" si="74"/>
        <v>29470.881503169348</v>
      </c>
      <c r="EA31" s="833">
        <f>SUM(DO31:DZ31)</f>
        <v>348658.32459307346</v>
      </c>
      <c r="EB31" s="788">
        <f t="shared" ref="EB31:EM31" si="75">SUM(EB32:EB35)</f>
        <v>29657.639665497285</v>
      </c>
      <c r="EC31" s="788">
        <f t="shared" si="75"/>
        <v>26450.751612114022</v>
      </c>
      <c r="ED31" s="788">
        <f t="shared" si="75"/>
        <v>28747.764605955887</v>
      </c>
      <c r="EE31" s="788">
        <f t="shared" si="75"/>
        <v>29030.948927559042</v>
      </c>
      <c r="EF31" s="788">
        <f t="shared" si="75"/>
        <v>29758.968384479518</v>
      </c>
      <c r="EG31" s="788">
        <f t="shared" si="75"/>
        <v>27826.113818243055</v>
      </c>
      <c r="EH31" s="788">
        <f t="shared" si="75"/>
        <v>28662.243472099213</v>
      </c>
      <c r="EI31" s="788">
        <f t="shared" si="75"/>
        <v>30638.096476334158</v>
      </c>
      <c r="EJ31" s="788">
        <f t="shared" si="75"/>
        <v>30583.312239007879</v>
      </c>
      <c r="EK31" s="788">
        <f t="shared" si="75"/>
        <v>31841.461846200775</v>
      </c>
      <c r="EL31" s="788">
        <f t="shared" si="75"/>
        <v>31093.831141693179</v>
      </c>
      <c r="EM31" s="788">
        <f t="shared" si="75"/>
        <v>31609.111533512172</v>
      </c>
      <c r="EN31" s="833">
        <f>SUM(EB31:EM31)</f>
        <v>355900.24372269615</v>
      </c>
      <c r="EO31" s="788">
        <f t="shared" si="74"/>
        <v>29657.639665497285</v>
      </c>
      <c r="EP31" s="788">
        <f t="shared" si="74"/>
        <v>26450.751612114022</v>
      </c>
      <c r="EQ31" s="788">
        <f t="shared" si="74"/>
        <v>28747.764605955887</v>
      </c>
      <c r="ER31" s="788">
        <f t="shared" si="74"/>
        <v>29030.948927559042</v>
      </c>
      <c r="ES31" s="788">
        <f t="shared" si="74"/>
        <v>29758.968384479518</v>
      </c>
      <c r="ET31" s="788">
        <f t="shared" si="74"/>
        <v>27826.113818243055</v>
      </c>
      <c r="EU31" s="788">
        <f t="shared" si="74"/>
        <v>28662.243472099213</v>
      </c>
      <c r="EV31" s="788">
        <f t="shared" si="74"/>
        <v>30638.096476334158</v>
      </c>
      <c r="EW31" s="788">
        <f t="shared" si="74"/>
        <v>30583.312239007879</v>
      </c>
      <c r="EX31" s="788">
        <f t="shared" si="74"/>
        <v>31841.461846200775</v>
      </c>
      <c r="EY31" s="788">
        <f t="shared" si="74"/>
        <v>31093.831141693179</v>
      </c>
      <c r="EZ31" s="788">
        <f t="shared" si="74"/>
        <v>31609.111533512172</v>
      </c>
      <c r="FA31" s="833">
        <f>SUM(EO31:EZ31)</f>
        <v>355900.24372269615</v>
      </c>
      <c r="FB31" s="757"/>
      <c r="FC31" s="544">
        <f t="shared" ref="FC31:FC35" si="76">((EY31/DY31)-1)*100</f>
        <v>6.5402790998501104</v>
      </c>
      <c r="FD31" s="545">
        <f t="shared" ref="FD31:FD35" si="77">((FF31/FE31)-1)*100</f>
        <v>1.5989629948701678</v>
      </c>
      <c r="FE31" s="546">
        <f t="shared" ref="FE31:FE35" si="78">SUM(DO31:DY31)</f>
        <v>319187.44308990409</v>
      </c>
      <c r="FF31" s="547">
        <f t="shared" ref="FF31:FF35" si="79">SUM(EO31:EY31)</f>
        <v>324291.13218918396</v>
      </c>
    </row>
    <row r="32" spans="1:163" ht="15" customHeight="1" x14ac:dyDescent="0.25">
      <c r="A32" s="138" t="s">
        <v>312</v>
      </c>
      <c r="B32" s="151">
        <v>11287</v>
      </c>
      <c r="C32" s="151">
        <v>10252</v>
      </c>
      <c r="D32" s="151">
        <v>11526</v>
      </c>
      <c r="E32" s="151">
        <v>11148</v>
      </c>
      <c r="F32" s="151">
        <v>11471</v>
      </c>
      <c r="G32" s="151">
        <v>11049</v>
      </c>
      <c r="H32" s="151">
        <v>10976</v>
      </c>
      <c r="I32" s="151">
        <v>11746</v>
      </c>
      <c r="J32" s="151">
        <v>12015</v>
      </c>
      <c r="K32" s="151">
        <v>12224</v>
      </c>
      <c r="L32" s="151">
        <v>11573</v>
      </c>
      <c r="M32" s="151">
        <v>11474</v>
      </c>
      <c r="N32" s="834">
        <f>SUM(B32:M32)</f>
        <v>136741</v>
      </c>
      <c r="O32" s="151">
        <v>11781</v>
      </c>
      <c r="P32" s="151">
        <v>11066</v>
      </c>
      <c r="Q32" s="151">
        <v>10485</v>
      </c>
      <c r="R32" s="151">
        <v>11190</v>
      </c>
      <c r="S32" s="151">
        <v>11469</v>
      </c>
      <c r="T32" s="151">
        <v>10707</v>
      </c>
      <c r="U32" s="151">
        <v>10043</v>
      </c>
      <c r="V32" s="151">
        <v>11500</v>
      </c>
      <c r="W32" s="151">
        <v>9599</v>
      </c>
      <c r="X32" s="151">
        <v>9916</v>
      </c>
      <c r="Y32" s="151">
        <v>9704</v>
      </c>
      <c r="Z32" s="151">
        <v>9512</v>
      </c>
      <c r="AA32" s="834">
        <f>SUM(O32:Z32)</f>
        <v>126972</v>
      </c>
      <c r="AB32" s="151">
        <v>8722</v>
      </c>
      <c r="AC32" s="151">
        <v>8105</v>
      </c>
      <c r="AD32" s="151">
        <v>8339</v>
      </c>
      <c r="AE32" s="151">
        <v>7891</v>
      </c>
      <c r="AF32" s="151">
        <v>8561</v>
      </c>
      <c r="AG32" s="151">
        <v>8085</v>
      </c>
      <c r="AH32" s="151">
        <v>7866</v>
      </c>
      <c r="AI32" s="151">
        <v>8720</v>
      </c>
      <c r="AJ32" s="151">
        <v>11234</v>
      </c>
      <c r="AK32" s="151">
        <v>9010</v>
      </c>
      <c r="AL32" s="151">
        <v>8534</v>
      </c>
      <c r="AM32" s="151">
        <v>8523</v>
      </c>
      <c r="AN32" s="834">
        <f>SUM(AB32:AM32)</f>
        <v>103590</v>
      </c>
      <c r="AO32" s="151">
        <v>8296.4687699999995</v>
      </c>
      <c r="AP32" s="151">
        <v>7588.982680000001</v>
      </c>
      <c r="AQ32" s="151">
        <v>8249.7047300000013</v>
      </c>
      <c r="AR32" s="151">
        <v>8313.1470899999986</v>
      </c>
      <c r="AS32" s="151">
        <v>8374.0473000000002</v>
      </c>
      <c r="AT32" s="151">
        <v>7784.2784800000009</v>
      </c>
      <c r="AU32" s="151">
        <v>7869.70802</v>
      </c>
      <c r="AV32" s="151">
        <v>8471</v>
      </c>
      <c r="AW32" s="151">
        <v>8632</v>
      </c>
      <c r="AX32" s="151">
        <v>9072</v>
      </c>
      <c r="AY32" s="151">
        <v>8980.3348399999995</v>
      </c>
      <c r="AZ32" s="151">
        <v>8706.7599768181808</v>
      </c>
      <c r="BA32" s="834">
        <f>SUM(AO32:AZ32)</f>
        <v>100338.43188681819</v>
      </c>
      <c r="BB32" s="151">
        <v>8717</v>
      </c>
      <c r="BC32" s="151">
        <v>7821</v>
      </c>
      <c r="BD32" s="151">
        <v>8792</v>
      </c>
      <c r="BE32" s="151">
        <v>8753</v>
      </c>
      <c r="BF32" s="151">
        <v>8708</v>
      </c>
      <c r="BG32" s="151">
        <v>7884</v>
      </c>
      <c r="BH32" s="151">
        <v>8106</v>
      </c>
      <c r="BI32" s="151">
        <v>8714</v>
      </c>
      <c r="BJ32" s="151">
        <v>8993</v>
      </c>
      <c r="BK32" s="151">
        <v>9527</v>
      </c>
      <c r="BL32" s="151">
        <v>9135</v>
      </c>
      <c r="BM32" s="151">
        <v>8583.3727111372791</v>
      </c>
      <c r="BN32" s="834">
        <f>SUM(BB32:BM32)</f>
        <v>103733.37271113729</v>
      </c>
      <c r="BO32" s="151">
        <v>8920.3408087586449</v>
      </c>
      <c r="BP32" s="151">
        <v>8077.9206004848538</v>
      </c>
      <c r="BQ32" s="151">
        <v>6819.2403464999998</v>
      </c>
      <c r="BR32" s="151">
        <v>4704.2594209999988</v>
      </c>
      <c r="BS32" s="151">
        <v>4882.3395466407483</v>
      </c>
      <c r="BT32" s="151">
        <v>5922.7315626256868</v>
      </c>
      <c r="BU32" s="151">
        <v>7047.3882252982457</v>
      </c>
      <c r="BV32" s="151">
        <v>7758.4673236522895</v>
      </c>
      <c r="BW32" s="151">
        <v>7771.4695650174217</v>
      </c>
      <c r="BX32" s="151">
        <v>8170.0139592545929</v>
      </c>
      <c r="BY32" s="151">
        <v>7760.0259267097681</v>
      </c>
      <c r="BZ32" s="151">
        <v>7762.8480197500012</v>
      </c>
      <c r="CA32" s="834">
        <f>SUM(BO32:BZ32)</f>
        <v>85597.045305692256</v>
      </c>
      <c r="CB32" s="151">
        <v>7719.4369069057911</v>
      </c>
      <c r="CC32" s="151">
        <v>7049.8198473812499</v>
      </c>
      <c r="CD32" s="151">
        <v>7629.2723638943971</v>
      </c>
      <c r="CE32" s="151">
        <v>7158.8490079726062</v>
      </c>
      <c r="CF32" s="151">
        <v>7651.7037015070173</v>
      </c>
      <c r="CG32" s="151">
        <v>7252.1101115499359</v>
      </c>
      <c r="CH32" s="151">
        <v>7377.8415619679445</v>
      </c>
      <c r="CI32" s="151">
        <v>7956.2885736518729</v>
      </c>
      <c r="CJ32" s="151">
        <v>8163.2541159298298</v>
      </c>
      <c r="CK32" s="151">
        <v>8571.2009884109302</v>
      </c>
      <c r="CL32" s="151">
        <v>8281.6709941439749</v>
      </c>
      <c r="CM32" s="151">
        <v>8314.6632973089436</v>
      </c>
      <c r="CN32" s="834">
        <f>SUM(CB32:CM32)</f>
        <v>93126.111470624499</v>
      </c>
      <c r="CO32" s="151">
        <v>8260.8423585727305</v>
      </c>
      <c r="CP32" s="151">
        <v>7265.047334310344</v>
      </c>
      <c r="CQ32" s="151">
        <v>8254.0770305312835</v>
      </c>
      <c r="CR32" s="151">
        <v>7700.3999991645205</v>
      </c>
      <c r="CS32" s="151">
        <v>8305.2297939230139</v>
      </c>
      <c r="CT32" s="151">
        <v>7865.4867023022362</v>
      </c>
      <c r="CU32" s="151">
        <v>8329.7845765426719</v>
      </c>
      <c r="CV32" s="151">
        <v>8757.3665109570647</v>
      </c>
      <c r="CW32" s="151">
        <v>9453.0389985306756</v>
      </c>
      <c r="CX32" s="151">
        <v>9819.030543033723</v>
      </c>
      <c r="CY32" s="151">
        <v>8993.009299728481</v>
      </c>
      <c r="CZ32" s="151">
        <v>9137.9599656006194</v>
      </c>
      <c r="DA32" s="834">
        <f>SUM(CO32:CZ32)</f>
        <v>102141.27311319736</v>
      </c>
      <c r="DB32" s="151">
        <v>8925.9311394007109</v>
      </c>
      <c r="DC32" s="151">
        <v>7944.5107984717142</v>
      </c>
      <c r="DD32" s="151">
        <v>8761.8967432832196</v>
      </c>
      <c r="DE32" s="151">
        <v>8429.623653787321</v>
      </c>
      <c r="DF32" s="151">
        <v>9224.5717941246021</v>
      </c>
      <c r="DG32" s="151">
        <v>8595.7094477332921</v>
      </c>
      <c r="DH32" s="151">
        <v>8628.2561080151081</v>
      </c>
      <c r="DI32" s="151">
        <v>9453.2198012225235</v>
      </c>
      <c r="DJ32" s="151">
        <v>9056.3826464150734</v>
      </c>
      <c r="DK32" s="151">
        <v>9731.8156000511517</v>
      </c>
      <c r="DL32" s="151">
        <v>9597.544662207034</v>
      </c>
      <c r="DM32" s="151">
        <v>9426.8727246400194</v>
      </c>
      <c r="DN32" s="834">
        <f>SUM(DB32:DM32)</f>
        <v>107776.33511935177</v>
      </c>
      <c r="DO32" s="151">
        <v>8899.9954410228183</v>
      </c>
      <c r="DP32" s="151">
        <v>8389.295861695653</v>
      </c>
      <c r="DQ32" s="151">
        <v>8686.2954043231694</v>
      </c>
      <c r="DR32" s="151">
        <v>9066.6890600614679</v>
      </c>
      <c r="DS32" s="151">
        <v>8797.8255847833498</v>
      </c>
      <c r="DT32" s="151">
        <v>8633.4078811570671</v>
      </c>
      <c r="DU32" s="151">
        <v>8866.5968902231871</v>
      </c>
      <c r="DV32" s="151">
        <v>9479.0755302231846</v>
      </c>
      <c r="DW32" s="151">
        <v>9763.3070353277108</v>
      </c>
      <c r="DX32" s="151">
        <v>10233.688826213944</v>
      </c>
      <c r="DY32" s="151">
        <v>9069.153634872484</v>
      </c>
      <c r="DZ32" s="151">
        <v>8835.684443169348</v>
      </c>
      <c r="EA32" s="834">
        <f>SUM(DO32:DZ32)</f>
        <v>108721.01559307337</v>
      </c>
      <c r="EB32" s="151">
        <v>9008.4816054972853</v>
      </c>
      <c r="EC32" s="151">
        <v>8063.6877521140204</v>
      </c>
      <c r="ED32" s="151">
        <v>8812.1243459558882</v>
      </c>
      <c r="EE32" s="151">
        <v>8965.7930675590378</v>
      </c>
      <c r="EF32" s="151">
        <v>9042.8475244795191</v>
      </c>
      <c r="EG32" s="151">
        <v>8387.3333182430524</v>
      </c>
      <c r="EH32" s="151">
        <v>8648.9259720992122</v>
      </c>
      <c r="EI32" s="151">
        <v>9338.3879763341611</v>
      </c>
      <c r="EJ32" s="151">
        <v>9531.2427390078756</v>
      </c>
      <c r="EK32" s="151">
        <v>9873.4993462007751</v>
      </c>
      <c r="EL32" s="151">
        <v>9619.2138016931749</v>
      </c>
      <c r="EM32" s="151">
        <v>9544.6151935121707</v>
      </c>
      <c r="EN32" s="834">
        <f>SUM(EB32:EM32)</f>
        <v>108836.15264269616</v>
      </c>
      <c r="EO32" s="151">
        <v>9008.4816054972853</v>
      </c>
      <c r="EP32" s="151">
        <v>8063.6877521140204</v>
      </c>
      <c r="EQ32" s="151">
        <v>8812.1243459558882</v>
      </c>
      <c r="ER32" s="151">
        <v>8965.7930675590378</v>
      </c>
      <c r="ES32" s="151">
        <v>9042.8475244795191</v>
      </c>
      <c r="ET32" s="151">
        <v>8387.3333182430524</v>
      </c>
      <c r="EU32" s="151">
        <v>8648.9259720992122</v>
      </c>
      <c r="EV32" s="151">
        <v>9338.3879763341611</v>
      </c>
      <c r="EW32" s="151">
        <v>9531.2427390078756</v>
      </c>
      <c r="EX32" s="151">
        <v>9873.4993462007751</v>
      </c>
      <c r="EY32" s="151">
        <v>9619.2138016931749</v>
      </c>
      <c r="EZ32" s="151">
        <v>9544.6151935121707</v>
      </c>
      <c r="FA32" s="834">
        <f>SUM(EO32:EZ32)</f>
        <v>108836.15264269616</v>
      </c>
      <c r="FC32" s="595">
        <f t="shared" si="76"/>
        <v>6.0651764096884664</v>
      </c>
      <c r="FD32" s="596">
        <f t="shared" si="77"/>
        <v>-0.59447537880101819</v>
      </c>
      <c r="FE32" s="498">
        <f t="shared" si="78"/>
        <v>99885.331149904028</v>
      </c>
      <c r="FF32" s="597">
        <f t="shared" si="79"/>
        <v>99291.53744918399</v>
      </c>
    </row>
    <row r="33" spans="1:163" ht="15" customHeight="1" x14ac:dyDescent="0.25">
      <c r="A33" s="138" t="s">
        <v>313</v>
      </c>
      <c r="B33" s="151">
        <v>3651</v>
      </c>
      <c r="C33" s="151">
        <v>3438</v>
      </c>
      <c r="D33" s="151">
        <v>3929</v>
      </c>
      <c r="E33" s="151">
        <v>7680</v>
      </c>
      <c r="F33" s="151">
        <v>3913</v>
      </c>
      <c r="G33" s="151">
        <v>3756</v>
      </c>
      <c r="H33" s="151">
        <v>3925</v>
      </c>
      <c r="I33" s="151">
        <v>4185</v>
      </c>
      <c r="J33" s="151">
        <v>4193</v>
      </c>
      <c r="K33" s="151">
        <v>4199</v>
      </c>
      <c r="L33" s="151">
        <v>4075</v>
      </c>
      <c r="M33" s="151">
        <v>4052</v>
      </c>
      <c r="N33" s="834">
        <f>SUM(B33:M33)</f>
        <v>50996</v>
      </c>
      <c r="O33" s="151">
        <v>4180</v>
      </c>
      <c r="P33" s="151">
        <v>3946</v>
      </c>
      <c r="Q33" s="151">
        <v>3499</v>
      </c>
      <c r="R33" s="151">
        <v>3908</v>
      </c>
      <c r="S33" s="151">
        <v>4051</v>
      </c>
      <c r="T33" s="151">
        <v>3771</v>
      </c>
      <c r="U33" s="151">
        <v>3771</v>
      </c>
      <c r="V33" s="151">
        <v>4099</v>
      </c>
      <c r="W33" s="151">
        <v>3908</v>
      </c>
      <c r="X33" s="151">
        <v>4146</v>
      </c>
      <c r="Y33" s="151">
        <v>4126</v>
      </c>
      <c r="Z33" s="151">
        <v>4085</v>
      </c>
      <c r="AA33" s="834">
        <f>SUM(O33:Z33)</f>
        <v>47490</v>
      </c>
      <c r="AB33" s="151">
        <v>3766</v>
      </c>
      <c r="AC33" s="151">
        <v>3594</v>
      </c>
      <c r="AD33" s="151">
        <v>4060</v>
      </c>
      <c r="AE33" s="151">
        <v>3991</v>
      </c>
      <c r="AF33" s="151">
        <v>4163</v>
      </c>
      <c r="AG33" s="151">
        <v>3941</v>
      </c>
      <c r="AH33" s="151">
        <v>4073</v>
      </c>
      <c r="AI33" s="151">
        <v>4384</v>
      </c>
      <c r="AJ33" s="151">
        <v>849</v>
      </c>
      <c r="AK33" s="151">
        <v>4589</v>
      </c>
      <c r="AL33" s="151">
        <v>4332</v>
      </c>
      <c r="AM33" s="151">
        <v>4555</v>
      </c>
      <c r="AN33" s="834">
        <f>SUM(AB33:AM33)</f>
        <v>46297</v>
      </c>
      <c r="AO33" s="151">
        <v>4435.2026561363655</v>
      </c>
      <c r="AP33" s="151">
        <v>4199.6130283640905</v>
      </c>
      <c r="AQ33" s="151">
        <v>4592.4465170272751</v>
      </c>
      <c r="AR33" s="151">
        <v>4559.6220492272714</v>
      </c>
      <c r="AS33" s="151">
        <v>4611.2721990818209</v>
      </c>
      <c r="AT33" s="151">
        <v>4428.9275156181793</v>
      </c>
      <c r="AU33" s="151">
        <v>4724.3234689093715</v>
      </c>
      <c r="AV33" s="151">
        <v>4632</v>
      </c>
      <c r="AW33" s="151">
        <v>4997</v>
      </c>
      <c r="AX33" s="151">
        <v>5154.5093037381812</v>
      </c>
      <c r="AY33" s="151">
        <v>4881.4669999999996</v>
      </c>
      <c r="AZ33" s="151">
        <v>4887.3159999999998</v>
      </c>
      <c r="BA33" s="834">
        <f>SUM(AO33:AZ33)</f>
        <v>56103.69973810255</v>
      </c>
      <c r="BB33" s="151">
        <v>4660</v>
      </c>
      <c r="BC33" s="151">
        <v>4181</v>
      </c>
      <c r="BD33" s="151">
        <v>4700</v>
      </c>
      <c r="BE33" s="151">
        <v>4679</v>
      </c>
      <c r="BF33" s="151">
        <v>5122</v>
      </c>
      <c r="BG33" s="151">
        <v>4984</v>
      </c>
      <c r="BH33" s="151">
        <v>4860</v>
      </c>
      <c r="BI33" s="151">
        <v>4981</v>
      </c>
      <c r="BJ33" s="151">
        <v>5393</v>
      </c>
      <c r="BK33" s="151">
        <v>5216</v>
      </c>
      <c r="BL33" s="151">
        <v>5198</v>
      </c>
      <c r="BM33" s="151">
        <v>5136.1169199999995</v>
      </c>
      <c r="BN33" s="834">
        <f>SUM(BB33:BM33)</f>
        <v>59110.11692</v>
      </c>
      <c r="BO33" s="151">
        <v>5269.5499199999995</v>
      </c>
      <c r="BP33" s="151">
        <v>4967.7439199999999</v>
      </c>
      <c r="BQ33" s="151">
        <v>5009.64192</v>
      </c>
      <c r="BR33" s="151">
        <v>4930.9129199999998</v>
      </c>
      <c r="BS33" s="151">
        <v>3679.1879199999998</v>
      </c>
      <c r="BT33" s="151">
        <v>3716.7319199999997</v>
      </c>
      <c r="BU33" s="151">
        <v>4113.3939199999995</v>
      </c>
      <c r="BV33" s="151">
        <v>4488.6159200000002</v>
      </c>
      <c r="BW33" s="151">
        <v>4497.7729200000003</v>
      </c>
      <c r="BX33" s="151">
        <v>4976.4309199999998</v>
      </c>
      <c r="BY33" s="151">
        <v>4906.6392999999998</v>
      </c>
      <c r="BZ33" s="151">
        <v>4794.1003000000001</v>
      </c>
      <c r="CA33" s="834">
        <f>SUM(BO33:BZ33)</f>
        <v>55350.721799999999</v>
      </c>
      <c r="CB33" s="151">
        <v>4922.7512999999999</v>
      </c>
      <c r="CC33" s="151">
        <v>4408.5322999999999</v>
      </c>
      <c r="CD33" s="151">
        <v>4666.7442999999994</v>
      </c>
      <c r="CE33" s="151">
        <v>4457.6300999999994</v>
      </c>
      <c r="CF33" s="151">
        <v>4715.9630999999999</v>
      </c>
      <c r="CG33" s="151">
        <v>4629.8550999999998</v>
      </c>
      <c r="CH33" s="151">
        <v>4667.8240999999998</v>
      </c>
      <c r="CI33" s="151">
        <v>5232.3960999999999</v>
      </c>
      <c r="CJ33" s="151">
        <v>5275.9771000000001</v>
      </c>
      <c r="CK33" s="151">
        <v>5662.8921</v>
      </c>
      <c r="CL33" s="151">
        <v>5312.4250999999995</v>
      </c>
      <c r="CM33" s="151">
        <v>5415.0300999999999</v>
      </c>
      <c r="CN33" s="834">
        <f>SUM(CB33:CM33)</f>
        <v>59368.020799999984</v>
      </c>
      <c r="CO33" s="151">
        <v>5357.4620000000004</v>
      </c>
      <c r="CP33" s="151">
        <v>4596.433</v>
      </c>
      <c r="CQ33" s="151">
        <v>5288.1390000000001</v>
      </c>
      <c r="CR33" s="151">
        <v>5130.4110999999994</v>
      </c>
      <c r="CS33" s="151">
        <v>5336.1604800000005</v>
      </c>
      <c r="CT33" s="151">
        <v>5123.6024800000005</v>
      </c>
      <c r="CU33" s="151">
        <v>5664.3604800000003</v>
      </c>
      <c r="CV33" s="151">
        <v>5484.3086600000006</v>
      </c>
      <c r="CW33" s="151">
        <v>5782.6776600000003</v>
      </c>
      <c r="CX33" s="151">
        <v>5827.2920599999998</v>
      </c>
      <c r="CY33" s="151">
        <v>5533.5420599999998</v>
      </c>
      <c r="CZ33" s="151">
        <v>5746.06106</v>
      </c>
      <c r="DA33" s="834">
        <f>SUM(CO33:CZ33)</f>
        <v>64870.450040000003</v>
      </c>
      <c r="DB33" s="151">
        <v>5400.0760599999994</v>
      </c>
      <c r="DC33" s="151">
        <v>4937.1990599999999</v>
      </c>
      <c r="DD33" s="151">
        <v>5482.8230599999997</v>
      </c>
      <c r="DE33" s="151">
        <v>5446.5720599999995</v>
      </c>
      <c r="DF33" s="151">
        <v>5836.4147599999997</v>
      </c>
      <c r="DG33" s="151">
        <v>5382.6817599999995</v>
      </c>
      <c r="DH33" s="151">
        <v>5963.7177599999995</v>
      </c>
      <c r="DI33" s="151">
        <v>6296.83176</v>
      </c>
      <c r="DJ33" s="151">
        <v>6343.12176</v>
      </c>
      <c r="DK33" s="151">
        <v>6536.5887599999996</v>
      </c>
      <c r="DL33" s="151">
        <v>6126.58374</v>
      </c>
      <c r="DM33" s="151">
        <v>6110.0016399999995</v>
      </c>
      <c r="DN33" s="834">
        <f>SUM(DB33:DM33)</f>
        <v>69862.612179999996</v>
      </c>
      <c r="DO33" s="151">
        <v>6084.54234</v>
      </c>
      <c r="DP33" s="151">
        <v>5738.7053399999995</v>
      </c>
      <c r="DQ33" s="151">
        <v>6291.7232000000004</v>
      </c>
      <c r="DR33" s="151">
        <v>6352.3292000000001</v>
      </c>
      <c r="DS33" s="151">
        <v>6103.5032000000001</v>
      </c>
      <c r="DT33" s="151">
        <v>5907.4259000000002</v>
      </c>
      <c r="DU33" s="151">
        <v>6069.0409</v>
      </c>
      <c r="DV33" s="151">
        <v>6528.5329000000002</v>
      </c>
      <c r="DW33" s="151">
        <v>6849.8072000000002</v>
      </c>
      <c r="DX33" s="151">
        <v>6950.2556199999999</v>
      </c>
      <c r="DY33" s="151">
        <v>6416.1626200000001</v>
      </c>
      <c r="DZ33" s="151">
        <v>6528.8187400000006</v>
      </c>
      <c r="EA33" s="834">
        <f>SUM(DO33:DZ33)</f>
        <v>75820.847160000005</v>
      </c>
      <c r="EB33" s="151">
        <v>6528.9017400000002</v>
      </c>
      <c r="EC33" s="151">
        <v>5824.9695400000001</v>
      </c>
      <c r="ED33" s="151">
        <v>6353.1049400000002</v>
      </c>
      <c r="EE33" s="151">
        <v>6406.2575399999996</v>
      </c>
      <c r="EF33" s="151">
        <v>6662.7185399999998</v>
      </c>
      <c r="EG33" s="151">
        <v>6154.7641800000001</v>
      </c>
      <c r="EH33" s="151">
        <v>6346.5621799999999</v>
      </c>
      <c r="EI33" s="151">
        <v>6794.1281799999997</v>
      </c>
      <c r="EJ33" s="151">
        <v>6777.01818</v>
      </c>
      <c r="EK33" s="151">
        <v>6989.6021799999999</v>
      </c>
      <c r="EL33" s="151">
        <v>6932.3120199999994</v>
      </c>
      <c r="EM33" s="151">
        <v>7001.5780199999999</v>
      </c>
      <c r="EN33" s="834">
        <f>SUM(EB33:EM33)</f>
        <v>78771.917239999995</v>
      </c>
      <c r="EO33" s="151">
        <v>6528.9017400000002</v>
      </c>
      <c r="EP33" s="151">
        <v>5824.9695400000001</v>
      </c>
      <c r="EQ33" s="151">
        <v>6353.1049400000002</v>
      </c>
      <c r="ER33" s="151">
        <v>6406.2575399999996</v>
      </c>
      <c r="ES33" s="151">
        <v>6662.7185399999998</v>
      </c>
      <c r="ET33" s="151">
        <v>6154.7641800000001</v>
      </c>
      <c r="EU33" s="151">
        <v>6346.5621799999999</v>
      </c>
      <c r="EV33" s="151">
        <v>6794.1281799999997</v>
      </c>
      <c r="EW33" s="151">
        <v>6777.01818</v>
      </c>
      <c r="EX33" s="151">
        <v>6989.6021799999999</v>
      </c>
      <c r="EY33" s="151">
        <v>6932.3120199999994</v>
      </c>
      <c r="EZ33" s="151">
        <v>7001.5780199999999</v>
      </c>
      <c r="FA33" s="834">
        <f>SUM(EO33:EZ33)</f>
        <v>78771.917239999995</v>
      </c>
      <c r="FC33" s="595">
        <f t="shared" si="76"/>
        <v>8.0445186721280315</v>
      </c>
      <c r="FD33" s="596">
        <f t="shared" si="77"/>
        <v>3.5766174789662708</v>
      </c>
      <c r="FE33" s="498">
        <f t="shared" si="78"/>
        <v>69292.028420000002</v>
      </c>
      <c r="FF33" s="597">
        <f t="shared" si="79"/>
        <v>71770.339219999994</v>
      </c>
    </row>
    <row r="34" spans="1:163" ht="15" customHeight="1" x14ac:dyDescent="0.25">
      <c r="A34" s="138" t="s">
        <v>314</v>
      </c>
      <c r="B34" s="151">
        <v>7776</v>
      </c>
      <c r="C34" s="151">
        <v>6984</v>
      </c>
      <c r="D34" s="151">
        <v>7790</v>
      </c>
      <c r="E34" s="151">
        <v>3753</v>
      </c>
      <c r="F34" s="151">
        <v>7900</v>
      </c>
      <c r="G34" s="151">
        <v>7720</v>
      </c>
      <c r="H34" s="151">
        <v>7975</v>
      </c>
      <c r="I34" s="151">
        <v>8506</v>
      </c>
      <c r="J34" s="151">
        <v>8560</v>
      </c>
      <c r="K34" s="151">
        <v>8546</v>
      </c>
      <c r="L34" s="151">
        <v>8400</v>
      </c>
      <c r="M34" s="151">
        <v>8371</v>
      </c>
      <c r="N34" s="834">
        <f>SUM(B34:M34)</f>
        <v>92281</v>
      </c>
      <c r="O34" s="151">
        <v>8761</v>
      </c>
      <c r="P34" s="151">
        <v>8126</v>
      </c>
      <c r="Q34" s="151">
        <v>8140</v>
      </c>
      <c r="R34" s="151">
        <v>8058</v>
      </c>
      <c r="S34" s="151">
        <v>8378</v>
      </c>
      <c r="T34" s="151">
        <v>8004</v>
      </c>
      <c r="U34" s="151">
        <v>8004</v>
      </c>
      <c r="V34" s="151">
        <v>8647</v>
      </c>
      <c r="W34" s="151">
        <v>8249</v>
      </c>
      <c r="X34" s="151">
        <v>8736</v>
      </c>
      <c r="Y34" s="151">
        <v>8701</v>
      </c>
      <c r="Z34" s="151">
        <v>8761</v>
      </c>
      <c r="AA34" s="834">
        <f>SUM(O34:Z34)</f>
        <v>100565</v>
      </c>
      <c r="AB34" s="151">
        <v>8437</v>
      </c>
      <c r="AC34" s="151">
        <v>7803</v>
      </c>
      <c r="AD34" s="151">
        <v>8992</v>
      </c>
      <c r="AE34" s="151">
        <v>8799</v>
      </c>
      <c r="AF34" s="151">
        <v>9110</v>
      </c>
      <c r="AG34" s="151">
        <v>8617</v>
      </c>
      <c r="AH34" s="151">
        <v>9041</v>
      </c>
      <c r="AI34" s="151">
        <v>9746</v>
      </c>
      <c r="AJ34" s="151">
        <v>9343</v>
      </c>
      <c r="AK34" s="151">
        <v>9697</v>
      </c>
      <c r="AL34" s="151">
        <v>8997</v>
      </c>
      <c r="AM34" s="151">
        <v>9534</v>
      </c>
      <c r="AN34" s="834">
        <f>SUM(AB34:AM34)</f>
        <v>108116</v>
      </c>
      <c r="AO34" s="151">
        <v>9295.7870000000003</v>
      </c>
      <c r="AP34" s="151">
        <v>8544.5550000000003</v>
      </c>
      <c r="AQ34" s="151">
        <v>9381.9650000000001</v>
      </c>
      <c r="AR34" s="151">
        <v>9248.6239999999998</v>
      </c>
      <c r="AS34" s="151">
        <v>9370.11</v>
      </c>
      <c r="AT34" s="151">
        <v>8881.0540000000001</v>
      </c>
      <c r="AU34" s="151">
        <v>9378.82</v>
      </c>
      <c r="AV34" s="151">
        <v>9244.6373631599999</v>
      </c>
      <c r="AW34" s="151">
        <v>9794.1595646363603</v>
      </c>
      <c r="AX34" s="151">
        <v>10019</v>
      </c>
      <c r="AY34" s="151">
        <v>9541.2790000000005</v>
      </c>
      <c r="AZ34" s="151">
        <v>9682.6380000000008</v>
      </c>
      <c r="BA34" s="834">
        <f>SUM(AO34:AZ34)</f>
        <v>112382.62892779637</v>
      </c>
      <c r="BB34" s="151">
        <v>9767</v>
      </c>
      <c r="BC34" s="151">
        <v>8764</v>
      </c>
      <c r="BD34" s="151">
        <v>9851</v>
      </c>
      <c r="BE34" s="151">
        <v>9807</v>
      </c>
      <c r="BF34" s="151">
        <v>9975</v>
      </c>
      <c r="BG34" s="151">
        <v>9781</v>
      </c>
      <c r="BH34" s="151">
        <v>9662</v>
      </c>
      <c r="BI34" s="151">
        <v>9849</v>
      </c>
      <c r="BJ34" s="151">
        <v>10608</v>
      </c>
      <c r="BK34" s="151">
        <v>10271</v>
      </c>
      <c r="BL34" s="151">
        <v>10080</v>
      </c>
      <c r="BM34" s="151">
        <v>10255.891740000001</v>
      </c>
      <c r="BN34" s="834">
        <f>SUM(BB34:BM34)</f>
        <v>118670.89174000001</v>
      </c>
      <c r="BO34" s="151">
        <v>10537.044739999999</v>
      </c>
      <c r="BP34" s="151">
        <v>9755.2657400000007</v>
      </c>
      <c r="BQ34" s="151">
        <v>10032.374740000001</v>
      </c>
      <c r="BR34" s="151">
        <v>10264.837740000001</v>
      </c>
      <c r="BS34" s="151">
        <v>10188.773999999999</v>
      </c>
      <c r="BT34" s="151">
        <v>7696.7510000000002</v>
      </c>
      <c r="BU34" s="151">
        <v>10158.775</v>
      </c>
      <c r="BV34" s="151">
        <v>10989.88</v>
      </c>
      <c r="BW34" s="151">
        <v>10905.029</v>
      </c>
      <c r="BX34" s="151">
        <v>11737.377</v>
      </c>
      <c r="BY34" s="151">
        <v>11479.45</v>
      </c>
      <c r="BZ34" s="151">
        <v>11162.078</v>
      </c>
      <c r="CA34" s="834">
        <f>SUM(BO34:BZ34)</f>
        <v>124907.63695999997</v>
      </c>
      <c r="CB34" s="151">
        <v>11518.616</v>
      </c>
      <c r="CC34" s="151">
        <v>10276.252</v>
      </c>
      <c r="CD34" s="151">
        <v>10907.849</v>
      </c>
      <c r="CE34" s="151">
        <v>10737.457</v>
      </c>
      <c r="CF34" s="151">
        <v>11166.552</v>
      </c>
      <c r="CG34" s="151">
        <v>10920.206</v>
      </c>
      <c r="CH34" s="151">
        <v>10896.243</v>
      </c>
      <c r="CI34" s="151">
        <v>11965.367</v>
      </c>
      <c r="CJ34" s="151">
        <v>11870.865</v>
      </c>
      <c r="CK34" s="151">
        <v>12611.057000000001</v>
      </c>
      <c r="CL34" s="151">
        <v>11734.505999999999</v>
      </c>
      <c r="CM34" s="151">
        <v>11933.063</v>
      </c>
      <c r="CN34" s="834">
        <f>SUM(CB34:CM34)</f>
        <v>136538.033</v>
      </c>
      <c r="CO34" s="151">
        <v>12119.215840000001</v>
      </c>
      <c r="CP34" s="151">
        <v>10077.399839999998</v>
      </c>
      <c r="CQ34" s="151">
        <v>11463.918840000002</v>
      </c>
      <c r="CR34" s="151">
        <v>11216.495999999999</v>
      </c>
      <c r="CS34" s="151">
        <v>11323.307000000001</v>
      </c>
      <c r="CT34" s="151">
        <v>10784.838</v>
      </c>
      <c r="CU34" s="151">
        <v>11978.986000000001</v>
      </c>
      <c r="CV34" s="151">
        <v>11645.05</v>
      </c>
      <c r="CW34" s="151">
        <v>12123.870999999999</v>
      </c>
      <c r="CX34" s="151">
        <v>12243.138999999999</v>
      </c>
      <c r="CY34" s="151">
        <v>11532.034</v>
      </c>
      <c r="CZ34" s="151">
        <v>12202.088740000001</v>
      </c>
      <c r="DA34" s="834">
        <f>SUM(CO34:CZ34)</f>
        <v>138710.34426000001</v>
      </c>
      <c r="DB34" s="151">
        <v>11614.84474</v>
      </c>
      <c r="DC34" s="151">
        <v>10383.53774</v>
      </c>
      <c r="DD34" s="151">
        <v>11291.446739999999</v>
      </c>
      <c r="DE34" s="151">
        <v>11163.909740000001</v>
      </c>
      <c r="DF34" s="151">
        <v>11949.300740000001</v>
      </c>
      <c r="DG34" s="151">
        <v>10964.17474</v>
      </c>
      <c r="DH34" s="151">
        <v>12085.498740000001</v>
      </c>
      <c r="DI34" s="151">
        <v>12708.80574</v>
      </c>
      <c r="DJ34" s="151">
        <v>12897.345740000001</v>
      </c>
      <c r="DK34" s="151">
        <v>13260.203740000001</v>
      </c>
      <c r="DL34" s="151">
        <v>12309.95232</v>
      </c>
      <c r="DM34" s="151">
        <v>12479.65732</v>
      </c>
      <c r="DN34" s="834">
        <f>SUM(DB34:DM34)</f>
        <v>143108.67804</v>
      </c>
      <c r="DO34" s="151">
        <v>12549.03332</v>
      </c>
      <c r="DP34" s="151">
        <v>11541.96732</v>
      </c>
      <c r="DQ34" s="151">
        <v>12498.55732</v>
      </c>
      <c r="DR34" s="151">
        <v>12550.885319999999</v>
      </c>
      <c r="DS34" s="151">
        <v>12295.78932</v>
      </c>
      <c r="DT34" s="151">
        <v>12112.31732</v>
      </c>
      <c r="DU34" s="151">
        <v>12242.946320000001</v>
      </c>
      <c r="DV34" s="151">
        <v>13057.27032</v>
      </c>
      <c r="DW34" s="151">
        <v>13727.695320000001</v>
      </c>
      <c r="DX34" s="151">
        <v>13904.313320000001</v>
      </c>
      <c r="DY34" s="151">
        <v>12704.33532</v>
      </c>
      <c r="DZ34" s="151">
        <v>13066.947320000001</v>
      </c>
      <c r="EA34" s="834">
        <f>SUM(DO34:DZ34)</f>
        <v>152252.05784000002</v>
      </c>
      <c r="EB34" s="151">
        <v>13104.435320000001</v>
      </c>
      <c r="EC34" s="151">
        <v>11628.929320000001</v>
      </c>
      <c r="ED34" s="151">
        <v>12532.66332</v>
      </c>
      <c r="EE34" s="151">
        <v>12644.321320000001</v>
      </c>
      <c r="EF34" s="151">
        <v>13001.44332</v>
      </c>
      <c r="EG34" s="151">
        <v>12246.81832</v>
      </c>
      <c r="EH34" s="151">
        <v>12574.00532</v>
      </c>
      <c r="EI34" s="151">
        <v>13417.087320000001</v>
      </c>
      <c r="EJ34" s="151">
        <v>13235.731320000001</v>
      </c>
      <c r="EK34" s="151">
        <v>13892.571320000001</v>
      </c>
      <c r="EL34" s="151">
        <v>13522.465320000001</v>
      </c>
      <c r="EM34" s="151">
        <v>13994.77132</v>
      </c>
      <c r="EN34" s="834">
        <f>SUM(EB34:EM34)</f>
        <v>155795.24284000002</v>
      </c>
      <c r="EO34" s="151">
        <v>13104.435320000001</v>
      </c>
      <c r="EP34" s="151">
        <v>11628.929320000001</v>
      </c>
      <c r="EQ34" s="151">
        <v>12532.66332</v>
      </c>
      <c r="ER34" s="151">
        <v>12644.321320000001</v>
      </c>
      <c r="ES34" s="151">
        <v>13001.44332</v>
      </c>
      <c r="ET34" s="151">
        <v>12246.81832</v>
      </c>
      <c r="EU34" s="151">
        <v>12574.00532</v>
      </c>
      <c r="EV34" s="151">
        <v>13417.087320000001</v>
      </c>
      <c r="EW34" s="151">
        <v>13235.731320000001</v>
      </c>
      <c r="EX34" s="151">
        <v>13892.571320000001</v>
      </c>
      <c r="EY34" s="151">
        <v>13522.465320000001</v>
      </c>
      <c r="EZ34" s="151">
        <v>13994.77132</v>
      </c>
      <c r="FA34" s="834">
        <f>SUM(EO34:EZ34)</f>
        <v>155795.24284000002</v>
      </c>
      <c r="FC34" s="595">
        <f t="shared" si="76"/>
        <v>6.4397701996423695</v>
      </c>
      <c r="FD34" s="596">
        <f t="shared" si="77"/>
        <v>1.8790522852832003</v>
      </c>
      <c r="FE34" s="498">
        <f t="shared" si="78"/>
        <v>139185.11052000002</v>
      </c>
      <c r="FF34" s="597">
        <f t="shared" si="79"/>
        <v>141800.47152000002</v>
      </c>
    </row>
    <row r="35" spans="1:163" ht="15" customHeight="1" x14ac:dyDescent="0.25">
      <c r="A35" s="138" t="s">
        <v>315</v>
      </c>
      <c r="B35" s="151">
        <v>677</v>
      </c>
      <c r="C35" s="151">
        <v>583</v>
      </c>
      <c r="D35" s="151">
        <v>671</v>
      </c>
      <c r="E35" s="151">
        <v>710</v>
      </c>
      <c r="F35" s="151">
        <v>658</v>
      </c>
      <c r="G35" s="151">
        <v>642</v>
      </c>
      <c r="H35" s="151">
        <v>665</v>
      </c>
      <c r="I35" s="151">
        <v>861</v>
      </c>
      <c r="J35" s="151">
        <v>646</v>
      </c>
      <c r="K35" s="151">
        <v>669</v>
      </c>
      <c r="L35" s="151">
        <v>670</v>
      </c>
      <c r="M35" s="151">
        <v>677</v>
      </c>
      <c r="N35" s="834">
        <f>SUM(B35:M35)</f>
        <v>8129</v>
      </c>
      <c r="O35" s="151">
        <v>662</v>
      </c>
      <c r="P35" s="151">
        <v>634</v>
      </c>
      <c r="Q35" s="151">
        <v>660</v>
      </c>
      <c r="R35" s="151">
        <v>664</v>
      </c>
      <c r="S35" s="151">
        <v>683</v>
      </c>
      <c r="T35" s="151">
        <v>674</v>
      </c>
      <c r="U35" s="151">
        <v>674</v>
      </c>
      <c r="V35" s="151">
        <v>708</v>
      </c>
      <c r="W35" s="151">
        <v>707</v>
      </c>
      <c r="X35" s="151">
        <v>704</v>
      </c>
      <c r="Y35" s="151">
        <v>716</v>
      </c>
      <c r="Z35" s="151">
        <v>755</v>
      </c>
      <c r="AA35" s="834">
        <f>SUM(O35:Z35)</f>
        <v>8241</v>
      </c>
      <c r="AB35" s="151">
        <v>729</v>
      </c>
      <c r="AC35" s="151">
        <v>705</v>
      </c>
      <c r="AD35" s="151">
        <v>764</v>
      </c>
      <c r="AE35" s="151">
        <v>734</v>
      </c>
      <c r="AF35" s="151">
        <v>738</v>
      </c>
      <c r="AG35" s="151">
        <v>794</v>
      </c>
      <c r="AH35" s="151">
        <v>764</v>
      </c>
      <c r="AI35" s="151">
        <v>796</v>
      </c>
      <c r="AJ35" s="151">
        <v>1367</v>
      </c>
      <c r="AK35" s="151">
        <v>808</v>
      </c>
      <c r="AL35" s="151">
        <v>764</v>
      </c>
      <c r="AM35" s="151">
        <v>801</v>
      </c>
      <c r="AN35" s="834">
        <f>SUM(AB35:AM35)</f>
        <v>9764</v>
      </c>
      <c r="AO35" s="151">
        <v>793.12800000000004</v>
      </c>
      <c r="AP35" s="151">
        <v>731.46500000000003</v>
      </c>
      <c r="AQ35" s="151">
        <v>818.13599999999997</v>
      </c>
      <c r="AR35" s="151">
        <v>794.65499999999997</v>
      </c>
      <c r="AS35" s="151">
        <v>841.49400000000003</v>
      </c>
      <c r="AT35" s="151">
        <v>813.50400000000002</v>
      </c>
      <c r="AU35" s="151">
        <v>834.27200000000005</v>
      </c>
      <c r="AV35" s="151">
        <v>861</v>
      </c>
      <c r="AW35" s="151">
        <v>831</v>
      </c>
      <c r="AX35" s="151">
        <v>835</v>
      </c>
      <c r="AY35" s="151">
        <v>826.19299999999998</v>
      </c>
      <c r="AZ35" s="151">
        <v>870.7878359621451</v>
      </c>
      <c r="BA35" s="834">
        <f>SUM(AO35:AZ35)</f>
        <v>9850.6348359621443</v>
      </c>
      <c r="BB35" s="151">
        <v>833</v>
      </c>
      <c r="BC35" s="151">
        <v>748</v>
      </c>
      <c r="BD35" s="151">
        <v>840</v>
      </c>
      <c r="BE35" s="151">
        <v>837</v>
      </c>
      <c r="BF35" s="151">
        <v>892</v>
      </c>
      <c r="BG35" s="151">
        <v>855</v>
      </c>
      <c r="BH35" s="151">
        <v>918</v>
      </c>
      <c r="BI35" s="151">
        <v>901</v>
      </c>
      <c r="BJ35" s="151">
        <v>896</v>
      </c>
      <c r="BK35" s="151">
        <v>895</v>
      </c>
      <c r="BL35" s="151">
        <v>895</v>
      </c>
      <c r="BM35" s="151">
        <v>902.85699999999997</v>
      </c>
      <c r="BN35" s="834">
        <f>SUM(BB35:BM35)</f>
        <v>10412.857</v>
      </c>
      <c r="BO35" s="151">
        <v>889.995</v>
      </c>
      <c r="BP35" s="151">
        <v>851.99310243902437</v>
      </c>
      <c r="BQ35" s="151">
        <v>903.81210243902433</v>
      </c>
      <c r="BR35" s="151">
        <v>855.91610243902437</v>
      </c>
      <c r="BS35" s="151">
        <v>855.91610243902437</v>
      </c>
      <c r="BT35" s="151">
        <v>906.99910243902434</v>
      </c>
      <c r="BU35" s="151">
        <v>896.8381024390244</v>
      </c>
      <c r="BV35" s="151">
        <v>893.57310243902441</v>
      </c>
      <c r="BW35" s="151">
        <v>876.05700000000002</v>
      </c>
      <c r="BX35" s="151">
        <v>889.62699999999995</v>
      </c>
      <c r="BY35" s="151">
        <v>873.63199999999995</v>
      </c>
      <c r="BZ35" s="151">
        <v>882.91600000000005</v>
      </c>
      <c r="CA35" s="834">
        <f>SUM(BO35:BZ35)</f>
        <v>10577.274717073169</v>
      </c>
      <c r="CB35" s="151">
        <v>902.01199999999994</v>
      </c>
      <c r="CC35" s="151">
        <v>810.22699999999998</v>
      </c>
      <c r="CD35" s="151">
        <v>881.005</v>
      </c>
      <c r="CE35" s="151">
        <v>869.69799999999998</v>
      </c>
      <c r="CF35" s="151">
        <v>909.89</v>
      </c>
      <c r="CG35" s="151">
        <v>881.80600000000004</v>
      </c>
      <c r="CH35" s="151">
        <v>895.30600000000004</v>
      </c>
      <c r="CI35" s="151">
        <v>897.54039999999998</v>
      </c>
      <c r="CJ35" s="151">
        <v>862.62403000000006</v>
      </c>
      <c r="CK35" s="151">
        <v>879.64599999999996</v>
      </c>
      <c r="CL35" s="151">
        <v>871.28</v>
      </c>
      <c r="CM35" s="151">
        <v>871.58500000000004</v>
      </c>
      <c r="CN35" s="834">
        <f>SUM(CB35:CM35)</f>
        <v>10532.619430000002</v>
      </c>
      <c r="CO35" s="151">
        <v>909.93899999999996</v>
      </c>
      <c r="CP35" s="151">
        <v>829.50099999999998</v>
      </c>
      <c r="CQ35" s="151">
        <v>945.428</v>
      </c>
      <c r="CR35" s="151">
        <v>894.58</v>
      </c>
      <c r="CS35" s="151">
        <v>937.16200000000003</v>
      </c>
      <c r="CT35" s="151">
        <v>895.65099999999995</v>
      </c>
      <c r="CU35" s="151">
        <v>942.28399999999999</v>
      </c>
      <c r="CV35" s="151">
        <v>939.14</v>
      </c>
      <c r="CW35" s="151">
        <v>911.15700000000004</v>
      </c>
      <c r="CX35" s="151">
        <v>933.76700000000005</v>
      </c>
      <c r="CY35" s="151">
        <v>907.37099999999998</v>
      </c>
      <c r="CZ35" s="151">
        <v>917.26400000000001</v>
      </c>
      <c r="DA35" s="834">
        <f>SUM(CO35:CZ35)</f>
        <v>10963.243999999997</v>
      </c>
      <c r="DB35" s="151">
        <v>1016.378</v>
      </c>
      <c r="DC35" s="151">
        <v>835.10400000000004</v>
      </c>
      <c r="DD35" s="151">
        <v>942.18399999999997</v>
      </c>
      <c r="DE35" s="151">
        <v>906.04499999999996</v>
      </c>
      <c r="DF35" s="151">
        <v>935.91099999999994</v>
      </c>
      <c r="DG35" s="151">
        <v>905.11400000000003</v>
      </c>
      <c r="DH35" s="151">
        <v>924.74</v>
      </c>
      <c r="DI35" s="151">
        <v>939.36400000000003</v>
      </c>
      <c r="DJ35" s="151">
        <v>925.28399999999999</v>
      </c>
      <c r="DK35" s="151">
        <v>943.79200000000003</v>
      </c>
      <c r="DL35" s="151">
        <v>925.20600000000002</v>
      </c>
      <c r="DM35" s="151">
        <v>946.346</v>
      </c>
      <c r="DN35" s="834">
        <f>SUM(DB35:DM35)</f>
        <v>11145.467999999999</v>
      </c>
      <c r="DO35" s="151">
        <v>948.60500000000002</v>
      </c>
      <c r="DP35" s="151">
        <v>905.79300000000001</v>
      </c>
      <c r="DQ35" s="151">
        <v>983.02</v>
      </c>
      <c r="DR35" s="151">
        <v>956.34900000000005</v>
      </c>
      <c r="DS35" s="151">
        <v>966.94299999999998</v>
      </c>
      <c r="DT35" s="151">
        <v>1023.549</v>
      </c>
      <c r="DU35" s="151">
        <v>1003.799</v>
      </c>
      <c r="DV35" s="151">
        <v>1035.115</v>
      </c>
      <c r="DW35" s="151">
        <v>986.33500000000004</v>
      </c>
      <c r="DX35" s="151">
        <v>1020.069</v>
      </c>
      <c r="DY35" s="151">
        <v>995.39599999999996</v>
      </c>
      <c r="DZ35" s="151">
        <v>1039.431</v>
      </c>
      <c r="EA35" s="834">
        <f>SUM(DO35:DZ35)</f>
        <v>11864.404</v>
      </c>
      <c r="EB35" s="151">
        <v>1015.821</v>
      </c>
      <c r="EC35" s="151">
        <v>933.16499999999996</v>
      </c>
      <c r="ED35" s="151">
        <v>1049.8720000000001</v>
      </c>
      <c r="EE35" s="151">
        <v>1014.577</v>
      </c>
      <c r="EF35" s="151">
        <v>1051.9590000000001</v>
      </c>
      <c r="EG35" s="151">
        <v>1037.1980000000001</v>
      </c>
      <c r="EH35" s="151">
        <v>1092.75</v>
      </c>
      <c r="EI35" s="151">
        <v>1088.4929999999999</v>
      </c>
      <c r="EJ35" s="151">
        <v>1039.32</v>
      </c>
      <c r="EK35" s="151">
        <v>1085.789</v>
      </c>
      <c r="EL35" s="151">
        <v>1019.84</v>
      </c>
      <c r="EM35" s="151">
        <v>1068.1469999999999</v>
      </c>
      <c r="EN35" s="834">
        <f>SUM(EB35:EM35)</f>
        <v>12496.931</v>
      </c>
      <c r="EO35" s="151">
        <v>1015.821</v>
      </c>
      <c r="EP35" s="151">
        <v>933.16499999999996</v>
      </c>
      <c r="EQ35" s="151">
        <v>1049.8720000000001</v>
      </c>
      <c r="ER35" s="151">
        <v>1014.577</v>
      </c>
      <c r="ES35" s="151">
        <v>1051.9590000000001</v>
      </c>
      <c r="ET35" s="151">
        <v>1037.1980000000001</v>
      </c>
      <c r="EU35" s="151">
        <v>1092.75</v>
      </c>
      <c r="EV35" s="151">
        <v>1088.4929999999999</v>
      </c>
      <c r="EW35" s="151">
        <v>1039.32</v>
      </c>
      <c r="EX35" s="151">
        <v>1085.789</v>
      </c>
      <c r="EY35" s="151">
        <v>1019.84</v>
      </c>
      <c r="EZ35" s="151">
        <v>1068.1469999999999</v>
      </c>
      <c r="FA35" s="834">
        <f>SUM(EO35:EZ35)</f>
        <v>12496.931</v>
      </c>
      <c r="FC35" s="595">
        <f t="shared" si="76"/>
        <v>2.4557060707497413</v>
      </c>
      <c r="FD35" s="596">
        <f t="shared" si="77"/>
        <v>5.5779446285916912</v>
      </c>
      <c r="FE35" s="498">
        <f t="shared" si="78"/>
        <v>10824.973</v>
      </c>
      <c r="FF35" s="597">
        <f t="shared" si="79"/>
        <v>11428.784000000001</v>
      </c>
    </row>
    <row r="36" spans="1:163" ht="15" customHeight="1" x14ac:dyDescent="0.25">
      <c r="A36" s="159"/>
      <c r="B36" s="821"/>
      <c r="C36" s="821"/>
      <c r="D36" s="821"/>
      <c r="E36" s="821"/>
      <c r="F36" s="821"/>
      <c r="G36" s="821"/>
      <c r="H36" s="821"/>
      <c r="I36" s="821"/>
      <c r="J36" s="821"/>
      <c r="K36" s="821"/>
      <c r="L36" s="821"/>
      <c r="M36" s="821"/>
      <c r="N36" s="835"/>
      <c r="O36" s="821"/>
      <c r="P36" s="821"/>
      <c r="Q36" s="821"/>
      <c r="R36" s="821"/>
      <c r="S36" s="821"/>
      <c r="T36" s="821"/>
      <c r="U36" s="821"/>
      <c r="V36" s="821"/>
      <c r="W36" s="821"/>
      <c r="X36" s="821"/>
      <c r="Y36" s="821"/>
      <c r="Z36" s="821"/>
      <c r="AA36" s="835"/>
      <c r="AB36" s="821"/>
      <c r="AC36" s="821"/>
      <c r="AD36" s="821"/>
      <c r="AE36" s="821"/>
      <c r="AF36" s="821"/>
      <c r="AG36" s="821"/>
      <c r="AH36" s="821"/>
      <c r="AI36" s="821"/>
      <c r="AJ36" s="821"/>
      <c r="AK36" s="821"/>
      <c r="AL36" s="821"/>
      <c r="AM36" s="821"/>
      <c r="AN36" s="835"/>
      <c r="AO36" s="821"/>
      <c r="AP36" s="821"/>
      <c r="AQ36" s="821"/>
      <c r="AR36" s="821"/>
      <c r="AS36" s="821"/>
      <c r="AT36" s="821"/>
      <c r="AU36" s="821"/>
      <c r="AV36" s="821"/>
      <c r="AW36" s="821"/>
      <c r="AX36" s="821"/>
      <c r="AY36" s="821"/>
      <c r="AZ36" s="821"/>
      <c r="BA36" s="835"/>
      <c r="BB36" s="821"/>
      <c r="BC36" s="821"/>
      <c r="BD36" s="821"/>
      <c r="BE36" s="821"/>
      <c r="BF36" s="821"/>
      <c r="BG36" s="821"/>
      <c r="BH36" s="821"/>
      <c r="BI36" s="821"/>
      <c r="BJ36" s="821"/>
      <c r="BK36" s="821"/>
      <c r="BL36" s="821"/>
      <c r="BM36" s="821"/>
      <c r="BN36" s="835"/>
      <c r="BO36" s="821"/>
      <c r="BP36" s="821"/>
      <c r="BQ36" s="821"/>
      <c r="BR36" s="821"/>
      <c r="BS36" s="821"/>
      <c r="BT36" s="821"/>
      <c r="BU36" s="821"/>
      <c r="BV36" s="821"/>
      <c r="BW36" s="821"/>
      <c r="BX36" s="821"/>
      <c r="BY36" s="821"/>
      <c r="BZ36" s="821"/>
      <c r="CA36" s="835"/>
      <c r="CB36" s="821"/>
      <c r="CC36" s="821"/>
      <c r="CD36" s="821"/>
      <c r="CE36" s="821"/>
      <c r="CF36" s="821"/>
      <c r="CG36" s="821"/>
      <c r="CH36" s="821"/>
      <c r="CI36" s="821"/>
      <c r="CJ36" s="821"/>
      <c r="CK36" s="821"/>
      <c r="CL36" s="821"/>
      <c r="CM36" s="821"/>
      <c r="CN36" s="835"/>
      <c r="CO36" s="821"/>
      <c r="CP36" s="821"/>
      <c r="CQ36" s="821"/>
      <c r="CR36" s="821"/>
      <c r="CS36" s="821"/>
      <c r="CT36" s="821"/>
      <c r="CU36" s="821"/>
      <c r="CV36" s="821"/>
      <c r="CW36" s="821"/>
      <c r="CX36" s="821"/>
      <c r="CY36" s="821"/>
      <c r="CZ36" s="821"/>
      <c r="DA36" s="835"/>
      <c r="DB36" s="821"/>
      <c r="DC36" s="821"/>
      <c r="DD36" s="821"/>
      <c r="DE36" s="821"/>
      <c r="DF36" s="821"/>
      <c r="DG36" s="821"/>
      <c r="DH36" s="821"/>
      <c r="DI36" s="821"/>
      <c r="DJ36" s="821"/>
      <c r="DK36" s="821"/>
      <c r="DL36" s="821"/>
      <c r="DM36" s="821"/>
      <c r="DN36" s="835"/>
      <c r="DO36" s="821"/>
      <c r="DP36" s="821"/>
      <c r="DQ36" s="821"/>
      <c r="DR36" s="821"/>
      <c r="DS36" s="821"/>
      <c r="DT36" s="821"/>
      <c r="DU36" s="821"/>
      <c r="DV36" s="821"/>
      <c r="DW36" s="821"/>
      <c r="DX36" s="821"/>
      <c r="DY36" s="821"/>
      <c r="DZ36" s="821"/>
      <c r="EA36" s="835"/>
      <c r="EB36" s="821"/>
      <c r="EC36" s="821"/>
      <c r="ED36" s="821"/>
      <c r="EE36" s="821"/>
      <c r="EF36" s="821"/>
      <c r="EG36" s="821"/>
      <c r="EH36" s="821"/>
      <c r="EI36" s="821"/>
      <c r="EJ36" s="821"/>
      <c r="EK36" s="821"/>
      <c r="EL36" s="821"/>
      <c r="EM36" s="821"/>
      <c r="EN36" s="835"/>
      <c r="EO36" s="821"/>
      <c r="EP36" s="821"/>
      <c r="EQ36" s="821"/>
      <c r="ER36" s="821"/>
      <c r="ES36" s="821"/>
      <c r="ET36" s="821"/>
      <c r="EU36" s="821"/>
      <c r="EV36" s="821"/>
      <c r="EW36" s="821"/>
      <c r="EX36" s="821"/>
      <c r="EY36" s="821"/>
      <c r="EZ36" s="821"/>
      <c r="FA36" s="835"/>
      <c r="FC36" s="827"/>
      <c r="FD36" s="828"/>
      <c r="FE36" s="829"/>
      <c r="FF36" s="830"/>
    </row>
    <row r="37" spans="1:163" ht="15" customHeight="1" x14ac:dyDescent="0.25">
      <c r="A37" s="126" t="s">
        <v>317</v>
      </c>
      <c r="B37" s="820"/>
      <c r="C37" s="820"/>
      <c r="D37" s="820"/>
      <c r="E37" s="820"/>
      <c r="F37" s="820"/>
      <c r="G37" s="820"/>
      <c r="H37" s="820"/>
      <c r="I37" s="820"/>
      <c r="J37" s="820"/>
      <c r="K37" s="820"/>
      <c r="L37" s="820"/>
      <c r="M37" s="820"/>
      <c r="N37" s="820"/>
      <c r="O37" s="820"/>
      <c r="P37" s="820"/>
      <c r="Q37" s="820"/>
      <c r="R37" s="820"/>
      <c r="S37" s="820"/>
      <c r="T37" s="820"/>
      <c r="U37" s="820"/>
      <c r="V37" s="820"/>
      <c r="W37" s="820"/>
      <c r="X37" s="820"/>
      <c r="Y37" s="820"/>
      <c r="Z37" s="820"/>
      <c r="AA37" s="820"/>
      <c r="AB37" s="820"/>
      <c r="AC37" s="820"/>
      <c r="AD37" s="820"/>
      <c r="AE37" s="820"/>
      <c r="AF37" s="820"/>
      <c r="AG37" s="820"/>
      <c r="AH37" s="820"/>
      <c r="AI37" s="820"/>
      <c r="AJ37" s="820"/>
      <c r="AK37" s="820"/>
      <c r="AL37" s="820"/>
      <c r="AM37" s="820"/>
      <c r="AN37" s="820"/>
      <c r="AO37" s="820"/>
      <c r="AP37" s="820"/>
      <c r="AQ37" s="820"/>
      <c r="AR37" s="820"/>
      <c r="AS37" s="820"/>
      <c r="AT37" s="820"/>
      <c r="AU37" s="820"/>
      <c r="AV37" s="820"/>
      <c r="AW37" s="820"/>
      <c r="AX37" s="820"/>
      <c r="AY37" s="820"/>
      <c r="AZ37" s="820"/>
      <c r="BA37" s="820"/>
      <c r="BB37" s="820"/>
      <c r="BC37" s="820"/>
      <c r="BD37" s="820"/>
      <c r="BE37" s="820"/>
      <c r="BF37" s="820"/>
      <c r="BL37" s="820"/>
      <c r="BM37" s="820"/>
      <c r="BN37" s="820"/>
      <c r="BO37" s="820"/>
      <c r="BP37" s="820"/>
      <c r="BQ37" s="820"/>
      <c r="BR37" s="820"/>
      <c r="BS37" s="820"/>
      <c r="BT37" s="820"/>
      <c r="BU37" s="820"/>
      <c r="BV37" s="820"/>
      <c r="BW37" s="820"/>
      <c r="BX37" s="820"/>
      <c r="BY37" s="820"/>
      <c r="BZ37" s="820"/>
      <c r="CA37" s="820"/>
      <c r="CB37" s="820"/>
      <c r="CC37" s="820"/>
      <c r="CD37" s="820"/>
      <c r="CE37" s="820"/>
      <c r="CF37" s="820"/>
      <c r="CG37" s="820"/>
      <c r="CH37" s="820"/>
      <c r="CI37" s="820"/>
      <c r="CJ37" s="820"/>
      <c r="CK37" s="820"/>
      <c r="CL37" s="820"/>
      <c r="CM37" s="820"/>
      <c r="CN37" s="820"/>
      <c r="CO37" s="820"/>
      <c r="CP37" s="820"/>
      <c r="CQ37" s="820"/>
      <c r="CR37" s="820"/>
      <c r="CS37" s="820"/>
      <c r="CT37" s="820"/>
      <c r="CU37" s="820"/>
      <c r="CV37" s="820"/>
      <c r="CW37" s="820"/>
      <c r="CX37" s="820"/>
      <c r="CY37" s="820"/>
      <c r="CZ37" s="820"/>
      <c r="DA37" s="820"/>
      <c r="DB37" s="820"/>
      <c r="DC37" s="820"/>
      <c r="DD37" s="820"/>
      <c r="DE37" s="820"/>
      <c r="DF37" s="820"/>
      <c r="DG37" s="820"/>
      <c r="DH37" s="820"/>
      <c r="DI37" s="820"/>
      <c r="DJ37" s="820"/>
      <c r="DK37" s="820"/>
      <c r="DL37" s="820"/>
      <c r="DM37" s="820"/>
      <c r="DN37" s="820"/>
      <c r="DO37" s="820"/>
      <c r="DP37" s="820"/>
      <c r="DQ37" s="820"/>
      <c r="DR37" s="820"/>
      <c r="DS37" s="820"/>
      <c r="DT37" s="820"/>
      <c r="DU37" s="820"/>
      <c r="DV37" s="820"/>
      <c r="DW37" s="820"/>
      <c r="DX37" s="820"/>
      <c r="DY37" s="820"/>
      <c r="DZ37" s="820"/>
      <c r="EA37" s="820"/>
      <c r="EB37" s="820"/>
      <c r="EC37" s="820"/>
      <c r="ED37" s="820"/>
      <c r="EE37" s="820"/>
      <c r="EF37" s="820"/>
      <c r="EG37" s="820"/>
      <c r="EH37" s="820"/>
      <c r="EI37" s="820"/>
      <c r="EJ37" s="820"/>
      <c r="EK37" s="820"/>
      <c r="EL37" s="820"/>
      <c r="EM37" s="820"/>
      <c r="EN37" s="820"/>
      <c r="EO37" s="820"/>
      <c r="EP37" s="820"/>
      <c r="EQ37" s="820"/>
      <c r="ER37" s="820"/>
      <c r="ES37" s="820"/>
      <c r="ET37" s="820"/>
      <c r="EU37" s="820"/>
      <c r="EV37" s="820"/>
      <c r="EW37" s="820"/>
      <c r="EX37" s="820"/>
      <c r="EY37" s="820"/>
      <c r="EZ37" s="820"/>
      <c r="FA37" s="820"/>
      <c r="FC37" s="198"/>
    </row>
    <row r="38" spans="1:163" ht="15" customHeight="1" x14ac:dyDescent="0.25">
      <c r="A38" s="219"/>
    </row>
    <row r="39" spans="1:163" ht="15" customHeight="1" x14ac:dyDescent="0.25">
      <c r="A39" s="772" t="s">
        <v>318</v>
      </c>
    </row>
    <row r="40" spans="1:163" s="795" customFormat="1" ht="15" customHeight="1" x14ac:dyDescent="0.25">
      <c r="A40" s="210" t="s">
        <v>207</v>
      </c>
      <c r="B40" s="474">
        <v>2015</v>
      </c>
      <c r="C40" s="474"/>
      <c r="D40" s="474"/>
      <c r="E40" s="474"/>
      <c r="F40" s="474"/>
      <c r="G40" s="474"/>
      <c r="H40" s="474"/>
      <c r="I40" s="474"/>
      <c r="J40" s="474"/>
      <c r="K40" s="474"/>
      <c r="L40" s="474"/>
      <c r="M40" s="474"/>
      <c r="N40" s="758" t="s">
        <v>83</v>
      </c>
      <c r="O40" s="474">
        <v>2016</v>
      </c>
      <c r="P40" s="474"/>
      <c r="Q40" s="474"/>
      <c r="R40" s="474"/>
      <c r="S40" s="474"/>
      <c r="T40" s="474"/>
      <c r="U40" s="474"/>
      <c r="V40" s="474"/>
      <c r="W40" s="474"/>
      <c r="X40" s="474"/>
      <c r="Y40" s="474"/>
      <c r="Z40" s="474"/>
      <c r="AA40" s="758" t="s">
        <v>83</v>
      </c>
      <c r="AB40" s="474">
        <v>2017</v>
      </c>
      <c r="AC40" s="474"/>
      <c r="AD40" s="474"/>
      <c r="AE40" s="474"/>
      <c r="AF40" s="474"/>
      <c r="AG40" s="474"/>
      <c r="AH40" s="474"/>
      <c r="AI40" s="474"/>
      <c r="AJ40" s="474"/>
      <c r="AK40" s="474"/>
      <c r="AL40" s="474"/>
      <c r="AM40" s="474"/>
      <c r="AN40" s="758" t="s">
        <v>83</v>
      </c>
      <c r="AO40" s="474">
        <v>2018</v>
      </c>
      <c r="AP40" s="474"/>
      <c r="AQ40" s="474"/>
      <c r="AR40" s="474"/>
      <c r="AS40" s="474"/>
      <c r="AT40" s="474"/>
      <c r="AU40" s="474"/>
      <c r="AV40" s="474"/>
      <c r="AW40" s="474"/>
      <c r="AX40" s="474"/>
      <c r="AY40" s="474"/>
      <c r="AZ40" s="474"/>
      <c r="BA40" s="758" t="s">
        <v>83</v>
      </c>
      <c r="BB40" s="474">
        <v>2019</v>
      </c>
      <c r="BC40" s="474"/>
      <c r="BD40" s="474"/>
      <c r="BE40" s="474"/>
      <c r="BF40" s="474"/>
      <c r="BG40" s="474"/>
      <c r="BH40" s="474"/>
      <c r="BI40" s="474"/>
      <c r="BJ40" s="474"/>
      <c r="BK40" s="474"/>
      <c r="BL40" s="474"/>
      <c r="BM40" s="474"/>
      <c r="BN40" s="758" t="s">
        <v>83</v>
      </c>
      <c r="BO40" s="474">
        <v>2020</v>
      </c>
      <c r="BP40" s="474"/>
      <c r="BQ40" s="474"/>
      <c r="BR40" s="474"/>
      <c r="BS40" s="474"/>
      <c r="BT40" s="474"/>
      <c r="BU40" s="474"/>
      <c r="BV40" s="474"/>
      <c r="BW40" s="474"/>
      <c r="BX40" s="474"/>
      <c r="BY40" s="474"/>
      <c r="BZ40" s="474"/>
      <c r="CA40" s="758" t="s">
        <v>83</v>
      </c>
      <c r="CB40" s="474">
        <v>2021</v>
      </c>
      <c r="CC40" s="474"/>
      <c r="CD40" s="474"/>
      <c r="CE40" s="474"/>
      <c r="CF40" s="474"/>
      <c r="CG40" s="474"/>
      <c r="CH40" s="474"/>
      <c r="CI40" s="474"/>
      <c r="CJ40" s="474"/>
      <c r="CK40" s="474"/>
      <c r="CL40" s="474"/>
      <c r="CM40" s="474"/>
      <c r="CN40" s="758" t="s">
        <v>83</v>
      </c>
      <c r="CO40" s="474">
        <v>2022</v>
      </c>
      <c r="CP40" s="474"/>
      <c r="CQ40" s="474"/>
      <c r="CR40" s="474"/>
      <c r="CS40" s="474"/>
      <c r="CT40" s="474"/>
      <c r="CU40" s="474"/>
      <c r="CV40" s="474"/>
      <c r="CW40" s="474"/>
      <c r="CX40" s="474"/>
      <c r="CY40" s="474"/>
      <c r="CZ40" s="474"/>
      <c r="DA40" s="758" t="s">
        <v>83</v>
      </c>
      <c r="DB40" s="474">
        <v>2023</v>
      </c>
      <c r="DC40" s="474"/>
      <c r="DD40" s="474"/>
      <c r="DE40" s="474"/>
      <c r="DF40" s="474"/>
      <c r="DG40" s="474"/>
      <c r="DH40" s="474"/>
      <c r="DI40" s="474"/>
      <c r="DJ40" s="474"/>
      <c r="DK40" s="474"/>
      <c r="DL40" s="474"/>
      <c r="DM40" s="474"/>
      <c r="DN40" s="758" t="s">
        <v>83</v>
      </c>
      <c r="DO40" s="474">
        <v>2024</v>
      </c>
      <c r="DP40" s="474"/>
      <c r="DQ40" s="474"/>
      <c r="DR40" s="474"/>
      <c r="DS40" s="474"/>
      <c r="DT40" s="474"/>
      <c r="DU40" s="474"/>
      <c r="DV40" s="474"/>
      <c r="DW40" s="474"/>
      <c r="DX40" s="474"/>
      <c r="DY40" s="474"/>
      <c r="DZ40" s="474"/>
      <c r="EA40" s="758" t="s">
        <v>83</v>
      </c>
      <c r="EB40" s="474">
        <v>2025</v>
      </c>
      <c r="EC40" s="474"/>
      <c r="ED40" s="474"/>
      <c r="EE40" s="474"/>
      <c r="EF40" s="474"/>
      <c r="EG40" s="474"/>
      <c r="EH40" s="474"/>
      <c r="EI40" s="474"/>
      <c r="EJ40" s="474"/>
      <c r="EK40" s="474"/>
      <c r="EL40" s="474"/>
      <c r="EM40" s="474"/>
      <c r="EN40" s="758" t="s">
        <v>83</v>
      </c>
      <c r="EO40" s="474">
        <v>2026</v>
      </c>
      <c r="EP40" s="474"/>
      <c r="EQ40" s="474"/>
      <c r="ER40" s="474"/>
      <c r="ES40" s="474"/>
      <c r="ET40" s="474"/>
      <c r="EU40" s="474"/>
      <c r="EV40" s="474"/>
      <c r="EW40" s="474"/>
      <c r="EX40" s="474"/>
      <c r="EY40" s="474"/>
      <c r="EZ40" s="474"/>
      <c r="FA40" s="758" t="s">
        <v>83</v>
      </c>
      <c r="FB40" s="753"/>
      <c r="FC40" s="476" t="str">
        <f>CONCATENATE("Var.% ",FF40,"/",FF40-1)</f>
        <v>Var.% 2026/2025</v>
      </c>
      <c r="FD40" s="477"/>
      <c r="FE40" s="478">
        <f>FF40-1</f>
        <v>2025</v>
      </c>
      <c r="FF40" s="478">
        <f>YEAR(FC41)</f>
        <v>2026</v>
      </c>
    </row>
    <row r="41" spans="1:163" s="795" customFormat="1" ht="15" customHeight="1" x14ac:dyDescent="0.25">
      <c r="A41" s="211" t="s">
        <v>319</v>
      </c>
      <c r="B41" s="645">
        <v>42005</v>
      </c>
      <c r="C41" s="645">
        <v>42036</v>
      </c>
      <c r="D41" s="645">
        <v>42064</v>
      </c>
      <c r="E41" s="645">
        <v>42095</v>
      </c>
      <c r="F41" s="645">
        <v>42125</v>
      </c>
      <c r="G41" s="645">
        <v>42156</v>
      </c>
      <c r="H41" s="645">
        <v>42186</v>
      </c>
      <c r="I41" s="645">
        <v>42217</v>
      </c>
      <c r="J41" s="645">
        <v>42248</v>
      </c>
      <c r="K41" s="645">
        <v>42278</v>
      </c>
      <c r="L41" s="645">
        <v>42309</v>
      </c>
      <c r="M41" s="645">
        <v>42339</v>
      </c>
      <c r="N41" s="759">
        <f t="shared" ref="N41" si="80">YEAR(M41)</f>
        <v>2015</v>
      </c>
      <c r="O41" s="645">
        <v>42370</v>
      </c>
      <c r="P41" s="645">
        <v>42401</v>
      </c>
      <c r="Q41" s="645">
        <v>42430</v>
      </c>
      <c r="R41" s="645">
        <v>42461</v>
      </c>
      <c r="S41" s="645">
        <v>42491</v>
      </c>
      <c r="T41" s="645">
        <v>42522</v>
      </c>
      <c r="U41" s="645">
        <v>42552</v>
      </c>
      <c r="V41" s="645">
        <v>42583</v>
      </c>
      <c r="W41" s="645">
        <v>42614</v>
      </c>
      <c r="X41" s="645">
        <v>42644</v>
      </c>
      <c r="Y41" s="645">
        <v>42675</v>
      </c>
      <c r="Z41" s="645">
        <v>42705</v>
      </c>
      <c r="AA41" s="759">
        <f t="shared" ref="AA41" si="81">YEAR(Z41)</f>
        <v>2016</v>
      </c>
      <c r="AB41" s="645">
        <v>42736</v>
      </c>
      <c r="AC41" s="645">
        <v>42767</v>
      </c>
      <c r="AD41" s="645">
        <v>42795</v>
      </c>
      <c r="AE41" s="645">
        <v>42826</v>
      </c>
      <c r="AF41" s="645">
        <v>42856</v>
      </c>
      <c r="AG41" s="645">
        <v>42887</v>
      </c>
      <c r="AH41" s="645">
        <v>42917</v>
      </c>
      <c r="AI41" s="645">
        <v>42948</v>
      </c>
      <c r="AJ41" s="645">
        <v>42979</v>
      </c>
      <c r="AK41" s="645">
        <v>43009</v>
      </c>
      <c r="AL41" s="645">
        <v>43040</v>
      </c>
      <c r="AM41" s="645">
        <v>43070</v>
      </c>
      <c r="AN41" s="759">
        <f t="shared" ref="AN41" si="82">YEAR(AM41)</f>
        <v>2017</v>
      </c>
      <c r="AO41" s="645">
        <v>43101</v>
      </c>
      <c r="AP41" s="645">
        <v>43132</v>
      </c>
      <c r="AQ41" s="645">
        <v>43160</v>
      </c>
      <c r="AR41" s="645">
        <v>43191</v>
      </c>
      <c r="AS41" s="645">
        <v>43221</v>
      </c>
      <c r="AT41" s="645">
        <v>43252</v>
      </c>
      <c r="AU41" s="645">
        <v>43282</v>
      </c>
      <c r="AV41" s="645">
        <v>43313</v>
      </c>
      <c r="AW41" s="645">
        <v>43344</v>
      </c>
      <c r="AX41" s="645">
        <v>43374</v>
      </c>
      <c r="AY41" s="645">
        <v>43405</v>
      </c>
      <c r="AZ41" s="645">
        <v>43435</v>
      </c>
      <c r="BA41" s="759">
        <f t="shared" ref="BA41" si="83">YEAR(AZ41)</f>
        <v>2018</v>
      </c>
      <c r="BB41" s="645">
        <v>43466</v>
      </c>
      <c r="BC41" s="645">
        <v>43497</v>
      </c>
      <c r="BD41" s="645">
        <v>43525</v>
      </c>
      <c r="BE41" s="645">
        <v>43556</v>
      </c>
      <c r="BF41" s="645">
        <v>43586</v>
      </c>
      <c r="BG41" s="645">
        <v>43617</v>
      </c>
      <c r="BH41" s="645">
        <v>43647</v>
      </c>
      <c r="BI41" s="645">
        <v>43678</v>
      </c>
      <c r="BJ41" s="645">
        <v>43709</v>
      </c>
      <c r="BK41" s="645">
        <v>43739</v>
      </c>
      <c r="BL41" s="645">
        <v>43770</v>
      </c>
      <c r="BM41" s="645">
        <v>43800</v>
      </c>
      <c r="BN41" s="759">
        <f t="shared" ref="BN41" si="84">YEAR(BM41)</f>
        <v>2019</v>
      </c>
      <c r="BO41" s="645">
        <v>43831</v>
      </c>
      <c r="BP41" s="645">
        <v>43862</v>
      </c>
      <c r="BQ41" s="645">
        <v>43891</v>
      </c>
      <c r="BR41" s="645">
        <v>43922</v>
      </c>
      <c r="BS41" s="645">
        <v>43952</v>
      </c>
      <c r="BT41" s="645">
        <v>43983</v>
      </c>
      <c r="BU41" s="645">
        <v>44013</v>
      </c>
      <c r="BV41" s="645">
        <v>44044</v>
      </c>
      <c r="BW41" s="645">
        <v>44075</v>
      </c>
      <c r="BX41" s="645">
        <v>44105</v>
      </c>
      <c r="BY41" s="645">
        <v>44136</v>
      </c>
      <c r="BZ41" s="645">
        <v>44166</v>
      </c>
      <c r="CA41" s="759">
        <f t="shared" ref="CA41" si="85">YEAR(BZ41)</f>
        <v>2020</v>
      </c>
      <c r="CB41" s="645">
        <v>44197</v>
      </c>
      <c r="CC41" s="645">
        <v>44228</v>
      </c>
      <c r="CD41" s="645">
        <v>44256</v>
      </c>
      <c r="CE41" s="645">
        <v>44287</v>
      </c>
      <c r="CF41" s="645">
        <v>44317</v>
      </c>
      <c r="CG41" s="645">
        <v>44348</v>
      </c>
      <c r="CH41" s="645">
        <v>44378</v>
      </c>
      <c r="CI41" s="645">
        <v>44409</v>
      </c>
      <c r="CJ41" s="645">
        <v>44440</v>
      </c>
      <c r="CK41" s="645">
        <v>44470</v>
      </c>
      <c r="CL41" s="645">
        <v>44501</v>
      </c>
      <c r="CM41" s="645">
        <v>44531</v>
      </c>
      <c r="CN41" s="759">
        <f t="shared" ref="CN41" si="86">YEAR(CM41)</f>
        <v>2021</v>
      </c>
      <c r="CO41" s="645">
        <v>44562</v>
      </c>
      <c r="CP41" s="645">
        <v>44593</v>
      </c>
      <c r="CQ41" s="645">
        <v>44621</v>
      </c>
      <c r="CR41" s="645">
        <v>44652</v>
      </c>
      <c r="CS41" s="645">
        <v>44682</v>
      </c>
      <c r="CT41" s="645">
        <v>44713</v>
      </c>
      <c r="CU41" s="645">
        <v>44743</v>
      </c>
      <c r="CV41" s="645">
        <v>44774</v>
      </c>
      <c r="CW41" s="645">
        <v>44805</v>
      </c>
      <c r="CX41" s="645">
        <v>44835</v>
      </c>
      <c r="CY41" s="645">
        <v>44866</v>
      </c>
      <c r="CZ41" s="645">
        <v>44896</v>
      </c>
      <c r="DA41" s="759">
        <f t="shared" ref="DA41" si="87">YEAR(CZ41)</f>
        <v>2022</v>
      </c>
      <c r="DB41" s="645">
        <v>44927</v>
      </c>
      <c r="DC41" s="645">
        <v>44958</v>
      </c>
      <c r="DD41" s="645">
        <v>44986</v>
      </c>
      <c r="DE41" s="645">
        <v>45017</v>
      </c>
      <c r="DF41" s="645">
        <v>45047</v>
      </c>
      <c r="DG41" s="645">
        <v>45078</v>
      </c>
      <c r="DH41" s="645">
        <v>45108</v>
      </c>
      <c r="DI41" s="645">
        <v>45139</v>
      </c>
      <c r="DJ41" s="645">
        <v>45170</v>
      </c>
      <c r="DK41" s="645">
        <v>45200</v>
      </c>
      <c r="DL41" s="645">
        <v>45231</v>
      </c>
      <c r="DM41" s="645">
        <v>45261</v>
      </c>
      <c r="DN41" s="759">
        <f t="shared" ref="DN41" si="88">YEAR(DM41)</f>
        <v>2023</v>
      </c>
      <c r="DO41" s="645">
        <v>45292</v>
      </c>
      <c r="DP41" s="645">
        <v>45323</v>
      </c>
      <c r="DQ41" s="645">
        <v>45352</v>
      </c>
      <c r="DR41" s="645">
        <v>45383</v>
      </c>
      <c r="DS41" s="645">
        <v>45413</v>
      </c>
      <c r="DT41" s="645">
        <v>45444</v>
      </c>
      <c r="DU41" s="645">
        <v>45474</v>
      </c>
      <c r="DV41" s="645">
        <v>45505</v>
      </c>
      <c r="DW41" s="645">
        <v>45536</v>
      </c>
      <c r="DX41" s="645">
        <v>45566</v>
      </c>
      <c r="DY41" s="645">
        <v>45597</v>
      </c>
      <c r="DZ41" s="645">
        <v>45627</v>
      </c>
      <c r="EA41" s="759">
        <f t="shared" ref="EA41" si="89">YEAR(DZ41)</f>
        <v>2024</v>
      </c>
      <c r="EB41" s="645">
        <v>45658</v>
      </c>
      <c r="EC41" s="645">
        <v>45689</v>
      </c>
      <c r="ED41" s="645">
        <v>45717</v>
      </c>
      <c r="EE41" s="645">
        <v>45748</v>
      </c>
      <c r="EF41" s="645">
        <v>45778</v>
      </c>
      <c r="EG41" s="645">
        <v>45809</v>
      </c>
      <c r="EH41" s="645">
        <v>45839</v>
      </c>
      <c r="EI41" s="645">
        <v>45870</v>
      </c>
      <c r="EJ41" s="645">
        <v>45901</v>
      </c>
      <c r="EK41" s="645">
        <v>45931</v>
      </c>
      <c r="EL41" s="645">
        <v>45962</v>
      </c>
      <c r="EM41" s="645">
        <v>45992</v>
      </c>
      <c r="EN41" s="759">
        <f t="shared" ref="EN41" si="90">YEAR(EM41)</f>
        <v>2025</v>
      </c>
      <c r="EO41" s="645">
        <v>46023</v>
      </c>
      <c r="EP41" s="645">
        <v>46054</v>
      </c>
      <c r="EQ41" s="645">
        <v>46082</v>
      </c>
      <c r="ER41" s="645">
        <v>46113</v>
      </c>
      <c r="ES41" s="645">
        <v>46143</v>
      </c>
      <c r="ET41" s="645">
        <v>46174</v>
      </c>
      <c r="EU41" s="645">
        <v>46204</v>
      </c>
      <c r="EV41" s="645">
        <v>46235</v>
      </c>
      <c r="EW41" s="645">
        <v>46266</v>
      </c>
      <c r="EX41" s="645">
        <v>46296</v>
      </c>
      <c r="EY41" s="645">
        <v>46327</v>
      </c>
      <c r="EZ41" s="645">
        <v>46357</v>
      </c>
      <c r="FA41" s="759">
        <f>YEAR(EZ41)</f>
        <v>2026</v>
      </c>
      <c r="FB41" s="753"/>
      <c r="FC41" s="485">
        <f>$FC$5</f>
        <v>46327</v>
      </c>
      <c r="FD41" s="486" t="str">
        <f>CONCATENATE("Ene.-",TEXT(FC41,"MMM."))</f>
        <v>Ene.-Nov.</v>
      </c>
      <c r="FE41" s="487" t="str">
        <f>FD41</f>
        <v>Ene.-Nov.</v>
      </c>
      <c r="FF41" s="487" t="str">
        <f>FD41</f>
        <v>Ene.-Nov.</v>
      </c>
      <c r="FG41" s="831"/>
    </row>
    <row r="42" spans="1:163" ht="15" customHeight="1" x14ac:dyDescent="0.25">
      <c r="A42" s="376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832"/>
      <c r="O42" s="375"/>
      <c r="P42" s="375"/>
      <c r="Q42" s="375"/>
      <c r="R42" s="375"/>
      <c r="S42" s="375"/>
      <c r="T42" s="375"/>
      <c r="U42" s="375"/>
      <c r="V42" s="375"/>
      <c r="W42" s="375"/>
      <c r="X42" s="375"/>
      <c r="Y42" s="375"/>
      <c r="Z42" s="375"/>
      <c r="AA42" s="832"/>
      <c r="AB42" s="375"/>
      <c r="AC42" s="375"/>
      <c r="AD42" s="375"/>
      <c r="AE42" s="375"/>
      <c r="AF42" s="375"/>
      <c r="AG42" s="375"/>
      <c r="AH42" s="375"/>
      <c r="AI42" s="375"/>
      <c r="AJ42" s="375"/>
      <c r="AK42" s="375"/>
      <c r="AL42" s="375"/>
      <c r="AM42" s="375"/>
      <c r="AN42" s="832"/>
      <c r="AO42" s="375"/>
      <c r="AP42" s="375"/>
      <c r="AQ42" s="375"/>
      <c r="AR42" s="375"/>
      <c r="AS42" s="375"/>
      <c r="AT42" s="375"/>
      <c r="AU42" s="375"/>
      <c r="AV42" s="375"/>
      <c r="AW42" s="375"/>
      <c r="AX42" s="375"/>
      <c r="AY42" s="375"/>
      <c r="AZ42" s="375"/>
      <c r="BA42" s="832"/>
      <c r="BB42" s="375"/>
      <c r="BC42" s="375"/>
      <c r="BD42" s="375"/>
      <c r="BE42" s="375"/>
      <c r="BF42" s="375"/>
      <c r="BG42" s="375"/>
      <c r="BH42" s="375"/>
      <c r="BI42" s="375"/>
      <c r="BJ42" s="375"/>
      <c r="BK42" s="375"/>
      <c r="BL42" s="375"/>
      <c r="BM42" s="375"/>
      <c r="BN42" s="832"/>
      <c r="BO42" s="375"/>
      <c r="BP42" s="375"/>
      <c r="BQ42" s="375"/>
      <c r="BR42" s="375"/>
      <c r="BS42" s="375"/>
      <c r="BT42" s="375"/>
      <c r="BU42" s="375"/>
      <c r="BV42" s="375"/>
      <c r="BW42" s="375"/>
      <c r="BX42" s="375"/>
      <c r="BY42" s="375"/>
      <c r="BZ42" s="375"/>
      <c r="CA42" s="832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832"/>
      <c r="CO42" s="375"/>
      <c r="CP42" s="375"/>
      <c r="CQ42" s="375"/>
      <c r="CR42" s="375"/>
      <c r="CS42" s="375"/>
      <c r="CT42" s="375"/>
      <c r="CU42" s="375"/>
      <c r="CV42" s="375"/>
      <c r="CW42" s="375"/>
      <c r="CX42" s="375"/>
      <c r="CY42" s="375"/>
      <c r="CZ42" s="375"/>
      <c r="DA42" s="832"/>
      <c r="DB42" s="375"/>
      <c r="DC42" s="375"/>
      <c r="DD42" s="375"/>
      <c r="DE42" s="375"/>
      <c r="DF42" s="375"/>
      <c r="DG42" s="375"/>
      <c r="DH42" s="375"/>
      <c r="DI42" s="375"/>
      <c r="DJ42" s="375"/>
      <c r="DK42" s="375"/>
      <c r="DL42" s="375"/>
      <c r="DM42" s="375"/>
      <c r="DN42" s="832"/>
      <c r="DO42" s="375"/>
      <c r="DP42" s="375"/>
      <c r="DQ42" s="375"/>
      <c r="DR42" s="375"/>
      <c r="DS42" s="375"/>
      <c r="DT42" s="375"/>
      <c r="DU42" s="375"/>
      <c r="DV42" s="375"/>
      <c r="DW42" s="375"/>
      <c r="DX42" s="375"/>
      <c r="DY42" s="375"/>
      <c r="DZ42" s="375"/>
      <c r="EA42" s="832"/>
      <c r="EB42" s="375"/>
      <c r="EC42" s="375"/>
      <c r="ED42" s="375"/>
      <c r="EE42" s="375"/>
      <c r="EF42" s="375"/>
      <c r="EG42" s="375"/>
      <c r="EH42" s="375"/>
      <c r="EI42" s="375"/>
      <c r="EJ42" s="375"/>
      <c r="EK42" s="375"/>
      <c r="EL42" s="375"/>
      <c r="EM42" s="375"/>
      <c r="EN42" s="832"/>
      <c r="EO42" s="375"/>
      <c r="EP42" s="375"/>
      <c r="EQ42" s="375"/>
      <c r="ER42" s="375"/>
      <c r="ES42" s="375"/>
      <c r="ET42" s="375"/>
      <c r="EU42" s="375"/>
      <c r="EV42" s="375"/>
      <c r="EW42" s="375"/>
      <c r="EX42" s="375"/>
      <c r="EY42" s="375"/>
      <c r="EZ42" s="375"/>
      <c r="FA42" s="832"/>
      <c r="FC42" s="494"/>
      <c r="FD42" s="495"/>
      <c r="FE42" s="496"/>
      <c r="FF42" s="497"/>
    </row>
    <row r="43" spans="1:163" s="793" customFormat="1" ht="15" customHeight="1" x14ac:dyDescent="0.25">
      <c r="A43" s="822" t="s">
        <v>320</v>
      </c>
      <c r="B43" s="788">
        <f t="shared" ref="B43:M43" si="91">SUM(B44:B47)</f>
        <v>10210</v>
      </c>
      <c r="C43" s="788">
        <f t="shared" si="91"/>
        <v>9656</v>
      </c>
      <c r="D43" s="788">
        <f t="shared" si="91"/>
        <v>10724</v>
      </c>
      <c r="E43" s="788">
        <f t="shared" si="91"/>
        <v>10515</v>
      </c>
      <c r="F43" s="788">
        <f t="shared" si="91"/>
        <v>11680</v>
      </c>
      <c r="G43" s="788">
        <f t="shared" si="91"/>
        <v>11377</v>
      </c>
      <c r="H43" s="788">
        <f t="shared" si="91"/>
        <v>11934</v>
      </c>
      <c r="I43" s="788">
        <f t="shared" si="91"/>
        <v>13124</v>
      </c>
      <c r="J43" s="788">
        <f t="shared" si="91"/>
        <v>13195</v>
      </c>
      <c r="K43" s="788">
        <f t="shared" si="91"/>
        <v>13338</v>
      </c>
      <c r="L43" s="788">
        <f t="shared" si="91"/>
        <v>12970</v>
      </c>
      <c r="M43" s="788">
        <f t="shared" si="91"/>
        <v>12968</v>
      </c>
      <c r="N43" s="833">
        <f>SUM(B43:M43)</f>
        <v>141691</v>
      </c>
      <c r="O43" s="788">
        <f t="shared" ref="O43:Z43" si="92">SUM(O44:O47)</f>
        <v>13903</v>
      </c>
      <c r="P43" s="788">
        <f t="shared" si="92"/>
        <v>13076</v>
      </c>
      <c r="Q43" s="788">
        <f t="shared" si="92"/>
        <v>12664</v>
      </c>
      <c r="R43" s="788">
        <f t="shared" si="92"/>
        <v>12681</v>
      </c>
      <c r="S43" s="788">
        <f t="shared" si="92"/>
        <v>12219</v>
      </c>
      <c r="T43" s="788">
        <f t="shared" si="92"/>
        <v>11696</v>
      </c>
      <c r="U43" s="788">
        <f t="shared" si="92"/>
        <v>12198</v>
      </c>
      <c r="V43" s="788">
        <f t="shared" si="92"/>
        <v>12411</v>
      </c>
      <c r="W43" s="788">
        <f t="shared" si="92"/>
        <v>11430</v>
      </c>
      <c r="X43" s="788">
        <f t="shared" si="92"/>
        <v>12323</v>
      </c>
      <c r="Y43" s="788">
        <f t="shared" si="92"/>
        <v>12608</v>
      </c>
      <c r="Z43" s="788">
        <f t="shared" si="92"/>
        <v>12577</v>
      </c>
      <c r="AA43" s="833">
        <f>SUM(O43:Z43)</f>
        <v>149786</v>
      </c>
      <c r="AB43" s="788">
        <f>SUM(AB44:AB47)</f>
        <v>11554</v>
      </c>
      <c r="AC43" s="788">
        <f t="shared" ref="AC43:AM43" si="93">SUM(AC44:AC47)</f>
        <v>10849</v>
      </c>
      <c r="AD43" s="788">
        <f t="shared" si="93"/>
        <v>11907</v>
      </c>
      <c r="AE43" s="788">
        <f t="shared" si="93"/>
        <v>10870</v>
      </c>
      <c r="AF43" s="788">
        <f t="shared" si="93"/>
        <v>10358</v>
      </c>
      <c r="AG43" s="788">
        <f t="shared" si="93"/>
        <v>10992</v>
      </c>
      <c r="AH43" s="788">
        <f t="shared" si="93"/>
        <v>11185</v>
      </c>
      <c r="AI43" s="788">
        <f t="shared" si="93"/>
        <v>12402</v>
      </c>
      <c r="AJ43" s="788">
        <f t="shared" si="93"/>
        <v>12471</v>
      </c>
      <c r="AK43" s="788">
        <f t="shared" si="93"/>
        <v>12642</v>
      </c>
      <c r="AL43" s="788">
        <f t="shared" si="93"/>
        <v>12122</v>
      </c>
      <c r="AM43" s="788">
        <f t="shared" si="93"/>
        <v>12884</v>
      </c>
      <c r="AN43" s="833">
        <f>SUM(AB43:AM43)</f>
        <v>140236</v>
      </c>
      <c r="AO43" s="788">
        <f t="shared" ref="AO43:AZ43" si="94">SUM(AO44:AO47)</f>
        <v>12602.837542571524</v>
      </c>
      <c r="AP43" s="788">
        <f t="shared" si="94"/>
        <v>12118.406337670245</v>
      </c>
      <c r="AQ43" s="788">
        <f t="shared" si="94"/>
        <v>13212.955894107799</v>
      </c>
      <c r="AR43" s="788">
        <f t="shared" si="94"/>
        <v>13125.59321602272</v>
      </c>
      <c r="AS43" s="788">
        <f t="shared" si="94"/>
        <v>12842.75530774127</v>
      </c>
      <c r="AT43" s="788">
        <f t="shared" si="94"/>
        <v>12369.155150146284</v>
      </c>
      <c r="AU43" s="788">
        <f t="shared" si="94"/>
        <v>12974.160204593041</v>
      </c>
      <c r="AV43" s="788">
        <f t="shared" si="94"/>
        <v>13089.803584748881</v>
      </c>
      <c r="AW43" s="788">
        <f t="shared" si="94"/>
        <v>13747.09191159888</v>
      </c>
      <c r="AX43" s="788">
        <f t="shared" si="94"/>
        <v>13975.841567017538</v>
      </c>
      <c r="AY43" s="788">
        <f t="shared" si="94"/>
        <v>13661.650270000113</v>
      </c>
      <c r="AZ43" s="788">
        <f t="shared" si="94"/>
        <v>13694.136989999917</v>
      </c>
      <c r="BA43" s="833">
        <f>SUM(AO43:AZ43)</f>
        <v>157414.38797621819</v>
      </c>
      <c r="BB43" s="788">
        <f t="shared" ref="BB43:CM43" si="95">SUM(BB44:BB47)</f>
        <v>13680</v>
      </c>
      <c r="BC43" s="788">
        <f t="shared" si="95"/>
        <v>12587</v>
      </c>
      <c r="BD43" s="788">
        <f t="shared" si="95"/>
        <v>13965</v>
      </c>
      <c r="BE43" s="788">
        <f t="shared" si="95"/>
        <v>13960</v>
      </c>
      <c r="BF43" s="788">
        <f t="shared" si="95"/>
        <v>14571</v>
      </c>
      <c r="BG43" s="788">
        <f t="shared" si="95"/>
        <v>14048</v>
      </c>
      <c r="BH43" s="788">
        <f t="shared" si="95"/>
        <v>14012</v>
      </c>
      <c r="BI43" s="788">
        <f t="shared" si="95"/>
        <v>14229</v>
      </c>
      <c r="BJ43" s="788">
        <f t="shared" si="95"/>
        <v>15147</v>
      </c>
      <c r="BK43" s="788">
        <f t="shared" si="95"/>
        <v>15263</v>
      </c>
      <c r="BL43" s="788">
        <f t="shared" si="95"/>
        <v>15071</v>
      </c>
      <c r="BM43" s="788">
        <f t="shared" si="95"/>
        <v>15089.83518999994</v>
      </c>
      <c r="BN43" s="833">
        <f>SUM(BB43:BM43)</f>
        <v>171622.83518999995</v>
      </c>
      <c r="BO43" s="788">
        <f t="shared" si="95"/>
        <v>15504.554669999967</v>
      </c>
      <c r="BP43" s="788">
        <f t="shared" si="95"/>
        <v>14223.490769999849</v>
      </c>
      <c r="BQ43" s="788">
        <f t="shared" si="95"/>
        <v>14076.200999999999</v>
      </c>
      <c r="BR43" s="788">
        <f t="shared" si="95"/>
        <v>13195.286519999776</v>
      </c>
      <c r="BS43" s="788">
        <f t="shared" si="95"/>
        <v>12303.249150000001</v>
      </c>
      <c r="BT43" s="788">
        <f t="shared" si="95"/>
        <v>11176.9269</v>
      </c>
      <c r="BU43" s="788">
        <f t="shared" si="95"/>
        <v>13745.439300000002</v>
      </c>
      <c r="BV43" s="788">
        <f t="shared" si="95"/>
        <v>15065.251060000001</v>
      </c>
      <c r="BW43" s="788">
        <f t="shared" si="95"/>
        <v>14956.27518999992</v>
      </c>
      <c r="BX43" s="788">
        <f t="shared" si="95"/>
        <v>16098.416090000126</v>
      </c>
      <c r="BY43" s="788">
        <f t="shared" si="95"/>
        <v>16116.769659999998</v>
      </c>
      <c r="BZ43" s="788">
        <f t="shared" si="95"/>
        <v>15880.883230000136</v>
      </c>
      <c r="CA43" s="833">
        <f t="shared" si="95"/>
        <v>172342.74353999979</v>
      </c>
      <c r="CB43" s="788">
        <f t="shared" si="95"/>
        <v>16272.559230000246</v>
      </c>
      <c r="CC43" s="788">
        <f t="shared" si="95"/>
        <v>14680.103239999802</v>
      </c>
      <c r="CD43" s="788">
        <f t="shared" si="95"/>
        <v>15696.635610000238</v>
      </c>
      <c r="CE43" s="788">
        <f t="shared" si="95"/>
        <v>15437.413440000284</v>
      </c>
      <c r="CF43" s="788">
        <f t="shared" si="95"/>
        <v>15801.888720000137</v>
      </c>
      <c r="CG43" s="788">
        <f t="shared" si="95"/>
        <v>15461.242520000182</v>
      </c>
      <c r="CH43" s="788">
        <f t="shared" si="95"/>
        <v>15713.37520000023</v>
      </c>
      <c r="CI43" s="788">
        <f t="shared" si="95"/>
        <v>17832.584019999995</v>
      </c>
      <c r="CJ43" s="788">
        <f t="shared" si="95"/>
        <v>18151.997290000145</v>
      </c>
      <c r="CK43" s="788">
        <f t="shared" si="95"/>
        <v>20118.441560000047</v>
      </c>
      <c r="CL43" s="788">
        <f t="shared" si="95"/>
        <v>18965.776580000154</v>
      </c>
      <c r="CM43" s="788">
        <f t="shared" si="95"/>
        <v>19310.942830000022</v>
      </c>
      <c r="CN43" s="833">
        <f>SUM(CB43:CM43)</f>
        <v>203442.96024000144</v>
      </c>
      <c r="CO43" s="788">
        <f t="shared" ref="CO43:CZ43" si="96">SUM(CO44:CO47)</f>
        <v>19416.249990000328</v>
      </c>
      <c r="CP43" s="788">
        <f t="shared" si="96"/>
        <v>16802.834790000095</v>
      </c>
      <c r="CQ43" s="788">
        <f t="shared" si="96"/>
        <v>19123.106900000002</v>
      </c>
      <c r="CR43" s="788">
        <f t="shared" si="96"/>
        <v>18657.831576</v>
      </c>
      <c r="CS43" s="788">
        <f t="shared" si="96"/>
        <v>19312.939209999808</v>
      </c>
      <c r="CT43" s="788">
        <f t="shared" si="96"/>
        <v>18561.664260000449</v>
      </c>
      <c r="CU43" s="788">
        <f t="shared" si="96"/>
        <v>20488.781789999932</v>
      </c>
      <c r="CV43" s="788">
        <f t="shared" si="96"/>
        <v>20582.038919999934</v>
      </c>
      <c r="CW43" s="788">
        <f t="shared" si="96"/>
        <v>21716.795399999857</v>
      </c>
      <c r="CX43" s="788">
        <f t="shared" si="96"/>
        <v>22142.81100999999</v>
      </c>
      <c r="CY43" s="788">
        <f t="shared" si="96"/>
        <v>21610.259809999981</v>
      </c>
      <c r="CZ43" s="788">
        <f t="shared" si="96"/>
        <v>22592.117560000002</v>
      </c>
      <c r="DA43" s="833">
        <f>SUM(CO43:CZ43)</f>
        <v>241007.4312160004</v>
      </c>
      <c r="DB43" s="788">
        <f t="shared" ref="DB43:EZ43" si="97">SUM(DB44:DB47)</f>
        <v>21665.531989999843</v>
      </c>
      <c r="DC43" s="788">
        <f t="shared" si="97"/>
        <v>18977.071979999982</v>
      </c>
      <c r="DD43" s="788">
        <f t="shared" si="97"/>
        <v>20709.621120000222</v>
      </c>
      <c r="DE43" s="788">
        <f t="shared" si="97"/>
        <v>19861.615999999933</v>
      </c>
      <c r="DF43" s="788">
        <f t="shared" si="97"/>
        <v>20995.045769999986</v>
      </c>
      <c r="DG43" s="788">
        <f t="shared" si="97"/>
        <v>19288.684050000262</v>
      </c>
      <c r="DH43" s="788">
        <f t="shared" si="97"/>
        <v>20777.28053000008</v>
      </c>
      <c r="DI43" s="788">
        <f t="shared" si="97"/>
        <v>20927.650490000102</v>
      </c>
      <c r="DJ43" s="788">
        <f t="shared" si="97"/>
        <v>21101.283120000073</v>
      </c>
      <c r="DK43" s="788">
        <f t="shared" si="97"/>
        <v>21924.442770000012</v>
      </c>
      <c r="DL43" s="788">
        <f t="shared" si="97"/>
        <v>20518.832590000027</v>
      </c>
      <c r="DM43" s="788">
        <f t="shared" si="97"/>
        <v>21213.63228000006</v>
      </c>
      <c r="DN43" s="833">
        <f>SUM(DB43:DM43)</f>
        <v>247960.69269000055</v>
      </c>
      <c r="DO43" s="788">
        <f t="shared" si="97"/>
        <v>20801.756380000199</v>
      </c>
      <c r="DP43" s="788">
        <f t="shared" si="97"/>
        <v>19202.581444700227</v>
      </c>
      <c r="DQ43" s="788">
        <f t="shared" si="97"/>
        <v>20616.609170000367</v>
      </c>
      <c r="DR43" s="788">
        <f t="shared" si="97"/>
        <v>20830.788500000253</v>
      </c>
      <c r="DS43" s="788">
        <f t="shared" si="97"/>
        <v>20331.170870000002</v>
      </c>
      <c r="DT43" s="788">
        <f t="shared" si="97"/>
        <v>20090.035250000001</v>
      </c>
      <c r="DU43" s="788">
        <f t="shared" si="97"/>
        <v>20352.79038000006</v>
      </c>
      <c r="DV43" s="788">
        <f t="shared" si="97"/>
        <v>21959.703060000294</v>
      </c>
      <c r="DW43" s="788">
        <f t="shared" si="97"/>
        <v>22919.075520000057</v>
      </c>
      <c r="DX43" s="788">
        <f t="shared" si="97"/>
        <v>23200.97248</v>
      </c>
      <c r="DY43" s="788">
        <f t="shared" si="97"/>
        <v>21553.280480000019</v>
      </c>
      <c r="DZ43" s="788">
        <f t="shared" si="97"/>
        <v>21965.964060000002</v>
      </c>
      <c r="EA43" s="833">
        <f>SUM(DO43:DZ43)</f>
        <v>253824.72759470149</v>
      </c>
      <c r="EB43" s="788">
        <f t="shared" ref="EB43:EM43" si="98">SUM(EB44:EB47)</f>
        <v>22049.3773</v>
      </c>
      <c r="EC43" s="788">
        <f t="shared" si="98"/>
        <v>19634.835900000009</v>
      </c>
      <c r="ED43" s="788">
        <f t="shared" si="98"/>
        <v>21080.72968</v>
      </c>
      <c r="EE43" s="788">
        <f t="shared" si="98"/>
        <v>21199.40873000001</v>
      </c>
      <c r="EF43" s="788">
        <f t="shared" si="98"/>
        <v>21791.667939999999</v>
      </c>
      <c r="EG43" s="788">
        <f t="shared" si="98"/>
        <v>20532.599330000001</v>
      </c>
      <c r="EH43" s="788">
        <f t="shared" si="98"/>
        <v>21043.594159999931</v>
      </c>
      <c r="EI43" s="788">
        <f t="shared" si="98"/>
        <v>21658.808090000002</v>
      </c>
      <c r="EJ43" s="788">
        <f t="shared" si="98"/>
        <v>21468.894179999934</v>
      </c>
      <c r="EK43" s="788">
        <f t="shared" si="98"/>
        <v>22119.131789999999</v>
      </c>
      <c r="EL43" s="788">
        <f t="shared" si="98"/>
        <v>21220.866940000004</v>
      </c>
      <c r="EM43" s="788">
        <f t="shared" si="98"/>
        <v>21836.083010000002</v>
      </c>
      <c r="EN43" s="833">
        <f>SUM(EB43:EM43)</f>
        <v>255635.99704999992</v>
      </c>
      <c r="EO43" s="788">
        <f t="shared" si="97"/>
        <v>22049.3773</v>
      </c>
      <c r="EP43" s="788">
        <f t="shared" si="97"/>
        <v>19634.835900000009</v>
      </c>
      <c r="EQ43" s="788">
        <f t="shared" si="97"/>
        <v>21080.72968</v>
      </c>
      <c r="ER43" s="788">
        <f t="shared" si="97"/>
        <v>21199.40873000001</v>
      </c>
      <c r="ES43" s="788">
        <f t="shared" si="97"/>
        <v>21791.667939999999</v>
      </c>
      <c r="ET43" s="788">
        <f t="shared" si="97"/>
        <v>20532.599330000001</v>
      </c>
      <c r="EU43" s="788">
        <f t="shared" si="97"/>
        <v>21043.594159999931</v>
      </c>
      <c r="EV43" s="788">
        <f t="shared" si="97"/>
        <v>21658.808090000002</v>
      </c>
      <c r="EW43" s="788">
        <f t="shared" si="97"/>
        <v>21468.894179999934</v>
      </c>
      <c r="EX43" s="788">
        <f t="shared" si="97"/>
        <v>22119.131789999999</v>
      </c>
      <c r="EY43" s="788">
        <f t="shared" si="97"/>
        <v>21220.866940000004</v>
      </c>
      <c r="EZ43" s="788">
        <f t="shared" si="97"/>
        <v>21836.083010000002</v>
      </c>
      <c r="FA43" s="833">
        <f>SUM(EO43:EZ43)</f>
        <v>255635.99704999992</v>
      </c>
      <c r="FB43" s="757"/>
      <c r="FC43" s="544">
        <f t="shared" ref="FC43:FC47" si="99">((EY43/DY43)-1)*100</f>
        <v>-1.5422874504346207</v>
      </c>
      <c r="FD43" s="545">
        <f t="shared" ref="FD43:FD47" si="100">((FF43/FE43)-1)*100</f>
        <v>0.8372124804365777</v>
      </c>
      <c r="FE43" s="546">
        <f t="shared" ref="FE43:FE47" si="101">SUM(DO43:DY43)</f>
        <v>231858.76353470149</v>
      </c>
      <c r="FF43" s="547">
        <f t="shared" ref="FF43:FF47" si="102">SUM(EO43:EY43)</f>
        <v>233799.91403999992</v>
      </c>
    </row>
    <row r="44" spans="1:163" ht="15" customHeight="1" x14ac:dyDescent="0.25">
      <c r="A44" s="138" t="s">
        <v>312</v>
      </c>
      <c r="B44" s="151">
        <v>3951</v>
      </c>
      <c r="C44" s="151">
        <v>3826</v>
      </c>
      <c r="D44" s="151">
        <v>4143</v>
      </c>
      <c r="E44" s="151">
        <v>4075</v>
      </c>
      <c r="F44" s="151">
        <v>4392</v>
      </c>
      <c r="G44" s="151">
        <v>4318</v>
      </c>
      <c r="H44" s="151">
        <v>4407</v>
      </c>
      <c r="I44" s="151">
        <v>4756</v>
      </c>
      <c r="J44" s="151">
        <v>4909</v>
      </c>
      <c r="K44" s="151">
        <v>5035</v>
      </c>
      <c r="L44" s="151">
        <v>4773</v>
      </c>
      <c r="M44" s="151">
        <v>4755</v>
      </c>
      <c r="N44" s="834">
        <f>SUM(B44:M44)</f>
        <v>53340</v>
      </c>
      <c r="O44" s="151">
        <v>5081</v>
      </c>
      <c r="P44" s="151">
        <v>4880</v>
      </c>
      <c r="Q44" s="151">
        <v>4562</v>
      </c>
      <c r="R44" s="151">
        <v>4711</v>
      </c>
      <c r="S44" s="151">
        <v>4561</v>
      </c>
      <c r="T44" s="151">
        <v>4401</v>
      </c>
      <c r="U44" s="151">
        <v>4903</v>
      </c>
      <c r="V44" s="151">
        <v>4677</v>
      </c>
      <c r="W44" s="151">
        <v>3827</v>
      </c>
      <c r="X44" s="151">
        <v>4240</v>
      </c>
      <c r="Y44" s="151">
        <v>4189</v>
      </c>
      <c r="Z44" s="151">
        <v>4088</v>
      </c>
      <c r="AA44" s="834">
        <f>SUM(O44:Z44)</f>
        <v>54120</v>
      </c>
      <c r="AB44" s="151">
        <v>3827</v>
      </c>
      <c r="AC44" s="151">
        <v>3646</v>
      </c>
      <c r="AD44" s="151">
        <v>3621</v>
      </c>
      <c r="AE44" s="151">
        <v>2772</v>
      </c>
      <c r="AF44" s="151">
        <v>2391</v>
      </c>
      <c r="AG44" s="151">
        <v>3359</v>
      </c>
      <c r="AH44" s="151">
        <v>3222</v>
      </c>
      <c r="AI44" s="151">
        <v>3523</v>
      </c>
      <c r="AJ44" s="151">
        <v>3663</v>
      </c>
      <c r="AK44" s="151">
        <v>3750</v>
      </c>
      <c r="AL44" s="151">
        <v>3693</v>
      </c>
      <c r="AM44" s="151">
        <v>3759</v>
      </c>
      <c r="AN44" s="834">
        <f>SUM(AB44:AM44)</f>
        <v>41226</v>
      </c>
      <c r="AO44" s="151">
        <v>3681.3416699999998</v>
      </c>
      <c r="AP44" s="151">
        <v>3642.5544599999998</v>
      </c>
      <c r="AQ44" s="151">
        <v>3790.2765699999995</v>
      </c>
      <c r="AR44" s="151">
        <v>3832.0721599999997</v>
      </c>
      <c r="AS44" s="151">
        <v>3626.7801400000003</v>
      </c>
      <c r="AT44" s="151">
        <v>3532.4049099999997</v>
      </c>
      <c r="AU44" s="151">
        <v>3524.0193800000006</v>
      </c>
      <c r="AV44" s="151">
        <v>3682</v>
      </c>
      <c r="AW44" s="151">
        <v>3750</v>
      </c>
      <c r="AX44" s="151">
        <v>3874</v>
      </c>
      <c r="AY44" s="151">
        <v>3924.7056199999997</v>
      </c>
      <c r="AZ44" s="151">
        <v>3802.0736600000005</v>
      </c>
      <c r="BA44" s="834">
        <f>SUM(AO44:AZ44)</f>
        <v>44662.228570000007</v>
      </c>
      <c r="BB44" s="151">
        <v>3996</v>
      </c>
      <c r="BC44" s="151">
        <v>3677</v>
      </c>
      <c r="BD44" s="151">
        <v>4079</v>
      </c>
      <c r="BE44" s="151">
        <v>4078</v>
      </c>
      <c r="BF44" s="151">
        <v>3973</v>
      </c>
      <c r="BG44" s="151">
        <v>3716</v>
      </c>
      <c r="BH44" s="151">
        <v>3774</v>
      </c>
      <c r="BI44" s="151">
        <v>3917</v>
      </c>
      <c r="BJ44" s="151">
        <v>4034</v>
      </c>
      <c r="BK44" s="151">
        <v>4294</v>
      </c>
      <c r="BL44" s="151">
        <v>4342</v>
      </c>
      <c r="BM44" s="151">
        <v>4129.66273</v>
      </c>
      <c r="BN44" s="834">
        <f>SUM(BB44:BM44)</f>
        <v>48009.662729999996</v>
      </c>
      <c r="BO44" s="151">
        <v>4252.3811800000003</v>
      </c>
      <c r="BP44" s="151">
        <v>3864.7370300000007</v>
      </c>
      <c r="BQ44" s="151">
        <v>3508.2894600000004</v>
      </c>
      <c r="BR44" s="151">
        <v>2566.5485400000002</v>
      </c>
      <c r="BS44" s="151">
        <v>2619.2670900000003</v>
      </c>
      <c r="BT44" s="151">
        <v>3029.30161</v>
      </c>
      <c r="BU44" s="151">
        <v>3443.2735699999998</v>
      </c>
      <c r="BV44" s="151">
        <v>3735.8520899999999</v>
      </c>
      <c r="BW44" s="151">
        <v>3716.241860000001</v>
      </c>
      <c r="BX44" s="151">
        <v>3857.9832000000001</v>
      </c>
      <c r="BY44" s="151">
        <v>3898.0213200000003</v>
      </c>
      <c r="BZ44" s="151">
        <v>3940.2409600000001</v>
      </c>
      <c r="CA44" s="834">
        <f>SUM(BO44:BZ44)</f>
        <v>42432.137910000005</v>
      </c>
      <c r="CB44" s="151">
        <v>3901.3650599999996</v>
      </c>
      <c r="CC44" s="151">
        <v>3684.8624699999991</v>
      </c>
      <c r="CD44" s="151">
        <v>3928.2270400000007</v>
      </c>
      <c r="CE44" s="151">
        <v>3782.8578200000002</v>
      </c>
      <c r="CF44" s="151">
        <v>3884.6399100000008</v>
      </c>
      <c r="CG44" s="151">
        <v>3727.33808</v>
      </c>
      <c r="CH44" s="151">
        <v>3766.3379899999995</v>
      </c>
      <c r="CI44" s="151">
        <v>4199.1752000000006</v>
      </c>
      <c r="CJ44" s="151">
        <v>4379.1630699999996</v>
      </c>
      <c r="CK44" s="151">
        <v>4748.1081199999999</v>
      </c>
      <c r="CL44" s="151">
        <v>4622.1016200000013</v>
      </c>
      <c r="CM44" s="151">
        <v>4599.6763000000001</v>
      </c>
      <c r="CN44" s="834">
        <f>SUM(CB44:CM44)</f>
        <v>49223.852680000004</v>
      </c>
      <c r="CO44" s="151">
        <v>4613.9628599999996</v>
      </c>
      <c r="CP44" s="151">
        <v>4292.4863699999996</v>
      </c>
      <c r="CQ44" s="151">
        <v>4663.1152200000006</v>
      </c>
      <c r="CR44" s="151">
        <v>4476.2989660000003</v>
      </c>
      <c r="CS44" s="151">
        <v>4732.0183100000004</v>
      </c>
      <c r="CT44" s="151">
        <v>4581.7109400000008</v>
      </c>
      <c r="CU44" s="151">
        <v>4821.232109999999</v>
      </c>
      <c r="CV44" s="151">
        <v>5182.9198899999992</v>
      </c>
      <c r="CW44" s="151">
        <v>5591.0610299999989</v>
      </c>
      <c r="CX44" s="151">
        <v>5842.8711599999988</v>
      </c>
      <c r="CY44" s="151">
        <v>5823.75882</v>
      </c>
      <c r="CZ44" s="151">
        <v>5940.931050000002</v>
      </c>
      <c r="DA44" s="834">
        <f>SUM(CO44:CZ44)</f>
        <v>60562.366725999993</v>
      </c>
      <c r="DB44" s="151">
        <v>5755.7555300000004</v>
      </c>
      <c r="DC44" s="151">
        <v>5204.7706799999996</v>
      </c>
      <c r="DD44" s="151">
        <v>5840.210399999999</v>
      </c>
      <c r="DE44" s="151">
        <v>5216.3777199999995</v>
      </c>
      <c r="DF44" s="151">
        <v>5445.4541200000003</v>
      </c>
      <c r="DG44" s="151">
        <v>5163.1001500000011</v>
      </c>
      <c r="DH44" s="151">
        <v>5141.4809999999979</v>
      </c>
      <c r="DI44" s="151">
        <v>5245.0842700000003</v>
      </c>
      <c r="DJ44" s="151">
        <v>5195.4055600000002</v>
      </c>
      <c r="DK44" s="151">
        <v>5475.2128499999999</v>
      </c>
      <c r="DL44" s="151">
        <v>5630.5584599999993</v>
      </c>
      <c r="DM44" s="151">
        <v>5610.5652699999991</v>
      </c>
      <c r="DN44" s="834">
        <f>SUM(DB44:DM44)</f>
        <v>64923.976009999991</v>
      </c>
      <c r="DO44" s="151">
        <v>5218.4099500000002</v>
      </c>
      <c r="DP44" s="151">
        <v>4947.0336200000011</v>
      </c>
      <c r="DQ44" s="151">
        <v>5038.3961399999998</v>
      </c>
      <c r="DR44" s="151">
        <v>5259.0553100000006</v>
      </c>
      <c r="DS44" s="151">
        <v>5174.2921999999999</v>
      </c>
      <c r="DT44" s="151">
        <v>5077.3679699999993</v>
      </c>
      <c r="DU44" s="151">
        <v>5127.6033099999995</v>
      </c>
      <c r="DV44" s="151">
        <v>5501.2550900000006</v>
      </c>
      <c r="DW44" s="151">
        <v>5671.9760900000001</v>
      </c>
      <c r="DX44" s="151">
        <v>5852.0245600000007</v>
      </c>
      <c r="DY44" s="151">
        <v>5439.357030000001</v>
      </c>
      <c r="DZ44" s="151">
        <v>5322.5147400000005</v>
      </c>
      <c r="EA44" s="834">
        <f>SUM(DO44:DZ44)</f>
        <v>63629.286009999989</v>
      </c>
      <c r="EB44" s="151">
        <v>5362.2859600000002</v>
      </c>
      <c r="EC44" s="151">
        <v>4962.6457399999999</v>
      </c>
      <c r="ED44" s="151">
        <v>5228.5634199999995</v>
      </c>
      <c r="EE44" s="151">
        <v>5313.3679499999989</v>
      </c>
      <c r="EF44" s="151">
        <v>5295.19866</v>
      </c>
      <c r="EG44" s="151">
        <v>5040.3906299999999</v>
      </c>
      <c r="EH44" s="151">
        <v>5146.4549600000009</v>
      </c>
      <c r="EI44" s="151">
        <v>5239.625140000001</v>
      </c>
      <c r="EJ44" s="151">
        <v>5312.7746200000011</v>
      </c>
      <c r="EK44" s="151">
        <v>5401.4529599999996</v>
      </c>
      <c r="EL44" s="151">
        <v>5306.5514300000004</v>
      </c>
      <c r="EM44" s="151">
        <v>5246.9515100000008</v>
      </c>
      <c r="EN44" s="834">
        <f>SUM(EB44:EM44)</f>
        <v>62856.262980000014</v>
      </c>
      <c r="EO44" s="151">
        <v>5362.2859600000002</v>
      </c>
      <c r="EP44" s="151">
        <v>4962.6457399999999</v>
      </c>
      <c r="EQ44" s="151">
        <v>5228.5634199999995</v>
      </c>
      <c r="ER44" s="151">
        <v>5313.3679499999989</v>
      </c>
      <c r="ES44" s="151">
        <v>5295.19866</v>
      </c>
      <c r="ET44" s="151">
        <v>5040.3906299999999</v>
      </c>
      <c r="EU44" s="151">
        <v>5146.4549600000009</v>
      </c>
      <c r="EV44" s="151">
        <v>5239.625140000001</v>
      </c>
      <c r="EW44" s="151">
        <v>5312.7746200000011</v>
      </c>
      <c r="EX44" s="151">
        <v>5401.4529599999996</v>
      </c>
      <c r="EY44" s="151">
        <v>5306.5514300000004</v>
      </c>
      <c r="EZ44" s="151">
        <v>5246.9515100000008</v>
      </c>
      <c r="FA44" s="834">
        <f>SUM(EO44:EZ44)</f>
        <v>62856.262980000014</v>
      </c>
      <c r="FC44" s="595">
        <f t="shared" si="99"/>
        <v>-2.4415679880458341</v>
      </c>
      <c r="FD44" s="596">
        <f t="shared" si="100"/>
        <v>-1.1961900561604843</v>
      </c>
      <c r="FE44" s="498">
        <f t="shared" si="101"/>
        <v>58306.77126999999</v>
      </c>
      <c r="FF44" s="597">
        <f t="shared" si="102"/>
        <v>57609.311470000015</v>
      </c>
    </row>
    <row r="45" spans="1:163" ht="15" customHeight="1" x14ac:dyDescent="0.25">
      <c r="A45" s="138" t="s">
        <v>313</v>
      </c>
      <c r="B45" s="151">
        <v>1891</v>
      </c>
      <c r="C45" s="151">
        <v>1830</v>
      </c>
      <c r="D45" s="151">
        <v>2091</v>
      </c>
      <c r="E45" s="151">
        <v>4085</v>
      </c>
      <c r="F45" s="151">
        <v>2275</v>
      </c>
      <c r="G45" s="151">
        <v>2184</v>
      </c>
      <c r="H45" s="151">
        <v>2344</v>
      </c>
      <c r="I45" s="151">
        <v>2547</v>
      </c>
      <c r="J45" s="151">
        <v>2582</v>
      </c>
      <c r="K45" s="151">
        <v>2586</v>
      </c>
      <c r="L45" s="151">
        <v>2531</v>
      </c>
      <c r="M45" s="151">
        <v>2527</v>
      </c>
      <c r="N45" s="834">
        <f>SUM(B45:M45)</f>
        <v>29473</v>
      </c>
      <c r="O45" s="151">
        <v>2688</v>
      </c>
      <c r="P45" s="151">
        <v>2540</v>
      </c>
      <c r="Q45" s="151">
        <v>2360</v>
      </c>
      <c r="R45" s="151">
        <v>2452</v>
      </c>
      <c r="S45" s="151">
        <v>2353</v>
      </c>
      <c r="T45" s="151">
        <v>2210</v>
      </c>
      <c r="U45" s="151">
        <v>2210</v>
      </c>
      <c r="V45" s="151">
        <v>2432</v>
      </c>
      <c r="W45" s="151">
        <v>2332</v>
      </c>
      <c r="X45" s="151">
        <v>2559</v>
      </c>
      <c r="Y45" s="151">
        <v>2630</v>
      </c>
      <c r="Z45" s="151">
        <v>2618</v>
      </c>
      <c r="AA45" s="834">
        <f>SUM(O45:Z45)</f>
        <v>29384</v>
      </c>
      <c r="AB45" s="151">
        <v>2355</v>
      </c>
      <c r="AC45" s="151">
        <v>2244</v>
      </c>
      <c r="AD45" s="151">
        <v>2535</v>
      </c>
      <c r="AE45" s="151">
        <v>2501</v>
      </c>
      <c r="AF45" s="151">
        <v>2402</v>
      </c>
      <c r="AG45" s="151">
        <v>2366</v>
      </c>
      <c r="AH45" s="151">
        <v>2449</v>
      </c>
      <c r="AI45" s="151">
        <v>2710</v>
      </c>
      <c r="AJ45" s="151">
        <v>2632</v>
      </c>
      <c r="AK45" s="151">
        <v>2858</v>
      </c>
      <c r="AL45" s="151">
        <v>2763</v>
      </c>
      <c r="AM45" s="151">
        <v>2977</v>
      </c>
      <c r="AN45" s="834">
        <f>SUM(AB45:AM45)</f>
        <v>30792</v>
      </c>
      <c r="AO45" s="151">
        <v>2898.3831125715233</v>
      </c>
      <c r="AP45" s="151">
        <v>2829.697767670244</v>
      </c>
      <c r="AQ45" s="151">
        <v>3113.0295141078</v>
      </c>
      <c r="AR45" s="151">
        <v>3100.3951760227219</v>
      </c>
      <c r="AS45" s="151">
        <v>3021.0750777412704</v>
      </c>
      <c r="AT45" s="151">
        <v>2914.1359101462858</v>
      </c>
      <c r="AU45" s="151">
        <v>3124.7099345930401</v>
      </c>
      <c r="AV45" s="151">
        <v>3054</v>
      </c>
      <c r="AW45" s="151">
        <v>3291</v>
      </c>
      <c r="AX45" s="151">
        <v>3392.8415670175373</v>
      </c>
      <c r="AY45" s="151">
        <v>3258.7106399999998</v>
      </c>
      <c r="AZ45" s="151">
        <v>3269.81729</v>
      </c>
      <c r="BA45" s="834">
        <f>SUM(AO45:AZ45)</f>
        <v>37267.795989870421</v>
      </c>
      <c r="BB45" s="151">
        <v>3146</v>
      </c>
      <c r="BC45" s="151">
        <v>2895</v>
      </c>
      <c r="BD45" s="151">
        <v>3212</v>
      </c>
      <c r="BE45" s="151">
        <v>3210</v>
      </c>
      <c r="BF45" s="151">
        <v>3541</v>
      </c>
      <c r="BG45" s="151">
        <v>3465</v>
      </c>
      <c r="BH45" s="151">
        <v>3388</v>
      </c>
      <c r="BI45" s="151">
        <v>3412</v>
      </c>
      <c r="BJ45" s="151">
        <v>3686</v>
      </c>
      <c r="BK45" s="151">
        <v>3643</v>
      </c>
      <c r="BL45" s="151">
        <v>3666</v>
      </c>
      <c r="BM45" s="151">
        <v>3650.1659100000002</v>
      </c>
      <c r="BN45" s="834">
        <f>SUM(BB45:BM45)</f>
        <v>40914.165910000003</v>
      </c>
      <c r="BO45" s="151">
        <v>3744.3844700000004</v>
      </c>
      <c r="BP45" s="151">
        <v>3503.6052099999997</v>
      </c>
      <c r="BQ45" s="151">
        <v>3540.4619499999999</v>
      </c>
      <c r="BR45" s="151">
        <v>3491.7609299999999</v>
      </c>
      <c r="BS45" s="151">
        <v>2616.9806900000003</v>
      </c>
      <c r="BT45" s="151">
        <v>2657.9863100000002</v>
      </c>
      <c r="BU45" s="151">
        <v>3000.9080100000001</v>
      </c>
      <c r="BV45" s="151">
        <v>3341.2718599999998</v>
      </c>
      <c r="BW45" s="151">
        <v>3349.6950400000001</v>
      </c>
      <c r="BX45" s="151">
        <v>3709.950679999999</v>
      </c>
      <c r="BY45" s="151">
        <v>3756.7632100000001</v>
      </c>
      <c r="BZ45" s="151">
        <v>3682.5623300000007</v>
      </c>
      <c r="CA45" s="834">
        <f>SUM(BO45:BZ45)</f>
        <v>40396.330689999995</v>
      </c>
      <c r="CB45" s="151">
        <v>3793.27432</v>
      </c>
      <c r="CC45" s="151">
        <v>3398.5228500000007</v>
      </c>
      <c r="CD45" s="151">
        <v>3598.04817</v>
      </c>
      <c r="CE45" s="151">
        <v>3494.9588499999995</v>
      </c>
      <c r="CF45" s="151">
        <v>3605.4253599999997</v>
      </c>
      <c r="CG45" s="151">
        <v>3573.0448799999999</v>
      </c>
      <c r="CH45" s="151">
        <v>3642.3576400000002</v>
      </c>
      <c r="CI45" s="151">
        <v>4195.7634699999999</v>
      </c>
      <c r="CJ45" s="151">
        <v>4295.8326899999993</v>
      </c>
      <c r="CK45" s="151">
        <v>4808.1883000000007</v>
      </c>
      <c r="CL45" s="151">
        <v>4517.9451399999998</v>
      </c>
      <c r="CM45" s="151">
        <v>4615.58554</v>
      </c>
      <c r="CN45" s="834">
        <f>SUM(CB45:CM45)</f>
        <v>47538.947209999998</v>
      </c>
      <c r="CO45" s="151">
        <v>4562.4705899999999</v>
      </c>
      <c r="CP45" s="151">
        <v>3932.4318499999999</v>
      </c>
      <c r="CQ45" s="151">
        <v>4526.7790900000009</v>
      </c>
      <c r="CR45" s="151">
        <v>4428.9602700000005</v>
      </c>
      <c r="CS45" s="151">
        <v>4590.4556900000007</v>
      </c>
      <c r="CT45" s="151">
        <v>4429.1765399999995</v>
      </c>
      <c r="CU45" s="151">
        <v>4918.278330000001</v>
      </c>
      <c r="CV45" s="151">
        <v>4915.07791</v>
      </c>
      <c r="CW45" s="151">
        <v>5196.0743399999992</v>
      </c>
      <c r="CX45" s="151">
        <v>5256.0026399999988</v>
      </c>
      <c r="CY45" s="151">
        <v>5235.7745700000005</v>
      </c>
      <c r="CZ45" s="151">
        <v>5440.0921100000023</v>
      </c>
      <c r="DA45" s="834">
        <f>SUM(CO45:CZ45)</f>
        <v>57431.573930000006</v>
      </c>
      <c r="DB45" s="151">
        <v>5111.3344900000002</v>
      </c>
      <c r="DC45" s="151">
        <v>4473.3773600000004</v>
      </c>
      <c r="DD45" s="151">
        <v>4932.88346</v>
      </c>
      <c r="DE45" s="151">
        <v>4854.4139400000013</v>
      </c>
      <c r="DF45" s="151">
        <v>5156.9857700000002</v>
      </c>
      <c r="DG45" s="151">
        <v>4737.4322699999984</v>
      </c>
      <c r="DH45" s="151">
        <v>5236.8050399999993</v>
      </c>
      <c r="DI45" s="151">
        <v>5268.9841399999996</v>
      </c>
      <c r="DJ45" s="151">
        <v>5309.681849999999</v>
      </c>
      <c r="DK45" s="151">
        <v>5491.1389800000006</v>
      </c>
      <c r="DL45" s="151">
        <v>4872.39581</v>
      </c>
      <c r="DM45" s="151">
        <v>4926.4599900000012</v>
      </c>
      <c r="DN45" s="834">
        <f>SUM(DB45:DM45)</f>
        <v>60371.893100000008</v>
      </c>
      <c r="DO45" s="151">
        <v>4900.3595000000005</v>
      </c>
      <c r="DP45" s="151">
        <v>4567.3752100000002</v>
      </c>
      <c r="DQ45" s="151">
        <v>4991.7040200000001</v>
      </c>
      <c r="DR45" s="151">
        <v>5035.0624000000007</v>
      </c>
      <c r="DS45" s="151">
        <v>4878.2189800000006</v>
      </c>
      <c r="DT45" s="151">
        <v>4722.6439500000006</v>
      </c>
      <c r="DU45" s="151">
        <v>4849.8705099999997</v>
      </c>
      <c r="DV45" s="151">
        <v>5255.7836000000007</v>
      </c>
      <c r="DW45" s="151">
        <v>5513.14347</v>
      </c>
      <c r="DX45" s="151">
        <v>5588.6279000000004</v>
      </c>
      <c r="DY45" s="151">
        <v>5213.7229299999999</v>
      </c>
      <c r="DZ45" s="151">
        <v>5317.7385999999997</v>
      </c>
      <c r="EA45" s="834">
        <f>SUM(DO45:DZ45)</f>
        <v>60834.251070000013</v>
      </c>
      <c r="EB45" s="151">
        <v>5318.9175100000011</v>
      </c>
      <c r="EC45" s="151">
        <v>4689.8456299999998</v>
      </c>
      <c r="ED45" s="151">
        <v>5100.5629200000003</v>
      </c>
      <c r="EE45" s="151">
        <v>5137.5182400000012</v>
      </c>
      <c r="EF45" s="151">
        <v>5358.4281899999996</v>
      </c>
      <c r="EG45" s="151">
        <v>4963.2568099999999</v>
      </c>
      <c r="EH45" s="151">
        <v>5101.0985100000007</v>
      </c>
      <c r="EI45" s="151">
        <v>5270.252989999999</v>
      </c>
      <c r="EJ45" s="151">
        <v>5241.934119999999</v>
      </c>
      <c r="EK45" s="151">
        <v>5351.9319799999985</v>
      </c>
      <c r="EL45" s="151">
        <v>5249.5578100000002</v>
      </c>
      <c r="EM45" s="151">
        <v>5300.7204800000009</v>
      </c>
      <c r="EN45" s="834">
        <f>SUM(EB45:EM45)</f>
        <v>62084.025190000008</v>
      </c>
      <c r="EO45" s="151">
        <v>5318.9175100000011</v>
      </c>
      <c r="EP45" s="151">
        <v>4689.8456299999998</v>
      </c>
      <c r="EQ45" s="151">
        <v>5100.5629200000003</v>
      </c>
      <c r="ER45" s="151">
        <v>5137.5182400000012</v>
      </c>
      <c r="ES45" s="151">
        <v>5358.4281899999996</v>
      </c>
      <c r="ET45" s="151">
        <v>4963.2568099999999</v>
      </c>
      <c r="EU45" s="151">
        <v>5101.0985100000007</v>
      </c>
      <c r="EV45" s="151">
        <v>5270.252989999999</v>
      </c>
      <c r="EW45" s="151">
        <v>5241.934119999999</v>
      </c>
      <c r="EX45" s="151">
        <v>5351.9319799999985</v>
      </c>
      <c r="EY45" s="151">
        <v>5249.5578100000002</v>
      </c>
      <c r="EZ45" s="151">
        <v>5300.7204800000009</v>
      </c>
      <c r="FA45" s="834">
        <f>SUM(EO45:EZ45)</f>
        <v>62084.025190000008</v>
      </c>
      <c r="FC45" s="595">
        <f t="shared" si="99"/>
        <v>0.68731845710106043</v>
      </c>
      <c r="FD45" s="596">
        <f t="shared" si="100"/>
        <v>2.2818296460616727</v>
      </c>
      <c r="FE45" s="498">
        <f t="shared" si="101"/>
        <v>55516.512470000016</v>
      </c>
      <c r="FF45" s="597">
        <f t="shared" si="102"/>
        <v>56783.304710000004</v>
      </c>
    </row>
    <row r="46" spans="1:163" ht="15" customHeight="1" x14ac:dyDescent="0.25">
      <c r="A46" s="138" t="s">
        <v>314</v>
      </c>
      <c r="B46" s="151">
        <v>4038</v>
      </c>
      <c r="C46" s="151">
        <v>3710</v>
      </c>
      <c r="D46" s="151">
        <v>4156</v>
      </c>
      <c r="E46" s="151">
        <v>2001</v>
      </c>
      <c r="F46" s="151">
        <v>4646</v>
      </c>
      <c r="G46" s="151">
        <v>4533</v>
      </c>
      <c r="H46" s="151">
        <v>4817</v>
      </c>
      <c r="I46" s="151">
        <v>5272</v>
      </c>
      <c r="J46" s="151">
        <v>5331</v>
      </c>
      <c r="K46" s="151">
        <v>5341</v>
      </c>
      <c r="L46" s="151">
        <v>5285</v>
      </c>
      <c r="M46" s="151">
        <v>5290</v>
      </c>
      <c r="N46" s="834">
        <f>SUM(B46:M46)</f>
        <v>54420</v>
      </c>
      <c r="O46" s="151">
        <v>5708</v>
      </c>
      <c r="P46" s="151">
        <v>5284</v>
      </c>
      <c r="Q46" s="151">
        <v>5334</v>
      </c>
      <c r="R46" s="151">
        <v>5119</v>
      </c>
      <c r="S46" s="151">
        <v>4892</v>
      </c>
      <c r="T46" s="151">
        <v>4705</v>
      </c>
      <c r="U46" s="151">
        <v>4705</v>
      </c>
      <c r="V46" s="151">
        <v>4884</v>
      </c>
      <c r="W46" s="151">
        <v>4884</v>
      </c>
      <c r="X46" s="151">
        <v>5090</v>
      </c>
      <c r="Y46" s="151">
        <v>5357</v>
      </c>
      <c r="Z46" s="151">
        <v>5421</v>
      </c>
      <c r="AA46" s="834">
        <f>SUM(O46:Z46)</f>
        <v>61383</v>
      </c>
      <c r="AB46" s="151">
        <v>4956</v>
      </c>
      <c r="AC46" s="151">
        <v>4582</v>
      </c>
      <c r="AD46" s="151">
        <v>5285</v>
      </c>
      <c r="AE46" s="151">
        <v>5171</v>
      </c>
      <c r="AF46" s="151">
        <v>5122</v>
      </c>
      <c r="AG46" s="151">
        <v>4861</v>
      </c>
      <c r="AH46" s="151">
        <v>5068</v>
      </c>
      <c r="AI46" s="151">
        <v>5612</v>
      </c>
      <c r="AJ46" s="151">
        <v>5386</v>
      </c>
      <c r="AK46" s="151">
        <v>5585</v>
      </c>
      <c r="AL46" s="151">
        <v>5221</v>
      </c>
      <c r="AM46" s="151">
        <v>5651</v>
      </c>
      <c r="AN46" s="834">
        <f>SUM(AB46:AM46)</f>
        <v>62500</v>
      </c>
      <c r="AO46" s="151">
        <v>5538.6748599999992</v>
      </c>
      <c r="AP46" s="151">
        <v>5208.5890700000009</v>
      </c>
      <c r="AQ46" s="151">
        <v>5786.5989500000014</v>
      </c>
      <c r="AR46" s="151">
        <v>5708.0271999999995</v>
      </c>
      <c r="AS46" s="151">
        <v>5704.54709</v>
      </c>
      <c r="AT46" s="151">
        <v>5437.5098399999997</v>
      </c>
      <c r="AU46" s="151">
        <v>5785.6342599999998</v>
      </c>
      <c r="AV46" s="151">
        <v>5850.8035847488809</v>
      </c>
      <c r="AW46" s="151">
        <v>6176.09191159888</v>
      </c>
      <c r="AX46" s="151">
        <v>6199</v>
      </c>
      <c r="AY46" s="151">
        <v>5988.0568800000001</v>
      </c>
      <c r="AZ46" s="151">
        <v>6094.5570100000004</v>
      </c>
      <c r="BA46" s="834">
        <f>SUM(AO46:AZ46)</f>
        <v>69478.090656347762</v>
      </c>
      <c r="BB46" s="151">
        <v>6012</v>
      </c>
      <c r="BC46" s="151">
        <v>5531</v>
      </c>
      <c r="BD46" s="151">
        <v>6137</v>
      </c>
      <c r="BE46" s="151">
        <v>6135</v>
      </c>
      <c r="BF46" s="151">
        <v>6483</v>
      </c>
      <c r="BG46" s="151">
        <v>6343</v>
      </c>
      <c r="BH46" s="151">
        <v>6281</v>
      </c>
      <c r="BI46" s="151">
        <v>6318</v>
      </c>
      <c r="BJ46" s="151">
        <v>6828</v>
      </c>
      <c r="BK46" s="151">
        <v>6737</v>
      </c>
      <c r="BL46" s="151">
        <v>6518</v>
      </c>
      <c r="BM46" s="151">
        <v>6729.12</v>
      </c>
      <c r="BN46" s="834">
        <f>SUM(BB46:BM46)</f>
        <v>76052.12</v>
      </c>
      <c r="BO46" s="151">
        <v>6930.5737700000009</v>
      </c>
      <c r="BP46" s="151">
        <v>6348.0428700000011</v>
      </c>
      <c r="BQ46" s="151">
        <v>6518.031649999999</v>
      </c>
      <c r="BR46" s="151">
        <v>6642.8724900000007</v>
      </c>
      <c r="BS46" s="151">
        <v>6599.1126400000003</v>
      </c>
      <c r="BT46" s="151">
        <v>5032.2801999999983</v>
      </c>
      <c r="BU46" s="151">
        <v>6723.587880000001</v>
      </c>
      <c r="BV46" s="151">
        <v>7370.8962800000008</v>
      </c>
      <c r="BW46" s="151">
        <v>7309.6278800000018</v>
      </c>
      <c r="BX46" s="151">
        <v>7893.5217000000002</v>
      </c>
      <c r="BY46" s="151">
        <v>7857.0646100000004</v>
      </c>
      <c r="BZ46" s="151">
        <v>7646.8724500000008</v>
      </c>
      <c r="CA46" s="834">
        <f>SUM(BO46:BZ46)</f>
        <v>82872.484420000008</v>
      </c>
      <c r="CB46" s="151">
        <v>7933.5521699999999</v>
      </c>
      <c r="CC46" s="151">
        <v>7076.8177599999999</v>
      </c>
      <c r="CD46" s="151">
        <v>7535.0750399999988</v>
      </c>
      <c r="CE46" s="151">
        <v>7555.0003299999989</v>
      </c>
      <c r="CF46" s="151">
        <v>7647.4727000000012</v>
      </c>
      <c r="CG46" s="151">
        <v>7562.6480000000001</v>
      </c>
      <c r="CH46" s="151">
        <v>7671.9541299999992</v>
      </c>
      <c r="CI46" s="151">
        <v>8731.4008799999992</v>
      </c>
      <c r="CJ46" s="151">
        <v>8829.7544499999985</v>
      </c>
      <c r="CK46" s="151">
        <v>9839.1591000000008</v>
      </c>
      <c r="CL46" s="151">
        <v>9180.3487999999998</v>
      </c>
      <c r="CM46" s="151">
        <v>9401.5837899999988</v>
      </c>
      <c r="CN46" s="834">
        <f>SUM(CB46:CM46)</f>
        <v>98964.76715</v>
      </c>
      <c r="CO46" s="151">
        <v>9560.0094900000022</v>
      </c>
      <c r="CP46" s="151">
        <v>8020.9550799999979</v>
      </c>
      <c r="CQ46" s="151">
        <v>9198.8754499999995</v>
      </c>
      <c r="CR46" s="151">
        <v>9089.7919199999997</v>
      </c>
      <c r="CS46" s="151">
        <v>9279.3062299999983</v>
      </c>
      <c r="CT46" s="151">
        <v>8886.1425600000002</v>
      </c>
      <c r="CU46" s="151">
        <v>9988.1952500000007</v>
      </c>
      <c r="CV46" s="151">
        <v>9737.2029199999979</v>
      </c>
      <c r="CW46" s="151">
        <v>10151.157410000002</v>
      </c>
      <c r="CX46" s="151">
        <v>10280.166690000002</v>
      </c>
      <c r="CY46" s="151">
        <v>9824.2381000000023</v>
      </c>
      <c r="CZ46" s="151">
        <v>10413.933220000001</v>
      </c>
      <c r="DA46" s="834">
        <f>SUM(CO46:CZ46)</f>
        <v>114429.97431999999</v>
      </c>
      <c r="DB46" s="151">
        <v>10032.195870000001</v>
      </c>
      <c r="DC46" s="151">
        <v>8686.76109</v>
      </c>
      <c r="DD46" s="151">
        <v>9271.5135600000012</v>
      </c>
      <c r="DE46" s="151">
        <v>9061.687750000001</v>
      </c>
      <c r="DF46" s="151">
        <v>9600.2022800000013</v>
      </c>
      <c r="DG46" s="151">
        <v>8701.3838600000017</v>
      </c>
      <c r="DH46" s="151">
        <v>9603.3855899999999</v>
      </c>
      <c r="DI46" s="151">
        <v>9660.9243800000004</v>
      </c>
      <c r="DJ46" s="151">
        <v>9857.8834600000009</v>
      </c>
      <c r="DK46" s="151">
        <v>10198.843439999999</v>
      </c>
      <c r="DL46" s="151">
        <v>9341.3134500000015</v>
      </c>
      <c r="DM46" s="151">
        <v>9918.8691500000004</v>
      </c>
      <c r="DN46" s="834">
        <f>SUM(DB46:DM46)</f>
        <v>113934.96388</v>
      </c>
      <c r="DO46" s="151">
        <v>9960.1927100000012</v>
      </c>
      <c r="DP46" s="151">
        <v>9025.4192346999989</v>
      </c>
      <c r="DQ46" s="151">
        <v>9757.5090899999996</v>
      </c>
      <c r="DR46" s="151">
        <v>9801.5391599999984</v>
      </c>
      <c r="DS46" s="151">
        <v>9600.3605799999987</v>
      </c>
      <c r="DT46" s="151">
        <v>9443.4804899999999</v>
      </c>
      <c r="DU46" s="151">
        <v>9537.1653399999977</v>
      </c>
      <c r="DV46" s="151">
        <v>10336.02577</v>
      </c>
      <c r="DW46" s="151">
        <v>10898.16417</v>
      </c>
      <c r="DX46" s="151">
        <v>10936.274019999999</v>
      </c>
      <c r="DY46" s="151">
        <v>10155.682969999998</v>
      </c>
      <c r="DZ46" s="151">
        <v>10482.66813</v>
      </c>
      <c r="EA46" s="834">
        <f>SUM(DO46:DZ46)</f>
        <v>119934.48166470001</v>
      </c>
      <c r="EB46" s="151">
        <v>10521.78383</v>
      </c>
      <c r="EC46" s="151">
        <v>9216.0411500000009</v>
      </c>
      <c r="ED46" s="151">
        <v>9910.3621599999988</v>
      </c>
      <c r="EE46" s="151">
        <v>9984.8102600000002</v>
      </c>
      <c r="EF46" s="151">
        <v>10293.05458</v>
      </c>
      <c r="EG46" s="151">
        <v>9711.4563700000017</v>
      </c>
      <c r="EH46" s="151">
        <v>9938.6293299999961</v>
      </c>
      <c r="EI46" s="151">
        <v>10261.812040000001</v>
      </c>
      <c r="EJ46" s="151">
        <v>10097.634539999999</v>
      </c>
      <c r="EK46" s="151">
        <v>10495.616830000001</v>
      </c>
      <c r="EL46" s="151">
        <v>10031.870520000002</v>
      </c>
      <c r="EM46" s="151">
        <v>10395.2878</v>
      </c>
      <c r="EN46" s="834">
        <f>SUM(EB46:EM46)</f>
        <v>120858.35941</v>
      </c>
      <c r="EO46" s="151">
        <v>10521.78383</v>
      </c>
      <c r="EP46" s="151">
        <v>9216.0411500000009</v>
      </c>
      <c r="EQ46" s="151">
        <v>9910.3621599999988</v>
      </c>
      <c r="ER46" s="151">
        <v>9984.8102600000002</v>
      </c>
      <c r="ES46" s="151">
        <v>10293.05458</v>
      </c>
      <c r="ET46" s="151">
        <v>9711.4563700000017</v>
      </c>
      <c r="EU46" s="151">
        <v>9938.6293299999961</v>
      </c>
      <c r="EV46" s="151">
        <v>10261.812040000001</v>
      </c>
      <c r="EW46" s="151">
        <v>10097.634539999999</v>
      </c>
      <c r="EX46" s="151">
        <v>10495.616830000001</v>
      </c>
      <c r="EY46" s="151">
        <v>10031.870520000002</v>
      </c>
      <c r="EZ46" s="151">
        <v>10395.2878</v>
      </c>
      <c r="FA46" s="834">
        <f>SUM(EO46:EZ46)</f>
        <v>120858.35941</v>
      </c>
      <c r="FC46" s="595">
        <f t="shared" si="99"/>
        <v>-1.2191444963941755</v>
      </c>
      <c r="FD46" s="596">
        <f t="shared" si="100"/>
        <v>0.92392994016439189</v>
      </c>
      <c r="FE46" s="498">
        <f t="shared" si="101"/>
        <v>109451.81353470001</v>
      </c>
      <c r="FF46" s="597">
        <f t="shared" si="102"/>
        <v>110463.07161</v>
      </c>
    </row>
    <row r="47" spans="1:163" ht="15" customHeight="1" x14ac:dyDescent="0.25">
      <c r="A47" s="138" t="s">
        <v>315</v>
      </c>
      <c r="B47" s="151">
        <v>330</v>
      </c>
      <c r="C47" s="151">
        <v>290</v>
      </c>
      <c r="D47" s="151">
        <v>334</v>
      </c>
      <c r="E47" s="151">
        <v>354</v>
      </c>
      <c r="F47" s="151">
        <v>367</v>
      </c>
      <c r="G47" s="151">
        <v>342</v>
      </c>
      <c r="H47" s="151">
        <v>366</v>
      </c>
      <c r="I47" s="151">
        <v>549</v>
      </c>
      <c r="J47" s="151">
        <v>373</v>
      </c>
      <c r="K47" s="151">
        <v>376</v>
      </c>
      <c r="L47" s="151">
        <v>381</v>
      </c>
      <c r="M47" s="151">
        <v>396</v>
      </c>
      <c r="N47" s="834">
        <f>SUM(B47:M47)</f>
        <v>4458</v>
      </c>
      <c r="O47" s="151">
        <v>426</v>
      </c>
      <c r="P47" s="151">
        <v>372</v>
      </c>
      <c r="Q47" s="151">
        <v>408</v>
      </c>
      <c r="R47" s="151">
        <v>399</v>
      </c>
      <c r="S47" s="151">
        <v>413</v>
      </c>
      <c r="T47" s="151">
        <v>380</v>
      </c>
      <c r="U47" s="151">
        <v>380</v>
      </c>
      <c r="V47" s="151">
        <v>418</v>
      </c>
      <c r="W47" s="151">
        <v>387</v>
      </c>
      <c r="X47" s="151">
        <v>434</v>
      </c>
      <c r="Y47" s="151">
        <v>432</v>
      </c>
      <c r="Z47" s="151">
        <v>450</v>
      </c>
      <c r="AA47" s="834">
        <f>SUM(O47:Z47)</f>
        <v>4899</v>
      </c>
      <c r="AB47" s="151">
        <v>416</v>
      </c>
      <c r="AC47" s="151">
        <v>377</v>
      </c>
      <c r="AD47" s="151">
        <v>466</v>
      </c>
      <c r="AE47" s="151">
        <v>426</v>
      </c>
      <c r="AF47" s="151">
        <v>443</v>
      </c>
      <c r="AG47" s="151">
        <v>406</v>
      </c>
      <c r="AH47" s="151">
        <v>446</v>
      </c>
      <c r="AI47" s="151">
        <v>557</v>
      </c>
      <c r="AJ47" s="151">
        <v>790</v>
      </c>
      <c r="AK47" s="151">
        <v>449</v>
      </c>
      <c r="AL47" s="151">
        <v>445</v>
      </c>
      <c r="AM47" s="151">
        <v>497</v>
      </c>
      <c r="AN47" s="834">
        <f>SUM(AB47:AM47)</f>
        <v>5718</v>
      </c>
      <c r="AO47" s="151">
        <v>484.43789999999996</v>
      </c>
      <c r="AP47" s="151">
        <v>437.56503999999995</v>
      </c>
      <c r="AQ47" s="151">
        <v>523.05086000000006</v>
      </c>
      <c r="AR47" s="151">
        <v>485.09868</v>
      </c>
      <c r="AS47" s="151">
        <v>490.35299999999995</v>
      </c>
      <c r="AT47" s="151">
        <v>485.10449000000006</v>
      </c>
      <c r="AU47" s="151">
        <v>539.79663000000005</v>
      </c>
      <c r="AV47" s="151">
        <v>503</v>
      </c>
      <c r="AW47" s="151">
        <v>530</v>
      </c>
      <c r="AX47" s="151">
        <v>510</v>
      </c>
      <c r="AY47" s="151">
        <v>490.17713000011264</v>
      </c>
      <c r="AZ47" s="151">
        <v>527.68902999991565</v>
      </c>
      <c r="BA47" s="834">
        <f>SUM(AO47:AZ47)</f>
        <v>6006.2727600000289</v>
      </c>
      <c r="BB47" s="151">
        <v>526</v>
      </c>
      <c r="BC47" s="151">
        <v>484</v>
      </c>
      <c r="BD47" s="151">
        <v>537</v>
      </c>
      <c r="BE47" s="151">
        <v>537</v>
      </c>
      <c r="BF47" s="151">
        <v>574</v>
      </c>
      <c r="BG47" s="151">
        <v>524</v>
      </c>
      <c r="BH47" s="151">
        <v>569</v>
      </c>
      <c r="BI47" s="151">
        <v>582</v>
      </c>
      <c r="BJ47" s="151">
        <v>599</v>
      </c>
      <c r="BK47" s="151">
        <v>589</v>
      </c>
      <c r="BL47" s="151">
        <v>545</v>
      </c>
      <c r="BM47" s="151">
        <v>580.88654999994174</v>
      </c>
      <c r="BN47" s="834">
        <f>SUM(BB47:BM47)</f>
        <v>6646.886549999942</v>
      </c>
      <c r="BO47" s="151">
        <v>577.2152499999645</v>
      </c>
      <c r="BP47" s="151">
        <v>507.10565999984897</v>
      </c>
      <c r="BQ47" s="151">
        <v>509.41794000000004</v>
      </c>
      <c r="BR47" s="151">
        <v>494.10455999977501</v>
      </c>
      <c r="BS47" s="151">
        <v>467.88873000000007</v>
      </c>
      <c r="BT47" s="151">
        <v>457.35878000000002</v>
      </c>
      <c r="BU47" s="151">
        <v>577.66984000000025</v>
      </c>
      <c r="BV47" s="151">
        <v>617.23083000000008</v>
      </c>
      <c r="BW47" s="151">
        <v>580.71040999991794</v>
      </c>
      <c r="BX47" s="151">
        <v>636.96051000012847</v>
      </c>
      <c r="BY47" s="151">
        <v>604.92051999999671</v>
      </c>
      <c r="BZ47" s="151">
        <v>611.20749000013279</v>
      </c>
      <c r="CA47" s="834">
        <f>SUM(BO47:BZ47)</f>
        <v>6641.7905199997649</v>
      </c>
      <c r="CB47" s="151">
        <v>644.36768000024665</v>
      </c>
      <c r="CC47" s="151">
        <v>519.90015999980221</v>
      </c>
      <c r="CD47" s="151">
        <v>635.28536000023837</v>
      </c>
      <c r="CE47" s="151">
        <v>604.5964400002855</v>
      </c>
      <c r="CF47" s="151">
        <v>664.35075000013546</v>
      </c>
      <c r="CG47" s="151">
        <v>598.21156000018209</v>
      </c>
      <c r="CH47" s="151">
        <v>632.72544000022924</v>
      </c>
      <c r="CI47" s="151">
        <v>706.24446999999725</v>
      </c>
      <c r="CJ47" s="151">
        <v>647.24708000014482</v>
      </c>
      <c r="CK47" s="151">
        <v>722.98604000004229</v>
      </c>
      <c r="CL47" s="151">
        <v>645.38102000015317</v>
      </c>
      <c r="CM47" s="151">
        <v>694.09720000002687</v>
      </c>
      <c r="CN47" s="834">
        <f>SUM(CB47:CM47)</f>
        <v>7715.3932000014838</v>
      </c>
      <c r="CO47" s="151">
        <v>679.8070500003281</v>
      </c>
      <c r="CP47" s="151">
        <v>556.96149000009734</v>
      </c>
      <c r="CQ47" s="151">
        <v>734.33713999999998</v>
      </c>
      <c r="CR47" s="151">
        <v>662.78041999999994</v>
      </c>
      <c r="CS47" s="151">
        <v>711.15897999980859</v>
      </c>
      <c r="CT47" s="151">
        <v>664.63422000044773</v>
      </c>
      <c r="CU47" s="151">
        <v>761.07609999993042</v>
      </c>
      <c r="CV47" s="151">
        <v>746.83819999993614</v>
      </c>
      <c r="CW47" s="151">
        <v>778.50261999985673</v>
      </c>
      <c r="CX47" s="151">
        <v>763.77051999998946</v>
      </c>
      <c r="CY47" s="151">
        <v>726.48831999997833</v>
      </c>
      <c r="CZ47" s="151">
        <v>797.16117999999824</v>
      </c>
      <c r="DA47" s="834">
        <f>SUM(CO47:CZ47)</f>
        <v>8583.5162400003719</v>
      </c>
      <c r="DB47" s="151">
        <v>766.24609999984318</v>
      </c>
      <c r="DC47" s="151">
        <v>612.16284999998402</v>
      </c>
      <c r="DD47" s="151">
        <v>665.01370000022212</v>
      </c>
      <c r="DE47" s="151">
        <v>729.13658999993163</v>
      </c>
      <c r="DF47" s="151">
        <v>792.40359999998429</v>
      </c>
      <c r="DG47" s="151">
        <v>686.76777000026186</v>
      </c>
      <c r="DH47" s="151">
        <v>795.60890000008135</v>
      </c>
      <c r="DI47" s="151">
        <v>752.65770000010002</v>
      </c>
      <c r="DJ47" s="151">
        <v>738.31225000007032</v>
      </c>
      <c r="DK47" s="151">
        <v>759.24750000001586</v>
      </c>
      <c r="DL47" s="151">
        <v>674.56487000002699</v>
      </c>
      <c r="DM47" s="151">
        <v>757.73787000005916</v>
      </c>
      <c r="DN47" s="834">
        <f>SUM(DB47:DM47)</f>
        <v>8729.8597000005793</v>
      </c>
      <c r="DO47" s="151">
        <v>722.79422000019463</v>
      </c>
      <c r="DP47" s="151">
        <v>662.75338000022623</v>
      </c>
      <c r="DQ47" s="151">
        <v>828.999920000364</v>
      </c>
      <c r="DR47" s="151">
        <v>735.13163000025304</v>
      </c>
      <c r="DS47" s="151">
        <v>678.29911000000027</v>
      </c>
      <c r="DT47" s="151">
        <v>846.54284000000007</v>
      </c>
      <c r="DU47" s="151">
        <v>838.15122000006181</v>
      </c>
      <c r="DV47" s="151">
        <v>866.63860000029445</v>
      </c>
      <c r="DW47" s="151">
        <v>835.79179000005627</v>
      </c>
      <c r="DX47" s="151">
        <v>824.04600000000016</v>
      </c>
      <c r="DY47" s="151">
        <v>744.51755000002311</v>
      </c>
      <c r="DZ47" s="151">
        <v>843.04259000000002</v>
      </c>
      <c r="EA47" s="834">
        <f>SUM(DO47:DZ47)</f>
        <v>9426.7088500014761</v>
      </c>
      <c r="EB47" s="151">
        <v>846.3900000000001</v>
      </c>
      <c r="EC47" s="151">
        <v>766.30338000000779</v>
      </c>
      <c r="ED47" s="151">
        <v>841.2411800000001</v>
      </c>
      <c r="EE47" s="151">
        <v>763.71228000000872</v>
      </c>
      <c r="EF47" s="151">
        <v>844.98650999999995</v>
      </c>
      <c r="EG47" s="151">
        <v>817.49551999999994</v>
      </c>
      <c r="EH47" s="151">
        <v>857.41135999993423</v>
      </c>
      <c r="EI47" s="151">
        <v>887.11792000000003</v>
      </c>
      <c r="EJ47" s="151">
        <v>816.55089999993118</v>
      </c>
      <c r="EK47" s="151">
        <v>870.13001999999994</v>
      </c>
      <c r="EL47" s="151">
        <v>632.88718000000006</v>
      </c>
      <c r="EM47" s="151">
        <v>893.12321999999995</v>
      </c>
      <c r="EN47" s="834">
        <f>SUM(EB47:EM47)</f>
        <v>9837.349469999881</v>
      </c>
      <c r="EO47" s="151">
        <v>846.3900000000001</v>
      </c>
      <c r="EP47" s="151">
        <v>766.30338000000779</v>
      </c>
      <c r="EQ47" s="151">
        <v>841.2411800000001</v>
      </c>
      <c r="ER47" s="151">
        <v>763.71228000000872</v>
      </c>
      <c r="ES47" s="151">
        <v>844.98650999999995</v>
      </c>
      <c r="ET47" s="151">
        <v>817.49551999999994</v>
      </c>
      <c r="EU47" s="151">
        <v>857.41135999993423</v>
      </c>
      <c r="EV47" s="151">
        <v>887.11792000000003</v>
      </c>
      <c r="EW47" s="151">
        <v>816.55089999993118</v>
      </c>
      <c r="EX47" s="151">
        <v>870.13001999999994</v>
      </c>
      <c r="EY47" s="151">
        <v>632.88718000000006</v>
      </c>
      <c r="EZ47" s="151">
        <v>893.12321999999995</v>
      </c>
      <c r="FA47" s="834">
        <f>SUM(EO47:EZ47)</f>
        <v>9837.349469999881</v>
      </c>
      <c r="FC47" s="595">
        <f t="shared" si="99"/>
        <v>-14.993651929362795</v>
      </c>
      <c r="FD47" s="596">
        <f t="shared" si="100"/>
        <v>4.2005359840067369</v>
      </c>
      <c r="FE47" s="498">
        <f t="shared" si="101"/>
        <v>8583.6662600014752</v>
      </c>
      <c r="FF47" s="597">
        <f t="shared" si="102"/>
        <v>8944.2262499998815</v>
      </c>
    </row>
    <row r="48" spans="1:163" ht="15" customHeight="1" x14ac:dyDescent="0.25">
      <c r="A48" s="159"/>
      <c r="B48" s="821"/>
      <c r="C48" s="821"/>
      <c r="D48" s="821"/>
      <c r="E48" s="821"/>
      <c r="F48" s="821"/>
      <c r="G48" s="821"/>
      <c r="H48" s="821"/>
      <c r="I48" s="821"/>
      <c r="J48" s="821"/>
      <c r="K48" s="821"/>
      <c r="L48" s="821"/>
      <c r="M48" s="821"/>
      <c r="N48" s="835"/>
      <c r="O48" s="821"/>
      <c r="P48" s="821"/>
      <c r="Q48" s="821"/>
      <c r="R48" s="821"/>
      <c r="S48" s="821"/>
      <c r="T48" s="821"/>
      <c r="U48" s="821"/>
      <c r="V48" s="821"/>
      <c r="W48" s="821"/>
      <c r="X48" s="821"/>
      <c r="Y48" s="821"/>
      <c r="Z48" s="821"/>
      <c r="AA48" s="835"/>
      <c r="AB48" s="821"/>
      <c r="AC48" s="821"/>
      <c r="AD48" s="821"/>
      <c r="AE48" s="821"/>
      <c r="AF48" s="821"/>
      <c r="AG48" s="821"/>
      <c r="AH48" s="821"/>
      <c r="AI48" s="821"/>
      <c r="AJ48" s="821"/>
      <c r="AK48" s="821"/>
      <c r="AL48" s="821"/>
      <c r="AM48" s="821"/>
      <c r="AN48" s="835"/>
      <c r="AO48" s="821"/>
      <c r="AP48" s="821"/>
      <c r="AQ48" s="821"/>
      <c r="AR48" s="821"/>
      <c r="AS48" s="821"/>
      <c r="AT48" s="821"/>
      <c r="AU48" s="821"/>
      <c r="AV48" s="821"/>
      <c r="AW48" s="821"/>
      <c r="AX48" s="821"/>
      <c r="AY48" s="821"/>
      <c r="AZ48" s="821"/>
      <c r="BA48" s="835"/>
      <c r="BB48" s="821"/>
      <c r="BC48" s="821"/>
      <c r="BD48" s="821"/>
      <c r="BE48" s="821"/>
      <c r="BF48" s="821"/>
      <c r="BG48" s="821"/>
      <c r="BH48" s="821"/>
      <c r="BI48" s="821"/>
      <c r="BJ48" s="821"/>
      <c r="BK48" s="821"/>
      <c r="BL48" s="821"/>
      <c r="BM48" s="821"/>
      <c r="BN48" s="835"/>
      <c r="BO48" s="821"/>
      <c r="BP48" s="821"/>
      <c r="BQ48" s="821"/>
      <c r="BR48" s="821"/>
      <c r="BS48" s="821"/>
      <c r="BT48" s="821"/>
      <c r="BU48" s="821"/>
      <c r="BV48" s="821"/>
      <c r="BW48" s="821"/>
      <c r="BX48" s="821"/>
      <c r="BY48" s="821"/>
      <c r="BZ48" s="821"/>
      <c r="CA48" s="835"/>
      <c r="CB48" s="821"/>
      <c r="CC48" s="821"/>
      <c r="CD48" s="821"/>
      <c r="CE48" s="821"/>
      <c r="CF48" s="821"/>
      <c r="CG48" s="821"/>
      <c r="CH48" s="821"/>
      <c r="CI48" s="821"/>
      <c r="CJ48" s="821"/>
      <c r="CK48" s="821"/>
      <c r="CL48" s="821"/>
      <c r="CM48" s="821"/>
      <c r="CN48" s="835"/>
      <c r="CO48" s="821"/>
      <c r="CP48" s="821"/>
      <c r="CQ48" s="821"/>
      <c r="CR48" s="821"/>
      <c r="CS48" s="821"/>
      <c r="CT48" s="821"/>
      <c r="CU48" s="821"/>
      <c r="CV48" s="821"/>
      <c r="CW48" s="821"/>
      <c r="CX48" s="821"/>
      <c r="CY48" s="821"/>
      <c r="CZ48" s="821"/>
      <c r="DA48" s="835"/>
      <c r="DB48" s="821"/>
      <c r="DC48" s="821"/>
      <c r="DD48" s="821"/>
      <c r="DE48" s="821"/>
      <c r="DF48" s="821"/>
      <c r="DG48" s="821"/>
      <c r="DH48" s="821"/>
      <c r="DI48" s="821"/>
      <c r="DJ48" s="821"/>
      <c r="DK48" s="821"/>
      <c r="DL48" s="821"/>
      <c r="DM48" s="821"/>
      <c r="DN48" s="835"/>
      <c r="DO48" s="821"/>
      <c r="DP48" s="821"/>
      <c r="DQ48" s="821"/>
      <c r="DR48" s="821"/>
      <c r="DS48" s="821"/>
      <c r="DT48" s="821"/>
      <c r="DU48" s="821"/>
      <c r="DV48" s="821"/>
      <c r="DW48" s="821"/>
      <c r="DX48" s="821"/>
      <c r="DY48" s="821"/>
      <c r="DZ48" s="821"/>
      <c r="EA48" s="835"/>
      <c r="EB48" s="821"/>
      <c r="EC48" s="821"/>
      <c r="ED48" s="821"/>
      <c r="EE48" s="821"/>
      <c r="EF48" s="821"/>
      <c r="EG48" s="821"/>
      <c r="EH48" s="821"/>
      <c r="EI48" s="821"/>
      <c r="EJ48" s="821"/>
      <c r="EK48" s="821"/>
      <c r="EL48" s="821"/>
      <c r="EM48" s="821"/>
      <c r="EN48" s="835"/>
      <c r="EO48" s="821"/>
      <c r="EP48" s="821"/>
      <c r="EQ48" s="821"/>
      <c r="ER48" s="821"/>
      <c r="ES48" s="821"/>
      <c r="ET48" s="821"/>
      <c r="EU48" s="821"/>
      <c r="EV48" s="821"/>
      <c r="EW48" s="821"/>
      <c r="EX48" s="821"/>
      <c r="EY48" s="821"/>
      <c r="EZ48" s="821"/>
      <c r="FA48" s="835"/>
      <c r="FC48" s="827"/>
      <c r="FD48" s="828"/>
      <c r="FE48" s="829"/>
      <c r="FF48" s="830"/>
    </row>
    <row r="49" spans="1:159" ht="15" customHeight="1" x14ac:dyDescent="0.25">
      <c r="A49" s="126" t="s">
        <v>317</v>
      </c>
      <c r="B49" s="820"/>
      <c r="C49" s="820"/>
      <c r="D49" s="820"/>
      <c r="E49" s="820"/>
      <c r="F49" s="820"/>
      <c r="G49" s="820"/>
      <c r="H49" s="820"/>
      <c r="I49" s="820"/>
      <c r="J49" s="820"/>
      <c r="K49" s="820"/>
      <c r="L49" s="820"/>
      <c r="M49" s="820"/>
      <c r="N49" s="820"/>
      <c r="O49" s="820"/>
      <c r="P49" s="820"/>
      <c r="Q49" s="820"/>
      <c r="R49" s="820"/>
      <c r="S49" s="820"/>
      <c r="T49" s="820"/>
      <c r="U49" s="820"/>
      <c r="V49" s="820"/>
      <c r="W49" s="820"/>
      <c r="X49" s="820"/>
      <c r="Y49" s="820"/>
      <c r="Z49" s="820"/>
      <c r="AA49" s="820"/>
      <c r="AB49" s="820"/>
      <c r="AC49" s="820"/>
      <c r="AD49" s="820"/>
      <c r="AE49" s="820"/>
      <c r="AF49" s="820"/>
      <c r="AG49" s="820"/>
      <c r="AH49" s="820"/>
      <c r="AI49" s="820"/>
      <c r="AJ49" s="820"/>
      <c r="AK49" s="820"/>
      <c r="AL49" s="820"/>
      <c r="AM49" s="820"/>
      <c r="AN49" s="820"/>
      <c r="AO49" s="820"/>
      <c r="AP49" s="820"/>
      <c r="AQ49" s="820"/>
      <c r="AR49" s="820"/>
      <c r="AS49" s="820"/>
      <c r="AT49" s="820"/>
      <c r="AU49" s="820"/>
      <c r="AV49" s="820"/>
      <c r="AW49" s="820"/>
      <c r="AX49" s="820"/>
      <c r="AY49" s="820"/>
      <c r="AZ49" s="820"/>
      <c r="BA49" s="820"/>
      <c r="BB49" s="820"/>
      <c r="BC49" s="820"/>
      <c r="BD49" s="820"/>
      <c r="BE49" s="820"/>
      <c r="BF49" s="820"/>
      <c r="BL49" s="820"/>
      <c r="BM49" s="820"/>
      <c r="BN49" s="820"/>
      <c r="BO49" s="820"/>
      <c r="BP49" s="820"/>
      <c r="BQ49" s="820"/>
      <c r="BR49" s="820"/>
      <c r="BS49" s="820"/>
      <c r="BT49" s="820"/>
      <c r="BU49" s="820"/>
      <c r="BV49" s="820"/>
      <c r="BW49" s="820"/>
      <c r="BX49" s="820"/>
      <c r="BY49" s="820"/>
      <c r="BZ49" s="820"/>
      <c r="CA49" s="820"/>
      <c r="CB49" s="820"/>
      <c r="CC49" s="820"/>
      <c r="CD49" s="820"/>
      <c r="CE49" s="820"/>
      <c r="CF49" s="820"/>
      <c r="CG49" s="820"/>
      <c r="CH49" s="820"/>
      <c r="CI49" s="820"/>
      <c r="CJ49" s="820"/>
      <c r="CK49" s="820"/>
      <c r="CL49" s="820"/>
      <c r="CM49" s="820"/>
      <c r="CN49" s="820"/>
      <c r="CO49" s="820"/>
      <c r="CP49" s="820"/>
      <c r="CQ49" s="820"/>
      <c r="CR49" s="820"/>
      <c r="CS49" s="820"/>
      <c r="CT49" s="820"/>
      <c r="CU49" s="820"/>
      <c r="CV49" s="820"/>
      <c r="CW49" s="820"/>
      <c r="CX49" s="820"/>
      <c r="CY49" s="820"/>
      <c r="CZ49" s="820"/>
      <c r="DA49" s="820"/>
      <c r="DB49" s="820"/>
      <c r="DC49" s="820"/>
      <c r="DD49" s="820"/>
      <c r="DE49" s="820"/>
      <c r="DF49" s="820"/>
      <c r="DG49" s="820"/>
      <c r="DH49" s="820"/>
      <c r="DI49" s="820"/>
      <c r="DJ49" s="820"/>
      <c r="DK49" s="820"/>
      <c r="DL49" s="820"/>
      <c r="DM49" s="820"/>
      <c r="DN49" s="820"/>
      <c r="DO49" s="820"/>
      <c r="DP49" s="820"/>
      <c r="DQ49" s="820"/>
      <c r="DR49" s="820"/>
      <c r="DS49" s="820"/>
      <c r="DT49" s="820"/>
      <c r="DU49" s="820"/>
      <c r="DV49" s="820"/>
      <c r="DW49" s="820"/>
      <c r="DX49" s="820"/>
      <c r="DY49" s="820"/>
      <c r="DZ49" s="820"/>
      <c r="EA49" s="820"/>
      <c r="EB49" s="820"/>
      <c r="EC49" s="820"/>
      <c r="ED49" s="820"/>
      <c r="EE49" s="820"/>
      <c r="EF49" s="820"/>
      <c r="EG49" s="820"/>
      <c r="EH49" s="820"/>
      <c r="EI49" s="820"/>
      <c r="EJ49" s="820"/>
      <c r="EK49" s="820"/>
      <c r="EL49" s="820"/>
      <c r="EM49" s="820"/>
      <c r="EN49" s="820"/>
      <c r="EO49" s="820"/>
      <c r="EP49" s="820"/>
      <c r="EQ49" s="820"/>
      <c r="ER49" s="820"/>
      <c r="ES49" s="820"/>
      <c r="ET49" s="820"/>
      <c r="EU49" s="820"/>
      <c r="EV49" s="820"/>
      <c r="EW49" s="820"/>
      <c r="EX49" s="820"/>
      <c r="EY49" s="820"/>
      <c r="EZ49" s="820"/>
      <c r="FA49" s="820"/>
      <c r="FC49" s="198"/>
    </row>
  </sheetData>
  <printOptions horizontalCentered="1" verticalCentered="1"/>
  <pageMargins left="0.23622047244094491" right="0.31496062992125984" top="0.98425196850393704" bottom="0.98425196850393704" header="0" footer="0"/>
  <pageSetup paperSize="9" scale="10" orientation="landscape" r:id="rId1"/>
  <headerFooter alignWithMargins="0"/>
  <colBreaks count="1" manualBreakCount="1">
    <brk id="152" max="21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53"/>
  <sheetViews>
    <sheetView showGridLines="0" view="pageBreakPreview" zoomScaleSheetLayoutView="100" workbookViewId="0">
      <pane xSplit="1" topLeftCell="AE1" activePane="topRight" state="frozen"/>
      <selection activeCell="DO55" sqref="DO55:EP55"/>
      <selection pane="topRight" activeCell="AE12" sqref="AE12"/>
    </sheetView>
  </sheetViews>
  <sheetFormatPr baseColWidth="10" defaultColWidth="9.7109375" defaultRowHeight="15" customHeight="1" x14ac:dyDescent="0.25"/>
  <cols>
    <col min="1" max="1" width="30.7109375" style="126" customWidth="1"/>
    <col min="2" max="50" width="9.7109375" style="126"/>
    <col min="51" max="51" width="1.7109375" customWidth="1"/>
    <col min="52" max="16384" width="9.7109375" style="126"/>
  </cols>
  <sheetData>
    <row r="1" spans="1:57" ht="15" customHeight="1" x14ac:dyDescent="0.25">
      <c r="A1" s="125" t="s">
        <v>204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Z1" s="125"/>
      <c r="BA1" s="125"/>
    </row>
    <row r="2" spans="1:57" ht="15" customHeight="1" x14ac:dyDescent="0.25">
      <c r="A2" s="125" t="s">
        <v>205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5"/>
      <c r="AW2" s="125"/>
      <c r="AX2" s="125"/>
      <c r="AZ2" s="125"/>
      <c r="BA2" s="125"/>
    </row>
    <row r="3" spans="1:57" ht="15" customHeight="1" x14ac:dyDescent="0.25">
      <c r="A3" s="128" t="s">
        <v>308</v>
      </c>
      <c r="B3" s="128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Z3" s="125"/>
      <c r="BA3" s="125"/>
    </row>
    <row r="4" spans="1:57" ht="15" customHeight="1" x14ac:dyDescent="0.25">
      <c r="A4" s="129"/>
      <c r="B4" s="210" t="s">
        <v>95</v>
      </c>
      <c r="C4" s="102">
        <v>2015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2">
        <v>2016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2">
        <v>2017</v>
      </c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2">
        <v>2018</v>
      </c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377"/>
      <c r="AZ4" s="388" t="s">
        <v>99</v>
      </c>
      <c r="BA4" s="389"/>
      <c r="BB4" s="390"/>
    </row>
    <row r="5" spans="1:57" ht="15" customHeight="1" x14ac:dyDescent="0.25">
      <c r="A5" s="133"/>
      <c r="B5" s="211"/>
      <c r="C5" s="106">
        <v>42005</v>
      </c>
      <c r="D5" s="107">
        <v>42036</v>
      </c>
      <c r="E5" s="107">
        <v>42064</v>
      </c>
      <c r="F5" s="107">
        <v>42095</v>
      </c>
      <c r="G5" s="107">
        <v>42125</v>
      </c>
      <c r="H5" s="107">
        <v>42156</v>
      </c>
      <c r="I5" s="107">
        <v>42186</v>
      </c>
      <c r="J5" s="107">
        <v>42217</v>
      </c>
      <c r="K5" s="107">
        <v>42248</v>
      </c>
      <c r="L5" s="107">
        <v>42278</v>
      </c>
      <c r="M5" s="107">
        <v>42309</v>
      </c>
      <c r="N5" s="107">
        <v>42339</v>
      </c>
      <c r="O5" s="106">
        <v>42370</v>
      </c>
      <c r="P5" s="107">
        <v>42401</v>
      </c>
      <c r="Q5" s="107">
        <v>42430</v>
      </c>
      <c r="R5" s="107">
        <v>42461</v>
      </c>
      <c r="S5" s="107">
        <v>42491</v>
      </c>
      <c r="T5" s="107">
        <v>42522</v>
      </c>
      <c r="U5" s="107">
        <v>42552</v>
      </c>
      <c r="V5" s="107">
        <v>42583</v>
      </c>
      <c r="W5" s="107">
        <v>42614</v>
      </c>
      <c r="X5" s="107">
        <v>42644</v>
      </c>
      <c r="Y5" s="107">
        <v>42675</v>
      </c>
      <c r="Z5" s="107">
        <v>42705</v>
      </c>
      <c r="AA5" s="106">
        <v>42736</v>
      </c>
      <c r="AB5" s="107">
        <v>42767</v>
      </c>
      <c r="AC5" s="107">
        <v>42795</v>
      </c>
      <c r="AD5" s="107">
        <v>42826</v>
      </c>
      <c r="AE5" s="107">
        <v>42856</v>
      </c>
      <c r="AF5" s="107">
        <v>42887</v>
      </c>
      <c r="AG5" s="107">
        <v>42917</v>
      </c>
      <c r="AH5" s="107">
        <v>42948</v>
      </c>
      <c r="AI5" s="107">
        <v>42979</v>
      </c>
      <c r="AJ5" s="107">
        <v>43009</v>
      </c>
      <c r="AK5" s="107">
        <v>43040</v>
      </c>
      <c r="AL5" s="107">
        <v>43070</v>
      </c>
      <c r="AM5" s="106">
        <v>43101</v>
      </c>
      <c r="AN5" s="107">
        <v>43132</v>
      </c>
      <c r="AO5" s="107">
        <v>43160</v>
      </c>
      <c r="AP5" s="107">
        <v>43191</v>
      </c>
      <c r="AQ5" s="107">
        <v>43221</v>
      </c>
      <c r="AR5" s="107">
        <v>43252</v>
      </c>
      <c r="AS5" s="107">
        <v>43282</v>
      </c>
      <c r="AT5" s="107">
        <v>43313</v>
      </c>
      <c r="AU5" s="107">
        <v>43344</v>
      </c>
      <c r="AV5" s="107">
        <v>43374</v>
      </c>
      <c r="AW5" s="107">
        <v>43405</v>
      </c>
      <c r="AX5" s="378">
        <v>43435</v>
      </c>
      <c r="AZ5" s="385" t="s">
        <v>98</v>
      </c>
      <c r="BA5" s="386" t="s">
        <v>551</v>
      </c>
      <c r="BB5" s="387" t="s">
        <v>97</v>
      </c>
      <c r="BC5" s="134"/>
    </row>
    <row r="6" spans="1:57" s="215" customFormat="1" ht="15" customHeight="1" x14ac:dyDescent="0.25">
      <c r="A6" s="141" t="s">
        <v>72</v>
      </c>
      <c r="B6" s="179">
        <f>SUM(B7:B14)</f>
        <v>100</v>
      </c>
      <c r="C6" s="181">
        <v>118.4102440951181</v>
      </c>
      <c r="D6" s="180">
        <v>118.95714565708687</v>
      </c>
      <c r="E6" s="180">
        <v>119.72096148077038</v>
      </c>
      <c r="F6" s="180">
        <v>119.85818233635328</v>
      </c>
      <c r="G6" s="180">
        <v>120.19493990120201</v>
      </c>
      <c r="H6" s="180">
        <v>120.80953940921182</v>
      </c>
      <c r="I6" s="180">
        <v>120.87394392112159</v>
      </c>
      <c r="J6" s="180">
        <v>120.97234385312294</v>
      </c>
      <c r="K6" s="180">
        <v>121.25907281854363</v>
      </c>
      <c r="L6" s="180">
        <v>120.59397142057159</v>
      </c>
      <c r="M6" s="180">
        <v>121.40500119997601</v>
      </c>
      <c r="N6" s="182">
        <v>121.60062888742225</v>
      </c>
      <c r="O6" s="181">
        <v>121.84927741445172</v>
      </c>
      <c r="P6" s="180">
        <v>122.21192656146879</v>
      </c>
      <c r="Q6" s="180">
        <v>125.77996050078997</v>
      </c>
      <c r="R6" s="180">
        <v>123.95415521689567</v>
      </c>
      <c r="S6" s="180">
        <v>123.97640097198057</v>
      </c>
      <c r="T6" s="180">
        <v>124.66959560808786</v>
      </c>
      <c r="U6" s="180">
        <v>125.32834123317532</v>
      </c>
      <c r="V6" s="180">
        <v>125.68751854962902</v>
      </c>
      <c r="W6" s="180">
        <v>125.59274674506509</v>
      </c>
      <c r="X6" s="180">
        <v>125.79962010759785</v>
      </c>
      <c r="Y6" s="180">
        <v>126.31037099258015</v>
      </c>
      <c r="Z6" s="182">
        <v>126.33680496390073</v>
      </c>
      <c r="AA6" s="181">
        <v>125.98754784904303</v>
      </c>
      <c r="AB6" s="180">
        <v>126.16589048219035</v>
      </c>
      <c r="AC6" s="180">
        <v>127.91821982930338</v>
      </c>
      <c r="AD6" s="180">
        <v>128.04613804913268</v>
      </c>
      <c r="AE6" s="180">
        <v>127.23944737942314</v>
      </c>
      <c r="AF6" s="180">
        <v>127.03586426361606</v>
      </c>
      <c r="AG6" s="180">
        <v>126.6928674301043</v>
      </c>
      <c r="AH6" s="180">
        <f t="shared" ref="AH6:AH14" si="0">((AZ6/100)+1)*AG6</f>
        <v>127.30099319376879</v>
      </c>
      <c r="AI6" s="180">
        <v>126.81959197075125</v>
      </c>
      <c r="AJ6" s="180">
        <v>126.59131670520389</v>
      </c>
      <c r="AK6" s="180">
        <v>126.03641687409412</v>
      </c>
      <c r="AL6" s="182">
        <v>125.4818566398481</v>
      </c>
      <c r="AM6" s="181">
        <v>126.08416955171937</v>
      </c>
      <c r="AN6" s="180">
        <f t="shared" ref="AN6:AN14" si="1">((AZ6/100)+1)*AM6</f>
        <v>126.68937356556761</v>
      </c>
      <c r="AO6" s="180"/>
      <c r="AP6" s="180"/>
      <c r="AQ6" s="180"/>
      <c r="AR6" s="180"/>
      <c r="AS6" s="180"/>
      <c r="AT6" s="180"/>
      <c r="AU6" s="180"/>
      <c r="AV6" s="180"/>
      <c r="AW6" s="180"/>
      <c r="AX6" s="182"/>
      <c r="AY6" s="111"/>
      <c r="AZ6" s="220">
        <v>0.48</v>
      </c>
      <c r="BA6" s="220">
        <v>1</v>
      </c>
      <c r="BB6" s="220">
        <v>1.2</v>
      </c>
      <c r="BC6" s="206"/>
    </row>
    <row r="7" spans="1:57" ht="15" customHeight="1" x14ac:dyDescent="0.25">
      <c r="A7" s="138" t="s">
        <v>73</v>
      </c>
      <c r="B7" s="184">
        <v>59.22</v>
      </c>
      <c r="C7" s="185">
        <v>122.91</v>
      </c>
      <c r="D7" s="175">
        <v>123.81</v>
      </c>
      <c r="E7" s="175">
        <v>124.91</v>
      </c>
      <c r="F7" s="175">
        <v>125.07</v>
      </c>
      <c r="G7" s="175">
        <v>125.27</v>
      </c>
      <c r="H7" s="175">
        <v>126.38</v>
      </c>
      <c r="I7" s="175">
        <v>126.07</v>
      </c>
      <c r="J7" s="175">
        <v>125.82</v>
      </c>
      <c r="K7" s="175">
        <v>126.39</v>
      </c>
      <c r="L7" s="175">
        <v>125.04</v>
      </c>
      <c r="M7" s="175">
        <v>126.53</v>
      </c>
      <c r="N7" s="186">
        <v>126.6</v>
      </c>
      <c r="O7" s="185">
        <v>126.69</v>
      </c>
      <c r="P7" s="175">
        <v>127.51</v>
      </c>
      <c r="Q7" s="175">
        <v>130.34</v>
      </c>
      <c r="R7" s="175">
        <v>129.99</v>
      </c>
      <c r="S7" s="175">
        <v>129.80000000000001</v>
      </c>
      <c r="T7" s="175">
        <v>130.74</v>
      </c>
      <c r="U7" s="175">
        <v>131.54</v>
      </c>
      <c r="V7" s="175">
        <v>132.62</v>
      </c>
      <c r="W7" s="175">
        <v>132.31</v>
      </c>
      <c r="X7" s="175">
        <v>132.47999999999999</v>
      </c>
      <c r="Y7" s="175">
        <v>133.24</v>
      </c>
      <c r="Z7" s="186">
        <v>133.13</v>
      </c>
      <c r="AA7" s="185">
        <v>132.21</v>
      </c>
      <c r="AB7" s="175">
        <v>132.69</v>
      </c>
      <c r="AC7" s="175">
        <v>135.91999999999999</v>
      </c>
      <c r="AD7" s="175">
        <v>136.069512</v>
      </c>
      <c r="AE7" s="175">
        <v>134.54553346560002</v>
      </c>
      <c r="AF7" s="175">
        <v>133.9131694583117</v>
      </c>
      <c r="AG7" s="175">
        <v>133.00255990599501</v>
      </c>
      <c r="AH7" s="175">
        <f t="shared" si="0"/>
        <v>133.92027756934635</v>
      </c>
      <c r="AI7" s="175">
        <v>133.05576625005997</v>
      </c>
      <c r="AJ7" s="175">
        <v>132.4703208785597</v>
      </c>
      <c r="AK7" s="175">
        <v>131.74173411372763</v>
      </c>
      <c r="AL7" s="186">
        <v>130.17400747777427</v>
      </c>
      <c r="AM7" s="185">
        <v>131.07220812937089</v>
      </c>
      <c r="AN7" s="175">
        <f t="shared" si="1"/>
        <v>131.97660636546354</v>
      </c>
      <c r="AO7" s="175"/>
      <c r="AP7" s="175"/>
      <c r="AQ7" s="175"/>
      <c r="AR7" s="175"/>
      <c r="AS7" s="175"/>
      <c r="AT7" s="175"/>
      <c r="AU7" s="175"/>
      <c r="AV7" s="175"/>
      <c r="AW7" s="175"/>
      <c r="AX7" s="186"/>
      <c r="AZ7" s="222">
        <v>0.69</v>
      </c>
      <c r="BA7" s="222">
        <v>1.67</v>
      </c>
      <c r="BB7" s="222">
        <v>0.69</v>
      </c>
      <c r="BC7" s="190"/>
    </row>
    <row r="8" spans="1:57" ht="15" customHeight="1" x14ac:dyDescent="0.25">
      <c r="A8" s="138" t="s">
        <v>74</v>
      </c>
      <c r="B8" s="184">
        <v>5.7649999999999997</v>
      </c>
      <c r="C8" s="185">
        <v>114.72</v>
      </c>
      <c r="D8" s="175">
        <v>115.19</v>
      </c>
      <c r="E8" s="175">
        <v>115.67</v>
      </c>
      <c r="F8" s="175">
        <v>115.8</v>
      </c>
      <c r="G8" s="175">
        <v>115.8</v>
      </c>
      <c r="H8" s="175">
        <v>115.8</v>
      </c>
      <c r="I8" s="175">
        <v>115.8</v>
      </c>
      <c r="J8" s="175">
        <v>115.79</v>
      </c>
      <c r="K8" s="175">
        <v>115.77</v>
      </c>
      <c r="L8" s="175">
        <v>115.9</v>
      </c>
      <c r="M8" s="175">
        <v>115.92</v>
      </c>
      <c r="N8" s="186">
        <v>116</v>
      </c>
      <c r="O8" s="185">
        <v>116.17</v>
      </c>
      <c r="P8" s="175">
        <v>116.91</v>
      </c>
      <c r="Q8" s="175">
        <v>116.93</v>
      </c>
      <c r="R8" s="175">
        <v>117.02</v>
      </c>
      <c r="S8" s="175">
        <v>117.44</v>
      </c>
      <c r="T8" s="175">
        <v>117.61</v>
      </c>
      <c r="U8" s="175">
        <v>117.79</v>
      </c>
      <c r="V8" s="175">
        <v>118.04</v>
      </c>
      <c r="W8" s="175">
        <v>118.03</v>
      </c>
      <c r="X8" s="175">
        <v>118.25</v>
      </c>
      <c r="Y8" s="175">
        <v>118.49</v>
      </c>
      <c r="Z8" s="186">
        <v>118.53</v>
      </c>
      <c r="AA8" s="185">
        <v>118.47</v>
      </c>
      <c r="AB8" s="175">
        <v>118.33</v>
      </c>
      <c r="AC8" s="175">
        <v>118.32</v>
      </c>
      <c r="AD8" s="175">
        <v>118.43831999999998</v>
      </c>
      <c r="AE8" s="175">
        <v>119.00682393599996</v>
      </c>
      <c r="AF8" s="175">
        <v>118.79261165291516</v>
      </c>
      <c r="AG8" s="175">
        <v>118.84012869757632</v>
      </c>
      <c r="AH8" s="175">
        <f t="shared" si="0"/>
        <v>119.1253450064505</v>
      </c>
      <c r="AI8" s="175">
        <v>118.76883531596935</v>
      </c>
      <c r="AJ8" s="175">
        <v>118.92323480188013</v>
      </c>
      <c r="AK8" s="175">
        <v>118.55457277399429</v>
      </c>
      <c r="AL8" s="186">
        <v>118.64941643221348</v>
      </c>
      <c r="AM8" s="185">
        <v>118.9341750316508</v>
      </c>
      <c r="AN8" s="175">
        <f t="shared" si="1"/>
        <v>119.21961705172676</v>
      </c>
      <c r="AO8" s="175"/>
      <c r="AP8" s="175"/>
      <c r="AQ8" s="175"/>
      <c r="AR8" s="175"/>
      <c r="AS8" s="175"/>
      <c r="AT8" s="175"/>
      <c r="AU8" s="175"/>
      <c r="AV8" s="175"/>
      <c r="AW8" s="175"/>
      <c r="AX8" s="186"/>
      <c r="AZ8" s="222">
        <v>0.24</v>
      </c>
      <c r="BA8" s="222">
        <v>0.28999999999999998</v>
      </c>
      <c r="BB8" s="222">
        <v>0.34</v>
      </c>
      <c r="BC8" s="190"/>
    </row>
    <row r="9" spans="1:57" ht="15" customHeight="1" x14ac:dyDescent="0.25">
      <c r="A9" s="138" t="s">
        <v>75</v>
      </c>
      <c r="B9" s="184">
        <v>10.308</v>
      </c>
      <c r="C9" s="185">
        <v>124.98</v>
      </c>
      <c r="D9" s="175">
        <v>125.1</v>
      </c>
      <c r="E9" s="175">
        <v>125.07</v>
      </c>
      <c r="F9" s="175">
        <v>125.32</v>
      </c>
      <c r="G9" s="175">
        <v>128.31</v>
      </c>
      <c r="H9" s="175">
        <v>128.56</v>
      </c>
      <c r="I9" s="175">
        <v>130.26</v>
      </c>
      <c r="J9" s="175">
        <v>131.6</v>
      </c>
      <c r="K9" s="175">
        <v>132.21</v>
      </c>
      <c r="L9" s="175">
        <v>132.38999999999999</v>
      </c>
      <c r="M9" s="175">
        <v>133.18</v>
      </c>
      <c r="N9" s="186">
        <v>133.53</v>
      </c>
      <c r="O9" s="185">
        <v>135.31</v>
      </c>
      <c r="P9" s="175">
        <v>135.6</v>
      </c>
      <c r="Q9" s="175">
        <v>136.74</v>
      </c>
      <c r="R9" s="175">
        <v>135.26</v>
      </c>
      <c r="S9" s="175">
        <v>134.63999999999999</v>
      </c>
      <c r="T9" s="175">
        <v>135.36000000000001</v>
      </c>
      <c r="U9" s="175">
        <v>136.88</v>
      </c>
      <c r="V9" s="175">
        <v>134.43</v>
      </c>
      <c r="W9" s="175">
        <v>134.26</v>
      </c>
      <c r="X9" s="175">
        <v>134.66999999999999</v>
      </c>
      <c r="Y9" s="175">
        <v>136.38999999999999</v>
      </c>
      <c r="Z9" s="186">
        <v>136.55000000000001</v>
      </c>
      <c r="AA9" s="185">
        <v>136.58000000000001</v>
      </c>
      <c r="AB9" s="175">
        <v>135.94999999999999</v>
      </c>
      <c r="AC9" s="175">
        <v>136.07</v>
      </c>
      <c r="AD9" s="175">
        <v>136.42378199999999</v>
      </c>
      <c r="AE9" s="175">
        <v>134.03636581499998</v>
      </c>
      <c r="AF9" s="175">
        <v>134.04976945158148</v>
      </c>
      <c r="AG9" s="175">
        <v>134.34467894437495</v>
      </c>
      <c r="AH9" s="175">
        <f t="shared" si="0"/>
        <v>135.78216700907976</v>
      </c>
      <c r="AI9" s="175">
        <v>134.99030722865865</v>
      </c>
      <c r="AJ9" s="175">
        <v>135.16579462805592</v>
      </c>
      <c r="AK9" s="175">
        <v>135.89568991904744</v>
      </c>
      <c r="AL9" s="186">
        <v>136.72465362755364</v>
      </c>
      <c r="AM9" s="185">
        <v>138.18760742136845</v>
      </c>
      <c r="AN9" s="175">
        <f t="shared" si="1"/>
        <v>139.6662148207771</v>
      </c>
      <c r="AO9" s="175"/>
      <c r="AP9" s="175"/>
      <c r="AQ9" s="175"/>
      <c r="AR9" s="175"/>
      <c r="AS9" s="175"/>
      <c r="AT9" s="175"/>
      <c r="AU9" s="175"/>
      <c r="AV9" s="175"/>
      <c r="AW9" s="175"/>
      <c r="AX9" s="186"/>
      <c r="AZ9" s="222">
        <v>1.07</v>
      </c>
      <c r="BA9" s="222">
        <v>1.91</v>
      </c>
      <c r="BB9" s="222">
        <v>3.06</v>
      </c>
      <c r="BC9" s="190"/>
    </row>
    <row r="10" spans="1:57" ht="15" customHeight="1" x14ac:dyDescent="0.25">
      <c r="A10" s="138" t="s">
        <v>76</v>
      </c>
      <c r="B10" s="184">
        <v>4.9619999999999997</v>
      </c>
      <c r="C10" s="185">
        <v>109.48</v>
      </c>
      <c r="D10" s="175">
        <v>109.55</v>
      </c>
      <c r="E10" s="175">
        <v>109.75</v>
      </c>
      <c r="F10" s="175">
        <v>109.8</v>
      </c>
      <c r="G10" s="175">
        <v>109.93</v>
      </c>
      <c r="H10" s="175">
        <v>110.05</v>
      </c>
      <c r="I10" s="175">
        <v>110.19</v>
      </c>
      <c r="J10" s="175">
        <v>110.2</v>
      </c>
      <c r="K10" s="175">
        <v>110.23</v>
      </c>
      <c r="L10" s="175">
        <v>110.42</v>
      </c>
      <c r="M10" s="175">
        <v>110.58</v>
      </c>
      <c r="N10" s="186">
        <v>110.8</v>
      </c>
      <c r="O10" s="185">
        <v>110.96</v>
      </c>
      <c r="P10" s="175">
        <v>111.06</v>
      </c>
      <c r="Q10" s="175">
        <v>111.27</v>
      </c>
      <c r="R10" s="175">
        <v>111.45</v>
      </c>
      <c r="S10" s="175">
        <v>111.94</v>
      </c>
      <c r="T10" s="175">
        <v>112.18</v>
      </c>
      <c r="U10" s="175">
        <v>112.93</v>
      </c>
      <c r="V10" s="175">
        <v>113.07</v>
      </c>
      <c r="W10" s="175">
        <v>114</v>
      </c>
      <c r="X10" s="175">
        <v>113.82</v>
      </c>
      <c r="Y10" s="175">
        <v>113.85</v>
      </c>
      <c r="Z10" s="186">
        <v>113.68</v>
      </c>
      <c r="AA10" s="185">
        <v>113.88</v>
      </c>
      <c r="AB10" s="175">
        <v>114.16</v>
      </c>
      <c r="AC10" s="175">
        <v>114.78</v>
      </c>
      <c r="AD10" s="175">
        <v>115.05547199999999</v>
      </c>
      <c r="AE10" s="175">
        <v>115.08998864159999</v>
      </c>
      <c r="AF10" s="175">
        <v>116.12579853937437</v>
      </c>
      <c r="AG10" s="175">
        <v>116.29998723718344</v>
      </c>
      <c r="AH10" s="175">
        <f t="shared" si="0"/>
        <v>116.41628722442061</v>
      </c>
      <c r="AI10" s="175">
        <v>116.62585514942256</v>
      </c>
      <c r="AJ10" s="175">
        <v>116.60252997839268</v>
      </c>
      <c r="AK10" s="175">
        <v>116.70747225537322</v>
      </c>
      <c r="AL10" s="186">
        <v>116.87086271653075</v>
      </c>
      <c r="AM10" s="185">
        <v>116.98773357924728</v>
      </c>
      <c r="AN10" s="175">
        <f t="shared" si="1"/>
        <v>117.10472131282651</v>
      </c>
      <c r="AO10" s="175"/>
      <c r="AP10" s="175"/>
      <c r="AQ10" s="175"/>
      <c r="AR10" s="175"/>
      <c r="AS10" s="175"/>
      <c r="AT10" s="175"/>
      <c r="AU10" s="175"/>
      <c r="AV10" s="175"/>
      <c r="AW10" s="175"/>
      <c r="AX10" s="186"/>
      <c r="AZ10" s="222">
        <v>0.1</v>
      </c>
      <c r="BA10" s="222">
        <v>0.46</v>
      </c>
      <c r="BB10" s="222">
        <v>3.09</v>
      </c>
      <c r="BC10" s="190"/>
    </row>
    <row r="11" spans="1:57" ht="15" customHeight="1" x14ac:dyDescent="0.25">
      <c r="A11" s="138" t="s">
        <v>77</v>
      </c>
      <c r="B11" s="184">
        <v>1.6950000000000001</v>
      </c>
      <c r="C11" s="185">
        <v>116.76</v>
      </c>
      <c r="D11" s="175">
        <v>117.12</v>
      </c>
      <c r="E11" s="175">
        <v>117.17</v>
      </c>
      <c r="F11" s="175">
        <v>117.29</v>
      </c>
      <c r="G11" s="175">
        <v>117.54</v>
      </c>
      <c r="H11" s="175">
        <v>117.63</v>
      </c>
      <c r="I11" s="175">
        <v>118.1</v>
      </c>
      <c r="J11" s="175">
        <v>118.27</v>
      </c>
      <c r="K11" s="175">
        <v>118.21</v>
      </c>
      <c r="L11" s="175">
        <v>118.63</v>
      </c>
      <c r="M11" s="175">
        <v>119.67</v>
      </c>
      <c r="N11" s="186">
        <v>119.76</v>
      </c>
      <c r="O11" s="185">
        <v>119.87</v>
      </c>
      <c r="P11" s="175">
        <v>120.37</v>
      </c>
      <c r="Q11" s="175">
        <v>120.91</v>
      </c>
      <c r="R11" s="175">
        <v>121.1</v>
      </c>
      <c r="S11" s="175">
        <v>121.47</v>
      </c>
      <c r="T11" s="175">
        <v>121.57</v>
      </c>
      <c r="U11" s="175">
        <v>122.16</v>
      </c>
      <c r="V11" s="175">
        <v>122.42</v>
      </c>
      <c r="W11" s="175">
        <v>122.68</v>
      </c>
      <c r="X11" s="175">
        <v>123.23</v>
      </c>
      <c r="Y11" s="175">
        <v>123.7</v>
      </c>
      <c r="Z11" s="186">
        <v>123.92</v>
      </c>
      <c r="AA11" s="185">
        <v>124.46</v>
      </c>
      <c r="AB11" s="175">
        <v>124.61</v>
      </c>
      <c r="AC11" s="175">
        <v>124.59</v>
      </c>
      <c r="AD11" s="175">
        <v>124.49032800000001</v>
      </c>
      <c r="AE11" s="175">
        <v>124.71441059040001</v>
      </c>
      <c r="AF11" s="175">
        <v>124.65205338510481</v>
      </c>
      <c r="AG11" s="175">
        <v>125.26284844669181</v>
      </c>
      <c r="AH11" s="175">
        <f t="shared" si="0"/>
        <v>125.32547987091515</v>
      </c>
      <c r="AI11" s="175">
        <v>125.26284844669181</v>
      </c>
      <c r="AJ11" s="175">
        <v>125.52590042842985</v>
      </c>
      <c r="AK11" s="175">
        <v>125.43803229812994</v>
      </c>
      <c r="AL11" s="186">
        <v>125.13698102061443</v>
      </c>
      <c r="AM11" s="185">
        <v>125.19954951112473</v>
      </c>
      <c r="AN11" s="175">
        <f t="shared" si="1"/>
        <v>125.26214928588028</v>
      </c>
      <c r="AO11" s="175"/>
      <c r="AP11" s="175"/>
      <c r="AQ11" s="175"/>
      <c r="AR11" s="175"/>
      <c r="AS11" s="175"/>
      <c r="AT11" s="175"/>
      <c r="AU11" s="175"/>
      <c r="AV11" s="175"/>
      <c r="AW11" s="175"/>
      <c r="AX11" s="186"/>
      <c r="AZ11" s="222">
        <v>0.05</v>
      </c>
      <c r="BA11" s="222">
        <v>0.28999999999999998</v>
      </c>
      <c r="BB11" s="222">
        <v>1.58</v>
      </c>
      <c r="BC11" s="190"/>
    </row>
    <row r="12" spans="1:57" ht="15" customHeight="1" x14ac:dyDescent="0.25">
      <c r="A12" s="138" t="s">
        <v>78</v>
      </c>
      <c r="B12" s="184">
        <v>9.3170000000000002</v>
      </c>
      <c r="C12" s="185">
        <v>115.12</v>
      </c>
      <c r="D12" s="175">
        <v>115.48</v>
      </c>
      <c r="E12" s="175">
        <v>116.36</v>
      </c>
      <c r="F12" s="175">
        <v>116.43</v>
      </c>
      <c r="G12" s="175">
        <v>116.53</v>
      </c>
      <c r="H12" s="175">
        <v>116.81</v>
      </c>
      <c r="I12" s="175">
        <v>117.13</v>
      </c>
      <c r="J12" s="175">
        <v>117.7</v>
      </c>
      <c r="K12" s="175">
        <v>117.54</v>
      </c>
      <c r="L12" s="175">
        <v>117.02</v>
      </c>
      <c r="M12" s="175">
        <v>117.17</v>
      </c>
      <c r="N12" s="186">
        <v>117.95</v>
      </c>
      <c r="O12" s="185">
        <v>117.99</v>
      </c>
      <c r="P12" s="175">
        <v>116.96</v>
      </c>
      <c r="Q12" s="175">
        <v>129.82</v>
      </c>
      <c r="R12" s="175">
        <v>119.29</v>
      </c>
      <c r="S12" s="175">
        <v>119.56</v>
      </c>
      <c r="T12" s="175">
        <v>120.05</v>
      </c>
      <c r="U12" s="175">
        <v>120.33</v>
      </c>
      <c r="V12" s="175">
        <v>120.1</v>
      </c>
      <c r="W12" s="175">
        <v>120.02</v>
      </c>
      <c r="X12" s="175">
        <v>120.09</v>
      </c>
      <c r="Y12" s="175">
        <v>120.25</v>
      </c>
      <c r="Z12" s="186">
        <v>120.9</v>
      </c>
      <c r="AA12" s="185">
        <v>120.84</v>
      </c>
      <c r="AB12" s="175">
        <v>120.61</v>
      </c>
      <c r="AC12" s="175">
        <v>120.39</v>
      </c>
      <c r="AD12" s="175">
        <v>120.20941500000001</v>
      </c>
      <c r="AE12" s="175">
        <v>120.12526840950001</v>
      </c>
      <c r="AF12" s="175">
        <v>120.11325588265906</v>
      </c>
      <c r="AG12" s="175">
        <v>120.17331251060038</v>
      </c>
      <c r="AH12" s="175">
        <f t="shared" si="0"/>
        <v>120.29348582311097</v>
      </c>
      <c r="AI12" s="175">
        <v>120.22138664253711</v>
      </c>
      <c r="AJ12" s="175">
        <v>120.30554161318688</v>
      </c>
      <c r="AK12" s="175">
        <v>120.22132773405764</v>
      </c>
      <c r="AL12" s="186">
        <v>121.02681062987581</v>
      </c>
      <c r="AM12" s="185">
        <v>121.14783744050567</v>
      </c>
      <c r="AN12" s="175">
        <f t="shared" si="1"/>
        <v>121.26898527794616</v>
      </c>
      <c r="AO12" s="175"/>
      <c r="AP12" s="175"/>
      <c r="AQ12" s="175"/>
      <c r="AR12" s="175"/>
      <c r="AS12" s="175"/>
      <c r="AT12" s="175"/>
      <c r="AU12" s="175"/>
      <c r="AV12" s="175"/>
      <c r="AW12" s="175"/>
      <c r="AX12" s="186"/>
      <c r="AZ12" s="222">
        <v>0.1</v>
      </c>
      <c r="BA12" s="222">
        <v>-0.32</v>
      </c>
      <c r="BB12" s="222">
        <v>-0.11</v>
      </c>
      <c r="BC12" s="190"/>
    </row>
    <row r="13" spans="1:57" ht="15" customHeight="1" x14ac:dyDescent="0.25">
      <c r="A13" s="138" t="s">
        <v>365</v>
      </c>
      <c r="B13" s="184">
        <v>3.1549999999999998</v>
      </c>
      <c r="C13" s="185">
        <v>108.83</v>
      </c>
      <c r="D13" s="175">
        <v>108.89</v>
      </c>
      <c r="E13" s="175">
        <v>109.5</v>
      </c>
      <c r="F13" s="175">
        <v>109.6</v>
      </c>
      <c r="G13" s="175">
        <v>109.6</v>
      </c>
      <c r="H13" s="175">
        <v>109.6</v>
      </c>
      <c r="I13" s="175">
        <v>109.6</v>
      </c>
      <c r="J13" s="175">
        <v>109.76</v>
      </c>
      <c r="K13" s="175">
        <v>109.68</v>
      </c>
      <c r="L13" s="175">
        <v>109.69</v>
      </c>
      <c r="M13" s="175">
        <v>109.65</v>
      </c>
      <c r="N13" s="186">
        <v>109.53</v>
      </c>
      <c r="O13" s="185">
        <v>109.59</v>
      </c>
      <c r="P13" s="175">
        <v>110.02</v>
      </c>
      <c r="Q13" s="175">
        <v>111.46</v>
      </c>
      <c r="R13" s="175">
        <v>111.49</v>
      </c>
      <c r="S13" s="175">
        <v>111.48</v>
      </c>
      <c r="T13" s="175">
        <v>111.5</v>
      </c>
      <c r="U13" s="175">
        <v>111.89</v>
      </c>
      <c r="V13" s="175">
        <v>111.83</v>
      </c>
      <c r="W13" s="175">
        <v>111.83</v>
      </c>
      <c r="X13" s="175">
        <v>112.4</v>
      </c>
      <c r="Y13" s="175">
        <v>112.28</v>
      </c>
      <c r="Z13" s="186">
        <v>112.08</v>
      </c>
      <c r="AA13" s="185">
        <v>112.1</v>
      </c>
      <c r="AB13" s="175">
        <v>112.19</v>
      </c>
      <c r="AC13" s="175">
        <v>114.54</v>
      </c>
      <c r="AD13" s="175">
        <v>114.54</v>
      </c>
      <c r="AE13" s="175">
        <v>114.57436200000001</v>
      </c>
      <c r="AF13" s="175">
        <v>114.72330867060002</v>
      </c>
      <c r="AG13" s="175">
        <v>114.67741934713179</v>
      </c>
      <c r="AH13" s="175">
        <f t="shared" si="0"/>
        <v>114.7806290245442</v>
      </c>
      <c r="AI13" s="175">
        <v>115.04468066323615</v>
      </c>
      <c r="AJ13" s="175">
        <v>114.95264491870556</v>
      </c>
      <c r="AK13" s="175">
        <v>114.81470174480312</v>
      </c>
      <c r="AL13" s="186">
        <v>114.73433145358175</v>
      </c>
      <c r="AM13" s="185">
        <v>114.83759235188995</v>
      </c>
      <c r="AN13" s="175">
        <f t="shared" si="1"/>
        <v>114.94094618500664</v>
      </c>
      <c r="AO13" s="175"/>
      <c r="AP13" s="175"/>
      <c r="AQ13" s="175"/>
      <c r="AR13" s="175"/>
      <c r="AS13" s="175"/>
      <c r="AT13" s="175"/>
      <c r="AU13" s="175"/>
      <c r="AV13" s="175"/>
      <c r="AW13" s="175"/>
      <c r="AX13" s="186"/>
      <c r="AZ13" s="222">
        <v>0.09</v>
      </c>
      <c r="BA13" s="222">
        <v>0.04</v>
      </c>
      <c r="BB13" s="222">
        <v>2.69</v>
      </c>
      <c r="BC13" s="190"/>
    </row>
    <row r="14" spans="1:57" ht="15" customHeight="1" x14ac:dyDescent="0.25">
      <c r="A14" s="133" t="s">
        <v>79</v>
      </c>
      <c r="B14" s="177">
        <v>5.5780000000000003</v>
      </c>
      <c r="C14" s="188">
        <v>112.89</v>
      </c>
      <c r="D14" s="189">
        <v>113.05</v>
      </c>
      <c r="E14" s="189">
        <v>113.35</v>
      </c>
      <c r="F14" s="189">
        <v>113.51</v>
      </c>
      <c r="G14" s="189">
        <v>113.67</v>
      </c>
      <c r="H14" s="189">
        <v>113.95</v>
      </c>
      <c r="I14" s="189">
        <v>114.26</v>
      </c>
      <c r="J14" s="189">
        <v>114.47</v>
      </c>
      <c r="K14" s="189">
        <v>114.64</v>
      </c>
      <c r="L14" s="189">
        <v>114.62</v>
      </c>
      <c r="M14" s="189">
        <v>114.66</v>
      </c>
      <c r="N14" s="187">
        <v>114.76</v>
      </c>
      <c r="O14" s="188">
        <v>115.38</v>
      </c>
      <c r="P14" s="189">
        <v>115.66</v>
      </c>
      <c r="Q14" s="189">
        <v>116.13</v>
      </c>
      <c r="R14" s="189">
        <v>116.62</v>
      </c>
      <c r="S14" s="189">
        <v>117.17</v>
      </c>
      <c r="T14" s="189">
        <v>118.44</v>
      </c>
      <c r="U14" s="189">
        <v>118.84</v>
      </c>
      <c r="V14" s="189">
        <v>119.16</v>
      </c>
      <c r="W14" s="189">
        <v>119.31</v>
      </c>
      <c r="X14" s="189">
        <v>119.61</v>
      </c>
      <c r="Y14" s="189">
        <v>119.56</v>
      </c>
      <c r="Z14" s="187">
        <v>119.4</v>
      </c>
      <c r="AA14" s="188">
        <v>120.18</v>
      </c>
      <c r="AB14" s="189">
        <v>120.28</v>
      </c>
      <c r="AC14" s="189">
        <v>120.74</v>
      </c>
      <c r="AD14" s="189">
        <v>121.22296</v>
      </c>
      <c r="AE14" s="189">
        <v>121.63511806400001</v>
      </c>
      <c r="AF14" s="189">
        <v>122.08516800083682</v>
      </c>
      <c r="AG14" s="189">
        <v>122.43921498803923</v>
      </c>
      <c r="AH14" s="189">
        <f t="shared" si="0"/>
        <v>122.70858126101291</v>
      </c>
      <c r="AI14" s="189">
        <v>122.68421585723026</v>
      </c>
      <c r="AJ14" s="189">
        <v>122.75782638674458</v>
      </c>
      <c r="AK14" s="189">
        <v>122.77010216938299</v>
      </c>
      <c r="AL14" s="187">
        <v>122.79465618981712</v>
      </c>
      <c r="AM14" s="188">
        <v>123.06480443343472</v>
      </c>
      <c r="AN14" s="189">
        <f t="shared" si="1"/>
        <v>123.33554700318827</v>
      </c>
      <c r="AO14" s="189"/>
      <c r="AP14" s="189"/>
      <c r="AQ14" s="189"/>
      <c r="AR14" s="189"/>
      <c r="AS14" s="189"/>
      <c r="AT14" s="189"/>
      <c r="AU14" s="189"/>
      <c r="AV14" s="189"/>
      <c r="AW14" s="189"/>
      <c r="AX14" s="187"/>
      <c r="AZ14" s="224">
        <v>0.22</v>
      </c>
      <c r="BA14" s="224">
        <v>0.49</v>
      </c>
      <c r="BB14" s="224">
        <v>2.93</v>
      </c>
      <c r="BC14" s="190"/>
    </row>
    <row r="15" spans="1:57" ht="15" customHeight="1" x14ac:dyDescent="0.25">
      <c r="A15" s="131" t="s">
        <v>144</v>
      </c>
      <c r="B15" s="131"/>
    </row>
    <row r="16" spans="1:57" ht="15" customHeight="1" x14ac:dyDescent="0.25">
      <c r="BE16" s="225"/>
    </row>
    <row r="18" spans="1:57" s="215" customFormat="1" ht="15" customHeight="1" x14ac:dyDescent="0.25">
      <c r="A18" s="376" t="s">
        <v>72</v>
      </c>
      <c r="B18" s="183">
        <f>SUM(B19:B26)</f>
        <v>100</v>
      </c>
      <c r="C18" s="181"/>
      <c r="D18" s="180">
        <f t="shared" ref="D18:AK18" si="2">((D6/C6)-1)*100</f>
        <v>0.46187014151364281</v>
      </c>
      <c r="E18" s="180">
        <f t="shared" si="2"/>
        <v>0.64209326767585839</v>
      </c>
      <c r="F18" s="180">
        <f t="shared" si="2"/>
        <v>0.11461723484815778</v>
      </c>
      <c r="G18" s="180">
        <f t="shared" si="2"/>
        <v>0.28096335042333553</v>
      </c>
      <c r="H18" s="180">
        <f t="shared" si="2"/>
        <v>0.51133559242593218</v>
      </c>
      <c r="I18" s="180">
        <f t="shared" si="2"/>
        <v>5.331078342383222E-2</v>
      </c>
      <c r="J18" s="180">
        <f t="shared" si="2"/>
        <v>8.1407066576355547E-2</v>
      </c>
      <c r="K18" s="180">
        <f t="shared" si="2"/>
        <v>0.23702026123328945</v>
      </c>
      <c r="L18" s="180">
        <f t="shared" si="2"/>
        <v>-0.54849619291359453</v>
      </c>
      <c r="M18" s="180">
        <f t="shared" si="2"/>
        <v>0.67252928969057102</v>
      </c>
      <c r="N18" s="182">
        <f t="shared" si="2"/>
        <v>0.16113643220019291</v>
      </c>
      <c r="O18" s="181">
        <f t="shared" si="2"/>
        <v>0.20447963904830502</v>
      </c>
      <c r="P18" s="180">
        <f t="shared" si="2"/>
        <v>0.29762108952322563</v>
      </c>
      <c r="Q18" s="180">
        <f t="shared" si="2"/>
        <v>2.9195464302958829</v>
      </c>
      <c r="R18" s="180">
        <f t="shared" si="2"/>
        <v>-1.4515867842738173</v>
      </c>
      <c r="S18" s="180">
        <f t="shared" si="2"/>
        <v>1.7946760272757878E-2</v>
      </c>
      <c r="T18" s="180">
        <f t="shared" si="2"/>
        <v>0.55913434385304051</v>
      </c>
      <c r="U18" s="180">
        <f t="shared" si="2"/>
        <v>0.52839316745543208</v>
      </c>
      <c r="V18" s="180">
        <f t="shared" si="2"/>
        <v>0.28658906111702631</v>
      </c>
      <c r="W18" s="180">
        <f t="shared" si="2"/>
        <v>-7.5402717515271611E-2</v>
      </c>
      <c r="X18" s="180">
        <f t="shared" si="2"/>
        <v>0.16471760343985675</v>
      </c>
      <c r="Y18" s="180">
        <f t="shared" si="2"/>
        <v>0.40600351936312951</v>
      </c>
      <c r="Z18" s="182">
        <f t="shared" si="2"/>
        <v>2.0927791687141983E-2</v>
      </c>
      <c r="AA18" s="181">
        <f t="shared" si="2"/>
        <v>-0.27644922234458802</v>
      </c>
      <c r="AB18" s="180">
        <f t="shared" si="2"/>
        <v>0.1415557618130725</v>
      </c>
      <c r="AC18" s="180">
        <f t="shared" si="2"/>
        <v>1.3889089518695164</v>
      </c>
      <c r="AD18" s="180">
        <f t="shared" si="2"/>
        <v>9.9999999999988987E-2</v>
      </c>
      <c r="AE18" s="180">
        <f t="shared" si="2"/>
        <v>-0.62999999999999723</v>
      </c>
      <c r="AF18" s="180">
        <f t="shared" si="2"/>
        <v>-0.16000000000000458</v>
      </c>
      <c r="AG18" s="180">
        <f t="shared" si="2"/>
        <v>-0.27000000000000357</v>
      </c>
      <c r="AH18" s="180">
        <f t="shared" si="2"/>
        <v>0.47999999999999154</v>
      </c>
      <c r="AI18" s="180">
        <f t="shared" si="2"/>
        <v>-0.37815983280254928</v>
      </c>
      <c r="AJ18" s="180">
        <f t="shared" si="2"/>
        <v>-0.18000000000000238</v>
      </c>
      <c r="AK18" s="180">
        <f t="shared" si="2"/>
        <v>-0.43833956826753173</v>
      </c>
      <c r="AL18" s="182">
        <v>-0.43999999999999595</v>
      </c>
      <c r="AM18" s="181">
        <f t="shared" ref="AM18:AN26" si="3">((AM6/AL6)-1)*100</f>
        <v>0.47999999999999154</v>
      </c>
      <c r="AN18" s="180">
        <f t="shared" si="3"/>
        <v>0.47999999999999154</v>
      </c>
      <c r="AO18" s="180"/>
      <c r="AP18" s="180"/>
      <c r="AQ18" s="180"/>
      <c r="AR18" s="180"/>
      <c r="AS18" s="180"/>
      <c r="AT18" s="180"/>
      <c r="AU18" s="180"/>
      <c r="AV18" s="180"/>
      <c r="AW18" s="180"/>
      <c r="AX18" s="182"/>
      <c r="AY18" s="111"/>
      <c r="AZ18" s="220">
        <f t="shared" ref="AZ18:AZ26" si="4">AVERAGE(O18:Z18)</f>
        <v>0.32319749202222581</v>
      </c>
      <c r="BA18" s="220">
        <f t="shared" ref="BA18:BA26" si="5">AVERAGE(AA18:AL18)</f>
        <v>-5.5206992477675278E-2</v>
      </c>
      <c r="BB18" s="220">
        <f>BA18-AZ18</f>
        <v>-0.37840448449990111</v>
      </c>
      <c r="BE18" s="226"/>
    </row>
    <row r="19" spans="1:57" ht="15" customHeight="1" x14ac:dyDescent="0.25">
      <c r="A19" s="138" t="s">
        <v>73</v>
      </c>
      <c r="B19" s="184">
        <v>59.22</v>
      </c>
      <c r="C19" s="185"/>
      <c r="D19" s="175">
        <f t="shared" ref="D19:AK19" si="6">((D7/C7)-1)*100</f>
        <v>0.73224310471076137</v>
      </c>
      <c r="E19" s="175">
        <f t="shared" si="6"/>
        <v>0.88845812131490565</v>
      </c>
      <c r="F19" s="175">
        <f t="shared" si="6"/>
        <v>0.12809222640299822</v>
      </c>
      <c r="G19" s="175">
        <f t="shared" si="6"/>
        <v>0.15991045014791538</v>
      </c>
      <c r="H19" s="175">
        <f t="shared" si="6"/>
        <v>0.88608605412310304</v>
      </c>
      <c r="I19" s="175">
        <f t="shared" si="6"/>
        <v>-0.2452919765785766</v>
      </c>
      <c r="J19" s="175">
        <f t="shared" si="6"/>
        <v>-0.19830253034028855</v>
      </c>
      <c r="K19" s="175">
        <f t="shared" si="6"/>
        <v>0.45302813543157683</v>
      </c>
      <c r="L19" s="175">
        <f t="shared" si="6"/>
        <v>-1.0681224780441423</v>
      </c>
      <c r="M19" s="175">
        <f t="shared" si="6"/>
        <v>1.1916186820217556</v>
      </c>
      <c r="N19" s="186">
        <f t="shared" si="6"/>
        <v>5.532284833635881E-2</v>
      </c>
      <c r="O19" s="185">
        <f t="shared" si="6"/>
        <v>7.1090047393362887E-2</v>
      </c>
      <c r="P19" s="175">
        <f t="shared" si="6"/>
        <v>0.64724919093852584</v>
      </c>
      <c r="Q19" s="175">
        <f t="shared" si="6"/>
        <v>2.2194337699003919</v>
      </c>
      <c r="R19" s="175">
        <f t="shared" si="6"/>
        <v>-0.26852846401718145</v>
      </c>
      <c r="S19" s="175">
        <f t="shared" si="6"/>
        <v>-0.14616508962227437</v>
      </c>
      <c r="T19" s="175">
        <f t="shared" si="6"/>
        <v>0.72419106317411774</v>
      </c>
      <c r="U19" s="175">
        <f t="shared" si="6"/>
        <v>0.61190148386107701</v>
      </c>
      <c r="V19" s="175">
        <f t="shared" si="6"/>
        <v>0.82104302873651225</v>
      </c>
      <c r="W19" s="175">
        <f t="shared" si="6"/>
        <v>-0.23375056552555895</v>
      </c>
      <c r="X19" s="175">
        <f t="shared" si="6"/>
        <v>0.12848613105584938</v>
      </c>
      <c r="Y19" s="175">
        <f t="shared" si="6"/>
        <v>0.57367149758456026</v>
      </c>
      <c r="Z19" s="186">
        <f t="shared" si="6"/>
        <v>-8.2557790453330337E-2</v>
      </c>
      <c r="AA19" s="185">
        <f t="shared" si="6"/>
        <v>-0.69105385713211787</v>
      </c>
      <c r="AB19" s="175">
        <f t="shared" si="6"/>
        <v>0.36305877013840249</v>
      </c>
      <c r="AC19" s="175">
        <f t="shared" si="6"/>
        <v>2.4342452332504205</v>
      </c>
      <c r="AD19" s="175">
        <f t="shared" si="6"/>
        <v>0.11000000000001009</v>
      </c>
      <c r="AE19" s="175">
        <f t="shared" si="6"/>
        <v>-1.1199999999999877</v>
      </c>
      <c r="AF19" s="175">
        <f t="shared" si="6"/>
        <v>-0.46999999999999265</v>
      </c>
      <c r="AG19" s="175">
        <f t="shared" si="6"/>
        <v>-0.68000000000012495</v>
      </c>
      <c r="AH19" s="175">
        <f t="shared" si="6"/>
        <v>0.68999999999999062</v>
      </c>
      <c r="AI19" s="175">
        <f t="shared" si="6"/>
        <v>-0.64554176184313805</v>
      </c>
      <c r="AJ19" s="175">
        <f t="shared" si="6"/>
        <v>-0.44000000000000705</v>
      </c>
      <c r="AK19" s="175">
        <f t="shared" si="6"/>
        <v>-0.54999999999999494</v>
      </c>
      <c r="AL19" s="186">
        <v>-1.1900000000000022</v>
      </c>
      <c r="AM19" s="185">
        <f t="shared" si="3"/>
        <v>0.68999999999999062</v>
      </c>
      <c r="AN19" s="175">
        <f t="shared" si="3"/>
        <v>0.68999999999999062</v>
      </c>
      <c r="AO19" s="175"/>
      <c r="AP19" s="175"/>
      <c r="AQ19" s="175"/>
      <c r="AR19" s="175"/>
      <c r="AS19" s="175"/>
      <c r="AT19" s="175"/>
      <c r="AU19" s="175"/>
      <c r="AV19" s="175"/>
      <c r="AW19" s="175"/>
      <c r="AX19" s="186"/>
      <c r="AZ19" s="222">
        <f t="shared" si="4"/>
        <v>0.42217202525217107</v>
      </c>
      <c r="BA19" s="222">
        <f t="shared" si="5"/>
        <v>-0.18244096796554513</v>
      </c>
      <c r="BB19" s="222">
        <f t="shared" ref="BB19:BB26" si="7">BA19-AZ19</f>
        <v>-0.60461299321771622</v>
      </c>
      <c r="BE19" s="225"/>
    </row>
    <row r="20" spans="1:57" ht="15" customHeight="1" x14ac:dyDescent="0.25">
      <c r="A20" s="138" t="s">
        <v>74</v>
      </c>
      <c r="B20" s="184">
        <v>5.7649999999999997</v>
      </c>
      <c r="C20" s="185"/>
      <c r="D20" s="175">
        <f t="shared" ref="D20:AK20" si="8">((D8/C8)-1)*100</f>
        <v>0.40969316596930483</v>
      </c>
      <c r="E20" s="175">
        <f t="shared" si="8"/>
        <v>0.41670283878809666</v>
      </c>
      <c r="F20" s="175">
        <f t="shared" si="8"/>
        <v>0.11238869196852352</v>
      </c>
      <c r="G20" s="175">
        <f t="shared" si="8"/>
        <v>0</v>
      </c>
      <c r="H20" s="175">
        <f t="shared" si="8"/>
        <v>0</v>
      </c>
      <c r="I20" s="175">
        <f t="shared" si="8"/>
        <v>0</v>
      </c>
      <c r="J20" s="175">
        <f t="shared" si="8"/>
        <v>-8.6355785837599619E-3</v>
      </c>
      <c r="K20" s="175">
        <f t="shared" si="8"/>
        <v>-1.7272648760691123E-2</v>
      </c>
      <c r="L20" s="175">
        <f t="shared" si="8"/>
        <v>0.11229161268031529</v>
      </c>
      <c r="M20" s="175">
        <f t="shared" si="8"/>
        <v>1.7256255392572584E-2</v>
      </c>
      <c r="N20" s="186">
        <f t="shared" si="8"/>
        <v>6.9013112491367323E-2</v>
      </c>
      <c r="O20" s="185">
        <f t="shared" si="8"/>
        <v>0.14655172413793327</v>
      </c>
      <c r="P20" s="175">
        <f t="shared" si="8"/>
        <v>0.63699750365842078</v>
      </c>
      <c r="Q20" s="175">
        <f t="shared" si="8"/>
        <v>1.7107176460529061E-2</v>
      </c>
      <c r="R20" s="175">
        <f t="shared" si="8"/>
        <v>7.6969126827997059E-2</v>
      </c>
      <c r="S20" s="175">
        <f t="shared" si="8"/>
        <v>0.35891300632371337</v>
      </c>
      <c r="T20" s="175">
        <f t="shared" si="8"/>
        <v>0.14475476839237444</v>
      </c>
      <c r="U20" s="175">
        <f t="shared" si="8"/>
        <v>0.15304821018622405</v>
      </c>
      <c r="V20" s="175">
        <f t="shared" si="8"/>
        <v>0.21224212581714141</v>
      </c>
      <c r="W20" s="175">
        <f t="shared" si="8"/>
        <v>-8.4717045069515606E-3</v>
      </c>
      <c r="X20" s="175">
        <f t="shared" si="8"/>
        <v>0.18639328984155767</v>
      </c>
      <c r="Y20" s="175">
        <f t="shared" si="8"/>
        <v>0.20295983086680014</v>
      </c>
      <c r="Z20" s="186">
        <f t="shared" si="8"/>
        <v>3.3758123048355237E-2</v>
      </c>
      <c r="AA20" s="185">
        <f t="shared" si="8"/>
        <v>-5.0620096178188856E-2</v>
      </c>
      <c r="AB20" s="175">
        <f t="shared" si="8"/>
        <v>-0.11817337722630494</v>
      </c>
      <c r="AC20" s="175">
        <f t="shared" si="8"/>
        <v>-8.4509422800693734E-3</v>
      </c>
      <c r="AD20" s="175">
        <f t="shared" si="8"/>
        <v>9.9999999999988987E-2</v>
      </c>
      <c r="AE20" s="175">
        <f t="shared" si="8"/>
        <v>0.47999999999999154</v>
      </c>
      <c r="AF20" s="175">
        <f t="shared" si="8"/>
        <v>-0.18000000000000238</v>
      </c>
      <c r="AG20" s="175">
        <f t="shared" si="8"/>
        <v>3.9999999999995595E-2</v>
      </c>
      <c r="AH20" s="175">
        <f t="shared" si="8"/>
        <v>0.23999999999999577</v>
      </c>
      <c r="AI20" s="175">
        <f t="shared" si="8"/>
        <v>-0.29927274541101667</v>
      </c>
      <c r="AJ20" s="175">
        <f t="shared" si="8"/>
        <v>0.13000000000000789</v>
      </c>
      <c r="AK20" s="175">
        <f t="shared" si="8"/>
        <v>-0.30999999999999917</v>
      </c>
      <c r="AL20" s="186">
        <v>7.9999999999991189E-2</v>
      </c>
      <c r="AM20" s="185">
        <f t="shared" si="3"/>
        <v>0.23999999999999577</v>
      </c>
      <c r="AN20" s="175">
        <f t="shared" si="3"/>
        <v>0.23999999999999577</v>
      </c>
      <c r="AO20" s="175"/>
      <c r="AP20" s="175"/>
      <c r="AQ20" s="175"/>
      <c r="AR20" s="175"/>
      <c r="AS20" s="175"/>
      <c r="AT20" s="175"/>
      <c r="AU20" s="175"/>
      <c r="AV20" s="175"/>
      <c r="AW20" s="175"/>
      <c r="AX20" s="186"/>
      <c r="AZ20" s="222">
        <f t="shared" si="4"/>
        <v>0.18010193175450792</v>
      </c>
      <c r="BA20" s="222">
        <f t="shared" si="5"/>
        <v>8.6235699086991326E-3</v>
      </c>
      <c r="BB20" s="222">
        <f t="shared" si="7"/>
        <v>-0.17147836184580878</v>
      </c>
      <c r="BE20" s="225"/>
    </row>
    <row r="21" spans="1:57" ht="15" customHeight="1" x14ac:dyDescent="0.25">
      <c r="A21" s="138" t="s">
        <v>75</v>
      </c>
      <c r="B21" s="184">
        <v>10.308</v>
      </c>
      <c r="C21" s="185"/>
      <c r="D21" s="175">
        <f t="shared" ref="D21:AK21" si="9">((D9/C9)-1)*100</f>
        <v>9.6015362457979592E-2</v>
      </c>
      <c r="E21" s="175">
        <f t="shared" si="9"/>
        <v>-2.3980815347723894E-2</v>
      </c>
      <c r="F21" s="175">
        <f t="shared" si="9"/>
        <v>0.19988806268489423</v>
      </c>
      <c r="G21" s="175">
        <f t="shared" si="9"/>
        <v>2.3858921161825863</v>
      </c>
      <c r="H21" s="175">
        <f t="shared" si="9"/>
        <v>0.19484062037253835</v>
      </c>
      <c r="I21" s="175">
        <f t="shared" si="9"/>
        <v>1.3223397635345302</v>
      </c>
      <c r="J21" s="175">
        <f t="shared" si="9"/>
        <v>1.0287118071549139</v>
      </c>
      <c r="K21" s="175">
        <f t="shared" si="9"/>
        <v>0.46352583586626306</v>
      </c>
      <c r="L21" s="175">
        <f t="shared" si="9"/>
        <v>0.13614703880189261</v>
      </c>
      <c r="M21" s="175">
        <f t="shared" si="9"/>
        <v>0.59672180678300712</v>
      </c>
      <c r="N21" s="186">
        <f t="shared" si="9"/>
        <v>0.26280222255592456</v>
      </c>
      <c r="O21" s="185">
        <f t="shared" si="9"/>
        <v>1.3330337751816135</v>
      </c>
      <c r="P21" s="175">
        <f t="shared" si="9"/>
        <v>0.21432266646959075</v>
      </c>
      <c r="Q21" s="175">
        <f t="shared" si="9"/>
        <v>0.84070796460178343</v>
      </c>
      <c r="R21" s="175">
        <f t="shared" si="9"/>
        <v>-1.0823460582126798</v>
      </c>
      <c r="S21" s="175">
        <f t="shared" si="9"/>
        <v>-0.45837646015082223</v>
      </c>
      <c r="T21" s="175">
        <f t="shared" si="9"/>
        <v>0.5347593582887944</v>
      </c>
      <c r="U21" s="175">
        <f t="shared" si="9"/>
        <v>1.1229314420803549</v>
      </c>
      <c r="V21" s="175">
        <f t="shared" si="9"/>
        <v>-1.789888953828167</v>
      </c>
      <c r="W21" s="175">
        <f t="shared" si="9"/>
        <v>-0.12645986758909045</v>
      </c>
      <c r="X21" s="175">
        <f t="shared" si="9"/>
        <v>0.30537762550275627</v>
      </c>
      <c r="Y21" s="175">
        <f t="shared" si="9"/>
        <v>1.2771961090072059</v>
      </c>
      <c r="Z21" s="186">
        <f t="shared" si="9"/>
        <v>0.1173106532737167</v>
      </c>
      <c r="AA21" s="185">
        <f t="shared" si="9"/>
        <v>2.1969974368363232E-2</v>
      </c>
      <c r="AB21" s="175">
        <f t="shared" si="9"/>
        <v>-0.46126812124763772</v>
      </c>
      <c r="AC21" s="175">
        <f t="shared" si="9"/>
        <v>8.826774549466343E-2</v>
      </c>
      <c r="AD21" s="175">
        <f t="shared" si="9"/>
        <v>0.25999999999999357</v>
      </c>
      <c r="AE21" s="175">
        <f t="shared" si="9"/>
        <v>-1.7500000000000071</v>
      </c>
      <c r="AF21" s="175">
        <f t="shared" si="9"/>
        <v>9.9999999999988987E-3</v>
      </c>
      <c r="AG21" s="175">
        <f t="shared" si="9"/>
        <v>0.21999999999999797</v>
      </c>
      <c r="AH21" s="175">
        <f t="shared" si="9"/>
        <v>1.0699999999999932</v>
      </c>
      <c r="AI21" s="175">
        <f t="shared" si="9"/>
        <v>-0.58318393192837714</v>
      </c>
      <c r="AJ21" s="175">
        <f t="shared" si="9"/>
        <v>0.13000000000000789</v>
      </c>
      <c r="AK21" s="175">
        <f t="shared" si="9"/>
        <v>0.54000000000000714</v>
      </c>
      <c r="AL21" s="186">
        <v>0.60999999999999943</v>
      </c>
      <c r="AM21" s="185">
        <f t="shared" si="3"/>
        <v>1.0699999999999932</v>
      </c>
      <c r="AN21" s="175">
        <f t="shared" si="3"/>
        <v>1.0699999999999932</v>
      </c>
      <c r="AO21" s="175"/>
      <c r="AP21" s="175"/>
      <c r="AQ21" s="175"/>
      <c r="AR21" s="175"/>
      <c r="AS21" s="175"/>
      <c r="AT21" s="175"/>
      <c r="AU21" s="175"/>
      <c r="AV21" s="175"/>
      <c r="AW21" s="175"/>
      <c r="AX21" s="186"/>
      <c r="AZ21" s="222">
        <f t="shared" si="4"/>
        <v>0.19071402121875469</v>
      </c>
      <c r="BA21" s="222">
        <f t="shared" si="5"/>
        <v>1.2982138890583564E-2</v>
      </c>
      <c r="BB21" s="222">
        <f t="shared" si="7"/>
        <v>-0.17773188232817114</v>
      </c>
      <c r="BE21" s="225"/>
    </row>
    <row r="22" spans="1:57" ht="15" customHeight="1" x14ac:dyDescent="0.25">
      <c r="A22" s="138" t="s">
        <v>76</v>
      </c>
      <c r="B22" s="184">
        <v>4.9619999999999997</v>
      </c>
      <c r="C22" s="185"/>
      <c r="D22" s="175">
        <f t="shared" ref="D22:AK22" si="10">((D10/C10)-1)*100</f>
        <v>6.3938618925818425E-2</v>
      </c>
      <c r="E22" s="175">
        <f t="shared" si="10"/>
        <v>0.18256503879507946</v>
      </c>
      <c r="F22" s="175">
        <f t="shared" si="10"/>
        <v>4.5558086560371081E-2</v>
      </c>
      <c r="G22" s="175">
        <f t="shared" si="10"/>
        <v>0.11839708561021123</v>
      </c>
      <c r="H22" s="175">
        <f t="shared" si="10"/>
        <v>0.10916037478394536</v>
      </c>
      <c r="I22" s="175">
        <f t="shared" si="10"/>
        <v>0.12721490231712984</v>
      </c>
      <c r="J22" s="175">
        <f t="shared" si="10"/>
        <v>9.075233687272366E-3</v>
      </c>
      <c r="K22" s="175">
        <f t="shared" si="10"/>
        <v>2.7223230490025507E-2</v>
      </c>
      <c r="L22" s="175">
        <f t="shared" si="10"/>
        <v>0.17236686927333267</v>
      </c>
      <c r="M22" s="175">
        <f t="shared" si="10"/>
        <v>0.14490128599891072</v>
      </c>
      <c r="N22" s="186">
        <f t="shared" si="10"/>
        <v>0.19895098571169889</v>
      </c>
      <c r="O22" s="185">
        <f t="shared" si="10"/>
        <v>0.14440433212996595</v>
      </c>
      <c r="P22" s="175">
        <f t="shared" si="10"/>
        <v>9.0122566690697958E-2</v>
      </c>
      <c r="Q22" s="175">
        <f t="shared" si="10"/>
        <v>0.18908698001078861</v>
      </c>
      <c r="R22" s="175">
        <f t="shared" si="10"/>
        <v>0.16176867080075485</v>
      </c>
      <c r="S22" s="175">
        <f t="shared" si="10"/>
        <v>0.43965903992821964</v>
      </c>
      <c r="T22" s="175">
        <f t="shared" si="10"/>
        <v>0.21440057173487403</v>
      </c>
      <c r="U22" s="175">
        <f t="shared" si="10"/>
        <v>0.66856837225885979</v>
      </c>
      <c r="V22" s="175">
        <f t="shared" si="10"/>
        <v>0.1239706012573949</v>
      </c>
      <c r="W22" s="175">
        <f t="shared" si="10"/>
        <v>0.82249933669409359</v>
      </c>
      <c r="X22" s="175">
        <f t="shared" si="10"/>
        <v>-0.15789473684211242</v>
      </c>
      <c r="Y22" s="175">
        <f t="shared" si="10"/>
        <v>2.6357406431198882E-2</v>
      </c>
      <c r="Z22" s="186">
        <f t="shared" si="10"/>
        <v>-0.14931927975405657</v>
      </c>
      <c r="AA22" s="185">
        <f t="shared" si="10"/>
        <v>0.17593244194229474</v>
      </c>
      <c r="AB22" s="175">
        <f t="shared" si="10"/>
        <v>0.24587284861257164</v>
      </c>
      <c r="AC22" s="175">
        <f t="shared" si="10"/>
        <v>0.54309740714786336</v>
      </c>
      <c r="AD22" s="175">
        <f t="shared" si="10"/>
        <v>0.23999999999999577</v>
      </c>
      <c r="AE22" s="175">
        <f t="shared" si="10"/>
        <v>2.9999999999996696E-2</v>
      </c>
      <c r="AF22" s="175">
        <f t="shared" si="10"/>
        <v>0.8999999999999897</v>
      </c>
      <c r="AG22" s="175">
        <f t="shared" si="10"/>
        <v>0.15000000000000568</v>
      </c>
      <c r="AH22" s="175">
        <f t="shared" si="10"/>
        <v>9.9999999999988987E-2</v>
      </c>
      <c r="AI22" s="175">
        <f t="shared" si="10"/>
        <v>0.18001598401600205</v>
      </c>
      <c r="AJ22" s="175">
        <f t="shared" si="10"/>
        <v>-1.9999999999997797E-2</v>
      </c>
      <c r="AK22" s="175">
        <f t="shared" si="10"/>
        <v>8.9999999999990088E-2</v>
      </c>
      <c r="AL22" s="186">
        <v>0.14000000000000679</v>
      </c>
      <c r="AM22" s="185">
        <f t="shared" si="3"/>
        <v>9.9999999999988987E-2</v>
      </c>
      <c r="AN22" s="175">
        <f t="shared" si="3"/>
        <v>9.9999999999988987E-2</v>
      </c>
      <c r="AO22" s="175"/>
      <c r="AP22" s="175"/>
      <c r="AQ22" s="175"/>
      <c r="AR22" s="175"/>
      <c r="AS22" s="175"/>
      <c r="AT22" s="175"/>
      <c r="AU22" s="175"/>
      <c r="AV22" s="175"/>
      <c r="AW22" s="175"/>
      <c r="AX22" s="186"/>
      <c r="AZ22" s="222">
        <f t="shared" si="4"/>
        <v>0.21446865511172328</v>
      </c>
      <c r="BA22" s="222">
        <f t="shared" si="5"/>
        <v>0.23124322347655898</v>
      </c>
      <c r="BB22" s="222">
        <f>BA22-AZ22</f>
        <v>1.6774568364835707E-2</v>
      </c>
      <c r="BE22" s="225"/>
    </row>
    <row r="23" spans="1:57" ht="15" customHeight="1" x14ac:dyDescent="0.25">
      <c r="A23" s="138" t="s">
        <v>77</v>
      </c>
      <c r="B23" s="184">
        <v>1.6950000000000001</v>
      </c>
      <c r="C23" s="185"/>
      <c r="D23" s="175">
        <f t="shared" ref="D23:AK23" si="11">((D11/C11)-1)*100</f>
        <v>0.30832476875641834</v>
      </c>
      <c r="E23" s="175">
        <f t="shared" si="11"/>
        <v>4.2691256830607038E-2</v>
      </c>
      <c r="F23" s="175">
        <f t="shared" si="11"/>
        <v>0.10241529401724403</v>
      </c>
      <c r="G23" s="175">
        <f t="shared" si="11"/>
        <v>0.2131469008440634</v>
      </c>
      <c r="H23" s="175">
        <f t="shared" si="11"/>
        <v>7.6569678407345521E-2</v>
      </c>
      <c r="I23" s="175">
        <f t="shared" si="11"/>
        <v>0.39955793590069622</v>
      </c>
      <c r="J23" s="175">
        <f t="shared" si="11"/>
        <v>0.14394580863674733</v>
      </c>
      <c r="K23" s="175">
        <f t="shared" si="11"/>
        <v>-5.0731377356894036E-2</v>
      </c>
      <c r="L23" s="175">
        <f t="shared" si="11"/>
        <v>0.3552998900262283</v>
      </c>
      <c r="M23" s="175">
        <f t="shared" si="11"/>
        <v>0.87667537722331268</v>
      </c>
      <c r="N23" s="186">
        <f t="shared" si="11"/>
        <v>7.520681875157198E-2</v>
      </c>
      <c r="O23" s="185">
        <f t="shared" si="11"/>
        <v>9.1850367401469235E-2</v>
      </c>
      <c r="P23" s="175">
        <f t="shared" si="11"/>
        <v>0.41711854509052237</v>
      </c>
      <c r="Q23" s="175">
        <f t="shared" si="11"/>
        <v>0.44861676497465197</v>
      </c>
      <c r="R23" s="175">
        <f t="shared" si="11"/>
        <v>0.15714167562650427</v>
      </c>
      <c r="S23" s="175">
        <f t="shared" si="11"/>
        <v>0.30553261767134465</v>
      </c>
      <c r="T23" s="175">
        <f t="shared" si="11"/>
        <v>8.2324853873383397E-2</v>
      </c>
      <c r="U23" s="175">
        <f t="shared" si="11"/>
        <v>0.48531710125854222</v>
      </c>
      <c r="V23" s="175">
        <f t="shared" si="11"/>
        <v>0.21283562540930223</v>
      </c>
      <c r="W23" s="175">
        <f t="shared" si="11"/>
        <v>0.21238359745139324</v>
      </c>
      <c r="X23" s="175">
        <f t="shared" si="11"/>
        <v>0.44832083469188433</v>
      </c>
      <c r="Y23" s="175">
        <f t="shared" si="11"/>
        <v>0.38140063296274729</v>
      </c>
      <c r="Z23" s="186">
        <f t="shared" si="11"/>
        <v>0.17784963621665373</v>
      </c>
      <c r="AA23" s="185">
        <f t="shared" si="11"/>
        <v>0.43576500968365295</v>
      </c>
      <c r="AB23" s="175">
        <f t="shared" si="11"/>
        <v>0.12052064920455852</v>
      </c>
      <c r="AC23" s="175">
        <f t="shared" si="11"/>
        <v>-1.6050076237861255E-2</v>
      </c>
      <c r="AD23" s="175">
        <f t="shared" si="11"/>
        <v>-8.0000000000002292E-2</v>
      </c>
      <c r="AE23" s="175">
        <f t="shared" si="11"/>
        <v>0.18000000000000238</v>
      </c>
      <c r="AF23" s="175">
        <f t="shared" si="11"/>
        <v>-4.9999999999994493E-2</v>
      </c>
      <c r="AG23" s="175">
        <f t="shared" si="11"/>
        <v>0.48999999999999044</v>
      </c>
      <c r="AH23" s="175">
        <f t="shared" si="11"/>
        <v>4.9999999999994493E-2</v>
      </c>
      <c r="AI23" s="175">
        <f t="shared" si="11"/>
        <v>-4.997501249375258E-2</v>
      </c>
      <c r="AJ23" s="175">
        <f t="shared" si="11"/>
        <v>0.20999999999999908</v>
      </c>
      <c r="AK23" s="175">
        <f t="shared" si="11"/>
        <v>-7.0000000000003393E-2</v>
      </c>
      <c r="AL23" s="186">
        <v>-0.23999999999999577</v>
      </c>
      <c r="AM23" s="185">
        <f t="shared" si="3"/>
        <v>4.9999999999994493E-2</v>
      </c>
      <c r="AN23" s="175">
        <f t="shared" si="3"/>
        <v>4.9999999999994493E-2</v>
      </c>
      <c r="AO23" s="175"/>
      <c r="AP23" s="175"/>
      <c r="AQ23" s="175"/>
      <c r="AR23" s="175"/>
      <c r="AS23" s="175"/>
      <c r="AT23" s="175"/>
      <c r="AU23" s="175"/>
      <c r="AV23" s="175"/>
      <c r="AW23" s="175"/>
      <c r="AX23" s="186"/>
      <c r="AZ23" s="222">
        <f t="shared" si="4"/>
        <v>0.28505768771903323</v>
      </c>
      <c r="BA23" s="222">
        <f t="shared" si="5"/>
        <v>8.1688380846382344E-2</v>
      </c>
      <c r="BB23" s="222">
        <f t="shared" si="7"/>
        <v>-0.20336930687265087</v>
      </c>
      <c r="BE23" s="225"/>
    </row>
    <row r="24" spans="1:57" ht="15" customHeight="1" x14ac:dyDescent="0.25">
      <c r="A24" s="138" t="s">
        <v>78</v>
      </c>
      <c r="B24" s="184">
        <v>9.3170000000000002</v>
      </c>
      <c r="C24" s="185"/>
      <c r="D24" s="175">
        <f t="shared" ref="D24:AK24" si="12">((D12/C12)-1)*100</f>
        <v>0.31271716469769562</v>
      </c>
      <c r="E24" s="175">
        <f t="shared" si="12"/>
        <v>0.76203671631451808</v>
      </c>
      <c r="F24" s="175">
        <f t="shared" si="12"/>
        <v>6.015812994155656E-2</v>
      </c>
      <c r="G24" s="175">
        <f t="shared" si="12"/>
        <v>8.5888516705301399E-2</v>
      </c>
      <c r="H24" s="175">
        <f t="shared" si="12"/>
        <v>0.24028147258217114</v>
      </c>
      <c r="I24" s="175">
        <f t="shared" si="12"/>
        <v>0.27394914818936744</v>
      </c>
      <c r="J24" s="175">
        <f t="shared" si="12"/>
        <v>0.48663877742680661</v>
      </c>
      <c r="K24" s="175">
        <f t="shared" si="12"/>
        <v>-0.13593882752761521</v>
      </c>
      <c r="L24" s="175">
        <f t="shared" si="12"/>
        <v>-0.4424025863535852</v>
      </c>
      <c r="M24" s="175">
        <f t="shared" si="12"/>
        <v>0.12818321654417542</v>
      </c>
      <c r="N24" s="186">
        <f t="shared" si="12"/>
        <v>0.66569941111205289</v>
      </c>
      <c r="O24" s="185">
        <f t="shared" si="12"/>
        <v>3.3912674862213166E-2</v>
      </c>
      <c r="P24" s="175">
        <f t="shared" si="12"/>
        <v>-0.87295533519790025</v>
      </c>
      <c r="Q24" s="175">
        <f t="shared" si="12"/>
        <v>10.995212038303691</v>
      </c>
      <c r="R24" s="175">
        <f t="shared" si="12"/>
        <v>-8.1112309351409557</v>
      </c>
      <c r="S24" s="175">
        <f t="shared" si="12"/>
        <v>0.2263391734428577</v>
      </c>
      <c r="T24" s="175">
        <f t="shared" si="12"/>
        <v>0.4098360655737654</v>
      </c>
      <c r="U24" s="175">
        <f t="shared" si="12"/>
        <v>0.23323615160348865</v>
      </c>
      <c r="V24" s="175">
        <f t="shared" si="12"/>
        <v>-0.19114102883737161</v>
      </c>
      <c r="W24" s="175">
        <f t="shared" si="12"/>
        <v>-6.6611157368856588E-2</v>
      </c>
      <c r="X24" s="175">
        <f t="shared" si="12"/>
        <v>5.832361273121478E-2</v>
      </c>
      <c r="Y24" s="175">
        <f t="shared" si="12"/>
        <v>0.13323340827713359</v>
      </c>
      <c r="Z24" s="186">
        <f t="shared" si="12"/>
        <v>0.54054054054053502</v>
      </c>
      <c r="AA24" s="185">
        <f t="shared" si="12"/>
        <v>-4.9627791563278123E-2</v>
      </c>
      <c r="AB24" s="175">
        <f t="shared" si="12"/>
        <v>-0.19033432638199121</v>
      </c>
      <c r="AC24" s="175">
        <f t="shared" si="12"/>
        <v>-0.18240610231323728</v>
      </c>
      <c r="AD24" s="175">
        <f t="shared" si="12"/>
        <v>-0.14999999999999458</v>
      </c>
      <c r="AE24" s="175">
        <f t="shared" si="12"/>
        <v>-7.0000000000003393E-2</v>
      </c>
      <c r="AF24" s="175">
        <f t="shared" si="12"/>
        <v>-9.9999999999988987E-3</v>
      </c>
      <c r="AG24" s="175">
        <f t="shared" si="12"/>
        <v>4.9999999999994493E-2</v>
      </c>
      <c r="AH24" s="175">
        <f t="shared" si="12"/>
        <v>9.9999999999988987E-2</v>
      </c>
      <c r="AI24" s="175">
        <f t="shared" si="12"/>
        <v>-5.9936063936061323E-2</v>
      </c>
      <c r="AJ24" s="175">
        <f t="shared" si="12"/>
        <v>6.9999999999992291E-2</v>
      </c>
      <c r="AK24" s="175">
        <f t="shared" si="12"/>
        <v>-7.0000000000003393E-2</v>
      </c>
      <c r="AL24" s="186">
        <v>0.66999999999999282</v>
      </c>
      <c r="AM24" s="185">
        <f t="shared" si="3"/>
        <v>9.9999999999988987E-2</v>
      </c>
      <c r="AN24" s="175">
        <f t="shared" si="3"/>
        <v>9.9999999999988987E-2</v>
      </c>
      <c r="AO24" s="175"/>
      <c r="AP24" s="175"/>
      <c r="AQ24" s="175"/>
      <c r="AR24" s="175"/>
      <c r="AS24" s="175"/>
      <c r="AT24" s="175"/>
      <c r="AU24" s="175"/>
      <c r="AV24" s="175"/>
      <c r="AW24" s="175"/>
      <c r="AX24" s="186"/>
      <c r="AZ24" s="222">
        <f t="shared" si="4"/>
        <v>0.28239126739915127</v>
      </c>
      <c r="BA24" s="222">
        <f t="shared" si="5"/>
        <v>8.9746429837833652E-3</v>
      </c>
      <c r="BB24" s="222">
        <f t="shared" si="7"/>
        <v>-0.2734166244153679</v>
      </c>
    </row>
    <row r="25" spans="1:57" ht="15" customHeight="1" x14ac:dyDescent="0.25">
      <c r="A25" s="138" t="s">
        <v>365</v>
      </c>
      <c r="B25" s="184">
        <v>3.1549999999999998</v>
      </c>
      <c r="C25" s="185"/>
      <c r="D25" s="175">
        <f t="shared" ref="D25:AK25" si="13">((D13/C13)-1)*100</f>
        <v>5.5131857024726116E-2</v>
      </c>
      <c r="E25" s="175">
        <f t="shared" si="13"/>
        <v>0.56019836532279488</v>
      </c>
      <c r="F25" s="175">
        <f t="shared" si="13"/>
        <v>9.1324200913245335E-2</v>
      </c>
      <c r="G25" s="175">
        <f t="shared" si="13"/>
        <v>0</v>
      </c>
      <c r="H25" s="175">
        <f t="shared" si="13"/>
        <v>0</v>
      </c>
      <c r="I25" s="175">
        <f t="shared" si="13"/>
        <v>0</v>
      </c>
      <c r="J25" s="175">
        <f t="shared" si="13"/>
        <v>0.14598540145986938</v>
      </c>
      <c r="K25" s="175">
        <f t="shared" si="13"/>
        <v>-7.2886297376095754E-2</v>
      </c>
      <c r="L25" s="175">
        <f t="shared" si="13"/>
        <v>9.1174325309806292E-3</v>
      </c>
      <c r="M25" s="175">
        <f t="shared" si="13"/>
        <v>-3.646640532408707E-2</v>
      </c>
      <c r="N25" s="186">
        <f t="shared" si="13"/>
        <v>-0.10943912448700965</v>
      </c>
      <c r="O25" s="185">
        <f t="shared" si="13"/>
        <v>5.4779512462332924E-2</v>
      </c>
      <c r="P25" s="175">
        <f t="shared" si="13"/>
        <v>0.39237156674878371</v>
      </c>
      <c r="Q25" s="175">
        <f t="shared" si="13"/>
        <v>1.3088529358298517</v>
      </c>
      <c r="R25" s="175">
        <f t="shared" si="13"/>
        <v>2.6915485375922366E-2</v>
      </c>
      <c r="S25" s="175">
        <f t="shared" si="13"/>
        <v>-8.9694142972329693E-3</v>
      </c>
      <c r="T25" s="175">
        <f t="shared" si="13"/>
        <v>1.7940437746677418E-2</v>
      </c>
      <c r="U25" s="175">
        <f t="shared" si="13"/>
        <v>0.34977578475337001</v>
      </c>
      <c r="V25" s="175">
        <f t="shared" si="13"/>
        <v>-5.3624095093396384E-2</v>
      </c>
      <c r="W25" s="175">
        <f t="shared" si="13"/>
        <v>0</v>
      </c>
      <c r="X25" s="175">
        <f t="shared" si="13"/>
        <v>0.50970222659394437</v>
      </c>
      <c r="Y25" s="175">
        <f t="shared" si="13"/>
        <v>-0.1067615658362997</v>
      </c>
      <c r="Z25" s="186">
        <f t="shared" si="13"/>
        <v>-0.17812611328821282</v>
      </c>
      <c r="AA25" s="185">
        <f t="shared" si="13"/>
        <v>1.7844396859389988E-2</v>
      </c>
      <c r="AB25" s="175">
        <f t="shared" si="13"/>
        <v>8.028545941123344E-2</v>
      </c>
      <c r="AC25" s="175">
        <f t="shared" si="13"/>
        <v>2.0946608432124147</v>
      </c>
      <c r="AD25" s="175">
        <f t="shared" si="13"/>
        <v>0</v>
      </c>
      <c r="AE25" s="175">
        <f t="shared" si="13"/>
        <v>2.9999999999996696E-2</v>
      </c>
      <c r="AF25" s="175">
        <f t="shared" si="13"/>
        <v>0.13000000000000789</v>
      </c>
      <c r="AG25" s="175">
        <f t="shared" si="13"/>
        <v>-3.9999999999995595E-2</v>
      </c>
      <c r="AH25" s="175">
        <f t="shared" si="13"/>
        <v>8.9999999999990088E-2</v>
      </c>
      <c r="AI25" s="175">
        <f t="shared" si="13"/>
        <v>0.23004895593967678</v>
      </c>
      <c r="AJ25" s="175">
        <f t="shared" si="13"/>
        <v>-8.0000000000002292E-2</v>
      </c>
      <c r="AK25" s="175">
        <f t="shared" si="13"/>
        <v>-0.11999999999999789</v>
      </c>
      <c r="AL25" s="186">
        <v>-7.0000000000003393E-2</v>
      </c>
      <c r="AM25" s="185">
        <f t="shared" si="3"/>
        <v>8.9999999999990088E-2</v>
      </c>
      <c r="AN25" s="175">
        <f t="shared" si="3"/>
        <v>8.9999999999990088E-2</v>
      </c>
      <c r="AO25" s="175"/>
      <c r="AP25" s="175"/>
      <c r="AQ25" s="175"/>
      <c r="AR25" s="175"/>
      <c r="AS25" s="175"/>
      <c r="AT25" s="175"/>
      <c r="AU25" s="175"/>
      <c r="AV25" s="175"/>
      <c r="AW25" s="175"/>
      <c r="AX25" s="186"/>
      <c r="AZ25" s="222">
        <f t="shared" si="4"/>
        <v>0.19273806341631172</v>
      </c>
      <c r="BA25" s="222">
        <f t="shared" si="5"/>
        <v>0.19690330461855921</v>
      </c>
      <c r="BB25" s="222">
        <f t="shared" si="7"/>
        <v>4.1652412022474827E-3</v>
      </c>
    </row>
    <row r="26" spans="1:57" ht="15" customHeight="1" x14ac:dyDescent="0.25">
      <c r="A26" s="133" t="s">
        <v>79</v>
      </c>
      <c r="B26" s="177">
        <v>5.5780000000000003</v>
      </c>
      <c r="C26" s="188"/>
      <c r="D26" s="189">
        <f t="shared" ref="D26:AK26" si="14">((D14/C14)-1)*100</f>
        <v>0.14173088847551085</v>
      </c>
      <c r="E26" s="189">
        <f t="shared" si="14"/>
        <v>0.26536930561698036</v>
      </c>
      <c r="F26" s="189">
        <f t="shared" si="14"/>
        <v>0.14115571239523561</v>
      </c>
      <c r="G26" s="189">
        <f t="shared" si="14"/>
        <v>0.14095674389922319</v>
      </c>
      <c r="H26" s="189">
        <f t="shared" si="14"/>
        <v>0.24632708718219654</v>
      </c>
      <c r="I26" s="189">
        <f t="shared" si="14"/>
        <v>0.27204914436156358</v>
      </c>
      <c r="J26" s="189">
        <f t="shared" si="14"/>
        <v>0.18379135305444105</v>
      </c>
      <c r="K26" s="189">
        <f t="shared" si="14"/>
        <v>0.14851052677558041</v>
      </c>
      <c r="L26" s="189">
        <f t="shared" si="14"/>
        <v>-1.7445917655267706E-2</v>
      </c>
      <c r="M26" s="189">
        <f t="shared" si="14"/>
        <v>3.4897923573540268E-2</v>
      </c>
      <c r="N26" s="187">
        <f t="shared" si="14"/>
        <v>8.7214372928667849E-2</v>
      </c>
      <c r="O26" s="188">
        <f t="shared" si="14"/>
        <v>0.54025792959218055</v>
      </c>
      <c r="P26" s="189">
        <f t="shared" si="14"/>
        <v>0.24267637372161754</v>
      </c>
      <c r="Q26" s="189">
        <f t="shared" si="14"/>
        <v>0.40636347916305215</v>
      </c>
      <c r="R26" s="189">
        <f t="shared" si="14"/>
        <v>0.42194092827005925</v>
      </c>
      <c r="S26" s="189">
        <f t="shared" si="14"/>
        <v>0.47161721831590064</v>
      </c>
      <c r="T26" s="189">
        <f t="shared" si="14"/>
        <v>1.0838951950157938</v>
      </c>
      <c r="U26" s="189">
        <f t="shared" si="14"/>
        <v>0.33772374197906796</v>
      </c>
      <c r="V26" s="189">
        <f t="shared" si="14"/>
        <v>0.26926960619320095</v>
      </c>
      <c r="W26" s="189">
        <f t="shared" si="14"/>
        <v>0.12588116817724426</v>
      </c>
      <c r="X26" s="189">
        <f t="shared" si="14"/>
        <v>0.25144581342719796</v>
      </c>
      <c r="Y26" s="189">
        <f t="shared" si="14"/>
        <v>-4.1802524872502911E-2</v>
      </c>
      <c r="Z26" s="187">
        <f t="shared" si="14"/>
        <v>-0.13382402141184357</v>
      </c>
      <c r="AA26" s="188">
        <f t="shared" si="14"/>
        <v>0.65326633165829762</v>
      </c>
      <c r="AB26" s="189">
        <f t="shared" si="14"/>
        <v>8.3208520552502385E-2</v>
      </c>
      <c r="AC26" s="189">
        <f t="shared" si="14"/>
        <v>0.38244097106749919</v>
      </c>
      <c r="AD26" s="189">
        <f t="shared" si="14"/>
        <v>0.40000000000000036</v>
      </c>
      <c r="AE26" s="189">
        <f t="shared" si="14"/>
        <v>0.34000000000000696</v>
      </c>
      <c r="AF26" s="189">
        <f t="shared" si="14"/>
        <v>0.37000000000000366</v>
      </c>
      <c r="AG26" s="189">
        <f t="shared" si="14"/>
        <v>0.28999999999999027</v>
      </c>
      <c r="AH26" s="189">
        <f t="shared" si="14"/>
        <v>0.21999999999999797</v>
      </c>
      <c r="AI26" s="189">
        <f t="shared" si="14"/>
        <v>-1.985631610459393E-2</v>
      </c>
      <c r="AJ26" s="189">
        <f t="shared" si="14"/>
        <v>5.9999999999993392E-2</v>
      </c>
      <c r="AK26" s="189">
        <f t="shared" si="14"/>
        <v>9.9999999997768541E-3</v>
      </c>
      <c r="AL26" s="187">
        <v>1.9999999999997797E-2</v>
      </c>
      <c r="AM26" s="188">
        <f t="shared" si="3"/>
        <v>0.21999999999999797</v>
      </c>
      <c r="AN26" s="189">
        <f t="shared" si="3"/>
        <v>0.21999999999999797</v>
      </c>
      <c r="AO26" s="189"/>
      <c r="AP26" s="189"/>
      <c r="AQ26" s="189"/>
      <c r="AR26" s="189"/>
      <c r="AS26" s="189"/>
      <c r="AT26" s="189"/>
      <c r="AU26" s="189"/>
      <c r="AV26" s="189"/>
      <c r="AW26" s="189"/>
      <c r="AX26" s="187"/>
      <c r="AZ26" s="224">
        <f t="shared" si="4"/>
        <v>0.33128707563091409</v>
      </c>
      <c r="BA26" s="224">
        <f t="shared" si="5"/>
        <v>0.23408829226445604</v>
      </c>
      <c r="BB26" s="224">
        <f t="shared" si="7"/>
        <v>-9.7198783366458041E-2</v>
      </c>
    </row>
    <row r="27" spans="1:57" ht="15" customHeight="1" x14ac:dyDescent="0.25">
      <c r="A27" s="131" t="s">
        <v>144</v>
      </c>
    </row>
    <row r="29" spans="1:57" ht="15" customHeight="1" x14ac:dyDescent="0.25">
      <c r="A29" s="125" t="s">
        <v>205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Z29"/>
      <c r="BA29"/>
      <c r="BB29"/>
      <c r="BC29"/>
      <c r="BD29"/>
    </row>
    <row r="30" spans="1:57" ht="15" customHeight="1" x14ac:dyDescent="0.25">
      <c r="A30" s="128" t="s">
        <v>225</v>
      </c>
      <c r="B30" s="128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Z30"/>
      <c r="BA30"/>
      <c r="BB30"/>
      <c r="BC30"/>
      <c r="BD30"/>
    </row>
    <row r="31" spans="1:57" ht="15" customHeight="1" x14ac:dyDescent="0.25">
      <c r="A31" s="376" t="s">
        <v>72</v>
      </c>
      <c r="B31" s="183">
        <v>100</v>
      </c>
      <c r="C31" s="181"/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2"/>
      <c r="O31" s="181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2"/>
      <c r="AA31" s="181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2"/>
      <c r="AM31" s="181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2"/>
      <c r="AZ31"/>
      <c r="BA31"/>
      <c r="BB31"/>
      <c r="BC31"/>
      <c r="BD31"/>
    </row>
    <row r="32" spans="1:57" ht="15" customHeight="1" x14ac:dyDescent="0.25">
      <c r="A32" s="138" t="s">
        <v>73</v>
      </c>
      <c r="B32" s="184">
        <v>46.83</v>
      </c>
      <c r="C32" s="18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86"/>
      <c r="O32" s="18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86"/>
      <c r="AA32" s="18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86"/>
      <c r="AM32" s="18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86"/>
      <c r="AZ32"/>
      <c r="BA32"/>
      <c r="BB32"/>
      <c r="BC32"/>
      <c r="BD32"/>
    </row>
    <row r="33" spans="1:56" ht="15" customHeight="1" x14ac:dyDescent="0.25">
      <c r="A33" s="138" t="s">
        <v>74</v>
      </c>
      <c r="B33" s="184">
        <v>5.93</v>
      </c>
      <c r="C33" s="18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86"/>
      <c r="O33" s="18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86"/>
      <c r="AA33" s="18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86"/>
      <c r="AM33" s="18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86"/>
      <c r="AZ33"/>
      <c r="BA33"/>
      <c r="BB33"/>
      <c r="BC33"/>
      <c r="BD33"/>
    </row>
    <row r="34" spans="1:56" ht="15" customHeight="1" x14ac:dyDescent="0.25">
      <c r="A34" s="138" t="s">
        <v>75</v>
      </c>
      <c r="B34" s="184">
        <v>6.77</v>
      </c>
      <c r="C34" s="18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86"/>
      <c r="O34" s="18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86"/>
      <c r="AA34" s="18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86"/>
      <c r="AM34" s="18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86"/>
      <c r="AZ34"/>
      <c r="BA34"/>
      <c r="BB34"/>
      <c r="BC34"/>
      <c r="BD34"/>
    </row>
    <row r="35" spans="1:56" ht="15" customHeight="1" x14ac:dyDescent="0.25">
      <c r="A35" s="138" t="s">
        <v>76</v>
      </c>
      <c r="B35" s="184">
        <v>6.22</v>
      </c>
      <c r="C35" s="18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86"/>
      <c r="O35" s="18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86"/>
      <c r="AA35" s="18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86"/>
      <c r="AM35" s="18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86"/>
      <c r="AZ35"/>
      <c r="BA35"/>
      <c r="BB35"/>
      <c r="BC35"/>
      <c r="BD35"/>
    </row>
    <row r="36" spans="1:56" ht="15" customHeight="1" x14ac:dyDescent="0.25">
      <c r="A36" s="138" t="s">
        <v>77</v>
      </c>
      <c r="B36" s="184">
        <v>2.63</v>
      </c>
      <c r="C36" s="18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86"/>
      <c r="O36" s="18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86"/>
      <c r="AA36" s="18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86"/>
      <c r="AM36" s="18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86"/>
      <c r="AZ36"/>
      <c r="BA36"/>
      <c r="BB36"/>
      <c r="BC36"/>
      <c r="BD36"/>
    </row>
    <row r="37" spans="1:56" ht="15" customHeight="1" x14ac:dyDescent="0.25">
      <c r="A37" s="138" t="s">
        <v>78</v>
      </c>
      <c r="B37" s="184">
        <v>15.4</v>
      </c>
      <c r="C37" s="18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86"/>
      <c r="O37" s="18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86"/>
      <c r="AA37" s="18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86"/>
      <c r="AM37" s="18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86"/>
      <c r="AZ37"/>
      <c r="BA37"/>
      <c r="BB37"/>
      <c r="BC37"/>
      <c r="BD37"/>
    </row>
    <row r="38" spans="1:56" ht="15" customHeight="1" x14ac:dyDescent="0.25">
      <c r="A38" s="138" t="s">
        <v>365</v>
      </c>
      <c r="B38" s="184">
        <v>8.1199999999999992</v>
      </c>
      <c r="C38" s="18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86"/>
      <c r="O38" s="18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86"/>
      <c r="AA38" s="18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86"/>
      <c r="AM38" s="18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86"/>
      <c r="AZ38"/>
      <c r="BA38"/>
      <c r="BB38"/>
      <c r="BC38"/>
      <c r="BD38"/>
    </row>
    <row r="39" spans="1:56" ht="15" customHeight="1" x14ac:dyDescent="0.25">
      <c r="A39" s="133" t="s">
        <v>79</v>
      </c>
      <c r="B39" s="177">
        <v>8.11</v>
      </c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7"/>
      <c r="O39" s="188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7"/>
      <c r="AA39" s="188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7"/>
      <c r="AM39" s="188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7"/>
      <c r="AZ39"/>
      <c r="BA39"/>
      <c r="BB39"/>
      <c r="BC39"/>
      <c r="BD39"/>
    </row>
    <row r="40" spans="1:56" ht="15" customHeight="1" x14ac:dyDescent="0.25">
      <c r="A40" s="131" t="s">
        <v>144</v>
      </c>
      <c r="AZ40"/>
      <c r="BA40"/>
      <c r="BB40"/>
      <c r="BC40"/>
      <c r="BD40"/>
    </row>
    <row r="41" spans="1:56" ht="15" customHeight="1" x14ac:dyDescent="0.25">
      <c r="AZ41"/>
      <c r="BA41"/>
      <c r="BB41"/>
      <c r="BC41"/>
      <c r="BD41"/>
    </row>
    <row r="42" spans="1:56" ht="15" customHeight="1" x14ac:dyDescent="0.25">
      <c r="A42" s="376" t="s">
        <v>72</v>
      </c>
      <c r="B42" s="183">
        <v>100</v>
      </c>
      <c r="C42" s="181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2"/>
      <c r="O42" s="181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2"/>
      <c r="AA42" s="181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2"/>
      <c r="AM42" s="181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2"/>
      <c r="AZ42"/>
      <c r="BA42"/>
      <c r="BB42"/>
      <c r="BC42"/>
      <c r="BD42"/>
    </row>
    <row r="43" spans="1:56" ht="15" customHeight="1" x14ac:dyDescent="0.25">
      <c r="A43" s="138" t="s">
        <v>73</v>
      </c>
      <c r="B43" s="184">
        <v>46.83</v>
      </c>
      <c r="C43" s="18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86"/>
      <c r="O43" s="18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86"/>
      <c r="AA43" s="18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86"/>
      <c r="AM43" s="18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86"/>
      <c r="AZ43"/>
      <c r="BA43"/>
      <c r="BB43"/>
      <c r="BC43"/>
      <c r="BD43"/>
    </row>
    <row r="44" spans="1:56" ht="15" customHeight="1" x14ac:dyDescent="0.25">
      <c r="A44" s="138" t="s">
        <v>74</v>
      </c>
      <c r="B44" s="184">
        <v>5.93</v>
      </c>
      <c r="C44" s="18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86"/>
      <c r="O44" s="18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86"/>
      <c r="AA44" s="18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86"/>
      <c r="AM44" s="18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86"/>
      <c r="AZ44"/>
      <c r="BA44"/>
      <c r="BB44"/>
      <c r="BC44"/>
      <c r="BD44"/>
    </row>
    <row r="45" spans="1:56" ht="15" customHeight="1" x14ac:dyDescent="0.25">
      <c r="A45" s="138" t="s">
        <v>75</v>
      </c>
      <c r="B45" s="184">
        <v>6.77</v>
      </c>
      <c r="C45" s="18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86"/>
      <c r="O45" s="18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86"/>
      <c r="AA45" s="18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86"/>
      <c r="AM45" s="18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86"/>
      <c r="AZ45"/>
      <c r="BA45"/>
      <c r="BB45"/>
      <c r="BC45"/>
      <c r="BD45"/>
    </row>
    <row r="46" spans="1:56" ht="15" customHeight="1" x14ac:dyDescent="0.25">
      <c r="A46" s="138" t="s">
        <v>76</v>
      </c>
      <c r="B46" s="184">
        <v>6.22</v>
      </c>
      <c r="C46" s="18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86"/>
      <c r="O46" s="18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86"/>
      <c r="AA46" s="185"/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86"/>
      <c r="AM46" s="185"/>
      <c r="AN46" s="175"/>
      <c r="AO46" s="175"/>
      <c r="AP46" s="175"/>
      <c r="AQ46" s="175"/>
      <c r="AR46" s="175"/>
      <c r="AS46" s="175"/>
      <c r="AT46" s="175"/>
      <c r="AU46" s="175"/>
      <c r="AV46" s="175"/>
      <c r="AW46" s="175"/>
      <c r="AX46" s="186"/>
      <c r="AZ46"/>
      <c r="BA46"/>
      <c r="BB46"/>
      <c r="BC46"/>
      <c r="BD46"/>
    </row>
    <row r="47" spans="1:56" ht="15" customHeight="1" x14ac:dyDescent="0.25">
      <c r="A47" s="138" t="s">
        <v>77</v>
      </c>
      <c r="B47" s="184">
        <v>2.63</v>
      </c>
      <c r="C47" s="18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86"/>
      <c r="O47" s="18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86"/>
      <c r="AA47" s="185"/>
      <c r="AB47" s="175"/>
      <c r="AC47" s="175"/>
      <c r="AD47" s="175"/>
      <c r="AE47" s="175"/>
      <c r="AF47" s="175"/>
      <c r="AG47" s="175"/>
      <c r="AH47" s="175"/>
      <c r="AI47" s="175"/>
      <c r="AJ47" s="175"/>
      <c r="AK47" s="175"/>
      <c r="AL47" s="186"/>
      <c r="AM47" s="185"/>
      <c r="AN47" s="175"/>
      <c r="AO47" s="175"/>
      <c r="AP47" s="175"/>
      <c r="AQ47" s="175"/>
      <c r="AR47" s="175"/>
      <c r="AS47" s="175"/>
      <c r="AT47" s="175"/>
      <c r="AU47" s="175"/>
      <c r="AV47" s="175"/>
      <c r="AW47" s="175"/>
      <c r="AX47" s="186"/>
      <c r="AZ47"/>
      <c r="BA47"/>
      <c r="BB47"/>
      <c r="BC47"/>
      <c r="BD47"/>
    </row>
    <row r="48" spans="1:56" ht="15" customHeight="1" x14ac:dyDescent="0.25">
      <c r="A48" s="138" t="s">
        <v>78</v>
      </c>
      <c r="B48" s="184">
        <v>15.4</v>
      </c>
      <c r="C48" s="18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86"/>
      <c r="O48" s="18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86"/>
      <c r="AA48" s="185"/>
      <c r="AB48" s="175"/>
      <c r="AC48" s="175"/>
      <c r="AD48" s="175"/>
      <c r="AE48" s="175"/>
      <c r="AF48" s="175"/>
      <c r="AG48" s="175"/>
      <c r="AH48" s="175"/>
      <c r="AI48" s="175"/>
      <c r="AJ48" s="175"/>
      <c r="AK48" s="175"/>
      <c r="AL48" s="186"/>
      <c r="AM48" s="185"/>
      <c r="AN48" s="175"/>
      <c r="AO48" s="175"/>
      <c r="AP48" s="175"/>
      <c r="AQ48" s="175"/>
      <c r="AR48" s="175"/>
      <c r="AS48" s="175"/>
      <c r="AT48" s="175"/>
      <c r="AU48" s="175"/>
      <c r="AV48" s="175"/>
      <c r="AW48" s="175"/>
      <c r="AX48" s="186"/>
      <c r="AZ48"/>
      <c r="BA48"/>
      <c r="BB48"/>
      <c r="BC48"/>
      <c r="BD48"/>
    </row>
    <row r="49" spans="1:56" ht="15" customHeight="1" x14ac:dyDescent="0.25">
      <c r="A49" s="138" t="s">
        <v>365</v>
      </c>
      <c r="B49" s="184">
        <v>8.1199999999999992</v>
      </c>
      <c r="C49" s="18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86"/>
      <c r="O49" s="18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86"/>
      <c r="AA49" s="18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86"/>
      <c r="AM49" s="18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86"/>
      <c r="AZ49"/>
      <c r="BA49"/>
      <c r="BB49"/>
      <c r="BC49"/>
      <c r="BD49"/>
    </row>
    <row r="50" spans="1:56" ht="15" customHeight="1" x14ac:dyDescent="0.25">
      <c r="A50" s="133" t="s">
        <v>79</v>
      </c>
      <c r="B50" s="177">
        <v>8.11</v>
      </c>
      <c r="C50" s="188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7"/>
      <c r="O50" s="188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7"/>
      <c r="AA50" s="188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7"/>
      <c r="AM50" s="188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187"/>
      <c r="AZ50"/>
      <c r="BA50"/>
      <c r="BB50"/>
      <c r="BC50"/>
      <c r="BD50"/>
    </row>
    <row r="51" spans="1:56" ht="15" customHeight="1" x14ac:dyDescent="0.25">
      <c r="A51" s="131" t="s">
        <v>144</v>
      </c>
      <c r="AZ51"/>
      <c r="BA51"/>
      <c r="BB51"/>
      <c r="BC51"/>
      <c r="BD51"/>
    </row>
    <row r="52" spans="1:56" ht="15" customHeight="1" x14ac:dyDescent="0.25">
      <c r="AZ52"/>
      <c r="BA52"/>
      <c r="BB52"/>
      <c r="BC52"/>
      <c r="BD52"/>
    </row>
    <row r="53" spans="1:56" ht="15" customHeight="1" x14ac:dyDescent="0.25">
      <c r="AZ53"/>
      <c r="BA53"/>
      <c r="BB53"/>
      <c r="BC53"/>
      <c r="BD53"/>
    </row>
  </sheetData>
  <printOptions horizontalCentered="1" verticalCentered="1"/>
  <pageMargins left="0.75" right="0.19685039370078741" top="1" bottom="1" header="0" footer="0"/>
  <pageSetup paperSize="9" scale="23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6917-9C8E-44BC-80F5-D450BBC10E46}">
  <sheetPr>
    <tabColor rgb="FF002060"/>
  </sheetPr>
  <dimension ref="A1:FK46"/>
  <sheetViews>
    <sheetView showGridLines="0" view="pageBreakPreview" zoomScale="130" zoomScaleNormal="100" zoomScaleSheetLayoutView="130" workbookViewId="0">
      <pane xSplit="1" topLeftCell="ES1" activePane="topRight" state="frozen"/>
      <selection activeCell="DO55" sqref="DO55:EP55"/>
      <selection pane="topRight" activeCell="EV7" sqref="EV7"/>
    </sheetView>
  </sheetViews>
  <sheetFormatPr baseColWidth="10" defaultColWidth="9.7109375" defaultRowHeight="15" customHeight="1" x14ac:dyDescent="0.25"/>
  <cols>
    <col min="1" max="1" width="32.5703125" style="451" customWidth="1"/>
    <col min="2" max="157" width="9.7109375" style="451"/>
    <col min="158" max="158" width="9.7109375" customWidth="1"/>
    <col min="159" max="162" width="9.7109375" style="451"/>
    <col min="164" max="166" width="9.7109375" style="451" customWidth="1"/>
    <col min="168" max="168" width="26.85546875" bestFit="1" customWidth="1"/>
  </cols>
  <sheetData>
    <row r="1" spans="1:167" ht="15" customHeight="1" x14ac:dyDescent="0.25">
      <c r="A1" s="1" t="s">
        <v>194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0"/>
      <c r="Q1" s="450"/>
      <c r="R1" s="450"/>
      <c r="S1" s="450"/>
      <c r="T1" s="450"/>
      <c r="U1" s="450"/>
      <c r="V1" s="450"/>
      <c r="W1" s="450"/>
      <c r="X1" s="450"/>
      <c r="Y1" s="450"/>
      <c r="Z1" s="450"/>
      <c r="AA1" s="450"/>
      <c r="AB1" s="450"/>
      <c r="AC1" s="450"/>
      <c r="AD1" s="450"/>
      <c r="AE1" s="450"/>
      <c r="AF1" s="450"/>
      <c r="AG1" s="450"/>
      <c r="AH1" s="450"/>
      <c r="AI1" s="450"/>
      <c r="AJ1" s="450"/>
      <c r="AK1" s="450"/>
      <c r="AL1" s="450"/>
      <c r="AM1" s="450"/>
      <c r="AN1" s="450"/>
      <c r="AO1" s="450"/>
      <c r="AP1" s="450"/>
      <c r="AQ1" s="450"/>
      <c r="AR1" s="450"/>
      <c r="AS1" s="450"/>
      <c r="AT1" s="450"/>
      <c r="AU1" s="450"/>
      <c r="AV1" s="450"/>
      <c r="AW1" s="450"/>
      <c r="AX1" s="450"/>
      <c r="AY1" s="450"/>
      <c r="AZ1" s="450"/>
      <c r="BA1" s="450"/>
      <c r="BB1" s="450"/>
      <c r="BC1" s="450"/>
      <c r="BD1" s="450"/>
      <c r="BE1" s="450"/>
      <c r="BF1" s="450"/>
      <c r="BG1" s="450"/>
      <c r="BH1" s="450"/>
      <c r="BI1" s="450"/>
      <c r="BJ1" s="450"/>
      <c r="BK1" s="450"/>
      <c r="BL1" s="450"/>
      <c r="BM1" s="450"/>
      <c r="BN1" s="450"/>
      <c r="BO1" s="450"/>
      <c r="BP1" s="450"/>
      <c r="BQ1" s="450"/>
      <c r="BR1" s="450"/>
      <c r="BS1" s="450"/>
      <c r="BT1" s="450"/>
      <c r="BU1" s="450"/>
      <c r="BV1" s="450"/>
      <c r="BW1" s="450"/>
      <c r="BX1" s="450"/>
      <c r="BY1" s="450"/>
      <c r="BZ1" s="450"/>
      <c r="CB1" s="450"/>
      <c r="CC1" s="450"/>
      <c r="CD1" s="450"/>
      <c r="CE1" s="450"/>
      <c r="CF1" s="450"/>
      <c r="CG1" s="450"/>
      <c r="CH1" s="450"/>
      <c r="CI1" s="450"/>
      <c r="CJ1" s="450"/>
      <c r="CK1" s="450"/>
      <c r="CL1" s="450"/>
      <c r="CM1" s="450"/>
      <c r="CN1" s="450"/>
      <c r="CO1" s="450"/>
      <c r="CP1" s="450"/>
      <c r="CQ1" s="450"/>
      <c r="CR1" s="450"/>
      <c r="CS1" s="450"/>
      <c r="CT1" s="450"/>
      <c r="CU1" s="450"/>
      <c r="CV1" s="450"/>
      <c r="CW1" s="450"/>
      <c r="CX1" s="450"/>
      <c r="CY1" s="450"/>
      <c r="CZ1" s="450"/>
      <c r="FK1" t="s">
        <v>654</v>
      </c>
    </row>
    <row r="2" spans="1:167" ht="15" customHeight="1" x14ac:dyDescent="0.25">
      <c r="A2" s="1" t="s">
        <v>608</v>
      </c>
      <c r="B2" s="450"/>
      <c r="C2" s="450"/>
      <c r="D2" s="450"/>
      <c r="E2" s="450"/>
      <c r="F2" s="450"/>
      <c r="G2" s="450"/>
      <c r="H2" s="450"/>
      <c r="I2" s="450"/>
      <c r="J2" s="450"/>
      <c r="K2" s="450"/>
      <c r="L2" s="450"/>
      <c r="M2" s="450"/>
      <c r="N2" s="450"/>
      <c r="O2" s="450"/>
      <c r="P2" s="450"/>
      <c r="Q2" s="450"/>
      <c r="R2" s="450"/>
      <c r="S2" s="450"/>
      <c r="T2" s="450"/>
      <c r="U2" s="450"/>
      <c r="V2" s="450"/>
      <c r="W2" s="450"/>
      <c r="X2" s="450"/>
      <c r="Y2" s="450"/>
      <c r="Z2" s="450"/>
      <c r="AA2" s="450"/>
      <c r="AB2" s="450"/>
      <c r="AC2" s="450"/>
      <c r="AD2" s="450"/>
      <c r="AE2" s="450"/>
      <c r="AF2" s="450"/>
      <c r="AG2" s="450"/>
      <c r="AH2" s="450"/>
      <c r="AI2" s="450"/>
      <c r="AJ2" s="450"/>
      <c r="AK2" s="450"/>
      <c r="AL2" s="450"/>
      <c r="AM2" s="450"/>
      <c r="AN2" s="450"/>
      <c r="AO2" s="450"/>
      <c r="AP2" s="450"/>
      <c r="AQ2" s="450"/>
      <c r="AR2" s="450"/>
      <c r="AS2" s="450"/>
      <c r="AT2" s="450"/>
      <c r="AU2" s="450"/>
      <c r="AV2" s="450"/>
      <c r="AW2" s="450"/>
      <c r="AX2" s="450"/>
      <c r="AY2" s="450"/>
      <c r="AZ2" s="450"/>
      <c r="BA2" s="450"/>
      <c r="BB2" s="450"/>
      <c r="BC2" s="450"/>
      <c r="BD2" s="450"/>
      <c r="BE2" s="450"/>
      <c r="BF2" s="450"/>
      <c r="BG2" s="450"/>
      <c r="BH2" s="450"/>
      <c r="BI2" s="450"/>
      <c r="BJ2" s="450"/>
      <c r="BK2" s="450"/>
      <c r="BL2" s="450"/>
      <c r="BM2" s="450"/>
      <c r="BN2" s="450"/>
      <c r="BO2" s="450"/>
      <c r="BP2" s="450"/>
      <c r="BQ2" s="450"/>
      <c r="BR2" s="450"/>
      <c r="BS2" s="450"/>
      <c r="BT2" s="450"/>
      <c r="BU2" s="450"/>
      <c r="BV2" s="450"/>
      <c r="BW2" s="450"/>
      <c r="BX2" s="450"/>
      <c r="BY2" s="450"/>
      <c r="BZ2" s="450"/>
      <c r="CA2" s="450"/>
      <c r="CB2" s="450"/>
      <c r="CC2" s="450"/>
      <c r="CD2" s="450"/>
      <c r="CE2" s="450"/>
      <c r="CF2" s="450"/>
      <c r="CG2" s="450"/>
      <c r="CH2" s="450"/>
      <c r="CI2" s="450"/>
      <c r="CJ2" s="450"/>
      <c r="CK2" s="450"/>
      <c r="CL2" s="450"/>
      <c r="CM2" s="450"/>
      <c r="CN2" s="450"/>
      <c r="CO2" s="450"/>
      <c r="CP2" s="450"/>
      <c r="CQ2" s="450"/>
      <c r="CR2" s="450"/>
      <c r="CS2" s="450"/>
      <c r="CT2" s="450"/>
      <c r="CU2" s="450"/>
      <c r="CV2" s="450"/>
      <c r="CW2" s="450"/>
      <c r="CX2" s="450"/>
      <c r="CZ2" s="450"/>
    </row>
    <row r="3" spans="1:167" ht="15" customHeight="1" x14ac:dyDescent="0.25">
      <c r="A3" s="1" t="s">
        <v>156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50"/>
      <c r="AK3" s="450"/>
      <c r="AL3" s="450"/>
      <c r="AM3" s="450"/>
      <c r="AN3" s="450"/>
      <c r="AO3" s="450"/>
      <c r="AP3" s="450"/>
      <c r="AQ3" s="450"/>
      <c r="AR3" s="450"/>
      <c r="AS3" s="450"/>
      <c r="AT3" s="450"/>
      <c r="AU3" s="450"/>
      <c r="AV3" s="450"/>
      <c r="AW3" s="450"/>
      <c r="AX3" s="450"/>
      <c r="AY3" s="450"/>
      <c r="AZ3" s="450"/>
      <c r="BA3" s="450"/>
      <c r="BB3" s="450"/>
      <c r="BC3" s="450"/>
      <c r="BD3" s="450"/>
      <c r="BE3" s="450"/>
      <c r="BF3" s="450"/>
      <c r="BG3" s="450"/>
      <c r="BH3" s="450"/>
      <c r="BI3" s="450"/>
      <c r="BJ3" s="450"/>
      <c r="BK3" s="450"/>
      <c r="BL3" s="450"/>
      <c r="BM3" s="450"/>
      <c r="BN3" s="450"/>
      <c r="BO3" s="450"/>
      <c r="BP3" s="450"/>
      <c r="BQ3" s="450"/>
      <c r="BR3" s="450"/>
      <c r="BS3" s="450"/>
      <c r="BT3" s="450"/>
      <c r="BU3" s="450"/>
      <c r="BV3" s="450"/>
      <c r="BW3" s="450"/>
      <c r="BX3" s="450"/>
      <c r="BY3" s="450"/>
      <c r="BZ3" s="450"/>
      <c r="CA3" s="450"/>
      <c r="CB3" s="450"/>
      <c r="CC3" s="450"/>
      <c r="CD3" s="450"/>
      <c r="CE3" s="450"/>
      <c r="CF3" s="450"/>
      <c r="CG3" s="450"/>
      <c r="CH3" s="450"/>
      <c r="CI3" s="450"/>
      <c r="CJ3" s="450"/>
      <c r="CK3" s="450"/>
      <c r="CL3" s="450"/>
      <c r="CM3" s="450"/>
      <c r="CN3" s="450"/>
      <c r="CO3" s="450"/>
      <c r="CP3" s="450"/>
      <c r="CQ3" s="450"/>
      <c r="CR3" s="450"/>
      <c r="CS3" s="450"/>
      <c r="CT3" s="450"/>
      <c r="CU3" s="450"/>
      <c r="CV3" s="450"/>
      <c r="CW3" s="450"/>
      <c r="CX3" s="450"/>
      <c r="CY3" s="450"/>
      <c r="CZ3" s="450"/>
      <c r="DA3" s="452"/>
      <c r="DB3" s="452"/>
    </row>
    <row r="4" spans="1:167" ht="15" customHeight="1" x14ac:dyDescent="0.25">
      <c r="A4" s="706"/>
      <c r="B4" s="683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683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683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683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683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683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683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683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683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683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683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683">
        <v>2026</v>
      </c>
      <c r="EP4" s="474"/>
      <c r="EQ4" s="474"/>
      <c r="ER4" s="474"/>
      <c r="ES4" s="474"/>
      <c r="ET4" s="474"/>
      <c r="EU4" s="474"/>
      <c r="EV4" s="474"/>
      <c r="EW4" s="474"/>
      <c r="EX4" s="474"/>
      <c r="EY4" s="474"/>
      <c r="EZ4" s="474"/>
      <c r="FA4" s="758" t="s">
        <v>83</v>
      </c>
      <c r="FC4" s="988" t="str">
        <f>CONCATENATE("Var.% ",FF4,"/",FE4)</f>
        <v>Var.% 2026/2025</v>
      </c>
      <c r="FD4" s="988"/>
      <c r="FE4" s="478">
        <f>FF4-1</f>
        <v>2025</v>
      </c>
      <c r="FF4" s="478">
        <f>YEAR(FC5)</f>
        <v>2026</v>
      </c>
      <c r="FH4" s="708" t="s">
        <v>594</v>
      </c>
      <c r="FI4" s="708" t="s">
        <v>595</v>
      </c>
      <c r="FJ4" s="709" t="s">
        <v>593</v>
      </c>
    </row>
    <row r="5" spans="1:167" ht="15" customHeight="1" x14ac:dyDescent="0.25">
      <c r="A5" s="710"/>
      <c r="B5" s="711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711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711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711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711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711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711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711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711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711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711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711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645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C5" s="933">
        <f>EQ5</f>
        <v>46082</v>
      </c>
      <c r="FD5" s="487" t="str">
        <f>CONCATENATE("Ene.-",TEXT(FC5,"MMM."))</f>
        <v>Ene.-Mar.</v>
      </c>
      <c r="FE5" s="487" t="str">
        <f>FD5</f>
        <v>Ene.-Mar.</v>
      </c>
      <c r="FF5" s="487" t="str">
        <f>FD5</f>
        <v>Ene.-Mar.</v>
      </c>
      <c r="FH5" s="713" t="s">
        <v>597</v>
      </c>
      <c r="FI5" s="713" t="s">
        <v>596</v>
      </c>
      <c r="FJ5" s="714" t="s">
        <v>596</v>
      </c>
    </row>
    <row r="6" spans="1:167" ht="15" customHeight="1" x14ac:dyDescent="0.25">
      <c r="A6" s="453"/>
      <c r="B6" s="855"/>
      <c r="C6" s="856"/>
      <c r="D6" s="856"/>
      <c r="E6" s="856"/>
      <c r="F6" s="856"/>
      <c r="G6" s="856"/>
      <c r="H6" s="856"/>
      <c r="I6" s="856"/>
      <c r="J6" s="856"/>
      <c r="K6" s="856"/>
      <c r="L6" s="856"/>
      <c r="M6" s="857"/>
      <c r="N6" s="858"/>
      <c r="O6" s="855"/>
      <c r="P6" s="856"/>
      <c r="Q6" s="856"/>
      <c r="R6" s="856"/>
      <c r="S6" s="856"/>
      <c r="T6" s="856"/>
      <c r="U6" s="856"/>
      <c r="V6" s="856"/>
      <c r="W6" s="856"/>
      <c r="X6" s="856"/>
      <c r="Y6" s="856"/>
      <c r="Z6" s="857"/>
      <c r="AA6" s="858"/>
      <c r="AB6" s="855"/>
      <c r="AC6" s="856"/>
      <c r="AD6" s="856"/>
      <c r="AE6" s="856"/>
      <c r="AF6" s="856"/>
      <c r="AG6" s="856"/>
      <c r="AH6" s="856"/>
      <c r="AI6" s="856"/>
      <c r="AJ6" s="856"/>
      <c r="AK6" s="856"/>
      <c r="AL6" s="856"/>
      <c r="AM6" s="857"/>
      <c r="AN6" s="858"/>
      <c r="AO6" s="855"/>
      <c r="AP6" s="856"/>
      <c r="AQ6" s="856"/>
      <c r="AR6" s="856"/>
      <c r="AS6" s="856"/>
      <c r="AT6" s="856"/>
      <c r="AU6" s="856"/>
      <c r="AV6" s="856"/>
      <c r="AW6" s="856"/>
      <c r="AX6" s="856"/>
      <c r="AY6" s="856"/>
      <c r="AZ6" s="857"/>
      <c r="BA6" s="858"/>
      <c r="BB6" s="855"/>
      <c r="BC6" s="856"/>
      <c r="BD6" s="856"/>
      <c r="BE6" s="856"/>
      <c r="BF6" s="856"/>
      <c r="BG6" s="856"/>
      <c r="BH6" s="856"/>
      <c r="BI6" s="856"/>
      <c r="BJ6" s="856"/>
      <c r="BK6" s="856"/>
      <c r="BL6" s="856"/>
      <c r="BM6" s="857"/>
      <c r="BN6" s="858"/>
      <c r="BO6" s="855"/>
      <c r="BP6" s="856"/>
      <c r="BQ6" s="856"/>
      <c r="BR6" s="856"/>
      <c r="BS6" s="856"/>
      <c r="BT6" s="856"/>
      <c r="BU6" s="856"/>
      <c r="BV6" s="856"/>
      <c r="BW6" s="856"/>
      <c r="BX6" s="856"/>
      <c r="BY6" s="856"/>
      <c r="BZ6" s="857"/>
      <c r="CA6" s="858"/>
      <c r="CB6" s="855"/>
      <c r="CC6" s="856"/>
      <c r="CD6" s="856"/>
      <c r="CE6" s="856"/>
      <c r="CF6" s="856"/>
      <c r="CG6" s="856"/>
      <c r="CH6" s="856"/>
      <c r="CI6" s="856"/>
      <c r="CJ6" s="856"/>
      <c r="CK6" s="856"/>
      <c r="CL6" s="856"/>
      <c r="CM6" s="857"/>
      <c r="CN6" s="858"/>
      <c r="CO6" s="855"/>
      <c r="CP6" s="856"/>
      <c r="CQ6" s="856"/>
      <c r="CR6" s="856"/>
      <c r="CS6" s="856"/>
      <c r="CT6" s="856"/>
      <c r="CU6" s="856"/>
      <c r="CV6" s="856"/>
      <c r="CW6" s="856"/>
      <c r="CX6" s="856"/>
      <c r="CY6" s="856"/>
      <c r="CZ6" s="857"/>
      <c r="DA6" s="858"/>
      <c r="DB6" s="855"/>
      <c r="DC6" s="856"/>
      <c r="DD6" s="856"/>
      <c r="DE6" s="856"/>
      <c r="DF6" s="856"/>
      <c r="DG6" s="856"/>
      <c r="DH6" s="856"/>
      <c r="DI6" s="856"/>
      <c r="DJ6" s="856"/>
      <c r="DK6" s="856"/>
      <c r="DL6" s="856"/>
      <c r="DM6" s="857"/>
      <c r="DN6" s="858"/>
      <c r="DO6" s="855"/>
      <c r="DP6" s="856"/>
      <c r="DQ6" s="856"/>
      <c r="DR6" s="856"/>
      <c r="DS6" s="856"/>
      <c r="DT6" s="856"/>
      <c r="DU6" s="856"/>
      <c r="DV6" s="856"/>
      <c r="DW6" s="856"/>
      <c r="DX6" s="856"/>
      <c r="DY6" s="856"/>
      <c r="DZ6" s="857"/>
      <c r="EA6" s="858"/>
      <c r="EB6" s="855"/>
      <c r="EC6" s="856"/>
      <c r="ED6" s="856"/>
      <c r="EE6" s="856"/>
      <c r="EF6" s="856"/>
      <c r="EG6" s="856"/>
      <c r="EH6" s="856"/>
      <c r="EI6" s="856"/>
      <c r="EJ6" s="856"/>
      <c r="EK6" s="856"/>
      <c r="EL6" s="856"/>
      <c r="EM6" s="857"/>
      <c r="EN6" s="858"/>
      <c r="EO6" s="855"/>
      <c r="EP6" s="856"/>
      <c r="EQ6" s="856"/>
      <c r="ER6" s="856"/>
      <c r="ES6" s="856"/>
      <c r="ET6" s="856"/>
      <c r="EU6" s="856"/>
      <c r="EV6" s="856"/>
      <c r="EW6" s="856"/>
      <c r="EX6" s="856"/>
      <c r="EY6" s="856"/>
      <c r="EZ6" s="857"/>
      <c r="FA6" s="858"/>
      <c r="FC6" s="937"/>
      <c r="FD6" s="937"/>
      <c r="FE6" s="934"/>
      <c r="FF6" s="934"/>
      <c r="FH6" s="943"/>
      <c r="FI6" s="453"/>
      <c r="FJ6" s="456"/>
    </row>
    <row r="7" spans="1:167" ht="15" customHeight="1" x14ac:dyDescent="0.25">
      <c r="A7" s="701" t="s">
        <v>157</v>
      </c>
      <c r="B7" s="859">
        <f t="shared" ref="B7:M7" si="10">B9+B34</f>
        <v>2560</v>
      </c>
      <c r="C7" s="860">
        <f t="shared" si="10"/>
        <v>3422</v>
      </c>
      <c r="D7" s="860">
        <f t="shared" si="10"/>
        <v>3849</v>
      </c>
      <c r="E7" s="860">
        <f t="shared" si="10"/>
        <v>3049</v>
      </c>
      <c r="F7" s="860">
        <f t="shared" si="10"/>
        <v>3523</v>
      </c>
      <c r="G7" s="860">
        <f t="shared" si="10"/>
        <v>3273</v>
      </c>
      <c r="H7" s="860">
        <f t="shared" si="10"/>
        <v>2500</v>
      </c>
      <c r="I7" s="860">
        <f t="shared" si="10"/>
        <v>2465</v>
      </c>
      <c r="J7" s="860">
        <f t="shared" si="10"/>
        <v>2259</v>
      </c>
      <c r="K7" s="860">
        <f t="shared" si="10"/>
        <v>1817</v>
      </c>
      <c r="L7" s="860">
        <f t="shared" si="10"/>
        <v>2404</v>
      </c>
      <c r="M7" s="860">
        <f t="shared" si="10"/>
        <v>1937</v>
      </c>
      <c r="N7" s="861">
        <f>SUM(B7:M7)</f>
        <v>33058</v>
      </c>
      <c r="O7" s="859">
        <f t="shared" ref="O7:Z7" si="11">O9+O34</f>
        <v>2548</v>
      </c>
      <c r="P7" s="860">
        <f t="shared" si="11"/>
        <v>2629</v>
      </c>
      <c r="Q7" s="860">
        <f t="shared" si="11"/>
        <v>2935</v>
      </c>
      <c r="R7" s="860">
        <f t="shared" si="11"/>
        <v>3087</v>
      </c>
      <c r="S7" s="860">
        <f t="shared" si="11"/>
        <v>1961</v>
      </c>
      <c r="T7" s="860">
        <f t="shared" si="11"/>
        <v>3091</v>
      </c>
      <c r="U7" s="860">
        <f t="shared" si="11"/>
        <v>2441</v>
      </c>
      <c r="V7" s="860">
        <f t="shared" si="11"/>
        <v>2116</v>
      </c>
      <c r="W7" s="860">
        <f t="shared" si="11"/>
        <v>2537</v>
      </c>
      <c r="X7" s="860">
        <f t="shared" si="11"/>
        <v>3576</v>
      </c>
      <c r="Y7" s="860">
        <f t="shared" si="11"/>
        <v>2145</v>
      </c>
      <c r="Z7" s="860">
        <f t="shared" si="11"/>
        <v>3166</v>
      </c>
      <c r="AA7" s="861">
        <f>SUM(O7:Z7)</f>
        <v>32232</v>
      </c>
      <c r="AB7" s="859">
        <f t="shared" ref="AB7:AM7" si="12">AB9+AB34</f>
        <v>1987</v>
      </c>
      <c r="AC7" s="860">
        <f t="shared" si="12"/>
        <v>2621</v>
      </c>
      <c r="AD7" s="860">
        <f t="shared" si="12"/>
        <v>2824</v>
      </c>
      <c r="AE7" s="860">
        <f t="shared" si="12"/>
        <v>2987</v>
      </c>
      <c r="AF7" s="860">
        <f t="shared" si="12"/>
        <v>3151</v>
      </c>
      <c r="AG7" s="860">
        <f t="shared" si="12"/>
        <v>3292</v>
      </c>
      <c r="AH7" s="860">
        <f t="shared" si="12"/>
        <v>2184</v>
      </c>
      <c r="AI7" s="860">
        <f t="shared" si="12"/>
        <v>2193</v>
      </c>
      <c r="AJ7" s="860">
        <f t="shared" si="12"/>
        <v>3342</v>
      </c>
      <c r="AK7" s="860">
        <f t="shared" si="12"/>
        <v>1232</v>
      </c>
      <c r="AL7" s="860">
        <f t="shared" si="12"/>
        <v>2087</v>
      </c>
      <c r="AM7" s="860">
        <f t="shared" si="12"/>
        <v>1906</v>
      </c>
      <c r="AN7" s="861">
        <f>SUM(AB7:AM7)</f>
        <v>29806</v>
      </c>
      <c r="AO7" s="859">
        <f t="shared" ref="AO7:AZ7" si="13">AO9+AO34</f>
        <v>1163</v>
      </c>
      <c r="AP7" s="860">
        <f t="shared" si="13"/>
        <v>1239</v>
      </c>
      <c r="AQ7" s="860">
        <f t="shared" si="13"/>
        <v>1687</v>
      </c>
      <c r="AR7" s="860">
        <f t="shared" si="13"/>
        <v>1467</v>
      </c>
      <c r="AS7" s="860">
        <f t="shared" si="13"/>
        <v>1888</v>
      </c>
      <c r="AT7" s="860">
        <f t="shared" si="13"/>
        <v>2124</v>
      </c>
      <c r="AU7" s="860">
        <f t="shared" si="13"/>
        <v>1760</v>
      </c>
      <c r="AV7" s="860">
        <f t="shared" si="13"/>
        <v>2026</v>
      </c>
      <c r="AW7" s="860">
        <f t="shared" si="13"/>
        <v>1745</v>
      </c>
      <c r="AX7" s="860">
        <f t="shared" si="13"/>
        <v>2079</v>
      </c>
      <c r="AY7" s="860">
        <f t="shared" si="13"/>
        <v>1848</v>
      </c>
      <c r="AZ7" s="860">
        <f t="shared" si="13"/>
        <v>1384</v>
      </c>
      <c r="BA7" s="861">
        <f>SUM(AO7:AZ7)</f>
        <v>20410</v>
      </c>
      <c r="BB7" s="859">
        <v>1401</v>
      </c>
      <c r="BC7" s="860">
        <v>1151</v>
      </c>
      <c r="BD7" s="860">
        <f t="shared" ref="BD7:BI7" si="14">BD9+BD34</f>
        <v>1543</v>
      </c>
      <c r="BE7" s="860">
        <f t="shared" si="14"/>
        <v>1659</v>
      </c>
      <c r="BF7" s="860">
        <f t="shared" si="14"/>
        <v>1215</v>
      </c>
      <c r="BG7" s="860">
        <f t="shared" si="14"/>
        <v>2579</v>
      </c>
      <c r="BH7" s="860">
        <f t="shared" si="14"/>
        <v>3150</v>
      </c>
      <c r="BI7" s="860">
        <f t="shared" si="14"/>
        <v>1650</v>
      </c>
      <c r="BJ7" s="860">
        <v>2082</v>
      </c>
      <c r="BK7" s="860">
        <v>1927</v>
      </c>
      <c r="BL7" s="860">
        <v>2837</v>
      </c>
      <c r="BM7" s="860">
        <f>BM9+BM34</f>
        <v>1774</v>
      </c>
      <c r="BN7" s="861">
        <f>SUM(BB7:BM7)</f>
        <v>22968</v>
      </c>
      <c r="BO7" s="859">
        <f t="shared" ref="BO7:BZ7" si="15">BO9+BO34</f>
        <v>2268</v>
      </c>
      <c r="BP7" s="860">
        <f t="shared" si="15"/>
        <v>3638</v>
      </c>
      <c r="BQ7" s="860">
        <f t="shared" si="15"/>
        <v>1828</v>
      </c>
      <c r="BR7" s="860">
        <f t="shared" si="15"/>
        <v>371</v>
      </c>
      <c r="BS7" s="860">
        <f t="shared" si="15"/>
        <v>3640</v>
      </c>
      <c r="BT7" s="860">
        <f t="shared" si="15"/>
        <v>5488</v>
      </c>
      <c r="BU7" s="860">
        <f t="shared" si="15"/>
        <v>2608</v>
      </c>
      <c r="BV7" s="860">
        <f t="shared" si="15"/>
        <v>5125</v>
      </c>
      <c r="BW7" s="860">
        <f t="shared" si="15"/>
        <v>4336</v>
      </c>
      <c r="BX7" s="860">
        <f t="shared" si="15"/>
        <v>8744</v>
      </c>
      <c r="BY7" s="860">
        <f t="shared" si="15"/>
        <v>2447</v>
      </c>
      <c r="BZ7" s="860">
        <f t="shared" si="15"/>
        <v>6209</v>
      </c>
      <c r="CA7" s="861">
        <f>SUM(BO7:BZ7)</f>
        <v>46702</v>
      </c>
      <c r="CB7" s="859">
        <f t="shared" ref="CB7:CM7" si="16">CB9+CB34</f>
        <v>5798</v>
      </c>
      <c r="CC7" s="860">
        <f t="shared" si="16"/>
        <v>9212</v>
      </c>
      <c r="CD7" s="860">
        <f t="shared" si="16"/>
        <v>5802</v>
      </c>
      <c r="CE7" s="860">
        <f t="shared" si="16"/>
        <v>2976</v>
      </c>
      <c r="CF7" s="860">
        <f t="shared" si="16"/>
        <v>7513</v>
      </c>
      <c r="CG7" s="860">
        <f t="shared" si="16"/>
        <v>8065</v>
      </c>
      <c r="CH7" s="860">
        <f t="shared" si="16"/>
        <v>9090</v>
      </c>
      <c r="CI7" s="860">
        <f t="shared" si="16"/>
        <v>7014</v>
      </c>
      <c r="CJ7" s="860">
        <f t="shared" si="16"/>
        <v>6511</v>
      </c>
      <c r="CK7" s="860">
        <f t="shared" si="16"/>
        <v>8034</v>
      </c>
      <c r="CL7" s="860">
        <f t="shared" si="16"/>
        <v>16479</v>
      </c>
      <c r="CM7" s="860">
        <f t="shared" si="16"/>
        <v>15990</v>
      </c>
      <c r="CN7" s="861">
        <f>SUM(CB7:CM7)</f>
        <v>102484</v>
      </c>
      <c r="CO7" s="859">
        <f t="shared" ref="CO7:CZ7" si="17">CO9+CO34</f>
        <v>4337</v>
      </c>
      <c r="CP7" s="860">
        <f t="shared" si="17"/>
        <v>22595</v>
      </c>
      <c r="CQ7" s="860">
        <f t="shared" si="17"/>
        <v>12456</v>
      </c>
      <c r="CR7" s="860">
        <f t="shared" si="17"/>
        <v>11731</v>
      </c>
      <c r="CS7" s="860">
        <f t="shared" si="17"/>
        <v>17455</v>
      </c>
      <c r="CT7" s="860">
        <f t="shared" si="17"/>
        <v>14754</v>
      </c>
      <c r="CU7" s="860">
        <f t="shared" si="17"/>
        <v>14103</v>
      </c>
      <c r="CV7" s="860">
        <f t="shared" si="17"/>
        <v>8834</v>
      </c>
      <c r="CW7" s="860">
        <f t="shared" si="17"/>
        <v>3426</v>
      </c>
      <c r="CX7" s="860">
        <f t="shared" si="17"/>
        <v>9025</v>
      </c>
      <c r="CY7" s="860">
        <f t="shared" si="17"/>
        <v>13531</v>
      </c>
      <c r="CZ7" s="860">
        <f t="shared" si="17"/>
        <v>13768</v>
      </c>
      <c r="DA7" s="861">
        <f>SUM(CO7:CZ7)</f>
        <v>146015</v>
      </c>
      <c r="DB7" s="859">
        <f t="shared" ref="DB7:DM7" si="18">DB9+DB34</f>
        <v>12742</v>
      </c>
      <c r="DC7" s="860">
        <f t="shared" si="18"/>
        <v>8265</v>
      </c>
      <c r="DD7" s="860">
        <f t="shared" si="18"/>
        <v>9875</v>
      </c>
      <c r="DE7" s="860">
        <f t="shared" si="18"/>
        <v>8888</v>
      </c>
      <c r="DF7" s="860">
        <f t="shared" si="18"/>
        <v>6281</v>
      </c>
      <c r="DG7" s="860">
        <f t="shared" si="18"/>
        <v>5231</v>
      </c>
      <c r="DH7" s="860">
        <f t="shared" si="18"/>
        <v>2899</v>
      </c>
      <c r="DI7" s="860">
        <f t="shared" si="18"/>
        <v>7427</v>
      </c>
      <c r="DJ7" s="860">
        <f t="shared" si="18"/>
        <v>6514</v>
      </c>
      <c r="DK7" s="860">
        <f t="shared" si="18"/>
        <v>9088</v>
      </c>
      <c r="DL7" s="860">
        <f t="shared" si="18"/>
        <v>7526</v>
      </c>
      <c r="DM7" s="860">
        <f t="shared" si="18"/>
        <v>6147</v>
      </c>
      <c r="DN7" s="861">
        <f>SUM(DB7:DM7)</f>
        <v>90883</v>
      </c>
      <c r="DO7" s="859">
        <f t="shared" ref="DO7:DZ7" si="19">SUM(DO9,DO34)</f>
        <v>7592</v>
      </c>
      <c r="DP7" s="860">
        <f t="shared" si="19"/>
        <v>7025</v>
      </c>
      <c r="DQ7" s="860">
        <f t="shared" si="19"/>
        <v>6530</v>
      </c>
      <c r="DR7" s="860">
        <f t="shared" si="19"/>
        <v>13333</v>
      </c>
      <c r="DS7" s="860">
        <f t="shared" si="19"/>
        <v>7249</v>
      </c>
      <c r="DT7" s="860">
        <f t="shared" si="19"/>
        <v>15139</v>
      </c>
      <c r="DU7" s="860">
        <f t="shared" si="19"/>
        <v>26498</v>
      </c>
      <c r="DV7" s="860">
        <f t="shared" si="19"/>
        <v>15791</v>
      </c>
      <c r="DW7" s="860">
        <f t="shared" si="19"/>
        <v>14501</v>
      </c>
      <c r="DX7" s="860">
        <f t="shared" si="19"/>
        <v>7238</v>
      </c>
      <c r="DY7" s="860">
        <f t="shared" si="19"/>
        <v>9015</v>
      </c>
      <c r="DZ7" s="860">
        <f t="shared" si="19"/>
        <v>6448</v>
      </c>
      <c r="EA7" s="861">
        <f>SUM(DO7:DZ7)</f>
        <v>136359</v>
      </c>
      <c r="EB7" s="859">
        <f t="shared" ref="EB7:EM7" si="20">SUM(EB9,EB34)</f>
        <v>12055</v>
      </c>
      <c r="EC7" s="860">
        <f t="shared" si="20"/>
        <v>10632</v>
      </c>
      <c r="ED7" s="860">
        <f t="shared" si="20"/>
        <v>7511</v>
      </c>
      <c r="EE7" s="860">
        <f t="shared" si="20"/>
        <v>7502</v>
      </c>
      <c r="EF7" s="860">
        <f t="shared" si="20"/>
        <v>14604</v>
      </c>
      <c r="EG7" s="860">
        <f t="shared" si="20"/>
        <v>7542</v>
      </c>
      <c r="EH7" s="860">
        <f t="shared" si="20"/>
        <v>11142</v>
      </c>
      <c r="EI7" s="860">
        <f t="shared" si="20"/>
        <v>9170</v>
      </c>
      <c r="EJ7" s="860">
        <f t="shared" si="20"/>
        <v>6317</v>
      </c>
      <c r="EK7" s="860">
        <f t="shared" si="20"/>
        <v>6020</v>
      </c>
      <c r="EL7" s="860">
        <f t="shared" si="20"/>
        <v>4244</v>
      </c>
      <c r="EM7" s="910">
        <f t="shared" si="20"/>
        <v>4005</v>
      </c>
      <c r="EN7" s="861">
        <f>SUM(EB7:EM7)</f>
        <v>100744</v>
      </c>
      <c r="EO7" s="702">
        <f t="shared" ref="EO7:EP7" si="21">SUM(EO9,EO34)</f>
        <v>2676</v>
      </c>
      <c r="EP7" s="910">
        <f t="shared" si="21"/>
        <v>7025</v>
      </c>
      <c r="EQ7" s="860">
        <f t="shared" ref="EQ7:EZ7" si="22">SUM(EQ9,EQ34)</f>
        <v>2607</v>
      </c>
      <c r="ER7" s="860">
        <f t="shared" si="22"/>
        <v>2659</v>
      </c>
      <c r="ES7" s="860">
        <f t="shared" si="22"/>
        <v>3308</v>
      </c>
      <c r="ET7" s="860">
        <f t="shared" si="22"/>
        <v>3259</v>
      </c>
      <c r="EU7" s="860">
        <f t="shared" si="22"/>
        <v>4037</v>
      </c>
      <c r="EV7" s="860">
        <f t="shared" si="22"/>
        <v>9852</v>
      </c>
      <c r="EW7" s="860">
        <f t="shared" si="22"/>
        <v>0</v>
      </c>
      <c r="EX7" s="860">
        <f t="shared" si="22"/>
        <v>0</v>
      </c>
      <c r="EY7" s="860">
        <f t="shared" si="22"/>
        <v>0</v>
      </c>
      <c r="EZ7" s="860">
        <f t="shared" si="22"/>
        <v>0</v>
      </c>
      <c r="FA7" s="861">
        <f>SUM(EO7:EZ7)</f>
        <v>35423</v>
      </c>
      <c r="FC7" s="938">
        <f>IFERROR(((
_xlfn.XLOOKUP((DATE(YEAR($FC$5),MONTH($FC$5),1)),UCA.X.DATE,$B7:$FA7) /
_xlfn.XLOOKUP((DATE(YEAR($FC$5)-1,MONTH($FC$5),1)),UCA.X.DATE,$B7:$FA7)
)-1)*100,"")</f>
        <v>-65.290906670217026</v>
      </c>
      <c r="FD7" s="938">
        <f>IFERROR(((FF7/FE7)-1)*100,"")</f>
        <v>-59.242333929399308</v>
      </c>
      <c r="FE7" s="701">
        <f>SUMIFS($B7:$FA7,UCA.X.DATE,"&gt;="&amp;DATE(YEAR($FC$5)-1,1,1),UCA.X.DATE,"&lt;="&amp;DATE(YEAR($FC$5)-1,MONTH($FC$5),1))</f>
        <v>30198</v>
      </c>
      <c r="FF7" s="701">
        <f>SUMIFS($B7:$FA7,UCA.X.DATE,"&gt;="&amp;DATE(YEAR($FC$5),1,1),UCA.X.DATE,"&lt;="&amp;$FC$5)</f>
        <v>12308</v>
      </c>
      <c r="FH7" s="938">
        <f>IFERROR((
_xlfn.XLOOKUP((DATE(YEAR($FC$5),MONTH($FC$5),1)),UCA.X.DATE,$B7:$FA7) /
_xlfn.XLOOKUP((DATE(YEAR($FC$5)-1,MONTH($FC$5),1)),UCA.X.DATE,$B7:$FA7)),"")</f>
        <v>0.34709093329782986</v>
      </c>
      <c r="FI7" s="704">
        <f>IFERROR((
_xlfn.XLOOKUP((DATE(YEAR($FC$5),MONTH($FC$5),1)),UCA.X.DATE,$B7:$FA7) -
_xlfn.XLOOKUP((DATE(YEAR($FC$5)-1,MONTH($FC$5),1)),UCA.X.DATE,$B7:$FA7)),"")</f>
        <v>-4904</v>
      </c>
      <c r="FJ7" s="705">
        <f t="shared" ref="FJ7:FJ13" si="23">FF7-FE7</f>
        <v>-17890</v>
      </c>
    </row>
    <row r="8" spans="1:167" ht="15" customHeight="1" x14ac:dyDescent="0.25">
      <c r="A8" s="453"/>
      <c r="B8" s="862"/>
      <c r="C8" s="863"/>
      <c r="D8" s="863"/>
      <c r="E8" s="863"/>
      <c r="F8" s="863"/>
      <c r="G8" s="863"/>
      <c r="H8" s="863"/>
      <c r="I8" s="863"/>
      <c r="J8" s="863"/>
      <c r="K8" s="863"/>
      <c r="L8" s="863"/>
      <c r="M8" s="863"/>
      <c r="N8" s="864"/>
      <c r="O8" s="862"/>
      <c r="P8" s="863"/>
      <c r="Q8" s="863"/>
      <c r="R8" s="863"/>
      <c r="S8" s="863"/>
      <c r="T8" s="863"/>
      <c r="U8" s="863"/>
      <c r="V8" s="863"/>
      <c r="W8" s="863"/>
      <c r="X8" s="863"/>
      <c r="Y8" s="863"/>
      <c r="Z8" s="863"/>
      <c r="AA8" s="864"/>
      <c r="AB8" s="862"/>
      <c r="AC8" s="863"/>
      <c r="AD8" s="863"/>
      <c r="AE8" s="863"/>
      <c r="AF8" s="863"/>
      <c r="AG8" s="863"/>
      <c r="AH8" s="863"/>
      <c r="AI8" s="863"/>
      <c r="AJ8" s="863"/>
      <c r="AK8" s="863"/>
      <c r="AL8" s="863"/>
      <c r="AM8" s="863"/>
      <c r="AN8" s="864"/>
      <c r="AO8" s="862"/>
      <c r="AP8" s="863"/>
      <c r="AQ8" s="863"/>
      <c r="AR8" s="863"/>
      <c r="AS8" s="863"/>
      <c r="AT8" s="863"/>
      <c r="AU8" s="863"/>
      <c r="AV8" s="863"/>
      <c r="AW8" s="863"/>
      <c r="AX8" s="863"/>
      <c r="AY8" s="863"/>
      <c r="AZ8" s="863"/>
      <c r="BA8" s="864"/>
      <c r="BB8" s="862"/>
      <c r="BC8" s="863"/>
      <c r="BD8" s="863"/>
      <c r="BE8" s="863"/>
      <c r="BF8" s="863"/>
      <c r="BG8" s="863"/>
      <c r="BH8" s="863"/>
      <c r="BI8" s="863"/>
      <c r="BJ8" s="863"/>
      <c r="BK8" s="863"/>
      <c r="BL8" s="863"/>
      <c r="BM8" s="863"/>
      <c r="BN8" s="864"/>
      <c r="BO8" s="862"/>
      <c r="BP8" s="863"/>
      <c r="BQ8" s="863"/>
      <c r="BR8" s="863"/>
      <c r="BS8" s="863"/>
      <c r="BT8" s="863"/>
      <c r="BU8" s="863"/>
      <c r="BV8" s="863"/>
      <c r="BW8" s="863"/>
      <c r="BX8" s="863"/>
      <c r="BY8" s="863"/>
      <c r="BZ8" s="863"/>
      <c r="CA8" s="864"/>
      <c r="CB8" s="862"/>
      <c r="CC8" s="863"/>
      <c r="CD8" s="863"/>
      <c r="CE8" s="863"/>
      <c r="CF8" s="863"/>
      <c r="CG8" s="863"/>
      <c r="CH8" s="863"/>
      <c r="CI8" s="863"/>
      <c r="CJ8" s="863"/>
      <c r="CK8" s="863"/>
      <c r="CL8" s="863"/>
      <c r="CM8" s="863"/>
      <c r="CN8" s="864"/>
      <c r="CO8" s="862"/>
      <c r="CP8" s="863"/>
      <c r="CQ8" s="863"/>
      <c r="CR8" s="863"/>
      <c r="CS8" s="863"/>
      <c r="CT8" s="863"/>
      <c r="CU8" s="863"/>
      <c r="CV8" s="863"/>
      <c r="CW8" s="863"/>
      <c r="CX8" s="863"/>
      <c r="CY8" s="863"/>
      <c r="CZ8" s="863"/>
      <c r="DA8" s="864"/>
      <c r="DB8" s="862"/>
      <c r="DC8" s="863"/>
      <c r="DD8" s="863"/>
      <c r="DE8" s="863"/>
      <c r="DF8" s="863"/>
      <c r="DG8" s="863"/>
      <c r="DH8" s="863"/>
      <c r="DI8" s="863"/>
      <c r="DJ8" s="863"/>
      <c r="DK8" s="863"/>
      <c r="DL8" s="863"/>
      <c r="DM8" s="863"/>
      <c r="DN8" s="864"/>
      <c r="DO8" s="862"/>
      <c r="DP8" s="863"/>
      <c r="DQ8" s="863"/>
      <c r="DR8" s="863"/>
      <c r="DS8" s="863"/>
      <c r="DT8" s="863"/>
      <c r="DU8" s="863"/>
      <c r="DV8" s="863"/>
      <c r="DW8" s="863"/>
      <c r="DX8" s="863"/>
      <c r="DY8" s="863"/>
      <c r="DZ8" s="863"/>
      <c r="EA8" s="864"/>
      <c r="EB8" s="862"/>
      <c r="EC8" s="863"/>
      <c r="ED8" s="863"/>
      <c r="EE8" s="863"/>
      <c r="EF8" s="863"/>
      <c r="EG8" s="863"/>
      <c r="EH8" s="863"/>
      <c r="EI8" s="863"/>
      <c r="EJ8" s="863"/>
      <c r="EK8" s="863"/>
      <c r="EL8" s="863"/>
      <c r="EN8" s="864"/>
      <c r="EO8" s="457"/>
      <c r="EQ8" s="863"/>
      <c r="ER8" s="863"/>
      <c r="ES8" s="863"/>
      <c r="ET8" s="863"/>
      <c r="EU8" s="863"/>
      <c r="EV8" s="863"/>
      <c r="EW8" s="863"/>
      <c r="EX8" s="863"/>
      <c r="EY8" s="863"/>
      <c r="EZ8" s="863"/>
      <c r="FA8" s="864"/>
      <c r="FC8" s="939"/>
      <c r="FD8" s="939"/>
      <c r="FE8" s="453"/>
      <c r="FF8" s="453"/>
      <c r="FH8" s="939"/>
      <c r="FI8" s="458"/>
      <c r="FJ8" s="459"/>
    </row>
    <row r="9" spans="1:167" ht="15" customHeight="1" x14ac:dyDescent="0.25">
      <c r="A9" s="717" t="s">
        <v>574</v>
      </c>
      <c r="B9" s="865">
        <f t="shared" ref="B9:M9" si="24">B10+B24+B20+B33</f>
        <v>2560</v>
      </c>
      <c r="C9" s="866">
        <f t="shared" si="24"/>
        <v>3422</v>
      </c>
      <c r="D9" s="866">
        <f t="shared" si="24"/>
        <v>3849</v>
      </c>
      <c r="E9" s="866">
        <f t="shared" si="24"/>
        <v>3049</v>
      </c>
      <c r="F9" s="866">
        <f t="shared" si="24"/>
        <v>3523</v>
      </c>
      <c r="G9" s="866">
        <f t="shared" si="24"/>
        <v>3273</v>
      </c>
      <c r="H9" s="866">
        <f t="shared" si="24"/>
        <v>2500</v>
      </c>
      <c r="I9" s="866">
        <f t="shared" si="24"/>
        <v>2387</v>
      </c>
      <c r="J9" s="866">
        <f t="shared" si="24"/>
        <v>2259</v>
      </c>
      <c r="K9" s="866">
        <f t="shared" si="24"/>
        <v>1817</v>
      </c>
      <c r="L9" s="866">
        <f t="shared" si="24"/>
        <v>2404</v>
      </c>
      <c r="M9" s="866">
        <f t="shared" si="24"/>
        <v>1937</v>
      </c>
      <c r="N9" s="718">
        <f t="shared" ref="N9:N34" si="25">SUM(B9:M9)</f>
        <v>32980</v>
      </c>
      <c r="O9" s="865">
        <f t="shared" ref="O9:Z9" si="26">O10+O24+O20+O33</f>
        <v>2548</v>
      </c>
      <c r="P9" s="866">
        <f t="shared" si="26"/>
        <v>2629</v>
      </c>
      <c r="Q9" s="866">
        <f t="shared" si="26"/>
        <v>2935</v>
      </c>
      <c r="R9" s="866">
        <f t="shared" si="26"/>
        <v>3087</v>
      </c>
      <c r="S9" s="866">
        <f t="shared" si="26"/>
        <v>1961</v>
      </c>
      <c r="T9" s="866">
        <f t="shared" si="26"/>
        <v>3091</v>
      </c>
      <c r="U9" s="866">
        <f t="shared" si="26"/>
        <v>2441</v>
      </c>
      <c r="V9" s="866">
        <f t="shared" si="26"/>
        <v>2116</v>
      </c>
      <c r="W9" s="866">
        <f t="shared" si="26"/>
        <v>2537</v>
      </c>
      <c r="X9" s="866">
        <f t="shared" si="26"/>
        <v>3576</v>
      </c>
      <c r="Y9" s="866">
        <f t="shared" si="26"/>
        <v>2145</v>
      </c>
      <c r="Z9" s="866">
        <f t="shared" si="26"/>
        <v>3166</v>
      </c>
      <c r="AA9" s="718">
        <f t="shared" ref="AA9:AA24" si="27">SUM(O9:Z9)</f>
        <v>32232</v>
      </c>
      <c r="AB9" s="865">
        <f t="shared" ref="AB9:AM9" si="28">AB10+AB24+AB20+AB33</f>
        <v>1987</v>
      </c>
      <c r="AC9" s="866">
        <f t="shared" si="28"/>
        <v>2621</v>
      </c>
      <c r="AD9" s="866">
        <f t="shared" si="28"/>
        <v>2824</v>
      </c>
      <c r="AE9" s="866">
        <f t="shared" si="28"/>
        <v>2987</v>
      </c>
      <c r="AF9" s="866">
        <f t="shared" si="28"/>
        <v>3151</v>
      </c>
      <c r="AG9" s="866">
        <f t="shared" si="28"/>
        <v>3292</v>
      </c>
      <c r="AH9" s="866">
        <f t="shared" si="28"/>
        <v>2184</v>
      </c>
      <c r="AI9" s="866">
        <f t="shared" si="28"/>
        <v>2193</v>
      </c>
      <c r="AJ9" s="866">
        <f t="shared" si="28"/>
        <v>3342</v>
      </c>
      <c r="AK9" s="866">
        <f t="shared" si="28"/>
        <v>1232</v>
      </c>
      <c r="AL9" s="866">
        <f t="shared" si="28"/>
        <v>2087</v>
      </c>
      <c r="AM9" s="866">
        <f t="shared" si="28"/>
        <v>1906</v>
      </c>
      <c r="AN9" s="718">
        <f t="shared" ref="AN9:AN24" si="29">SUM(AB9:AM9)</f>
        <v>29806</v>
      </c>
      <c r="AO9" s="865">
        <f t="shared" ref="AO9:AZ9" si="30">AO10+AO24+AO20+AO33</f>
        <v>1163</v>
      </c>
      <c r="AP9" s="866">
        <f t="shared" si="30"/>
        <v>1239</v>
      </c>
      <c r="AQ9" s="866">
        <f t="shared" si="30"/>
        <v>1687</v>
      </c>
      <c r="AR9" s="866">
        <f t="shared" si="30"/>
        <v>1467</v>
      </c>
      <c r="AS9" s="866">
        <f t="shared" si="30"/>
        <v>1888</v>
      </c>
      <c r="AT9" s="866">
        <f t="shared" si="30"/>
        <v>2124</v>
      </c>
      <c r="AU9" s="866">
        <f t="shared" si="30"/>
        <v>1760</v>
      </c>
      <c r="AV9" s="866">
        <f t="shared" si="30"/>
        <v>2026</v>
      </c>
      <c r="AW9" s="866">
        <f t="shared" si="30"/>
        <v>1745</v>
      </c>
      <c r="AX9" s="866">
        <f t="shared" si="30"/>
        <v>2079</v>
      </c>
      <c r="AY9" s="866">
        <f t="shared" si="30"/>
        <v>1848</v>
      </c>
      <c r="AZ9" s="866">
        <f t="shared" si="30"/>
        <v>1384</v>
      </c>
      <c r="BA9" s="718">
        <f t="shared" ref="BA9:BA24" si="31">SUM(AO9:AZ9)</f>
        <v>20410</v>
      </c>
      <c r="BB9" s="865">
        <v>1401</v>
      </c>
      <c r="BC9" s="866">
        <v>1151</v>
      </c>
      <c r="BD9" s="866">
        <f t="shared" ref="BD9:BI9" si="32">BD10+BD24+BD20+BD33</f>
        <v>1543</v>
      </c>
      <c r="BE9" s="866">
        <f t="shared" si="32"/>
        <v>1659</v>
      </c>
      <c r="BF9" s="866">
        <f t="shared" si="32"/>
        <v>1215</v>
      </c>
      <c r="BG9" s="866">
        <f t="shared" si="32"/>
        <v>2579</v>
      </c>
      <c r="BH9" s="866">
        <f t="shared" si="32"/>
        <v>3150</v>
      </c>
      <c r="BI9" s="866">
        <f t="shared" si="32"/>
        <v>1650</v>
      </c>
      <c r="BJ9" s="866">
        <v>2082</v>
      </c>
      <c r="BK9" s="866">
        <v>1927</v>
      </c>
      <c r="BL9" s="866">
        <v>2837</v>
      </c>
      <c r="BM9" s="866">
        <f>BM10+BM24+BM20+BM33</f>
        <v>1774</v>
      </c>
      <c r="BN9" s="718">
        <f t="shared" ref="BN9:BN24" si="33">SUM(BB9:BM9)</f>
        <v>22968</v>
      </c>
      <c r="BO9" s="865">
        <f t="shared" ref="BO9:BZ9" si="34">BO10+BO24+BO20+BO33</f>
        <v>2268</v>
      </c>
      <c r="BP9" s="866">
        <f t="shared" si="34"/>
        <v>3638</v>
      </c>
      <c r="BQ9" s="866">
        <f t="shared" si="34"/>
        <v>1828</v>
      </c>
      <c r="BR9" s="866">
        <f t="shared" si="34"/>
        <v>371</v>
      </c>
      <c r="BS9" s="866">
        <f t="shared" si="34"/>
        <v>3640</v>
      </c>
      <c r="BT9" s="866">
        <f t="shared" si="34"/>
        <v>5488</v>
      </c>
      <c r="BU9" s="866">
        <f t="shared" si="34"/>
        <v>2608</v>
      </c>
      <c r="BV9" s="866">
        <f t="shared" si="34"/>
        <v>5125</v>
      </c>
      <c r="BW9" s="866">
        <f t="shared" si="34"/>
        <v>4282</v>
      </c>
      <c r="BX9" s="866">
        <f t="shared" si="34"/>
        <v>8743</v>
      </c>
      <c r="BY9" s="866">
        <f t="shared" si="34"/>
        <v>2447</v>
      </c>
      <c r="BZ9" s="866">
        <f t="shared" si="34"/>
        <v>6209</v>
      </c>
      <c r="CA9" s="718">
        <f t="shared" ref="CA9:CA34" si="35">SUM(BO9:BZ9)</f>
        <v>46647</v>
      </c>
      <c r="CB9" s="865">
        <f t="shared" ref="CB9:CM9" si="36">CB10+CB24+CB20+CB33</f>
        <v>5783</v>
      </c>
      <c r="CC9" s="866">
        <f t="shared" si="36"/>
        <v>9209</v>
      </c>
      <c r="CD9" s="866">
        <f t="shared" si="36"/>
        <v>5802</v>
      </c>
      <c r="CE9" s="866">
        <f t="shared" si="36"/>
        <v>2966</v>
      </c>
      <c r="CF9" s="866">
        <f t="shared" si="36"/>
        <v>7333</v>
      </c>
      <c r="CG9" s="866">
        <f t="shared" si="36"/>
        <v>8065</v>
      </c>
      <c r="CH9" s="866">
        <f t="shared" si="36"/>
        <v>9090</v>
      </c>
      <c r="CI9" s="866">
        <f t="shared" si="36"/>
        <v>7014</v>
      </c>
      <c r="CJ9" s="866">
        <f t="shared" si="36"/>
        <v>6511</v>
      </c>
      <c r="CK9" s="866">
        <f t="shared" si="36"/>
        <v>8034</v>
      </c>
      <c r="CL9" s="866">
        <f t="shared" si="36"/>
        <v>16479</v>
      </c>
      <c r="CM9" s="866">
        <f t="shared" si="36"/>
        <v>15990</v>
      </c>
      <c r="CN9" s="718">
        <f t="shared" ref="CN9:CN34" si="37">SUM(CB9:CM9)</f>
        <v>102276</v>
      </c>
      <c r="CO9" s="865">
        <f t="shared" ref="CO9:CZ9" si="38">CO10+CO24+CO20+CO33</f>
        <v>4298</v>
      </c>
      <c r="CP9" s="866">
        <f t="shared" si="38"/>
        <v>22591</v>
      </c>
      <c r="CQ9" s="866">
        <f t="shared" si="38"/>
        <v>12456</v>
      </c>
      <c r="CR9" s="866">
        <f t="shared" si="38"/>
        <v>11731</v>
      </c>
      <c r="CS9" s="866">
        <f t="shared" si="38"/>
        <v>17426</v>
      </c>
      <c r="CT9" s="866">
        <f t="shared" si="38"/>
        <v>14754</v>
      </c>
      <c r="CU9" s="866">
        <f t="shared" si="38"/>
        <v>14103</v>
      </c>
      <c r="CV9" s="866">
        <f t="shared" si="38"/>
        <v>8834</v>
      </c>
      <c r="CW9" s="866">
        <f t="shared" si="38"/>
        <v>3426</v>
      </c>
      <c r="CX9" s="866">
        <f t="shared" si="38"/>
        <v>8927</v>
      </c>
      <c r="CY9" s="866">
        <f t="shared" si="38"/>
        <v>13460</v>
      </c>
      <c r="CZ9" s="866">
        <f t="shared" si="38"/>
        <v>13750</v>
      </c>
      <c r="DA9" s="718">
        <f t="shared" ref="DA9:DA34" si="39">SUM(CO9:CZ9)</f>
        <v>145756</v>
      </c>
      <c r="DB9" s="865">
        <f t="shared" ref="DB9:DM9" si="40">DB10+DB24+DB20+DB33</f>
        <v>12737</v>
      </c>
      <c r="DC9" s="866">
        <f t="shared" si="40"/>
        <v>8229</v>
      </c>
      <c r="DD9" s="866">
        <f t="shared" si="40"/>
        <v>9875</v>
      </c>
      <c r="DE9" s="866">
        <f t="shared" si="40"/>
        <v>8888</v>
      </c>
      <c r="DF9" s="866">
        <f t="shared" si="40"/>
        <v>6281</v>
      </c>
      <c r="DG9" s="866">
        <f t="shared" si="40"/>
        <v>5228</v>
      </c>
      <c r="DH9" s="866">
        <f t="shared" si="40"/>
        <v>2899</v>
      </c>
      <c r="DI9" s="866">
        <f t="shared" si="40"/>
        <v>7427</v>
      </c>
      <c r="DJ9" s="866">
        <f t="shared" si="40"/>
        <v>6505</v>
      </c>
      <c r="DK9" s="866">
        <f t="shared" si="40"/>
        <v>8979</v>
      </c>
      <c r="DL9" s="866">
        <f t="shared" si="40"/>
        <v>7526</v>
      </c>
      <c r="DM9" s="866">
        <f t="shared" si="40"/>
        <v>6147</v>
      </c>
      <c r="DN9" s="718">
        <f t="shared" ref="DN9:DN34" si="41">SUM(DB9:DM9)</f>
        <v>90721</v>
      </c>
      <c r="DO9" s="865">
        <f>SUM(DO10,DO20,DO24,DO33)</f>
        <v>7592</v>
      </c>
      <c r="DP9" s="866">
        <f t="shared" ref="DP9:DZ9" si="42">SUM(DP10,DP20,DP24,DP33)</f>
        <v>7025</v>
      </c>
      <c r="DQ9" s="866">
        <f t="shared" si="42"/>
        <v>6530</v>
      </c>
      <c r="DR9" s="866">
        <f t="shared" si="42"/>
        <v>13333</v>
      </c>
      <c r="DS9" s="866">
        <f t="shared" si="42"/>
        <v>7249</v>
      </c>
      <c r="DT9" s="866">
        <f t="shared" si="42"/>
        <v>15041</v>
      </c>
      <c r="DU9" s="866">
        <f t="shared" si="42"/>
        <v>26498</v>
      </c>
      <c r="DV9" s="866">
        <f t="shared" si="42"/>
        <v>15791</v>
      </c>
      <c r="DW9" s="866">
        <f t="shared" si="42"/>
        <v>14501</v>
      </c>
      <c r="DX9" s="866">
        <f t="shared" si="42"/>
        <v>7238</v>
      </c>
      <c r="DY9" s="866">
        <f t="shared" si="42"/>
        <v>9015</v>
      </c>
      <c r="DZ9" s="866">
        <f t="shared" si="42"/>
        <v>6371</v>
      </c>
      <c r="EA9" s="718">
        <f t="shared" ref="EA9:EA34" si="43">SUM(DO9:DZ9)</f>
        <v>136184</v>
      </c>
      <c r="EB9" s="865">
        <f t="shared" ref="EB9:EM9" si="44">SUM(EB10,EB20,EB24,EB33)</f>
        <v>12055</v>
      </c>
      <c r="EC9" s="866">
        <f t="shared" si="44"/>
        <v>10632</v>
      </c>
      <c r="ED9" s="866">
        <f t="shared" si="44"/>
        <v>7511</v>
      </c>
      <c r="EE9" s="866">
        <f t="shared" si="44"/>
        <v>7502</v>
      </c>
      <c r="EF9" s="866">
        <f t="shared" si="44"/>
        <v>14468</v>
      </c>
      <c r="EG9" s="866">
        <f t="shared" si="44"/>
        <v>7535</v>
      </c>
      <c r="EH9" s="866">
        <f t="shared" si="44"/>
        <v>11114</v>
      </c>
      <c r="EI9" s="866">
        <f t="shared" si="44"/>
        <v>9170</v>
      </c>
      <c r="EJ9" s="866">
        <f t="shared" si="44"/>
        <v>6317</v>
      </c>
      <c r="EK9" s="866">
        <f t="shared" si="44"/>
        <v>6020</v>
      </c>
      <c r="EL9" s="866">
        <f t="shared" si="44"/>
        <v>4005</v>
      </c>
      <c r="EM9" s="911">
        <f t="shared" si="44"/>
        <v>3906</v>
      </c>
      <c r="EN9" s="718">
        <f t="shared" ref="EN9:EN34" si="45">SUM(EB9:EM9)</f>
        <v>100235</v>
      </c>
      <c r="EO9" s="716">
        <f t="shared" ref="EO9:EP9" si="46">SUM(EO10,EO20,EO24,EO33)</f>
        <v>2550</v>
      </c>
      <c r="EP9" s="911">
        <f t="shared" si="46"/>
        <v>7004</v>
      </c>
      <c r="EQ9" s="866">
        <f t="shared" ref="EQ9:EZ9" si="47">SUM(EQ10,EQ20,EQ24,EQ33)</f>
        <v>2561</v>
      </c>
      <c r="ER9" s="866">
        <f t="shared" si="47"/>
        <v>2629</v>
      </c>
      <c r="ES9" s="866">
        <f t="shared" si="47"/>
        <v>3283</v>
      </c>
      <c r="ET9" s="866">
        <f t="shared" si="47"/>
        <v>3251</v>
      </c>
      <c r="EU9" s="866">
        <f t="shared" si="47"/>
        <v>4028</v>
      </c>
      <c r="EV9" s="866">
        <f t="shared" si="47"/>
        <v>9852</v>
      </c>
      <c r="EW9" s="866">
        <f t="shared" si="47"/>
        <v>0</v>
      </c>
      <c r="EX9" s="866">
        <f t="shared" si="47"/>
        <v>0</v>
      </c>
      <c r="EY9" s="866">
        <f t="shared" si="47"/>
        <v>0</v>
      </c>
      <c r="EZ9" s="866">
        <f t="shared" si="47"/>
        <v>0</v>
      </c>
      <c r="FA9" s="718">
        <f t="shared" ref="FA9:FA34" si="48">SUM(EO9:EZ9)</f>
        <v>35158</v>
      </c>
      <c r="FC9" s="940">
        <f t="shared" ref="FC9:FC34" si="49">IFERROR(((
_xlfn.XLOOKUP((DATE(YEAR($FC$5),MONTH($FC$5),1)),UCA.X.DATE,$B9:$FA9) /
_xlfn.XLOOKUP((DATE(YEAR($FC$5)-1,MONTH($FC$5),1)),UCA.X.DATE,$B9:$FA9)
)-1)*100,"")</f>
        <v>-65.90334176541073</v>
      </c>
      <c r="FD9" s="940">
        <f t="shared" ref="FD9:FD34" si="50">IFERROR(((FF9/FE9)-1)*100,"")</f>
        <v>-59.881449102589571</v>
      </c>
      <c r="FE9" s="717">
        <f t="shared" ref="FE9:FE34" si="51">SUMIFS($B9:$FA9,UCA.X.DATE,"&gt;="&amp;DATE(YEAR($FC$5)-1,1,1),UCA.X.DATE,"&lt;="&amp;DATE(YEAR($FC$5)-1,MONTH($FC$5),1))</f>
        <v>30198</v>
      </c>
      <c r="FF9" s="717">
        <f t="shared" ref="FF9:FF34" si="52">SUMIFS($B9:$FA9,UCA.X.DATE,"&gt;="&amp;DATE(YEAR($FC$5),1,1),UCA.X.DATE,"&lt;="&amp;$FC$5)</f>
        <v>12115</v>
      </c>
      <c r="FH9" s="940">
        <f>IFERROR((
_xlfn.XLOOKUP((DATE(YEAR($FC$5),MONTH($FC$5),1)),UCA.X.DATE,$B9:$FA9) /
_xlfn.XLOOKUP((DATE(YEAR($FC$5)-1,MONTH($FC$5),1)),UCA.X.DATE,$B9:$FA9)),"")</f>
        <v>0.34096658234589267</v>
      </c>
      <c r="FI9" s="718">
        <f>IFERROR((
_xlfn.XLOOKUP((DATE(YEAR($FC$5),MONTH($FC$5),1)),UCA.X.DATE,$B9:$FA9) -
_xlfn.XLOOKUP((DATE(YEAR($FC$5)-1,MONTH($FC$5),1)),UCA.X.DATE,$B9:$FA9)),"")</f>
        <v>-4950</v>
      </c>
      <c r="FJ9" s="719">
        <f t="shared" si="23"/>
        <v>-18083</v>
      </c>
    </row>
    <row r="10" spans="1:167" ht="15" customHeight="1" x14ac:dyDescent="0.25">
      <c r="A10" s="460" t="s">
        <v>674</v>
      </c>
      <c r="B10" s="867">
        <f t="shared" ref="B10:M10" si="53">SUM(B11:B19)</f>
        <v>2286</v>
      </c>
      <c r="C10" s="868">
        <f t="shared" si="53"/>
        <v>3404</v>
      </c>
      <c r="D10" s="868">
        <f t="shared" si="53"/>
        <v>3771</v>
      </c>
      <c r="E10" s="868">
        <f t="shared" si="53"/>
        <v>2743</v>
      </c>
      <c r="F10" s="868">
        <f t="shared" si="53"/>
        <v>3445</v>
      </c>
      <c r="G10" s="868">
        <f t="shared" si="53"/>
        <v>3246</v>
      </c>
      <c r="H10" s="868">
        <f t="shared" si="53"/>
        <v>2302</v>
      </c>
      <c r="I10" s="868">
        <f t="shared" si="53"/>
        <v>2179</v>
      </c>
      <c r="J10" s="868">
        <f t="shared" si="53"/>
        <v>2129</v>
      </c>
      <c r="K10" s="868">
        <f t="shared" si="53"/>
        <v>1517</v>
      </c>
      <c r="L10" s="868">
        <f t="shared" si="53"/>
        <v>2357</v>
      </c>
      <c r="M10" s="868">
        <f t="shared" si="53"/>
        <v>1825</v>
      </c>
      <c r="N10" s="869">
        <f t="shared" si="25"/>
        <v>31204</v>
      </c>
      <c r="O10" s="867">
        <f t="shared" ref="O10:Z10" si="54">SUM(O11:O19)</f>
        <v>2438</v>
      </c>
      <c r="P10" s="868">
        <f t="shared" si="54"/>
        <v>2330</v>
      </c>
      <c r="Q10" s="868">
        <f t="shared" si="54"/>
        <v>2848</v>
      </c>
      <c r="R10" s="868">
        <f t="shared" si="54"/>
        <v>2739</v>
      </c>
      <c r="S10" s="868">
        <f t="shared" si="54"/>
        <v>1839</v>
      </c>
      <c r="T10" s="868">
        <f t="shared" si="54"/>
        <v>2698</v>
      </c>
      <c r="U10" s="868">
        <f t="shared" si="54"/>
        <v>1773</v>
      </c>
      <c r="V10" s="868">
        <f t="shared" si="54"/>
        <v>1752</v>
      </c>
      <c r="W10" s="868">
        <f t="shared" si="54"/>
        <v>2137</v>
      </c>
      <c r="X10" s="868">
        <f t="shared" si="54"/>
        <v>3398</v>
      </c>
      <c r="Y10" s="868">
        <f t="shared" si="54"/>
        <v>2049</v>
      </c>
      <c r="Z10" s="868">
        <f t="shared" si="54"/>
        <v>3075.5</v>
      </c>
      <c r="AA10" s="869">
        <f t="shared" si="27"/>
        <v>29076.5</v>
      </c>
      <c r="AB10" s="867">
        <f t="shared" ref="AB10:AM10" si="55">SUM(AB11:AB19)</f>
        <v>1753</v>
      </c>
      <c r="AC10" s="868">
        <f t="shared" si="55"/>
        <v>2296</v>
      </c>
      <c r="AD10" s="868">
        <f t="shared" si="55"/>
        <v>2695</v>
      </c>
      <c r="AE10" s="868">
        <f t="shared" si="55"/>
        <v>2704</v>
      </c>
      <c r="AF10" s="868">
        <f t="shared" si="55"/>
        <v>2801</v>
      </c>
      <c r="AG10" s="868">
        <f t="shared" si="55"/>
        <v>2543</v>
      </c>
      <c r="AH10" s="868">
        <f t="shared" si="55"/>
        <v>1581</v>
      </c>
      <c r="AI10" s="868">
        <f t="shared" si="55"/>
        <v>1437</v>
      </c>
      <c r="AJ10" s="868">
        <f t="shared" si="55"/>
        <v>2508</v>
      </c>
      <c r="AK10" s="868">
        <f t="shared" si="55"/>
        <v>884</v>
      </c>
      <c r="AL10" s="868">
        <f t="shared" si="55"/>
        <v>1801</v>
      </c>
      <c r="AM10" s="868">
        <f t="shared" si="55"/>
        <v>1555</v>
      </c>
      <c r="AN10" s="869">
        <f t="shared" si="29"/>
        <v>24558</v>
      </c>
      <c r="AO10" s="867">
        <f t="shared" ref="AO10:AZ10" si="56">SUM(AO11:AO19)</f>
        <v>1003</v>
      </c>
      <c r="AP10" s="868">
        <f t="shared" si="56"/>
        <v>1108</v>
      </c>
      <c r="AQ10" s="868">
        <f t="shared" si="56"/>
        <v>1559</v>
      </c>
      <c r="AR10" s="868">
        <f t="shared" si="56"/>
        <v>1343</v>
      </c>
      <c r="AS10" s="868">
        <f t="shared" si="56"/>
        <v>1491</v>
      </c>
      <c r="AT10" s="868">
        <f t="shared" si="56"/>
        <v>1387</v>
      </c>
      <c r="AU10" s="868">
        <f t="shared" si="56"/>
        <v>1259</v>
      </c>
      <c r="AV10" s="868">
        <f t="shared" si="56"/>
        <v>1799</v>
      </c>
      <c r="AW10" s="868">
        <f t="shared" si="56"/>
        <v>1390</v>
      </c>
      <c r="AX10" s="868">
        <f t="shared" si="56"/>
        <v>1403</v>
      </c>
      <c r="AY10" s="868">
        <f t="shared" si="56"/>
        <v>1286</v>
      </c>
      <c r="AZ10" s="868">
        <f t="shared" si="56"/>
        <v>1034</v>
      </c>
      <c r="BA10" s="869">
        <f t="shared" si="31"/>
        <v>16062</v>
      </c>
      <c r="BB10" s="867">
        <v>1156</v>
      </c>
      <c r="BC10" s="868">
        <v>995</v>
      </c>
      <c r="BD10" s="868">
        <f t="shared" ref="BD10:BI10" si="57">SUM(BD11:BD19)</f>
        <v>1332</v>
      </c>
      <c r="BE10" s="868">
        <f t="shared" si="57"/>
        <v>1504</v>
      </c>
      <c r="BF10" s="868">
        <f t="shared" si="57"/>
        <v>1009</v>
      </c>
      <c r="BG10" s="868">
        <f t="shared" si="57"/>
        <v>1826</v>
      </c>
      <c r="BH10" s="868">
        <f t="shared" si="57"/>
        <v>1536</v>
      </c>
      <c r="BI10" s="868">
        <f t="shared" si="57"/>
        <v>1298</v>
      </c>
      <c r="BJ10" s="868">
        <v>1594</v>
      </c>
      <c r="BK10" s="868">
        <v>1648</v>
      </c>
      <c r="BL10" s="868">
        <v>2471</v>
      </c>
      <c r="BM10" s="868">
        <f>SUM(BM11:BM19)</f>
        <v>1298</v>
      </c>
      <c r="BN10" s="869">
        <f t="shared" si="33"/>
        <v>17667</v>
      </c>
      <c r="BO10" s="867">
        <f t="shared" ref="BO10:BZ10" si="58">SUM(BO11:BO19)</f>
        <v>1690</v>
      </c>
      <c r="BP10" s="868">
        <f t="shared" si="58"/>
        <v>1135</v>
      </c>
      <c r="BQ10" s="868">
        <f t="shared" si="58"/>
        <v>1503</v>
      </c>
      <c r="BR10" s="868">
        <f t="shared" si="58"/>
        <v>371</v>
      </c>
      <c r="BS10" s="868">
        <f t="shared" si="58"/>
        <v>384</v>
      </c>
      <c r="BT10" s="868">
        <f t="shared" si="58"/>
        <v>2267</v>
      </c>
      <c r="BU10" s="868">
        <f t="shared" si="58"/>
        <v>1624</v>
      </c>
      <c r="BV10" s="868">
        <f t="shared" si="58"/>
        <v>1983</v>
      </c>
      <c r="BW10" s="868">
        <f t="shared" si="58"/>
        <v>2089</v>
      </c>
      <c r="BX10" s="868">
        <f t="shared" si="58"/>
        <v>1721</v>
      </c>
      <c r="BY10" s="868">
        <f t="shared" si="58"/>
        <v>1936</v>
      </c>
      <c r="BZ10" s="868">
        <f t="shared" si="58"/>
        <v>1640</v>
      </c>
      <c r="CA10" s="869">
        <f t="shared" si="35"/>
        <v>18343</v>
      </c>
      <c r="CB10" s="867">
        <f t="shared" ref="CB10:CM10" si="59">SUM(CB11:CB19)</f>
        <v>1378</v>
      </c>
      <c r="CC10" s="868">
        <f t="shared" si="59"/>
        <v>2223</v>
      </c>
      <c r="CD10" s="868">
        <f t="shared" si="59"/>
        <v>2355</v>
      </c>
      <c r="CE10" s="868">
        <f t="shared" si="59"/>
        <v>2318</v>
      </c>
      <c r="CF10" s="868">
        <f t="shared" si="59"/>
        <v>2228</v>
      </c>
      <c r="CG10" s="868">
        <f t="shared" si="59"/>
        <v>1961</v>
      </c>
      <c r="CH10" s="868">
        <f t="shared" si="59"/>
        <v>3422</v>
      </c>
      <c r="CI10" s="868">
        <f t="shared" si="59"/>
        <v>2442</v>
      </c>
      <c r="CJ10" s="868">
        <f t="shared" si="59"/>
        <v>2039</v>
      </c>
      <c r="CK10" s="868">
        <f t="shared" si="59"/>
        <v>3404</v>
      </c>
      <c r="CL10" s="868">
        <f t="shared" si="59"/>
        <v>2007</v>
      </c>
      <c r="CM10" s="868">
        <f t="shared" si="59"/>
        <v>3560</v>
      </c>
      <c r="CN10" s="869">
        <f t="shared" si="37"/>
        <v>29337</v>
      </c>
      <c r="CO10" s="867">
        <f t="shared" ref="CO10:CZ10" si="60">SUM(CO11:CO19)</f>
        <v>2411</v>
      </c>
      <c r="CP10" s="868">
        <f t="shared" si="60"/>
        <v>4068</v>
      </c>
      <c r="CQ10" s="868">
        <f t="shared" si="60"/>
        <v>4634</v>
      </c>
      <c r="CR10" s="868">
        <f t="shared" si="60"/>
        <v>3570</v>
      </c>
      <c r="CS10" s="868">
        <f t="shared" si="60"/>
        <v>3623</v>
      </c>
      <c r="CT10" s="868">
        <f t="shared" si="60"/>
        <v>3103</v>
      </c>
      <c r="CU10" s="868">
        <f t="shared" si="60"/>
        <v>3116</v>
      </c>
      <c r="CV10" s="868">
        <f t="shared" si="60"/>
        <v>2877</v>
      </c>
      <c r="CW10" s="868">
        <f t="shared" si="60"/>
        <v>2657</v>
      </c>
      <c r="CX10" s="868">
        <f t="shared" si="60"/>
        <v>2451</v>
      </c>
      <c r="CY10" s="868">
        <f t="shared" si="60"/>
        <v>1839</v>
      </c>
      <c r="CZ10" s="868">
        <f t="shared" si="60"/>
        <v>2014</v>
      </c>
      <c r="DA10" s="869">
        <f t="shared" si="39"/>
        <v>36363</v>
      </c>
      <c r="DB10" s="867">
        <f t="shared" ref="DB10:DM10" si="61">SUM(DB11:DB19)</f>
        <v>1918</v>
      </c>
      <c r="DC10" s="868">
        <f t="shared" si="61"/>
        <v>2603</v>
      </c>
      <c r="DD10" s="868">
        <f t="shared" si="61"/>
        <v>4119</v>
      </c>
      <c r="DE10" s="868">
        <f t="shared" si="61"/>
        <v>3558</v>
      </c>
      <c r="DF10" s="868">
        <f t="shared" si="61"/>
        <v>2987</v>
      </c>
      <c r="DG10" s="868">
        <f t="shared" si="61"/>
        <v>2299</v>
      </c>
      <c r="DH10" s="868">
        <f t="shared" si="61"/>
        <v>1847</v>
      </c>
      <c r="DI10" s="868">
        <f t="shared" si="61"/>
        <v>2083</v>
      </c>
      <c r="DJ10" s="868">
        <f t="shared" si="61"/>
        <v>1486</v>
      </c>
      <c r="DK10" s="868">
        <f t="shared" si="61"/>
        <v>2159</v>
      </c>
      <c r="DL10" s="868">
        <f t="shared" si="61"/>
        <v>2359</v>
      </c>
      <c r="DM10" s="868">
        <f t="shared" si="61"/>
        <v>2221</v>
      </c>
      <c r="DN10" s="869">
        <f t="shared" si="41"/>
        <v>29639</v>
      </c>
      <c r="DO10" s="867">
        <f t="shared" ref="DO10:DZ10" si="62">SUM(DO11:DO19)</f>
        <v>1762</v>
      </c>
      <c r="DP10" s="868">
        <f t="shared" si="62"/>
        <v>1841</v>
      </c>
      <c r="DQ10" s="868">
        <f t="shared" si="62"/>
        <v>2574</v>
      </c>
      <c r="DR10" s="868">
        <f t="shared" si="62"/>
        <v>2232</v>
      </c>
      <c r="DS10" s="868">
        <f t="shared" si="62"/>
        <v>2800</v>
      </c>
      <c r="DT10" s="868">
        <f t="shared" si="62"/>
        <v>1741</v>
      </c>
      <c r="DU10" s="868">
        <f t="shared" si="62"/>
        <v>2266</v>
      </c>
      <c r="DV10" s="868">
        <f t="shared" si="62"/>
        <v>2351</v>
      </c>
      <c r="DW10" s="868">
        <f t="shared" si="62"/>
        <v>2917</v>
      </c>
      <c r="DX10" s="868">
        <f t="shared" si="62"/>
        <v>2724</v>
      </c>
      <c r="DY10" s="868">
        <f t="shared" si="62"/>
        <v>3795</v>
      </c>
      <c r="DZ10" s="868">
        <f t="shared" si="62"/>
        <v>1939</v>
      </c>
      <c r="EA10" s="869">
        <f t="shared" si="43"/>
        <v>28942</v>
      </c>
      <c r="EB10" s="867">
        <f t="shared" ref="EB10:EM10" si="63">SUM(EB11:EB19)</f>
        <v>1420</v>
      </c>
      <c r="EC10" s="868">
        <f t="shared" si="63"/>
        <v>1769</v>
      </c>
      <c r="ED10" s="868">
        <f t="shared" si="63"/>
        <v>1393</v>
      </c>
      <c r="EE10" s="868">
        <f t="shared" si="63"/>
        <v>2574</v>
      </c>
      <c r="EF10" s="868">
        <f t="shared" si="63"/>
        <v>1822</v>
      </c>
      <c r="EG10" s="868">
        <f t="shared" si="63"/>
        <v>1917</v>
      </c>
      <c r="EH10" s="868">
        <f t="shared" si="63"/>
        <v>1936</v>
      </c>
      <c r="EI10" s="868">
        <f t="shared" si="63"/>
        <v>2031</v>
      </c>
      <c r="EJ10" s="868">
        <f t="shared" si="63"/>
        <v>1976</v>
      </c>
      <c r="EK10" s="868">
        <f t="shared" si="63"/>
        <v>2381</v>
      </c>
      <c r="EL10" s="868">
        <f t="shared" si="63"/>
        <v>1579</v>
      </c>
      <c r="EM10" s="450">
        <f t="shared" si="63"/>
        <v>2368</v>
      </c>
      <c r="EN10" s="869">
        <f t="shared" si="45"/>
        <v>23166</v>
      </c>
      <c r="EO10" s="461">
        <f t="shared" ref="EO10:EP10" si="64">SUM(EO11:EO19)</f>
        <v>1888</v>
      </c>
      <c r="EP10" s="450">
        <f t="shared" si="64"/>
        <v>1686</v>
      </c>
      <c r="EQ10" s="868">
        <f t="shared" ref="EQ10:EZ10" si="65">SUM(EQ11:EQ19)</f>
        <v>1990</v>
      </c>
      <c r="ER10" s="868">
        <f t="shared" si="65"/>
        <v>2073</v>
      </c>
      <c r="ES10" s="868">
        <f t="shared" si="65"/>
        <v>2236</v>
      </c>
      <c r="ET10" s="868">
        <f t="shared" si="65"/>
        <v>1644</v>
      </c>
      <c r="EU10" s="868">
        <f t="shared" si="65"/>
        <v>1676</v>
      </c>
      <c r="EV10" s="868">
        <f t="shared" si="65"/>
        <v>1276</v>
      </c>
      <c r="EW10" s="868">
        <f t="shared" si="65"/>
        <v>0</v>
      </c>
      <c r="EX10" s="868">
        <f t="shared" si="65"/>
        <v>0</v>
      </c>
      <c r="EY10" s="868">
        <f t="shared" si="65"/>
        <v>0</v>
      </c>
      <c r="EZ10" s="868">
        <f t="shared" si="65"/>
        <v>0</v>
      </c>
      <c r="FA10" s="869">
        <f t="shared" si="48"/>
        <v>14469</v>
      </c>
      <c r="FC10" s="941">
        <f t="shared" si="49"/>
        <v>42.857142857142861</v>
      </c>
      <c r="FD10" s="941">
        <f t="shared" si="50"/>
        <v>21.431689218681793</v>
      </c>
      <c r="FE10" s="935">
        <f t="shared" si="51"/>
        <v>4582</v>
      </c>
      <c r="FF10" s="935">
        <f t="shared" si="52"/>
        <v>5564</v>
      </c>
      <c r="FH10" s="941">
        <f>IFERROR((
_xlfn.XLOOKUP((DATE(YEAR($FC$5),MONTH($FC$5),1)),UCA.X.DATE,$B10:$FA10) /
_xlfn.XLOOKUP((DATE(YEAR($FC$5)-1,MONTH($FC$5),1)),UCA.X.DATE,$B10:$FA10)),"")</f>
        <v>1.4285714285714286</v>
      </c>
      <c r="FI10" s="463">
        <f>IFERROR((
_xlfn.XLOOKUP((DATE(YEAR($FC$5),MONTH($FC$5),1)),UCA.X.DATE,$B10:$FA10) -
_xlfn.XLOOKUP((DATE(YEAR($FC$5)-1,MONTH($FC$5),1)),UCA.X.DATE,$B10:$FA10)),"")</f>
        <v>597</v>
      </c>
      <c r="FJ10" s="464">
        <f t="shared" si="23"/>
        <v>982</v>
      </c>
    </row>
    <row r="11" spans="1:167" ht="15" customHeight="1" x14ac:dyDescent="0.25">
      <c r="A11" s="465" t="s">
        <v>599</v>
      </c>
      <c r="B11" s="862"/>
      <c r="C11" s="863"/>
      <c r="D11" s="863"/>
      <c r="E11" s="863"/>
      <c r="F11" s="863"/>
      <c r="G11" s="863"/>
      <c r="H11" s="863"/>
      <c r="I11" s="863"/>
      <c r="J11" s="863"/>
      <c r="K11" s="863"/>
      <c r="L11" s="863"/>
      <c r="M11" s="459"/>
      <c r="N11" s="864"/>
      <c r="O11" s="862"/>
      <c r="P11" s="863"/>
      <c r="Q11" s="863"/>
      <c r="R11" s="863"/>
      <c r="S11" s="863"/>
      <c r="T11" s="863"/>
      <c r="U11" s="863"/>
      <c r="V11" s="863"/>
      <c r="W11" s="863"/>
      <c r="X11" s="863"/>
      <c r="Y11" s="863"/>
      <c r="Z11" s="459"/>
      <c r="AA11" s="864"/>
      <c r="AB11" s="862"/>
      <c r="AC11" s="863"/>
      <c r="AD11" s="863"/>
      <c r="AE11" s="863"/>
      <c r="AF11" s="863"/>
      <c r="AG11" s="863"/>
      <c r="AH11" s="863"/>
      <c r="AI11" s="863"/>
      <c r="AJ11" s="863"/>
      <c r="AK11" s="863"/>
      <c r="AL11" s="863"/>
      <c r="AM11" s="459"/>
      <c r="AN11" s="864"/>
      <c r="AO11" s="862"/>
      <c r="AP11" s="863"/>
      <c r="AQ11" s="863"/>
      <c r="AR11" s="863"/>
      <c r="AS11" s="863"/>
      <c r="AT11" s="863"/>
      <c r="AU11" s="863"/>
      <c r="AV11" s="863"/>
      <c r="AW11" s="863"/>
      <c r="AX11" s="863"/>
      <c r="AY11" s="863"/>
      <c r="AZ11" s="459"/>
      <c r="BA11" s="864"/>
      <c r="BB11" s="862"/>
      <c r="BC11" s="863"/>
      <c r="BD11" s="863"/>
      <c r="BE11" s="863"/>
      <c r="BF11" s="863"/>
      <c r="BG11" s="863"/>
      <c r="BH11" s="863"/>
      <c r="BI11" s="863"/>
      <c r="BJ11" s="863"/>
      <c r="BK11" s="863"/>
      <c r="BL11" s="863"/>
      <c r="BM11" s="459"/>
      <c r="BN11" s="864"/>
      <c r="BO11" s="862"/>
      <c r="BP11" s="863"/>
      <c r="BQ11" s="863"/>
      <c r="BR11" s="863"/>
      <c r="BS11" s="863"/>
      <c r="BT11" s="863"/>
      <c r="BU11" s="863"/>
      <c r="BV11" s="863"/>
      <c r="BW11" s="863"/>
      <c r="BX11" s="863"/>
      <c r="BY11" s="863"/>
      <c r="BZ11" s="459"/>
      <c r="CA11" s="864"/>
      <c r="CB11" s="862"/>
      <c r="CC11" s="863"/>
      <c r="CD11" s="863"/>
      <c r="CE11" s="863"/>
      <c r="CF11" s="863"/>
      <c r="CG11" s="863"/>
      <c r="CH11" s="863"/>
      <c r="CI11" s="863"/>
      <c r="CJ11" s="863"/>
      <c r="CK11" s="863"/>
      <c r="CL11" s="863"/>
      <c r="CM11" s="459"/>
      <c r="CN11" s="864"/>
      <c r="CO11" s="862"/>
      <c r="CP11" s="863"/>
      <c r="CQ11" s="863"/>
      <c r="CR11" s="863"/>
      <c r="CS11" s="863"/>
      <c r="CT11" s="863"/>
      <c r="CU11" s="863"/>
      <c r="CV11" s="863"/>
      <c r="CW11" s="863"/>
      <c r="CX11" s="863"/>
      <c r="CY11" s="863"/>
      <c r="CZ11" s="459"/>
      <c r="DA11" s="864"/>
      <c r="DB11" s="862"/>
      <c r="DC11" s="863"/>
      <c r="DD11" s="863"/>
      <c r="DE11" s="863"/>
      <c r="DF11" s="863"/>
      <c r="DG11" s="863"/>
      <c r="DH11" s="863"/>
      <c r="DI11" s="863"/>
      <c r="DJ11" s="863"/>
      <c r="DK11" s="863"/>
      <c r="DL11" s="863"/>
      <c r="DM11" s="459"/>
      <c r="DN11" s="864"/>
      <c r="DO11" s="862">
        <v>274</v>
      </c>
      <c r="DP11" s="863">
        <v>372</v>
      </c>
      <c r="DQ11" s="863">
        <v>680</v>
      </c>
      <c r="DR11" s="863">
        <v>307</v>
      </c>
      <c r="DS11" s="863">
        <v>469</v>
      </c>
      <c r="DT11" s="863">
        <v>577</v>
      </c>
      <c r="DU11" s="863">
        <v>794</v>
      </c>
      <c r="DV11" s="863">
        <v>974</v>
      </c>
      <c r="DW11" s="863">
        <v>559</v>
      </c>
      <c r="DX11" s="863">
        <v>942</v>
      </c>
      <c r="DY11" s="863">
        <v>901</v>
      </c>
      <c r="DZ11" s="459">
        <v>89</v>
      </c>
      <c r="EA11" s="864">
        <f t="shared" si="43"/>
        <v>6938</v>
      </c>
      <c r="EB11" s="862">
        <v>72</v>
      </c>
      <c r="EC11" s="863"/>
      <c r="ED11" s="863">
        <v>95</v>
      </c>
      <c r="EE11" s="863">
        <v>266</v>
      </c>
      <c r="EF11" s="863">
        <v>391</v>
      </c>
      <c r="EG11" s="863">
        <v>747</v>
      </c>
      <c r="EH11" s="863">
        <v>700</v>
      </c>
      <c r="EI11" s="863">
        <v>751</v>
      </c>
      <c r="EJ11" s="863">
        <v>577</v>
      </c>
      <c r="EK11" s="863">
        <v>1095</v>
      </c>
      <c r="EL11" s="863">
        <v>162</v>
      </c>
      <c r="EM11" s="456">
        <v>578</v>
      </c>
      <c r="EN11" s="864">
        <f t="shared" si="45"/>
        <v>5434</v>
      </c>
      <c r="EO11" s="457">
        <v>255</v>
      </c>
      <c r="EP11" s="451">
        <v>473</v>
      </c>
      <c r="EQ11" s="863">
        <v>235</v>
      </c>
      <c r="ER11" s="863">
        <v>102</v>
      </c>
      <c r="ES11" s="863">
        <v>47</v>
      </c>
      <c r="ET11" s="863">
        <v>46</v>
      </c>
      <c r="EU11" s="863">
        <v>54</v>
      </c>
      <c r="EV11" s="863">
        <v>24</v>
      </c>
      <c r="EW11" s="863"/>
      <c r="EX11" s="863"/>
      <c r="EY11" s="863"/>
      <c r="EZ11" s="459"/>
      <c r="FA11" s="864">
        <f t="shared" si="48"/>
        <v>1236</v>
      </c>
      <c r="FC11" s="939">
        <f t="shared" si="49"/>
        <v>147.36842105263159</v>
      </c>
      <c r="FD11" s="939">
        <f t="shared" si="50"/>
        <v>476.64670658682633</v>
      </c>
      <c r="FE11" s="453">
        <f t="shared" si="51"/>
        <v>167</v>
      </c>
      <c r="FF11" s="453">
        <f t="shared" si="52"/>
        <v>963</v>
      </c>
      <c r="FH11" s="939">
        <f>IFERROR((
_xlfn.XLOOKUP((DATE(YEAR($FC$5),MONTH($FC$5),1)),UCA.X.DATE,$B11:$FA11) /
_xlfn.XLOOKUP((DATE(YEAR($FC$5)-1,MONTH($FC$5),1)),UCA.X.DATE,$B11:$FA11)),"")</f>
        <v>2.4736842105263159</v>
      </c>
      <c r="FI11" s="458">
        <f>IFERROR((
_xlfn.XLOOKUP((DATE(YEAR($FC$5),MONTH($FC$5),1)),UCA.X.DATE,$B11:$FA11) -
_xlfn.XLOOKUP((DATE(YEAR($FC$5)-1,MONTH($FC$5),1)),UCA.X.DATE,$B11:$FA11)),"")</f>
        <v>140</v>
      </c>
      <c r="FJ11" s="459">
        <f t="shared" si="23"/>
        <v>796</v>
      </c>
    </row>
    <row r="12" spans="1:167" ht="15" customHeight="1" x14ac:dyDescent="0.25">
      <c r="A12" s="465" t="s">
        <v>575</v>
      </c>
      <c r="B12" s="862"/>
      <c r="C12" s="863"/>
      <c r="D12" s="863"/>
      <c r="E12" s="863"/>
      <c r="F12" s="863"/>
      <c r="G12" s="863"/>
      <c r="H12" s="863"/>
      <c r="I12" s="863"/>
      <c r="J12" s="863"/>
      <c r="K12" s="863"/>
      <c r="L12" s="863"/>
      <c r="M12" s="459"/>
      <c r="N12" s="864">
        <f>SUM(B12:M12)</f>
        <v>0</v>
      </c>
      <c r="O12" s="862"/>
      <c r="P12" s="863"/>
      <c r="Q12" s="863"/>
      <c r="R12" s="863"/>
      <c r="S12" s="863"/>
      <c r="T12" s="863"/>
      <c r="U12" s="863"/>
      <c r="V12" s="863"/>
      <c r="W12" s="863"/>
      <c r="X12" s="863"/>
      <c r="Y12" s="863"/>
      <c r="Z12" s="459"/>
      <c r="AA12" s="864">
        <f>SUM(O12:Z12)</f>
        <v>0</v>
      </c>
      <c r="AB12" s="862"/>
      <c r="AC12" s="863"/>
      <c r="AD12" s="863"/>
      <c r="AE12" s="863"/>
      <c r="AF12" s="863"/>
      <c r="AG12" s="863"/>
      <c r="AH12" s="863"/>
      <c r="AI12" s="863"/>
      <c r="AJ12" s="863"/>
      <c r="AK12" s="863"/>
      <c r="AL12" s="863"/>
      <c r="AM12" s="459"/>
      <c r="AN12" s="864">
        <f>SUM(AB12:AM12)</f>
        <v>0</v>
      </c>
      <c r="AO12" s="862"/>
      <c r="AP12" s="863"/>
      <c r="AQ12" s="863"/>
      <c r="AR12" s="863"/>
      <c r="AS12" s="863"/>
      <c r="AT12" s="863"/>
      <c r="AU12" s="863"/>
      <c r="AV12" s="863"/>
      <c r="AW12" s="863"/>
      <c r="AX12" s="863"/>
      <c r="AY12" s="863"/>
      <c r="AZ12" s="459"/>
      <c r="BA12" s="864">
        <f>SUM(AO12:AZ12)</f>
        <v>0</v>
      </c>
      <c r="BB12" s="862"/>
      <c r="BC12" s="863"/>
      <c r="BD12" s="863"/>
      <c r="BE12" s="863"/>
      <c r="BF12" s="863"/>
      <c r="BG12" s="863"/>
      <c r="BH12" s="863"/>
      <c r="BI12" s="863"/>
      <c r="BJ12" s="863"/>
      <c r="BK12" s="863"/>
      <c r="BL12" s="863"/>
      <c r="BM12" s="459"/>
      <c r="BN12" s="864">
        <f>SUM(BB12:BM12)</f>
        <v>0</v>
      </c>
      <c r="BO12" s="862"/>
      <c r="BP12" s="863">
        <v>39</v>
      </c>
      <c r="BQ12" s="863"/>
      <c r="BR12" s="863"/>
      <c r="BS12" s="863"/>
      <c r="BT12" s="863"/>
      <c r="BU12" s="863"/>
      <c r="BV12" s="863"/>
      <c r="BW12" s="863"/>
      <c r="BX12" s="863"/>
      <c r="BY12" s="863"/>
      <c r="BZ12" s="459"/>
      <c r="CA12" s="864">
        <f>SUM(BO12:BZ12)</f>
        <v>39</v>
      </c>
      <c r="CB12" s="862"/>
      <c r="CC12" s="863"/>
      <c r="CD12" s="863"/>
      <c r="CE12" s="863"/>
      <c r="CF12" s="863"/>
      <c r="CG12" s="863"/>
      <c r="CH12" s="863"/>
      <c r="CI12" s="863"/>
      <c r="CJ12" s="863"/>
      <c r="CK12" s="863"/>
      <c r="CL12" s="863"/>
      <c r="CM12" s="459"/>
      <c r="CN12" s="864">
        <f>SUM(CB12:CM12)</f>
        <v>0</v>
      </c>
      <c r="CO12" s="862"/>
      <c r="CP12" s="863"/>
      <c r="CQ12" s="863"/>
      <c r="CR12" s="863"/>
      <c r="CS12" s="863"/>
      <c r="CT12" s="863"/>
      <c r="CU12" s="863"/>
      <c r="CV12" s="863"/>
      <c r="CW12" s="863"/>
      <c r="CX12" s="863"/>
      <c r="CY12" s="863"/>
      <c r="CZ12" s="459"/>
      <c r="DA12" s="864">
        <f>SUM(CO12:CZ12)</f>
        <v>0</v>
      </c>
      <c r="DB12" s="862"/>
      <c r="DC12" s="863"/>
      <c r="DD12" s="863"/>
      <c r="DE12" s="863"/>
      <c r="DF12" s="863"/>
      <c r="DG12" s="863"/>
      <c r="DH12" s="863"/>
      <c r="DI12" s="863"/>
      <c r="DJ12" s="863"/>
      <c r="DK12" s="863"/>
      <c r="DL12" s="863"/>
      <c r="DM12" s="459"/>
      <c r="DN12" s="864">
        <f>SUM(DB12:DM12)</f>
        <v>0</v>
      </c>
      <c r="DO12" s="862"/>
      <c r="DP12" s="863"/>
      <c r="DQ12" s="863">
        <v>43</v>
      </c>
      <c r="DR12" s="863"/>
      <c r="DS12" s="863">
        <v>37</v>
      </c>
      <c r="DT12" s="863">
        <v>6</v>
      </c>
      <c r="DU12" s="863"/>
      <c r="DV12" s="863"/>
      <c r="DW12" s="863"/>
      <c r="DX12" s="863"/>
      <c r="DY12" s="863"/>
      <c r="DZ12" s="459">
        <v>43</v>
      </c>
      <c r="EA12" s="864">
        <f t="shared" si="43"/>
        <v>129</v>
      </c>
      <c r="EB12" s="862"/>
      <c r="EC12" s="863"/>
      <c r="ED12" s="863">
        <v>26</v>
      </c>
      <c r="EE12" s="863"/>
      <c r="EF12" s="863">
        <v>35</v>
      </c>
      <c r="EG12" s="863">
        <v>23</v>
      </c>
      <c r="EH12" s="863"/>
      <c r="EI12" s="863"/>
      <c r="EJ12" s="863"/>
      <c r="EK12" s="863"/>
      <c r="EL12" s="863"/>
      <c r="EM12" s="456">
        <v>95</v>
      </c>
      <c r="EN12" s="864">
        <f t="shared" si="45"/>
        <v>179</v>
      </c>
      <c r="EO12" s="457">
        <v>3</v>
      </c>
      <c r="EP12" s="451">
        <v>50</v>
      </c>
      <c r="EQ12" s="863">
        <v>49</v>
      </c>
      <c r="ER12" s="863"/>
      <c r="ES12" s="863">
        <v>52</v>
      </c>
      <c r="ET12" s="863"/>
      <c r="EU12" s="863">
        <v>52</v>
      </c>
      <c r="EV12" s="863"/>
      <c r="EW12" s="863"/>
      <c r="EX12" s="863"/>
      <c r="EY12" s="863"/>
      <c r="EZ12" s="459"/>
      <c r="FA12" s="864">
        <f t="shared" si="48"/>
        <v>206</v>
      </c>
      <c r="FC12" s="939">
        <f t="shared" si="49"/>
        <v>88.461538461538453</v>
      </c>
      <c r="FD12" s="939">
        <f t="shared" si="50"/>
        <v>292.30769230769226</v>
      </c>
      <c r="FE12" s="453">
        <f t="shared" si="51"/>
        <v>26</v>
      </c>
      <c r="FF12" s="453">
        <f t="shared" si="52"/>
        <v>102</v>
      </c>
      <c r="FH12" s="939">
        <f>IFERROR((
_xlfn.XLOOKUP((DATE(YEAR($FC$5),MONTH($FC$5),1)),UCA.X.DATE,$B12:$FA12) /
_xlfn.XLOOKUP((DATE(YEAR($FC$5)-1,MONTH($FC$5),1)),UCA.X.DATE,$B12:$FA12)),"")</f>
        <v>1.8846153846153846</v>
      </c>
      <c r="FI12" s="458">
        <f>IFERROR((
_xlfn.XLOOKUP((DATE(YEAR($FC$5),MONTH($FC$5),1)),UCA.X.DATE,$B12:$FA12) -
_xlfn.XLOOKUP((DATE(YEAR($FC$5)-1,MONTH($FC$5),1)),UCA.X.DATE,$B12:$FA12)),"")</f>
        <v>23</v>
      </c>
      <c r="FJ12" s="459">
        <f t="shared" si="23"/>
        <v>76</v>
      </c>
    </row>
    <row r="13" spans="1:167" ht="15" customHeight="1" x14ac:dyDescent="0.25">
      <c r="A13" s="465" t="s">
        <v>158</v>
      </c>
      <c r="B13" s="862">
        <v>1179</v>
      </c>
      <c r="C13" s="863">
        <v>1569</v>
      </c>
      <c r="D13" s="863">
        <v>1371</v>
      </c>
      <c r="E13" s="863">
        <v>1015</v>
      </c>
      <c r="F13" s="863">
        <v>826</v>
      </c>
      <c r="G13" s="863">
        <v>879</v>
      </c>
      <c r="H13" s="863">
        <v>755</v>
      </c>
      <c r="I13" s="863">
        <v>562</v>
      </c>
      <c r="J13" s="863">
        <v>150</v>
      </c>
      <c r="K13" s="863">
        <v>579</v>
      </c>
      <c r="L13" s="863">
        <v>1281</v>
      </c>
      <c r="M13" s="459">
        <v>1225</v>
      </c>
      <c r="N13" s="864">
        <f>SUM(B13:M13)</f>
        <v>11391</v>
      </c>
      <c r="O13" s="862">
        <v>1510</v>
      </c>
      <c r="P13" s="863">
        <v>1023</v>
      </c>
      <c r="Q13" s="863">
        <v>1233</v>
      </c>
      <c r="R13" s="863">
        <v>1207</v>
      </c>
      <c r="S13" s="863">
        <v>851</v>
      </c>
      <c r="T13" s="863">
        <v>1149</v>
      </c>
      <c r="U13" s="863">
        <v>615</v>
      </c>
      <c r="V13" s="863">
        <v>828</v>
      </c>
      <c r="W13" s="863">
        <v>673</v>
      </c>
      <c r="X13" s="863">
        <v>2190</v>
      </c>
      <c r="Y13" s="863">
        <v>747</v>
      </c>
      <c r="Z13" s="459">
        <v>1119</v>
      </c>
      <c r="AA13" s="864">
        <f>SUM(O13:Z13)</f>
        <v>13145</v>
      </c>
      <c r="AB13" s="862">
        <v>959</v>
      </c>
      <c r="AC13" s="863">
        <v>1282</v>
      </c>
      <c r="AD13" s="863">
        <v>968</v>
      </c>
      <c r="AE13" s="863">
        <v>734</v>
      </c>
      <c r="AF13" s="863">
        <v>849</v>
      </c>
      <c r="AG13" s="863">
        <v>1117</v>
      </c>
      <c r="AH13" s="863">
        <v>566</v>
      </c>
      <c r="AI13" s="863">
        <v>291</v>
      </c>
      <c r="AJ13" s="863">
        <v>403</v>
      </c>
      <c r="AK13" s="863">
        <v>522</v>
      </c>
      <c r="AL13" s="863">
        <v>801</v>
      </c>
      <c r="AM13" s="459">
        <v>551</v>
      </c>
      <c r="AN13" s="864">
        <f>SUM(AB13:AM13)</f>
        <v>9043</v>
      </c>
      <c r="AO13" s="862">
        <v>602</v>
      </c>
      <c r="AP13" s="863">
        <v>424</v>
      </c>
      <c r="AQ13" s="863">
        <v>723</v>
      </c>
      <c r="AR13" s="863">
        <v>766</v>
      </c>
      <c r="AS13" s="863">
        <v>673</v>
      </c>
      <c r="AT13" s="863">
        <v>441</v>
      </c>
      <c r="AU13" s="863">
        <v>656</v>
      </c>
      <c r="AV13" s="863">
        <v>691</v>
      </c>
      <c r="AW13" s="863">
        <v>435</v>
      </c>
      <c r="AX13" s="863">
        <v>500</v>
      </c>
      <c r="AY13" s="863">
        <v>322</v>
      </c>
      <c r="AZ13" s="459">
        <v>335</v>
      </c>
      <c r="BA13" s="864">
        <f>SUM(AO13:AZ13)</f>
        <v>6568</v>
      </c>
      <c r="BB13" s="862">
        <v>366</v>
      </c>
      <c r="BC13" s="863">
        <v>272</v>
      </c>
      <c r="BD13" s="863">
        <v>787</v>
      </c>
      <c r="BE13" s="863">
        <v>597</v>
      </c>
      <c r="BF13" s="863">
        <v>644</v>
      </c>
      <c r="BG13" s="863">
        <v>241</v>
      </c>
      <c r="BH13" s="863">
        <v>360</v>
      </c>
      <c r="BI13" s="863">
        <v>468</v>
      </c>
      <c r="BJ13" s="863">
        <v>505</v>
      </c>
      <c r="BK13" s="863">
        <v>713</v>
      </c>
      <c r="BL13" s="863">
        <v>1811</v>
      </c>
      <c r="BM13" s="459">
        <v>1108</v>
      </c>
      <c r="BN13" s="864">
        <f>SUM(BB13:BM13)</f>
        <v>7872</v>
      </c>
      <c r="BO13" s="862">
        <v>1242</v>
      </c>
      <c r="BP13" s="863">
        <f>395+36</f>
        <v>431</v>
      </c>
      <c r="BQ13" s="863">
        <v>541</v>
      </c>
      <c r="BR13" s="863"/>
      <c r="BS13" s="863">
        <f>63+16+32+27</f>
        <v>138</v>
      </c>
      <c r="BT13" s="863">
        <v>630</v>
      </c>
      <c r="BU13" s="863">
        <v>662</v>
      </c>
      <c r="BV13" s="863">
        <v>495</v>
      </c>
      <c r="BW13" s="863">
        <v>523</v>
      </c>
      <c r="BX13" s="863">
        <v>632</v>
      </c>
      <c r="BY13" s="863">
        <v>667</v>
      </c>
      <c r="BZ13" s="459">
        <v>315</v>
      </c>
      <c r="CA13" s="864">
        <f>SUM(BO13:BZ13)</f>
        <v>6276</v>
      </c>
      <c r="CB13" s="862">
        <v>455</v>
      </c>
      <c r="CC13" s="863">
        <v>440</v>
      </c>
      <c r="CD13" s="863">
        <v>518</v>
      </c>
      <c r="CE13" s="863">
        <f>71+70</f>
        <v>141</v>
      </c>
      <c r="CF13" s="863">
        <v>590</v>
      </c>
      <c r="CG13" s="863">
        <v>398</v>
      </c>
      <c r="CH13" s="863">
        <v>573</v>
      </c>
      <c r="CI13" s="863">
        <v>580</v>
      </c>
      <c r="CJ13" s="863">
        <v>643</v>
      </c>
      <c r="CK13" s="863">
        <v>1036</v>
      </c>
      <c r="CL13" s="863">
        <v>710</v>
      </c>
      <c r="CM13" s="459">
        <v>1665</v>
      </c>
      <c r="CN13" s="864">
        <f>SUM(CB13:CM13)</f>
        <v>7749</v>
      </c>
      <c r="CO13" s="862">
        <v>700</v>
      </c>
      <c r="CP13" s="863">
        <v>1567</v>
      </c>
      <c r="CQ13" s="863">
        <v>2549</v>
      </c>
      <c r="CR13" s="863">
        <v>2253</v>
      </c>
      <c r="CS13" s="863">
        <v>2238</v>
      </c>
      <c r="CT13" s="863">
        <v>1068</v>
      </c>
      <c r="CU13" s="863">
        <v>1804</v>
      </c>
      <c r="CV13" s="863">
        <v>1662</v>
      </c>
      <c r="CW13" s="863">
        <v>1917</v>
      </c>
      <c r="CX13" s="863">
        <v>2075</v>
      </c>
      <c r="CY13" s="863">
        <v>1415</v>
      </c>
      <c r="CZ13" s="459">
        <v>1290</v>
      </c>
      <c r="DA13" s="864">
        <f>SUM(CO13:CZ13)</f>
        <v>20538</v>
      </c>
      <c r="DB13" s="862">
        <v>977</v>
      </c>
      <c r="DC13" s="863">
        <v>1565</v>
      </c>
      <c r="DD13" s="863">
        <v>2332</v>
      </c>
      <c r="DE13" s="863">
        <v>1829</v>
      </c>
      <c r="DF13" s="863">
        <v>1799</v>
      </c>
      <c r="DG13" s="863">
        <v>1778</v>
      </c>
      <c r="DH13" s="863">
        <v>1265</v>
      </c>
      <c r="DI13" s="863">
        <v>1337</v>
      </c>
      <c r="DJ13" s="863">
        <v>1357</v>
      </c>
      <c r="DK13" s="863">
        <v>1771</v>
      </c>
      <c r="DL13" s="863">
        <v>1993</v>
      </c>
      <c r="DM13" s="459">
        <v>1319</v>
      </c>
      <c r="DN13" s="864">
        <f>SUM(DB13:DM13)</f>
        <v>19322</v>
      </c>
      <c r="DO13" s="862">
        <v>1186</v>
      </c>
      <c r="DP13" s="863">
        <v>1107</v>
      </c>
      <c r="DQ13" s="863">
        <v>1463</v>
      </c>
      <c r="DR13" s="863">
        <v>1437</v>
      </c>
      <c r="DS13" s="863">
        <v>1865</v>
      </c>
      <c r="DT13" s="863">
        <v>844</v>
      </c>
      <c r="DU13" s="863">
        <v>1128</v>
      </c>
      <c r="DV13" s="863">
        <v>1151</v>
      </c>
      <c r="DW13" s="863">
        <v>2094</v>
      </c>
      <c r="DX13" s="863">
        <v>1345</v>
      </c>
      <c r="DY13" s="863">
        <v>2194</v>
      </c>
      <c r="DZ13" s="459">
        <v>1807</v>
      </c>
      <c r="EA13" s="864">
        <f t="shared" si="43"/>
        <v>17621</v>
      </c>
      <c r="EB13" s="862">
        <v>1292</v>
      </c>
      <c r="EC13" s="863">
        <v>1769</v>
      </c>
      <c r="ED13" s="863">
        <v>1226</v>
      </c>
      <c r="EE13" s="863">
        <v>1882</v>
      </c>
      <c r="EF13" s="863">
        <v>1197</v>
      </c>
      <c r="EG13" s="863">
        <v>753</v>
      </c>
      <c r="EH13" s="863">
        <v>1221</v>
      </c>
      <c r="EI13" s="863">
        <v>1031</v>
      </c>
      <c r="EJ13" s="863">
        <v>1134</v>
      </c>
      <c r="EK13" s="863">
        <v>1133</v>
      </c>
      <c r="EL13" s="863">
        <v>656</v>
      </c>
      <c r="EM13" s="456">
        <v>1059</v>
      </c>
      <c r="EN13" s="864">
        <f t="shared" si="45"/>
        <v>14353</v>
      </c>
      <c r="EO13" s="457">
        <v>979</v>
      </c>
      <c r="EP13" s="451">
        <v>948</v>
      </c>
      <c r="EQ13" s="863">
        <v>1421</v>
      </c>
      <c r="ER13" s="863">
        <v>1463</v>
      </c>
      <c r="ES13" s="863">
        <v>1888</v>
      </c>
      <c r="ET13" s="863">
        <v>1083</v>
      </c>
      <c r="EU13" s="863">
        <v>1311</v>
      </c>
      <c r="EV13" s="863">
        <v>1051</v>
      </c>
      <c r="EW13" s="863"/>
      <c r="EX13" s="863"/>
      <c r="EY13" s="863"/>
      <c r="EZ13" s="459"/>
      <c r="FA13" s="864">
        <f t="shared" si="48"/>
        <v>10144</v>
      </c>
      <c r="FC13" s="939">
        <f t="shared" si="49"/>
        <v>15.905383360522031</v>
      </c>
      <c r="FD13" s="939">
        <f t="shared" si="50"/>
        <v>-21.903428971308603</v>
      </c>
      <c r="FE13" s="453">
        <f t="shared" si="51"/>
        <v>4287</v>
      </c>
      <c r="FF13" s="453">
        <f t="shared" si="52"/>
        <v>3348</v>
      </c>
      <c r="FH13" s="939">
        <f>IFERROR((
_xlfn.XLOOKUP((DATE(YEAR($FC$5),MONTH($FC$5),1)),UCA.X.DATE,$B13:$FA13) /
_xlfn.XLOOKUP((DATE(YEAR($FC$5)-1,MONTH($FC$5),1)),UCA.X.DATE,$B13:$FA13)),"")</f>
        <v>1.1590538336052203</v>
      </c>
      <c r="FI13" s="458">
        <f>IFERROR((
_xlfn.XLOOKUP((DATE(YEAR($FC$5),MONTH($FC$5),1)),UCA.X.DATE,$B13:$FA13) -
_xlfn.XLOOKUP((DATE(YEAR($FC$5)-1,MONTH($FC$5),1)),UCA.X.DATE,$B13:$FA13)),"")</f>
        <v>195</v>
      </c>
      <c r="FJ13" s="459">
        <f t="shared" si="23"/>
        <v>-939</v>
      </c>
    </row>
    <row r="14" spans="1:167" ht="15" customHeight="1" x14ac:dyDescent="0.25">
      <c r="A14" s="465" t="s">
        <v>600</v>
      </c>
      <c r="B14" s="862"/>
      <c r="C14" s="863"/>
      <c r="D14" s="863"/>
      <c r="E14" s="863"/>
      <c r="F14" s="863"/>
      <c r="G14" s="863"/>
      <c r="H14" s="863"/>
      <c r="I14" s="863"/>
      <c r="J14" s="863"/>
      <c r="K14" s="863"/>
      <c r="L14" s="863"/>
      <c r="M14" s="459"/>
      <c r="N14" s="864"/>
      <c r="O14" s="862"/>
      <c r="P14" s="863"/>
      <c r="Q14" s="863"/>
      <c r="R14" s="863"/>
      <c r="S14" s="863"/>
      <c r="T14" s="863"/>
      <c r="U14" s="863"/>
      <c r="V14" s="863"/>
      <c r="W14" s="863"/>
      <c r="X14" s="863"/>
      <c r="Y14" s="863"/>
      <c r="Z14" s="459"/>
      <c r="AA14" s="864"/>
      <c r="AB14" s="862"/>
      <c r="AC14" s="863"/>
      <c r="AD14" s="863"/>
      <c r="AE14" s="863"/>
      <c r="AF14" s="863"/>
      <c r="AG14" s="863"/>
      <c r="AH14" s="863"/>
      <c r="AI14" s="863"/>
      <c r="AJ14" s="863"/>
      <c r="AK14" s="863"/>
      <c r="AL14" s="863"/>
      <c r="AM14" s="459"/>
      <c r="AN14" s="864"/>
      <c r="AO14" s="862"/>
      <c r="AP14" s="863"/>
      <c r="AQ14" s="863"/>
      <c r="AR14" s="863"/>
      <c r="AS14" s="863"/>
      <c r="AT14" s="863"/>
      <c r="AU14" s="863"/>
      <c r="AV14" s="863"/>
      <c r="AW14" s="863"/>
      <c r="AX14" s="863"/>
      <c r="AY14" s="863"/>
      <c r="AZ14" s="459"/>
      <c r="BA14" s="864"/>
      <c r="BB14" s="862"/>
      <c r="BC14" s="863"/>
      <c r="BD14" s="863"/>
      <c r="BE14" s="863"/>
      <c r="BF14" s="863"/>
      <c r="BG14" s="863"/>
      <c r="BH14" s="863"/>
      <c r="BI14" s="863"/>
      <c r="BJ14" s="863"/>
      <c r="BK14" s="863"/>
      <c r="BL14" s="863"/>
      <c r="BM14" s="459"/>
      <c r="BN14" s="864"/>
      <c r="BO14" s="862"/>
      <c r="BP14" s="863"/>
      <c r="BQ14" s="863"/>
      <c r="BR14" s="863"/>
      <c r="BS14" s="863"/>
      <c r="BT14" s="863"/>
      <c r="BU14" s="863"/>
      <c r="BV14" s="863"/>
      <c r="BW14" s="863"/>
      <c r="BX14" s="863"/>
      <c r="BY14" s="863"/>
      <c r="BZ14" s="459"/>
      <c r="CA14" s="864"/>
      <c r="CB14" s="862"/>
      <c r="CC14" s="863"/>
      <c r="CD14" s="863"/>
      <c r="CE14" s="863"/>
      <c r="CF14" s="863"/>
      <c r="CG14" s="863"/>
      <c r="CH14" s="863"/>
      <c r="CI14" s="863"/>
      <c r="CJ14" s="863"/>
      <c r="CK14" s="863"/>
      <c r="CL14" s="863"/>
      <c r="CM14" s="459"/>
      <c r="CN14" s="864"/>
      <c r="CO14" s="862"/>
      <c r="CP14" s="863"/>
      <c r="CQ14" s="863"/>
      <c r="CR14" s="863"/>
      <c r="CS14" s="863"/>
      <c r="CT14" s="863"/>
      <c r="CU14" s="863"/>
      <c r="CV14" s="863"/>
      <c r="CW14" s="863"/>
      <c r="CX14" s="863"/>
      <c r="CY14" s="863"/>
      <c r="CZ14" s="459"/>
      <c r="DA14" s="864"/>
      <c r="DB14" s="862"/>
      <c r="DC14" s="863"/>
      <c r="DD14" s="863"/>
      <c r="DE14" s="863"/>
      <c r="DF14" s="863"/>
      <c r="DG14" s="863"/>
      <c r="DH14" s="863"/>
      <c r="DI14" s="863"/>
      <c r="DJ14" s="863"/>
      <c r="DK14" s="863"/>
      <c r="DL14" s="863"/>
      <c r="DM14" s="459"/>
      <c r="DN14" s="864"/>
      <c r="DO14" s="862"/>
      <c r="DP14" s="863"/>
      <c r="DQ14" s="863"/>
      <c r="DR14" s="863"/>
      <c r="DS14" s="863"/>
      <c r="DT14" s="863">
        <v>63</v>
      </c>
      <c r="DU14" s="863">
        <v>42</v>
      </c>
      <c r="DV14" s="863"/>
      <c r="DW14" s="863"/>
      <c r="DX14" s="863"/>
      <c r="DY14" s="863"/>
      <c r="DZ14" s="459"/>
      <c r="EA14" s="864">
        <f t="shared" si="43"/>
        <v>105</v>
      </c>
      <c r="EB14" s="862"/>
      <c r="EC14" s="863"/>
      <c r="ED14" s="863"/>
      <c r="EE14" s="863"/>
      <c r="EF14" s="863"/>
      <c r="EG14" s="863"/>
      <c r="EH14" s="863"/>
      <c r="EI14" s="863"/>
      <c r="EJ14" s="863"/>
      <c r="EK14" s="863"/>
      <c r="EL14" s="863"/>
      <c r="EM14" s="456"/>
      <c r="EN14" s="864">
        <f t="shared" si="45"/>
        <v>0</v>
      </c>
      <c r="EO14" s="457"/>
      <c r="EQ14" s="863"/>
      <c r="ES14" s="863"/>
      <c r="ET14" s="863"/>
      <c r="EU14" s="863"/>
      <c r="EV14" s="863"/>
      <c r="EW14" s="863"/>
      <c r="EX14" s="863"/>
      <c r="EY14" s="863"/>
      <c r="EZ14" s="459"/>
      <c r="FA14" s="864">
        <f t="shared" si="48"/>
        <v>0</v>
      </c>
      <c r="FC14" s="939" t="str">
        <f t="shared" si="49"/>
        <v/>
      </c>
      <c r="FD14" s="939" t="str">
        <f t="shared" si="50"/>
        <v/>
      </c>
      <c r="FE14" s="453">
        <f t="shared" si="51"/>
        <v>0</v>
      </c>
      <c r="FF14" s="453">
        <f t="shared" si="52"/>
        <v>0</v>
      </c>
      <c r="FH14" s="939"/>
      <c r="FI14" s="458"/>
      <c r="FJ14" s="459"/>
    </row>
    <row r="15" spans="1:167" ht="15" customHeight="1" x14ac:dyDescent="0.25">
      <c r="A15" s="465" t="s">
        <v>601</v>
      </c>
      <c r="B15" s="862"/>
      <c r="C15" s="863"/>
      <c r="D15" s="863"/>
      <c r="E15" s="863"/>
      <c r="F15" s="863"/>
      <c r="G15" s="863"/>
      <c r="H15" s="863"/>
      <c r="I15" s="863"/>
      <c r="J15" s="863"/>
      <c r="K15" s="863"/>
      <c r="L15" s="863"/>
      <c r="M15" s="459"/>
      <c r="N15" s="864">
        <f>SUM(B15:M15)</f>
        <v>0</v>
      </c>
      <c r="O15" s="862"/>
      <c r="P15" s="863"/>
      <c r="Q15" s="863"/>
      <c r="R15" s="863"/>
      <c r="S15" s="863"/>
      <c r="T15" s="863"/>
      <c r="U15" s="863"/>
      <c r="V15" s="863"/>
      <c r="W15" s="863"/>
      <c r="X15" s="863"/>
      <c r="Y15" s="863"/>
      <c r="Z15" s="459"/>
      <c r="AA15" s="864">
        <f>SUM(O15:Z15)</f>
        <v>0</v>
      </c>
      <c r="AB15" s="862"/>
      <c r="AC15" s="863"/>
      <c r="AD15" s="863"/>
      <c r="AE15" s="863"/>
      <c r="AF15" s="863"/>
      <c r="AG15" s="863"/>
      <c r="AH15" s="863"/>
      <c r="AI15" s="863"/>
      <c r="AJ15" s="863"/>
      <c r="AK15" s="863"/>
      <c r="AL15" s="863"/>
      <c r="AM15" s="459"/>
      <c r="AN15" s="864">
        <f>SUM(AB15:AM15)</f>
        <v>0</v>
      </c>
      <c r="AO15" s="862"/>
      <c r="AP15" s="863"/>
      <c r="AQ15" s="863"/>
      <c r="AR15" s="863"/>
      <c r="AS15" s="863"/>
      <c r="AT15" s="863"/>
      <c r="AU15" s="863"/>
      <c r="AV15" s="863"/>
      <c r="AW15" s="863"/>
      <c r="AX15" s="863"/>
      <c r="AY15" s="863"/>
      <c r="AZ15" s="459"/>
      <c r="BA15" s="864">
        <f>SUM(AO15:AZ15)</f>
        <v>0</v>
      </c>
      <c r="BB15" s="862"/>
      <c r="BC15" s="863"/>
      <c r="BD15" s="863"/>
      <c r="BE15" s="863"/>
      <c r="BF15" s="863"/>
      <c r="BG15" s="863"/>
      <c r="BH15" s="863"/>
      <c r="BI15" s="863"/>
      <c r="BJ15" s="863"/>
      <c r="BK15" s="863"/>
      <c r="BL15" s="863"/>
      <c r="BM15" s="459"/>
      <c r="BN15" s="864">
        <f>SUM(BB15:BM15)</f>
        <v>0</v>
      </c>
      <c r="BO15" s="862"/>
      <c r="BP15" s="863"/>
      <c r="BQ15" s="863"/>
      <c r="BR15" s="863"/>
      <c r="BS15" s="863"/>
      <c r="BT15" s="863"/>
      <c r="BU15" s="863"/>
      <c r="BV15" s="863"/>
      <c r="BW15" s="863"/>
      <c r="BX15" s="863"/>
      <c r="BY15" s="863"/>
      <c r="BZ15" s="459"/>
      <c r="CA15" s="864">
        <f>SUM(BO15:BZ15)</f>
        <v>0</v>
      </c>
      <c r="CB15" s="862"/>
      <c r="CC15" s="863"/>
      <c r="CD15" s="863"/>
      <c r="CE15" s="863"/>
      <c r="CF15" s="863"/>
      <c r="CG15" s="863"/>
      <c r="CH15" s="863"/>
      <c r="CI15" s="863"/>
      <c r="CJ15" s="863"/>
      <c r="CK15" s="863"/>
      <c r="CL15" s="863"/>
      <c r="CM15" s="459"/>
      <c r="CN15" s="864">
        <f>SUM(CB15:CM15)</f>
        <v>0</v>
      </c>
      <c r="CO15" s="862"/>
      <c r="CP15" s="863"/>
      <c r="CQ15" s="863"/>
      <c r="CR15" s="863"/>
      <c r="CS15" s="863"/>
      <c r="CT15" s="863"/>
      <c r="CU15" s="863"/>
      <c r="CV15" s="863"/>
      <c r="CW15" s="863"/>
      <c r="CX15" s="863"/>
      <c r="CY15" s="863"/>
      <c r="CZ15" s="459"/>
      <c r="DA15" s="864">
        <f>SUM(CO15:CZ15)</f>
        <v>0</v>
      </c>
      <c r="DB15" s="862"/>
      <c r="DC15" s="863"/>
      <c r="DD15" s="863"/>
      <c r="DE15" s="863"/>
      <c r="DF15" s="863"/>
      <c r="DG15" s="863"/>
      <c r="DH15" s="863"/>
      <c r="DI15" s="863"/>
      <c r="DJ15" s="863"/>
      <c r="DK15" s="863"/>
      <c r="DL15" s="863"/>
      <c r="DM15" s="459"/>
      <c r="DN15" s="864">
        <f>SUM(DB15:DM15)</f>
        <v>0</v>
      </c>
      <c r="DO15" s="862">
        <v>61</v>
      </c>
      <c r="DP15" s="863">
        <v>112</v>
      </c>
      <c r="DQ15" s="863">
        <v>38</v>
      </c>
      <c r="DR15" s="863">
        <v>238</v>
      </c>
      <c r="DS15" s="863">
        <v>397</v>
      </c>
      <c r="DT15" s="863">
        <v>92</v>
      </c>
      <c r="DU15" s="863">
        <v>72</v>
      </c>
      <c r="DV15" s="863">
        <v>93</v>
      </c>
      <c r="DW15" s="863">
        <v>74</v>
      </c>
      <c r="DX15" s="863">
        <v>214</v>
      </c>
      <c r="DY15" s="863">
        <v>35</v>
      </c>
      <c r="DZ15" s="459"/>
      <c r="EA15" s="864">
        <f t="shared" si="43"/>
        <v>1426</v>
      </c>
      <c r="EB15" s="862"/>
      <c r="EC15" s="863"/>
      <c r="ED15" s="863">
        <v>33</v>
      </c>
      <c r="EE15" s="863">
        <v>211</v>
      </c>
      <c r="EF15" s="863">
        <v>58</v>
      </c>
      <c r="EG15" s="863">
        <v>99</v>
      </c>
      <c r="EH15" s="863">
        <v>15</v>
      </c>
      <c r="EI15" s="863">
        <v>117</v>
      </c>
      <c r="EJ15" s="863">
        <v>265</v>
      </c>
      <c r="EK15" s="863">
        <v>114</v>
      </c>
      <c r="EL15" s="863">
        <v>761</v>
      </c>
      <c r="EM15" s="456">
        <v>530</v>
      </c>
      <c r="EN15" s="864">
        <f t="shared" si="45"/>
        <v>2203</v>
      </c>
      <c r="EO15" s="457">
        <v>600</v>
      </c>
      <c r="EP15" s="451">
        <v>189</v>
      </c>
      <c r="EQ15" s="863">
        <v>237</v>
      </c>
      <c r="ER15" s="863">
        <v>223</v>
      </c>
      <c r="ES15" s="863">
        <v>249</v>
      </c>
      <c r="ET15" s="863">
        <v>269</v>
      </c>
      <c r="EU15" s="863">
        <v>127</v>
      </c>
      <c r="EV15" s="863"/>
      <c r="EW15" s="863"/>
      <c r="EX15" s="863"/>
      <c r="EY15" s="863"/>
      <c r="EZ15" s="459"/>
      <c r="FA15" s="864">
        <f t="shared" si="48"/>
        <v>1894</v>
      </c>
      <c r="FC15" s="939">
        <f t="shared" si="49"/>
        <v>618.18181818181813</v>
      </c>
      <c r="FD15" s="939">
        <f t="shared" si="50"/>
        <v>3009.090909090909</v>
      </c>
      <c r="FE15" s="453">
        <f t="shared" si="51"/>
        <v>33</v>
      </c>
      <c r="FF15" s="453">
        <f t="shared" si="52"/>
        <v>1026</v>
      </c>
      <c r="FH15" s="939">
        <f t="shared" ref="FH15:FH30" si="66">IFERROR((
_xlfn.XLOOKUP((DATE(YEAR($FC$5),MONTH($FC$5),1)),UCA.X.DATE,$B15:$FA15) /
_xlfn.XLOOKUP((DATE(YEAR($FC$5)-1,MONTH($FC$5),1)),UCA.X.DATE,$B15:$FA15)),"")</f>
        <v>7.1818181818181817</v>
      </c>
      <c r="FI15" s="458">
        <f t="shared" ref="FI15:FI30" si="67">IFERROR((
_xlfn.XLOOKUP((DATE(YEAR($FC$5),MONTH($FC$5),1)),UCA.X.DATE,$B15:$FA15) -
_xlfn.XLOOKUP((DATE(YEAR($FC$5)-1,MONTH($FC$5),1)),UCA.X.DATE,$B15:$FA15)),"")</f>
        <v>204</v>
      </c>
      <c r="FJ15" s="459">
        <f t="shared" ref="FJ15:FJ30" si="68">FF15-FE15</f>
        <v>993</v>
      </c>
    </row>
    <row r="16" spans="1:167" ht="15" customHeight="1" x14ac:dyDescent="0.25">
      <c r="A16" s="465" t="s">
        <v>576</v>
      </c>
      <c r="B16" s="862"/>
      <c r="C16" s="863"/>
      <c r="D16" s="863"/>
      <c r="E16" s="863"/>
      <c r="F16" s="863"/>
      <c r="G16" s="863"/>
      <c r="H16" s="863"/>
      <c r="I16" s="863"/>
      <c r="J16" s="863"/>
      <c r="K16" s="863"/>
      <c r="L16" s="863"/>
      <c r="M16" s="459"/>
      <c r="N16" s="864">
        <f>SUM(B16:M16)</f>
        <v>0</v>
      </c>
      <c r="O16" s="862"/>
      <c r="P16" s="863"/>
      <c r="Q16" s="863"/>
      <c r="R16" s="863"/>
      <c r="S16" s="863"/>
      <c r="T16" s="863"/>
      <c r="U16" s="863"/>
      <c r="V16" s="863"/>
      <c r="W16" s="863"/>
      <c r="X16" s="863"/>
      <c r="Y16" s="863">
        <v>41</v>
      </c>
      <c r="Z16" s="459">
        <v>29</v>
      </c>
      <c r="AA16" s="864">
        <f>SUM(O16:Z16)</f>
        <v>70</v>
      </c>
      <c r="AB16" s="862"/>
      <c r="AC16" s="863"/>
      <c r="AD16" s="863"/>
      <c r="AE16" s="863"/>
      <c r="AF16" s="863"/>
      <c r="AG16" s="863"/>
      <c r="AH16" s="863"/>
      <c r="AI16" s="863"/>
      <c r="AJ16" s="863"/>
      <c r="AK16" s="863"/>
      <c r="AL16" s="863"/>
      <c r="AM16" s="459"/>
      <c r="AN16" s="864">
        <f>SUM(AB16:AM16)</f>
        <v>0</v>
      </c>
      <c r="AO16" s="862"/>
      <c r="AP16" s="863"/>
      <c r="AQ16" s="863"/>
      <c r="AR16" s="863"/>
      <c r="AS16" s="863"/>
      <c r="AT16" s="863"/>
      <c r="AU16" s="863"/>
      <c r="AV16" s="863"/>
      <c r="AW16" s="863"/>
      <c r="AX16" s="863"/>
      <c r="AY16" s="863"/>
      <c r="AZ16" s="459"/>
      <c r="BA16" s="864">
        <f>SUM(AO16:AZ16)</f>
        <v>0</v>
      </c>
      <c r="BB16" s="862"/>
      <c r="BC16" s="863"/>
      <c r="BD16" s="863"/>
      <c r="BE16" s="863"/>
      <c r="BF16" s="863"/>
      <c r="BG16" s="863"/>
      <c r="BH16" s="863"/>
      <c r="BI16" s="863"/>
      <c r="BJ16" s="863"/>
      <c r="BK16" s="863"/>
      <c r="BL16" s="863"/>
      <c r="BM16" s="459"/>
      <c r="BN16" s="864">
        <f>SUM(BB16:BM16)</f>
        <v>0</v>
      </c>
      <c r="BO16" s="862"/>
      <c r="BP16" s="863"/>
      <c r="BQ16" s="863"/>
      <c r="BR16" s="863"/>
      <c r="BS16" s="863"/>
      <c r="BT16" s="863"/>
      <c r="BU16" s="863"/>
      <c r="BV16" s="863"/>
      <c r="BW16" s="863"/>
      <c r="BX16" s="863"/>
      <c r="BY16" s="863"/>
      <c r="BZ16" s="459"/>
      <c r="CA16" s="864">
        <f>SUM(BO16:BZ16)</f>
        <v>0</v>
      </c>
      <c r="CB16" s="862"/>
      <c r="CC16" s="863"/>
      <c r="CD16" s="863"/>
      <c r="CE16" s="863"/>
      <c r="CF16" s="863"/>
      <c r="CG16" s="863"/>
      <c r="CH16" s="863"/>
      <c r="CI16" s="863"/>
      <c r="CJ16" s="863"/>
      <c r="CK16" s="863"/>
      <c r="CL16" s="863"/>
      <c r="CM16" s="459"/>
      <c r="CN16" s="864">
        <f>SUM(CB16:CM16)</f>
        <v>0</v>
      </c>
      <c r="CO16" s="862"/>
      <c r="CP16" s="863"/>
      <c r="CQ16" s="863"/>
      <c r="CR16" s="863"/>
      <c r="CS16" s="863"/>
      <c r="CT16" s="863"/>
      <c r="CU16" s="863"/>
      <c r="CV16" s="863"/>
      <c r="CW16" s="863"/>
      <c r="CX16" s="863"/>
      <c r="CY16" s="863"/>
      <c r="CZ16" s="459"/>
      <c r="DA16" s="864">
        <f>SUM(CO16:CZ16)</f>
        <v>0</v>
      </c>
      <c r="DB16" s="862"/>
      <c r="DC16" s="863"/>
      <c r="DD16" s="863"/>
      <c r="DE16" s="863"/>
      <c r="DF16" s="863"/>
      <c r="DG16" s="863"/>
      <c r="DH16" s="863"/>
      <c r="DI16" s="863"/>
      <c r="DJ16" s="863"/>
      <c r="DK16" s="863"/>
      <c r="DL16" s="863"/>
      <c r="DM16" s="459"/>
      <c r="DN16" s="864">
        <f>SUM(DB16:DM16)</f>
        <v>0</v>
      </c>
      <c r="DO16" s="862"/>
      <c r="DP16" s="863"/>
      <c r="DQ16" s="863"/>
      <c r="DR16" s="863"/>
      <c r="DS16" s="863">
        <v>2</v>
      </c>
      <c r="DT16" s="863"/>
      <c r="DU16" s="863"/>
      <c r="DV16" s="863"/>
      <c r="DW16" s="863"/>
      <c r="DX16" s="863"/>
      <c r="DY16" s="863"/>
      <c r="DZ16" s="459"/>
      <c r="EA16" s="864">
        <f t="shared" si="43"/>
        <v>2</v>
      </c>
      <c r="EB16" s="862">
        <v>4</v>
      </c>
      <c r="EC16" s="863"/>
      <c r="ED16" s="863">
        <v>13</v>
      </c>
      <c r="EE16" s="863"/>
      <c r="EF16" s="863">
        <v>5</v>
      </c>
      <c r="EG16" s="863"/>
      <c r="EH16" s="863"/>
      <c r="EI16" s="863"/>
      <c r="EJ16" s="863"/>
      <c r="EK16" s="863"/>
      <c r="EL16" s="863"/>
      <c r="EM16" s="456">
        <v>106</v>
      </c>
      <c r="EN16" s="864">
        <f t="shared" si="45"/>
        <v>128</v>
      </c>
      <c r="EO16" s="457"/>
      <c r="EQ16" s="863"/>
      <c r="ER16" s="863"/>
      <c r="ES16" s="863"/>
      <c r="ET16" s="863"/>
      <c r="EU16" s="863"/>
      <c r="EV16" s="863"/>
      <c r="EW16" s="863"/>
      <c r="EX16" s="863"/>
      <c r="EY16" s="863"/>
      <c r="EZ16" s="459"/>
      <c r="FA16" s="864">
        <f t="shared" si="48"/>
        <v>0</v>
      </c>
      <c r="FC16" s="939">
        <f t="shared" si="49"/>
        <v>-100</v>
      </c>
      <c r="FD16" s="939">
        <f t="shared" si="50"/>
        <v>-100</v>
      </c>
      <c r="FE16" s="453">
        <f t="shared" si="51"/>
        <v>17</v>
      </c>
      <c r="FF16" s="453">
        <f t="shared" si="52"/>
        <v>0</v>
      </c>
      <c r="FH16" s="939">
        <f t="shared" si="66"/>
        <v>0</v>
      </c>
      <c r="FI16" s="458">
        <f t="shared" si="67"/>
        <v>-13</v>
      </c>
      <c r="FJ16" s="459">
        <f t="shared" si="68"/>
        <v>-17</v>
      </c>
    </row>
    <row r="17" spans="1:166" ht="15" customHeight="1" x14ac:dyDescent="0.25">
      <c r="A17" s="465" t="s">
        <v>216</v>
      </c>
      <c r="B17" s="862">
        <v>278</v>
      </c>
      <c r="C17" s="863">
        <v>552</v>
      </c>
      <c r="D17" s="863">
        <v>1121</v>
      </c>
      <c r="E17" s="863">
        <v>601</v>
      </c>
      <c r="F17" s="863">
        <v>1490</v>
      </c>
      <c r="G17" s="863">
        <v>1145</v>
      </c>
      <c r="H17" s="863">
        <v>805</v>
      </c>
      <c r="I17" s="863">
        <v>924</v>
      </c>
      <c r="J17" s="863">
        <v>1259</v>
      </c>
      <c r="K17" s="863">
        <v>638</v>
      </c>
      <c r="L17" s="863">
        <v>666</v>
      </c>
      <c r="M17" s="459">
        <v>384</v>
      </c>
      <c r="N17" s="864">
        <f>SUM(B17:M17)</f>
        <v>9863</v>
      </c>
      <c r="O17" s="862">
        <v>515</v>
      </c>
      <c r="P17" s="863">
        <v>661</v>
      </c>
      <c r="Q17" s="863">
        <v>1002</v>
      </c>
      <c r="R17" s="863">
        <v>651</v>
      </c>
      <c r="S17" s="863">
        <v>310</v>
      </c>
      <c r="T17" s="863">
        <v>458</v>
      </c>
      <c r="U17" s="863">
        <v>211</v>
      </c>
      <c r="V17" s="863">
        <v>271</v>
      </c>
      <c r="W17" s="863">
        <v>354</v>
      </c>
      <c r="X17" s="863">
        <v>161</v>
      </c>
      <c r="Y17" s="863">
        <v>242</v>
      </c>
      <c r="Z17" s="459">
        <v>702</v>
      </c>
      <c r="AA17" s="864">
        <f>SUM(O17:Z17)</f>
        <v>5538</v>
      </c>
      <c r="AB17" s="862">
        <v>466</v>
      </c>
      <c r="AC17" s="863">
        <v>473</v>
      </c>
      <c r="AD17" s="863">
        <v>942</v>
      </c>
      <c r="AE17" s="863">
        <v>1521</v>
      </c>
      <c r="AF17" s="863">
        <v>1213</v>
      </c>
      <c r="AG17" s="863">
        <v>1157</v>
      </c>
      <c r="AH17" s="863">
        <v>948</v>
      </c>
      <c r="AI17" s="863">
        <v>1060</v>
      </c>
      <c r="AJ17" s="863">
        <v>2042</v>
      </c>
      <c r="AK17" s="863">
        <v>362</v>
      </c>
      <c r="AL17" s="863">
        <v>981</v>
      </c>
      <c r="AM17" s="459">
        <v>912</v>
      </c>
      <c r="AN17" s="864">
        <f>SUM(AB17:AM17)</f>
        <v>12077</v>
      </c>
      <c r="AO17" s="862">
        <v>372</v>
      </c>
      <c r="AP17" s="863">
        <v>645</v>
      </c>
      <c r="AQ17" s="863">
        <v>807</v>
      </c>
      <c r="AR17" s="863">
        <v>553</v>
      </c>
      <c r="AS17" s="863">
        <v>764</v>
      </c>
      <c r="AT17" s="863">
        <v>832</v>
      </c>
      <c r="AU17" s="863">
        <v>581</v>
      </c>
      <c r="AV17" s="863">
        <v>953</v>
      </c>
      <c r="AW17" s="863">
        <v>823</v>
      </c>
      <c r="AX17" s="863">
        <v>873</v>
      </c>
      <c r="AY17" s="863">
        <v>871</v>
      </c>
      <c r="AZ17" s="459">
        <v>605</v>
      </c>
      <c r="BA17" s="864">
        <f>SUM(AO17:AZ17)</f>
        <v>8679</v>
      </c>
      <c r="BB17" s="862">
        <v>706</v>
      </c>
      <c r="BC17" s="863">
        <v>634</v>
      </c>
      <c r="BD17" s="863">
        <v>414</v>
      </c>
      <c r="BE17" s="863">
        <v>401</v>
      </c>
      <c r="BF17" s="863">
        <v>238</v>
      </c>
      <c r="BG17" s="863">
        <v>509</v>
      </c>
      <c r="BH17" s="863">
        <v>687</v>
      </c>
      <c r="BI17" s="863">
        <v>361</v>
      </c>
      <c r="BJ17" s="863">
        <v>567</v>
      </c>
      <c r="BK17" s="863">
        <v>459</v>
      </c>
      <c r="BL17" s="863">
        <v>320</v>
      </c>
      <c r="BM17" s="459">
        <v>63</v>
      </c>
      <c r="BN17" s="864">
        <f>SUM(BB17:BM17)</f>
        <v>5359</v>
      </c>
      <c r="BO17" s="862">
        <v>36</v>
      </c>
      <c r="BP17" s="863"/>
      <c r="BQ17" s="863">
        <f>53+71</f>
        <v>124</v>
      </c>
      <c r="BR17" s="863">
        <v>135</v>
      </c>
      <c r="BS17" s="863">
        <f>44+109</f>
        <v>153</v>
      </c>
      <c r="BT17" s="863">
        <v>1067</v>
      </c>
      <c r="BU17" s="863">
        <v>692</v>
      </c>
      <c r="BV17" s="863">
        <f>604+42+158+7</f>
        <v>811</v>
      </c>
      <c r="BW17" s="863">
        <v>1200</v>
      </c>
      <c r="BX17" s="863">
        <v>980</v>
      </c>
      <c r="BY17" s="863">
        <v>897</v>
      </c>
      <c r="BZ17" s="459">
        <v>826</v>
      </c>
      <c r="CA17" s="864">
        <f>SUM(BO17:BZ17)</f>
        <v>6921</v>
      </c>
      <c r="CB17" s="862">
        <v>476</v>
      </c>
      <c r="CC17" s="863">
        <v>864</v>
      </c>
      <c r="CD17" s="863">
        <v>1177</v>
      </c>
      <c r="CE17" s="863">
        <f>600+83</f>
        <v>683</v>
      </c>
      <c r="CF17" s="863">
        <v>546</v>
      </c>
      <c r="CG17" s="863">
        <v>449</v>
      </c>
      <c r="CH17" s="863">
        <v>1078</v>
      </c>
      <c r="CI17" s="863">
        <v>1130</v>
      </c>
      <c r="CJ17" s="863">
        <v>1115</v>
      </c>
      <c r="CK17" s="863">
        <v>1304</v>
      </c>
      <c r="CL17" s="863">
        <v>690</v>
      </c>
      <c r="CM17" s="459">
        <v>654</v>
      </c>
      <c r="CN17" s="864">
        <f>SUM(CB17:CM17)</f>
        <v>10166</v>
      </c>
      <c r="CO17" s="862">
        <v>975</v>
      </c>
      <c r="CP17" s="863">
        <v>606</v>
      </c>
      <c r="CQ17" s="863">
        <v>633</v>
      </c>
      <c r="CR17" s="863">
        <v>271</v>
      </c>
      <c r="CS17" s="863">
        <v>443</v>
      </c>
      <c r="CT17" s="863">
        <v>283</v>
      </c>
      <c r="CU17" s="863">
        <v>72</v>
      </c>
      <c r="CV17" s="863">
        <v>68</v>
      </c>
      <c r="CW17" s="863">
        <v>107</v>
      </c>
      <c r="CX17" s="863">
        <v>91</v>
      </c>
      <c r="CY17" s="863">
        <v>108</v>
      </c>
      <c r="CZ17" s="459">
        <v>156</v>
      </c>
      <c r="DA17" s="864">
        <f>SUM(CO17:CZ17)</f>
        <v>3813</v>
      </c>
      <c r="DB17" s="862">
        <v>409</v>
      </c>
      <c r="DC17" s="863">
        <v>52</v>
      </c>
      <c r="DD17" s="863">
        <v>512</v>
      </c>
      <c r="DE17" s="863">
        <v>413</v>
      </c>
      <c r="DF17" s="863">
        <v>321</v>
      </c>
      <c r="DG17" s="863">
        <v>21</v>
      </c>
      <c r="DH17" s="863">
        <v>198</v>
      </c>
      <c r="DI17" s="863">
        <v>77</v>
      </c>
      <c r="DJ17" s="863">
        <v>7</v>
      </c>
      <c r="DK17" s="863">
        <v>158</v>
      </c>
      <c r="DL17" s="863">
        <v>68</v>
      </c>
      <c r="DM17" s="459">
        <v>354</v>
      </c>
      <c r="DN17" s="864">
        <f>SUM(DB17:DM17)</f>
        <v>2590</v>
      </c>
      <c r="DO17" s="862">
        <v>241</v>
      </c>
      <c r="DP17" s="863">
        <v>250</v>
      </c>
      <c r="DQ17" s="863">
        <v>350</v>
      </c>
      <c r="DR17" s="863">
        <v>250</v>
      </c>
      <c r="DS17" s="863">
        <v>30</v>
      </c>
      <c r="DT17" s="863">
        <v>159</v>
      </c>
      <c r="DU17" s="863">
        <v>230</v>
      </c>
      <c r="DV17" s="863">
        <v>133</v>
      </c>
      <c r="DW17" s="863">
        <v>190</v>
      </c>
      <c r="DX17" s="863">
        <v>223</v>
      </c>
      <c r="DY17" s="863">
        <v>665</v>
      </c>
      <c r="DZ17" s="459"/>
      <c r="EA17" s="864">
        <f t="shared" si="43"/>
        <v>2721</v>
      </c>
      <c r="EB17" s="862">
        <v>33</v>
      </c>
      <c r="EC17" s="863"/>
      <c r="ED17" s="863"/>
      <c r="EE17" s="863">
        <v>215</v>
      </c>
      <c r="EF17" s="863">
        <v>136</v>
      </c>
      <c r="EG17" s="863">
        <v>295</v>
      </c>
      <c r="EH17" s="863"/>
      <c r="EI17" s="863">
        <v>132</v>
      </c>
      <c r="EJ17" s="863"/>
      <c r="EK17" s="863">
        <v>39</v>
      </c>
      <c r="EL17" s="863"/>
      <c r="EM17" s="456"/>
      <c r="EN17" s="864">
        <f t="shared" si="45"/>
        <v>850</v>
      </c>
      <c r="EO17" s="457">
        <v>31</v>
      </c>
      <c r="EP17" s="451">
        <v>26</v>
      </c>
      <c r="EQ17" s="863"/>
      <c r="ER17" s="863"/>
      <c r="ES17" s="863"/>
      <c r="ET17" s="863">
        <v>28</v>
      </c>
      <c r="EU17" s="863"/>
      <c r="EV17" s="863"/>
      <c r="EW17" s="863"/>
      <c r="EX17" s="863"/>
      <c r="EY17" s="863"/>
      <c r="EZ17" s="459"/>
      <c r="FA17" s="864">
        <f t="shared" si="48"/>
        <v>85</v>
      </c>
      <c r="FC17" s="939" t="str">
        <f t="shared" si="49"/>
        <v/>
      </c>
      <c r="FD17" s="939">
        <f t="shared" si="50"/>
        <v>72.727272727272734</v>
      </c>
      <c r="FE17" s="453">
        <f t="shared" si="51"/>
        <v>33</v>
      </c>
      <c r="FF17" s="453">
        <f t="shared" si="52"/>
        <v>57</v>
      </c>
      <c r="FH17" s="939" t="str">
        <f t="shared" si="66"/>
        <v/>
      </c>
      <c r="FI17" s="458">
        <f t="shared" si="67"/>
        <v>0</v>
      </c>
      <c r="FJ17" s="459">
        <f t="shared" si="68"/>
        <v>24</v>
      </c>
    </row>
    <row r="18" spans="1:166" ht="15" customHeight="1" x14ac:dyDescent="0.25">
      <c r="A18" s="465" t="s">
        <v>159</v>
      </c>
      <c r="B18" s="862">
        <v>433</v>
      </c>
      <c r="C18" s="863">
        <v>393</v>
      </c>
      <c r="D18" s="863">
        <v>680</v>
      </c>
      <c r="E18" s="863">
        <v>624</v>
      </c>
      <c r="F18" s="863">
        <v>805</v>
      </c>
      <c r="G18" s="863">
        <v>807</v>
      </c>
      <c r="H18" s="863">
        <v>398</v>
      </c>
      <c r="I18" s="863">
        <v>571</v>
      </c>
      <c r="J18" s="863">
        <v>653</v>
      </c>
      <c r="K18" s="863">
        <v>300</v>
      </c>
      <c r="L18" s="863">
        <v>384</v>
      </c>
      <c r="M18" s="459">
        <v>162</v>
      </c>
      <c r="N18" s="864">
        <f>SUM(B18:M18)</f>
        <v>6210</v>
      </c>
      <c r="O18" s="862">
        <v>325</v>
      </c>
      <c r="P18" s="863">
        <v>428</v>
      </c>
      <c r="Q18" s="863">
        <v>415</v>
      </c>
      <c r="R18" s="863">
        <v>314</v>
      </c>
      <c r="S18" s="863">
        <v>311</v>
      </c>
      <c r="T18" s="863">
        <v>423</v>
      </c>
      <c r="U18" s="863">
        <v>353</v>
      </c>
      <c r="V18" s="863">
        <v>231</v>
      </c>
      <c r="W18" s="863">
        <f>192+23</f>
        <v>215</v>
      </c>
      <c r="X18" s="863">
        <v>563</v>
      </c>
      <c r="Y18" s="863">
        <v>204</v>
      </c>
      <c r="Z18" s="459">
        <v>324</v>
      </c>
      <c r="AA18" s="864">
        <f>SUM(O18:Z18)</f>
        <v>4106</v>
      </c>
      <c r="AB18" s="862">
        <v>59</v>
      </c>
      <c r="AC18" s="863">
        <v>45</v>
      </c>
      <c r="AD18" s="863"/>
      <c r="AE18" s="863"/>
      <c r="AF18" s="863">
        <v>28</v>
      </c>
      <c r="AG18" s="863">
        <v>28</v>
      </c>
      <c r="AH18" s="863">
        <v>28</v>
      </c>
      <c r="AI18" s="863"/>
      <c r="AJ18" s="863"/>
      <c r="AK18" s="863"/>
      <c r="AL18" s="863"/>
      <c r="AM18" s="459"/>
      <c r="AN18" s="864">
        <f>SUM(AB18:AM18)</f>
        <v>188</v>
      </c>
      <c r="AO18" s="862">
        <v>29</v>
      </c>
      <c r="AP18" s="863"/>
      <c r="AQ18" s="863">
        <v>29</v>
      </c>
      <c r="AR18" s="863"/>
      <c r="AS18" s="863">
        <v>29</v>
      </c>
      <c r="AT18" s="863"/>
      <c r="AU18" s="863"/>
      <c r="AV18" s="863">
        <v>1</v>
      </c>
      <c r="AW18" s="863"/>
      <c r="AX18" s="863">
        <v>30</v>
      </c>
      <c r="AY18" s="863"/>
      <c r="AZ18" s="459">
        <v>30</v>
      </c>
      <c r="BA18" s="864">
        <f>SUM(AO18:AZ18)</f>
        <v>148</v>
      </c>
      <c r="BB18" s="862"/>
      <c r="BC18" s="863"/>
      <c r="BD18" s="863"/>
      <c r="BE18" s="863"/>
      <c r="BF18" s="863"/>
      <c r="BG18" s="863"/>
      <c r="BH18" s="863">
        <v>30</v>
      </c>
      <c r="BI18" s="863"/>
      <c r="BJ18" s="863">
        <v>30</v>
      </c>
      <c r="BK18" s="863">
        <v>30</v>
      </c>
      <c r="BL18" s="863"/>
      <c r="BM18" s="459"/>
      <c r="BN18" s="864">
        <f>SUM(BB18:BM18)</f>
        <v>90</v>
      </c>
      <c r="BO18" s="862">
        <v>30</v>
      </c>
      <c r="BP18" s="863"/>
      <c r="BQ18" s="863">
        <v>31</v>
      </c>
      <c r="BR18" s="863"/>
      <c r="BS18" s="863"/>
      <c r="BT18" s="863"/>
      <c r="BU18" s="863"/>
      <c r="BV18" s="863"/>
      <c r="BW18" s="863"/>
      <c r="BX18" s="863"/>
      <c r="BY18" s="863"/>
      <c r="BZ18" s="459"/>
      <c r="CA18" s="864">
        <f>SUM(BO18:BZ18)</f>
        <v>61</v>
      </c>
      <c r="CB18" s="862"/>
      <c r="CC18" s="863"/>
      <c r="CD18" s="863"/>
      <c r="CE18" s="863">
        <v>32</v>
      </c>
      <c r="CF18" s="863"/>
      <c r="CG18" s="863"/>
      <c r="CH18" s="863"/>
      <c r="CI18" s="863"/>
      <c r="CJ18" s="863"/>
      <c r="CK18" s="863">
        <v>31</v>
      </c>
      <c r="CL18" s="863"/>
      <c r="CM18" s="459"/>
      <c r="CN18" s="864">
        <f>SUM(CB18:CM18)</f>
        <v>63</v>
      </c>
      <c r="CO18" s="862"/>
      <c r="CP18" s="863"/>
      <c r="CQ18" s="863"/>
      <c r="CR18" s="863"/>
      <c r="CS18" s="863"/>
      <c r="CT18" s="863"/>
      <c r="CU18" s="863"/>
      <c r="CV18" s="863"/>
      <c r="CW18" s="863"/>
      <c r="CX18" s="863"/>
      <c r="CY18" s="863"/>
      <c r="CZ18" s="459"/>
      <c r="DA18" s="864">
        <f>SUM(CO18:CZ18)</f>
        <v>0</v>
      </c>
      <c r="DB18" s="862"/>
      <c r="DC18" s="863"/>
      <c r="DD18" s="863"/>
      <c r="DE18" s="863"/>
      <c r="DF18" s="863"/>
      <c r="DG18" s="863"/>
      <c r="DH18" s="863"/>
      <c r="DI18" s="863"/>
      <c r="DJ18" s="863"/>
      <c r="DK18" s="863"/>
      <c r="DL18" s="863"/>
      <c r="DM18" s="459"/>
      <c r="DN18" s="864">
        <f>SUM(DB18:DM18)</f>
        <v>0</v>
      </c>
      <c r="DO18" s="862"/>
      <c r="DP18" s="863"/>
      <c r="DQ18" s="863"/>
      <c r="DR18" s="863"/>
      <c r="DS18" s="863"/>
      <c r="DT18" s="863"/>
      <c r="DU18" s="863"/>
      <c r="DV18" s="863"/>
      <c r="DW18" s="863"/>
      <c r="DX18" s="863"/>
      <c r="DY18" s="863"/>
      <c r="DZ18" s="459"/>
      <c r="EA18" s="864">
        <f t="shared" si="43"/>
        <v>0</v>
      </c>
      <c r="EB18" s="862">
        <v>19</v>
      </c>
      <c r="EC18" s="863"/>
      <c r="ED18" s="863"/>
      <c r="EE18" s="863"/>
      <c r="EF18" s="863"/>
      <c r="EG18" s="863"/>
      <c r="EH18" s="863"/>
      <c r="EI18" s="863"/>
      <c r="EJ18" s="863"/>
      <c r="EK18" s="863"/>
      <c r="EL18" s="863"/>
      <c r="EM18" s="456"/>
      <c r="EN18" s="864">
        <f t="shared" si="45"/>
        <v>19</v>
      </c>
      <c r="EO18" s="457"/>
      <c r="EQ18" s="863"/>
      <c r="ER18" s="863">
        <v>35</v>
      </c>
      <c r="ES18" s="863"/>
      <c r="ET18" s="863">
        <v>100</v>
      </c>
      <c r="EU18" s="863"/>
      <c r="EV18" s="863"/>
      <c r="EW18" s="863"/>
      <c r="EX18" s="863"/>
      <c r="EY18" s="863"/>
      <c r="EZ18" s="459"/>
      <c r="FA18" s="864">
        <f t="shared" si="48"/>
        <v>135</v>
      </c>
      <c r="FC18" s="939" t="str">
        <f t="shared" si="49"/>
        <v/>
      </c>
      <c r="FD18" s="939">
        <f t="shared" si="50"/>
        <v>-100</v>
      </c>
      <c r="FE18" s="453">
        <f t="shared" si="51"/>
        <v>19</v>
      </c>
      <c r="FF18" s="453">
        <f t="shared" si="52"/>
        <v>0</v>
      </c>
      <c r="FH18" s="939" t="str">
        <f t="shared" si="66"/>
        <v/>
      </c>
      <c r="FI18" s="458">
        <f t="shared" si="67"/>
        <v>0</v>
      </c>
      <c r="FJ18" s="459">
        <f t="shared" si="68"/>
        <v>-19</v>
      </c>
    </row>
    <row r="19" spans="1:166" ht="15" customHeight="1" x14ac:dyDescent="0.25">
      <c r="A19" s="465" t="s">
        <v>160</v>
      </c>
      <c r="B19" s="862">
        <v>396</v>
      </c>
      <c r="C19" s="863">
        <v>890</v>
      </c>
      <c r="D19" s="863">
        <v>599</v>
      </c>
      <c r="E19" s="863">
        <v>503</v>
      </c>
      <c r="F19" s="863">
        <v>324</v>
      </c>
      <c r="G19" s="863">
        <v>415</v>
      </c>
      <c r="H19" s="863">
        <v>344</v>
      </c>
      <c r="I19" s="863">
        <v>122</v>
      </c>
      <c r="J19" s="863">
        <v>67</v>
      </c>
      <c r="K19" s="863"/>
      <c r="L19" s="863">
        <v>26</v>
      </c>
      <c r="M19" s="459">
        <v>54</v>
      </c>
      <c r="N19" s="864">
        <f t="shared" si="25"/>
        <v>3740</v>
      </c>
      <c r="O19" s="862">
        <v>88</v>
      </c>
      <c r="P19" s="863">
        <v>218</v>
      </c>
      <c r="Q19" s="863">
        <v>198</v>
      </c>
      <c r="R19" s="863">
        <v>567</v>
      </c>
      <c r="S19" s="863">
        <v>367</v>
      </c>
      <c r="T19" s="863">
        <v>668</v>
      </c>
      <c r="U19" s="863">
        <v>594</v>
      </c>
      <c r="V19" s="863">
        <v>422</v>
      </c>
      <c r="W19" s="863">
        <v>895</v>
      </c>
      <c r="X19" s="863">
        <v>484</v>
      </c>
      <c r="Y19" s="863">
        <v>815</v>
      </c>
      <c r="Z19" s="459">
        <v>901.5</v>
      </c>
      <c r="AA19" s="864">
        <f t="shared" si="27"/>
        <v>6217.5</v>
      </c>
      <c r="AB19" s="862">
        <v>269</v>
      </c>
      <c r="AC19" s="863">
        <v>496</v>
      </c>
      <c r="AD19" s="863">
        <v>785</v>
      </c>
      <c r="AE19" s="863">
        <v>449</v>
      </c>
      <c r="AF19" s="863">
        <v>711</v>
      </c>
      <c r="AG19" s="863">
        <v>241</v>
      </c>
      <c r="AH19" s="863">
        <v>39</v>
      </c>
      <c r="AI19" s="863">
        <v>86</v>
      </c>
      <c r="AJ19" s="863">
        <v>63</v>
      </c>
      <c r="AK19" s="863"/>
      <c r="AL19" s="863">
        <v>19</v>
      </c>
      <c r="AM19" s="459">
        <v>92</v>
      </c>
      <c r="AN19" s="864">
        <f t="shared" si="29"/>
        <v>3250</v>
      </c>
      <c r="AO19" s="862"/>
      <c r="AP19" s="863">
        <v>39</v>
      </c>
      <c r="AQ19" s="863"/>
      <c r="AR19" s="863">
        <v>24</v>
      </c>
      <c r="AS19" s="863">
        <v>25</v>
      </c>
      <c r="AT19" s="863">
        <v>114</v>
      </c>
      <c r="AU19" s="863">
        <v>22</v>
      </c>
      <c r="AV19" s="863">
        <v>154</v>
      </c>
      <c r="AW19" s="863">
        <v>132</v>
      </c>
      <c r="AX19" s="863"/>
      <c r="AY19" s="863">
        <v>93</v>
      </c>
      <c r="AZ19" s="459">
        <v>64</v>
      </c>
      <c r="BA19" s="864">
        <f t="shared" si="31"/>
        <v>667</v>
      </c>
      <c r="BB19" s="862">
        <v>84</v>
      </c>
      <c r="BC19" s="863">
        <v>89</v>
      </c>
      <c r="BD19" s="863">
        <v>131</v>
      </c>
      <c r="BE19" s="863">
        <v>506</v>
      </c>
      <c r="BF19" s="863">
        <v>127</v>
      </c>
      <c r="BG19" s="863">
        <v>1076</v>
      </c>
      <c r="BH19" s="863">
        <v>459</v>
      </c>
      <c r="BI19" s="863">
        <v>469</v>
      </c>
      <c r="BJ19" s="863">
        <v>492</v>
      </c>
      <c r="BK19" s="863">
        <v>446</v>
      </c>
      <c r="BL19" s="863">
        <v>340</v>
      </c>
      <c r="BM19" s="459">
        <v>127</v>
      </c>
      <c r="BN19" s="864">
        <f t="shared" si="33"/>
        <v>4346</v>
      </c>
      <c r="BO19" s="862">
        <v>382</v>
      </c>
      <c r="BP19" s="863">
        <f>120+545</f>
        <v>665</v>
      </c>
      <c r="BQ19" s="863">
        <f>209+361+193+44</f>
        <v>807</v>
      </c>
      <c r="BR19" s="863">
        <v>236</v>
      </c>
      <c r="BS19" s="863">
        <f>11+5+10+16+11+3+37</f>
        <v>93</v>
      </c>
      <c r="BT19" s="863">
        <v>570</v>
      </c>
      <c r="BU19" s="863">
        <v>270</v>
      </c>
      <c r="BV19" s="863">
        <f>36+106+176+359</f>
        <v>677</v>
      </c>
      <c r="BW19" s="863">
        <v>366</v>
      </c>
      <c r="BX19" s="863">
        <v>109</v>
      </c>
      <c r="BY19" s="863">
        <v>372</v>
      </c>
      <c r="BZ19" s="459">
        <v>499</v>
      </c>
      <c r="CA19" s="864">
        <f t="shared" si="35"/>
        <v>5046</v>
      </c>
      <c r="CB19" s="862">
        <v>447</v>
      </c>
      <c r="CC19" s="863">
        <f>386+533</f>
        <v>919</v>
      </c>
      <c r="CD19" s="863">
        <v>660</v>
      </c>
      <c r="CE19" s="863">
        <f>1385+21+5+51</f>
        <v>1462</v>
      </c>
      <c r="CF19" s="863">
        <v>1092</v>
      </c>
      <c r="CG19" s="863">
        <v>1114</v>
      </c>
      <c r="CH19" s="863">
        <v>1771</v>
      </c>
      <c r="CI19" s="863">
        <v>732</v>
      </c>
      <c r="CJ19" s="863">
        <v>281</v>
      </c>
      <c r="CK19" s="863">
        <v>1033</v>
      </c>
      <c r="CL19" s="863">
        <v>607</v>
      </c>
      <c r="CM19" s="459">
        <v>1241</v>
      </c>
      <c r="CN19" s="864">
        <f t="shared" si="37"/>
        <v>11359</v>
      </c>
      <c r="CO19" s="862">
        <v>736</v>
      </c>
      <c r="CP19" s="863">
        <v>1895</v>
      </c>
      <c r="CQ19" s="863">
        <v>1452</v>
      </c>
      <c r="CR19" s="863">
        <v>1046</v>
      </c>
      <c r="CS19" s="863">
        <v>942</v>
      </c>
      <c r="CT19" s="863">
        <v>1752</v>
      </c>
      <c r="CU19" s="863">
        <v>1240</v>
      </c>
      <c r="CV19" s="863">
        <v>1147</v>
      </c>
      <c r="CW19" s="863">
        <v>633</v>
      </c>
      <c r="CX19" s="863">
        <v>285</v>
      </c>
      <c r="CY19" s="863">
        <v>316</v>
      </c>
      <c r="CZ19" s="459">
        <v>568</v>
      </c>
      <c r="DA19" s="864">
        <f t="shared" si="39"/>
        <v>12012</v>
      </c>
      <c r="DB19" s="862">
        <v>532</v>
      </c>
      <c r="DC19" s="863">
        <v>986</v>
      </c>
      <c r="DD19" s="863">
        <v>1275</v>
      </c>
      <c r="DE19" s="863">
        <v>1316</v>
      </c>
      <c r="DF19" s="863">
        <v>867</v>
      </c>
      <c r="DG19" s="863">
        <v>500</v>
      </c>
      <c r="DH19" s="863">
        <v>384</v>
      </c>
      <c r="DI19" s="863">
        <v>669</v>
      </c>
      <c r="DJ19" s="863">
        <v>122</v>
      </c>
      <c r="DK19" s="863">
        <v>230</v>
      </c>
      <c r="DL19" s="863">
        <v>298</v>
      </c>
      <c r="DM19" s="459">
        <v>548</v>
      </c>
      <c r="DN19" s="864">
        <f t="shared" si="41"/>
        <v>7727</v>
      </c>
      <c r="DO19" s="862"/>
      <c r="DP19" s="863"/>
      <c r="DQ19" s="863"/>
      <c r="DR19" s="863"/>
      <c r="DS19" s="863"/>
      <c r="DT19" s="863"/>
      <c r="DU19" s="863"/>
      <c r="DV19" s="863"/>
      <c r="DW19" s="863"/>
      <c r="DX19" s="863"/>
      <c r="DY19" s="863"/>
      <c r="DZ19" s="459"/>
      <c r="EA19" s="864">
        <f t="shared" si="43"/>
        <v>0</v>
      </c>
      <c r="EB19" s="862"/>
      <c r="EC19" s="863"/>
      <c r="ED19" s="863"/>
      <c r="EE19" s="863"/>
      <c r="EF19" s="863"/>
      <c r="EG19" s="863"/>
      <c r="EH19" s="863"/>
      <c r="EI19" s="863"/>
      <c r="EJ19" s="863"/>
      <c r="EK19" s="863"/>
      <c r="EL19" s="863"/>
      <c r="EM19" s="456"/>
      <c r="EN19" s="864">
        <f t="shared" si="45"/>
        <v>0</v>
      </c>
      <c r="EO19" s="457">
        <v>20</v>
      </c>
      <c r="EQ19" s="863">
        <v>48</v>
      </c>
      <c r="ER19" s="863">
        <v>250</v>
      </c>
      <c r="ES19" s="863"/>
      <c r="ET19" s="863">
        <v>118</v>
      </c>
      <c r="EU19" s="863">
        <v>132</v>
      </c>
      <c r="EV19" s="863">
        <v>201</v>
      </c>
      <c r="EW19" s="863"/>
      <c r="EX19" s="863"/>
      <c r="EY19" s="863"/>
      <c r="EZ19" s="459"/>
      <c r="FA19" s="864">
        <f t="shared" si="48"/>
        <v>769</v>
      </c>
      <c r="FC19" s="939" t="str">
        <f t="shared" si="49"/>
        <v/>
      </c>
      <c r="FD19" s="939" t="str">
        <f t="shared" si="50"/>
        <v/>
      </c>
      <c r="FE19" s="453">
        <f t="shared" si="51"/>
        <v>0</v>
      </c>
      <c r="FF19" s="453">
        <f t="shared" si="52"/>
        <v>68</v>
      </c>
      <c r="FH19" s="939" t="str">
        <f t="shared" si="66"/>
        <v/>
      </c>
      <c r="FI19" s="458">
        <f t="shared" si="67"/>
        <v>48</v>
      </c>
      <c r="FJ19" s="459">
        <f t="shared" si="68"/>
        <v>68</v>
      </c>
    </row>
    <row r="20" spans="1:166" ht="15" customHeight="1" x14ac:dyDescent="0.25">
      <c r="A20" s="460" t="s">
        <v>368</v>
      </c>
      <c r="B20" s="867">
        <f t="shared" ref="B20:M20" si="69">SUM(B21:B23)</f>
        <v>0</v>
      </c>
      <c r="C20" s="868">
        <f t="shared" si="69"/>
        <v>0</v>
      </c>
      <c r="D20" s="868">
        <f t="shared" si="69"/>
        <v>4</v>
      </c>
      <c r="E20" s="868">
        <f t="shared" si="69"/>
        <v>12</v>
      </c>
      <c r="F20" s="868">
        <f t="shared" si="69"/>
        <v>10</v>
      </c>
      <c r="G20" s="868">
        <f t="shared" si="69"/>
        <v>21</v>
      </c>
      <c r="H20" s="868">
        <f t="shared" si="69"/>
        <v>80</v>
      </c>
      <c r="I20" s="868">
        <f t="shared" si="69"/>
        <v>87</v>
      </c>
      <c r="J20" s="868">
        <f t="shared" si="69"/>
        <v>10</v>
      </c>
      <c r="K20" s="868">
        <f t="shared" si="69"/>
        <v>299</v>
      </c>
      <c r="L20" s="868">
        <f t="shared" si="69"/>
        <v>8</v>
      </c>
      <c r="M20" s="868">
        <f t="shared" si="69"/>
        <v>4</v>
      </c>
      <c r="N20" s="869">
        <f>SUM(B20:M20)</f>
        <v>535</v>
      </c>
      <c r="O20" s="867">
        <f t="shared" ref="O20:Z20" si="70">SUM(O21:O23)</f>
        <v>104</v>
      </c>
      <c r="P20" s="868">
        <f t="shared" si="70"/>
        <v>0</v>
      </c>
      <c r="Q20" s="868">
        <f t="shared" si="70"/>
        <v>0</v>
      </c>
      <c r="R20" s="868">
        <f t="shared" si="70"/>
        <v>7</v>
      </c>
      <c r="S20" s="868">
        <f t="shared" si="70"/>
        <v>7</v>
      </c>
      <c r="T20" s="868">
        <f t="shared" si="70"/>
        <v>7</v>
      </c>
      <c r="U20" s="868">
        <f t="shared" si="70"/>
        <v>2</v>
      </c>
      <c r="V20" s="868">
        <f t="shared" si="70"/>
        <v>2</v>
      </c>
      <c r="W20" s="868">
        <f t="shared" si="70"/>
        <v>83</v>
      </c>
      <c r="X20" s="868">
        <f t="shared" si="70"/>
        <v>0</v>
      </c>
      <c r="Y20" s="868">
        <f t="shared" si="70"/>
        <v>0</v>
      </c>
      <c r="Z20" s="868">
        <f t="shared" si="70"/>
        <v>0.5</v>
      </c>
      <c r="AA20" s="869">
        <f>SUM(O20:Z20)</f>
        <v>212.5</v>
      </c>
      <c r="AB20" s="867">
        <f t="shared" ref="AB20:AM20" si="71">SUM(AB21:AB23)</f>
        <v>0</v>
      </c>
      <c r="AC20" s="868">
        <f t="shared" si="71"/>
        <v>4</v>
      </c>
      <c r="AD20" s="868">
        <f t="shared" si="71"/>
        <v>4</v>
      </c>
      <c r="AE20" s="868">
        <f t="shared" si="71"/>
        <v>7</v>
      </c>
      <c r="AF20" s="868">
        <f t="shared" si="71"/>
        <v>9</v>
      </c>
      <c r="AG20" s="868">
        <f t="shared" si="71"/>
        <v>5</v>
      </c>
      <c r="AH20" s="868">
        <f t="shared" si="71"/>
        <v>3</v>
      </c>
      <c r="AI20" s="868">
        <f t="shared" si="71"/>
        <v>7</v>
      </c>
      <c r="AJ20" s="868">
        <f t="shared" si="71"/>
        <v>4</v>
      </c>
      <c r="AK20" s="868">
        <f t="shared" si="71"/>
        <v>2</v>
      </c>
      <c r="AL20" s="868">
        <f t="shared" si="71"/>
        <v>2</v>
      </c>
      <c r="AM20" s="868">
        <f t="shared" si="71"/>
        <v>2</v>
      </c>
      <c r="AN20" s="869">
        <f>SUM(AB20:AM20)</f>
        <v>49</v>
      </c>
      <c r="AO20" s="867">
        <f t="shared" ref="AO20:AZ20" si="72">SUM(AO21:AO23)</f>
        <v>2</v>
      </c>
      <c r="AP20" s="868">
        <f t="shared" si="72"/>
        <v>1</v>
      </c>
      <c r="AQ20" s="868">
        <f t="shared" si="72"/>
        <v>1</v>
      </c>
      <c r="AR20" s="868">
        <f t="shared" si="72"/>
        <v>1</v>
      </c>
      <c r="AS20" s="868">
        <f t="shared" si="72"/>
        <v>4</v>
      </c>
      <c r="AT20" s="868">
        <f t="shared" si="72"/>
        <v>7</v>
      </c>
      <c r="AU20" s="868">
        <f t="shared" si="72"/>
        <v>0</v>
      </c>
      <c r="AV20" s="868">
        <f t="shared" si="72"/>
        <v>2</v>
      </c>
      <c r="AW20" s="868">
        <f t="shared" si="72"/>
        <v>0</v>
      </c>
      <c r="AX20" s="868">
        <f t="shared" si="72"/>
        <v>2</v>
      </c>
      <c r="AY20" s="868">
        <f t="shared" si="72"/>
        <v>0</v>
      </c>
      <c r="AZ20" s="868">
        <f t="shared" si="72"/>
        <v>0</v>
      </c>
      <c r="BA20" s="869">
        <f>SUM(AO20:AZ20)</f>
        <v>20</v>
      </c>
      <c r="BB20" s="867"/>
      <c r="BC20" s="868">
        <v>6</v>
      </c>
      <c r="BD20" s="868">
        <f t="shared" ref="BD20:BI20" si="73">SUM(BD21:BD23)</f>
        <v>3</v>
      </c>
      <c r="BE20" s="868">
        <f t="shared" si="73"/>
        <v>3</v>
      </c>
      <c r="BF20" s="868">
        <f t="shared" si="73"/>
        <v>0</v>
      </c>
      <c r="BG20" s="868">
        <f t="shared" si="73"/>
        <v>2</v>
      </c>
      <c r="BH20" s="868">
        <f t="shared" si="73"/>
        <v>4</v>
      </c>
      <c r="BI20" s="868">
        <f t="shared" si="73"/>
        <v>0</v>
      </c>
      <c r="BJ20" s="868">
        <v>1</v>
      </c>
      <c r="BK20" s="868"/>
      <c r="BL20" s="868"/>
      <c r="BM20" s="868">
        <f>SUM(BM21:BM23)</f>
        <v>0</v>
      </c>
      <c r="BN20" s="869">
        <f>SUM(BB20:BM20)</f>
        <v>19</v>
      </c>
      <c r="BO20" s="867">
        <f t="shared" ref="BO20:BZ20" si="74">SUM(BO21:BO23)</f>
        <v>0</v>
      </c>
      <c r="BP20" s="868">
        <f t="shared" si="74"/>
        <v>2</v>
      </c>
      <c r="BQ20" s="868">
        <f t="shared" si="74"/>
        <v>0</v>
      </c>
      <c r="BR20" s="868">
        <f t="shared" si="74"/>
        <v>0</v>
      </c>
      <c r="BS20" s="868">
        <f t="shared" si="74"/>
        <v>0</v>
      </c>
      <c r="BT20" s="868">
        <f t="shared" si="74"/>
        <v>0</v>
      </c>
      <c r="BU20" s="868">
        <f t="shared" si="74"/>
        <v>0</v>
      </c>
      <c r="BV20" s="868">
        <f t="shared" si="74"/>
        <v>0</v>
      </c>
      <c r="BW20" s="868">
        <f t="shared" si="74"/>
        <v>3</v>
      </c>
      <c r="BX20" s="868">
        <f t="shared" si="74"/>
        <v>0</v>
      </c>
      <c r="BY20" s="868">
        <f t="shared" si="74"/>
        <v>0</v>
      </c>
      <c r="BZ20" s="868">
        <f t="shared" si="74"/>
        <v>0</v>
      </c>
      <c r="CA20" s="869">
        <f>SUM(BO20:BZ20)</f>
        <v>5</v>
      </c>
      <c r="CB20" s="867">
        <f t="shared" ref="CB20:CM20" si="75">SUM(CB21:CB23)</f>
        <v>1</v>
      </c>
      <c r="CC20" s="868">
        <f t="shared" si="75"/>
        <v>2</v>
      </c>
      <c r="CD20" s="868">
        <f t="shared" si="75"/>
        <v>2</v>
      </c>
      <c r="CE20" s="868">
        <f t="shared" si="75"/>
        <v>1</v>
      </c>
      <c r="CF20" s="868">
        <f t="shared" si="75"/>
        <v>3</v>
      </c>
      <c r="CG20" s="868">
        <f t="shared" si="75"/>
        <v>1</v>
      </c>
      <c r="CH20" s="868">
        <f t="shared" si="75"/>
        <v>2</v>
      </c>
      <c r="CI20" s="868">
        <f t="shared" si="75"/>
        <v>9</v>
      </c>
      <c r="CJ20" s="868">
        <f t="shared" si="75"/>
        <v>16</v>
      </c>
      <c r="CK20" s="868">
        <f t="shared" si="75"/>
        <v>15</v>
      </c>
      <c r="CL20" s="868">
        <f t="shared" si="75"/>
        <v>17</v>
      </c>
      <c r="CM20" s="868">
        <f t="shared" si="75"/>
        <v>2</v>
      </c>
      <c r="CN20" s="869">
        <f>SUM(CB20:CM20)</f>
        <v>71</v>
      </c>
      <c r="CO20" s="867">
        <f t="shared" ref="CO20:CZ20" si="76">SUM(CO21:CO23)</f>
        <v>7</v>
      </c>
      <c r="CP20" s="868">
        <f t="shared" si="76"/>
        <v>4</v>
      </c>
      <c r="CQ20" s="868">
        <f t="shared" si="76"/>
        <v>4</v>
      </c>
      <c r="CR20" s="868">
        <f t="shared" si="76"/>
        <v>3</v>
      </c>
      <c r="CS20" s="868">
        <f t="shared" si="76"/>
        <v>12</v>
      </c>
      <c r="CT20" s="868">
        <f t="shared" si="76"/>
        <v>6</v>
      </c>
      <c r="CU20" s="868">
        <f t="shared" si="76"/>
        <v>21</v>
      </c>
      <c r="CV20" s="868">
        <f t="shared" si="76"/>
        <v>20</v>
      </c>
      <c r="CW20" s="868">
        <f t="shared" si="76"/>
        <v>8</v>
      </c>
      <c r="CX20" s="868">
        <f t="shared" si="76"/>
        <v>24</v>
      </c>
      <c r="CY20" s="868">
        <f t="shared" si="76"/>
        <v>8</v>
      </c>
      <c r="CZ20" s="868">
        <f t="shared" si="76"/>
        <v>4</v>
      </c>
      <c r="DA20" s="869">
        <f>SUM(CO20:CZ20)</f>
        <v>121</v>
      </c>
      <c r="DB20" s="867">
        <f t="shared" ref="DB20:DM20" si="77">SUM(DB21:DB23)</f>
        <v>2</v>
      </c>
      <c r="DC20" s="868">
        <f t="shared" si="77"/>
        <v>3</v>
      </c>
      <c r="DD20" s="868">
        <f t="shared" si="77"/>
        <v>4</v>
      </c>
      <c r="DE20" s="868">
        <f t="shared" si="77"/>
        <v>2</v>
      </c>
      <c r="DF20" s="868">
        <f t="shared" si="77"/>
        <v>13</v>
      </c>
      <c r="DG20" s="868">
        <f t="shared" si="77"/>
        <v>10</v>
      </c>
      <c r="DH20" s="868">
        <f t="shared" si="77"/>
        <v>5</v>
      </c>
      <c r="DI20" s="868">
        <f t="shared" si="77"/>
        <v>2</v>
      </c>
      <c r="DJ20" s="868">
        <f t="shared" si="77"/>
        <v>6</v>
      </c>
      <c r="DK20" s="868">
        <f t="shared" si="77"/>
        <v>2</v>
      </c>
      <c r="DL20" s="868">
        <f t="shared" si="77"/>
        <v>7</v>
      </c>
      <c r="DM20" s="868">
        <f t="shared" si="77"/>
        <v>3</v>
      </c>
      <c r="DN20" s="869">
        <f>SUM(DB20:DM20)</f>
        <v>59</v>
      </c>
      <c r="DO20" s="867">
        <f t="shared" ref="DO20:DZ20" si="78">SUM(DO21:DO23)</f>
        <v>3</v>
      </c>
      <c r="DP20" s="868">
        <f t="shared" si="78"/>
        <v>0</v>
      </c>
      <c r="DQ20" s="868">
        <f t="shared" si="78"/>
        <v>3</v>
      </c>
      <c r="DR20" s="868">
        <f t="shared" si="78"/>
        <v>11</v>
      </c>
      <c r="DS20" s="868">
        <f t="shared" si="78"/>
        <v>6</v>
      </c>
      <c r="DT20" s="868">
        <f t="shared" si="78"/>
        <v>0</v>
      </c>
      <c r="DU20" s="868">
        <f t="shared" si="78"/>
        <v>11</v>
      </c>
      <c r="DV20" s="868">
        <f t="shared" si="78"/>
        <v>4</v>
      </c>
      <c r="DW20" s="868">
        <f t="shared" si="78"/>
        <v>8</v>
      </c>
      <c r="DX20" s="868">
        <f t="shared" si="78"/>
        <v>7</v>
      </c>
      <c r="DY20" s="868">
        <f t="shared" si="78"/>
        <v>7</v>
      </c>
      <c r="DZ20" s="868">
        <f t="shared" si="78"/>
        <v>3</v>
      </c>
      <c r="EA20" s="869">
        <f t="shared" si="43"/>
        <v>63</v>
      </c>
      <c r="EB20" s="867">
        <f t="shared" ref="EB20:EM20" si="79">SUM(EB21:EB23)</f>
        <v>1</v>
      </c>
      <c r="EC20" s="868">
        <f t="shared" si="79"/>
        <v>0</v>
      </c>
      <c r="ED20" s="868">
        <f t="shared" si="79"/>
        <v>0</v>
      </c>
      <c r="EE20" s="868">
        <f t="shared" si="79"/>
        <v>0</v>
      </c>
      <c r="EF20" s="868">
        <f t="shared" si="79"/>
        <v>2</v>
      </c>
      <c r="EG20" s="868">
        <f t="shared" si="79"/>
        <v>6</v>
      </c>
      <c r="EH20" s="868">
        <f t="shared" si="79"/>
        <v>11</v>
      </c>
      <c r="EI20" s="868">
        <f t="shared" si="79"/>
        <v>4</v>
      </c>
      <c r="EJ20" s="868">
        <f t="shared" si="79"/>
        <v>5</v>
      </c>
      <c r="EK20" s="868">
        <f t="shared" si="79"/>
        <v>6</v>
      </c>
      <c r="EL20" s="868">
        <f t="shared" si="79"/>
        <v>3</v>
      </c>
      <c r="EM20" s="450">
        <f t="shared" si="79"/>
        <v>7</v>
      </c>
      <c r="EN20" s="869">
        <f t="shared" si="45"/>
        <v>45</v>
      </c>
      <c r="EO20" s="461">
        <f t="shared" ref="EO20:EP20" si="80">SUM(EO21:EO23)</f>
        <v>4</v>
      </c>
      <c r="EP20" s="450">
        <f t="shared" si="80"/>
        <v>3</v>
      </c>
      <c r="EQ20" s="868">
        <f t="shared" ref="EQ20:EZ20" si="81">SUM(EQ21:EQ23)</f>
        <v>2</v>
      </c>
      <c r="ER20" s="868">
        <f t="shared" si="81"/>
        <v>0</v>
      </c>
      <c r="ES20" s="868">
        <f t="shared" si="81"/>
        <v>3</v>
      </c>
      <c r="ET20" s="868">
        <f t="shared" si="81"/>
        <v>2</v>
      </c>
      <c r="EU20" s="868">
        <f t="shared" si="81"/>
        <v>13</v>
      </c>
      <c r="EV20" s="868">
        <f t="shared" si="81"/>
        <v>7</v>
      </c>
      <c r="EW20" s="868">
        <f t="shared" si="81"/>
        <v>0</v>
      </c>
      <c r="EX20" s="868">
        <f t="shared" si="81"/>
        <v>0</v>
      </c>
      <c r="EY20" s="868">
        <f t="shared" si="81"/>
        <v>0</v>
      </c>
      <c r="EZ20" s="868">
        <f t="shared" si="81"/>
        <v>0</v>
      </c>
      <c r="FA20" s="869">
        <f t="shared" si="48"/>
        <v>34</v>
      </c>
      <c r="FC20" s="941" t="str">
        <f t="shared" si="49"/>
        <v/>
      </c>
      <c r="FD20" s="941">
        <f t="shared" si="50"/>
        <v>800</v>
      </c>
      <c r="FE20" s="935">
        <f t="shared" si="51"/>
        <v>1</v>
      </c>
      <c r="FF20" s="935">
        <f t="shared" si="52"/>
        <v>9</v>
      </c>
      <c r="FH20" s="941" t="str">
        <f t="shared" si="66"/>
        <v/>
      </c>
      <c r="FI20" s="463">
        <f t="shared" si="67"/>
        <v>2</v>
      </c>
      <c r="FJ20" s="464">
        <f t="shared" si="68"/>
        <v>8</v>
      </c>
    </row>
    <row r="21" spans="1:166" ht="15" customHeight="1" x14ac:dyDescent="0.25">
      <c r="A21" s="465" t="s">
        <v>578</v>
      </c>
      <c r="B21" s="862"/>
      <c r="C21" s="863"/>
      <c r="D21" s="863"/>
      <c r="E21" s="863"/>
      <c r="F21" s="863"/>
      <c r="G21" s="863"/>
      <c r="H21" s="863">
        <v>72</v>
      </c>
      <c r="I21" s="863">
        <v>74</v>
      </c>
      <c r="J21" s="863"/>
      <c r="K21" s="863"/>
      <c r="L21" s="863"/>
      <c r="M21" s="459"/>
      <c r="N21" s="864">
        <f>SUM(B21:M21)</f>
        <v>146</v>
      </c>
      <c r="O21" s="862"/>
      <c r="P21" s="863"/>
      <c r="Q21" s="863"/>
      <c r="R21" s="863"/>
      <c r="S21" s="863"/>
      <c r="T21" s="863"/>
      <c r="U21" s="863"/>
      <c r="V21" s="863"/>
      <c r="W21" s="863">
        <v>80</v>
      </c>
      <c r="X21" s="863"/>
      <c r="Y21" s="863"/>
      <c r="Z21" s="459"/>
      <c r="AA21" s="864">
        <f>SUM(O21:Z21)</f>
        <v>80</v>
      </c>
      <c r="AB21" s="862"/>
      <c r="AC21" s="863"/>
      <c r="AD21" s="863"/>
      <c r="AE21" s="863"/>
      <c r="AF21" s="863"/>
      <c r="AG21" s="863"/>
      <c r="AH21" s="863"/>
      <c r="AI21" s="863"/>
      <c r="AJ21" s="863"/>
      <c r="AK21" s="863"/>
      <c r="AL21" s="863"/>
      <c r="AM21" s="459"/>
      <c r="AN21" s="864">
        <f>SUM(AB21:AM21)</f>
        <v>0</v>
      </c>
      <c r="AO21" s="862"/>
      <c r="AP21" s="863"/>
      <c r="AQ21" s="863"/>
      <c r="AR21" s="863"/>
      <c r="AS21" s="863"/>
      <c r="AT21" s="863"/>
      <c r="AU21" s="863"/>
      <c r="AV21" s="863"/>
      <c r="AW21" s="863"/>
      <c r="AX21" s="863"/>
      <c r="AY21" s="863"/>
      <c r="AZ21" s="459"/>
      <c r="BA21" s="864">
        <f>SUM(AO21:AZ21)</f>
        <v>0</v>
      </c>
      <c r="BB21" s="862"/>
      <c r="BC21" s="863"/>
      <c r="BD21" s="863"/>
      <c r="BE21" s="863"/>
      <c r="BF21" s="863"/>
      <c r="BG21" s="863">
        <v>2</v>
      </c>
      <c r="BH21" s="863"/>
      <c r="BI21" s="863"/>
      <c r="BJ21" s="863"/>
      <c r="BK21" s="863"/>
      <c r="BL21" s="863"/>
      <c r="BM21" s="459"/>
      <c r="BN21" s="864">
        <f>SUM(BB21:BM21)</f>
        <v>2</v>
      </c>
      <c r="BO21" s="862"/>
      <c r="BP21" s="863"/>
      <c r="BQ21" s="863"/>
      <c r="BR21" s="863"/>
      <c r="BS21" s="863"/>
      <c r="BT21" s="863"/>
      <c r="BU21" s="863"/>
      <c r="BV21" s="863"/>
      <c r="BW21" s="863"/>
      <c r="BX21" s="863"/>
      <c r="BY21" s="863"/>
      <c r="BZ21" s="459"/>
      <c r="CA21" s="864">
        <f>SUM(BO21:BZ21)</f>
        <v>0</v>
      </c>
      <c r="CB21" s="862"/>
      <c r="CC21" s="863"/>
      <c r="CD21" s="863"/>
      <c r="CE21" s="863"/>
      <c r="CF21" s="863"/>
      <c r="CG21" s="863"/>
      <c r="CH21" s="863"/>
      <c r="CI21" s="863"/>
      <c r="CJ21" s="863"/>
      <c r="CK21" s="863"/>
      <c r="CL21" s="863"/>
      <c r="CM21" s="459"/>
      <c r="CN21" s="864">
        <f>SUM(CB21:CM21)</f>
        <v>0</v>
      </c>
      <c r="CO21" s="862"/>
      <c r="CP21" s="863"/>
      <c r="CQ21" s="863"/>
      <c r="CR21" s="863"/>
      <c r="CS21" s="863"/>
      <c r="CT21" s="863"/>
      <c r="CU21" s="863"/>
      <c r="CV21" s="863"/>
      <c r="CW21" s="863"/>
      <c r="CX21" s="863"/>
      <c r="CY21" s="863"/>
      <c r="CZ21" s="459"/>
      <c r="DA21" s="864">
        <f>SUM(CO21:CZ21)</f>
        <v>0</v>
      </c>
      <c r="DB21" s="862"/>
      <c r="DC21" s="863"/>
      <c r="DD21" s="863"/>
      <c r="DE21" s="863"/>
      <c r="DF21" s="863"/>
      <c r="DG21" s="863"/>
      <c r="DH21" s="863"/>
      <c r="DI21" s="863"/>
      <c r="DJ21" s="863"/>
      <c r="DK21" s="863"/>
      <c r="DL21" s="863"/>
      <c r="DM21" s="459"/>
      <c r="DN21" s="864">
        <f>SUM(DB21:DM21)</f>
        <v>0</v>
      </c>
      <c r="DO21" s="862"/>
      <c r="DP21" s="863"/>
      <c r="DQ21" s="863"/>
      <c r="DR21" s="863"/>
      <c r="DS21" s="863"/>
      <c r="DT21" s="863"/>
      <c r="DU21" s="863"/>
      <c r="DV21" s="863"/>
      <c r="DW21" s="863"/>
      <c r="DX21" s="863"/>
      <c r="DY21" s="863"/>
      <c r="DZ21" s="459"/>
      <c r="EA21" s="864">
        <f t="shared" si="43"/>
        <v>0</v>
      </c>
      <c r="EB21" s="862"/>
      <c r="EC21" s="863"/>
      <c r="ED21" s="863"/>
      <c r="EE21" s="863"/>
      <c r="EF21" s="863"/>
      <c r="EG21" s="863"/>
      <c r="EH21" s="863"/>
      <c r="EI21" s="863"/>
      <c r="EJ21" s="863"/>
      <c r="EK21" s="863"/>
      <c r="EL21" s="863"/>
      <c r="EM21" s="456">
        <v>4</v>
      </c>
      <c r="EN21" s="864">
        <f t="shared" si="45"/>
        <v>4</v>
      </c>
      <c r="EO21" s="457"/>
      <c r="EQ21" s="863"/>
      <c r="ER21" s="863"/>
      <c r="ES21" s="863"/>
      <c r="ET21" s="863">
        <v>2</v>
      </c>
      <c r="EU21" s="863"/>
      <c r="EV21" s="863"/>
      <c r="EW21" s="863"/>
      <c r="EX21" s="863"/>
      <c r="EY21" s="863"/>
      <c r="EZ21" s="459"/>
      <c r="FA21" s="864">
        <f t="shared" si="48"/>
        <v>2</v>
      </c>
      <c r="FC21" s="939" t="str">
        <f t="shared" si="49"/>
        <v/>
      </c>
      <c r="FD21" s="939" t="str">
        <f t="shared" si="50"/>
        <v/>
      </c>
      <c r="FE21" s="453">
        <f t="shared" si="51"/>
        <v>0</v>
      </c>
      <c r="FF21" s="453">
        <f t="shared" si="52"/>
        <v>0</v>
      </c>
      <c r="FH21" s="939" t="str">
        <f t="shared" si="66"/>
        <v/>
      </c>
      <c r="FI21" s="458">
        <f t="shared" si="67"/>
        <v>0</v>
      </c>
      <c r="FJ21" s="459">
        <f>FF21-FE21</f>
        <v>0</v>
      </c>
    </row>
    <row r="22" spans="1:166" ht="15" customHeight="1" x14ac:dyDescent="0.25">
      <c r="A22" s="465" t="s">
        <v>217</v>
      </c>
      <c r="B22" s="862"/>
      <c r="C22" s="863"/>
      <c r="D22" s="863">
        <v>4</v>
      </c>
      <c r="E22" s="863">
        <v>12</v>
      </c>
      <c r="F22" s="863">
        <v>10</v>
      </c>
      <c r="G22" s="863">
        <v>21</v>
      </c>
      <c r="H22" s="863">
        <v>8</v>
      </c>
      <c r="I22" s="863">
        <v>13</v>
      </c>
      <c r="J22" s="863">
        <v>10</v>
      </c>
      <c r="K22" s="863">
        <v>16</v>
      </c>
      <c r="L22" s="863">
        <v>8</v>
      </c>
      <c r="M22" s="459">
        <v>4</v>
      </c>
      <c r="N22" s="864">
        <f>SUM(B22:M22)</f>
        <v>106</v>
      </c>
      <c r="O22" s="862"/>
      <c r="P22" s="863"/>
      <c r="Q22" s="863"/>
      <c r="R22" s="863">
        <v>7</v>
      </c>
      <c r="S22" s="863">
        <v>7</v>
      </c>
      <c r="T22" s="863">
        <v>7</v>
      </c>
      <c r="U22" s="863">
        <v>2</v>
      </c>
      <c r="V22" s="863">
        <v>2</v>
      </c>
      <c r="W22" s="863">
        <v>3</v>
      </c>
      <c r="X22" s="863"/>
      <c r="Y22" s="863"/>
      <c r="Z22" s="459">
        <v>0.5</v>
      </c>
      <c r="AA22" s="864">
        <f>SUM(O22:Z22)</f>
        <v>28.5</v>
      </c>
      <c r="AB22" s="862"/>
      <c r="AC22" s="863">
        <v>4</v>
      </c>
      <c r="AD22" s="863">
        <v>4</v>
      </c>
      <c r="AE22" s="863">
        <v>7</v>
      </c>
      <c r="AF22" s="863">
        <v>9</v>
      </c>
      <c r="AG22" s="863">
        <v>5</v>
      </c>
      <c r="AH22" s="863">
        <v>3</v>
      </c>
      <c r="AI22" s="863">
        <v>7</v>
      </c>
      <c r="AJ22" s="863">
        <v>4</v>
      </c>
      <c r="AK22" s="863">
        <v>2</v>
      </c>
      <c r="AL22" s="863">
        <v>2</v>
      </c>
      <c r="AM22" s="459">
        <v>2</v>
      </c>
      <c r="AN22" s="864">
        <f>SUM(AB22:AM22)</f>
        <v>49</v>
      </c>
      <c r="AO22" s="862">
        <v>2</v>
      </c>
      <c r="AP22" s="863">
        <v>1</v>
      </c>
      <c r="AQ22" s="863">
        <v>1</v>
      </c>
      <c r="AR22" s="863">
        <v>1</v>
      </c>
      <c r="AS22" s="863">
        <v>4</v>
      </c>
      <c r="AT22" s="863">
        <v>7</v>
      </c>
      <c r="AU22" s="863"/>
      <c r="AV22" s="863">
        <v>2</v>
      </c>
      <c r="AW22" s="863"/>
      <c r="AX22" s="863">
        <v>2</v>
      </c>
      <c r="AY22" s="863"/>
      <c r="AZ22" s="459"/>
      <c r="BA22" s="864">
        <f>SUM(AO22:AZ22)</f>
        <v>20</v>
      </c>
      <c r="BB22" s="862"/>
      <c r="BC22" s="863">
        <v>6</v>
      </c>
      <c r="BD22" s="863">
        <v>3</v>
      </c>
      <c r="BE22" s="863">
        <v>3</v>
      </c>
      <c r="BF22" s="863"/>
      <c r="BG22" s="863"/>
      <c r="BH22" s="863">
        <v>4</v>
      </c>
      <c r="BI22" s="863"/>
      <c r="BJ22" s="863">
        <v>1</v>
      </c>
      <c r="BK22" s="863"/>
      <c r="BL22" s="863"/>
      <c r="BM22" s="459"/>
      <c r="BN22" s="864">
        <f>SUM(BB22:BM22)</f>
        <v>17</v>
      </c>
      <c r="BO22" s="862"/>
      <c r="BP22" s="863">
        <v>2</v>
      </c>
      <c r="BQ22" s="863"/>
      <c r="BR22" s="863"/>
      <c r="BS22" s="863"/>
      <c r="BT22" s="863"/>
      <c r="BU22" s="863"/>
      <c r="BV22" s="863"/>
      <c r="BW22" s="863">
        <v>3</v>
      </c>
      <c r="BX22" s="863"/>
      <c r="BY22" s="863"/>
      <c r="BZ22" s="459"/>
      <c r="CA22" s="864">
        <f>SUM(BO22:BZ22)</f>
        <v>5</v>
      </c>
      <c r="CB22" s="862">
        <v>1</v>
      </c>
      <c r="CC22" s="863">
        <v>2</v>
      </c>
      <c r="CD22" s="863">
        <v>2</v>
      </c>
      <c r="CE22" s="863">
        <v>1</v>
      </c>
      <c r="CF22" s="863">
        <v>3</v>
      </c>
      <c r="CG22" s="863">
        <v>1</v>
      </c>
      <c r="CH22" s="863">
        <v>2</v>
      </c>
      <c r="CI22" s="863">
        <v>9</v>
      </c>
      <c r="CJ22" s="863">
        <v>16</v>
      </c>
      <c r="CK22" s="863">
        <v>15</v>
      </c>
      <c r="CL22" s="863">
        <v>17</v>
      </c>
      <c r="CM22" s="459">
        <v>2</v>
      </c>
      <c r="CN22" s="864">
        <f>SUM(CB22:CM22)</f>
        <v>71</v>
      </c>
      <c r="CO22" s="862">
        <v>7</v>
      </c>
      <c r="CP22" s="863">
        <v>4</v>
      </c>
      <c r="CQ22" s="863">
        <v>4</v>
      </c>
      <c r="CR22" s="863">
        <v>3</v>
      </c>
      <c r="CS22" s="863">
        <v>12</v>
      </c>
      <c r="CT22" s="863">
        <v>6</v>
      </c>
      <c r="CU22" s="863">
        <v>21</v>
      </c>
      <c r="CV22" s="863">
        <v>20</v>
      </c>
      <c r="CW22" s="863">
        <v>8</v>
      </c>
      <c r="CX22" s="863">
        <v>24</v>
      </c>
      <c r="CY22" s="863">
        <v>8</v>
      </c>
      <c r="CZ22" s="459">
        <v>4</v>
      </c>
      <c r="DA22" s="864">
        <f>SUM(CO22:CZ22)</f>
        <v>121</v>
      </c>
      <c r="DB22" s="862">
        <v>2</v>
      </c>
      <c r="DC22" s="863">
        <v>3</v>
      </c>
      <c r="DD22" s="863">
        <v>4</v>
      </c>
      <c r="DE22" s="863">
        <v>2</v>
      </c>
      <c r="DF22" s="863">
        <v>13</v>
      </c>
      <c r="DG22" s="863">
        <v>10</v>
      </c>
      <c r="DH22" s="863">
        <v>5</v>
      </c>
      <c r="DI22" s="863">
        <v>2</v>
      </c>
      <c r="DJ22" s="863">
        <v>6</v>
      </c>
      <c r="DK22" s="863">
        <v>2</v>
      </c>
      <c r="DL22" s="863">
        <v>7</v>
      </c>
      <c r="DM22" s="459">
        <v>3</v>
      </c>
      <c r="DN22" s="864">
        <f>SUM(DB22:DM22)</f>
        <v>59</v>
      </c>
      <c r="DO22" s="862">
        <v>3</v>
      </c>
      <c r="DP22" s="863"/>
      <c r="DQ22" s="863">
        <v>3</v>
      </c>
      <c r="DR22" s="863">
        <v>11</v>
      </c>
      <c r="DS22" s="863">
        <v>6</v>
      </c>
      <c r="DT22" s="863"/>
      <c r="DU22" s="863">
        <v>11</v>
      </c>
      <c r="DV22" s="863">
        <v>4</v>
      </c>
      <c r="DW22" s="863">
        <v>8</v>
      </c>
      <c r="DX22" s="863">
        <v>7</v>
      </c>
      <c r="DY22" s="863">
        <v>7</v>
      </c>
      <c r="DZ22" s="459">
        <v>3</v>
      </c>
      <c r="EA22" s="864">
        <f t="shared" si="43"/>
        <v>63</v>
      </c>
      <c r="EB22" s="862">
        <v>1</v>
      </c>
      <c r="EC22" s="863"/>
      <c r="ED22" s="863"/>
      <c r="EE22" s="863"/>
      <c r="EF22" s="863">
        <v>2</v>
      </c>
      <c r="EG22" s="863">
        <v>6</v>
      </c>
      <c r="EH22" s="863">
        <v>11</v>
      </c>
      <c r="EI22" s="863">
        <v>4</v>
      </c>
      <c r="EJ22" s="863">
        <v>5</v>
      </c>
      <c r="EK22" s="863">
        <v>6</v>
      </c>
      <c r="EL22" s="863">
        <v>3</v>
      </c>
      <c r="EM22" s="456">
        <v>3</v>
      </c>
      <c r="EN22" s="864">
        <f t="shared" si="45"/>
        <v>41</v>
      </c>
      <c r="EO22" s="457">
        <v>4</v>
      </c>
      <c r="EP22" s="451">
        <v>3</v>
      </c>
      <c r="EQ22" s="863">
        <v>2</v>
      </c>
      <c r="ER22" s="863"/>
      <c r="ES22" s="863">
        <v>3</v>
      </c>
      <c r="ET22" s="863"/>
      <c r="EU22" s="863">
        <v>13</v>
      </c>
      <c r="EV22" s="863">
        <v>7</v>
      </c>
      <c r="EW22" s="863"/>
      <c r="EX22" s="863"/>
      <c r="EY22" s="863"/>
      <c r="EZ22" s="459"/>
      <c r="FA22" s="864">
        <f t="shared" si="48"/>
        <v>32</v>
      </c>
      <c r="FC22" s="939" t="str">
        <f t="shared" si="49"/>
        <v/>
      </c>
      <c r="FD22" s="939">
        <f t="shared" si="50"/>
        <v>800</v>
      </c>
      <c r="FE22" s="453">
        <f t="shared" si="51"/>
        <v>1</v>
      </c>
      <c r="FF22" s="453">
        <f t="shared" si="52"/>
        <v>9</v>
      </c>
      <c r="FH22" s="939" t="str">
        <f t="shared" si="66"/>
        <v/>
      </c>
      <c r="FI22" s="458">
        <f t="shared" si="67"/>
        <v>2</v>
      </c>
      <c r="FJ22" s="459">
        <f>FF22-FE22</f>
        <v>8</v>
      </c>
    </row>
    <row r="23" spans="1:166" ht="15" customHeight="1" x14ac:dyDescent="0.25">
      <c r="A23" s="465" t="s">
        <v>212</v>
      </c>
      <c r="B23" s="862"/>
      <c r="C23" s="863"/>
      <c r="D23" s="863"/>
      <c r="E23" s="863"/>
      <c r="F23" s="863"/>
      <c r="G23" s="863"/>
      <c r="H23" s="863"/>
      <c r="I23" s="863"/>
      <c r="J23" s="863"/>
      <c r="K23" s="863">
        <v>283</v>
      </c>
      <c r="L23" s="863"/>
      <c r="M23" s="459"/>
      <c r="N23" s="864">
        <f>SUM(B23:M23)</f>
        <v>283</v>
      </c>
      <c r="O23" s="862">
        <v>104</v>
      </c>
      <c r="P23" s="863"/>
      <c r="Q23" s="863"/>
      <c r="R23" s="863"/>
      <c r="S23" s="863"/>
      <c r="T23" s="863"/>
      <c r="U23" s="863"/>
      <c r="V23" s="863"/>
      <c r="W23" s="863"/>
      <c r="X23" s="863"/>
      <c r="Y23" s="863"/>
      <c r="Z23" s="459"/>
      <c r="AA23" s="864">
        <f>SUM(O23:Z23)</f>
        <v>104</v>
      </c>
      <c r="AB23" s="862"/>
      <c r="AC23" s="863"/>
      <c r="AD23" s="863"/>
      <c r="AE23" s="863"/>
      <c r="AF23" s="863"/>
      <c r="AG23" s="863"/>
      <c r="AH23" s="863"/>
      <c r="AI23" s="863"/>
      <c r="AJ23" s="863"/>
      <c r="AK23" s="863"/>
      <c r="AL23" s="863"/>
      <c r="AM23" s="459"/>
      <c r="AN23" s="864">
        <f>SUM(AB23:AM23)</f>
        <v>0</v>
      </c>
      <c r="AO23" s="862"/>
      <c r="AP23" s="863"/>
      <c r="AQ23" s="863"/>
      <c r="AR23" s="863"/>
      <c r="AS23" s="863"/>
      <c r="AT23" s="863"/>
      <c r="AU23" s="863"/>
      <c r="AV23" s="863"/>
      <c r="AW23" s="863"/>
      <c r="AX23" s="863"/>
      <c r="AY23" s="863"/>
      <c r="AZ23" s="459"/>
      <c r="BA23" s="864">
        <f>SUM(AO23:AZ23)</f>
        <v>0</v>
      </c>
      <c r="BB23" s="862"/>
      <c r="BC23" s="863"/>
      <c r="BD23" s="863"/>
      <c r="BE23" s="863"/>
      <c r="BF23" s="863"/>
      <c r="BG23" s="863"/>
      <c r="BH23" s="863"/>
      <c r="BI23" s="863"/>
      <c r="BJ23" s="863"/>
      <c r="BK23" s="863"/>
      <c r="BL23" s="863"/>
      <c r="BM23" s="459"/>
      <c r="BN23" s="864">
        <f>SUM(BB23:BM23)</f>
        <v>0</v>
      </c>
      <c r="BO23" s="862"/>
      <c r="BP23" s="863"/>
      <c r="BQ23" s="863"/>
      <c r="BR23" s="863"/>
      <c r="BS23" s="863"/>
      <c r="BT23" s="863"/>
      <c r="BU23" s="863"/>
      <c r="BV23" s="863"/>
      <c r="BW23" s="863"/>
      <c r="BX23" s="863"/>
      <c r="BY23" s="863"/>
      <c r="BZ23" s="459"/>
      <c r="CA23" s="864">
        <f>SUM(BO23:BZ23)</f>
        <v>0</v>
      </c>
      <c r="CB23" s="862"/>
      <c r="CC23" s="863"/>
      <c r="CD23" s="863"/>
      <c r="CE23" s="863"/>
      <c r="CF23" s="863"/>
      <c r="CG23" s="863"/>
      <c r="CH23" s="863"/>
      <c r="CI23" s="863"/>
      <c r="CJ23" s="863"/>
      <c r="CK23" s="863"/>
      <c r="CL23" s="863"/>
      <c r="CM23" s="459"/>
      <c r="CN23" s="864">
        <f>SUM(CB23:CM23)</f>
        <v>0</v>
      </c>
      <c r="CO23" s="862"/>
      <c r="CP23" s="863"/>
      <c r="CQ23" s="863"/>
      <c r="CR23" s="863"/>
      <c r="CS23" s="863"/>
      <c r="CT23" s="863"/>
      <c r="CU23" s="863"/>
      <c r="CV23" s="863"/>
      <c r="CW23" s="863"/>
      <c r="CX23" s="863"/>
      <c r="CY23" s="863"/>
      <c r="CZ23" s="459"/>
      <c r="DA23" s="864">
        <f>SUM(CO23:CZ23)</f>
        <v>0</v>
      </c>
      <c r="DB23" s="862"/>
      <c r="DC23" s="863"/>
      <c r="DD23" s="863"/>
      <c r="DE23" s="863"/>
      <c r="DF23" s="863"/>
      <c r="DG23" s="863"/>
      <c r="DH23" s="863"/>
      <c r="DI23" s="863"/>
      <c r="DJ23" s="863"/>
      <c r="DK23" s="863"/>
      <c r="DL23" s="863"/>
      <c r="DM23" s="459"/>
      <c r="DN23" s="864">
        <f>SUM(DB23:DM23)</f>
        <v>0</v>
      </c>
      <c r="DO23" s="862"/>
      <c r="DP23" s="863"/>
      <c r="DQ23" s="863"/>
      <c r="DR23" s="863"/>
      <c r="DS23" s="863"/>
      <c r="DT23" s="863"/>
      <c r="DU23" s="863"/>
      <c r="DV23" s="863"/>
      <c r="DW23" s="863"/>
      <c r="DX23" s="863"/>
      <c r="DY23" s="863"/>
      <c r="DZ23" s="459"/>
      <c r="EA23" s="864">
        <f t="shared" si="43"/>
        <v>0</v>
      </c>
      <c r="EB23" s="862"/>
      <c r="EC23" s="863"/>
      <c r="ED23" s="863"/>
      <c r="EE23" s="863"/>
      <c r="EF23" s="863"/>
      <c r="EG23" s="863"/>
      <c r="EH23" s="863"/>
      <c r="EI23" s="863"/>
      <c r="EJ23" s="863"/>
      <c r="EK23" s="863"/>
      <c r="EL23" s="863"/>
      <c r="EM23" s="456"/>
      <c r="EN23" s="864">
        <f t="shared" si="45"/>
        <v>0</v>
      </c>
      <c r="EO23" s="457"/>
      <c r="EQ23" s="863"/>
      <c r="ER23" s="863"/>
      <c r="ES23" s="863"/>
      <c r="ET23" s="863"/>
      <c r="EU23" s="863"/>
      <c r="EV23" s="863"/>
      <c r="EW23" s="863"/>
      <c r="EX23" s="863"/>
      <c r="EY23" s="863"/>
      <c r="EZ23" s="459"/>
      <c r="FA23" s="864">
        <f t="shared" si="48"/>
        <v>0</v>
      </c>
      <c r="FC23" s="939" t="str">
        <f t="shared" si="49"/>
        <v/>
      </c>
      <c r="FD23" s="939" t="str">
        <f t="shared" si="50"/>
        <v/>
      </c>
      <c r="FE23" s="453">
        <f t="shared" si="51"/>
        <v>0</v>
      </c>
      <c r="FF23" s="453">
        <f t="shared" si="52"/>
        <v>0</v>
      </c>
      <c r="FH23" s="939" t="str">
        <f t="shared" si="66"/>
        <v/>
      </c>
      <c r="FI23" s="458">
        <f t="shared" si="67"/>
        <v>0</v>
      </c>
      <c r="FJ23" s="459">
        <f>FF23-FE23</f>
        <v>0</v>
      </c>
    </row>
    <row r="24" spans="1:166" ht="15" customHeight="1" x14ac:dyDescent="0.25">
      <c r="A24" s="460" t="s">
        <v>675</v>
      </c>
      <c r="B24" s="867">
        <f t="shared" ref="B24:M24" si="82">SUM(B25:B31)</f>
        <v>0</v>
      </c>
      <c r="C24" s="868">
        <f t="shared" si="82"/>
        <v>0</v>
      </c>
      <c r="D24" s="868">
        <f t="shared" si="82"/>
        <v>1</v>
      </c>
      <c r="E24" s="868">
        <f t="shared" si="82"/>
        <v>0</v>
      </c>
      <c r="F24" s="868">
        <f t="shared" si="82"/>
        <v>0</v>
      </c>
      <c r="G24" s="868">
        <f t="shared" si="82"/>
        <v>0</v>
      </c>
      <c r="H24" s="868">
        <f t="shared" si="82"/>
        <v>0</v>
      </c>
      <c r="I24" s="868">
        <f t="shared" si="82"/>
        <v>84</v>
      </c>
      <c r="J24" s="868">
        <f t="shared" si="82"/>
        <v>0</v>
      </c>
      <c r="K24" s="868">
        <f t="shared" si="82"/>
        <v>0</v>
      </c>
      <c r="L24" s="868">
        <f t="shared" si="82"/>
        <v>2</v>
      </c>
      <c r="M24" s="868">
        <f t="shared" si="82"/>
        <v>0</v>
      </c>
      <c r="N24" s="869">
        <f t="shared" si="25"/>
        <v>87</v>
      </c>
      <c r="O24" s="867">
        <f t="shared" ref="O24:Z24" si="83">SUM(O25:O31)</f>
        <v>0</v>
      </c>
      <c r="P24" s="868">
        <f t="shared" si="83"/>
        <v>83</v>
      </c>
      <c r="Q24" s="868">
        <f t="shared" si="83"/>
        <v>0</v>
      </c>
      <c r="R24" s="868">
        <f t="shared" si="83"/>
        <v>92</v>
      </c>
      <c r="S24" s="868">
        <f t="shared" si="83"/>
        <v>74</v>
      </c>
      <c r="T24" s="868">
        <f t="shared" si="83"/>
        <v>93</v>
      </c>
      <c r="U24" s="868">
        <f t="shared" si="83"/>
        <v>421</v>
      </c>
      <c r="V24" s="868">
        <f t="shared" si="83"/>
        <v>321</v>
      </c>
      <c r="W24" s="868">
        <f t="shared" si="83"/>
        <v>254</v>
      </c>
      <c r="X24" s="868">
        <f t="shared" si="83"/>
        <v>148</v>
      </c>
      <c r="Y24" s="868">
        <f t="shared" si="83"/>
        <v>68</v>
      </c>
      <c r="Z24" s="868">
        <f t="shared" si="83"/>
        <v>73</v>
      </c>
      <c r="AA24" s="869">
        <f t="shared" si="27"/>
        <v>1627</v>
      </c>
      <c r="AB24" s="867">
        <f t="shared" ref="AB24:AM24" si="84">SUM(AB25:AB31)</f>
        <v>58</v>
      </c>
      <c r="AC24" s="868">
        <f t="shared" si="84"/>
        <v>117</v>
      </c>
      <c r="AD24" s="868">
        <f t="shared" si="84"/>
        <v>0</v>
      </c>
      <c r="AE24" s="868">
        <f t="shared" si="84"/>
        <v>108</v>
      </c>
      <c r="AF24" s="868">
        <f t="shared" si="84"/>
        <v>335</v>
      </c>
      <c r="AG24" s="868">
        <f t="shared" si="84"/>
        <v>327</v>
      </c>
      <c r="AH24" s="868">
        <f t="shared" si="84"/>
        <v>540</v>
      </c>
      <c r="AI24" s="868">
        <f t="shared" si="84"/>
        <v>469</v>
      </c>
      <c r="AJ24" s="868">
        <f t="shared" si="84"/>
        <v>561</v>
      </c>
      <c r="AK24" s="868">
        <f t="shared" si="84"/>
        <v>329</v>
      </c>
      <c r="AL24" s="868">
        <f t="shared" si="84"/>
        <v>185</v>
      </c>
      <c r="AM24" s="868">
        <f t="shared" si="84"/>
        <v>201</v>
      </c>
      <c r="AN24" s="869">
        <f t="shared" si="29"/>
        <v>3230</v>
      </c>
      <c r="AO24" s="867">
        <f t="shared" ref="AO24:AZ24" si="85">SUM(AO25:AO31)</f>
        <v>120</v>
      </c>
      <c r="AP24" s="868">
        <f t="shared" si="85"/>
        <v>130</v>
      </c>
      <c r="AQ24" s="868">
        <f t="shared" si="85"/>
        <v>72</v>
      </c>
      <c r="AR24" s="868">
        <f t="shared" si="85"/>
        <v>0</v>
      </c>
      <c r="AS24" s="868">
        <f t="shared" si="85"/>
        <v>232</v>
      </c>
      <c r="AT24" s="868">
        <f t="shared" si="85"/>
        <v>722</v>
      </c>
      <c r="AU24" s="868">
        <f t="shared" si="85"/>
        <v>452</v>
      </c>
      <c r="AV24" s="868">
        <f t="shared" si="85"/>
        <v>223</v>
      </c>
      <c r="AW24" s="868">
        <f t="shared" si="85"/>
        <v>213</v>
      </c>
      <c r="AX24" s="868">
        <f t="shared" si="85"/>
        <v>540</v>
      </c>
      <c r="AY24" s="868">
        <f t="shared" si="85"/>
        <v>402</v>
      </c>
      <c r="AZ24" s="868">
        <f t="shared" si="85"/>
        <v>339</v>
      </c>
      <c r="BA24" s="869">
        <f t="shared" si="31"/>
        <v>3445</v>
      </c>
      <c r="BB24" s="867">
        <v>209</v>
      </c>
      <c r="BC24" s="868">
        <v>130</v>
      </c>
      <c r="BD24" s="868">
        <f t="shared" ref="BD24:BI24" si="86">SUM(BD25:BD31)</f>
        <v>141</v>
      </c>
      <c r="BE24" s="868">
        <f t="shared" si="86"/>
        <v>145</v>
      </c>
      <c r="BF24" s="868">
        <f t="shared" si="86"/>
        <v>206</v>
      </c>
      <c r="BG24" s="868">
        <f t="shared" si="86"/>
        <v>555</v>
      </c>
      <c r="BH24" s="868">
        <f t="shared" si="86"/>
        <v>1511</v>
      </c>
      <c r="BI24" s="868">
        <f t="shared" si="86"/>
        <v>352</v>
      </c>
      <c r="BJ24" s="868">
        <v>435</v>
      </c>
      <c r="BK24" s="868">
        <v>276</v>
      </c>
      <c r="BL24" s="868">
        <v>348</v>
      </c>
      <c r="BM24" s="868">
        <f>SUM(BM25:BM31)</f>
        <v>433</v>
      </c>
      <c r="BN24" s="869">
        <f t="shared" si="33"/>
        <v>4741</v>
      </c>
      <c r="BO24" s="867">
        <f t="shared" ref="BO24:BZ24" si="87">SUM(BO25:BO31)</f>
        <v>522</v>
      </c>
      <c r="BP24" s="868">
        <f t="shared" si="87"/>
        <v>2478</v>
      </c>
      <c r="BQ24" s="868">
        <f t="shared" si="87"/>
        <v>268</v>
      </c>
      <c r="BR24" s="868">
        <f t="shared" si="87"/>
        <v>0</v>
      </c>
      <c r="BS24" s="868">
        <f t="shared" si="87"/>
        <v>3256</v>
      </c>
      <c r="BT24" s="868">
        <f t="shared" si="87"/>
        <v>3188</v>
      </c>
      <c r="BU24" s="868">
        <f t="shared" si="87"/>
        <v>968</v>
      </c>
      <c r="BV24" s="868">
        <f t="shared" si="87"/>
        <v>3130</v>
      </c>
      <c r="BW24" s="868">
        <f t="shared" si="87"/>
        <v>2166</v>
      </c>
      <c r="BX24" s="868">
        <f t="shared" si="87"/>
        <v>6996</v>
      </c>
      <c r="BY24" s="868">
        <f t="shared" si="87"/>
        <v>511</v>
      </c>
      <c r="BZ24" s="868">
        <f t="shared" si="87"/>
        <v>4569</v>
      </c>
      <c r="CA24" s="869">
        <f t="shared" si="35"/>
        <v>28052</v>
      </c>
      <c r="CB24" s="867">
        <f t="shared" ref="CB24:CM24" si="88">SUM(CB25:CB31)</f>
        <v>4299</v>
      </c>
      <c r="CC24" s="868">
        <f t="shared" si="88"/>
        <v>6950</v>
      </c>
      <c r="CD24" s="868">
        <f t="shared" si="88"/>
        <v>3389</v>
      </c>
      <c r="CE24" s="868">
        <f t="shared" si="88"/>
        <v>543</v>
      </c>
      <c r="CF24" s="868">
        <f t="shared" si="88"/>
        <v>5086</v>
      </c>
      <c r="CG24" s="868">
        <f t="shared" si="88"/>
        <v>6043</v>
      </c>
      <c r="CH24" s="868">
        <f t="shared" si="88"/>
        <v>5468</v>
      </c>
      <c r="CI24" s="868">
        <f t="shared" si="88"/>
        <v>4544</v>
      </c>
      <c r="CJ24" s="868">
        <f t="shared" si="88"/>
        <v>4339</v>
      </c>
      <c r="CK24" s="868">
        <f t="shared" si="88"/>
        <v>4615</v>
      </c>
      <c r="CL24" s="868">
        <f t="shared" si="88"/>
        <v>14353</v>
      </c>
      <c r="CM24" s="868">
        <f t="shared" si="88"/>
        <v>12422</v>
      </c>
      <c r="CN24" s="869">
        <f t="shared" si="37"/>
        <v>72051</v>
      </c>
      <c r="CO24" s="867">
        <f t="shared" ref="CO24:CZ24" si="89">SUM(CO25:CO31)</f>
        <v>1728</v>
      </c>
      <c r="CP24" s="868">
        <f t="shared" si="89"/>
        <v>18438</v>
      </c>
      <c r="CQ24" s="868">
        <f t="shared" si="89"/>
        <v>7806</v>
      </c>
      <c r="CR24" s="868">
        <f t="shared" si="89"/>
        <v>8097</v>
      </c>
      <c r="CS24" s="868">
        <f t="shared" si="89"/>
        <v>13733</v>
      </c>
      <c r="CT24" s="868">
        <f t="shared" si="89"/>
        <v>11632</v>
      </c>
      <c r="CU24" s="868">
        <f t="shared" si="89"/>
        <v>10966</v>
      </c>
      <c r="CV24" s="868">
        <f t="shared" si="89"/>
        <v>5937</v>
      </c>
      <c r="CW24" s="868">
        <f t="shared" si="89"/>
        <v>691</v>
      </c>
      <c r="CX24" s="868">
        <f t="shared" si="89"/>
        <v>6013</v>
      </c>
      <c r="CY24" s="868">
        <f t="shared" si="89"/>
        <v>11498</v>
      </c>
      <c r="CZ24" s="868">
        <f t="shared" si="89"/>
        <v>11725</v>
      </c>
      <c r="DA24" s="869">
        <f t="shared" si="39"/>
        <v>108264</v>
      </c>
      <c r="DB24" s="867">
        <f t="shared" ref="DB24:DM24" si="90">SUM(DB25:DB31)</f>
        <v>10640</v>
      </c>
      <c r="DC24" s="868">
        <f t="shared" si="90"/>
        <v>5513</v>
      </c>
      <c r="DD24" s="868">
        <f t="shared" si="90"/>
        <v>5751</v>
      </c>
      <c r="DE24" s="868">
        <f t="shared" si="90"/>
        <v>5307</v>
      </c>
      <c r="DF24" s="868">
        <f t="shared" si="90"/>
        <v>3270</v>
      </c>
      <c r="DG24" s="868">
        <f t="shared" si="90"/>
        <v>2914</v>
      </c>
      <c r="DH24" s="868">
        <f t="shared" si="90"/>
        <v>959</v>
      </c>
      <c r="DI24" s="868">
        <f t="shared" si="90"/>
        <v>5330</v>
      </c>
      <c r="DJ24" s="868">
        <f t="shared" si="90"/>
        <v>4982</v>
      </c>
      <c r="DK24" s="868">
        <f t="shared" si="90"/>
        <v>6760</v>
      </c>
      <c r="DL24" s="868">
        <f t="shared" si="90"/>
        <v>5060</v>
      </c>
      <c r="DM24" s="868">
        <f t="shared" si="90"/>
        <v>3891</v>
      </c>
      <c r="DN24" s="869">
        <f t="shared" si="41"/>
        <v>60377</v>
      </c>
      <c r="DO24" s="867">
        <f>SUM(DO25:DO32)</f>
        <v>5827</v>
      </c>
      <c r="DP24" s="868">
        <f t="shared" ref="DP24:DZ24" si="91">SUM(DP25:DP32)</f>
        <v>5184</v>
      </c>
      <c r="DQ24" s="868">
        <f t="shared" si="91"/>
        <v>3931</v>
      </c>
      <c r="DR24" s="868">
        <f t="shared" si="91"/>
        <v>11068</v>
      </c>
      <c r="DS24" s="868">
        <f t="shared" si="91"/>
        <v>4443</v>
      </c>
      <c r="DT24" s="868">
        <f t="shared" si="91"/>
        <v>13272</v>
      </c>
      <c r="DU24" s="868">
        <f t="shared" si="91"/>
        <v>24211</v>
      </c>
      <c r="DV24" s="868">
        <f t="shared" si="91"/>
        <v>13383</v>
      </c>
      <c r="DW24" s="868">
        <f t="shared" si="91"/>
        <v>11522</v>
      </c>
      <c r="DX24" s="868">
        <f t="shared" si="91"/>
        <v>4376</v>
      </c>
      <c r="DY24" s="868">
        <f t="shared" si="91"/>
        <v>5055</v>
      </c>
      <c r="DZ24" s="868">
        <f t="shared" si="91"/>
        <v>4374</v>
      </c>
      <c r="EA24" s="869">
        <f t="shared" si="43"/>
        <v>106646</v>
      </c>
      <c r="EB24" s="867">
        <f t="shared" ref="EB24:EM24" si="92">SUM(EB25:EB32)</f>
        <v>9449</v>
      </c>
      <c r="EC24" s="868">
        <f t="shared" si="92"/>
        <v>8695</v>
      </c>
      <c r="ED24" s="868">
        <f t="shared" si="92"/>
        <v>6098</v>
      </c>
      <c r="EE24" s="868">
        <f t="shared" si="92"/>
        <v>4913</v>
      </c>
      <c r="EF24" s="868">
        <f t="shared" si="92"/>
        <v>12600</v>
      </c>
      <c r="EG24" s="868">
        <f t="shared" si="92"/>
        <v>5565</v>
      </c>
      <c r="EH24" s="868">
        <f t="shared" si="92"/>
        <v>9167</v>
      </c>
      <c r="EI24" s="868">
        <f t="shared" si="92"/>
        <v>7134</v>
      </c>
      <c r="EJ24" s="868">
        <f t="shared" si="92"/>
        <v>4316</v>
      </c>
      <c r="EK24" s="868">
        <f t="shared" si="92"/>
        <v>3332</v>
      </c>
      <c r="EL24" s="868">
        <f t="shared" si="92"/>
        <v>1776</v>
      </c>
      <c r="EM24" s="450">
        <f t="shared" si="92"/>
        <v>1524</v>
      </c>
      <c r="EN24" s="869">
        <f t="shared" si="45"/>
        <v>74569</v>
      </c>
      <c r="EO24" s="461">
        <f t="shared" ref="EO24:EP24" si="93">SUM(EO25:EO32)</f>
        <v>444</v>
      </c>
      <c r="EP24" s="450">
        <f t="shared" si="93"/>
        <v>5315</v>
      </c>
      <c r="EQ24" s="868">
        <f t="shared" ref="EQ24:EZ24" si="94">SUM(EQ25:EQ32)</f>
        <v>558</v>
      </c>
      <c r="ER24" s="868">
        <f t="shared" si="94"/>
        <v>503</v>
      </c>
      <c r="ES24" s="868">
        <f t="shared" si="94"/>
        <v>973</v>
      </c>
      <c r="ET24" s="868">
        <f t="shared" si="94"/>
        <v>1603</v>
      </c>
      <c r="EU24" s="868">
        <f t="shared" si="94"/>
        <v>1739</v>
      </c>
      <c r="EV24" s="868">
        <f t="shared" si="94"/>
        <v>8569</v>
      </c>
      <c r="EW24" s="868">
        <f t="shared" si="94"/>
        <v>0</v>
      </c>
      <c r="EX24" s="868">
        <f t="shared" si="94"/>
        <v>0</v>
      </c>
      <c r="EY24" s="868">
        <f t="shared" si="94"/>
        <v>0</v>
      </c>
      <c r="EZ24" s="868">
        <f t="shared" si="94"/>
        <v>0</v>
      </c>
      <c r="FA24" s="869">
        <f t="shared" si="48"/>
        <v>19704</v>
      </c>
      <c r="FC24" s="941">
        <f t="shared" si="49"/>
        <v>-90.849458838963599</v>
      </c>
      <c r="FD24" s="941">
        <f t="shared" si="50"/>
        <v>-73.941918983582212</v>
      </c>
      <c r="FE24" s="935">
        <f t="shared" si="51"/>
        <v>24242</v>
      </c>
      <c r="FF24" s="935">
        <f t="shared" si="52"/>
        <v>6317</v>
      </c>
      <c r="FH24" s="941">
        <f t="shared" si="66"/>
        <v>9.150541161036406E-2</v>
      </c>
      <c r="FI24" s="463">
        <f t="shared" si="67"/>
        <v>-5540</v>
      </c>
      <c r="FJ24" s="464">
        <f t="shared" si="68"/>
        <v>-17925</v>
      </c>
    </row>
    <row r="25" spans="1:166" ht="15" customHeight="1" x14ac:dyDescent="0.25">
      <c r="A25" s="465" t="s">
        <v>367</v>
      </c>
      <c r="B25" s="862"/>
      <c r="C25" s="863"/>
      <c r="D25" s="863">
        <v>1</v>
      </c>
      <c r="E25" s="863"/>
      <c r="F25" s="863"/>
      <c r="G25" s="863"/>
      <c r="H25" s="863"/>
      <c r="I25" s="863"/>
      <c r="J25" s="863"/>
      <c r="K25" s="863"/>
      <c r="L25" s="863">
        <v>2</v>
      </c>
      <c r="M25" s="459"/>
      <c r="N25" s="864">
        <f>SUM(B25:M25)</f>
        <v>3</v>
      </c>
      <c r="O25" s="862"/>
      <c r="P25" s="863">
        <v>1</v>
      </c>
      <c r="Q25" s="863"/>
      <c r="R25" s="863">
        <v>4</v>
      </c>
      <c r="S25" s="863"/>
      <c r="T25" s="863">
        <v>4</v>
      </c>
      <c r="U25" s="863"/>
      <c r="V25" s="863"/>
      <c r="W25" s="863"/>
      <c r="X25" s="863"/>
      <c r="Y25" s="863"/>
      <c r="Z25" s="459"/>
      <c r="AA25" s="864">
        <f>SUM(O25:Z25)</f>
        <v>9</v>
      </c>
      <c r="AB25" s="862">
        <v>3</v>
      </c>
      <c r="AC25" s="863"/>
      <c r="AD25" s="863"/>
      <c r="AE25" s="863"/>
      <c r="AF25" s="863"/>
      <c r="AG25" s="863"/>
      <c r="AH25" s="863"/>
      <c r="AI25" s="863"/>
      <c r="AJ25" s="863"/>
      <c r="AK25" s="863"/>
      <c r="AL25" s="863"/>
      <c r="AM25" s="459"/>
      <c r="AN25" s="864">
        <f>SUM(AB25:AM25)</f>
        <v>3</v>
      </c>
      <c r="AO25" s="862"/>
      <c r="AP25" s="863"/>
      <c r="AQ25" s="863"/>
      <c r="AR25" s="863"/>
      <c r="AS25" s="863"/>
      <c r="AT25" s="863"/>
      <c r="AU25" s="863"/>
      <c r="AV25" s="863"/>
      <c r="AW25" s="863"/>
      <c r="AX25" s="863">
        <v>54</v>
      </c>
      <c r="AY25" s="863"/>
      <c r="AZ25" s="459"/>
      <c r="BA25" s="864">
        <f>SUM(AO25:AZ25)</f>
        <v>54</v>
      </c>
      <c r="BB25" s="862"/>
      <c r="BC25" s="863"/>
      <c r="BD25" s="863"/>
      <c r="BE25" s="863"/>
      <c r="BF25" s="863"/>
      <c r="BG25" s="863"/>
      <c r="BH25" s="863"/>
      <c r="BI25" s="863"/>
      <c r="BJ25" s="863"/>
      <c r="BK25" s="863">
        <v>72</v>
      </c>
      <c r="BL25" s="863"/>
      <c r="BM25" s="459"/>
      <c r="BN25" s="864">
        <f>SUM(BB25:BM25)</f>
        <v>72</v>
      </c>
      <c r="BO25" s="862"/>
      <c r="BP25" s="863">
        <v>2478</v>
      </c>
      <c r="BQ25" s="863"/>
      <c r="BR25" s="863"/>
      <c r="BS25" s="863">
        <v>2961</v>
      </c>
      <c r="BT25" s="863">
        <v>2533</v>
      </c>
      <c r="BU25" s="863"/>
      <c r="BV25" s="863">
        <v>2407</v>
      </c>
      <c r="BW25" s="863">
        <v>1340</v>
      </c>
      <c r="BX25" s="863">
        <v>6619</v>
      </c>
      <c r="BY25" s="863"/>
      <c r="BZ25" s="459">
        <v>3924</v>
      </c>
      <c r="CA25" s="864">
        <f>SUM(BO25:BZ25)</f>
        <v>22262</v>
      </c>
      <c r="CB25" s="862">
        <v>4226</v>
      </c>
      <c r="CC25" s="863">
        <v>6191</v>
      </c>
      <c r="CD25" s="863">
        <v>3000</v>
      </c>
      <c r="CE25" s="863"/>
      <c r="CF25" s="863">
        <v>4890</v>
      </c>
      <c r="CG25" s="863">
        <v>5582</v>
      </c>
      <c r="CH25" s="863">
        <v>4510</v>
      </c>
      <c r="CI25" s="863">
        <v>3293</v>
      </c>
      <c r="CJ25" s="863">
        <v>3288</v>
      </c>
      <c r="CK25" s="863">
        <v>4136</v>
      </c>
      <c r="CL25" s="863">
        <v>12279</v>
      </c>
      <c r="CM25" s="459">
        <v>9130</v>
      </c>
      <c r="CN25" s="864">
        <f>SUM(CB25:CM25)</f>
        <v>60525</v>
      </c>
      <c r="CO25" s="862"/>
      <c r="CP25" s="863">
        <v>16391</v>
      </c>
      <c r="CQ25" s="863">
        <v>6577</v>
      </c>
      <c r="CR25" s="863">
        <v>6805</v>
      </c>
      <c r="CS25" s="863">
        <v>13188</v>
      </c>
      <c r="CT25" s="863">
        <v>9988</v>
      </c>
      <c r="CU25" s="863">
        <v>9690</v>
      </c>
      <c r="CV25" s="863">
        <v>4587</v>
      </c>
      <c r="CW25" s="863"/>
      <c r="CX25" s="863">
        <v>5060</v>
      </c>
      <c r="CY25" s="863">
        <v>10007</v>
      </c>
      <c r="CZ25" s="459">
        <v>10714</v>
      </c>
      <c r="DA25" s="864">
        <f>SUM(CO25:CZ25)</f>
        <v>93007</v>
      </c>
      <c r="DB25" s="862">
        <v>7588</v>
      </c>
      <c r="DC25" s="863">
        <v>5152</v>
      </c>
      <c r="DD25" s="863">
        <v>5593</v>
      </c>
      <c r="DE25" s="863">
        <v>5238</v>
      </c>
      <c r="DF25" s="863">
        <v>3256</v>
      </c>
      <c r="DG25" s="863">
        <v>2475</v>
      </c>
      <c r="DH25" s="863"/>
      <c r="DI25" s="863">
        <v>3003</v>
      </c>
      <c r="DJ25" s="863">
        <v>4114</v>
      </c>
      <c r="DK25" s="863">
        <v>6669</v>
      </c>
      <c r="DL25" s="863">
        <v>4231</v>
      </c>
      <c r="DM25" s="459">
        <v>3808</v>
      </c>
      <c r="DN25" s="864">
        <f>SUM(DB25:DM25)</f>
        <v>51127</v>
      </c>
      <c r="DO25" s="862">
        <v>2438</v>
      </c>
      <c r="DP25" s="863">
        <v>4376</v>
      </c>
      <c r="DQ25" s="863"/>
      <c r="DR25" s="863">
        <v>4214</v>
      </c>
      <c r="DS25" s="863"/>
      <c r="DT25" s="863"/>
      <c r="DU25" s="863"/>
      <c r="DV25" s="863"/>
      <c r="DW25" s="863">
        <v>1441</v>
      </c>
      <c r="DX25" s="863"/>
      <c r="DY25" s="863">
        <v>1560</v>
      </c>
      <c r="DZ25" s="459"/>
      <c r="EA25" s="864">
        <f t="shared" si="43"/>
        <v>14029</v>
      </c>
      <c r="EB25" s="862">
        <v>7215</v>
      </c>
      <c r="EC25" s="863">
        <v>7619</v>
      </c>
      <c r="ED25" s="863"/>
      <c r="EE25" s="863"/>
      <c r="EF25" s="863"/>
      <c r="EG25" s="863"/>
      <c r="EH25" s="863"/>
      <c r="EI25" s="863"/>
      <c r="EJ25" s="863"/>
      <c r="EK25" s="863"/>
      <c r="EL25" s="863"/>
      <c r="EM25" s="456"/>
      <c r="EN25" s="864">
        <f t="shared" si="45"/>
        <v>14834</v>
      </c>
      <c r="EO25" s="457"/>
      <c r="EP25" s="451">
        <v>4584</v>
      </c>
      <c r="EQ25" s="863"/>
      <c r="ER25" s="863"/>
      <c r="ES25" s="863">
        <v>233</v>
      </c>
      <c r="ET25" s="863"/>
      <c r="EU25" s="863">
        <v>186</v>
      </c>
      <c r="EV25" s="863">
        <v>6517</v>
      </c>
      <c r="EW25" s="863"/>
      <c r="EX25" s="863"/>
      <c r="EY25" s="863"/>
      <c r="EZ25" s="459"/>
      <c r="FA25" s="864">
        <f t="shared" si="48"/>
        <v>11520</v>
      </c>
      <c r="FC25" s="939" t="str">
        <f t="shared" si="49"/>
        <v/>
      </c>
      <c r="FD25" s="939">
        <f t="shared" si="50"/>
        <v>-69.098018066603757</v>
      </c>
      <c r="FE25" s="453">
        <f t="shared" si="51"/>
        <v>14834</v>
      </c>
      <c r="FF25" s="453">
        <f t="shared" si="52"/>
        <v>4584</v>
      </c>
      <c r="FH25" s="939" t="str">
        <f t="shared" si="66"/>
        <v/>
      </c>
      <c r="FI25" s="458">
        <f t="shared" si="67"/>
        <v>0</v>
      </c>
      <c r="FJ25" s="459">
        <f t="shared" si="68"/>
        <v>-10250</v>
      </c>
    </row>
    <row r="26" spans="1:166" ht="15" customHeight="1" x14ac:dyDescent="0.25">
      <c r="A26" s="465" t="s">
        <v>347</v>
      </c>
      <c r="B26" s="862"/>
      <c r="C26" s="863"/>
      <c r="D26" s="863"/>
      <c r="E26" s="863"/>
      <c r="F26" s="863"/>
      <c r="G26" s="863"/>
      <c r="H26" s="863"/>
      <c r="I26" s="863"/>
      <c r="J26" s="863"/>
      <c r="K26" s="863"/>
      <c r="L26" s="863"/>
      <c r="M26" s="459"/>
      <c r="N26" s="864"/>
      <c r="O26" s="862"/>
      <c r="P26" s="863"/>
      <c r="Q26" s="863"/>
      <c r="R26" s="863"/>
      <c r="S26" s="863"/>
      <c r="T26" s="863"/>
      <c r="U26" s="863"/>
      <c r="V26" s="863"/>
      <c r="W26" s="863"/>
      <c r="X26" s="863"/>
      <c r="Y26" s="863"/>
      <c r="Z26" s="459"/>
      <c r="AA26" s="864"/>
      <c r="AB26" s="862"/>
      <c r="AC26" s="863"/>
      <c r="AD26" s="863"/>
      <c r="AE26" s="863"/>
      <c r="AF26" s="863"/>
      <c r="AG26" s="863"/>
      <c r="AH26" s="863"/>
      <c r="AI26" s="863"/>
      <c r="AJ26" s="863"/>
      <c r="AK26" s="863"/>
      <c r="AL26" s="863"/>
      <c r="AM26" s="459"/>
      <c r="AN26" s="864"/>
      <c r="AO26" s="862"/>
      <c r="AP26" s="863"/>
      <c r="AQ26" s="863"/>
      <c r="AR26" s="863"/>
      <c r="AS26" s="863"/>
      <c r="AT26" s="863"/>
      <c r="AU26" s="863"/>
      <c r="AV26" s="863"/>
      <c r="AW26" s="863"/>
      <c r="AX26" s="863"/>
      <c r="AY26" s="863"/>
      <c r="AZ26" s="459"/>
      <c r="BA26" s="864">
        <f>SUM(AO26:AZ26)</f>
        <v>0</v>
      </c>
      <c r="BB26" s="862"/>
      <c r="BC26" s="863"/>
      <c r="BD26" s="863"/>
      <c r="BE26" s="863"/>
      <c r="BF26" s="863"/>
      <c r="BG26" s="863"/>
      <c r="BH26" s="863"/>
      <c r="BI26" s="863"/>
      <c r="BJ26" s="863"/>
      <c r="BK26" s="863"/>
      <c r="BL26" s="863"/>
      <c r="BM26" s="459"/>
      <c r="BN26" s="864">
        <f>SUM(BB26:BM26)</f>
        <v>0</v>
      </c>
      <c r="BO26" s="862"/>
      <c r="BP26" s="863"/>
      <c r="BQ26" s="863">
        <v>106</v>
      </c>
      <c r="BR26" s="863"/>
      <c r="BS26" s="863"/>
      <c r="BT26" s="863"/>
      <c r="BU26" s="863"/>
      <c r="BV26" s="863">
        <v>99</v>
      </c>
      <c r="BW26" s="863">
        <v>393</v>
      </c>
      <c r="BX26" s="863">
        <v>18</v>
      </c>
      <c r="BY26" s="863"/>
      <c r="BZ26" s="459"/>
      <c r="CA26" s="864">
        <f>SUM(BO26:BZ26)</f>
        <v>616</v>
      </c>
      <c r="CB26" s="862"/>
      <c r="CC26" s="863"/>
      <c r="CD26" s="863"/>
      <c r="CE26" s="863"/>
      <c r="CF26" s="863"/>
      <c r="CG26" s="863"/>
      <c r="CH26" s="863"/>
      <c r="CI26" s="863"/>
      <c r="CJ26" s="863"/>
      <c r="CK26" s="863"/>
      <c r="CL26" s="863">
        <v>1197</v>
      </c>
      <c r="CM26" s="459">
        <v>2253</v>
      </c>
      <c r="CN26" s="864">
        <f>SUM(CB26:CM26)</f>
        <v>3450</v>
      </c>
      <c r="CO26" s="862">
        <v>1440</v>
      </c>
      <c r="CP26" s="863"/>
      <c r="CQ26" s="863">
        <v>1102</v>
      </c>
      <c r="CR26" s="863"/>
      <c r="CS26" s="863"/>
      <c r="CT26" s="863"/>
      <c r="CU26" s="863"/>
      <c r="CV26" s="863"/>
      <c r="CW26" s="863"/>
      <c r="CX26" s="863"/>
      <c r="CY26" s="863"/>
      <c r="CZ26" s="459"/>
      <c r="DA26" s="864">
        <f>SUM(CO26:CZ26)</f>
        <v>2542</v>
      </c>
      <c r="DB26" s="862"/>
      <c r="DC26" s="863"/>
      <c r="DD26" s="863"/>
      <c r="DE26" s="863"/>
      <c r="DF26" s="863"/>
      <c r="DG26" s="863"/>
      <c r="DH26" s="863"/>
      <c r="DI26" s="863"/>
      <c r="DJ26" s="863"/>
      <c r="DK26" s="863"/>
      <c r="DL26" s="863"/>
      <c r="DM26" s="459"/>
      <c r="DN26" s="864">
        <f>SUM(DB26:DM26)</f>
        <v>0</v>
      </c>
      <c r="DO26" s="862"/>
      <c r="DP26" s="863"/>
      <c r="DQ26" s="863"/>
      <c r="DR26" s="863"/>
      <c r="DS26" s="863"/>
      <c r="DT26" s="863"/>
      <c r="DU26" s="863"/>
      <c r="DV26" s="863"/>
      <c r="DW26" s="863"/>
      <c r="DX26" s="863"/>
      <c r="DY26" s="863"/>
      <c r="DZ26" s="459"/>
      <c r="EA26" s="864">
        <f t="shared" si="43"/>
        <v>0</v>
      </c>
      <c r="EB26" s="862"/>
      <c r="EC26" s="863"/>
      <c r="ED26" s="863"/>
      <c r="EE26" s="863"/>
      <c r="EF26" s="863"/>
      <c r="EG26" s="863"/>
      <c r="EH26" s="863"/>
      <c r="EI26" s="863"/>
      <c r="EJ26" s="863"/>
      <c r="EK26" s="863"/>
      <c r="EL26" s="863"/>
      <c r="EM26" s="456"/>
      <c r="EN26" s="864">
        <f t="shared" si="45"/>
        <v>0</v>
      </c>
      <c r="EO26" s="457"/>
      <c r="EQ26" s="863"/>
      <c r="ER26" s="863"/>
      <c r="ES26" s="863"/>
      <c r="ET26" s="863"/>
      <c r="EU26" s="863"/>
      <c r="EV26" s="863"/>
      <c r="EW26" s="863"/>
      <c r="EX26" s="863"/>
      <c r="EY26" s="863"/>
      <c r="EZ26" s="459"/>
      <c r="FA26" s="864">
        <f t="shared" si="48"/>
        <v>0</v>
      </c>
      <c r="FC26" s="939" t="str">
        <f t="shared" si="49"/>
        <v/>
      </c>
      <c r="FD26" s="939" t="str">
        <f t="shared" si="50"/>
        <v/>
      </c>
      <c r="FE26" s="453">
        <f t="shared" si="51"/>
        <v>0</v>
      </c>
      <c r="FF26" s="453">
        <f t="shared" si="52"/>
        <v>0</v>
      </c>
      <c r="FH26" s="939" t="str">
        <f t="shared" si="66"/>
        <v/>
      </c>
      <c r="FI26" s="458">
        <f t="shared" si="67"/>
        <v>0</v>
      </c>
      <c r="FJ26" s="459">
        <f t="shared" si="68"/>
        <v>0</v>
      </c>
    </row>
    <row r="27" spans="1:166" ht="15" customHeight="1" x14ac:dyDescent="0.25">
      <c r="A27" s="465" t="s">
        <v>339</v>
      </c>
      <c r="B27" s="862"/>
      <c r="C27" s="863"/>
      <c r="D27" s="863"/>
      <c r="E27" s="863"/>
      <c r="F27" s="863"/>
      <c r="G27" s="863"/>
      <c r="H27" s="863"/>
      <c r="I27" s="863"/>
      <c r="J27" s="863"/>
      <c r="K27" s="863"/>
      <c r="L27" s="863"/>
      <c r="M27" s="459"/>
      <c r="N27" s="864">
        <f>SUM(B27:M27)</f>
        <v>0</v>
      </c>
      <c r="O27" s="862"/>
      <c r="P27" s="863"/>
      <c r="Q27" s="863"/>
      <c r="R27" s="863"/>
      <c r="S27" s="863"/>
      <c r="T27" s="863"/>
      <c r="U27" s="863"/>
      <c r="V27" s="863"/>
      <c r="W27" s="863"/>
      <c r="X27" s="863"/>
      <c r="Y27" s="863"/>
      <c r="Z27" s="459"/>
      <c r="AA27" s="864">
        <f>SUM(O27:Z27)</f>
        <v>0</v>
      </c>
      <c r="AB27" s="862"/>
      <c r="AC27" s="863"/>
      <c r="AD27" s="863"/>
      <c r="AE27" s="863"/>
      <c r="AF27" s="863"/>
      <c r="AG27" s="863"/>
      <c r="AH27" s="863"/>
      <c r="AI27" s="863"/>
      <c r="AJ27" s="863"/>
      <c r="AK27" s="863"/>
      <c r="AL27" s="863"/>
      <c r="AM27" s="459"/>
      <c r="AN27" s="864"/>
      <c r="AO27" s="862"/>
      <c r="AP27" s="863"/>
      <c r="AQ27" s="863"/>
      <c r="AR27" s="863"/>
      <c r="AS27" s="863"/>
      <c r="AT27" s="863"/>
      <c r="AU27" s="863"/>
      <c r="AV27" s="863"/>
      <c r="AW27" s="863"/>
      <c r="AX27" s="863"/>
      <c r="AY27" s="863"/>
      <c r="AZ27" s="459"/>
      <c r="BA27" s="864">
        <f>SUM(AO27:AZ27)</f>
        <v>0</v>
      </c>
      <c r="BB27" s="862"/>
      <c r="BC27" s="863"/>
      <c r="BD27" s="863"/>
      <c r="BE27" s="863"/>
      <c r="BF27" s="863"/>
      <c r="BG27" s="863"/>
      <c r="BH27" s="863"/>
      <c r="BI27" s="863"/>
      <c r="BJ27" s="863"/>
      <c r="BK27" s="863"/>
      <c r="BL27" s="863"/>
      <c r="BM27" s="459"/>
      <c r="BN27" s="864">
        <f>SUM(BB27:BM27)</f>
        <v>0</v>
      </c>
      <c r="BO27" s="862"/>
      <c r="BP27" s="863"/>
      <c r="BQ27" s="863"/>
      <c r="BR27" s="863"/>
      <c r="BS27" s="863"/>
      <c r="BT27" s="863"/>
      <c r="BU27" s="863"/>
      <c r="BV27" s="863"/>
      <c r="BW27" s="863"/>
      <c r="BX27" s="863"/>
      <c r="BY27" s="863"/>
      <c r="BZ27" s="459"/>
      <c r="CA27" s="864">
        <f>SUM(BO27:BZ27)</f>
        <v>0</v>
      </c>
      <c r="CB27" s="862"/>
      <c r="CC27" s="863"/>
      <c r="CD27" s="863"/>
      <c r="CE27" s="863"/>
      <c r="CF27" s="863"/>
      <c r="CG27" s="863"/>
      <c r="CH27" s="863"/>
      <c r="CI27" s="863"/>
      <c r="CJ27" s="863"/>
      <c r="CK27" s="863"/>
      <c r="CL27" s="863"/>
      <c r="CM27" s="459"/>
      <c r="CN27" s="864">
        <f>SUM(CB27:CM27)</f>
        <v>0</v>
      </c>
      <c r="CO27" s="862"/>
      <c r="CP27" s="863"/>
      <c r="CQ27" s="863"/>
      <c r="CR27" s="863"/>
      <c r="CS27" s="863"/>
      <c r="CT27" s="863"/>
      <c r="CU27" s="863"/>
      <c r="CV27" s="863"/>
      <c r="CW27" s="863"/>
      <c r="CX27" s="863"/>
      <c r="CY27" s="863"/>
      <c r="CZ27" s="459"/>
      <c r="DA27" s="864">
        <f>SUM(CO27:CZ27)</f>
        <v>0</v>
      </c>
      <c r="DB27" s="862"/>
      <c r="DC27" s="863"/>
      <c r="DD27" s="863"/>
      <c r="DE27" s="863">
        <v>3</v>
      </c>
      <c r="DF27" s="863"/>
      <c r="DG27" s="863"/>
      <c r="DH27" s="863"/>
      <c r="DI27" s="863"/>
      <c r="DJ27" s="863"/>
      <c r="DK27" s="863"/>
      <c r="DL27" s="863"/>
      <c r="DM27" s="459"/>
      <c r="DN27" s="864">
        <f>SUM(DB27:DM27)</f>
        <v>3</v>
      </c>
      <c r="DO27" s="862">
        <v>148</v>
      </c>
      <c r="DP27" s="863">
        <v>37</v>
      </c>
      <c r="DQ27" s="863">
        <v>520</v>
      </c>
      <c r="DR27" s="863">
        <v>1008</v>
      </c>
      <c r="DS27" s="863">
        <v>454</v>
      </c>
      <c r="DT27" s="863"/>
      <c r="DU27" s="863">
        <v>381</v>
      </c>
      <c r="DV27" s="863"/>
      <c r="DW27" s="863"/>
      <c r="DX27" s="863"/>
      <c r="DY27" s="863"/>
      <c r="DZ27" s="459">
        <v>237</v>
      </c>
      <c r="EA27" s="864">
        <f t="shared" si="43"/>
        <v>2785</v>
      </c>
      <c r="EB27" s="862">
        <v>503</v>
      </c>
      <c r="EC27" s="863">
        <v>235</v>
      </c>
      <c r="ED27" s="863">
        <v>502</v>
      </c>
      <c r="EE27" s="863">
        <v>634</v>
      </c>
      <c r="EF27" s="863">
        <v>1364</v>
      </c>
      <c r="EG27" s="863">
        <v>865</v>
      </c>
      <c r="EH27" s="863">
        <v>818</v>
      </c>
      <c r="EI27" s="863">
        <v>195</v>
      </c>
      <c r="EJ27" s="863">
        <v>436</v>
      </c>
      <c r="EK27" s="863">
        <v>790</v>
      </c>
      <c r="EL27" s="863">
        <v>415</v>
      </c>
      <c r="EM27" s="456"/>
      <c r="EN27" s="864">
        <f t="shared" si="45"/>
        <v>6757</v>
      </c>
      <c r="EO27" s="457"/>
      <c r="EQ27" s="863"/>
      <c r="ER27" s="863"/>
      <c r="ES27" s="863"/>
      <c r="ET27" s="863"/>
      <c r="EU27" s="863"/>
      <c r="EV27" s="863"/>
      <c r="EW27" s="863"/>
      <c r="EX27" s="863"/>
      <c r="EY27" s="863"/>
      <c r="EZ27" s="459"/>
      <c r="FA27" s="864">
        <f t="shared" si="48"/>
        <v>0</v>
      </c>
      <c r="FC27" s="939">
        <f t="shared" si="49"/>
        <v>-100</v>
      </c>
      <c r="FD27" s="939">
        <f t="shared" si="50"/>
        <v>-100</v>
      </c>
      <c r="FE27" s="453">
        <f t="shared" si="51"/>
        <v>1240</v>
      </c>
      <c r="FF27" s="453">
        <f t="shared" si="52"/>
        <v>0</v>
      </c>
      <c r="FH27" s="939">
        <f t="shared" si="66"/>
        <v>0</v>
      </c>
      <c r="FI27" s="458">
        <f t="shared" si="67"/>
        <v>-502</v>
      </c>
      <c r="FJ27" s="459">
        <f t="shared" si="68"/>
        <v>-1240</v>
      </c>
    </row>
    <row r="28" spans="1:166" ht="15" customHeight="1" x14ac:dyDescent="0.25">
      <c r="A28" s="465" t="s">
        <v>366</v>
      </c>
      <c r="B28" s="862"/>
      <c r="C28" s="863"/>
      <c r="D28" s="863"/>
      <c r="E28" s="863"/>
      <c r="F28" s="863"/>
      <c r="G28" s="863"/>
      <c r="H28" s="863"/>
      <c r="I28" s="863">
        <v>84</v>
      </c>
      <c r="J28" s="863"/>
      <c r="K28" s="863"/>
      <c r="L28" s="863"/>
      <c r="M28" s="459"/>
      <c r="N28" s="864">
        <f>SUM(B28:M28)</f>
        <v>84</v>
      </c>
      <c r="O28" s="862"/>
      <c r="P28" s="863">
        <v>82</v>
      </c>
      <c r="Q28" s="863"/>
      <c r="R28" s="863">
        <v>88</v>
      </c>
      <c r="S28" s="863">
        <v>74</v>
      </c>
      <c r="T28" s="863">
        <v>89</v>
      </c>
      <c r="U28" s="863">
        <v>421</v>
      </c>
      <c r="V28" s="863">
        <v>321</v>
      </c>
      <c r="W28" s="863">
        <v>254</v>
      </c>
      <c r="X28" s="863">
        <v>148</v>
      </c>
      <c r="Y28" s="863">
        <v>68</v>
      </c>
      <c r="Z28" s="459">
        <v>73</v>
      </c>
      <c r="AA28" s="864">
        <f>SUM(O28:Z28)</f>
        <v>1618</v>
      </c>
      <c r="AB28" s="862">
        <v>55</v>
      </c>
      <c r="AC28" s="863">
        <v>117</v>
      </c>
      <c r="AD28" s="863"/>
      <c r="AE28" s="863">
        <v>108</v>
      </c>
      <c r="AF28" s="863">
        <v>335</v>
      </c>
      <c r="AG28" s="863">
        <v>327</v>
      </c>
      <c r="AH28" s="863">
        <v>540</v>
      </c>
      <c r="AI28" s="863">
        <v>469</v>
      </c>
      <c r="AJ28" s="863">
        <v>561</v>
      </c>
      <c r="AK28" s="863">
        <v>329</v>
      </c>
      <c r="AL28" s="863">
        <v>185</v>
      </c>
      <c r="AM28" s="459">
        <v>201</v>
      </c>
      <c r="AN28" s="864">
        <f>SUM(AB28:AM28)</f>
        <v>3227</v>
      </c>
      <c r="AO28" s="862">
        <v>120</v>
      </c>
      <c r="AP28" s="863">
        <v>130</v>
      </c>
      <c r="AQ28" s="863">
        <v>72</v>
      </c>
      <c r="AR28" s="863"/>
      <c r="AS28" s="863">
        <v>232</v>
      </c>
      <c r="AT28" s="863">
        <v>722</v>
      </c>
      <c r="AU28" s="863">
        <v>452</v>
      </c>
      <c r="AV28" s="863">
        <v>223</v>
      </c>
      <c r="AW28" s="863">
        <v>213</v>
      </c>
      <c r="AX28" s="863">
        <v>486</v>
      </c>
      <c r="AY28" s="863">
        <v>402</v>
      </c>
      <c r="AZ28" s="459">
        <v>339</v>
      </c>
      <c r="BA28" s="864">
        <f>SUM(AO28:AZ28)</f>
        <v>3391</v>
      </c>
      <c r="BB28" s="862">
        <v>208</v>
      </c>
      <c r="BC28" s="863">
        <v>130</v>
      </c>
      <c r="BD28" s="863">
        <v>141</v>
      </c>
      <c r="BE28" s="863">
        <v>145</v>
      </c>
      <c r="BF28" s="863">
        <v>206</v>
      </c>
      <c r="BG28" s="863">
        <v>555</v>
      </c>
      <c r="BH28" s="863">
        <v>1511</v>
      </c>
      <c r="BI28" s="863">
        <v>352</v>
      </c>
      <c r="BJ28" s="863">
        <v>422</v>
      </c>
      <c r="BK28" s="863">
        <v>204</v>
      </c>
      <c r="BL28" s="863">
        <v>345</v>
      </c>
      <c r="BM28" s="459">
        <v>433</v>
      </c>
      <c r="BN28" s="864">
        <f>SUM(BB28:BM28)</f>
        <v>4652</v>
      </c>
      <c r="BO28" s="862">
        <v>522</v>
      </c>
      <c r="BP28" s="863"/>
      <c r="BQ28" s="863">
        <v>162</v>
      </c>
      <c r="BR28" s="863"/>
      <c r="BS28" s="863">
        <v>295</v>
      </c>
      <c r="BT28" s="863">
        <v>655</v>
      </c>
      <c r="BU28" s="863">
        <v>968</v>
      </c>
      <c r="BV28" s="863">
        <v>624</v>
      </c>
      <c r="BW28" s="863">
        <v>433</v>
      </c>
      <c r="BX28" s="863">
        <v>359</v>
      </c>
      <c r="BY28" s="863">
        <v>511</v>
      </c>
      <c r="BZ28" s="459">
        <v>645</v>
      </c>
      <c r="CA28" s="864">
        <f>SUM(BO28:BZ28)</f>
        <v>5174</v>
      </c>
      <c r="CB28" s="862">
        <v>73</v>
      </c>
      <c r="CC28" s="863">
        <v>759</v>
      </c>
      <c r="CD28" s="863">
        <v>389</v>
      </c>
      <c r="CE28" s="863">
        <v>543</v>
      </c>
      <c r="CF28" s="863">
        <v>196</v>
      </c>
      <c r="CG28" s="863">
        <v>461</v>
      </c>
      <c r="CH28" s="863">
        <v>958</v>
      </c>
      <c r="CI28" s="863">
        <v>1251</v>
      </c>
      <c r="CJ28" s="863">
        <v>1051</v>
      </c>
      <c r="CK28" s="863">
        <v>479</v>
      </c>
      <c r="CL28" s="863">
        <v>877</v>
      </c>
      <c r="CM28" s="459">
        <v>1039</v>
      </c>
      <c r="CN28" s="864">
        <f>SUM(CB28:CM28)</f>
        <v>8076</v>
      </c>
      <c r="CO28" s="862">
        <v>288</v>
      </c>
      <c r="CP28" s="863">
        <v>2047</v>
      </c>
      <c r="CQ28" s="863">
        <v>127</v>
      </c>
      <c r="CR28" s="863">
        <v>1292</v>
      </c>
      <c r="CS28" s="863">
        <v>545</v>
      </c>
      <c r="CT28" s="863">
        <v>1644</v>
      </c>
      <c r="CU28" s="863">
        <v>1276</v>
      </c>
      <c r="CV28" s="863">
        <v>1350</v>
      </c>
      <c r="CW28" s="863">
        <v>691</v>
      </c>
      <c r="CX28" s="863">
        <v>953</v>
      </c>
      <c r="CY28" s="863">
        <v>1491</v>
      </c>
      <c r="CZ28" s="459">
        <v>1011</v>
      </c>
      <c r="DA28" s="864">
        <f>SUM(CO28:CZ28)</f>
        <v>12715</v>
      </c>
      <c r="DB28" s="862">
        <v>3052</v>
      </c>
      <c r="DC28" s="863">
        <v>361</v>
      </c>
      <c r="DD28" s="863">
        <v>158</v>
      </c>
      <c r="DE28" s="863">
        <v>66</v>
      </c>
      <c r="DF28" s="863">
        <v>14</v>
      </c>
      <c r="DG28" s="863">
        <v>439</v>
      </c>
      <c r="DH28" s="863">
        <v>959</v>
      </c>
      <c r="DI28" s="863">
        <v>2327</v>
      </c>
      <c r="DJ28" s="863">
        <v>868</v>
      </c>
      <c r="DK28" s="863">
        <v>91</v>
      </c>
      <c r="DL28" s="863">
        <v>829</v>
      </c>
      <c r="DM28" s="459">
        <v>83</v>
      </c>
      <c r="DN28" s="864">
        <f>SUM(DB28:DM28)</f>
        <v>9247</v>
      </c>
      <c r="DO28" s="862">
        <v>3198</v>
      </c>
      <c r="DP28" s="863">
        <v>771</v>
      </c>
      <c r="DQ28" s="863">
        <v>3291</v>
      </c>
      <c r="DR28" s="863">
        <v>5846</v>
      </c>
      <c r="DS28" s="863">
        <v>3937</v>
      </c>
      <c r="DT28" s="863">
        <v>13193</v>
      </c>
      <c r="DU28" s="863">
        <v>23721</v>
      </c>
      <c r="DV28" s="863">
        <v>13255</v>
      </c>
      <c r="DW28" s="863">
        <v>9953</v>
      </c>
      <c r="DX28" s="863">
        <v>4376</v>
      </c>
      <c r="DY28" s="863">
        <v>3495</v>
      </c>
      <c r="DZ28" s="459">
        <v>3994</v>
      </c>
      <c r="EA28" s="864">
        <f t="shared" si="43"/>
        <v>89030</v>
      </c>
      <c r="EB28" s="862">
        <v>1731</v>
      </c>
      <c r="EC28" s="863">
        <v>841</v>
      </c>
      <c r="ED28" s="863">
        <v>5579</v>
      </c>
      <c r="EE28" s="863">
        <v>4279</v>
      </c>
      <c r="EF28" s="863">
        <v>11236</v>
      </c>
      <c r="EG28" s="863">
        <v>4700</v>
      </c>
      <c r="EH28" s="863">
        <v>8198</v>
      </c>
      <c r="EI28" s="863">
        <v>6784</v>
      </c>
      <c r="EJ28" s="863">
        <v>3730</v>
      </c>
      <c r="EK28" s="863">
        <v>2480</v>
      </c>
      <c r="EL28" s="863">
        <v>1185</v>
      </c>
      <c r="EM28" s="456">
        <v>1524</v>
      </c>
      <c r="EN28" s="864">
        <f t="shared" si="45"/>
        <v>52267</v>
      </c>
      <c r="EO28" s="457">
        <v>444</v>
      </c>
      <c r="EP28" s="451">
        <v>685</v>
      </c>
      <c r="EQ28" s="863">
        <v>548</v>
      </c>
      <c r="ER28" s="863">
        <v>503</v>
      </c>
      <c r="ES28" s="863">
        <v>740</v>
      </c>
      <c r="ET28" s="863">
        <v>1468</v>
      </c>
      <c r="EU28" s="863">
        <v>1533</v>
      </c>
      <c r="EV28" s="863">
        <v>1929</v>
      </c>
      <c r="EW28" s="863"/>
      <c r="EX28" s="863"/>
      <c r="EY28" s="863"/>
      <c r="EZ28" s="459"/>
      <c r="FA28" s="864">
        <f t="shared" si="48"/>
        <v>7850</v>
      </c>
      <c r="FC28" s="939">
        <f t="shared" si="49"/>
        <v>-90.177451156121165</v>
      </c>
      <c r="FD28" s="939">
        <f t="shared" si="50"/>
        <v>-79.425837320574161</v>
      </c>
      <c r="FE28" s="453">
        <f t="shared" si="51"/>
        <v>8151</v>
      </c>
      <c r="FF28" s="453">
        <f t="shared" si="52"/>
        <v>1677</v>
      </c>
      <c r="FH28" s="939">
        <f t="shared" si="66"/>
        <v>9.8225488438788311E-2</v>
      </c>
      <c r="FI28" s="458">
        <f t="shared" si="67"/>
        <v>-5031</v>
      </c>
      <c r="FJ28" s="459">
        <f t="shared" si="68"/>
        <v>-6474</v>
      </c>
    </row>
    <row r="29" spans="1:166" ht="15" customHeight="1" x14ac:dyDescent="0.25">
      <c r="A29" s="465" t="s">
        <v>598</v>
      </c>
      <c r="B29" s="862"/>
      <c r="C29" s="863"/>
      <c r="D29" s="863"/>
      <c r="E29" s="863"/>
      <c r="F29" s="863"/>
      <c r="G29" s="863"/>
      <c r="H29" s="863"/>
      <c r="I29" s="863"/>
      <c r="J29" s="863"/>
      <c r="K29" s="863"/>
      <c r="L29" s="863"/>
      <c r="M29" s="459"/>
      <c r="N29" s="864"/>
      <c r="O29" s="862"/>
      <c r="P29" s="863"/>
      <c r="Q29" s="863"/>
      <c r="R29" s="863"/>
      <c r="S29" s="863"/>
      <c r="T29" s="863"/>
      <c r="U29" s="863"/>
      <c r="V29" s="863"/>
      <c r="W29" s="863"/>
      <c r="X29" s="863"/>
      <c r="Y29" s="863"/>
      <c r="Z29" s="459"/>
      <c r="AA29" s="864"/>
      <c r="AB29" s="862"/>
      <c r="AC29" s="863"/>
      <c r="AD29" s="863"/>
      <c r="AE29" s="863"/>
      <c r="AF29" s="863"/>
      <c r="AG29" s="863"/>
      <c r="AH29" s="863"/>
      <c r="AI29" s="863"/>
      <c r="AJ29" s="863"/>
      <c r="AK29" s="863"/>
      <c r="AL29" s="863"/>
      <c r="AM29" s="459"/>
      <c r="AN29" s="864"/>
      <c r="AO29" s="862"/>
      <c r="AP29" s="863"/>
      <c r="AQ29" s="863"/>
      <c r="AR29" s="863"/>
      <c r="AS29" s="863"/>
      <c r="AT29" s="863"/>
      <c r="AU29" s="863"/>
      <c r="AV29" s="863"/>
      <c r="AW29" s="863"/>
      <c r="AX29" s="863"/>
      <c r="AY29" s="863"/>
      <c r="AZ29" s="459"/>
      <c r="BA29" s="864"/>
      <c r="BB29" s="862"/>
      <c r="BC29" s="863"/>
      <c r="BD29" s="863"/>
      <c r="BE29" s="863"/>
      <c r="BF29" s="863"/>
      <c r="BG29" s="863"/>
      <c r="BH29" s="863"/>
      <c r="BI29" s="863"/>
      <c r="BJ29" s="863"/>
      <c r="BK29" s="863"/>
      <c r="BL29" s="863"/>
      <c r="BM29" s="459"/>
      <c r="BN29" s="864"/>
      <c r="BO29" s="862"/>
      <c r="BP29" s="863"/>
      <c r="BQ29" s="863"/>
      <c r="BR29" s="863"/>
      <c r="BS29" s="863"/>
      <c r="BT29" s="863"/>
      <c r="BU29" s="863"/>
      <c r="BV29" s="863"/>
      <c r="BW29" s="863"/>
      <c r="BX29" s="863"/>
      <c r="BY29" s="863"/>
      <c r="BZ29" s="459"/>
      <c r="CA29" s="864"/>
      <c r="CB29" s="862"/>
      <c r="CC29" s="863"/>
      <c r="CD29" s="863"/>
      <c r="CE29" s="863"/>
      <c r="CF29" s="863"/>
      <c r="CG29" s="863"/>
      <c r="CH29" s="863"/>
      <c r="CI29" s="863"/>
      <c r="CJ29" s="863"/>
      <c r="CK29" s="863"/>
      <c r="CL29" s="863"/>
      <c r="CM29" s="459"/>
      <c r="CN29" s="864"/>
      <c r="CO29" s="862"/>
      <c r="CP29" s="863"/>
      <c r="CQ29" s="863"/>
      <c r="CR29" s="863"/>
      <c r="CS29" s="863"/>
      <c r="CT29" s="863"/>
      <c r="CU29" s="863"/>
      <c r="CV29" s="863"/>
      <c r="CW29" s="863"/>
      <c r="CX29" s="863"/>
      <c r="CY29" s="863"/>
      <c r="CZ29" s="459"/>
      <c r="DA29" s="864"/>
      <c r="DB29" s="862"/>
      <c r="DC29" s="863"/>
      <c r="DD29" s="863"/>
      <c r="DE29" s="863"/>
      <c r="DF29" s="863"/>
      <c r="DG29" s="863"/>
      <c r="DH29" s="863"/>
      <c r="DI29" s="863"/>
      <c r="DJ29" s="863"/>
      <c r="DK29" s="863"/>
      <c r="DL29" s="863"/>
      <c r="DM29" s="459"/>
      <c r="DN29" s="864"/>
      <c r="DO29" s="862"/>
      <c r="DP29" s="863"/>
      <c r="DQ29" s="863"/>
      <c r="DR29" s="863"/>
      <c r="DS29" s="863"/>
      <c r="DT29" s="863"/>
      <c r="DU29" s="863"/>
      <c r="DV29" s="863"/>
      <c r="DW29" s="863"/>
      <c r="DX29" s="863"/>
      <c r="DY29" s="863"/>
      <c r="DZ29" s="459"/>
      <c r="EA29" s="864">
        <f t="shared" si="43"/>
        <v>0</v>
      </c>
      <c r="EB29" s="862"/>
      <c r="EC29" s="863"/>
      <c r="ED29" s="863"/>
      <c r="EE29" s="863"/>
      <c r="EF29" s="863"/>
      <c r="EG29" s="863"/>
      <c r="EH29" s="863"/>
      <c r="EI29" s="863"/>
      <c r="EJ29" s="863">
        <v>115</v>
      </c>
      <c r="EK29" s="863"/>
      <c r="EL29" s="863"/>
      <c r="EM29" s="456"/>
      <c r="EN29" s="864">
        <f t="shared" si="45"/>
        <v>115</v>
      </c>
      <c r="EO29" s="457"/>
      <c r="EQ29" s="863"/>
      <c r="ER29" s="863"/>
      <c r="ES29" s="863"/>
      <c r="ET29" s="863"/>
      <c r="EU29" s="863"/>
      <c r="EV29" s="863"/>
      <c r="EW29" s="863"/>
      <c r="EX29" s="863"/>
      <c r="EY29" s="863"/>
      <c r="EZ29" s="459"/>
      <c r="FA29" s="864">
        <f t="shared" si="48"/>
        <v>0</v>
      </c>
      <c r="FC29" s="939" t="str">
        <f t="shared" si="49"/>
        <v/>
      </c>
      <c r="FD29" s="939" t="str">
        <f t="shared" si="50"/>
        <v/>
      </c>
      <c r="FE29" s="453">
        <f t="shared" si="51"/>
        <v>0</v>
      </c>
      <c r="FF29" s="453">
        <f t="shared" si="52"/>
        <v>0</v>
      </c>
      <c r="FH29" s="939" t="str">
        <f t="shared" si="66"/>
        <v/>
      </c>
      <c r="FI29" s="458">
        <f t="shared" si="67"/>
        <v>0</v>
      </c>
      <c r="FJ29" s="459">
        <f t="shared" si="68"/>
        <v>0</v>
      </c>
    </row>
    <row r="30" spans="1:166" ht="15" customHeight="1" x14ac:dyDescent="0.25">
      <c r="A30" s="465" t="s">
        <v>602</v>
      </c>
      <c r="B30" s="862"/>
      <c r="C30" s="863"/>
      <c r="D30" s="863"/>
      <c r="E30" s="863"/>
      <c r="F30" s="863"/>
      <c r="G30" s="863"/>
      <c r="H30" s="863"/>
      <c r="I30" s="863"/>
      <c r="J30" s="863"/>
      <c r="K30" s="863"/>
      <c r="L30" s="863"/>
      <c r="M30" s="459"/>
      <c r="N30" s="864"/>
      <c r="O30" s="862"/>
      <c r="P30" s="863"/>
      <c r="Q30" s="863"/>
      <c r="R30" s="863"/>
      <c r="S30" s="863"/>
      <c r="T30" s="863"/>
      <c r="U30" s="863"/>
      <c r="V30" s="863"/>
      <c r="W30" s="863"/>
      <c r="X30" s="863"/>
      <c r="Y30" s="863"/>
      <c r="Z30" s="459"/>
      <c r="AA30" s="864"/>
      <c r="AB30" s="862"/>
      <c r="AC30" s="863"/>
      <c r="AD30" s="863"/>
      <c r="AE30" s="863"/>
      <c r="AF30" s="863"/>
      <c r="AG30" s="863"/>
      <c r="AH30" s="863"/>
      <c r="AI30" s="863"/>
      <c r="AJ30" s="863"/>
      <c r="AK30" s="863"/>
      <c r="AL30" s="863"/>
      <c r="AM30" s="459"/>
      <c r="AN30" s="864"/>
      <c r="AO30" s="862"/>
      <c r="AP30" s="863"/>
      <c r="AQ30" s="863"/>
      <c r="AR30" s="863"/>
      <c r="AS30" s="863"/>
      <c r="AT30" s="863"/>
      <c r="AU30" s="863"/>
      <c r="AV30" s="863"/>
      <c r="AW30" s="863"/>
      <c r="AX30" s="863"/>
      <c r="AY30" s="863"/>
      <c r="AZ30" s="459"/>
      <c r="BA30" s="864"/>
      <c r="BB30" s="862"/>
      <c r="BC30" s="863"/>
      <c r="BD30" s="863"/>
      <c r="BE30" s="863"/>
      <c r="BF30" s="863"/>
      <c r="BG30" s="863"/>
      <c r="BH30" s="863"/>
      <c r="BI30" s="863"/>
      <c r="BJ30" s="863"/>
      <c r="BK30" s="863"/>
      <c r="BL30" s="863"/>
      <c r="BM30" s="459"/>
      <c r="BN30" s="864"/>
      <c r="BO30" s="862"/>
      <c r="BP30" s="863"/>
      <c r="BQ30" s="863"/>
      <c r="BR30" s="863"/>
      <c r="BS30" s="863"/>
      <c r="BT30" s="863"/>
      <c r="BU30" s="863"/>
      <c r="BV30" s="863"/>
      <c r="BW30" s="863"/>
      <c r="BX30" s="863"/>
      <c r="BY30" s="863"/>
      <c r="BZ30" s="459"/>
      <c r="CA30" s="864"/>
      <c r="CB30" s="862"/>
      <c r="CC30" s="863"/>
      <c r="CD30" s="863"/>
      <c r="CE30" s="863"/>
      <c r="CF30" s="863"/>
      <c r="CG30" s="863"/>
      <c r="CH30" s="863"/>
      <c r="CI30" s="863"/>
      <c r="CJ30" s="863"/>
      <c r="CK30" s="863"/>
      <c r="CL30" s="863"/>
      <c r="CM30" s="459"/>
      <c r="CN30" s="864"/>
      <c r="CO30" s="862"/>
      <c r="CP30" s="863"/>
      <c r="CQ30" s="863"/>
      <c r="CR30" s="863"/>
      <c r="CS30" s="863"/>
      <c r="CT30" s="863"/>
      <c r="CU30" s="863"/>
      <c r="CV30" s="863"/>
      <c r="CW30" s="863"/>
      <c r="CX30" s="863"/>
      <c r="CY30" s="863"/>
      <c r="CZ30" s="459"/>
      <c r="DA30" s="864">
        <f>SUM(CO30:CZ30)</f>
        <v>0</v>
      </c>
      <c r="DB30" s="862"/>
      <c r="DC30" s="863"/>
      <c r="DD30" s="863"/>
      <c r="DE30" s="863"/>
      <c r="DF30" s="863"/>
      <c r="DG30" s="863"/>
      <c r="DH30" s="863"/>
      <c r="DI30" s="863"/>
      <c r="DJ30" s="863"/>
      <c r="DK30" s="863"/>
      <c r="DL30" s="863"/>
      <c r="DM30" s="459"/>
      <c r="DN30" s="864">
        <f>SUM(DB30:DM30)</f>
        <v>0</v>
      </c>
      <c r="DO30" s="862">
        <v>19</v>
      </c>
      <c r="DP30" s="863"/>
      <c r="DQ30" s="863"/>
      <c r="DR30" s="863"/>
      <c r="DS30" s="863">
        <v>52</v>
      </c>
      <c r="DT30" s="863">
        <v>79</v>
      </c>
      <c r="DU30" s="863">
        <v>109</v>
      </c>
      <c r="DV30" s="863">
        <v>128</v>
      </c>
      <c r="DW30" s="863">
        <v>128</v>
      </c>
      <c r="DX30" s="863"/>
      <c r="DY30" s="863"/>
      <c r="DZ30" s="459">
        <v>143</v>
      </c>
      <c r="EA30" s="864">
        <f t="shared" si="43"/>
        <v>658</v>
      </c>
      <c r="EB30" s="862"/>
      <c r="EC30" s="863"/>
      <c r="ED30" s="863">
        <v>17</v>
      </c>
      <c r="EE30" s="863"/>
      <c r="EF30" s="863"/>
      <c r="EG30" s="863"/>
      <c r="EH30" s="863">
        <v>151</v>
      </c>
      <c r="EI30" s="863">
        <v>155</v>
      </c>
      <c r="EJ30" s="863">
        <v>35</v>
      </c>
      <c r="EK30" s="863">
        <v>62</v>
      </c>
      <c r="EL30" s="863">
        <v>176</v>
      </c>
      <c r="EM30" s="456"/>
      <c r="EN30" s="864">
        <f t="shared" si="45"/>
        <v>596</v>
      </c>
      <c r="EO30" s="457"/>
      <c r="EP30" s="451">
        <v>46</v>
      </c>
      <c r="EQ30" s="863">
        <v>10</v>
      </c>
      <c r="ER30" s="863"/>
      <c r="ES30" s="863"/>
      <c r="ET30" s="863">
        <v>135</v>
      </c>
      <c r="EU30" s="863">
        <v>20</v>
      </c>
      <c r="EV30" s="863">
        <v>123</v>
      </c>
      <c r="EW30" s="863"/>
      <c r="EX30" s="863"/>
      <c r="EY30" s="863"/>
      <c r="EZ30" s="459"/>
      <c r="FA30" s="864">
        <f t="shared" si="48"/>
        <v>334</v>
      </c>
      <c r="FC30" s="939">
        <f t="shared" si="49"/>
        <v>-41.17647058823529</v>
      </c>
      <c r="FD30" s="939">
        <f t="shared" si="50"/>
        <v>229.41176470588235</v>
      </c>
      <c r="FE30" s="453">
        <f t="shared" si="51"/>
        <v>17</v>
      </c>
      <c r="FF30" s="453">
        <f t="shared" si="52"/>
        <v>56</v>
      </c>
      <c r="FH30" s="939">
        <f t="shared" si="66"/>
        <v>0.58823529411764708</v>
      </c>
      <c r="FI30" s="458">
        <f t="shared" si="67"/>
        <v>-7</v>
      </c>
      <c r="FJ30" s="459">
        <f t="shared" si="68"/>
        <v>39</v>
      </c>
    </row>
    <row r="31" spans="1:166" ht="15" customHeight="1" x14ac:dyDescent="0.25">
      <c r="A31" s="465" t="s">
        <v>346</v>
      </c>
      <c r="B31" s="862"/>
      <c r="C31" s="863"/>
      <c r="D31" s="863"/>
      <c r="E31" s="863"/>
      <c r="F31" s="863"/>
      <c r="G31" s="863"/>
      <c r="H31" s="863"/>
      <c r="I31" s="863"/>
      <c r="J31" s="863"/>
      <c r="K31" s="863"/>
      <c r="L31" s="863"/>
      <c r="M31" s="459"/>
      <c r="N31" s="864"/>
      <c r="O31" s="862"/>
      <c r="P31" s="863"/>
      <c r="Q31" s="863"/>
      <c r="R31" s="863"/>
      <c r="S31" s="863"/>
      <c r="T31" s="863"/>
      <c r="U31" s="863"/>
      <c r="V31" s="863"/>
      <c r="W31" s="863"/>
      <c r="X31" s="863"/>
      <c r="Y31" s="863"/>
      <c r="Z31" s="459"/>
      <c r="AA31" s="864"/>
      <c r="AB31" s="862"/>
      <c r="AC31" s="863"/>
      <c r="AD31" s="863"/>
      <c r="AE31" s="863"/>
      <c r="AF31" s="863"/>
      <c r="AG31" s="863"/>
      <c r="AH31" s="863"/>
      <c r="AI31" s="863"/>
      <c r="AJ31" s="863"/>
      <c r="AK31" s="863"/>
      <c r="AL31" s="863"/>
      <c r="AM31" s="459"/>
      <c r="AN31" s="864"/>
      <c r="AO31" s="862"/>
      <c r="AP31" s="863"/>
      <c r="AQ31" s="863"/>
      <c r="AR31" s="863"/>
      <c r="AS31" s="863"/>
      <c r="AT31" s="863"/>
      <c r="AU31" s="863"/>
      <c r="AV31" s="863"/>
      <c r="AW31" s="863"/>
      <c r="AX31" s="863"/>
      <c r="AY31" s="863"/>
      <c r="AZ31" s="459"/>
      <c r="BA31" s="864"/>
      <c r="BB31" s="862"/>
      <c r="BC31" s="863"/>
      <c r="BD31" s="863"/>
      <c r="BE31" s="863"/>
      <c r="BF31" s="863"/>
      <c r="BG31" s="863"/>
      <c r="BH31" s="863"/>
      <c r="BI31" s="863"/>
      <c r="BJ31" s="863"/>
      <c r="BK31" s="863"/>
      <c r="BL31" s="863"/>
      <c r="BM31" s="459"/>
      <c r="BN31" s="864"/>
      <c r="BO31" s="862"/>
      <c r="BP31" s="863"/>
      <c r="BQ31" s="863"/>
      <c r="BR31" s="863"/>
      <c r="BS31" s="863"/>
      <c r="BT31" s="863"/>
      <c r="BU31" s="863"/>
      <c r="BV31" s="863"/>
      <c r="BW31" s="863"/>
      <c r="BX31" s="863"/>
      <c r="BY31" s="863"/>
      <c r="BZ31" s="459"/>
      <c r="CA31" s="864"/>
      <c r="CB31" s="862"/>
      <c r="CC31" s="863"/>
      <c r="CD31" s="863"/>
      <c r="CE31" s="863"/>
      <c r="CF31" s="863"/>
      <c r="CG31" s="863"/>
      <c r="CH31" s="863"/>
      <c r="CI31" s="863"/>
      <c r="CJ31" s="863"/>
      <c r="CK31" s="863"/>
      <c r="CL31" s="863"/>
      <c r="CM31" s="459"/>
      <c r="CN31" s="864"/>
      <c r="CO31" s="862"/>
      <c r="CP31" s="863"/>
      <c r="CQ31" s="863"/>
      <c r="CR31" s="863"/>
      <c r="CS31" s="863"/>
      <c r="CT31" s="863"/>
      <c r="CU31" s="863"/>
      <c r="CV31" s="863"/>
      <c r="CW31" s="863"/>
      <c r="CX31" s="863"/>
      <c r="CY31" s="863"/>
      <c r="CZ31" s="459"/>
      <c r="DA31" s="864"/>
      <c r="DB31" s="862"/>
      <c r="DC31" s="863"/>
      <c r="DD31" s="863"/>
      <c r="DE31" s="863"/>
      <c r="DF31" s="863"/>
      <c r="DG31" s="863"/>
      <c r="DH31" s="863"/>
      <c r="DI31" s="863"/>
      <c r="DJ31" s="863"/>
      <c r="DK31" s="863"/>
      <c r="DL31" s="863"/>
      <c r="DM31" s="459"/>
      <c r="DN31" s="864"/>
      <c r="DO31" s="862">
        <v>24</v>
      </c>
      <c r="DP31" s="863"/>
      <c r="DQ31" s="863">
        <v>120</v>
      </c>
      <c r="DR31" s="863"/>
      <c r="DS31" s="863"/>
      <c r="DT31" s="863"/>
      <c r="DU31" s="863"/>
      <c r="DV31" s="863"/>
      <c r="DW31" s="863"/>
      <c r="DX31" s="863"/>
      <c r="DY31" s="863"/>
      <c r="DZ31" s="459"/>
      <c r="EA31" s="864">
        <f t="shared" si="43"/>
        <v>144</v>
      </c>
      <c r="EB31" s="862"/>
      <c r="EC31" s="863"/>
      <c r="ED31" s="863"/>
      <c r="EE31" s="863"/>
      <c r="EF31" s="863"/>
      <c r="EG31" s="863"/>
      <c r="EH31" s="863"/>
      <c r="EI31" s="863"/>
      <c r="EJ31" s="863"/>
      <c r="EK31" s="863"/>
      <c r="EL31" s="863"/>
      <c r="EM31" s="456"/>
      <c r="EN31" s="864">
        <f t="shared" si="45"/>
        <v>0</v>
      </c>
      <c r="EO31" s="457"/>
      <c r="EQ31" s="863"/>
      <c r="ER31" s="863"/>
      <c r="ES31" s="863"/>
      <c r="ET31" s="863"/>
      <c r="EU31" s="863"/>
      <c r="EV31" s="863"/>
      <c r="EW31" s="863"/>
      <c r="EX31" s="863"/>
      <c r="EY31" s="863"/>
      <c r="EZ31" s="459"/>
      <c r="FA31" s="864">
        <f t="shared" si="48"/>
        <v>0</v>
      </c>
      <c r="FC31" s="939" t="str">
        <f t="shared" si="49"/>
        <v/>
      </c>
      <c r="FD31" s="939" t="str">
        <f t="shared" si="50"/>
        <v/>
      </c>
      <c r="FE31" s="453">
        <f t="shared" si="51"/>
        <v>0</v>
      </c>
      <c r="FF31" s="453">
        <f t="shared" si="52"/>
        <v>0</v>
      </c>
      <c r="FH31" s="939"/>
      <c r="FI31" s="458"/>
      <c r="FJ31" s="459"/>
    </row>
    <row r="32" spans="1:166" ht="15" customHeight="1" x14ac:dyDescent="0.25">
      <c r="A32" s="465" t="s">
        <v>577</v>
      </c>
      <c r="B32" s="862"/>
      <c r="C32" s="863"/>
      <c r="D32" s="863"/>
      <c r="E32" s="863"/>
      <c r="F32" s="863"/>
      <c r="G32" s="863"/>
      <c r="H32" s="863"/>
      <c r="I32" s="863"/>
      <c r="J32" s="863"/>
      <c r="K32" s="863"/>
      <c r="L32" s="863"/>
      <c r="M32" s="459"/>
      <c r="N32" s="864">
        <f>SUM(B32:M32)</f>
        <v>0</v>
      </c>
      <c r="O32" s="862"/>
      <c r="P32" s="863"/>
      <c r="Q32" s="863"/>
      <c r="R32" s="863"/>
      <c r="S32" s="863"/>
      <c r="T32" s="863"/>
      <c r="U32" s="863"/>
      <c r="V32" s="863"/>
      <c r="W32" s="863"/>
      <c r="X32" s="863"/>
      <c r="Y32" s="863"/>
      <c r="Z32" s="459"/>
      <c r="AA32" s="864">
        <f>SUM(O32:Z32)</f>
        <v>0</v>
      </c>
      <c r="AB32" s="862"/>
      <c r="AC32" s="863"/>
      <c r="AD32" s="863"/>
      <c r="AE32" s="863"/>
      <c r="AF32" s="863"/>
      <c r="AG32" s="863"/>
      <c r="AH32" s="863"/>
      <c r="AI32" s="863"/>
      <c r="AJ32" s="863"/>
      <c r="AK32" s="863"/>
      <c r="AL32" s="863"/>
      <c r="AM32" s="459"/>
      <c r="AN32" s="864"/>
      <c r="AO32" s="862"/>
      <c r="AP32" s="863"/>
      <c r="AQ32" s="863"/>
      <c r="AR32" s="863"/>
      <c r="AS32" s="863"/>
      <c r="AT32" s="863"/>
      <c r="AU32" s="863"/>
      <c r="AV32" s="863"/>
      <c r="AW32" s="863"/>
      <c r="AX32" s="863"/>
      <c r="AY32" s="863"/>
      <c r="AZ32" s="459"/>
      <c r="BA32" s="864">
        <f>SUM(AO32:AZ32)</f>
        <v>0</v>
      </c>
      <c r="BB32" s="862"/>
      <c r="BC32" s="863"/>
      <c r="BD32" s="863"/>
      <c r="BE32" s="863"/>
      <c r="BF32" s="863"/>
      <c r="BG32" s="863"/>
      <c r="BH32" s="863"/>
      <c r="BI32" s="863"/>
      <c r="BJ32" s="863"/>
      <c r="BK32" s="863"/>
      <c r="BL32" s="863"/>
      <c r="BM32" s="459"/>
      <c r="BN32" s="864">
        <f>SUM(BB32:BM32)</f>
        <v>0</v>
      </c>
      <c r="BO32" s="862"/>
      <c r="BP32" s="863"/>
      <c r="BQ32" s="863"/>
      <c r="BR32" s="863"/>
      <c r="BS32" s="863"/>
      <c r="BT32" s="863"/>
      <c r="BU32" s="863"/>
      <c r="BV32" s="863"/>
      <c r="BW32" s="863"/>
      <c r="BX32" s="863"/>
      <c r="BY32" s="863"/>
      <c r="BZ32" s="459"/>
      <c r="CA32" s="864">
        <f>SUM(BO32:BZ32)</f>
        <v>0</v>
      </c>
      <c r="CB32" s="862"/>
      <c r="CC32" s="863"/>
      <c r="CD32" s="863"/>
      <c r="CE32" s="863"/>
      <c r="CF32" s="863"/>
      <c r="CG32" s="863"/>
      <c r="CH32" s="863"/>
      <c r="CI32" s="863"/>
      <c r="CJ32" s="863"/>
      <c r="CK32" s="863"/>
      <c r="CL32" s="863"/>
      <c r="CM32" s="459"/>
      <c r="CN32" s="864">
        <f>SUM(CB32:CM32)</f>
        <v>0</v>
      </c>
      <c r="CO32" s="862"/>
      <c r="CP32" s="863"/>
      <c r="CQ32" s="863"/>
      <c r="CR32" s="863"/>
      <c r="CS32" s="863"/>
      <c r="CT32" s="863"/>
      <c r="CU32" s="863"/>
      <c r="CV32" s="863"/>
      <c r="CW32" s="863"/>
      <c r="CX32" s="863"/>
      <c r="CY32" s="863"/>
      <c r="CZ32" s="459"/>
      <c r="DA32" s="864">
        <f>SUM(CO32:CZ32)</f>
        <v>0</v>
      </c>
      <c r="DB32" s="862"/>
      <c r="DC32" s="863"/>
      <c r="DD32" s="863"/>
      <c r="DE32" s="863">
        <v>25</v>
      </c>
      <c r="DF32" s="863"/>
      <c r="DG32" s="863"/>
      <c r="DH32" s="863"/>
      <c r="DI32" s="863"/>
      <c r="DJ32" s="863"/>
      <c r="DK32" s="863"/>
      <c r="DL32" s="863"/>
      <c r="DM32" s="459"/>
      <c r="DN32" s="864">
        <f>SUM(DB32:DM32)</f>
        <v>25</v>
      </c>
      <c r="DO32" s="862"/>
      <c r="DP32" s="863"/>
      <c r="DQ32" s="863"/>
      <c r="DR32" s="863"/>
      <c r="DS32" s="863"/>
      <c r="DT32" s="863"/>
      <c r="DU32" s="863"/>
      <c r="DV32" s="863"/>
      <c r="DW32" s="863"/>
      <c r="DX32" s="863"/>
      <c r="DY32" s="863"/>
      <c r="DZ32" s="459"/>
      <c r="EA32" s="864">
        <f t="shared" si="43"/>
        <v>0</v>
      </c>
      <c r="EB32" s="862"/>
      <c r="EC32" s="863"/>
      <c r="ED32" s="863"/>
      <c r="EE32" s="863"/>
      <c r="EF32" s="863"/>
      <c r="EG32" s="863"/>
      <c r="EH32" s="863"/>
      <c r="EI32" s="863"/>
      <c r="EJ32" s="863"/>
      <c r="EK32" s="863"/>
      <c r="EL32" s="863"/>
      <c r="EM32" s="456"/>
      <c r="EN32" s="864">
        <f t="shared" si="45"/>
        <v>0</v>
      </c>
      <c r="EO32" s="457"/>
      <c r="EQ32" s="863"/>
      <c r="ER32" s="863"/>
      <c r="ES32" s="863"/>
      <c r="ET32" s="863"/>
      <c r="EU32" s="863"/>
      <c r="EV32" s="863"/>
      <c r="EW32" s="863"/>
      <c r="EX32" s="863"/>
      <c r="EY32" s="863"/>
      <c r="EZ32" s="459"/>
      <c r="FA32" s="864">
        <f t="shared" si="48"/>
        <v>0</v>
      </c>
      <c r="FC32" s="939" t="str">
        <f t="shared" si="49"/>
        <v/>
      </c>
      <c r="FD32" s="939" t="str">
        <f t="shared" si="50"/>
        <v/>
      </c>
      <c r="FE32" s="453">
        <f t="shared" si="51"/>
        <v>0</v>
      </c>
      <c r="FF32" s="453">
        <f t="shared" si="52"/>
        <v>0</v>
      </c>
      <c r="FH32" s="939" t="str">
        <f>IFERROR((
_xlfn.XLOOKUP((DATE(YEAR($FC$5),MONTH($FC$5),1)),UCA.X.DATE,$B32:$FA32) /
_xlfn.XLOOKUP((DATE(YEAR($FC$5)-1,MONTH($FC$5),1)),UCA.X.DATE,$B32:$FA32)),"")</f>
        <v/>
      </c>
      <c r="FI32" s="458">
        <f>IFERROR((
_xlfn.XLOOKUP((DATE(YEAR($FC$5),MONTH($FC$5),1)),UCA.X.DATE,$B32:$FA32) -
_xlfn.XLOOKUP((DATE(YEAR($FC$5)-1,MONTH($FC$5),1)),UCA.X.DATE,$B32:$FA32)),"")</f>
        <v>0</v>
      </c>
      <c r="FJ32" s="459">
        <f>FF32-FE32</f>
        <v>0</v>
      </c>
    </row>
    <row r="33" spans="1:166" ht="15" customHeight="1" x14ac:dyDescent="0.25">
      <c r="A33" s="460" t="s">
        <v>673</v>
      </c>
      <c r="B33" s="867">
        <v>274</v>
      </c>
      <c r="C33" s="868">
        <v>18</v>
      </c>
      <c r="D33" s="868">
        <v>73</v>
      </c>
      <c r="E33" s="868">
        <v>294</v>
      </c>
      <c r="F33" s="868">
        <v>68</v>
      </c>
      <c r="G33" s="868">
        <v>6</v>
      </c>
      <c r="H33" s="868">
        <v>118</v>
      </c>
      <c r="I33" s="868">
        <v>37</v>
      </c>
      <c r="J33" s="868">
        <v>120</v>
      </c>
      <c r="K33" s="868">
        <v>1</v>
      </c>
      <c r="L33" s="868">
        <v>37</v>
      </c>
      <c r="M33" s="464">
        <v>108</v>
      </c>
      <c r="N33" s="869">
        <v>1154</v>
      </c>
      <c r="O33" s="867">
        <v>6</v>
      </c>
      <c r="P33" s="868">
        <v>216</v>
      </c>
      <c r="Q33" s="868">
        <v>87</v>
      </c>
      <c r="R33" s="868">
        <v>249</v>
      </c>
      <c r="S33" s="868">
        <v>41</v>
      </c>
      <c r="T33" s="868">
        <v>293</v>
      </c>
      <c r="U33" s="868">
        <v>245</v>
      </c>
      <c r="V33" s="868">
        <v>41</v>
      </c>
      <c r="W33" s="868">
        <v>63</v>
      </c>
      <c r="X33" s="868">
        <v>30</v>
      </c>
      <c r="Y33" s="868">
        <v>28</v>
      </c>
      <c r="Z33" s="464">
        <v>17</v>
      </c>
      <c r="AA33" s="869">
        <v>1316</v>
      </c>
      <c r="AB33" s="867">
        <v>176</v>
      </c>
      <c r="AC33" s="868">
        <v>204</v>
      </c>
      <c r="AD33" s="868">
        <v>125</v>
      </c>
      <c r="AE33" s="868">
        <v>168</v>
      </c>
      <c r="AF33" s="868">
        <v>6</v>
      </c>
      <c r="AG33" s="868">
        <v>417</v>
      </c>
      <c r="AH33" s="868">
        <v>60</v>
      </c>
      <c r="AI33" s="868">
        <v>280</v>
      </c>
      <c r="AJ33" s="868">
        <v>269</v>
      </c>
      <c r="AK33" s="868">
        <v>17</v>
      </c>
      <c r="AL33" s="868">
        <v>99</v>
      </c>
      <c r="AM33" s="464">
        <v>148</v>
      </c>
      <c r="AN33" s="869">
        <v>1969</v>
      </c>
      <c r="AO33" s="867">
        <v>38</v>
      </c>
      <c r="AP33" s="868"/>
      <c r="AQ33" s="868">
        <v>55</v>
      </c>
      <c r="AR33" s="868">
        <v>123</v>
      </c>
      <c r="AS33" s="868">
        <v>161</v>
      </c>
      <c r="AT33" s="868">
        <v>8</v>
      </c>
      <c r="AU33" s="868">
        <v>49</v>
      </c>
      <c r="AV33" s="868">
        <v>2</v>
      </c>
      <c r="AW33" s="868">
        <v>142</v>
      </c>
      <c r="AX33" s="868">
        <v>134</v>
      </c>
      <c r="AY33" s="868">
        <v>160</v>
      </c>
      <c r="AZ33" s="464">
        <v>11</v>
      </c>
      <c r="BA33" s="869">
        <v>883</v>
      </c>
      <c r="BB33" s="867">
        <v>38</v>
      </c>
      <c r="BC33" s="868">
        <v>20</v>
      </c>
      <c r="BD33" s="868">
        <v>67</v>
      </c>
      <c r="BE33" s="868">
        <v>7</v>
      </c>
      <c r="BF33" s="868"/>
      <c r="BG33" s="868">
        <v>196</v>
      </c>
      <c r="BH33" s="868">
        <v>99</v>
      </c>
      <c r="BI33" s="868"/>
      <c r="BJ33" s="868">
        <v>78</v>
      </c>
      <c r="BK33" s="868">
        <v>3</v>
      </c>
      <c r="BL33" s="868">
        <v>21</v>
      </c>
      <c r="BM33" s="464">
        <v>43</v>
      </c>
      <c r="BN33" s="869">
        <v>572</v>
      </c>
      <c r="BO33" s="867">
        <v>56</v>
      </c>
      <c r="BP33" s="868">
        <v>23</v>
      </c>
      <c r="BQ33" s="868">
        <v>57</v>
      </c>
      <c r="BR33" s="868"/>
      <c r="BS33" s="868"/>
      <c r="BT33" s="868">
        <v>33</v>
      </c>
      <c r="BU33" s="868">
        <v>16</v>
      </c>
      <c r="BV33" s="868">
        <v>12</v>
      </c>
      <c r="BW33" s="868">
        <v>24</v>
      </c>
      <c r="BX33" s="868">
        <v>26</v>
      </c>
      <c r="BY33" s="868"/>
      <c r="BZ33" s="464"/>
      <c r="CA33" s="869">
        <v>247</v>
      </c>
      <c r="CB33" s="867">
        <v>105</v>
      </c>
      <c r="CC33" s="868">
        <v>34</v>
      </c>
      <c r="CD33" s="868">
        <v>56</v>
      </c>
      <c r="CE33" s="868">
        <v>104</v>
      </c>
      <c r="CF33" s="868">
        <v>16</v>
      </c>
      <c r="CG33" s="868">
        <v>60</v>
      </c>
      <c r="CH33" s="868">
        <v>198</v>
      </c>
      <c r="CI33" s="868">
        <v>19</v>
      </c>
      <c r="CJ33" s="868">
        <v>117</v>
      </c>
      <c r="CK33" s="868"/>
      <c r="CL33" s="868">
        <v>102</v>
      </c>
      <c r="CM33" s="464">
        <v>6</v>
      </c>
      <c r="CN33" s="869">
        <v>817</v>
      </c>
      <c r="CO33" s="867">
        <v>152</v>
      </c>
      <c r="CP33" s="868">
        <v>81</v>
      </c>
      <c r="CQ33" s="868">
        <v>12</v>
      </c>
      <c r="CR33" s="868">
        <v>61</v>
      </c>
      <c r="CS33" s="868">
        <v>58</v>
      </c>
      <c r="CT33" s="868">
        <v>13</v>
      </c>
      <c r="CU33" s="868"/>
      <c r="CV33" s="868"/>
      <c r="CW33" s="868">
        <v>70</v>
      </c>
      <c r="CX33" s="868">
        <v>439</v>
      </c>
      <c r="CY33" s="868">
        <v>115</v>
      </c>
      <c r="CZ33" s="464">
        <v>7</v>
      </c>
      <c r="DA33" s="869">
        <v>1008</v>
      </c>
      <c r="DB33" s="867">
        <v>177</v>
      </c>
      <c r="DC33" s="868">
        <v>110</v>
      </c>
      <c r="DD33" s="868">
        <v>1</v>
      </c>
      <c r="DE33" s="868">
        <v>21</v>
      </c>
      <c r="DF33" s="868">
        <v>11</v>
      </c>
      <c r="DG33" s="868">
        <v>5</v>
      </c>
      <c r="DH33" s="868">
        <v>88</v>
      </c>
      <c r="DI33" s="868">
        <v>12</v>
      </c>
      <c r="DJ33" s="868">
        <v>31</v>
      </c>
      <c r="DK33" s="868">
        <v>58</v>
      </c>
      <c r="DL33" s="868">
        <v>100</v>
      </c>
      <c r="DM33" s="464">
        <v>32</v>
      </c>
      <c r="DN33" s="869">
        <v>646</v>
      </c>
      <c r="DO33" s="867"/>
      <c r="DP33" s="868"/>
      <c r="DQ33" s="868">
        <v>22</v>
      </c>
      <c r="DR33" s="868">
        <v>22</v>
      </c>
      <c r="DS33" s="868"/>
      <c r="DT33" s="868">
        <v>28</v>
      </c>
      <c r="DU33" s="868">
        <v>10</v>
      </c>
      <c r="DV33" s="868">
        <v>53</v>
      </c>
      <c r="DW33" s="868">
        <v>54</v>
      </c>
      <c r="DX33" s="868">
        <v>131</v>
      </c>
      <c r="DY33" s="868">
        <v>158</v>
      </c>
      <c r="DZ33" s="464">
        <v>55</v>
      </c>
      <c r="EA33" s="869">
        <f t="shared" si="43"/>
        <v>533</v>
      </c>
      <c r="EB33" s="867">
        <v>1185</v>
      </c>
      <c r="EC33" s="868">
        <v>168</v>
      </c>
      <c r="ED33" s="868">
        <v>20</v>
      </c>
      <c r="EE33" s="868">
        <v>15</v>
      </c>
      <c r="EF33" s="868">
        <v>44</v>
      </c>
      <c r="EG33" s="868">
        <v>47</v>
      </c>
      <c r="EH33" s="868"/>
      <c r="EI33" s="868">
        <v>1</v>
      </c>
      <c r="EJ33" s="868">
        <v>20</v>
      </c>
      <c r="EK33" s="868">
        <v>301</v>
      </c>
      <c r="EL33" s="868">
        <v>647</v>
      </c>
      <c r="EM33" s="462">
        <v>7</v>
      </c>
      <c r="EN33" s="869">
        <f t="shared" si="45"/>
        <v>2455</v>
      </c>
      <c r="EO33" s="461">
        <v>214</v>
      </c>
      <c r="EP33" s="450"/>
      <c r="EQ33" s="868">
        <v>11</v>
      </c>
      <c r="ER33" s="868">
        <v>53</v>
      </c>
      <c r="ES33" s="868">
        <v>71</v>
      </c>
      <c r="ET33" s="868">
        <v>2</v>
      </c>
      <c r="EU33" s="868">
        <v>600</v>
      </c>
      <c r="EV33" s="868">
        <v>0</v>
      </c>
      <c r="EW33" s="868"/>
      <c r="EX33" s="868"/>
      <c r="EY33" s="868"/>
      <c r="EZ33" s="464"/>
      <c r="FA33" s="869">
        <f t="shared" si="48"/>
        <v>951</v>
      </c>
      <c r="FC33" s="941">
        <f t="shared" si="49"/>
        <v>-44.999999999999993</v>
      </c>
      <c r="FD33" s="941">
        <f t="shared" si="50"/>
        <v>-83.612527312454475</v>
      </c>
      <c r="FE33" s="935">
        <f t="shared" si="51"/>
        <v>1373</v>
      </c>
      <c r="FF33" s="935">
        <f t="shared" si="52"/>
        <v>225</v>
      </c>
      <c r="FH33" s="941">
        <f>IFERROR((
_xlfn.XLOOKUP((DATE(YEAR($FC$5),MONTH($FC$5),1)),UCA.X.DATE,$B33:$FA33) /
_xlfn.XLOOKUP((DATE(YEAR($FC$5)-1,MONTH($FC$5),1)),UCA.X.DATE,$B33:$FA33)),"")</f>
        <v>0.55000000000000004</v>
      </c>
      <c r="FI33" s="463">
        <f>IFERROR((
_xlfn.XLOOKUP((DATE(YEAR($FC$5),MONTH($FC$5),1)),UCA.X.DATE,$B33:$FA33) -
_xlfn.XLOOKUP((DATE(YEAR($FC$5)-1,MONTH($FC$5),1)),UCA.X.DATE,$B33:$FA33)),"")</f>
        <v>-9</v>
      </c>
      <c r="FJ33" s="464">
        <f>FF33-FE33</f>
        <v>-1148</v>
      </c>
    </row>
    <row r="34" spans="1:166" ht="15" customHeight="1" x14ac:dyDescent="0.25">
      <c r="A34" s="715" t="s">
        <v>672</v>
      </c>
      <c r="B34" s="865"/>
      <c r="C34" s="866"/>
      <c r="D34" s="866"/>
      <c r="E34" s="866"/>
      <c r="F34" s="866"/>
      <c r="G34" s="866"/>
      <c r="H34" s="866"/>
      <c r="I34" s="866">
        <v>78</v>
      </c>
      <c r="J34" s="866"/>
      <c r="K34" s="866"/>
      <c r="L34" s="866"/>
      <c r="M34" s="719"/>
      <c r="N34" s="718">
        <f t="shared" si="25"/>
        <v>78</v>
      </c>
      <c r="O34" s="865"/>
      <c r="P34" s="866"/>
      <c r="Q34" s="866"/>
      <c r="R34" s="866"/>
      <c r="S34" s="866"/>
      <c r="T34" s="866"/>
      <c r="U34" s="866"/>
      <c r="V34" s="866"/>
      <c r="W34" s="866"/>
      <c r="X34" s="866"/>
      <c r="Y34" s="866"/>
      <c r="Z34" s="719"/>
      <c r="AA34" s="718">
        <f t="shared" ref="AA34" si="95">SUM(O34:Z34)</f>
        <v>0</v>
      </c>
      <c r="AB34" s="865"/>
      <c r="AC34" s="866"/>
      <c r="AD34" s="866"/>
      <c r="AE34" s="866"/>
      <c r="AF34" s="866"/>
      <c r="AG34" s="866"/>
      <c r="AH34" s="866"/>
      <c r="AI34" s="866"/>
      <c r="AJ34" s="866"/>
      <c r="AK34" s="866"/>
      <c r="AL34" s="866"/>
      <c r="AM34" s="719"/>
      <c r="AN34" s="718">
        <f>SUM(AB34:AM34)</f>
        <v>0</v>
      </c>
      <c r="AO34" s="865"/>
      <c r="AP34" s="866"/>
      <c r="AQ34" s="866"/>
      <c r="AR34" s="866"/>
      <c r="AS34" s="866"/>
      <c r="AT34" s="866"/>
      <c r="AU34" s="866"/>
      <c r="AV34" s="866"/>
      <c r="AW34" s="866"/>
      <c r="AX34" s="866"/>
      <c r="AY34" s="866"/>
      <c r="AZ34" s="719"/>
      <c r="BA34" s="718">
        <f>SUM(AO34:AZ34)</f>
        <v>0</v>
      </c>
      <c r="BB34" s="865"/>
      <c r="BC34" s="866"/>
      <c r="BD34" s="866"/>
      <c r="BE34" s="866"/>
      <c r="BF34" s="866"/>
      <c r="BG34" s="866"/>
      <c r="BH34" s="866"/>
      <c r="BI34" s="866"/>
      <c r="BJ34" s="866"/>
      <c r="BK34" s="866"/>
      <c r="BL34" s="866"/>
      <c r="BM34" s="719"/>
      <c r="BN34" s="718">
        <f>SUM(BB34:BM34)</f>
        <v>0</v>
      </c>
      <c r="BO34" s="865"/>
      <c r="BP34" s="866"/>
      <c r="BQ34" s="866"/>
      <c r="BR34" s="866"/>
      <c r="BS34" s="866"/>
      <c r="BT34" s="866"/>
      <c r="BU34" s="866"/>
      <c r="BV34" s="866"/>
      <c r="BW34" s="866">
        <v>54</v>
      </c>
      <c r="BX34" s="866">
        <v>1</v>
      </c>
      <c r="BY34" s="866"/>
      <c r="BZ34" s="719"/>
      <c r="CA34" s="718">
        <f t="shared" si="35"/>
        <v>55</v>
      </c>
      <c r="CB34" s="865">
        <v>15</v>
      </c>
      <c r="CC34" s="866">
        <v>3</v>
      </c>
      <c r="CD34" s="866"/>
      <c r="CE34" s="866">
        <v>10</v>
      </c>
      <c r="CF34" s="866">
        <v>180</v>
      </c>
      <c r="CG34" s="866"/>
      <c r="CH34" s="866"/>
      <c r="CI34" s="866"/>
      <c r="CJ34" s="866"/>
      <c r="CK34" s="866"/>
      <c r="CL34" s="866"/>
      <c r="CM34" s="719"/>
      <c r="CN34" s="718">
        <f t="shared" si="37"/>
        <v>208</v>
      </c>
      <c r="CO34" s="865">
        <v>39</v>
      </c>
      <c r="CP34" s="866">
        <v>4</v>
      </c>
      <c r="CQ34" s="866"/>
      <c r="CR34" s="866"/>
      <c r="CS34" s="866">
        <v>29</v>
      </c>
      <c r="CT34" s="866"/>
      <c r="CU34" s="866"/>
      <c r="CV34" s="866"/>
      <c r="CW34" s="866"/>
      <c r="CX34" s="866">
        <v>98</v>
      </c>
      <c r="CY34" s="866">
        <v>71</v>
      </c>
      <c r="CZ34" s="719">
        <v>18</v>
      </c>
      <c r="DA34" s="718">
        <f t="shared" si="39"/>
        <v>259</v>
      </c>
      <c r="DB34" s="865">
        <v>5</v>
      </c>
      <c r="DC34" s="866">
        <v>36</v>
      </c>
      <c r="DD34" s="866"/>
      <c r="DE34" s="866"/>
      <c r="DF34" s="866"/>
      <c r="DG34" s="866">
        <v>3</v>
      </c>
      <c r="DH34" s="866"/>
      <c r="DI34" s="866"/>
      <c r="DJ34" s="866">
        <v>9</v>
      </c>
      <c r="DK34" s="866">
        <v>109</v>
      </c>
      <c r="DL34" s="866"/>
      <c r="DM34" s="719"/>
      <c r="DN34" s="718">
        <f t="shared" si="41"/>
        <v>162</v>
      </c>
      <c r="DO34" s="865"/>
      <c r="DP34" s="866"/>
      <c r="DQ34" s="866"/>
      <c r="DR34" s="866"/>
      <c r="DS34" s="866"/>
      <c r="DT34" s="866">
        <v>98</v>
      </c>
      <c r="DU34" s="866"/>
      <c r="DV34" s="866"/>
      <c r="DW34" s="866"/>
      <c r="DX34" s="866"/>
      <c r="DY34" s="866"/>
      <c r="DZ34" s="719">
        <v>77</v>
      </c>
      <c r="EA34" s="718">
        <f t="shared" si="43"/>
        <v>175</v>
      </c>
      <c r="EB34" s="865"/>
      <c r="EC34" s="866"/>
      <c r="ED34" s="866"/>
      <c r="EE34" s="866"/>
      <c r="EF34" s="866">
        <v>136</v>
      </c>
      <c r="EG34" s="866">
        <v>7</v>
      </c>
      <c r="EH34" s="866">
        <v>28</v>
      </c>
      <c r="EI34" s="866"/>
      <c r="EJ34" s="866"/>
      <c r="EK34" s="866"/>
      <c r="EL34" s="866">
        <v>239</v>
      </c>
      <c r="EM34" s="715">
        <v>99</v>
      </c>
      <c r="EN34" s="718">
        <f t="shared" si="45"/>
        <v>509</v>
      </c>
      <c r="EO34" s="716">
        <v>126</v>
      </c>
      <c r="EP34" s="911">
        <v>21</v>
      </c>
      <c r="EQ34" s="866">
        <v>46</v>
      </c>
      <c r="ER34" s="866">
        <v>30</v>
      </c>
      <c r="ES34" s="866">
        <v>25</v>
      </c>
      <c r="ET34" s="866">
        <v>8</v>
      </c>
      <c r="EU34" s="866">
        <v>9</v>
      </c>
      <c r="EV34" s="866">
        <v>0</v>
      </c>
      <c r="EW34" s="866"/>
      <c r="EX34" s="866"/>
      <c r="EY34" s="866"/>
      <c r="EZ34" s="719"/>
      <c r="FA34" s="718">
        <f t="shared" si="48"/>
        <v>265</v>
      </c>
      <c r="FC34" s="940" t="str">
        <f t="shared" si="49"/>
        <v/>
      </c>
      <c r="FD34" s="940" t="str">
        <f t="shared" si="50"/>
        <v/>
      </c>
      <c r="FE34" s="717">
        <f t="shared" si="51"/>
        <v>0</v>
      </c>
      <c r="FF34" s="717">
        <f t="shared" si="52"/>
        <v>193</v>
      </c>
      <c r="FH34" s="940" t="str">
        <f>IFERROR((
_xlfn.XLOOKUP((DATE(YEAR($FC$5),MONTH($FC$5),1)),UCA.X.DATE,$B34:$FA34) /
_xlfn.XLOOKUP((DATE(YEAR($FC$5)-1,MONTH($FC$5),1)),UCA.X.DATE,$B34:$FA34)
)*100,"")</f>
        <v/>
      </c>
      <c r="FI34" s="718">
        <f>IFERROR((
_xlfn.XLOOKUP((DATE(YEAR($FC$5),MONTH($FC$5),1)),UCA.X.DATE,$B34:$FA34) -
_xlfn.XLOOKUP((DATE(YEAR($FC$5)-1,MONTH($FC$5),1)),UCA.X.DATE,$B34:$FA34)),"")</f>
        <v>46</v>
      </c>
      <c r="FJ34" s="719">
        <f>FF34-FE34</f>
        <v>193</v>
      </c>
    </row>
    <row r="35" spans="1:166" ht="15" customHeight="1" x14ac:dyDescent="0.25">
      <c r="A35" s="466"/>
      <c r="B35" s="870"/>
      <c r="C35" s="871"/>
      <c r="D35" s="871"/>
      <c r="E35" s="871"/>
      <c r="F35" s="871"/>
      <c r="G35" s="871"/>
      <c r="H35" s="871"/>
      <c r="I35" s="871"/>
      <c r="J35" s="871"/>
      <c r="K35" s="871"/>
      <c r="L35" s="871"/>
      <c r="M35" s="468"/>
      <c r="N35" s="872"/>
      <c r="O35" s="870"/>
      <c r="P35" s="871"/>
      <c r="Q35" s="871"/>
      <c r="R35" s="871"/>
      <c r="S35" s="871"/>
      <c r="T35" s="871"/>
      <c r="U35" s="871"/>
      <c r="V35" s="871"/>
      <c r="W35" s="871"/>
      <c r="X35" s="871"/>
      <c r="Y35" s="871"/>
      <c r="Z35" s="468"/>
      <c r="AA35" s="872"/>
      <c r="AB35" s="870"/>
      <c r="AC35" s="871"/>
      <c r="AD35" s="871"/>
      <c r="AE35" s="871"/>
      <c r="AF35" s="871"/>
      <c r="AG35" s="871"/>
      <c r="AH35" s="871"/>
      <c r="AI35" s="871"/>
      <c r="AJ35" s="871"/>
      <c r="AK35" s="871"/>
      <c r="AL35" s="871"/>
      <c r="AM35" s="468"/>
      <c r="AN35" s="872"/>
      <c r="AO35" s="870"/>
      <c r="AP35" s="871"/>
      <c r="AQ35" s="871"/>
      <c r="AR35" s="871"/>
      <c r="AS35" s="871"/>
      <c r="AT35" s="871"/>
      <c r="AU35" s="871"/>
      <c r="AV35" s="871"/>
      <c r="AW35" s="871"/>
      <c r="AX35" s="871"/>
      <c r="AY35" s="871"/>
      <c r="AZ35" s="468"/>
      <c r="BA35" s="872"/>
      <c r="BB35" s="870"/>
      <c r="BC35" s="871"/>
      <c r="BD35" s="871"/>
      <c r="BE35" s="871"/>
      <c r="BF35" s="871"/>
      <c r="BG35" s="871"/>
      <c r="BH35" s="871"/>
      <c r="BI35" s="871"/>
      <c r="BJ35" s="871"/>
      <c r="BK35" s="871"/>
      <c r="BL35" s="871"/>
      <c r="BM35" s="468"/>
      <c r="BN35" s="872"/>
      <c r="BO35" s="870"/>
      <c r="BP35" s="871"/>
      <c r="BQ35" s="871"/>
      <c r="BR35" s="871"/>
      <c r="BS35" s="871"/>
      <c r="BT35" s="871"/>
      <c r="BU35" s="871"/>
      <c r="BV35" s="871"/>
      <c r="BW35" s="871"/>
      <c r="BX35" s="871"/>
      <c r="BY35" s="871"/>
      <c r="BZ35" s="468"/>
      <c r="CA35" s="872"/>
      <c r="CB35" s="870"/>
      <c r="CC35" s="871"/>
      <c r="CD35" s="871"/>
      <c r="CE35" s="871"/>
      <c r="CF35" s="871"/>
      <c r="CG35" s="871"/>
      <c r="CH35" s="871"/>
      <c r="CI35" s="871"/>
      <c r="CJ35" s="871"/>
      <c r="CK35" s="871"/>
      <c r="CL35" s="871"/>
      <c r="CM35" s="468"/>
      <c r="CN35" s="872"/>
      <c r="CO35" s="870"/>
      <c r="CP35" s="871"/>
      <c r="CQ35" s="871"/>
      <c r="CR35" s="871"/>
      <c r="CS35" s="871"/>
      <c r="CT35" s="871"/>
      <c r="CU35" s="871"/>
      <c r="CV35" s="871"/>
      <c r="CW35" s="871"/>
      <c r="CX35" s="871"/>
      <c r="CY35" s="871"/>
      <c r="CZ35" s="468"/>
      <c r="DA35" s="872"/>
      <c r="DB35" s="870"/>
      <c r="DC35" s="871"/>
      <c r="DD35" s="871"/>
      <c r="DE35" s="871"/>
      <c r="DF35" s="871"/>
      <c r="DG35" s="871"/>
      <c r="DH35" s="871"/>
      <c r="DI35" s="871"/>
      <c r="DJ35" s="871"/>
      <c r="DK35" s="871"/>
      <c r="DL35" s="871"/>
      <c r="DM35" s="468"/>
      <c r="DN35" s="872"/>
      <c r="DO35" s="870"/>
      <c r="DP35" s="871"/>
      <c r="DQ35" s="871"/>
      <c r="DR35" s="871"/>
      <c r="DS35" s="871"/>
      <c r="DT35" s="871"/>
      <c r="DU35" s="871"/>
      <c r="DV35" s="871"/>
      <c r="DW35" s="871"/>
      <c r="DX35" s="871"/>
      <c r="DY35" s="871"/>
      <c r="DZ35" s="468"/>
      <c r="EA35" s="872"/>
      <c r="EB35" s="870"/>
      <c r="EC35" s="871"/>
      <c r="ED35" s="871"/>
      <c r="EE35" s="871"/>
      <c r="EF35" s="871"/>
      <c r="EG35" s="871"/>
      <c r="EH35" s="871"/>
      <c r="EI35" s="871"/>
      <c r="EJ35" s="871"/>
      <c r="EK35" s="871"/>
      <c r="EL35" s="871"/>
      <c r="EM35" s="468"/>
      <c r="EN35" s="872"/>
      <c r="EO35" s="870"/>
      <c r="EP35" s="871"/>
      <c r="EQ35" s="871"/>
      <c r="ER35" s="871"/>
      <c r="ES35" s="871"/>
      <c r="ET35" s="871"/>
      <c r="EU35" s="871"/>
      <c r="EV35" s="871"/>
      <c r="EW35" s="871"/>
      <c r="EX35" s="871"/>
      <c r="EY35" s="871"/>
      <c r="EZ35" s="468"/>
      <c r="FA35" s="872"/>
      <c r="FC35" s="942"/>
      <c r="FD35" s="942"/>
      <c r="FE35" s="936"/>
      <c r="FF35" s="936"/>
      <c r="FH35" s="942"/>
      <c r="FI35" s="467"/>
      <c r="FJ35" s="468"/>
    </row>
    <row r="36" spans="1:166" s="927" customFormat="1" ht="15" customHeight="1" x14ac:dyDescent="0.25">
      <c r="A36" s="663" t="s">
        <v>266</v>
      </c>
      <c r="B36" s="925"/>
      <c r="C36" s="925"/>
      <c r="D36" s="925"/>
      <c r="E36" s="925"/>
      <c r="F36" s="925"/>
      <c r="G36" s="925"/>
      <c r="H36" s="925"/>
      <c r="I36" s="925"/>
      <c r="J36" s="925"/>
      <c r="K36" s="925"/>
      <c r="L36" s="925"/>
      <c r="M36" s="925"/>
      <c r="N36" s="925"/>
      <c r="O36" s="925"/>
      <c r="P36" s="925"/>
      <c r="Q36" s="925"/>
      <c r="R36" s="925"/>
      <c r="S36" s="925"/>
      <c r="T36" s="925"/>
      <c r="U36" s="925"/>
      <c r="V36" s="925"/>
      <c r="W36" s="925"/>
      <c r="X36" s="925"/>
      <c r="Y36" s="925"/>
      <c r="Z36" s="925"/>
      <c r="AA36" s="925"/>
      <c r="AB36" s="925"/>
      <c r="AC36" s="925"/>
      <c r="AD36" s="925"/>
      <c r="AE36" s="925"/>
      <c r="AF36" s="925"/>
      <c r="AG36" s="925"/>
      <c r="AH36" s="925"/>
      <c r="AI36" s="925"/>
      <c r="AJ36" s="925"/>
      <c r="AK36" s="925"/>
      <c r="AL36" s="925"/>
      <c r="AM36" s="925"/>
      <c r="AN36" s="925"/>
      <c r="AO36" s="925"/>
      <c r="AP36" s="925"/>
      <c r="AQ36" s="925"/>
      <c r="AR36" s="925"/>
      <c r="AS36" s="925"/>
      <c r="AT36" s="925"/>
      <c r="AU36" s="925"/>
      <c r="AV36" s="925"/>
      <c r="AW36" s="925"/>
      <c r="AX36" s="925"/>
      <c r="AY36" s="925"/>
      <c r="AZ36" s="925"/>
      <c r="BA36" s="925"/>
      <c r="BB36" s="925"/>
      <c r="BC36" s="925"/>
      <c r="BD36" s="925"/>
      <c r="BE36" s="925"/>
      <c r="BF36" s="925"/>
      <c r="BG36" s="925"/>
      <c r="BH36" s="925"/>
      <c r="BI36" s="925"/>
      <c r="BJ36" s="925"/>
      <c r="BK36" s="925"/>
      <c r="BL36" s="925"/>
      <c r="BM36" s="925"/>
      <c r="BN36" s="925"/>
      <c r="BO36" s="925"/>
      <c r="BP36" s="925"/>
      <c r="BQ36" s="925"/>
      <c r="BR36" s="925"/>
      <c r="BS36" s="925"/>
      <c r="BT36" s="925"/>
      <c r="BU36" s="925"/>
      <c r="BV36" s="925"/>
      <c r="BW36" s="925"/>
      <c r="BX36" s="925"/>
      <c r="BY36" s="925"/>
      <c r="BZ36" s="925"/>
      <c r="CA36" s="925"/>
      <c r="CB36" s="925"/>
      <c r="CC36" s="925"/>
      <c r="CD36" s="925"/>
      <c r="CE36" s="925"/>
      <c r="CF36" s="925"/>
      <c r="CG36" s="925"/>
      <c r="CH36" s="925"/>
      <c r="CI36" s="925"/>
      <c r="CJ36" s="925"/>
      <c r="CK36" s="925"/>
      <c r="CL36" s="925"/>
      <c r="CM36" s="925"/>
      <c r="CN36" s="925"/>
      <c r="CO36" s="925"/>
      <c r="CP36" s="925"/>
      <c r="CQ36" s="925"/>
      <c r="CR36" s="925"/>
      <c r="CS36" s="925"/>
      <c r="CT36" s="925"/>
      <c r="CU36" s="925"/>
      <c r="CV36" s="925"/>
      <c r="CW36" s="925"/>
      <c r="CX36" s="925"/>
      <c r="CY36" s="926"/>
      <c r="CZ36" s="925"/>
      <c r="DA36" s="926"/>
      <c r="DB36" s="926"/>
      <c r="DC36" s="925"/>
      <c r="DD36" s="925"/>
      <c r="DE36" s="925"/>
      <c r="DF36" s="925"/>
      <c r="DG36" s="925"/>
      <c r="DH36" s="925"/>
      <c r="DI36" s="925"/>
      <c r="DJ36" s="925"/>
      <c r="DK36" s="925"/>
      <c r="DL36" s="925"/>
      <c r="DM36" s="925"/>
      <c r="DN36" s="925"/>
      <c r="DO36" s="925"/>
      <c r="DP36" s="925"/>
      <c r="DQ36" s="925"/>
      <c r="DR36" s="925"/>
      <c r="DS36" s="925"/>
      <c r="DT36" s="925"/>
      <c r="DU36" s="925"/>
      <c r="DV36" s="925"/>
      <c r="DW36" s="925"/>
      <c r="DX36" s="925"/>
      <c r="DY36" s="925"/>
      <c r="DZ36" s="925"/>
      <c r="EA36" s="925"/>
      <c r="EB36" s="925"/>
      <c r="EC36" s="925"/>
      <c r="ED36" s="925"/>
      <c r="EE36" s="925"/>
      <c r="EF36" s="925"/>
      <c r="EG36" s="925"/>
      <c r="EH36" s="925"/>
      <c r="EI36" s="925"/>
      <c r="EJ36" s="925"/>
      <c r="EK36" s="925"/>
      <c r="EL36" s="925"/>
      <c r="EM36" s="925"/>
      <c r="EN36" s="925"/>
      <c r="EO36" s="925"/>
      <c r="EP36" s="925"/>
      <c r="EQ36" s="925"/>
      <c r="ER36" s="925"/>
      <c r="ES36" s="925"/>
      <c r="ET36" s="925"/>
      <c r="EU36" s="925"/>
      <c r="EV36" s="925"/>
      <c r="EW36" s="925"/>
      <c r="EX36" s="925"/>
      <c r="EY36" s="925"/>
      <c r="EZ36" s="925"/>
      <c r="FA36" s="925"/>
      <c r="FC36" s="925"/>
      <c r="FD36" s="925"/>
      <c r="FE36" s="925"/>
      <c r="FF36" s="925"/>
      <c r="FH36" s="925"/>
      <c r="FI36" s="925"/>
      <c r="FJ36" s="925"/>
    </row>
    <row r="37" spans="1:166" s="927" customFormat="1" ht="15" customHeight="1" x14ac:dyDescent="0.25">
      <c r="A37" s="663" t="s">
        <v>653</v>
      </c>
      <c r="B37" s="925"/>
      <c r="C37" s="925"/>
      <c r="D37" s="925"/>
      <c r="E37" s="925"/>
      <c r="F37" s="925"/>
      <c r="G37" s="925"/>
      <c r="H37" s="925"/>
      <c r="I37" s="925"/>
      <c r="J37" s="925"/>
      <c r="K37" s="925"/>
      <c r="L37" s="925"/>
      <c r="M37" s="925"/>
      <c r="N37" s="925"/>
      <c r="O37" s="925"/>
      <c r="P37" s="925"/>
      <c r="Q37" s="925"/>
      <c r="R37" s="925"/>
      <c r="S37" s="925"/>
      <c r="T37" s="925"/>
      <c r="U37" s="925"/>
      <c r="V37" s="925"/>
      <c r="W37" s="925"/>
      <c r="X37" s="925"/>
      <c r="Y37" s="925"/>
      <c r="Z37" s="925"/>
      <c r="AA37" s="925"/>
      <c r="AB37" s="925"/>
      <c r="AC37" s="925"/>
      <c r="AD37" s="925"/>
      <c r="AE37" s="925"/>
      <c r="AF37" s="925"/>
      <c r="AG37" s="925"/>
      <c r="AH37" s="925"/>
      <c r="AI37" s="925"/>
      <c r="AJ37" s="925"/>
      <c r="AK37" s="925"/>
      <c r="AL37" s="925"/>
      <c r="AM37" s="925"/>
      <c r="AN37" s="925"/>
      <c r="AO37" s="925"/>
      <c r="AP37" s="925"/>
      <c r="AQ37" s="925"/>
      <c r="AR37" s="925"/>
      <c r="AS37" s="925"/>
      <c r="AT37" s="925"/>
      <c r="AU37" s="925"/>
      <c r="AV37" s="925"/>
      <c r="AW37" s="925"/>
      <c r="AX37" s="925"/>
      <c r="AY37" s="925"/>
      <c r="AZ37" s="925"/>
      <c r="BA37" s="925"/>
      <c r="BB37" s="925"/>
      <c r="BC37" s="925"/>
      <c r="BD37" s="925"/>
      <c r="BE37" s="925"/>
      <c r="BF37" s="925"/>
      <c r="BG37" s="925"/>
      <c r="BH37" s="925"/>
      <c r="BI37" s="925"/>
      <c r="BJ37" s="925"/>
      <c r="BK37" s="925"/>
      <c r="BL37" s="925"/>
      <c r="BM37" s="925"/>
      <c r="BN37" s="925"/>
      <c r="BO37" s="925"/>
      <c r="BP37" s="925"/>
      <c r="BQ37" s="925"/>
      <c r="BR37" s="925"/>
      <c r="BS37" s="925"/>
      <c r="BT37" s="925"/>
      <c r="BU37" s="925"/>
      <c r="BV37" s="925"/>
      <c r="BW37" s="925"/>
      <c r="BX37" s="925"/>
      <c r="BY37" s="925"/>
      <c r="BZ37" s="925"/>
      <c r="CA37" s="925"/>
      <c r="CB37" s="925"/>
      <c r="CC37" s="925"/>
      <c r="CD37" s="925"/>
      <c r="CE37" s="925"/>
      <c r="CF37" s="925"/>
      <c r="CG37" s="925"/>
      <c r="CH37" s="925"/>
      <c r="CI37" s="925"/>
      <c r="CJ37" s="925"/>
      <c r="CK37" s="925"/>
      <c r="CL37" s="925"/>
      <c r="CM37" s="925"/>
      <c r="CN37" s="925"/>
      <c r="CO37" s="925"/>
      <c r="CP37" s="925"/>
      <c r="CQ37" s="925"/>
      <c r="CR37" s="925"/>
      <c r="CS37" s="925"/>
      <c r="CT37" s="925"/>
      <c r="CU37" s="925"/>
      <c r="CV37" s="925"/>
      <c r="CW37" s="925"/>
      <c r="CX37" s="925"/>
      <c r="CY37" s="928"/>
      <c r="CZ37" s="928"/>
      <c r="DA37" s="928"/>
      <c r="DB37" s="928"/>
      <c r="DC37" s="928"/>
      <c r="DD37" s="928"/>
      <c r="DE37" s="928"/>
      <c r="DF37" s="925"/>
      <c r="DG37" s="925"/>
      <c r="DH37" s="925"/>
      <c r="DI37" s="925"/>
      <c r="DJ37" s="925"/>
      <c r="DK37" s="925"/>
      <c r="DL37" s="925"/>
      <c r="DM37" s="925"/>
      <c r="DN37" s="925"/>
      <c r="DO37" s="925"/>
      <c r="DP37" s="925"/>
      <c r="DQ37" s="925"/>
      <c r="DR37" s="925"/>
      <c r="DS37" s="925"/>
      <c r="DT37" s="925"/>
      <c r="DU37" s="925"/>
      <c r="DV37" s="925"/>
      <c r="DW37" s="925"/>
      <c r="DX37" s="925"/>
      <c r="DY37" s="925"/>
      <c r="DZ37" s="925"/>
      <c r="EA37" s="925"/>
      <c r="EB37" s="925"/>
      <c r="EC37" s="925"/>
      <c r="ED37" s="925"/>
      <c r="EE37" s="925"/>
      <c r="EF37" s="925"/>
      <c r="EG37" s="925"/>
      <c r="EH37" s="925"/>
      <c r="EI37" s="925"/>
      <c r="EJ37" s="925"/>
      <c r="EK37" s="925"/>
      <c r="EL37" s="925"/>
      <c r="EM37" s="925"/>
      <c r="EN37" s="925"/>
      <c r="EO37" s="925"/>
      <c r="EP37" s="925"/>
      <c r="EQ37" s="925"/>
      <c r="ER37" s="925"/>
      <c r="ES37" s="925"/>
      <c r="ET37" s="925"/>
      <c r="EU37" s="925"/>
      <c r="EV37" s="925"/>
      <c r="EW37" s="925"/>
      <c r="EX37" s="925"/>
      <c r="EY37" s="925"/>
      <c r="EZ37" s="925"/>
      <c r="FA37" s="925"/>
      <c r="FC37" s="925"/>
      <c r="FD37" s="925"/>
      <c r="FE37" s="925"/>
      <c r="FF37" s="925"/>
      <c r="FH37" s="925"/>
      <c r="FI37" s="925"/>
      <c r="FJ37" s="925"/>
    </row>
    <row r="38" spans="1:166" s="927" customFormat="1" ht="15" customHeight="1" x14ac:dyDescent="0.25">
      <c r="A38" s="663" t="s">
        <v>652</v>
      </c>
      <c r="B38" s="929"/>
      <c r="C38" s="929"/>
      <c r="D38" s="929"/>
      <c r="E38" s="929"/>
      <c r="F38" s="929"/>
      <c r="G38" s="929"/>
      <c r="H38" s="929"/>
      <c r="I38" s="929"/>
      <c r="J38" s="929"/>
      <c r="K38" s="929"/>
      <c r="L38" s="929"/>
      <c r="M38" s="929"/>
      <c r="N38" s="929"/>
      <c r="O38" s="929"/>
      <c r="P38" s="929"/>
      <c r="Q38" s="929"/>
      <c r="R38" s="929"/>
      <c r="S38" s="929"/>
      <c r="T38" s="929"/>
      <c r="U38" s="929"/>
      <c r="V38" s="929"/>
      <c r="W38" s="929"/>
      <c r="X38" s="929"/>
      <c r="Y38" s="929"/>
      <c r="Z38" s="929"/>
      <c r="AA38" s="929"/>
      <c r="AB38" s="929"/>
      <c r="AC38" s="929"/>
      <c r="AD38" s="929"/>
      <c r="AE38" s="929"/>
      <c r="AF38" s="929"/>
      <c r="AG38" s="929"/>
      <c r="AH38" s="929"/>
      <c r="AI38" s="929"/>
      <c r="AJ38" s="929"/>
      <c r="AK38" s="929"/>
      <c r="AL38" s="929"/>
      <c r="AM38" s="929"/>
      <c r="AN38" s="929"/>
      <c r="AO38" s="929"/>
      <c r="AP38" s="929"/>
      <c r="AQ38" s="929"/>
      <c r="AR38" s="929"/>
      <c r="AS38" s="929"/>
      <c r="AT38" s="929"/>
      <c r="AU38" s="929"/>
      <c r="AV38" s="929"/>
      <c r="AW38" s="929"/>
      <c r="AX38" s="929"/>
      <c r="AY38" s="929"/>
      <c r="AZ38" s="929"/>
      <c r="BA38" s="929"/>
      <c r="BB38" s="929"/>
      <c r="BC38" s="929"/>
      <c r="BD38" s="929"/>
      <c r="BE38" s="929"/>
      <c r="BF38" s="929"/>
      <c r="BG38" s="929"/>
      <c r="BH38" s="929"/>
      <c r="BI38" s="929"/>
      <c r="BJ38" s="929"/>
      <c r="BK38" s="929"/>
      <c r="BL38" s="929"/>
      <c r="BM38" s="929"/>
      <c r="BN38" s="929"/>
      <c r="BO38" s="929"/>
      <c r="BP38" s="929"/>
      <c r="BQ38" s="929"/>
      <c r="BR38" s="929"/>
      <c r="BS38" s="929"/>
      <c r="BT38" s="929"/>
      <c r="BU38" s="929"/>
      <c r="BV38" s="929"/>
      <c r="BW38" s="929"/>
      <c r="BX38" s="929"/>
      <c r="BY38" s="929"/>
      <c r="BZ38" s="929"/>
      <c r="CA38" s="929"/>
      <c r="CB38" s="929"/>
      <c r="CC38" s="929"/>
      <c r="CD38" s="929"/>
      <c r="CE38" s="929"/>
      <c r="CF38" s="929"/>
      <c r="CG38" s="929"/>
      <c r="CH38" s="929"/>
      <c r="CI38" s="929"/>
      <c r="CJ38" s="929"/>
      <c r="CK38" s="929"/>
      <c r="CL38" s="929"/>
      <c r="CM38" s="929"/>
      <c r="CN38" s="929"/>
      <c r="CO38" s="929"/>
      <c r="CP38" s="929"/>
      <c r="CQ38" s="929"/>
      <c r="CR38" s="929"/>
      <c r="CS38" s="929"/>
      <c r="CT38" s="929"/>
      <c r="CU38" s="929"/>
      <c r="CV38" s="929"/>
      <c r="CW38" s="929"/>
      <c r="CX38" s="929"/>
      <c r="CY38" s="930"/>
      <c r="CZ38" s="930"/>
      <c r="DA38" s="931"/>
      <c r="DB38" s="931"/>
      <c r="DC38" s="931"/>
      <c r="DD38" s="931"/>
      <c r="DE38" s="931"/>
      <c r="DF38" s="925"/>
      <c r="DG38" s="925"/>
      <c r="DH38" s="925"/>
      <c r="DI38" s="925"/>
      <c r="DJ38" s="925"/>
      <c r="DK38" s="925"/>
      <c r="DL38" s="925"/>
      <c r="DM38" s="925"/>
      <c r="DN38" s="925"/>
      <c r="DO38" s="925">
        <v>7592</v>
      </c>
      <c r="DP38" s="925">
        <v>7025</v>
      </c>
      <c r="DQ38" s="925">
        <v>6530</v>
      </c>
      <c r="DR38" s="925">
        <v>13333</v>
      </c>
      <c r="DS38" s="925">
        <v>7249</v>
      </c>
      <c r="DT38" s="925">
        <v>15139</v>
      </c>
      <c r="DU38" s="925">
        <v>26498</v>
      </c>
      <c r="DV38" s="925">
        <v>15791</v>
      </c>
      <c r="DW38" s="925">
        <v>14501</v>
      </c>
      <c r="DX38" s="925">
        <v>7238</v>
      </c>
      <c r="DY38" s="925">
        <v>9015</v>
      </c>
      <c r="DZ38" s="925">
        <v>6448</v>
      </c>
      <c r="EA38" s="925">
        <v>136359</v>
      </c>
      <c r="EB38" s="925">
        <v>12055</v>
      </c>
      <c r="EC38" s="925">
        <v>10632</v>
      </c>
      <c r="ED38" s="925">
        <v>7511</v>
      </c>
      <c r="EE38" s="925">
        <v>7502</v>
      </c>
      <c r="EF38" s="925">
        <v>14604</v>
      </c>
      <c r="EG38" s="925">
        <v>7542</v>
      </c>
      <c r="EH38" s="925">
        <v>11142</v>
      </c>
      <c r="EI38" s="925">
        <v>9170</v>
      </c>
      <c r="EJ38" s="925">
        <v>6317</v>
      </c>
      <c r="EK38" s="925">
        <v>6020</v>
      </c>
      <c r="EL38" s="925">
        <v>4244</v>
      </c>
      <c r="EM38" s="925">
        <v>4005</v>
      </c>
      <c r="EN38" s="925">
        <v>100744</v>
      </c>
      <c r="EO38" s="925">
        <v>2676</v>
      </c>
      <c r="EP38" s="925">
        <v>7025</v>
      </c>
      <c r="EQ38" s="925">
        <v>2607</v>
      </c>
      <c r="ER38" s="925">
        <v>2659</v>
      </c>
      <c r="ES38" s="925">
        <v>3308</v>
      </c>
      <c r="ET38" s="925">
        <v>3259</v>
      </c>
      <c r="EU38" s="925">
        <v>4037</v>
      </c>
      <c r="EV38" s="925">
        <v>9852</v>
      </c>
      <c r="EW38" s="925"/>
      <c r="EX38" s="925"/>
      <c r="EY38" s="925"/>
      <c r="EZ38" s="925"/>
      <c r="FA38" s="925">
        <v>12308</v>
      </c>
      <c r="FC38" s="925"/>
      <c r="FD38" s="925"/>
      <c r="FE38" s="925"/>
      <c r="FF38" s="925"/>
      <c r="FH38" s="925"/>
      <c r="FI38" s="925"/>
      <c r="FJ38" s="925"/>
    </row>
    <row r="39" spans="1:166" s="927" customFormat="1" ht="15" customHeight="1" x14ac:dyDescent="0.25">
      <c r="A39" s="663" t="s">
        <v>651</v>
      </c>
      <c r="B39" s="932"/>
      <c r="C39" s="932"/>
      <c r="D39" s="932"/>
      <c r="E39" s="932"/>
      <c r="F39" s="932"/>
      <c r="G39" s="932"/>
      <c r="H39" s="932"/>
      <c r="I39" s="932"/>
      <c r="J39" s="932"/>
      <c r="K39" s="932"/>
      <c r="L39" s="932"/>
      <c r="M39" s="932"/>
      <c r="N39" s="932"/>
      <c r="O39" s="932"/>
      <c r="P39" s="932"/>
      <c r="Q39" s="932"/>
      <c r="R39" s="932"/>
      <c r="S39" s="932"/>
      <c r="T39" s="932"/>
      <c r="U39" s="932"/>
      <c r="V39" s="932"/>
      <c r="W39" s="932"/>
      <c r="X39" s="932"/>
      <c r="Y39" s="932"/>
      <c r="Z39" s="932"/>
      <c r="AA39" s="932"/>
      <c r="AB39" s="932"/>
      <c r="AC39" s="932"/>
      <c r="AD39" s="932"/>
      <c r="AE39" s="932"/>
      <c r="AF39" s="932"/>
      <c r="AG39" s="932"/>
      <c r="AH39" s="932"/>
      <c r="AI39" s="932"/>
      <c r="AJ39" s="932"/>
      <c r="AK39" s="932"/>
      <c r="AL39" s="932"/>
      <c r="AM39" s="932"/>
      <c r="AN39" s="932"/>
      <c r="AO39" s="932"/>
      <c r="AP39" s="932"/>
      <c r="AQ39" s="932"/>
      <c r="AR39" s="932"/>
      <c r="AS39" s="932"/>
      <c r="AT39" s="932"/>
      <c r="AU39" s="932"/>
      <c r="AV39" s="932"/>
      <c r="AW39" s="932"/>
      <c r="AX39" s="932"/>
      <c r="AY39" s="932"/>
      <c r="AZ39" s="932"/>
      <c r="BA39" s="932"/>
      <c r="BB39" s="932"/>
      <c r="BC39" s="932"/>
      <c r="BD39" s="932"/>
      <c r="BE39" s="932"/>
      <c r="BF39" s="932"/>
      <c r="BG39" s="932"/>
      <c r="BH39" s="932"/>
      <c r="BI39" s="932"/>
      <c r="BJ39" s="932"/>
      <c r="BK39" s="932"/>
      <c r="BL39" s="932"/>
      <c r="BM39" s="932"/>
      <c r="BN39" s="932"/>
      <c r="BO39" s="932"/>
      <c r="BP39" s="932"/>
      <c r="BQ39" s="932"/>
      <c r="BR39" s="932"/>
      <c r="BS39" s="932"/>
      <c r="BT39" s="932"/>
      <c r="BU39" s="932"/>
      <c r="BV39" s="932"/>
      <c r="BW39" s="932"/>
      <c r="BX39" s="932"/>
      <c r="BY39" s="929"/>
      <c r="BZ39" s="932"/>
      <c r="CA39" s="932"/>
      <c r="CB39" s="932"/>
      <c r="CC39" s="932"/>
      <c r="CD39" s="932"/>
      <c r="CE39" s="932"/>
      <c r="CF39" s="932"/>
      <c r="CG39" s="932"/>
      <c r="CH39" s="932"/>
      <c r="CI39" s="932"/>
      <c r="CJ39" s="932"/>
      <c r="CK39" s="932"/>
      <c r="CL39" s="932"/>
      <c r="CM39" s="932"/>
      <c r="CN39" s="932"/>
      <c r="CO39" s="932"/>
      <c r="CP39" s="932"/>
      <c r="CQ39" s="932"/>
      <c r="CR39" s="932"/>
      <c r="CS39" s="932"/>
      <c r="CT39" s="932"/>
      <c r="CU39" s="932"/>
      <c r="CV39" s="932"/>
      <c r="CW39" s="932"/>
      <c r="CX39" s="932"/>
      <c r="CY39" s="930"/>
      <c r="CZ39" s="930"/>
      <c r="DA39" s="931"/>
      <c r="DB39" s="931"/>
      <c r="DC39" s="931"/>
      <c r="DD39" s="931"/>
      <c r="DE39" s="931"/>
      <c r="DF39" s="925"/>
      <c r="DG39" s="925"/>
      <c r="DH39" s="925"/>
      <c r="DI39" s="925"/>
      <c r="DJ39" s="925"/>
      <c r="DK39" s="925"/>
      <c r="DL39" s="925"/>
      <c r="DM39" s="925"/>
      <c r="DN39" s="925"/>
      <c r="DO39" s="928">
        <f>DO7-DO38</f>
        <v>0</v>
      </c>
      <c r="DP39" s="928">
        <f t="shared" ref="DP39:FA39" si="96">DP7-DP38</f>
        <v>0</v>
      </c>
      <c r="DQ39" s="928">
        <f t="shared" si="96"/>
        <v>0</v>
      </c>
      <c r="DR39" s="928">
        <f t="shared" si="96"/>
        <v>0</v>
      </c>
      <c r="DS39" s="928">
        <f t="shared" si="96"/>
        <v>0</v>
      </c>
      <c r="DT39" s="928">
        <f t="shared" si="96"/>
        <v>0</v>
      </c>
      <c r="DU39" s="928">
        <f t="shared" si="96"/>
        <v>0</v>
      </c>
      <c r="DV39" s="928">
        <f t="shared" si="96"/>
        <v>0</v>
      </c>
      <c r="DW39" s="928">
        <f t="shared" si="96"/>
        <v>0</v>
      </c>
      <c r="DX39" s="928">
        <f t="shared" si="96"/>
        <v>0</v>
      </c>
      <c r="DY39" s="928">
        <f t="shared" si="96"/>
        <v>0</v>
      </c>
      <c r="DZ39" s="928">
        <f t="shared" si="96"/>
        <v>0</v>
      </c>
      <c r="EA39" s="928">
        <f t="shared" si="96"/>
        <v>0</v>
      </c>
      <c r="EB39" s="928">
        <f t="shared" si="96"/>
        <v>0</v>
      </c>
      <c r="EC39" s="928">
        <f t="shared" si="96"/>
        <v>0</v>
      </c>
      <c r="ED39" s="928">
        <f t="shared" si="96"/>
        <v>0</v>
      </c>
      <c r="EE39" s="928">
        <f t="shared" si="96"/>
        <v>0</v>
      </c>
      <c r="EF39" s="928">
        <f t="shared" si="96"/>
        <v>0</v>
      </c>
      <c r="EG39" s="928">
        <f t="shared" si="96"/>
        <v>0</v>
      </c>
      <c r="EH39" s="928">
        <f t="shared" si="96"/>
        <v>0</v>
      </c>
      <c r="EI39" s="928">
        <f t="shared" si="96"/>
        <v>0</v>
      </c>
      <c r="EJ39" s="928">
        <f t="shared" si="96"/>
        <v>0</v>
      </c>
      <c r="EK39" s="928">
        <f t="shared" si="96"/>
        <v>0</v>
      </c>
      <c r="EL39" s="928">
        <f t="shared" si="96"/>
        <v>0</v>
      </c>
      <c r="EM39" s="928">
        <f t="shared" si="96"/>
        <v>0</v>
      </c>
      <c r="EN39" s="928">
        <f t="shared" si="96"/>
        <v>0</v>
      </c>
      <c r="EO39" s="928">
        <f t="shared" si="96"/>
        <v>0</v>
      </c>
      <c r="EP39" s="928">
        <f t="shared" si="96"/>
        <v>0</v>
      </c>
      <c r="EQ39" s="928">
        <f t="shared" si="96"/>
        <v>0</v>
      </c>
      <c r="ER39" s="928">
        <f t="shared" si="96"/>
        <v>0</v>
      </c>
      <c r="ES39" s="928">
        <f t="shared" si="96"/>
        <v>0</v>
      </c>
      <c r="ET39" s="928">
        <f t="shared" si="96"/>
        <v>0</v>
      </c>
      <c r="EU39" s="928">
        <f t="shared" si="96"/>
        <v>0</v>
      </c>
      <c r="EV39" s="928">
        <f t="shared" si="96"/>
        <v>0</v>
      </c>
      <c r="EW39" s="928">
        <f t="shared" si="96"/>
        <v>0</v>
      </c>
      <c r="EX39" s="928">
        <f t="shared" si="96"/>
        <v>0</v>
      </c>
      <c r="EY39" s="928">
        <f t="shared" si="96"/>
        <v>0</v>
      </c>
      <c r="EZ39" s="928">
        <f t="shared" si="96"/>
        <v>0</v>
      </c>
      <c r="FA39" s="928">
        <f t="shared" si="96"/>
        <v>23115</v>
      </c>
      <c r="FC39" s="925"/>
      <c r="FD39" s="925"/>
      <c r="FE39" s="925"/>
      <c r="FF39" s="925"/>
      <c r="FH39" s="925"/>
      <c r="FI39" s="925"/>
      <c r="FJ39" s="925"/>
    </row>
    <row r="40" spans="1:166" ht="1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C40"/>
      <c r="FD40"/>
      <c r="FE40"/>
      <c r="FF40"/>
      <c r="FH40"/>
      <c r="FI40"/>
      <c r="FJ40"/>
    </row>
    <row r="41" spans="1:166" ht="1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C41"/>
      <c r="FD41"/>
      <c r="FE41"/>
      <c r="FF41"/>
      <c r="FH41"/>
      <c r="FI41"/>
      <c r="FJ41"/>
    </row>
    <row r="42" spans="1:166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C42"/>
      <c r="FD42"/>
      <c r="FE42"/>
      <c r="FF42"/>
      <c r="FH42"/>
      <c r="FI42"/>
      <c r="FJ42"/>
    </row>
    <row r="43" spans="1:166" ht="1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C43"/>
      <c r="FD43"/>
      <c r="FE43"/>
      <c r="FF43"/>
      <c r="FH43"/>
      <c r="FI43"/>
      <c r="FJ43"/>
    </row>
    <row r="44" spans="1:166" ht="1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C44"/>
      <c r="FD44"/>
      <c r="FE44"/>
      <c r="FF44"/>
      <c r="FH44"/>
      <c r="FI44"/>
      <c r="FJ44"/>
    </row>
    <row r="45" spans="1:166" ht="1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C45"/>
      <c r="FD45"/>
      <c r="FE45"/>
      <c r="FF45"/>
      <c r="FH45"/>
      <c r="FI45"/>
      <c r="FJ45"/>
    </row>
    <row r="46" spans="1:166" ht="1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C46"/>
      <c r="FD46"/>
      <c r="FE46"/>
      <c r="FF46"/>
      <c r="FH46"/>
      <c r="FI46"/>
      <c r="FJ46"/>
    </row>
  </sheetData>
  <mergeCells count="1">
    <mergeCell ref="FC4:FD4"/>
  </mergeCells>
  <conditionalFormatting sqref="A1:A1048576">
    <cfRule type="duplicateValues" dxfId="0" priority="1"/>
  </conditionalFormatting>
  <printOptions horizontalCentered="1" verticalCentered="1"/>
  <pageMargins left="0.23622047244094491" right="0.15748031496062992" top="1.0629921259842521" bottom="1.1811023622047245" header="0.15748031496062992" footer="0"/>
  <pageSetup paperSize="9" scale="1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59999389629810485"/>
  </sheetPr>
  <dimension ref="A1:FG46"/>
  <sheetViews>
    <sheetView showGridLines="0" view="pageBreakPreview" zoomScale="80" zoomScaleSheetLayoutView="80" workbookViewId="0">
      <pane xSplit="1" topLeftCell="EB1" activePane="topRight" state="frozen"/>
      <selection activeCell="FG21" sqref="FG21"/>
      <selection pane="topRight" activeCell="EV7" sqref="EV7"/>
    </sheetView>
  </sheetViews>
  <sheetFormatPr baseColWidth="10" defaultColWidth="10.7109375" defaultRowHeight="15" customHeight="1" x14ac:dyDescent="0.25"/>
  <cols>
    <col min="1" max="1" width="30.7109375" style="151" customWidth="1"/>
    <col min="2" max="143" width="10.7109375" style="151"/>
    <col min="144" max="144" width="9.85546875" style="151" customWidth="1"/>
    <col min="145" max="145" width="9.140625" style="151" customWidth="1"/>
    <col min="146" max="146" width="9.28515625" style="151" customWidth="1"/>
    <col min="147" max="147" width="9.85546875" style="151" customWidth="1"/>
    <col min="148" max="149" width="9.140625" style="151" customWidth="1"/>
    <col min="150" max="150" width="9.5703125" style="151" customWidth="1"/>
    <col min="151" max="151" width="10" style="151" customWidth="1"/>
    <col min="152" max="152" width="9.42578125" style="950" customWidth="1"/>
    <col min="153" max="153" width="10" style="151" customWidth="1"/>
    <col min="154" max="154" width="9.5703125" style="151" customWidth="1"/>
    <col min="155" max="155" width="9.42578125" style="151" customWidth="1"/>
    <col min="156" max="156" width="9.85546875" style="151" customWidth="1"/>
    <col min="157" max="157" width="9.28515625" style="151" customWidth="1"/>
    <col min="158" max="158" width="3.85546875" customWidth="1"/>
    <col min="159" max="159" width="9.28515625" style="151" bestFit="1" customWidth="1"/>
    <col min="160" max="160" width="8" style="151" customWidth="1"/>
    <col min="161" max="161" width="10.140625" style="151" customWidth="1"/>
    <col min="162" max="162" width="9.42578125" style="151" customWidth="1"/>
    <col min="163" max="16384" width="10.7109375" style="151"/>
  </cols>
  <sheetData>
    <row r="1" spans="1:163" ht="15" customHeight="1" x14ac:dyDescent="0.25">
      <c r="A1" s="229" t="s">
        <v>324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FG1" s="151" t="s">
        <v>654</v>
      </c>
    </row>
    <row r="2" spans="1:163" ht="15" customHeight="1" x14ac:dyDescent="0.25">
      <c r="A2" s="229" t="s">
        <v>243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FC2" s="221"/>
    </row>
    <row r="3" spans="1:163" ht="15" customHeight="1" x14ac:dyDescent="0.25">
      <c r="A3" s="151" t="s">
        <v>200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30"/>
      <c r="BY3" s="230"/>
    </row>
    <row r="4" spans="1:163" ht="15" customHeight="1" x14ac:dyDescent="0.25">
      <c r="A4" s="165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 t="s">
        <v>83</v>
      </c>
      <c r="O4" s="102">
        <v>2016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4" t="s">
        <v>83</v>
      </c>
      <c r="AB4" s="102">
        <v>2017</v>
      </c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4" t="s">
        <v>83</v>
      </c>
      <c r="AO4" s="102">
        <v>2018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4" t="s">
        <v>83</v>
      </c>
      <c r="BB4" s="102">
        <v>2019</v>
      </c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4" t="s">
        <v>83</v>
      </c>
      <c r="BO4" s="102">
        <v>2020</v>
      </c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4" t="s">
        <v>83</v>
      </c>
      <c r="CB4" s="102">
        <v>2021</v>
      </c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4" t="s">
        <v>83</v>
      </c>
      <c r="CO4" s="102">
        <v>2022</v>
      </c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4" t="s">
        <v>83</v>
      </c>
      <c r="DB4" s="102">
        <v>2023</v>
      </c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4" t="s">
        <v>83</v>
      </c>
      <c r="DO4" s="102">
        <v>2024</v>
      </c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4" t="s">
        <v>83</v>
      </c>
      <c r="EB4" s="102">
        <v>2025</v>
      </c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4" t="s">
        <v>83</v>
      </c>
      <c r="EO4" s="102">
        <v>2026</v>
      </c>
      <c r="EP4" s="103"/>
      <c r="EQ4" s="103"/>
      <c r="ER4" s="103"/>
      <c r="ES4" s="103"/>
      <c r="ET4" s="103"/>
      <c r="EU4" s="103"/>
      <c r="EV4" s="948"/>
      <c r="EW4" s="103"/>
      <c r="EX4" s="103"/>
      <c r="EY4" s="103"/>
      <c r="EZ4" s="103"/>
      <c r="FA4" s="104" t="s">
        <v>83</v>
      </c>
      <c r="FC4" s="982" t="str">
        <f>CONCATENATE("Var.% ",FF4,"/",FE4)</f>
        <v>Var.% 2026/2025</v>
      </c>
      <c r="FD4" s="983"/>
      <c r="FE4" s="105">
        <f>FF4-1</f>
        <v>2025</v>
      </c>
      <c r="FF4" s="105">
        <f>YEAR(FC5)</f>
        <v>2026</v>
      </c>
      <c r="FG4" s="169"/>
    </row>
    <row r="5" spans="1:163" ht="15" customHeight="1" x14ac:dyDescent="0.25">
      <c r="A5" s="232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107">
        <v>42339</v>
      </c>
      <c r="N5" s="108">
        <f t="shared" ref="N5" si="0">YEAR(M5)</f>
        <v>2015</v>
      </c>
      <c r="O5" s="106">
        <v>42370</v>
      </c>
      <c r="P5" s="107">
        <v>42401</v>
      </c>
      <c r="Q5" s="107">
        <v>42430</v>
      </c>
      <c r="R5" s="107">
        <v>42461</v>
      </c>
      <c r="S5" s="107">
        <v>42491</v>
      </c>
      <c r="T5" s="107">
        <v>42522</v>
      </c>
      <c r="U5" s="107">
        <v>42552</v>
      </c>
      <c r="V5" s="107">
        <v>42583</v>
      </c>
      <c r="W5" s="107">
        <v>42614</v>
      </c>
      <c r="X5" s="107">
        <v>42644</v>
      </c>
      <c r="Y5" s="107">
        <v>42675</v>
      </c>
      <c r="Z5" s="107">
        <v>42705</v>
      </c>
      <c r="AA5" s="108">
        <f t="shared" ref="AA5" si="1">YEAR(Z5)</f>
        <v>2016</v>
      </c>
      <c r="AB5" s="106">
        <v>42736</v>
      </c>
      <c r="AC5" s="107">
        <v>42767</v>
      </c>
      <c r="AD5" s="107">
        <v>42795</v>
      </c>
      <c r="AE5" s="107">
        <v>42826</v>
      </c>
      <c r="AF5" s="107">
        <v>42856</v>
      </c>
      <c r="AG5" s="107">
        <v>42887</v>
      </c>
      <c r="AH5" s="107">
        <v>42917</v>
      </c>
      <c r="AI5" s="107">
        <v>42948</v>
      </c>
      <c r="AJ5" s="107">
        <v>42979</v>
      </c>
      <c r="AK5" s="107">
        <v>43009</v>
      </c>
      <c r="AL5" s="107">
        <v>43040</v>
      </c>
      <c r="AM5" s="107">
        <v>43070</v>
      </c>
      <c r="AN5" s="108">
        <f t="shared" ref="AN5" si="2">YEAR(AM5)</f>
        <v>2017</v>
      </c>
      <c r="AO5" s="106">
        <v>43101</v>
      </c>
      <c r="AP5" s="107">
        <v>43132</v>
      </c>
      <c r="AQ5" s="107">
        <v>43160</v>
      </c>
      <c r="AR5" s="107">
        <v>43191</v>
      </c>
      <c r="AS5" s="107">
        <v>43221</v>
      </c>
      <c r="AT5" s="107">
        <v>43252</v>
      </c>
      <c r="AU5" s="107">
        <v>43282</v>
      </c>
      <c r="AV5" s="107">
        <v>43313</v>
      </c>
      <c r="AW5" s="107">
        <v>43344</v>
      </c>
      <c r="AX5" s="107">
        <v>43374</v>
      </c>
      <c r="AY5" s="107">
        <v>43405</v>
      </c>
      <c r="AZ5" s="107">
        <v>43435</v>
      </c>
      <c r="BA5" s="108">
        <f t="shared" ref="BA5" si="3">YEAR(AZ5)</f>
        <v>2018</v>
      </c>
      <c r="BB5" s="106">
        <v>43466</v>
      </c>
      <c r="BC5" s="107">
        <v>43497</v>
      </c>
      <c r="BD5" s="107">
        <v>43525</v>
      </c>
      <c r="BE5" s="107">
        <v>43556</v>
      </c>
      <c r="BF5" s="107">
        <v>43586</v>
      </c>
      <c r="BG5" s="107">
        <v>43617</v>
      </c>
      <c r="BH5" s="107">
        <v>43647</v>
      </c>
      <c r="BI5" s="107">
        <v>43678</v>
      </c>
      <c r="BJ5" s="107">
        <v>43709</v>
      </c>
      <c r="BK5" s="107">
        <v>43739</v>
      </c>
      <c r="BL5" s="107">
        <v>43770</v>
      </c>
      <c r="BM5" s="107">
        <v>43800</v>
      </c>
      <c r="BN5" s="108">
        <f t="shared" ref="BN5" si="4">YEAR(BM5)</f>
        <v>2019</v>
      </c>
      <c r="BO5" s="106">
        <v>43831</v>
      </c>
      <c r="BP5" s="107">
        <v>43862</v>
      </c>
      <c r="BQ5" s="107">
        <v>43891</v>
      </c>
      <c r="BR5" s="107">
        <v>43922</v>
      </c>
      <c r="BS5" s="107">
        <v>43952</v>
      </c>
      <c r="BT5" s="107">
        <v>43983</v>
      </c>
      <c r="BU5" s="107">
        <v>44013</v>
      </c>
      <c r="BV5" s="107">
        <v>44044</v>
      </c>
      <c r="BW5" s="107">
        <v>44075</v>
      </c>
      <c r="BX5" s="107">
        <v>44105</v>
      </c>
      <c r="BY5" s="107">
        <v>44136</v>
      </c>
      <c r="BZ5" s="107">
        <v>44166</v>
      </c>
      <c r="CA5" s="108">
        <f t="shared" ref="CA5" si="5">YEAR(BZ5)</f>
        <v>2020</v>
      </c>
      <c r="CB5" s="106">
        <v>44197</v>
      </c>
      <c r="CC5" s="107">
        <v>44228</v>
      </c>
      <c r="CD5" s="107">
        <v>44256</v>
      </c>
      <c r="CE5" s="107">
        <v>44287</v>
      </c>
      <c r="CF5" s="107">
        <v>44317</v>
      </c>
      <c r="CG5" s="107">
        <v>44348</v>
      </c>
      <c r="CH5" s="107">
        <v>44378</v>
      </c>
      <c r="CI5" s="107">
        <v>44409</v>
      </c>
      <c r="CJ5" s="107">
        <v>44440</v>
      </c>
      <c r="CK5" s="107">
        <v>44470</v>
      </c>
      <c r="CL5" s="107">
        <v>44501</v>
      </c>
      <c r="CM5" s="107">
        <v>44531</v>
      </c>
      <c r="CN5" s="108">
        <f t="shared" ref="CN5" si="6">YEAR(CM5)</f>
        <v>2021</v>
      </c>
      <c r="CO5" s="106">
        <v>44562</v>
      </c>
      <c r="CP5" s="107">
        <v>44593</v>
      </c>
      <c r="CQ5" s="107">
        <v>44621</v>
      </c>
      <c r="CR5" s="107">
        <v>44652</v>
      </c>
      <c r="CS5" s="107">
        <v>44682</v>
      </c>
      <c r="CT5" s="107">
        <v>44713</v>
      </c>
      <c r="CU5" s="107">
        <v>44743</v>
      </c>
      <c r="CV5" s="107">
        <v>44774</v>
      </c>
      <c r="CW5" s="107">
        <v>44805</v>
      </c>
      <c r="CX5" s="107">
        <v>44835</v>
      </c>
      <c r="CY5" s="107">
        <v>44866</v>
      </c>
      <c r="CZ5" s="107">
        <v>44896</v>
      </c>
      <c r="DA5" s="108">
        <f t="shared" ref="DA5" si="7">YEAR(CZ5)</f>
        <v>2022</v>
      </c>
      <c r="DB5" s="106">
        <v>44927</v>
      </c>
      <c r="DC5" s="107">
        <v>44958</v>
      </c>
      <c r="DD5" s="107">
        <v>44986</v>
      </c>
      <c r="DE5" s="107">
        <v>45017</v>
      </c>
      <c r="DF5" s="107">
        <v>45047</v>
      </c>
      <c r="DG5" s="107">
        <v>45078</v>
      </c>
      <c r="DH5" s="107">
        <v>45108</v>
      </c>
      <c r="DI5" s="107">
        <v>45139</v>
      </c>
      <c r="DJ5" s="107">
        <v>45170</v>
      </c>
      <c r="DK5" s="107">
        <v>45200</v>
      </c>
      <c r="DL5" s="107">
        <v>45231</v>
      </c>
      <c r="DM5" s="107">
        <v>45261</v>
      </c>
      <c r="DN5" s="108">
        <f t="shared" ref="DN5" si="8">YEAR(DM5)</f>
        <v>2023</v>
      </c>
      <c r="DO5" s="106">
        <v>45292</v>
      </c>
      <c r="DP5" s="107">
        <v>45323</v>
      </c>
      <c r="DQ5" s="107">
        <v>45352</v>
      </c>
      <c r="DR5" s="107">
        <v>45383</v>
      </c>
      <c r="DS5" s="107">
        <v>45413</v>
      </c>
      <c r="DT5" s="107">
        <v>45444</v>
      </c>
      <c r="DU5" s="107">
        <v>45474</v>
      </c>
      <c r="DV5" s="107">
        <v>45505</v>
      </c>
      <c r="DW5" s="107">
        <v>45536</v>
      </c>
      <c r="DX5" s="107">
        <v>45566</v>
      </c>
      <c r="DY5" s="107">
        <v>45597</v>
      </c>
      <c r="DZ5" s="107">
        <v>45627</v>
      </c>
      <c r="EA5" s="108">
        <f t="shared" ref="EA5" si="9">YEAR(DZ5)</f>
        <v>2024</v>
      </c>
      <c r="EB5" s="106">
        <v>45658</v>
      </c>
      <c r="EC5" s="107">
        <v>45689</v>
      </c>
      <c r="ED5" s="107">
        <v>45717</v>
      </c>
      <c r="EE5" s="107">
        <v>45748</v>
      </c>
      <c r="EF5" s="107">
        <v>45778</v>
      </c>
      <c r="EG5" s="107">
        <v>45809</v>
      </c>
      <c r="EH5" s="107">
        <v>45839</v>
      </c>
      <c r="EI5" s="107">
        <v>45870</v>
      </c>
      <c r="EJ5" s="107">
        <v>45901</v>
      </c>
      <c r="EK5" s="107">
        <v>45931</v>
      </c>
      <c r="EL5" s="107">
        <v>45962</v>
      </c>
      <c r="EM5" s="107">
        <v>45992</v>
      </c>
      <c r="EN5" s="108">
        <f>YEAR(EM5)</f>
        <v>2025</v>
      </c>
      <c r="EO5" s="106">
        <v>46023</v>
      </c>
      <c r="EP5" s="107">
        <v>46054</v>
      </c>
      <c r="EQ5" s="107">
        <v>46082</v>
      </c>
      <c r="ER5" s="107">
        <v>46113</v>
      </c>
      <c r="ES5" s="107">
        <v>46143</v>
      </c>
      <c r="ET5" s="107">
        <v>46174</v>
      </c>
      <c r="EU5" s="107">
        <v>46204</v>
      </c>
      <c r="EV5" s="949">
        <v>46235</v>
      </c>
      <c r="EW5" s="107">
        <v>46266</v>
      </c>
      <c r="EX5" s="107">
        <v>46296</v>
      </c>
      <c r="EY5" s="107">
        <v>46327</v>
      </c>
      <c r="EZ5" s="107">
        <v>46357</v>
      </c>
      <c r="FA5" s="108">
        <f>YEAR(EZ5)</f>
        <v>2026</v>
      </c>
      <c r="FC5" s="106">
        <f>EV5</f>
        <v>46235</v>
      </c>
      <c r="FD5" s="109" t="str">
        <f>CONCATENATE("Ene.-",TEXT(FC5,"MMM."))</f>
        <v>Ene.-Ago.</v>
      </c>
      <c r="FE5" s="109" t="str">
        <f>FD5</f>
        <v>Ene.-Ago.</v>
      </c>
      <c r="FF5" s="109" t="str">
        <f>FD5</f>
        <v>Ene.-Ago.</v>
      </c>
    </row>
    <row r="6" spans="1:163" ht="15" customHeight="1" x14ac:dyDescent="0.25">
      <c r="A6" s="165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5"/>
      <c r="O6" s="164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5"/>
      <c r="AB6" s="164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5"/>
      <c r="AO6" s="164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5"/>
      <c r="BB6" s="164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5"/>
      <c r="BO6" s="164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5"/>
      <c r="CB6" s="164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5"/>
      <c r="CO6" s="164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5"/>
      <c r="DB6" s="164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5"/>
      <c r="DO6" s="164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5"/>
      <c r="EB6" s="164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5"/>
      <c r="EO6" s="164"/>
      <c r="EP6" s="160"/>
      <c r="EQ6" s="160"/>
      <c r="ER6" s="160"/>
      <c r="ES6" s="160"/>
      <c r="ET6" s="160"/>
      <c r="EU6" s="160"/>
      <c r="EV6" s="960"/>
      <c r="EW6" s="160"/>
      <c r="EX6" s="160"/>
      <c r="EY6" s="160"/>
      <c r="EZ6" s="160"/>
      <c r="FA6" s="165"/>
      <c r="FC6" s="165"/>
      <c r="FD6" s="165"/>
      <c r="FE6" s="165"/>
      <c r="FF6" s="140"/>
      <c r="FG6" s="142"/>
    </row>
    <row r="7" spans="1:163" s="382" customFormat="1" ht="15" customHeight="1" x14ac:dyDescent="0.25">
      <c r="A7" s="380" t="s">
        <v>195</v>
      </c>
      <c r="B7" s="381">
        <f t="shared" ref="B7:M7" si="10">B9+B21</f>
        <v>48366.573179999999</v>
      </c>
      <c r="C7" s="382">
        <f t="shared" si="10"/>
        <v>31522.400000000001</v>
      </c>
      <c r="D7" s="382">
        <f t="shared" si="10"/>
        <v>37645.5</v>
      </c>
      <c r="E7" s="382">
        <f t="shared" si="10"/>
        <v>40471.9</v>
      </c>
      <c r="F7" s="382">
        <f t="shared" si="10"/>
        <v>31024.699999999997</v>
      </c>
      <c r="G7" s="382">
        <f t="shared" si="10"/>
        <v>35396</v>
      </c>
      <c r="H7" s="382">
        <f t="shared" si="10"/>
        <v>37267</v>
      </c>
      <c r="I7" s="382">
        <f t="shared" si="10"/>
        <v>38164</v>
      </c>
      <c r="J7" s="382">
        <f t="shared" si="10"/>
        <v>38287.1</v>
      </c>
      <c r="K7" s="382">
        <f t="shared" si="10"/>
        <v>39154.800000000003</v>
      </c>
      <c r="L7" s="382">
        <f t="shared" si="10"/>
        <v>42052.7</v>
      </c>
      <c r="M7" s="382">
        <f t="shared" si="10"/>
        <v>47011</v>
      </c>
      <c r="N7" s="380">
        <f>SUM(B7:M7)</f>
        <v>466363.67317999998</v>
      </c>
      <c r="O7" s="381">
        <f t="shared" ref="O7:Z7" si="11">O9+O21</f>
        <v>52170.100000000006</v>
      </c>
      <c r="P7" s="382">
        <f t="shared" si="11"/>
        <v>36332.400000000009</v>
      </c>
      <c r="Q7" s="382">
        <f t="shared" si="11"/>
        <v>41169.399999999994</v>
      </c>
      <c r="R7" s="382">
        <f t="shared" si="11"/>
        <v>39655.199999999997</v>
      </c>
      <c r="S7" s="382">
        <f t="shared" si="11"/>
        <v>57953.599999999999</v>
      </c>
      <c r="T7" s="382">
        <f t="shared" si="11"/>
        <v>39704.699999999997</v>
      </c>
      <c r="U7" s="382">
        <f t="shared" si="11"/>
        <v>42739</v>
      </c>
      <c r="V7" s="382">
        <f t="shared" si="11"/>
        <v>43056.4</v>
      </c>
      <c r="W7" s="382">
        <f t="shared" si="11"/>
        <v>42629.8</v>
      </c>
      <c r="X7" s="382">
        <f t="shared" si="11"/>
        <v>40854.1</v>
      </c>
      <c r="Y7" s="382">
        <f t="shared" si="11"/>
        <v>43395.4</v>
      </c>
      <c r="Z7" s="382">
        <f t="shared" si="11"/>
        <v>43150.1</v>
      </c>
      <c r="AA7" s="380">
        <f>SUM(O7:Z7)</f>
        <v>522810.2</v>
      </c>
      <c r="AB7" s="381">
        <f t="shared" ref="AB7:AM7" si="12">AB9+AB21</f>
        <v>53191.6</v>
      </c>
      <c r="AC7" s="382">
        <f t="shared" si="12"/>
        <v>36442.700000000004</v>
      </c>
      <c r="AD7" s="382">
        <f t="shared" si="12"/>
        <v>41189.599999999999</v>
      </c>
      <c r="AE7" s="382">
        <f t="shared" si="12"/>
        <v>40662.300000000003</v>
      </c>
      <c r="AF7" s="382">
        <f t="shared" si="12"/>
        <v>37027.800000000003</v>
      </c>
      <c r="AG7" s="382">
        <f t="shared" si="12"/>
        <v>42592.2</v>
      </c>
      <c r="AH7" s="382">
        <f t="shared" si="12"/>
        <v>43926</v>
      </c>
      <c r="AI7" s="382">
        <f t="shared" si="12"/>
        <v>43868.900000000009</v>
      </c>
      <c r="AJ7" s="382">
        <f t="shared" si="12"/>
        <v>43835.600000000006</v>
      </c>
      <c r="AK7" s="382">
        <f t="shared" si="12"/>
        <v>44371.199999999997</v>
      </c>
      <c r="AL7" s="382">
        <f t="shared" si="12"/>
        <v>41851.599999999999</v>
      </c>
      <c r="AM7" s="382">
        <f t="shared" si="12"/>
        <v>43010.400000000001</v>
      </c>
      <c r="AN7" s="380">
        <f>SUM(AB7:AM7)</f>
        <v>511969.90000000008</v>
      </c>
      <c r="AO7" s="381">
        <f t="shared" ref="AO7:AZ7" si="13">AO9+AO21</f>
        <v>56392</v>
      </c>
      <c r="AP7" s="382">
        <f t="shared" si="13"/>
        <v>38910</v>
      </c>
      <c r="AQ7" s="382">
        <f t="shared" si="13"/>
        <v>65917.600000000006</v>
      </c>
      <c r="AR7" s="382">
        <f t="shared" si="13"/>
        <v>52041.9</v>
      </c>
      <c r="AS7" s="382">
        <f t="shared" si="13"/>
        <v>44034</v>
      </c>
      <c r="AT7" s="382">
        <f t="shared" si="13"/>
        <v>49803.400000000009</v>
      </c>
      <c r="AU7" s="382">
        <f t="shared" si="13"/>
        <v>54422.1</v>
      </c>
      <c r="AV7" s="382">
        <f t="shared" si="13"/>
        <v>40851.4</v>
      </c>
      <c r="AW7" s="382">
        <f t="shared" si="13"/>
        <v>45099.5</v>
      </c>
      <c r="AX7" s="382">
        <f t="shared" si="13"/>
        <v>48398.2</v>
      </c>
      <c r="AY7" s="382">
        <f t="shared" si="13"/>
        <v>46590.6</v>
      </c>
      <c r="AZ7" s="382">
        <f t="shared" si="13"/>
        <v>46553.7</v>
      </c>
      <c r="BA7" s="380">
        <f>SUM(AO7:AZ7)</f>
        <v>589014.4</v>
      </c>
      <c r="BB7" s="381">
        <f>BB9+BB21</f>
        <v>53712.6</v>
      </c>
      <c r="BC7" s="382">
        <v>37828.8197</v>
      </c>
      <c r="BD7" s="382">
        <f t="shared" ref="BD7:BM7" si="14">BD9+BD21</f>
        <v>40543.799999999996</v>
      </c>
      <c r="BE7" s="382">
        <f t="shared" si="14"/>
        <v>129132.2</v>
      </c>
      <c r="BF7" s="382">
        <f t="shared" si="14"/>
        <v>40327.1</v>
      </c>
      <c r="BG7" s="382">
        <f t="shared" si="14"/>
        <v>43762.399999999994</v>
      </c>
      <c r="BH7" s="382">
        <f t="shared" si="14"/>
        <v>54032.299999999996</v>
      </c>
      <c r="BI7" s="382">
        <f t="shared" si="14"/>
        <v>49581.799999999996</v>
      </c>
      <c r="BJ7" s="382">
        <f t="shared" si="14"/>
        <v>53449.999999999993</v>
      </c>
      <c r="BK7" s="382">
        <f t="shared" si="14"/>
        <v>54951.6</v>
      </c>
      <c r="BL7" s="382">
        <f t="shared" si="14"/>
        <v>53304.799999999996</v>
      </c>
      <c r="BM7" s="382">
        <f t="shared" si="14"/>
        <v>56074.1</v>
      </c>
      <c r="BN7" s="380">
        <f>SUM(BB7:BM7)</f>
        <v>666701.51969999995</v>
      </c>
      <c r="BO7" s="381">
        <f t="shared" ref="BO7:BZ7" si="15">BO9+BO21</f>
        <v>67773.42</v>
      </c>
      <c r="BP7" s="382">
        <f t="shared" si="15"/>
        <v>45947.900000000009</v>
      </c>
      <c r="BQ7" s="382">
        <f t="shared" si="15"/>
        <v>49294.700000000004</v>
      </c>
      <c r="BR7" s="382">
        <f t="shared" si="15"/>
        <v>123842.3</v>
      </c>
      <c r="BS7" s="382">
        <f t="shared" si="15"/>
        <v>8068.9000000000005</v>
      </c>
      <c r="BT7" s="382">
        <f t="shared" si="15"/>
        <v>24559.55</v>
      </c>
      <c r="BU7" s="382">
        <f t="shared" si="15"/>
        <v>43100.400000000009</v>
      </c>
      <c r="BV7" s="382">
        <f t="shared" si="15"/>
        <v>47126.6</v>
      </c>
      <c r="BW7" s="382">
        <f t="shared" si="15"/>
        <v>45180.1</v>
      </c>
      <c r="BX7" s="382">
        <f t="shared" si="15"/>
        <v>50443</v>
      </c>
      <c r="BY7" s="382">
        <f t="shared" si="15"/>
        <v>61801.9</v>
      </c>
      <c r="BZ7" s="382">
        <f t="shared" si="15"/>
        <v>58064.6</v>
      </c>
      <c r="CA7" s="380">
        <f>SUM(BO7:BZ7)</f>
        <v>625203.37</v>
      </c>
      <c r="CB7" s="381">
        <f>CB9+CB21</f>
        <v>63024.777999999998</v>
      </c>
      <c r="CC7" s="382">
        <f>CC9+CC21</f>
        <v>59357.1</v>
      </c>
      <c r="CD7" s="382">
        <f>CD9+CD21</f>
        <v>62654</v>
      </c>
      <c r="CE7" s="382">
        <f>CE9+CE21</f>
        <v>145978.56100000002</v>
      </c>
      <c r="CF7" s="382">
        <f>CF9+CF21</f>
        <v>51782.9</v>
      </c>
      <c r="CG7" s="382">
        <f t="shared" ref="CG7:CZ7" si="16">CG9+CG21</f>
        <v>62883.433999999987</v>
      </c>
      <c r="CH7" s="382">
        <f t="shared" si="16"/>
        <v>63646.526619999997</v>
      </c>
      <c r="CI7" s="382">
        <f t="shared" si="16"/>
        <v>66329.304769999988</v>
      </c>
      <c r="CJ7" s="382">
        <f t="shared" si="16"/>
        <v>70765.02625000001</v>
      </c>
      <c r="CK7" s="382">
        <f t="shared" si="16"/>
        <v>69332.152629999997</v>
      </c>
      <c r="CL7" s="382">
        <f t="shared" si="16"/>
        <v>69790.058609999993</v>
      </c>
      <c r="CM7" s="382">
        <f t="shared" si="16"/>
        <v>74664.093380000006</v>
      </c>
      <c r="CN7" s="380">
        <f>SUM(CB7:CM7)</f>
        <v>860207.93525999994</v>
      </c>
      <c r="CO7" s="381">
        <f t="shared" si="16"/>
        <v>78337.188939999993</v>
      </c>
      <c r="CP7" s="382">
        <f t="shared" si="16"/>
        <v>54483.656890000006</v>
      </c>
      <c r="CQ7" s="382">
        <f t="shared" si="16"/>
        <v>70405.260370000004</v>
      </c>
      <c r="CR7" s="382">
        <f t="shared" si="16"/>
        <v>199171.43780000001</v>
      </c>
      <c r="CS7" s="382">
        <f t="shared" si="16"/>
        <v>62431.718959999991</v>
      </c>
      <c r="CT7" s="382">
        <f t="shared" si="16"/>
        <v>72590.522549999994</v>
      </c>
      <c r="CU7" s="382">
        <f t="shared" si="16"/>
        <v>73714.060859999998</v>
      </c>
      <c r="CV7" s="382">
        <f t="shared" si="16"/>
        <v>69417.1541</v>
      </c>
      <c r="CW7" s="382">
        <f t="shared" si="16"/>
        <v>69569.155059999975</v>
      </c>
      <c r="CX7" s="382">
        <f t="shared" si="16"/>
        <v>70553.557879999993</v>
      </c>
      <c r="CY7" s="382">
        <f t="shared" si="16"/>
        <v>72983.886599999998</v>
      </c>
      <c r="CZ7" s="382">
        <f t="shared" si="16"/>
        <v>74646.768590000007</v>
      </c>
      <c r="DA7" s="380">
        <f>SUM(CO7:CZ7)</f>
        <v>968304.36859999993</v>
      </c>
      <c r="DB7" s="381">
        <v>67458.195890000003</v>
      </c>
      <c r="DC7" s="382">
        <v>55757.225200000001</v>
      </c>
      <c r="DD7" s="382">
        <v>66974.533379999993</v>
      </c>
      <c r="DE7" s="382">
        <v>207041.84819000002</v>
      </c>
      <c r="DF7" s="382">
        <v>57096.083399999996</v>
      </c>
      <c r="DG7" s="382">
        <v>64468.153690000006</v>
      </c>
      <c r="DH7" s="382">
        <v>59628.999179999992</v>
      </c>
      <c r="DI7" s="382">
        <v>66142.545819999999</v>
      </c>
      <c r="DJ7" s="382">
        <v>64400.451309999997</v>
      </c>
      <c r="DK7" s="382">
        <v>59288.124489999995</v>
      </c>
      <c r="DL7" s="382">
        <v>65702.371499999994</v>
      </c>
      <c r="DM7" s="382">
        <v>60729.199240000009</v>
      </c>
      <c r="DN7" s="380">
        <f>SUM(DB7:DM7)</f>
        <v>894687.73129000003</v>
      </c>
      <c r="DO7" s="381">
        <v>73141.483179999996</v>
      </c>
      <c r="DP7" s="382">
        <v>57214.79535</v>
      </c>
      <c r="DQ7" s="382">
        <v>61738.418519999999</v>
      </c>
      <c r="DR7" s="382">
        <v>201957.95739999993</v>
      </c>
      <c r="DS7" s="382">
        <v>57762.474600000001</v>
      </c>
      <c r="DT7" s="382">
        <v>76539.836449999988</v>
      </c>
      <c r="DU7" s="382">
        <v>69091.446129999997</v>
      </c>
      <c r="DV7" s="382">
        <v>69721.152830000006</v>
      </c>
      <c r="DW7" s="382">
        <v>74660.822809999998</v>
      </c>
      <c r="DX7" s="382">
        <v>72001.113740000001</v>
      </c>
      <c r="DY7" s="382">
        <v>77633.572379999998</v>
      </c>
      <c r="DZ7" s="382">
        <v>76094.972499999989</v>
      </c>
      <c r="EA7" s="380">
        <f>SUM(DO7:DZ7)</f>
        <v>967558.04589000007</v>
      </c>
      <c r="EB7" s="381">
        <v>85995.063649999996</v>
      </c>
      <c r="EC7" s="382">
        <v>115205.35880999999</v>
      </c>
      <c r="ED7" s="382">
        <v>71556.06719999999</v>
      </c>
      <c r="EE7" s="382">
        <v>224956.33683999995</v>
      </c>
      <c r="EF7" s="382">
        <v>65967.013119999989</v>
      </c>
      <c r="EG7" s="382">
        <v>66783.128270000016</v>
      </c>
      <c r="EH7" s="382">
        <v>71587.185530000002</v>
      </c>
      <c r="EI7" s="382">
        <v>75138.856849999996</v>
      </c>
      <c r="EJ7" s="382">
        <v>80070.84530999999</v>
      </c>
      <c r="EK7" s="382">
        <v>85101.423119999992</v>
      </c>
      <c r="EL7" s="382">
        <v>81123.646159999975</v>
      </c>
      <c r="EM7" s="382">
        <v>84203.149109999998</v>
      </c>
      <c r="EN7" s="380">
        <f>SUM(EB7:EM7)</f>
        <v>1107688.0739699998</v>
      </c>
      <c r="EO7" s="381">
        <v>92010.890060000005</v>
      </c>
      <c r="EP7" s="382">
        <v>72068.096089999992</v>
      </c>
      <c r="EQ7" s="382">
        <v>79296.456909999994</v>
      </c>
      <c r="ER7" s="382">
        <v>260571.60277000003</v>
      </c>
      <c r="ES7" s="382">
        <v>75420.529439999998</v>
      </c>
      <c r="ET7" s="382">
        <v>81321.486509999988</v>
      </c>
      <c r="EU7" s="382">
        <v>92507.011339999983</v>
      </c>
      <c r="EV7" s="969">
        <v>83764.394720000011</v>
      </c>
      <c r="FA7" s="380">
        <f>SUM(EO7:EZ7)</f>
        <v>836960.46783999994</v>
      </c>
      <c r="FB7" s="112"/>
      <c r="FC7" s="383">
        <f>IFERROR((((EV7/EI7)-1)*100),"")</f>
        <v>11.479463797565103</v>
      </c>
      <c r="FD7" s="383">
        <f>IFERROR(((FF7/FE7)-1)*100,"")</f>
        <v>7.6907234636829358</v>
      </c>
      <c r="FE7" s="384">
        <f>SUMIFS($B7:$FA7,$B$5:$FA$5,"&gt;="&amp;DATE(YEAR($FC$5)-1,1,1),$B$5:$FA$5,"&lt;="&amp;DATE(YEAR($FC$5)-1,MONTH($FC$5),1))</f>
        <v>777189.01026999985</v>
      </c>
      <c r="FF7" s="384">
        <f>SUMIFS($B7:$FA7,$B$5:$FA$5,"&gt;="&amp;DATE(YEAR($FC$5),1,1),$B$5:$FA$5,"&lt;="&amp;$FC$5)</f>
        <v>836960.46783999994</v>
      </c>
      <c r="FG7" s="395"/>
    </row>
    <row r="8" spans="1:163" ht="15" customHeight="1" x14ac:dyDescent="0.25">
      <c r="A8" s="161"/>
      <c r="B8" s="162"/>
      <c r="N8" s="161"/>
      <c r="O8" s="162"/>
      <c r="AA8" s="161"/>
      <c r="AB8" s="162"/>
      <c r="AN8" s="161"/>
      <c r="AO8" s="162"/>
      <c r="BA8" s="161"/>
      <c r="BB8" s="162"/>
      <c r="BN8" s="161"/>
      <c r="BO8" s="162"/>
      <c r="CA8" s="161"/>
      <c r="CB8" s="162"/>
      <c r="CN8" s="161"/>
      <c r="CO8" s="162"/>
      <c r="DA8" s="161"/>
      <c r="DB8" s="162"/>
      <c r="DN8" s="161"/>
      <c r="DO8" s="162"/>
      <c r="EA8" s="161"/>
      <c r="EB8" s="162"/>
      <c r="EN8" s="161"/>
      <c r="EO8" s="162"/>
      <c r="FA8" s="161"/>
      <c r="FC8" s="149" t="str">
        <f t="shared" ref="FC8:FC21" si="17">IFERROR((((EV8/EI8)-1)*100),"")</f>
        <v/>
      </c>
      <c r="FD8" s="149"/>
      <c r="FE8" s="148"/>
      <c r="FF8" s="148"/>
      <c r="FG8" s="127"/>
    </row>
    <row r="9" spans="1:163" s="147" customFormat="1" ht="15" customHeight="1" x14ac:dyDescent="0.25">
      <c r="A9" s="234" t="s">
        <v>196</v>
      </c>
      <c r="B9" s="272">
        <f t="shared" ref="B9:M9" si="18">B10+B14+B15+B18+B19</f>
        <v>47589.325100000002</v>
      </c>
      <c r="C9" s="147">
        <f t="shared" si="18"/>
        <v>30874.2</v>
      </c>
      <c r="D9" s="147">
        <f t="shared" si="18"/>
        <v>37013.5</v>
      </c>
      <c r="E9" s="147">
        <f t="shared" si="18"/>
        <v>39864.9</v>
      </c>
      <c r="F9" s="147">
        <f t="shared" si="18"/>
        <v>30380.699999999997</v>
      </c>
      <c r="G9" s="147">
        <f t="shared" si="18"/>
        <v>34852</v>
      </c>
      <c r="H9" s="147">
        <f t="shared" si="18"/>
        <v>36623</v>
      </c>
      <c r="I9" s="147">
        <f t="shared" si="18"/>
        <v>37476.5</v>
      </c>
      <c r="J9" s="147">
        <f t="shared" si="18"/>
        <v>37286.1</v>
      </c>
      <c r="K9" s="147">
        <f t="shared" si="18"/>
        <v>38204.100000000006</v>
      </c>
      <c r="L9" s="147">
        <f t="shared" si="18"/>
        <v>40857.399999999994</v>
      </c>
      <c r="M9" s="147">
        <f t="shared" si="18"/>
        <v>40647</v>
      </c>
      <c r="N9" s="234">
        <f t="shared" ref="N9:N19" si="19">SUM(B9:M9)</f>
        <v>451668.72510000004</v>
      </c>
      <c r="O9" s="272">
        <f t="shared" ref="O9:Z9" si="20">O10+O14+O15+O18+O19</f>
        <v>51800.900000000009</v>
      </c>
      <c r="P9" s="147">
        <f t="shared" si="20"/>
        <v>35756.400000000009</v>
      </c>
      <c r="Q9" s="147">
        <f t="shared" si="20"/>
        <v>40736.699999999997</v>
      </c>
      <c r="R9" s="147">
        <f t="shared" si="20"/>
        <v>39098.6</v>
      </c>
      <c r="S9" s="147">
        <f t="shared" si="20"/>
        <v>57308.6</v>
      </c>
      <c r="T9" s="147">
        <f t="shared" si="20"/>
        <v>39234.699999999997</v>
      </c>
      <c r="U9" s="147">
        <f t="shared" si="20"/>
        <v>42421.3</v>
      </c>
      <c r="V9" s="147">
        <f t="shared" si="20"/>
        <v>42395</v>
      </c>
      <c r="W9" s="147">
        <f t="shared" si="20"/>
        <v>42104.4</v>
      </c>
      <c r="X9" s="147">
        <f t="shared" si="20"/>
        <v>40497.199999999997</v>
      </c>
      <c r="Y9" s="147">
        <f t="shared" si="20"/>
        <v>43022.200000000004</v>
      </c>
      <c r="Z9" s="147">
        <f t="shared" si="20"/>
        <v>42883.4</v>
      </c>
      <c r="AA9" s="234">
        <f t="shared" ref="AA9:AA19" si="21">SUM(O9:Z9)</f>
        <v>517259.40000000008</v>
      </c>
      <c r="AB9" s="272">
        <f t="shared" ref="AB9:AM9" si="22">AB10+AB14+AB15+AB18+AB19</f>
        <v>52899.7</v>
      </c>
      <c r="AC9" s="147">
        <f t="shared" si="22"/>
        <v>36257.4</v>
      </c>
      <c r="AD9" s="147">
        <f t="shared" si="22"/>
        <v>40942.6</v>
      </c>
      <c r="AE9" s="147">
        <f t="shared" si="22"/>
        <v>40375.5</v>
      </c>
      <c r="AF9" s="147">
        <f t="shared" si="22"/>
        <v>36664.5</v>
      </c>
      <c r="AG9" s="147">
        <f t="shared" si="22"/>
        <v>42361.5</v>
      </c>
      <c r="AH9" s="147">
        <f t="shared" si="22"/>
        <v>43608</v>
      </c>
      <c r="AI9" s="147">
        <f t="shared" si="22"/>
        <v>43518.100000000006</v>
      </c>
      <c r="AJ9" s="147">
        <f t="shared" si="22"/>
        <v>43466.200000000004</v>
      </c>
      <c r="AK9" s="147">
        <f t="shared" si="22"/>
        <v>43659.6</v>
      </c>
      <c r="AL9" s="147">
        <f t="shared" si="22"/>
        <v>41340.699999999997</v>
      </c>
      <c r="AM9" s="147">
        <f t="shared" si="22"/>
        <v>42539.5</v>
      </c>
      <c r="AN9" s="234">
        <f t="shared" ref="AN9:AN19" si="23">SUM(AB9:AM9)</f>
        <v>507633.30000000005</v>
      </c>
      <c r="AO9" s="272">
        <f t="shared" ref="AO9:AZ9" si="24">AO10+AO14+AO15+AO18+AO19</f>
        <v>56144</v>
      </c>
      <c r="AP9" s="147">
        <f t="shared" si="24"/>
        <v>38500</v>
      </c>
      <c r="AQ9" s="147">
        <f t="shared" si="24"/>
        <v>65594.100000000006</v>
      </c>
      <c r="AR9" s="147">
        <f t="shared" si="24"/>
        <v>51650.9</v>
      </c>
      <c r="AS9" s="147">
        <f t="shared" si="24"/>
        <v>43073.9</v>
      </c>
      <c r="AT9" s="147">
        <f t="shared" si="24"/>
        <v>49205.600000000006</v>
      </c>
      <c r="AU9" s="147">
        <f t="shared" si="24"/>
        <v>52745</v>
      </c>
      <c r="AV9" s="147">
        <f t="shared" si="24"/>
        <v>40377.599999999999</v>
      </c>
      <c r="AW9" s="147">
        <f t="shared" si="24"/>
        <v>44673.9</v>
      </c>
      <c r="AX9" s="147">
        <f t="shared" si="24"/>
        <v>47679.199999999997</v>
      </c>
      <c r="AY9" s="147">
        <f t="shared" si="24"/>
        <v>45773.2</v>
      </c>
      <c r="AZ9" s="147">
        <f t="shared" si="24"/>
        <v>45115</v>
      </c>
      <c r="BA9" s="234">
        <f t="shared" ref="BA9:BA19" si="25">SUM(AO9:AZ9)</f>
        <v>580532.4</v>
      </c>
      <c r="BB9" s="272">
        <f>BB10+BB14+BB15+BB18+BB19</f>
        <v>53125.299999999996</v>
      </c>
      <c r="BC9" s="147">
        <v>36795.173179999998</v>
      </c>
      <c r="BD9" s="147">
        <f t="shared" ref="BD9:BM9" si="26">BD10+BD14+BD15+BD18+BD19</f>
        <v>40170.999999999993</v>
      </c>
      <c r="BE9" s="147">
        <f t="shared" si="26"/>
        <v>128674.2</v>
      </c>
      <c r="BF9" s="147">
        <f t="shared" si="26"/>
        <v>39955.599999999999</v>
      </c>
      <c r="BG9" s="147">
        <f t="shared" si="26"/>
        <v>42547.899999999994</v>
      </c>
      <c r="BH9" s="147">
        <f t="shared" si="26"/>
        <v>52344.499999999993</v>
      </c>
      <c r="BI9" s="147">
        <f t="shared" si="26"/>
        <v>48204.399999999994</v>
      </c>
      <c r="BJ9" s="147">
        <f t="shared" si="26"/>
        <v>51764.799999999996</v>
      </c>
      <c r="BK9" s="147">
        <f t="shared" si="26"/>
        <v>53018.6</v>
      </c>
      <c r="BL9" s="147">
        <f>BL10+BL14+BL15+BL18+BL19</f>
        <v>52157.299999999996</v>
      </c>
      <c r="BM9" s="147">
        <f t="shared" si="26"/>
        <v>55546.5</v>
      </c>
      <c r="BN9" s="234">
        <f t="shared" ref="BN9:BN21" si="27">SUM(BB9:BM9)</f>
        <v>654305.27318000002</v>
      </c>
      <c r="BO9" s="272">
        <f t="shared" ref="BO9:BZ9" si="28">BO10+BO14+BO15+BO18+BO19</f>
        <v>66960.62</v>
      </c>
      <c r="BP9" s="147">
        <f t="shared" si="28"/>
        <v>45476.100000000006</v>
      </c>
      <c r="BQ9" s="147">
        <f t="shared" si="28"/>
        <v>49000.3</v>
      </c>
      <c r="BR9" s="147">
        <f t="shared" si="28"/>
        <v>123795.90000000001</v>
      </c>
      <c r="BS9" s="147">
        <f t="shared" si="28"/>
        <v>8038.8</v>
      </c>
      <c r="BT9" s="147">
        <f t="shared" si="28"/>
        <v>24521.95</v>
      </c>
      <c r="BU9" s="147">
        <f t="shared" si="28"/>
        <v>42385.600000000006</v>
      </c>
      <c r="BV9" s="147">
        <f t="shared" si="28"/>
        <v>46659.6</v>
      </c>
      <c r="BW9" s="147">
        <f t="shared" si="28"/>
        <v>44372.1</v>
      </c>
      <c r="BX9" s="147">
        <f t="shared" si="28"/>
        <v>50194.9</v>
      </c>
      <c r="BY9" s="147">
        <f t="shared" si="28"/>
        <v>58588.700000000004</v>
      </c>
      <c r="BZ9" s="147">
        <f t="shared" si="28"/>
        <v>57716.4</v>
      </c>
      <c r="CA9" s="234">
        <f t="shared" ref="CA9:CA21" si="29">SUM(BO9:BZ9)</f>
        <v>617710.97</v>
      </c>
      <c r="CB9" s="272">
        <f t="shared" ref="CB9:CM9" si="30">CB10+CB14+CB15+CB18+CB19</f>
        <v>62506.777999999998</v>
      </c>
      <c r="CC9" s="147">
        <f t="shared" si="30"/>
        <v>59154.6</v>
      </c>
      <c r="CD9" s="147">
        <f t="shared" si="30"/>
        <v>62144.5</v>
      </c>
      <c r="CE9" s="147">
        <f t="shared" si="30"/>
        <v>145313.70000000001</v>
      </c>
      <c r="CF9" s="147">
        <f t="shared" si="30"/>
        <v>51311.4</v>
      </c>
      <c r="CG9" s="147">
        <f t="shared" si="30"/>
        <v>62340.771949999988</v>
      </c>
      <c r="CH9" s="147">
        <f t="shared" si="30"/>
        <v>63447.527239999996</v>
      </c>
      <c r="CI9" s="147">
        <f t="shared" si="30"/>
        <v>66110.762319999994</v>
      </c>
      <c r="CJ9" s="147">
        <f t="shared" si="30"/>
        <v>70447.090150000004</v>
      </c>
      <c r="CK9" s="147">
        <f t="shared" si="30"/>
        <v>69059.235589999997</v>
      </c>
      <c r="CL9" s="147">
        <f t="shared" si="30"/>
        <v>69445.728489999994</v>
      </c>
      <c r="CM9" s="147">
        <f t="shared" si="30"/>
        <v>74021.119890000002</v>
      </c>
      <c r="CN9" s="234">
        <f t="shared" ref="CN9:CN21" si="31">SUM(CB9:CM9)</f>
        <v>855303.21362999978</v>
      </c>
      <c r="CO9" s="272">
        <f t="shared" ref="CO9:CZ9" si="32">CO10+CO14+CO15+CO18+CO19</f>
        <v>77886.170059999989</v>
      </c>
      <c r="CP9" s="147">
        <f t="shared" si="32"/>
        <v>54076.550710000003</v>
      </c>
      <c r="CQ9" s="147">
        <f t="shared" si="32"/>
        <v>69915.099300000002</v>
      </c>
      <c r="CR9" s="147">
        <f t="shared" si="32"/>
        <v>198529.06784</v>
      </c>
      <c r="CS9" s="147">
        <f t="shared" si="32"/>
        <v>62056.101339999994</v>
      </c>
      <c r="CT9" s="147">
        <f t="shared" si="32"/>
        <v>72175.549569999988</v>
      </c>
      <c r="CU9" s="147">
        <f t="shared" si="32"/>
        <v>72518.585059999998</v>
      </c>
      <c r="CV9" s="147">
        <f t="shared" si="32"/>
        <v>69167.337029999995</v>
      </c>
      <c r="CW9" s="147">
        <f t="shared" si="32"/>
        <v>69137.78462999998</v>
      </c>
      <c r="CX9" s="147">
        <f t="shared" si="32"/>
        <v>70115.830149999994</v>
      </c>
      <c r="CY9" s="147">
        <f t="shared" si="32"/>
        <v>72396.561319999993</v>
      </c>
      <c r="CZ9" s="147">
        <f t="shared" si="32"/>
        <v>73105.332930000004</v>
      </c>
      <c r="DA9" s="234">
        <f t="shared" ref="DA9:DA19" si="33">SUM(CO9:CZ9)</f>
        <v>961079.96993999986</v>
      </c>
      <c r="DB9" s="272">
        <f t="shared" ref="DB9:DJ9" si="34">DB10+DB14+DB15+DB18+DB19</f>
        <v>67070.042879999994</v>
      </c>
      <c r="DC9" s="147">
        <f t="shared" si="34"/>
        <v>55298.50232</v>
      </c>
      <c r="DD9" s="147">
        <f t="shared" si="34"/>
        <v>66387.474619999994</v>
      </c>
      <c r="DE9" s="147">
        <f t="shared" si="34"/>
        <v>206651.83837000001</v>
      </c>
      <c r="DF9" s="147">
        <f t="shared" si="34"/>
        <v>56483.416459999993</v>
      </c>
      <c r="DG9" s="147">
        <f t="shared" si="34"/>
        <v>63791.632710000005</v>
      </c>
      <c r="DH9" s="147">
        <f t="shared" si="34"/>
        <v>59275.926989999993</v>
      </c>
      <c r="DI9" s="147">
        <f t="shared" si="34"/>
        <v>65733.344689999998</v>
      </c>
      <c r="DJ9" s="147">
        <f t="shared" si="34"/>
        <v>64005.123309999995</v>
      </c>
      <c r="DK9" s="147">
        <v>59002.917409999995</v>
      </c>
      <c r="DL9" s="147">
        <v>65223.072319999999</v>
      </c>
      <c r="DM9" s="147">
        <v>60377.253800000006</v>
      </c>
      <c r="DN9" s="234">
        <f t="shared" ref="DN9:DN21" si="35">SUM(DB9:DM9)</f>
        <v>889300.54587999987</v>
      </c>
      <c r="DO9" s="272">
        <v>72834.189509999997</v>
      </c>
      <c r="DP9" s="147">
        <v>56770.358229999998</v>
      </c>
      <c r="DQ9" s="147">
        <v>61395.661999999997</v>
      </c>
      <c r="DR9" s="147">
        <v>201460.22166999994</v>
      </c>
      <c r="DS9" s="147">
        <v>56882.828450000001</v>
      </c>
      <c r="DT9" s="147">
        <v>71785.96123999999</v>
      </c>
      <c r="DU9" s="147">
        <v>68823.615810000003</v>
      </c>
      <c r="DV9" s="147">
        <v>68382.81409</v>
      </c>
      <c r="DW9" s="147">
        <v>74420.254149999993</v>
      </c>
      <c r="DX9" s="147">
        <v>71618.985629999996</v>
      </c>
      <c r="DY9" s="147">
        <v>76268.800239999997</v>
      </c>
      <c r="DZ9" s="147">
        <v>74545.772369999991</v>
      </c>
      <c r="EA9" s="234">
        <f t="shared" ref="EA9:EA21" si="36">SUM(DO9:DZ9)</f>
        <v>955189.46339000005</v>
      </c>
      <c r="EB9" s="272">
        <v>84208.744420000003</v>
      </c>
      <c r="EC9" s="147">
        <v>114814.03683999999</v>
      </c>
      <c r="ED9" s="147">
        <v>70598.184169999993</v>
      </c>
      <c r="EE9" s="147">
        <v>224437.17857999995</v>
      </c>
      <c r="EF9" s="147">
        <v>65667.981159999996</v>
      </c>
      <c r="EG9" s="147">
        <v>66318.63294000001</v>
      </c>
      <c r="EH9" s="147">
        <v>70477.103000000003</v>
      </c>
      <c r="EI9" s="147">
        <v>74608.52257999999</v>
      </c>
      <c r="EJ9" s="147">
        <v>79551.724399999992</v>
      </c>
      <c r="EK9" s="147">
        <v>82403.522069999992</v>
      </c>
      <c r="EL9" s="147">
        <v>80552.551549999975</v>
      </c>
      <c r="EM9" s="147">
        <v>82917.904859999995</v>
      </c>
      <c r="EN9" s="234">
        <f t="shared" ref="EN9:EN19" si="37">SUM(EB9:EM9)</f>
        <v>1096556.0865699998</v>
      </c>
      <c r="EO9" s="272">
        <v>89289.26109</v>
      </c>
      <c r="EP9" s="147">
        <v>71303.838799999998</v>
      </c>
      <c r="EQ9" s="147">
        <v>78459.417249999999</v>
      </c>
      <c r="ER9" s="147">
        <v>259583.78405000002</v>
      </c>
      <c r="ES9" s="147">
        <v>74760.326310000004</v>
      </c>
      <c r="ET9" s="147">
        <v>80194.067769999994</v>
      </c>
      <c r="EU9" s="147">
        <v>91299.516929999983</v>
      </c>
      <c r="EV9" s="951">
        <v>82144.518970000005</v>
      </c>
      <c r="FA9" s="234">
        <f t="shared" ref="FA9:FA19" si="38">SUM(EO9:EZ9)</f>
        <v>827034.73116999993</v>
      </c>
      <c r="FB9" s="111"/>
      <c r="FC9" s="146">
        <f t="shared" si="17"/>
        <v>10.100717893079093</v>
      </c>
      <c r="FD9" s="146">
        <f t="shared" ref="FD9:FD21" si="39">IFERROR(((FF9/FE9)-1)*100,"")</f>
        <v>7.2496621404654737</v>
      </c>
      <c r="FE9" s="143">
        <f>SUMIFS($B9:$FA9,$B$5:$FA$5,"&gt;="&amp;DATE(YEAR($FC$5)-1,1,1),$B$5:$FA$5,"&lt;="&amp;DATE(YEAR($FC$5)-1,MONTH($FC$5),1))</f>
        <v>771130.38368999993</v>
      </c>
      <c r="FF9" s="143">
        <f t="shared" ref="FF9:FF18" si="40">SUMIFS($B9:$FA9,$B$5:$FA$5,"&gt;="&amp;DATE(YEAR($FC$5),1,1),$B$5:$FA$5,"&lt;="&amp;$FC$5)</f>
        <v>827034.73116999993</v>
      </c>
      <c r="FG9" s="142"/>
    </row>
    <row r="10" spans="1:163" ht="15" customHeight="1" x14ac:dyDescent="0.25">
      <c r="A10" s="398" t="s">
        <v>222</v>
      </c>
      <c r="B10" s="162">
        <f t="shared" ref="B10:M10" si="41">SUM(B11:B13)</f>
        <v>17600.082390000003</v>
      </c>
      <c r="C10" s="151">
        <f t="shared" si="41"/>
        <v>12460.5</v>
      </c>
      <c r="D10" s="151">
        <f t="shared" si="41"/>
        <v>16771.599999999999</v>
      </c>
      <c r="E10" s="151">
        <f t="shared" si="41"/>
        <v>16317</v>
      </c>
      <c r="F10" s="151">
        <f t="shared" si="41"/>
        <v>10434.299999999999</v>
      </c>
      <c r="G10" s="151">
        <f t="shared" si="41"/>
        <v>11250</v>
      </c>
      <c r="H10" s="151">
        <f t="shared" si="41"/>
        <v>12395</v>
      </c>
      <c r="I10" s="151">
        <f t="shared" si="41"/>
        <v>12818</v>
      </c>
      <c r="J10" s="151">
        <f t="shared" si="41"/>
        <v>12805</v>
      </c>
      <c r="K10" s="151">
        <f t="shared" si="41"/>
        <v>12788</v>
      </c>
      <c r="L10" s="151">
        <f t="shared" si="41"/>
        <v>14681.1</v>
      </c>
      <c r="M10" s="151">
        <f t="shared" si="41"/>
        <v>14091</v>
      </c>
      <c r="N10" s="161">
        <f t="shared" si="19"/>
        <v>164411.58239000003</v>
      </c>
      <c r="O10" s="162">
        <f t="shared" ref="O10:Z10" si="42">SUM(O11:O13)</f>
        <v>17371.600000000002</v>
      </c>
      <c r="P10" s="151">
        <f t="shared" si="42"/>
        <v>13571.7</v>
      </c>
      <c r="Q10" s="151">
        <f t="shared" si="42"/>
        <v>18150.2</v>
      </c>
      <c r="R10" s="151">
        <f t="shared" si="42"/>
        <v>13051.3</v>
      </c>
      <c r="S10" s="151">
        <f t="shared" si="42"/>
        <v>33042.199999999997</v>
      </c>
      <c r="T10" s="151">
        <f t="shared" si="42"/>
        <v>13481.4</v>
      </c>
      <c r="U10" s="151">
        <f t="shared" si="42"/>
        <v>14117.7</v>
      </c>
      <c r="V10" s="151">
        <f t="shared" si="42"/>
        <v>15012.000000000002</v>
      </c>
      <c r="W10" s="151">
        <f t="shared" si="42"/>
        <v>14556.400000000001</v>
      </c>
      <c r="X10" s="151">
        <f t="shared" si="42"/>
        <v>14321.8</v>
      </c>
      <c r="Y10" s="151">
        <f t="shared" si="42"/>
        <v>15120.2</v>
      </c>
      <c r="Z10" s="151">
        <f t="shared" si="42"/>
        <v>14714.800000000001</v>
      </c>
      <c r="AA10" s="161">
        <f t="shared" si="21"/>
        <v>196511.3</v>
      </c>
      <c r="AB10" s="162">
        <f t="shared" ref="AB10:AM10" si="43">SUM(AB11:AB13)</f>
        <v>17589.300000000003</v>
      </c>
      <c r="AC10" s="151">
        <f t="shared" si="43"/>
        <v>13389.2</v>
      </c>
      <c r="AD10" s="151">
        <f t="shared" si="43"/>
        <v>17197.599999999999</v>
      </c>
      <c r="AE10" s="151">
        <f t="shared" si="43"/>
        <v>12606.8</v>
      </c>
      <c r="AF10" s="151">
        <f t="shared" si="43"/>
        <v>11898.999999999998</v>
      </c>
      <c r="AG10" s="151">
        <f t="shared" si="43"/>
        <v>13233.2</v>
      </c>
      <c r="AH10" s="151">
        <f t="shared" si="43"/>
        <v>13462.3</v>
      </c>
      <c r="AI10" s="151">
        <f t="shared" si="43"/>
        <v>14586.699999999999</v>
      </c>
      <c r="AJ10" s="151">
        <f t="shared" si="43"/>
        <v>13286.199999999999</v>
      </c>
      <c r="AK10" s="151">
        <f t="shared" si="43"/>
        <v>13687.8</v>
      </c>
      <c r="AL10" s="151">
        <f t="shared" si="43"/>
        <v>12527.599999999999</v>
      </c>
      <c r="AM10" s="151">
        <f t="shared" si="43"/>
        <v>13913.7</v>
      </c>
      <c r="AN10" s="161">
        <f t="shared" si="23"/>
        <v>167379.40000000002</v>
      </c>
      <c r="AO10" s="162">
        <f t="shared" ref="AO10:AZ10" si="44">SUM(AO11:AO13)</f>
        <v>17803</v>
      </c>
      <c r="AP10" s="151">
        <f t="shared" si="44"/>
        <v>14331</v>
      </c>
      <c r="AQ10" s="151">
        <f t="shared" si="44"/>
        <v>37482.200000000004</v>
      </c>
      <c r="AR10" s="151">
        <f t="shared" si="44"/>
        <v>20318.100000000002</v>
      </c>
      <c r="AS10" s="151">
        <f t="shared" si="44"/>
        <v>16371.8</v>
      </c>
      <c r="AT10" s="151">
        <f t="shared" si="44"/>
        <v>15714.400000000001</v>
      </c>
      <c r="AU10" s="151">
        <f t="shared" si="44"/>
        <v>17736.599999999999</v>
      </c>
      <c r="AV10" s="151">
        <f t="shared" si="44"/>
        <v>15600.099999999999</v>
      </c>
      <c r="AW10" s="151">
        <f t="shared" si="44"/>
        <v>12335.9</v>
      </c>
      <c r="AX10" s="151">
        <f t="shared" si="44"/>
        <v>16525.3</v>
      </c>
      <c r="AY10" s="151">
        <f t="shared" si="44"/>
        <v>14265.7</v>
      </c>
      <c r="AZ10" s="151">
        <f t="shared" si="44"/>
        <v>14108.099999999999</v>
      </c>
      <c r="BA10" s="161">
        <f t="shared" si="25"/>
        <v>212592.20000000004</v>
      </c>
      <c r="BB10" s="162">
        <f t="shared" ref="BB10:BM10" si="45">SUM(BB11:BB13)</f>
        <v>13012.5</v>
      </c>
      <c r="BC10" s="151">
        <f t="shared" si="45"/>
        <v>10680.596369999999</v>
      </c>
      <c r="BD10" s="151">
        <f t="shared" si="45"/>
        <v>13810.199999999999</v>
      </c>
      <c r="BE10" s="151">
        <f t="shared" si="45"/>
        <v>93922</v>
      </c>
      <c r="BF10" s="151">
        <f t="shared" si="45"/>
        <v>11922.7</v>
      </c>
      <c r="BG10" s="151">
        <f t="shared" si="45"/>
        <v>11090.4</v>
      </c>
      <c r="BH10" s="151">
        <f t="shared" si="45"/>
        <v>13687.3</v>
      </c>
      <c r="BI10" s="151">
        <f t="shared" si="45"/>
        <v>13506.4</v>
      </c>
      <c r="BJ10" s="151">
        <f t="shared" si="45"/>
        <v>10607</v>
      </c>
      <c r="BK10" s="151">
        <f t="shared" si="45"/>
        <v>11054.9</v>
      </c>
      <c r="BL10" s="151">
        <f t="shared" si="45"/>
        <v>15635.900000000001</v>
      </c>
      <c r="BM10" s="151">
        <f t="shared" si="45"/>
        <v>13121.599999999999</v>
      </c>
      <c r="BN10" s="161">
        <f t="shared" si="27"/>
        <v>232051.49636999998</v>
      </c>
      <c r="BO10" s="162">
        <f t="shared" ref="BO10:BV10" si="46">SUM(BO11:BO13)</f>
        <v>15254.6</v>
      </c>
      <c r="BP10" s="151">
        <f t="shared" si="46"/>
        <v>12565</v>
      </c>
      <c r="BQ10" s="151">
        <f t="shared" si="46"/>
        <v>16839.7</v>
      </c>
      <c r="BR10" s="151">
        <f t="shared" si="46"/>
        <v>108201.3</v>
      </c>
      <c r="BS10" s="151">
        <f t="shared" si="46"/>
        <v>3810.7</v>
      </c>
      <c r="BT10" s="151">
        <f t="shared" si="46"/>
        <v>5443.4</v>
      </c>
      <c r="BU10" s="151">
        <f t="shared" si="46"/>
        <v>9211.8000000000011</v>
      </c>
      <c r="BV10" s="151">
        <f t="shared" si="46"/>
        <v>10640.9</v>
      </c>
      <c r="BW10" s="151">
        <f>SUM(BW11:BW13)</f>
        <v>10247.1</v>
      </c>
      <c r="BX10" s="151">
        <f>SUM(BX11:BX13)</f>
        <v>12507.4</v>
      </c>
      <c r="BY10" s="151">
        <f>SUM(BY11:BY13)</f>
        <v>13249.1</v>
      </c>
      <c r="BZ10" s="151">
        <f>SUM(BZ11:BZ13)</f>
        <v>13368.2</v>
      </c>
      <c r="CA10" s="161">
        <f t="shared" si="29"/>
        <v>231339.2</v>
      </c>
      <c r="CB10" s="162">
        <f t="shared" ref="CB10:CZ10" si="47">SUM(CB11:CB13)</f>
        <v>16510.399999999998</v>
      </c>
      <c r="CC10" s="151">
        <f t="shared" si="47"/>
        <v>17503.599999999999</v>
      </c>
      <c r="CD10" s="151">
        <f t="shared" si="47"/>
        <v>26527.500000000004</v>
      </c>
      <c r="CE10" s="151">
        <f t="shared" si="47"/>
        <v>102435.6</v>
      </c>
      <c r="CF10" s="151">
        <f t="shared" si="47"/>
        <v>13779.9</v>
      </c>
      <c r="CG10" s="151">
        <f t="shared" si="47"/>
        <v>15843.186589999998</v>
      </c>
      <c r="CH10" s="151">
        <f t="shared" si="47"/>
        <v>15699.798650000001</v>
      </c>
      <c r="CI10" s="151">
        <f t="shared" si="47"/>
        <v>16660.74134</v>
      </c>
      <c r="CJ10" s="151">
        <f t="shared" si="47"/>
        <v>18741.957889999998</v>
      </c>
      <c r="CK10" s="151">
        <f t="shared" si="47"/>
        <v>17433.961159999999</v>
      </c>
      <c r="CL10" s="151">
        <f t="shared" si="47"/>
        <v>18730.727489999997</v>
      </c>
      <c r="CM10" s="151">
        <f t="shared" si="47"/>
        <v>21320.621210000001</v>
      </c>
      <c r="CN10" s="161">
        <f t="shared" si="31"/>
        <v>301187.99433000002</v>
      </c>
      <c r="CO10" s="162">
        <f t="shared" si="47"/>
        <v>20052.659699999997</v>
      </c>
      <c r="CP10" s="151">
        <f t="shared" si="47"/>
        <v>15307.48648</v>
      </c>
      <c r="CQ10" s="151">
        <f t="shared" si="47"/>
        <v>32166.024080000003</v>
      </c>
      <c r="CR10" s="151">
        <f t="shared" si="47"/>
        <v>147969.44952999998</v>
      </c>
      <c r="CS10" s="151">
        <f t="shared" si="47"/>
        <v>16484.644549999997</v>
      </c>
      <c r="CT10" s="151">
        <f t="shared" si="47"/>
        <v>16331.218239999998</v>
      </c>
      <c r="CU10" s="151">
        <f t="shared" si="47"/>
        <v>17792.97957</v>
      </c>
      <c r="CV10" s="151">
        <f t="shared" si="47"/>
        <v>18226.316729999999</v>
      </c>
      <c r="CW10" s="151">
        <f t="shared" si="47"/>
        <v>17183.426419999996</v>
      </c>
      <c r="CX10" s="151">
        <f t="shared" si="47"/>
        <v>17042.393909999999</v>
      </c>
      <c r="CY10" s="151">
        <f t="shared" si="47"/>
        <v>18289.598190000001</v>
      </c>
      <c r="CZ10" s="151">
        <f t="shared" si="47"/>
        <v>23533.369210000001</v>
      </c>
      <c r="DA10" s="161">
        <f t="shared" si="33"/>
        <v>360379.56660999992</v>
      </c>
      <c r="DB10" s="162">
        <f t="shared" ref="DB10:DG10" si="48">SUM(DB11:DB13)</f>
        <v>17749.707349999997</v>
      </c>
      <c r="DC10" s="151">
        <f t="shared" si="48"/>
        <v>16814.265060000002</v>
      </c>
      <c r="DD10" s="151">
        <f t="shared" si="48"/>
        <v>27843.37616</v>
      </c>
      <c r="DE10" s="151">
        <f t="shared" si="48"/>
        <v>161940.92592000001</v>
      </c>
      <c r="DF10" s="151">
        <f t="shared" si="48"/>
        <v>15485.198659999998</v>
      </c>
      <c r="DG10" s="151">
        <f t="shared" si="48"/>
        <v>17981.912800000002</v>
      </c>
      <c r="DH10" s="151">
        <v>14027.0057</v>
      </c>
      <c r="DI10" s="151">
        <v>16516.631839999998</v>
      </c>
      <c r="DJ10" s="151">
        <v>15461.38985</v>
      </c>
      <c r="DK10" s="151">
        <v>15710.410750000003</v>
      </c>
      <c r="DL10" s="151">
        <v>16461.403200000001</v>
      </c>
      <c r="DM10" s="151">
        <v>15948.219249999998</v>
      </c>
      <c r="DN10" s="161">
        <f t="shared" si="35"/>
        <v>351940.44653999998</v>
      </c>
      <c r="DO10" s="162">
        <v>20137.911780000002</v>
      </c>
      <c r="DP10" s="151">
        <v>19323.05831</v>
      </c>
      <c r="DQ10" s="151">
        <v>23197.638350000001</v>
      </c>
      <c r="DR10" s="151">
        <v>158474.57343999995</v>
      </c>
      <c r="DS10" s="151">
        <v>16372.74907</v>
      </c>
      <c r="DT10" s="151">
        <v>24609.062129999998</v>
      </c>
      <c r="DU10" s="151">
        <v>17676.912509999998</v>
      </c>
      <c r="DV10" s="151">
        <v>19263.973120000002</v>
      </c>
      <c r="DW10" s="151">
        <v>20106.908880000003</v>
      </c>
      <c r="DX10" s="151">
        <v>20054.60368</v>
      </c>
      <c r="DY10" s="151">
        <v>19006.70218</v>
      </c>
      <c r="DZ10" s="151">
        <v>19743.348399999999</v>
      </c>
      <c r="EA10" s="161">
        <f t="shared" si="36"/>
        <v>377967.44185</v>
      </c>
      <c r="EB10" s="162">
        <v>22763.257519999999</v>
      </c>
      <c r="EC10" s="151">
        <v>19426.378690000001</v>
      </c>
      <c r="ED10" s="151">
        <v>23824.721349999996</v>
      </c>
      <c r="EE10" s="151">
        <v>175325.40353999997</v>
      </c>
      <c r="EF10" s="151">
        <v>16111.197449999998</v>
      </c>
      <c r="EG10" s="151">
        <v>18392.916440000001</v>
      </c>
      <c r="EH10" s="151">
        <v>19624.07588</v>
      </c>
      <c r="EI10" s="151">
        <v>22229.476799999997</v>
      </c>
      <c r="EJ10" s="151">
        <v>22235.688109999999</v>
      </c>
      <c r="EK10" s="151">
        <v>22240.733</v>
      </c>
      <c r="EL10" s="151">
        <v>21599.409669999997</v>
      </c>
      <c r="EM10" s="151">
        <v>22703.930380000002</v>
      </c>
      <c r="EN10" s="161">
        <f t="shared" si="37"/>
        <v>406477.18882999994</v>
      </c>
      <c r="EO10" s="162">
        <v>24090.610029999996</v>
      </c>
      <c r="EP10" s="151">
        <v>22433.226119999996</v>
      </c>
      <c r="EQ10" s="151">
        <v>30728.429550000001</v>
      </c>
      <c r="ER10" s="151">
        <v>203807.94729000001</v>
      </c>
      <c r="ES10" s="151">
        <v>23186.64068</v>
      </c>
      <c r="ET10" s="151">
        <v>24944.461199999998</v>
      </c>
      <c r="EU10" s="151">
        <v>25686.911680000001</v>
      </c>
      <c r="EV10" s="950">
        <v>21536.319230000005</v>
      </c>
      <c r="FA10" s="161">
        <f t="shared" si="38"/>
        <v>376414.5457800001</v>
      </c>
      <c r="FC10" s="149">
        <f t="shared" si="17"/>
        <v>-3.118191112802049</v>
      </c>
      <c r="FD10" s="149">
        <f t="shared" si="39"/>
        <v>18.482087985613482</v>
      </c>
      <c r="FE10" s="148">
        <f>SUMIFS($B10:$FA10,$B$5:$FA$5,"&gt;="&amp;DATE(YEAR($FC$5)-1,1,1),$B$5:$FA$5,"&lt;="&amp;DATE(YEAR($FC$5)-1,MONTH($FC$5),1))</f>
        <v>317697.42766999995</v>
      </c>
      <c r="FF10" s="148">
        <f>SUMIFS($B10:$FA10,$B$5:$FA$5,"&gt;="&amp;DATE(YEAR($FC$5),1,1),$B$5:$FA$5,"&lt;="&amp;$FC$5)</f>
        <v>376414.5457800001</v>
      </c>
      <c r="FG10" s="127"/>
    </row>
    <row r="11" spans="1:163" ht="15" customHeight="1" x14ac:dyDescent="0.25">
      <c r="A11" s="399" t="s">
        <v>552</v>
      </c>
      <c r="B11" s="162">
        <v>2877.0415899999998</v>
      </c>
      <c r="C11" s="151">
        <v>1833.5</v>
      </c>
      <c r="D11" s="151">
        <v>1921.3</v>
      </c>
      <c r="E11" s="151">
        <v>3341</v>
      </c>
      <c r="F11" s="151">
        <v>1858</v>
      </c>
      <c r="G11" s="151">
        <v>1770</v>
      </c>
      <c r="H11" s="151">
        <v>1588</v>
      </c>
      <c r="I11" s="151">
        <v>2396</v>
      </c>
      <c r="J11" s="151">
        <v>1938</v>
      </c>
      <c r="K11" s="151">
        <v>1699</v>
      </c>
      <c r="L11" s="151">
        <v>2375.4</v>
      </c>
      <c r="M11" s="151">
        <v>2326</v>
      </c>
      <c r="N11" s="161">
        <f t="shared" si="19"/>
        <v>25923.241590000001</v>
      </c>
      <c r="O11" s="162">
        <v>2648.5</v>
      </c>
      <c r="P11" s="151">
        <v>1994.5</v>
      </c>
      <c r="Q11" s="151">
        <v>1792.9</v>
      </c>
      <c r="R11" s="151">
        <v>4453.6000000000004</v>
      </c>
      <c r="S11" s="151">
        <v>2284.3999999999996</v>
      </c>
      <c r="T11" s="151">
        <v>2216.6999999999998</v>
      </c>
      <c r="U11" s="151">
        <v>2265.6999999999998</v>
      </c>
      <c r="V11" s="151">
        <v>2384.7999999999997</v>
      </c>
      <c r="W11" s="151">
        <v>2112.6</v>
      </c>
      <c r="X11" s="151">
        <v>1967.3000000000002</v>
      </c>
      <c r="Y11" s="151">
        <v>2375.6</v>
      </c>
      <c r="Z11" s="151">
        <v>2184.5</v>
      </c>
      <c r="AA11" s="161">
        <f t="shared" si="21"/>
        <v>28681.099999999995</v>
      </c>
      <c r="AB11" s="162">
        <v>2662.7</v>
      </c>
      <c r="AC11" s="151">
        <v>2382.5</v>
      </c>
      <c r="AD11" s="151">
        <v>3176.9</v>
      </c>
      <c r="AE11" s="151">
        <v>4369.5</v>
      </c>
      <c r="AF11" s="151">
        <v>2195.9</v>
      </c>
      <c r="AG11" s="151">
        <v>1878.2000000000003</v>
      </c>
      <c r="AH11" s="151">
        <v>2200.5</v>
      </c>
      <c r="AI11" s="151">
        <v>2905</v>
      </c>
      <c r="AJ11" s="151">
        <v>1791.1999999999998</v>
      </c>
      <c r="AK11" s="151">
        <v>1873.1</v>
      </c>
      <c r="AL11" s="151">
        <v>1805.6000000000001</v>
      </c>
      <c r="AM11" s="151">
        <v>2178.3000000000002</v>
      </c>
      <c r="AN11" s="161">
        <f t="shared" si="23"/>
        <v>29419.399999999998</v>
      </c>
      <c r="AO11" s="162">
        <v>2891</v>
      </c>
      <c r="AP11" s="151">
        <v>2285</v>
      </c>
      <c r="AQ11" s="151">
        <v>2314.3999999999996</v>
      </c>
      <c r="AR11" s="151">
        <v>6239.7</v>
      </c>
      <c r="AS11" s="151">
        <v>2792.8</v>
      </c>
      <c r="AT11" s="151">
        <v>1584.6999999999998</v>
      </c>
      <c r="AU11" s="151">
        <v>2554.1000000000004</v>
      </c>
      <c r="AV11" s="151">
        <v>2530.1</v>
      </c>
      <c r="AW11" s="151">
        <v>2253.4</v>
      </c>
      <c r="AX11" s="151">
        <v>2669.7</v>
      </c>
      <c r="AY11" s="151">
        <v>2500.6000000000004</v>
      </c>
      <c r="AZ11" s="151">
        <v>2713.5</v>
      </c>
      <c r="BA11" s="161">
        <f t="shared" si="25"/>
        <v>33329</v>
      </c>
      <c r="BB11" s="162">
        <v>3778.3999999999996</v>
      </c>
      <c r="BC11" s="151">
        <v>2192.3000400000001</v>
      </c>
      <c r="BD11" s="151">
        <v>2400.4</v>
      </c>
      <c r="BE11" s="151">
        <v>4384</v>
      </c>
      <c r="BF11" s="151">
        <v>3263.8</v>
      </c>
      <c r="BG11" s="151">
        <v>2374.1000000000004</v>
      </c>
      <c r="BH11" s="151">
        <v>2660.8</v>
      </c>
      <c r="BI11" s="151">
        <v>2933.2</v>
      </c>
      <c r="BJ11" s="151">
        <v>2548.6999999999998</v>
      </c>
      <c r="BK11" s="151">
        <v>2735.6</v>
      </c>
      <c r="BL11" s="151">
        <v>6280.7</v>
      </c>
      <c r="BM11" s="151">
        <v>2910.2</v>
      </c>
      <c r="BN11" s="161">
        <f t="shared" si="27"/>
        <v>38462.200039999996</v>
      </c>
      <c r="BO11" s="162">
        <v>3977.1</v>
      </c>
      <c r="BP11" s="151">
        <v>2580</v>
      </c>
      <c r="BQ11" s="151">
        <v>1848.8</v>
      </c>
      <c r="BR11" s="151">
        <v>2856.2</v>
      </c>
      <c r="BS11" s="151">
        <v>2130.1999999999998</v>
      </c>
      <c r="BT11" s="151">
        <v>1933.2</v>
      </c>
      <c r="BU11" s="151">
        <v>2618.8000000000002</v>
      </c>
      <c r="BV11" s="151">
        <v>2551</v>
      </c>
      <c r="BW11" s="151">
        <v>2923.7</v>
      </c>
      <c r="BX11" s="151">
        <v>3341.3</v>
      </c>
      <c r="BY11" s="151">
        <v>2800.1</v>
      </c>
      <c r="BZ11" s="151">
        <v>4061.5</v>
      </c>
      <c r="CA11" s="161">
        <f t="shared" si="29"/>
        <v>33621.899999999994</v>
      </c>
      <c r="CB11" s="162">
        <v>4684.3</v>
      </c>
      <c r="CC11" s="151">
        <v>3901.5</v>
      </c>
      <c r="CD11" s="151">
        <v>3162.7</v>
      </c>
      <c r="CE11" s="151">
        <v>4051.7</v>
      </c>
      <c r="CF11" s="151">
        <v>3335.6</v>
      </c>
      <c r="CG11" s="151">
        <v>3468.1212399999999</v>
      </c>
      <c r="CH11" s="151">
        <v>3939.8291900000004</v>
      </c>
      <c r="CI11" s="151">
        <v>3132.4244000000003</v>
      </c>
      <c r="CJ11" s="151">
        <v>3959.1719700000003</v>
      </c>
      <c r="CK11" s="151">
        <v>3013.7483299999999</v>
      </c>
      <c r="CL11" s="151">
        <v>3929.7209200000002</v>
      </c>
      <c r="CM11" s="151">
        <v>4070.68939</v>
      </c>
      <c r="CN11" s="161">
        <f t="shared" si="31"/>
        <v>44649.505440000001</v>
      </c>
      <c r="CO11" s="162">
        <v>4421.1942799999997</v>
      </c>
      <c r="CP11" s="151">
        <v>2782.5687800000001</v>
      </c>
      <c r="CQ11" s="151">
        <v>3459.2415999999998</v>
      </c>
      <c r="CR11" s="151">
        <v>5246.9790099999991</v>
      </c>
      <c r="CS11" s="151">
        <v>4328.9123500000005</v>
      </c>
      <c r="CT11" s="151">
        <v>4896.9280899999994</v>
      </c>
      <c r="CU11" s="151">
        <v>4015.9514799999997</v>
      </c>
      <c r="CV11" s="151">
        <v>3461.3034399999997</v>
      </c>
      <c r="CW11" s="151">
        <v>3845.1411600000001</v>
      </c>
      <c r="CX11" s="151">
        <v>3238.7549400000003</v>
      </c>
      <c r="CY11" s="151">
        <v>3332.7179299999998</v>
      </c>
      <c r="CZ11" s="151">
        <v>4147.1832700000004</v>
      </c>
      <c r="DA11" s="161">
        <f t="shared" si="33"/>
        <v>47176.876329999999</v>
      </c>
      <c r="DB11" s="162">
        <v>4084.20777</v>
      </c>
      <c r="DC11" s="151">
        <v>2860.7230399999999</v>
      </c>
      <c r="DD11" s="151">
        <v>4400.3284999999996</v>
      </c>
      <c r="DE11" s="151">
        <v>6343.9186599999994</v>
      </c>
      <c r="DF11" s="151">
        <v>5059.98081</v>
      </c>
      <c r="DG11" s="151">
        <v>4649.9382100000003</v>
      </c>
      <c r="DH11" s="151">
        <v>3548.4360300000003</v>
      </c>
      <c r="DI11" s="151">
        <v>3717.9777599999998</v>
      </c>
      <c r="DJ11" s="151">
        <v>3030.6787000000004</v>
      </c>
      <c r="DK11" s="151">
        <v>3398.3196000000003</v>
      </c>
      <c r="DL11" s="151">
        <v>3592.4408200000003</v>
      </c>
      <c r="DM11" s="151">
        <v>3487.2390300000002</v>
      </c>
      <c r="DN11" s="161">
        <f t="shared" si="35"/>
        <v>48174.188930000004</v>
      </c>
      <c r="DO11" s="162">
        <v>4437.4014999999999</v>
      </c>
      <c r="DP11" s="151">
        <v>4324.9847700000009</v>
      </c>
      <c r="DQ11" s="151">
        <v>3540.6634000000004</v>
      </c>
      <c r="DR11" s="151">
        <v>5760.6154299999998</v>
      </c>
      <c r="DS11" s="151">
        <v>3900.2769900000003</v>
      </c>
      <c r="DT11" s="151">
        <v>4690.9828400000006</v>
      </c>
      <c r="DU11" s="151">
        <v>4458.6677399999999</v>
      </c>
      <c r="DV11" s="151">
        <v>4303.5251900000003</v>
      </c>
      <c r="DW11" s="151">
        <v>4637.7949699999999</v>
      </c>
      <c r="DX11" s="151">
        <v>4776.4451000000008</v>
      </c>
      <c r="DY11" s="151">
        <v>4393.9280600000002</v>
      </c>
      <c r="DZ11" s="151">
        <v>6598.3707899999999</v>
      </c>
      <c r="EA11" s="161">
        <f t="shared" si="36"/>
        <v>55823.656779999998</v>
      </c>
      <c r="EB11" s="162">
        <v>5357.8194100000001</v>
      </c>
      <c r="EC11" s="151">
        <v>4227.7314999999999</v>
      </c>
      <c r="ED11" s="151">
        <v>4103.91633</v>
      </c>
      <c r="EE11" s="151">
        <v>5766.7666700000009</v>
      </c>
      <c r="EF11" s="151">
        <v>5367.6598699999995</v>
      </c>
      <c r="EG11" s="151">
        <v>4138.6027000000004</v>
      </c>
      <c r="EH11" s="151">
        <v>5434.5666899999997</v>
      </c>
      <c r="EI11" s="151">
        <v>4499.6980100000001</v>
      </c>
      <c r="EJ11" s="151">
        <v>4855.6581200000001</v>
      </c>
      <c r="EK11" s="151">
        <v>5129.4438600000003</v>
      </c>
      <c r="EL11" s="151">
        <v>4680.3158700000004</v>
      </c>
      <c r="EM11" s="151">
        <v>5549.4777700000004</v>
      </c>
      <c r="EN11" s="161">
        <f t="shared" si="37"/>
        <v>59111.656799999997</v>
      </c>
      <c r="EO11" s="162">
        <v>5870.6010399999996</v>
      </c>
      <c r="EP11" s="151">
        <v>4441.4070699999993</v>
      </c>
      <c r="EQ11" s="151">
        <v>5371.4965400000001</v>
      </c>
      <c r="ER11" s="151">
        <v>8200.4225900000001</v>
      </c>
      <c r="ES11" s="151">
        <v>6363.7478699999992</v>
      </c>
      <c r="ET11" s="151">
        <v>4953.43253</v>
      </c>
      <c r="EU11" s="151">
        <v>5054.4922499999993</v>
      </c>
      <c r="EV11" s="950">
        <v>4788.0053200000002</v>
      </c>
      <c r="FA11" s="161">
        <f t="shared" si="38"/>
        <v>45043.605209999994</v>
      </c>
      <c r="FC11" s="149">
        <f t="shared" si="17"/>
        <v>6.4072590951498087</v>
      </c>
      <c r="FD11" s="149">
        <f t="shared" si="39"/>
        <v>15.802971361946172</v>
      </c>
      <c r="FE11" s="148">
        <f>SUMIFS($B11:$FA11,$B$5:$FA$5,"&gt;="&amp;DATE(YEAR($FC$5)-1,1,1),$B$5:$FA$5,"&lt;="&amp;DATE(YEAR($FC$5)-1,MONTH($FC$5),1))</f>
        <v>38896.761180000001</v>
      </c>
      <c r="FF11" s="148">
        <f t="shared" si="40"/>
        <v>45043.605209999994</v>
      </c>
      <c r="FG11" s="127"/>
    </row>
    <row r="12" spans="1:163" ht="15" customHeight="1" x14ac:dyDescent="0.25">
      <c r="A12" s="399" t="s">
        <v>553</v>
      </c>
      <c r="B12" s="162">
        <v>14443.290850000001</v>
      </c>
      <c r="C12" s="151">
        <v>9919.4</v>
      </c>
      <c r="D12" s="151">
        <v>10110</v>
      </c>
      <c r="E12" s="151">
        <v>7665</v>
      </c>
      <c r="F12" s="151">
        <v>7846</v>
      </c>
      <c r="G12" s="151">
        <v>8697</v>
      </c>
      <c r="H12" s="151">
        <v>9382</v>
      </c>
      <c r="I12" s="151">
        <v>9787</v>
      </c>
      <c r="J12" s="151">
        <v>10163</v>
      </c>
      <c r="K12" s="151">
        <v>10494</v>
      </c>
      <c r="L12" s="151">
        <v>10764.5</v>
      </c>
      <c r="M12" s="151">
        <v>11050.4</v>
      </c>
      <c r="N12" s="161">
        <f t="shared" si="19"/>
        <v>120321.59084999999</v>
      </c>
      <c r="O12" s="162">
        <v>14312.7</v>
      </c>
      <c r="P12" s="151">
        <v>11135.2</v>
      </c>
      <c r="Q12" s="151">
        <v>10606.1</v>
      </c>
      <c r="R12" s="151">
        <v>5332</v>
      </c>
      <c r="S12" s="151">
        <v>29234.2</v>
      </c>
      <c r="T12" s="151">
        <v>10522.6</v>
      </c>
      <c r="U12" s="151">
        <v>11409.5</v>
      </c>
      <c r="V12" s="151">
        <v>11764.000000000002</v>
      </c>
      <c r="W12" s="151">
        <v>11894.6</v>
      </c>
      <c r="X12" s="151">
        <v>11662.199999999999</v>
      </c>
      <c r="Y12" s="151">
        <v>12239.5</v>
      </c>
      <c r="Z12" s="151">
        <v>11742.1</v>
      </c>
      <c r="AA12" s="161">
        <f t="shared" si="21"/>
        <v>151854.70000000001</v>
      </c>
      <c r="AB12" s="162">
        <v>14610.2</v>
      </c>
      <c r="AC12" s="151">
        <v>10743.2</v>
      </c>
      <c r="AD12" s="151">
        <v>11075.5</v>
      </c>
      <c r="AE12" s="151">
        <v>5361.6</v>
      </c>
      <c r="AF12" s="151">
        <v>8667.2999999999993</v>
      </c>
      <c r="AG12" s="151">
        <v>10490.7</v>
      </c>
      <c r="AH12" s="151">
        <v>10856.4</v>
      </c>
      <c r="AI12" s="151">
        <v>11341.099999999999</v>
      </c>
      <c r="AJ12" s="151">
        <v>11456.9</v>
      </c>
      <c r="AK12" s="151">
        <v>11420.8</v>
      </c>
      <c r="AL12" s="151">
        <v>10626.899999999998</v>
      </c>
      <c r="AM12" s="151">
        <v>11233.1</v>
      </c>
      <c r="AN12" s="161">
        <f t="shared" si="23"/>
        <v>127883.7</v>
      </c>
      <c r="AO12" s="162">
        <v>14834</v>
      </c>
      <c r="AP12" s="151">
        <v>11702</v>
      </c>
      <c r="AQ12" s="151">
        <v>11261.100000000002</v>
      </c>
      <c r="AR12" s="151">
        <v>9699.2000000000007</v>
      </c>
      <c r="AS12" s="151">
        <v>12037.2</v>
      </c>
      <c r="AT12" s="151">
        <v>13543.2</v>
      </c>
      <c r="AU12" s="151">
        <v>14626.400000000001</v>
      </c>
      <c r="AV12" s="151">
        <v>12734.099999999999</v>
      </c>
      <c r="AW12" s="151">
        <v>9757</v>
      </c>
      <c r="AX12" s="151">
        <v>10884.899999999998</v>
      </c>
      <c r="AY12" s="151">
        <v>11508.300000000001</v>
      </c>
      <c r="AZ12" s="151">
        <v>10315.699999999999</v>
      </c>
      <c r="BA12" s="161">
        <f t="shared" si="25"/>
        <v>142903.1</v>
      </c>
      <c r="BB12" s="162">
        <v>9099</v>
      </c>
      <c r="BC12" s="151">
        <v>8165.0182599999989</v>
      </c>
      <c r="BD12" s="151">
        <v>7700.6999999999989</v>
      </c>
      <c r="BE12" s="151">
        <v>6127</v>
      </c>
      <c r="BF12" s="151">
        <v>6299.3</v>
      </c>
      <c r="BG12" s="151">
        <v>8123.2</v>
      </c>
      <c r="BH12" s="151">
        <v>10574</v>
      </c>
      <c r="BI12" s="151">
        <v>10304.1</v>
      </c>
      <c r="BJ12" s="151">
        <v>7753.0999999999995</v>
      </c>
      <c r="BK12" s="151">
        <v>7886.1999999999989</v>
      </c>
      <c r="BL12" s="151">
        <v>8332.7000000000007</v>
      </c>
      <c r="BM12" s="151">
        <v>8821.9</v>
      </c>
      <c r="BN12" s="161">
        <f t="shared" si="27"/>
        <v>99186.218259999994</v>
      </c>
      <c r="BO12" s="162">
        <v>10516.9</v>
      </c>
      <c r="BP12" s="151">
        <v>9644</v>
      </c>
      <c r="BQ12" s="151">
        <v>6983.2</v>
      </c>
      <c r="BR12" s="151">
        <v>2559.3000000000002</v>
      </c>
      <c r="BS12" s="151">
        <v>1409.8</v>
      </c>
      <c r="BT12" s="151">
        <v>2714.7</v>
      </c>
      <c r="BU12" s="151">
        <v>5182.8</v>
      </c>
      <c r="BV12" s="151">
        <v>7130.9</v>
      </c>
      <c r="BW12" s="151">
        <v>6635.7</v>
      </c>
      <c r="BX12" s="151">
        <v>8614.7000000000007</v>
      </c>
      <c r="BY12" s="151">
        <v>9127.7000000000007</v>
      </c>
      <c r="BZ12" s="151">
        <v>9091.7000000000007</v>
      </c>
      <c r="CA12" s="161">
        <f t="shared" si="29"/>
        <v>79611.399999999994</v>
      </c>
      <c r="CB12" s="162">
        <v>11708.5</v>
      </c>
      <c r="CC12" s="151">
        <v>13441.499999999998</v>
      </c>
      <c r="CD12" s="151">
        <v>12657.100000000002</v>
      </c>
      <c r="CE12" s="151">
        <v>9771.2999999999993</v>
      </c>
      <c r="CF12" s="151">
        <v>8842</v>
      </c>
      <c r="CG12" s="151">
        <v>11328.696139999998</v>
      </c>
      <c r="CH12" s="151">
        <v>11468.37444</v>
      </c>
      <c r="CI12" s="151">
        <v>13212.288909999999</v>
      </c>
      <c r="CJ12" s="151">
        <v>14672.601839999999</v>
      </c>
      <c r="CK12" s="151">
        <v>14119.389780000001</v>
      </c>
      <c r="CL12" s="151">
        <v>14613.750479999999</v>
      </c>
      <c r="CM12" s="151">
        <v>15399.9648</v>
      </c>
      <c r="CN12" s="161">
        <f t="shared" si="31"/>
        <v>151235.46638999999</v>
      </c>
      <c r="CO12" s="162">
        <v>15355.392349999998</v>
      </c>
      <c r="CP12" s="151">
        <v>11836.652539999999</v>
      </c>
      <c r="CQ12" s="151">
        <v>12804.587210000002</v>
      </c>
      <c r="CR12" s="151">
        <v>9586.0305900000003</v>
      </c>
      <c r="CS12" s="151">
        <v>11324.557399999998</v>
      </c>
      <c r="CT12" s="151">
        <v>11160.975439999998</v>
      </c>
      <c r="CU12" s="151">
        <v>12483.754410000001</v>
      </c>
      <c r="CV12" s="151">
        <v>14211.96902</v>
      </c>
      <c r="CW12" s="151">
        <v>12737.876199999999</v>
      </c>
      <c r="CX12" s="151">
        <v>13602.323990000001</v>
      </c>
      <c r="CY12" s="151">
        <v>13910.79125</v>
      </c>
      <c r="CZ12" s="151">
        <v>12739.151620000001</v>
      </c>
      <c r="DA12" s="161">
        <f t="shared" si="33"/>
        <v>151754.06201999998</v>
      </c>
      <c r="DB12" s="162">
        <v>13412.125399999997</v>
      </c>
      <c r="DC12" s="151">
        <v>13798.99811</v>
      </c>
      <c r="DD12" s="151">
        <v>13490.600429999999</v>
      </c>
      <c r="DE12" s="151">
        <v>9194.5998899999995</v>
      </c>
      <c r="DF12" s="151">
        <v>9263.4227399999982</v>
      </c>
      <c r="DG12" s="151">
        <v>10889.630480000002</v>
      </c>
      <c r="DH12" s="151">
        <v>10143.26247</v>
      </c>
      <c r="DI12" s="151">
        <v>12556.732459999999</v>
      </c>
      <c r="DJ12" s="151">
        <v>12151.043749999999</v>
      </c>
      <c r="DK12" s="151">
        <v>12077.656050000001</v>
      </c>
      <c r="DL12" s="151">
        <v>12639.635270000001</v>
      </c>
      <c r="DM12" s="151">
        <v>12090.096109999999</v>
      </c>
      <c r="DN12" s="161">
        <f t="shared" si="35"/>
        <v>141707.80316000001</v>
      </c>
      <c r="DO12" s="162">
        <v>15006.261350000001</v>
      </c>
      <c r="DP12" s="151">
        <v>14621.428600000001</v>
      </c>
      <c r="DQ12" s="151">
        <v>13851.27894</v>
      </c>
      <c r="DR12" s="151">
        <v>12663.34953</v>
      </c>
      <c r="DS12" s="151">
        <v>9692.9530400000003</v>
      </c>
      <c r="DT12" s="151">
        <v>10398.772349999999</v>
      </c>
      <c r="DU12" s="151">
        <v>12099.90357</v>
      </c>
      <c r="DV12" s="151">
        <v>13756.580720000002</v>
      </c>
      <c r="DW12" s="151">
        <v>14812.825910000001</v>
      </c>
      <c r="DX12" s="151">
        <v>14769.397010000001</v>
      </c>
      <c r="DY12" s="151">
        <v>13022.297570000001</v>
      </c>
      <c r="DZ12" s="151">
        <v>12777.97287</v>
      </c>
      <c r="EA12" s="161">
        <f t="shared" si="36"/>
        <v>157473.02145999999</v>
      </c>
      <c r="EB12" s="162">
        <v>16090.409169999999</v>
      </c>
      <c r="EC12" s="151">
        <v>14915.97406</v>
      </c>
      <c r="ED12" s="151">
        <v>15488.040279999997</v>
      </c>
      <c r="EE12" s="151">
        <v>10214.312899999999</v>
      </c>
      <c r="EF12" s="151">
        <v>8361.1534299999985</v>
      </c>
      <c r="EG12" s="151">
        <v>11824.62054</v>
      </c>
      <c r="EH12" s="151">
        <v>12866.209080000001</v>
      </c>
      <c r="EI12" s="151">
        <v>16201.546049999999</v>
      </c>
      <c r="EJ12" s="151">
        <v>16188.904279999999</v>
      </c>
      <c r="EK12" s="151">
        <v>15711.598870000002</v>
      </c>
      <c r="EL12" s="151">
        <v>16484.224289999998</v>
      </c>
      <c r="EM12" s="151">
        <v>16193.136800000002</v>
      </c>
      <c r="EN12" s="161">
        <f t="shared" si="37"/>
        <v>170540.12974999999</v>
      </c>
      <c r="EO12" s="162">
        <v>17165.564289999998</v>
      </c>
      <c r="EP12" s="151">
        <v>17757.823959999998</v>
      </c>
      <c r="EQ12" s="151">
        <v>16884.92899</v>
      </c>
      <c r="ER12" s="151">
        <v>13896.462289999999</v>
      </c>
      <c r="ES12" s="151">
        <v>15203.82962</v>
      </c>
      <c r="ET12" s="151">
        <v>14983.001969999998</v>
      </c>
      <c r="EU12" s="151">
        <v>19666.938240000003</v>
      </c>
      <c r="EV12" s="950">
        <v>16193.630500000001</v>
      </c>
      <c r="FA12" s="161">
        <f t="shared" si="38"/>
        <v>131752.17986</v>
      </c>
      <c r="FC12" s="149">
        <f t="shared" si="17"/>
        <v>-4.8856757099413617E-2</v>
      </c>
      <c r="FD12" s="149">
        <f t="shared" si="39"/>
        <v>24.338772133525332</v>
      </c>
      <c r="FE12" s="148">
        <f t="shared" ref="FE12:FE18" si="49">SUMIFS($B12:$FA12,$B$5:$FA$5,"&gt;="&amp;DATE(YEAR($FC$5)-1,1,1),$B$5:$FA$5,"&lt;="&amp;DATE(YEAR($FC$5)-1,MONTH($FC$5),1))</f>
        <v>105962.26551</v>
      </c>
      <c r="FF12" s="148">
        <f t="shared" si="40"/>
        <v>131752.17986</v>
      </c>
      <c r="FG12" s="127"/>
    </row>
    <row r="13" spans="1:163" ht="15" customHeight="1" x14ac:dyDescent="0.25">
      <c r="A13" s="399" t="s">
        <v>554</v>
      </c>
      <c r="B13" s="162">
        <v>279.74995000000001</v>
      </c>
      <c r="C13" s="151">
        <v>707.6</v>
      </c>
      <c r="D13" s="151">
        <v>4740.3</v>
      </c>
      <c r="E13" s="151">
        <v>5311</v>
      </c>
      <c r="F13" s="151">
        <v>730.3</v>
      </c>
      <c r="G13" s="151">
        <v>783</v>
      </c>
      <c r="H13" s="151">
        <v>1425</v>
      </c>
      <c r="I13" s="151">
        <v>635</v>
      </c>
      <c r="J13" s="151">
        <v>704</v>
      </c>
      <c r="K13" s="151">
        <v>595</v>
      </c>
      <c r="L13" s="151">
        <v>1541.2</v>
      </c>
      <c r="M13" s="151">
        <v>714.6</v>
      </c>
      <c r="N13" s="161">
        <f t="shared" si="19"/>
        <v>18166.749949999998</v>
      </c>
      <c r="O13" s="162">
        <v>410.4</v>
      </c>
      <c r="P13" s="151">
        <v>442</v>
      </c>
      <c r="Q13" s="151">
        <v>5751.2</v>
      </c>
      <c r="R13" s="151">
        <v>3265.7</v>
      </c>
      <c r="S13" s="151">
        <v>1523.6</v>
      </c>
      <c r="T13" s="151">
        <v>742.1</v>
      </c>
      <c r="U13" s="151">
        <v>442.5</v>
      </c>
      <c r="V13" s="151">
        <v>863.19999999999993</v>
      </c>
      <c r="W13" s="151">
        <v>549.20000000000005</v>
      </c>
      <c r="X13" s="151">
        <v>692.3</v>
      </c>
      <c r="Y13" s="151">
        <v>505.1</v>
      </c>
      <c r="Z13" s="151">
        <v>788.19999999999993</v>
      </c>
      <c r="AA13" s="161">
        <f t="shared" si="21"/>
        <v>15975.500000000002</v>
      </c>
      <c r="AB13" s="162">
        <v>316.39999999999998</v>
      </c>
      <c r="AC13" s="151">
        <v>263.5</v>
      </c>
      <c r="AD13" s="151">
        <v>2945.2</v>
      </c>
      <c r="AE13" s="151">
        <v>2875.7</v>
      </c>
      <c r="AF13" s="151">
        <v>1035.8</v>
      </c>
      <c r="AG13" s="151">
        <v>864.3</v>
      </c>
      <c r="AH13" s="151">
        <v>405.40000000000003</v>
      </c>
      <c r="AI13" s="151">
        <v>340.59999999999997</v>
      </c>
      <c r="AJ13" s="151">
        <v>38.099999999999994</v>
      </c>
      <c r="AK13" s="151">
        <v>393.9</v>
      </c>
      <c r="AL13" s="151">
        <v>95.1</v>
      </c>
      <c r="AM13" s="151">
        <v>502.3</v>
      </c>
      <c r="AN13" s="161">
        <f t="shared" si="23"/>
        <v>10076.299999999999</v>
      </c>
      <c r="AO13" s="162">
        <v>78</v>
      </c>
      <c r="AP13" s="151">
        <v>344</v>
      </c>
      <c r="AQ13" s="151">
        <v>23906.7</v>
      </c>
      <c r="AR13" s="151">
        <v>4379.2</v>
      </c>
      <c r="AS13" s="151">
        <v>1541.8000000000002</v>
      </c>
      <c r="AT13" s="151">
        <v>586.5</v>
      </c>
      <c r="AU13" s="151">
        <v>556.09999999999991</v>
      </c>
      <c r="AV13" s="151">
        <v>335.90000000000003</v>
      </c>
      <c r="AW13" s="151">
        <v>325.5</v>
      </c>
      <c r="AX13" s="151">
        <v>2970.7</v>
      </c>
      <c r="AY13" s="151">
        <v>256.8</v>
      </c>
      <c r="AZ13" s="151">
        <v>1078.9000000000001</v>
      </c>
      <c r="BA13" s="161">
        <f t="shared" si="25"/>
        <v>36360.100000000006</v>
      </c>
      <c r="BB13" s="162">
        <v>135.1</v>
      </c>
      <c r="BC13" s="151">
        <v>323.27807000000001</v>
      </c>
      <c r="BD13" s="151">
        <v>3709.1</v>
      </c>
      <c r="BE13" s="151">
        <v>83411</v>
      </c>
      <c r="BF13" s="151">
        <v>2359.6</v>
      </c>
      <c r="BG13" s="151">
        <v>593.1</v>
      </c>
      <c r="BH13" s="151">
        <v>452.5</v>
      </c>
      <c r="BI13" s="151">
        <v>269.10000000000002</v>
      </c>
      <c r="BJ13" s="151">
        <v>305.2</v>
      </c>
      <c r="BK13" s="151">
        <v>433.1</v>
      </c>
      <c r="BL13" s="151">
        <v>1022.5</v>
      </c>
      <c r="BM13" s="151">
        <v>1389.5</v>
      </c>
      <c r="BN13" s="161">
        <f t="shared" si="27"/>
        <v>94403.078070000018</v>
      </c>
      <c r="BO13" s="162">
        <v>760.6</v>
      </c>
      <c r="BP13" s="151">
        <v>341</v>
      </c>
      <c r="BQ13" s="151">
        <v>8007.7</v>
      </c>
      <c r="BR13" s="151">
        <v>102785.8</v>
      </c>
      <c r="BS13" s="151">
        <v>270.7</v>
      </c>
      <c r="BT13" s="151">
        <v>795.5</v>
      </c>
      <c r="BU13" s="151">
        <v>1410.2</v>
      </c>
      <c r="BV13" s="151">
        <v>959</v>
      </c>
      <c r="BW13" s="151">
        <v>687.7</v>
      </c>
      <c r="BX13" s="151">
        <v>551.4</v>
      </c>
      <c r="BY13" s="151">
        <v>1321.3</v>
      </c>
      <c r="BZ13" s="151">
        <v>215</v>
      </c>
      <c r="CA13" s="161">
        <f t="shared" si="29"/>
        <v>118105.9</v>
      </c>
      <c r="CB13" s="162">
        <v>117.6</v>
      </c>
      <c r="CC13" s="151">
        <v>160.6</v>
      </c>
      <c r="CD13" s="151">
        <v>10707.7</v>
      </c>
      <c r="CE13" s="151">
        <v>88612.6</v>
      </c>
      <c r="CF13" s="151">
        <v>1602.3</v>
      </c>
      <c r="CG13" s="151">
        <v>1046.3692099999998</v>
      </c>
      <c r="CH13" s="151">
        <v>291.59501999999998</v>
      </c>
      <c r="CI13" s="151">
        <v>316.02803</v>
      </c>
      <c r="CJ13" s="151">
        <v>110.18407999999999</v>
      </c>
      <c r="CK13" s="151">
        <v>300.82305000000002</v>
      </c>
      <c r="CL13" s="151">
        <v>187.25609</v>
      </c>
      <c r="CM13" s="151">
        <v>1849.96702</v>
      </c>
      <c r="CN13" s="161">
        <f t="shared" si="31"/>
        <v>105303.02250000001</v>
      </c>
      <c r="CO13" s="162">
        <v>276.07306999999997</v>
      </c>
      <c r="CP13" s="151">
        <v>688.26516000000004</v>
      </c>
      <c r="CQ13" s="151">
        <v>15902.19527</v>
      </c>
      <c r="CR13" s="151">
        <v>133136.43992999999</v>
      </c>
      <c r="CS13" s="151">
        <v>831.1748</v>
      </c>
      <c r="CT13" s="151">
        <v>273.31470999999999</v>
      </c>
      <c r="CU13" s="151">
        <v>1293.27368</v>
      </c>
      <c r="CV13" s="151">
        <v>553.04426999999998</v>
      </c>
      <c r="CW13" s="151">
        <v>600.40905999999995</v>
      </c>
      <c r="CX13" s="151">
        <v>201.31498000000002</v>
      </c>
      <c r="CY13" s="151">
        <v>1046.0890099999999</v>
      </c>
      <c r="CZ13" s="151">
        <v>6647.0343199999998</v>
      </c>
      <c r="DA13" s="161">
        <f t="shared" si="33"/>
        <v>161448.62826000003</v>
      </c>
      <c r="DB13" s="162">
        <v>253.37418000000002</v>
      </c>
      <c r="DC13" s="151">
        <v>154.54391000000001</v>
      </c>
      <c r="DD13" s="151">
        <v>9952.4472300000016</v>
      </c>
      <c r="DE13" s="151">
        <v>146402.40737</v>
      </c>
      <c r="DF13" s="151">
        <v>1161.79511</v>
      </c>
      <c r="DG13" s="151">
        <v>2442.3441099999995</v>
      </c>
      <c r="DH13" s="151">
        <v>335.30719999999997</v>
      </c>
      <c r="DI13" s="151">
        <v>241.92161999999996</v>
      </c>
      <c r="DJ13" s="151">
        <v>279.66740000000004</v>
      </c>
      <c r="DK13" s="151">
        <v>234.43509999999998</v>
      </c>
      <c r="DL13" s="151">
        <v>229.32711</v>
      </c>
      <c r="DM13" s="151">
        <v>370.88410999999996</v>
      </c>
      <c r="DN13" s="161">
        <f t="shared" si="35"/>
        <v>162058.45445000008</v>
      </c>
      <c r="DO13" s="162">
        <v>694.24892999999986</v>
      </c>
      <c r="DP13" s="151">
        <v>376.64493999999996</v>
      </c>
      <c r="DQ13" s="151">
        <v>5805.6960100000006</v>
      </c>
      <c r="DR13" s="151">
        <v>140050.60847999997</v>
      </c>
      <c r="DS13" s="151">
        <v>2779.5190399999997</v>
      </c>
      <c r="DT13" s="151">
        <v>9519.3069400000004</v>
      </c>
      <c r="DU13" s="151">
        <v>1118.3411999999998</v>
      </c>
      <c r="DV13" s="151">
        <v>1203.8672099999999</v>
      </c>
      <c r="DW13" s="151">
        <v>656.28800000000001</v>
      </c>
      <c r="DX13" s="151">
        <v>508.76157000000001</v>
      </c>
      <c r="DY13" s="151">
        <v>1590.4765500000001</v>
      </c>
      <c r="DZ13" s="151">
        <v>367.00474000000003</v>
      </c>
      <c r="EA13" s="161">
        <f t="shared" si="36"/>
        <v>164670.76360999999</v>
      </c>
      <c r="EB13" s="162">
        <v>1315.0289400000001</v>
      </c>
      <c r="EC13" s="151">
        <v>282.67313000000001</v>
      </c>
      <c r="ED13" s="151">
        <v>4232.7647399999996</v>
      </c>
      <c r="EE13" s="151">
        <v>159344.32396999997</v>
      </c>
      <c r="EF13" s="151">
        <v>2382.3841500000003</v>
      </c>
      <c r="EG13" s="151">
        <v>2429.6932000000002</v>
      </c>
      <c r="EH13" s="151">
        <v>1323.3001099999999</v>
      </c>
      <c r="EI13" s="151">
        <v>1528.2327399999999</v>
      </c>
      <c r="EJ13" s="151">
        <v>1191.1257100000003</v>
      </c>
      <c r="EK13" s="151">
        <v>1399.6902700000001</v>
      </c>
      <c r="EL13" s="151">
        <v>434.86950999999999</v>
      </c>
      <c r="EM13" s="151">
        <v>961.31581000000006</v>
      </c>
      <c r="EN13" s="161">
        <f t="shared" si="37"/>
        <v>176825.40227999998</v>
      </c>
      <c r="EO13" s="162">
        <v>1054.4447</v>
      </c>
      <c r="EP13" s="151">
        <v>233.99509</v>
      </c>
      <c r="EQ13" s="151">
        <v>8472.0040199999985</v>
      </c>
      <c r="ER13" s="151">
        <v>181711.06241000001</v>
      </c>
      <c r="ES13" s="151">
        <v>1619.0631899999998</v>
      </c>
      <c r="ET13" s="151">
        <v>5008.0267000000003</v>
      </c>
      <c r="EU13" s="151">
        <v>965.48119000000008</v>
      </c>
      <c r="EV13" s="950">
        <v>554.68340999999998</v>
      </c>
      <c r="FA13" s="161">
        <f t="shared" si="38"/>
        <v>199618.76070999997</v>
      </c>
      <c r="FC13" s="149">
        <f t="shared" si="17"/>
        <v>-63.704258161620061</v>
      </c>
      <c r="FD13" s="149">
        <f t="shared" si="39"/>
        <v>15.494450063269705</v>
      </c>
      <c r="FE13" s="148">
        <f t="shared" si="49"/>
        <v>172838.40098000001</v>
      </c>
      <c r="FF13" s="148">
        <f t="shared" si="40"/>
        <v>199618.76070999997</v>
      </c>
      <c r="FG13" s="127"/>
    </row>
    <row r="14" spans="1:163" ht="15" customHeight="1" x14ac:dyDescent="0.25">
      <c r="A14" s="398" t="s">
        <v>197</v>
      </c>
      <c r="B14" s="162">
        <v>0.63801999999999992</v>
      </c>
      <c r="C14" s="151">
        <v>0.9</v>
      </c>
      <c r="D14" s="151">
        <v>0.9</v>
      </c>
      <c r="E14" s="151">
        <v>0.9</v>
      </c>
      <c r="F14" s="151">
        <v>0.9</v>
      </c>
      <c r="H14" s="151">
        <v>1</v>
      </c>
      <c r="I14" s="151">
        <v>2</v>
      </c>
      <c r="J14" s="151">
        <v>1</v>
      </c>
      <c r="K14" s="151">
        <v>1.5</v>
      </c>
      <c r="L14" s="151">
        <v>1.2</v>
      </c>
      <c r="M14" s="151">
        <v>0.3</v>
      </c>
      <c r="N14" s="161">
        <f t="shared" si="19"/>
        <v>11.238019999999999</v>
      </c>
      <c r="O14" s="162">
        <v>1</v>
      </c>
      <c r="P14" s="151">
        <v>1.2</v>
      </c>
      <c r="Q14" s="151">
        <v>1.2</v>
      </c>
      <c r="R14" s="151">
        <v>0.2</v>
      </c>
      <c r="S14" s="151">
        <v>15.5</v>
      </c>
      <c r="T14" s="151">
        <v>0.4</v>
      </c>
      <c r="U14" s="151">
        <v>0.4</v>
      </c>
      <c r="V14" s="151">
        <v>0.6</v>
      </c>
      <c r="W14" s="151">
        <v>0.6</v>
      </c>
      <c r="X14" s="151">
        <v>9.1999999999999993</v>
      </c>
      <c r="Y14" s="151">
        <v>0.2</v>
      </c>
      <c r="Z14" s="151">
        <v>16.2</v>
      </c>
      <c r="AA14" s="161">
        <f t="shared" si="21"/>
        <v>46.7</v>
      </c>
      <c r="AB14" s="162">
        <v>0.4</v>
      </c>
      <c r="AC14" s="151">
        <v>18.8</v>
      </c>
      <c r="AD14" s="151">
        <v>0.3</v>
      </c>
      <c r="AE14" s="151">
        <v>0.5</v>
      </c>
      <c r="AF14" s="151">
        <v>32.200000000000003</v>
      </c>
      <c r="AG14" s="151">
        <v>8.5</v>
      </c>
      <c r="AH14" s="151">
        <v>0.5</v>
      </c>
      <c r="AI14" s="151">
        <v>0.7</v>
      </c>
      <c r="AJ14" s="151">
        <v>0.2</v>
      </c>
      <c r="AL14" s="151">
        <v>1.3</v>
      </c>
      <c r="AN14" s="161">
        <f t="shared" si="23"/>
        <v>63.400000000000006</v>
      </c>
      <c r="AO14" s="162"/>
      <c r="AQ14" s="151">
        <v>0.1</v>
      </c>
      <c r="AR14" s="151">
        <v>0.2</v>
      </c>
      <c r="AS14" s="151">
        <v>0.2</v>
      </c>
      <c r="AT14" s="151">
        <v>0.4</v>
      </c>
      <c r="AU14" s="151">
        <v>1.6</v>
      </c>
      <c r="AV14" s="151">
        <v>0.2</v>
      </c>
      <c r="AW14" s="151">
        <v>0.2</v>
      </c>
      <c r="AX14" s="151">
        <v>0.1</v>
      </c>
      <c r="AY14" s="151">
        <v>9.1999999999999993</v>
      </c>
      <c r="AZ14" s="151">
        <v>0.5</v>
      </c>
      <c r="BA14" s="161">
        <f t="shared" si="25"/>
        <v>12.7</v>
      </c>
      <c r="BB14" s="162"/>
      <c r="BD14" s="151">
        <v>0.9</v>
      </c>
      <c r="BE14" s="151">
        <v>0.2</v>
      </c>
      <c r="BF14" s="151">
        <v>0.2</v>
      </c>
      <c r="BG14" s="151">
        <v>0.6</v>
      </c>
      <c r="BH14" s="151">
        <v>3.3</v>
      </c>
      <c r="BI14" s="151">
        <v>1.9</v>
      </c>
      <c r="BJ14" s="151">
        <v>4.3</v>
      </c>
      <c r="BK14" s="151">
        <v>8.1999999999999993</v>
      </c>
      <c r="BN14" s="161">
        <f t="shared" si="27"/>
        <v>19.599999999999998</v>
      </c>
      <c r="BO14" s="162">
        <v>0.02</v>
      </c>
      <c r="BP14" s="151">
        <v>0.2</v>
      </c>
      <c r="BQ14" s="151">
        <v>3.8</v>
      </c>
      <c r="BU14" s="151">
        <v>7.6</v>
      </c>
      <c r="BV14" s="151">
        <v>2.5</v>
      </c>
      <c r="BW14" s="151">
        <v>24.8</v>
      </c>
      <c r="CA14" s="161">
        <f t="shared" si="29"/>
        <v>38.92</v>
      </c>
      <c r="CB14" s="162"/>
      <c r="CD14" s="151">
        <v>0.1</v>
      </c>
      <c r="CH14" s="151">
        <v>3.0990000000000004E-2</v>
      </c>
      <c r="CI14" s="151">
        <v>6.3120518217101096E-3</v>
      </c>
      <c r="CJ14" s="151">
        <v>0.37701000000000001</v>
      </c>
      <c r="CK14" s="151">
        <v>0.21099999999999999</v>
      </c>
      <c r="CL14" s="151">
        <v>0.11800999999999999</v>
      </c>
      <c r="CN14" s="161">
        <f t="shared" si="31"/>
        <v>0.84332205182171005</v>
      </c>
      <c r="CO14" s="162"/>
      <c r="CP14" s="151">
        <v>8.0000000000000002E-3</v>
      </c>
      <c r="CS14" s="151">
        <v>2.9485000000000001</v>
      </c>
      <c r="CU14" s="151">
        <v>23.480010000000004</v>
      </c>
      <c r="CV14" s="151">
        <v>22.975010000000001</v>
      </c>
      <c r="CY14" s="151">
        <v>0.28499999999999998</v>
      </c>
      <c r="CZ14" s="151">
        <v>0.218</v>
      </c>
      <c r="DA14" s="161">
        <f t="shared" si="33"/>
        <v>49.91452000000001</v>
      </c>
      <c r="DB14" s="162"/>
      <c r="DC14" s="151">
        <v>0.53300000000000003</v>
      </c>
      <c r="DD14" s="151">
        <v>1.3220099999999999</v>
      </c>
      <c r="DE14" s="151">
        <v>1.9359900000000001</v>
      </c>
      <c r="DF14" s="151">
        <v>2.4180300000000003</v>
      </c>
      <c r="DG14" s="151">
        <v>0.95201999999999998</v>
      </c>
      <c r="DI14" s="151">
        <v>0.73902000000000001</v>
      </c>
      <c r="DJ14" s="151">
        <v>0.76100999999999996</v>
      </c>
      <c r="DK14" s="151">
        <v>0.84499999999999986</v>
      </c>
      <c r="DL14" s="151">
        <v>0.22600000000000001</v>
      </c>
      <c r="DM14" s="151">
        <v>2.9009999999999998E-2</v>
      </c>
      <c r="DN14" s="161">
        <f t="shared" si="35"/>
        <v>9.7610900000000012</v>
      </c>
      <c r="DO14" s="162">
        <v>1.9E-2</v>
      </c>
      <c r="DP14" s="151">
        <v>0.45900000000000002</v>
      </c>
      <c r="DQ14" s="151">
        <v>0.54700000000000004</v>
      </c>
      <c r="DR14" s="151">
        <v>1.6E-2</v>
      </c>
      <c r="DS14" s="151">
        <v>0.32400000000000001</v>
      </c>
      <c r="DT14" s="151">
        <v>6.5000000000000002E-2</v>
      </c>
      <c r="DU14" s="151">
        <v>2.7910399999999997</v>
      </c>
      <c r="DV14" s="151">
        <v>1.9E-2</v>
      </c>
      <c r="DX14" s="151">
        <v>3.8320000000000003</v>
      </c>
      <c r="DY14" s="151">
        <v>3.8320000000000003</v>
      </c>
      <c r="EA14" s="161">
        <f t="shared" si="36"/>
        <v>11.904040000000002</v>
      </c>
      <c r="EB14" s="162">
        <v>0.17399000000000001</v>
      </c>
      <c r="EC14" s="151">
        <v>2.1999999999999999E-2</v>
      </c>
      <c r="ED14" s="151">
        <v>1.0999999999999999E-2</v>
      </c>
      <c r="EE14" s="151">
        <v>0</v>
      </c>
      <c r="EF14" s="151">
        <v>7.6999999999999999E-2</v>
      </c>
      <c r="EG14" s="151">
        <v>0.93998999999999999</v>
      </c>
      <c r="EH14" s="151">
        <v>1.31701</v>
      </c>
      <c r="EI14" s="151">
        <v>0.51402000000000003</v>
      </c>
      <c r="EJ14" s="151">
        <v>0.16500000000000001</v>
      </c>
      <c r="EK14" s="151">
        <v>0.16999</v>
      </c>
      <c r="EL14" s="151">
        <v>6.8000000000000005E-2</v>
      </c>
      <c r="EM14" s="151">
        <v>5.3999999999999999E-2</v>
      </c>
      <c r="EN14" s="161">
        <f t="shared" si="37"/>
        <v>3.5119999999999996</v>
      </c>
      <c r="EO14" s="162">
        <v>0.19199000000000002</v>
      </c>
      <c r="EP14" s="151">
        <v>0.04</v>
      </c>
      <c r="EQ14" s="151">
        <v>3.4009999999999992E-2</v>
      </c>
      <c r="ER14" s="151">
        <v>0</v>
      </c>
      <c r="ES14" s="151">
        <v>139.58999000000003</v>
      </c>
      <c r="ET14" s="151">
        <v>0</v>
      </c>
      <c r="EU14" s="151">
        <v>0</v>
      </c>
      <c r="EV14" s="950">
        <v>6.9900000000000006E-3</v>
      </c>
      <c r="FA14" s="161">
        <f t="shared" si="38"/>
        <v>139.86298000000002</v>
      </c>
      <c r="FC14" s="149">
        <f t="shared" si="17"/>
        <v>-98.640130734212676</v>
      </c>
      <c r="FD14" s="149">
        <f t="shared" si="39"/>
        <v>4478.1512990137526</v>
      </c>
      <c r="FE14" s="148">
        <f t="shared" si="49"/>
        <v>3.0550099999999998</v>
      </c>
      <c r="FF14" s="148">
        <f t="shared" si="40"/>
        <v>139.86298000000002</v>
      </c>
      <c r="FG14" s="127"/>
    </row>
    <row r="15" spans="1:163" ht="15" customHeight="1" x14ac:dyDescent="0.25">
      <c r="A15" s="398" t="s">
        <v>221</v>
      </c>
      <c r="B15" s="162">
        <f t="shared" ref="B15:M15" si="50">SUM(B16:B17)</f>
        <v>3151.82663</v>
      </c>
      <c r="C15" s="151">
        <f t="shared" si="50"/>
        <v>2565.9</v>
      </c>
      <c r="D15" s="151">
        <f t="shared" si="50"/>
        <v>2716</v>
      </c>
      <c r="E15" s="151">
        <f t="shared" si="50"/>
        <v>2651</v>
      </c>
      <c r="F15" s="151">
        <f t="shared" si="50"/>
        <v>2630.5</v>
      </c>
      <c r="G15" s="151">
        <f t="shared" si="50"/>
        <v>3342</v>
      </c>
      <c r="H15" s="151">
        <f t="shared" si="50"/>
        <v>2665</v>
      </c>
      <c r="I15" s="151">
        <f t="shared" si="50"/>
        <v>2891</v>
      </c>
      <c r="J15" s="151">
        <f t="shared" si="50"/>
        <v>3189.6</v>
      </c>
      <c r="K15" s="151">
        <f t="shared" si="50"/>
        <v>3523.2</v>
      </c>
      <c r="L15" s="151">
        <f t="shared" si="50"/>
        <v>3697.3</v>
      </c>
      <c r="M15" s="151">
        <f t="shared" si="50"/>
        <v>5075.5999999999995</v>
      </c>
      <c r="N15" s="161">
        <f t="shared" si="19"/>
        <v>38098.926630000002</v>
      </c>
      <c r="O15" s="162">
        <f t="shared" ref="O15:Z15" si="51">SUM(O16:O17)</f>
        <v>4851.6000000000004</v>
      </c>
      <c r="P15" s="151">
        <f t="shared" si="51"/>
        <v>4094.8</v>
      </c>
      <c r="Q15" s="151">
        <f t="shared" si="51"/>
        <v>3229.2</v>
      </c>
      <c r="R15" s="151">
        <f t="shared" si="51"/>
        <v>3655.4</v>
      </c>
      <c r="S15" s="151">
        <f t="shared" si="51"/>
        <v>4389.8999999999996</v>
      </c>
      <c r="T15" s="151">
        <f t="shared" si="51"/>
        <v>2526.8999999999996</v>
      </c>
      <c r="U15" s="151">
        <f t="shared" si="51"/>
        <v>3784.7999999999997</v>
      </c>
      <c r="V15" s="151">
        <f t="shared" si="51"/>
        <v>2465.4</v>
      </c>
      <c r="W15" s="151">
        <f t="shared" si="51"/>
        <v>3172.4</v>
      </c>
      <c r="X15" s="151">
        <f t="shared" si="51"/>
        <v>3327.1</v>
      </c>
      <c r="Y15" s="151">
        <f t="shared" si="51"/>
        <v>4382.6000000000004</v>
      </c>
      <c r="Z15" s="151">
        <f t="shared" si="51"/>
        <v>4411</v>
      </c>
      <c r="AA15" s="161">
        <f t="shared" si="21"/>
        <v>44291.100000000006</v>
      </c>
      <c r="AB15" s="162">
        <f t="shared" ref="AB15:AM15" si="52">SUM(AB16:AB17)</f>
        <v>4410</v>
      </c>
      <c r="AC15" s="151">
        <f t="shared" si="52"/>
        <v>2523.2999999999997</v>
      </c>
      <c r="AD15" s="151">
        <f t="shared" si="52"/>
        <v>3270</v>
      </c>
      <c r="AE15" s="151">
        <f t="shared" si="52"/>
        <v>2608.1</v>
      </c>
      <c r="AF15" s="151">
        <f t="shared" si="52"/>
        <v>3023.8</v>
      </c>
      <c r="AG15" s="151">
        <f t="shared" si="52"/>
        <v>2781.4</v>
      </c>
      <c r="AH15" s="151">
        <f t="shared" si="52"/>
        <v>2663.1</v>
      </c>
      <c r="AI15" s="151">
        <f t="shared" si="52"/>
        <v>2368</v>
      </c>
      <c r="AJ15" s="151">
        <f t="shared" si="52"/>
        <v>3229.1</v>
      </c>
      <c r="AK15" s="151">
        <f t="shared" si="52"/>
        <v>3521.9</v>
      </c>
      <c r="AL15" s="151">
        <f t="shared" si="52"/>
        <v>3677.8999999999996</v>
      </c>
      <c r="AM15" s="151">
        <f t="shared" si="52"/>
        <v>2733.4</v>
      </c>
      <c r="AN15" s="161">
        <f t="shared" si="23"/>
        <v>36810</v>
      </c>
      <c r="AO15" s="162">
        <f t="shared" ref="AO15:AZ15" si="53">SUM(AO16:AO17)</f>
        <v>3941</v>
      </c>
      <c r="AP15" s="151">
        <f t="shared" si="53"/>
        <v>3123</v>
      </c>
      <c r="AQ15" s="151">
        <f t="shared" si="53"/>
        <v>4322.3</v>
      </c>
      <c r="AR15" s="151">
        <f t="shared" si="53"/>
        <v>3555.6</v>
      </c>
      <c r="AS15" s="151">
        <f t="shared" si="53"/>
        <v>3179.4</v>
      </c>
      <c r="AT15" s="151">
        <f t="shared" si="53"/>
        <v>3410.3</v>
      </c>
      <c r="AU15" s="151">
        <f t="shared" si="53"/>
        <v>4383.6000000000004</v>
      </c>
      <c r="AV15" s="151">
        <f t="shared" si="53"/>
        <v>2745.7999999999997</v>
      </c>
      <c r="AW15" s="151">
        <f t="shared" si="53"/>
        <v>3567.2999999999997</v>
      </c>
      <c r="AX15" s="151">
        <f t="shared" si="53"/>
        <v>3939.1000000000004</v>
      </c>
      <c r="AY15" s="151">
        <f t="shared" si="53"/>
        <v>4023.1</v>
      </c>
      <c r="AZ15" s="151">
        <f t="shared" si="53"/>
        <v>4099.2</v>
      </c>
      <c r="BA15" s="161">
        <f t="shared" si="25"/>
        <v>44289.69999999999</v>
      </c>
      <c r="BB15" s="162">
        <f t="shared" ref="BB15:BM15" si="54">SUM(BB16:BB17)</f>
        <v>5319</v>
      </c>
      <c r="BC15" s="151">
        <f t="shared" si="54"/>
        <v>3101.11184</v>
      </c>
      <c r="BD15" s="151">
        <f t="shared" si="54"/>
        <v>3326.6000000000004</v>
      </c>
      <c r="BE15" s="151">
        <f t="shared" si="54"/>
        <v>4190</v>
      </c>
      <c r="BF15" s="151">
        <f t="shared" si="54"/>
        <v>5920.5</v>
      </c>
      <c r="BG15" s="151">
        <f t="shared" si="54"/>
        <v>4397.5</v>
      </c>
      <c r="BH15" s="151">
        <f t="shared" si="54"/>
        <v>3848.1</v>
      </c>
      <c r="BI15" s="151">
        <f t="shared" si="54"/>
        <v>4403.2</v>
      </c>
      <c r="BJ15" s="151">
        <f t="shared" si="54"/>
        <v>4380.0999999999995</v>
      </c>
      <c r="BK15" s="151">
        <f t="shared" si="54"/>
        <v>5634.5999999999995</v>
      </c>
      <c r="BL15" s="151">
        <f t="shared" si="54"/>
        <v>5145.8</v>
      </c>
      <c r="BM15" s="151">
        <f t="shared" si="54"/>
        <v>5194.5</v>
      </c>
      <c r="BN15" s="161">
        <f t="shared" si="27"/>
        <v>54861.011839999999</v>
      </c>
      <c r="BO15" s="162">
        <f t="shared" ref="BO15:BV15" si="55">SUM(BO16:BO17)</f>
        <v>6937.1</v>
      </c>
      <c r="BP15" s="151">
        <f t="shared" si="55"/>
        <v>6442.9000000000005</v>
      </c>
      <c r="BQ15" s="151">
        <f t="shared" si="55"/>
        <v>3246.4</v>
      </c>
      <c r="BR15" s="151">
        <f t="shared" si="55"/>
        <v>2107.1</v>
      </c>
      <c r="BS15" s="151">
        <f t="shared" si="55"/>
        <v>1597.3</v>
      </c>
      <c r="BT15" s="151">
        <f>SUM(BT16:BT17)</f>
        <v>5010.7</v>
      </c>
      <c r="BU15" s="151">
        <f t="shared" si="55"/>
        <v>3758.7000000000003</v>
      </c>
      <c r="BV15" s="151">
        <f t="shared" si="55"/>
        <v>4085.5</v>
      </c>
      <c r="BW15" s="151">
        <f>SUM(BW16:BW17)</f>
        <v>4004.2999999999997</v>
      </c>
      <c r="BX15" s="151">
        <f>SUM(BX16:BX17)</f>
        <v>6187.9</v>
      </c>
      <c r="BY15" s="151">
        <f>SUM(BY16:BY17)</f>
        <v>6696.9000000000005</v>
      </c>
      <c r="BZ15" s="151">
        <f>SUM(BZ16:BZ17)</f>
        <v>6199.3</v>
      </c>
      <c r="CA15" s="161">
        <f t="shared" si="29"/>
        <v>56274.100000000006</v>
      </c>
      <c r="CB15" s="162">
        <f t="shared" ref="CB15:CZ15" si="56">SUM(CB16:CB17)</f>
        <v>6090.1</v>
      </c>
      <c r="CC15" s="151">
        <f t="shared" si="56"/>
        <v>5896.2000000000007</v>
      </c>
      <c r="CD15" s="151">
        <f t="shared" si="56"/>
        <v>5189.8999999999996</v>
      </c>
      <c r="CE15" s="151">
        <f t="shared" si="56"/>
        <v>6416.7</v>
      </c>
      <c r="CF15" s="151">
        <f t="shared" si="56"/>
        <v>5866.0999999999995</v>
      </c>
      <c r="CG15" s="151">
        <f t="shared" si="56"/>
        <v>7083.5820299999996</v>
      </c>
      <c r="CH15" s="151">
        <f t="shared" si="56"/>
        <v>7730.5473900000006</v>
      </c>
      <c r="CI15" s="151">
        <f t="shared" si="56"/>
        <v>6404.3221179481789</v>
      </c>
      <c r="CJ15" s="151">
        <f t="shared" si="56"/>
        <v>6607.1973099999996</v>
      </c>
      <c r="CK15" s="151">
        <f t="shared" si="56"/>
        <v>8760.2996399999993</v>
      </c>
      <c r="CL15" s="151">
        <f t="shared" si="56"/>
        <v>9120.4012999999995</v>
      </c>
      <c r="CM15" s="151">
        <f t="shared" si="56"/>
        <v>11783.13031</v>
      </c>
      <c r="CN15" s="161">
        <f t="shared" si="31"/>
        <v>86948.480097948166</v>
      </c>
      <c r="CO15" s="162">
        <f t="shared" si="56"/>
        <v>12579.63595</v>
      </c>
      <c r="CP15" s="151">
        <f t="shared" si="56"/>
        <v>8227.0325900000007</v>
      </c>
      <c r="CQ15" s="151">
        <f t="shared" si="56"/>
        <v>8948.2171600000001</v>
      </c>
      <c r="CR15" s="151">
        <f t="shared" si="56"/>
        <v>10103.650750000001</v>
      </c>
      <c r="CS15" s="151">
        <f t="shared" si="56"/>
        <v>8516.274809999999</v>
      </c>
      <c r="CT15" s="151">
        <f t="shared" si="56"/>
        <v>11572.605979999998</v>
      </c>
      <c r="CU15" s="151">
        <f t="shared" si="56"/>
        <v>10513.489229999999</v>
      </c>
      <c r="CV15" s="151">
        <f t="shared" si="56"/>
        <v>7912.3302700000004</v>
      </c>
      <c r="CW15" s="151">
        <f t="shared" si="56"/>
        <v>7806.91147</v>
      </c>
      <c r="CX15" s="151">
        <f t="shared" si="56"/>
        <v>7831.6738800000003</v>
      </c>
      <c r="CY15" s="151">
        <f t="shared" si="56"/>
        <v>9611.7167299999965</v>
      </c>
      <c r="CZ15" s="151">
        <f t="shared" si="56"/>
        <v>9394.9612199999992</v>
      </c>
      <c r="DA15" s="161">
        <f t="shared" si="33"/>
        <v>113018.50004000001</v>
      </c>
      <c r="DB15" s="162">
        <f>SUM(DB16:DB17)</f>
        <v>8250.4150499999996</v>
      </c>
      <c r="DC15" s="151">
        <f>SUM(DC16:DC17)</f>
        <v>8283.2970999999998</v>
      </c>
      <c r="DD15" s="151">
        <f>SUM(DD16:DD17)</f>
        <v>7105.8281199999992</v>
      </c>
      <c r="DE15" s="151">
        <f>SUM(DE16:DE17)</f>
        <v>6124.2691100000011</v>
      </c>
      <c r="DF15" s="151">
        <v>6945.9372200000007</v>
      </c>
      <c r="DG15" s="151">
        <v>6244.1550899999993</v>
      </c>
      <c r="DH15" s="151">
        <v>5112.78712</v>
      </c>
      <c r="DI15" s="151">
        <v>7462.8222300000007</v>
      </c>
      <c r="DJ15" s="151">
        <v>5812.7955099999999</v>
      </c>
      <c r="DK15" s="151">
        <v>7433.5630699999992</v>
      </c>
      <c r="DL15" s="151">
        <v>8264.3681100000013</v>
      </c>
      <c r="DM15" s="151">
        <v>6838.9727999999996</v>
      </c>
      <c r="DN15" s="161">
        <f t="shared" si="35"/>
        <v>83879.210529999997</v>
      </c>
      <c r="DO15" s="162">
        <v>11171.491179999999</v>
      </c>
      <c r="DP15" s="151">
        <v>5557.1994700000005</v>
      </c>
      <c r="DQ15" s="151">
        <v>4750.8808799999997</v>
      </c>
      <c r="DR15" s="151">
        <v>5386.9498300000005</v>
      </c>
      <c r="DS15" s="151">
        <v>5533.9372600000006</v>
      </c>
      <c r="DT15" s="151">
        <v>4873.3073000000004</v>
      </c>
      <c r="DU15" s="151">
        <v>6825.7463400000015</v>
      </c>
      <c r="DV15" s="151">
        <v>6201.5605100000002</v>
      </c>
      <c r="DW15" s="151">
        <v>6768.8091899999999</v>
      </c>
      <c r="DX15" s="151">
        <v>8455.8896600000007</v>
      </c>
      <c r="DY15" s="151">
        <v>10860.871959999999</v>
      </c>
      <c r="DZ15" s="151">
        <v>10037.72219</v>
      </c>
      <c r="EA15" s="161">
        <f t="shared" si="36"/>
        <v>86424.365770000004</v>
      </c>
      <c r="EB15" s="162">
        <v>10779.438530000001</v>
      </c>
      <c r="EC15" s="151">
        <v>8759.4512099999993</v>
      </c>
      <c r="ED15" s="151">
        <v>7547.3301199999987</v>
      </c>
      <c r="EE15" s="151">
        <v>6353.1449499999999</v>
      </c>
      <c r="EF15" s="151">
        <v>7825.438650000001</v>
      </c>
      <c r="EG15" s="151">
        <v>7335.6943700000011</v>
      </c>
      <c r="EH15" s="151">
        <v>6632.3421099999996</v>
      </c>
      <c r="EI15" s="151">
        <v>5698.3375100000003</v>
      </c>
      <c r="EJ15" s="151">
        <v>7621.6141599999992</v>
      </c>
      <c r="EK15" s="151">
        <v>10767.343879999999</v>
      </c>
      <c r="EL15" s="151">
        <v>11148.535789999998</v>
      </c>
      <c r="EM15" s="151">
        <v>14013.528919999999</v>
      </c>
      <c r="EN15" s="161">
        <f t="shared" si="37"/>
        <v>104482.20019999999</v>
      </c>
      <c r="EO15" s="162">
        <v>10469.077439999999</v>
      </c>
      <c r="EP15" s="151">
        <v>8228.3937099999985</v>
      </c>
      <c r="EQ15" s="151">
        <v>7120.3307100000002</v>
      </c>
      <c r="ER15" s="151">
        <v>7856.9866400000001</v>
      </c>
      <c r="ES15" s="151">
        <v>7996.5308600000008</v>
      </c>
      <c r="ET15" s="151">
        <v>8810.4192199999979</v>
      </c>
      <c r="EU15" s="151">
        <v>14114.052629999996</v>
      </c>
      <c r="EV15" s="950">
        <v>7968.5630199999996</v>
      </c>
      <c r="FA15" s="161">
        <f t="shared" si="38"/>
        <v>72564.354229999997</v>
      </c>
      <c r="FC15" s="149">
        <f t="shared" si="17"/>
        <v>39.840137689562717</v>
      </c>
      <c r="FD15" s="149">
        <f t="shared" si="39"/>
        <v>19.092322300100228</v>
      </c>
      <c r="FE15" s="148">
        <f t="shared" si="49"/>
        <v>60931.177450000003</v>
      </c>
      <c r="FF15" s="148">
        <f t="shared" si="40"/>
        <v>72564.354229999997</v>
      </c>
      <c r="FG15" s="127"/>
    </row>
    <row r="16" spans="1:163" ht="15" customHeight="1" x14ac:dyDescent="0.25">
      <c r="A16" s="399" t="s">
        <v>555</v>
      </c>
      <c r="B16" s="162">
        <v>3123.11762</v>
      </c>
      <c r="C16" s="151">
        <v>2530.9</v>
      </c>
      <c r="D16" s="151">
        <v>2426</v>
      </c>
      <c r="E16" s="151">
        <v>2559</v>
      </c>
      <c r="F16" s="151">
        <v>2623</v>
      </c>
      <c r="G16" s="151">
        <v>2856</v>
      </c>
      <c r="H16" s="151">
        <v>2625</v>
      </c>
      <c r="I16" s="151">
        <v>2857.5</v>
      </c>
      <c r="J16" s="151">
        <v>3184</v>
      </c>
      <c r="K16" s="151">
        <v>3393.7</v>
      </c>
      <c r="L16" s="151">
        <v>3676.5</v>
      </c>
      <c r="M16" s="151">
        <v>4973.8999999999996</v>
      </c>
      <c r="N16" s="161">
        <f t="shared" si="19"/>
        <v>36828.617619999997</v>
      </c>
      <c r="O16" s="162">
        <v>4741.3</v>
      </c>
      <c r="P16" s="151">
        <v>4041</v>
      </c>
      <c r="Q16" s="151">
        <v>3156</v>
      </c>
      <c r="R16" s="151">
        <v>3628.6</v>
      </c>
      <c r="S16" s="151">
        <v>3372.2</v>
      </c>
      <c r="T16" s="151">
        <v>2503.1999999999998</v>
      </c>
      <c r="U16" s="151">
        <v>3554.6</v>
      </c>
      <c r="V16" s="151">
        <v>2439</v>
      </c>
      <c r="W16" s="151">
        <v>3162.6</v>
      </c>
      <c r="X16" s="151">
        <v>3295.2</v>
      </c>
      <c r="Y16" s="151">
        <v>4320.8</v>
      </c>
      <c r="Z16" s="151">
        <v>4387.2</v>
      </c>
      <c r="AA16" s="161">
        <f t="shared" si="21"/>
        <v>42601.7</v>
      </c>
      <c r="AB16" s="162">
        <v>4383.7</v>
      </c>
      <c r="AC16" s="151">
        <v>2461.6999999999998</v>
      </c>
      <c r="AD16" s="151">
        <v>2934.6</v>
      </c>
      <c r="AE16" s="151">
        <v>2600.5</v>
      </c>
      <c r="AF16" s="151">
        <v>2904.5</v>
      </c>
      <c r="AG16" s="151">
        <v>2535.1</v>
      </c>
      <c r="AH16" s="151">
        <v>2580.9</v>
      </c>
      <c r="AI16" s="151">
        <v>2306.6</v>
      </c>
      <c r="AJ16" s="151">
        <v>3201.1</v>
      </c>
      <c r="AK16" s="151">
        <v>3444.3</v>
      </c>
      <c r="AL16" s="151">
        <v>3628.2</v>
      </c>
      <c r="AM16" s="151">
        <v>2727.6</v>
      </c>
      <c r="AN16" s="161">
        <f t="shared" si="23"/>
        <v>35708.799999999996</v>
      </c>
      <c r="AO16" s="162">
        <v>3927</v>
      </c>
      <c r="AP16" s="151">
        <v>3028</v>
      </c>
      <c r="AQ16" s="151">
        <v>4316</v>
      </c>
      <c r="AR16" s="151">
        <v>3520.4</v>
      </c>
      <c r="AS16" s="151">
        <v>3059.4</v>
      </c>
      <c r="AT16" s="151">
        <v>3395.3</v>
      </c>
      <c r="AU16" s="151">
        <v>4184.5</v>
      </c>
      <c r="AV16" s="151">
        <v>2744.2</v>
      </c>
      <c r="AW16" s="151">
        <v>3559.7</v>
      </c>
      <c r="AX16" s="151">
        <v>3936.3</v>
      </c>
      <c r="AY16" s="151">
        <v>4019.2</v>
      </c>
      <c r="AZ16" s="151">
        <v>4092.1</v>
      </c>
      <c r="BA16" s="161">
        <f t="shared" si="25"/>
        <v>43782.1</v>
      </c>
      <c r="BB16" s="162">
        <v>5308</v>
      </c>
      <c r="BC16" s="151">
        <v>2948.08383</v>
      </c>
      <c r="BD16" s="151">
        <v>3288.8</v>
      </c>
      <c r="BE16" s="151">
        <v>4128</v>
      </c>
      <c r="BF16" s="151">
        <v>5793.1</v>
      </c>
      <c r="BG16" s="151">
        <v>4160.6000000000004</v>
      </c>
      <c r="BH16" s="151">
        <v>3442.2</v>
      </c>
      <c r="BI16" s="151">
        <v>4209.8</v>
      </c>
      <c r="BJ16" s="151">
        <v>4021.7</v>
      </c>
      <c r="BK16" s="151">
        <v>5458.9</v>
      </c>
      <c r="BL16" s="151">
        <v>4738.7</v>
      </c>
      <c r="BM16" s="151">
        <v>4987.7</v>
      </c>
      <c r="BN16" s="161">
        <f t="shared" si="27"/>
        <v>52485.583829999989</v>
      </c>
      <c r="BO16" s="162">
        <v>6726.3</v>
      </c>
      <c r="BP16" s="151">
        <v>6074.8</v>
      </c>
      <c r="BQ16" s="151">
        <v>3072.8</v>
      </c>
      <c r="BR16" s="151">
        <v>2083.9</v>
      </c>
      <c r="BS16" s="151">
        <v>1580.6</v>
      </c>
      <c r="BT16" s="151">
        <v>4959.7</v>
      </c>
      <c r="BU16" s="151">
        <v>3697.3</v>
      </c>
      <c r="BV16" s="151">
        <v>4051.8</v>
      </c>
      <c r="BW16" s="151">
        <v>3901.1</v>
      </c>
      <c r="BX16" s="151">
        <v>6178.5</v>
      </c>
      <c r="BY16" s="151">
        <v>6665.6</v>
      </c>
      <c r="BZ16" s="151">
        <v>6189.5</v>
      </c>
      <c r="CA16" s="161">
        <f t="shared" si="29"/>
        <v>55181.9</v>
      </c>
      <c r="CB16" s="162">
        <v>6090.1</v>
      </c>
      <c r="CC16" s="151">
        <v>5894.6</v>
      </c>
      <c r="CD16" s="151">
        <v>5176</v>
      </c>
      <c r="CE16" s="151">
        <v>6325.2</v>
      </c>
      <c r="CF16" s="151">
        <v>5822.4</v>
      </c>
      <c r="CG16" s="151">
        <v>7076.0390299999999</v>
      </c>
      <c r="CH16" s="151">
        <v>7687.2853900000009</v>
      </c>
      <c r="CI16" s="151">
        <v>6352.7950300000002</v>
      </c>
      <c r="CJ16" s="151">
        <v>6581.8512899999996</v>
      </c>
      <c r="CK16" s="151">
        <v>8728.5286699999997</v>
      </c>
      <c r="CL16" s="151">
        <v>9119.8382999999994</v>
      </c>
      <c r="CM16" s="151">
        <v>11775.99128</v>
      </c>
      <c r="CN16" s="161">
        <f t="shared" si="31"/>
        <v>86630.628990000012</v>
      </c>
      <c r="CO16" s="162">
        <v>12579.63595</v>
      </c>
      <c r="CP16" s="151">
        <v>8205.9645900000014</v>
      </c>
      <c r="CQ16" s="151">
        <v>8947.373160000001</v>
      </c>
      <c r="CR16" s="151">
        <v>9988.718710000001</v>
      </c>
      <c r="CS16" s="151">
        <v>8480.2577899999997</v>
      </c>
      <c r="CT16" s="151">
        <v>11571.012969999998</v>
      </c>
      <c r="CU16" s="151">
        <v>10347.664219999999</v>
      </c>
      <c r="CV16" s="151">
        <v>7831.8102699999999</v>
      </c>
      <c r="CW16" s="151">
        <v>7746.20543</v>
      </c>
      <c r="CX16" s="151">
        <v>7752.4628300000004</v>
      </c>
      <c r="CY16" s="151">
        <v>9569.0577099999973</v>
      </c>
      <c r="CZ16" s="151">
        <v>9194.4021999999986</v>
      </c>
      <c r="DA16" s="161">
        <f t="shared" si="33"/>
        <v>112214.56583000001</v>
      </c>
      <c r="DB16" s="162">
        <v>8237.6840499999998</v>
      </c>
      <c r="DC16" s="151">
        <v>8277.6581000000006</v>
      </c>
      <c r="DD16" s="151">
        <v>7071.5690799999993</v>
      </c>
      <c r="DE16" s="151">
        <v>6094.5700900000011</v>
      </c>
      <c r="DF16" s="151">
        <v>6864.5812000000005</v>
      </c>
      <c r="DG16" s="151">
        <v>6114.7050599999993</v>
      </c>
      <c r="DH16" s="151">
        <v>5066.2381299999997</v>
      </c>
      <c r="DI16" s="151">
        <v>7449.3442100000011</v>
      </c>
      <c r="DJ16" s="151">
        <v>5691.5794500000002</v>
      </c>
      <c r="DK16" s="151">
        <v>7430.7300699999996</v>
      </c>
      <c r="DL16" s="151">
        <v>8070.784090000001</v>
      </c>
      <c r="DM16" s="151">
        <v>6830.1487799999995</v>
      </c>
      <c r="DN16" s="161">
        <f t="shared" si="35"/>
        <v>83199.592310000007</v>
      </c>
      <c r="DO16" s="162">
        <v>11148.339189999999</v>
      </c>
      <c r="DP16" s="151">
        <v>5556.5104700000002</v>
      </c>
      <c r="DQ16" s="151">
        <v>4744.1708799999997</v>
      </c>
      <c r="DR16" s="151">
        <v>5298.6048000000001</v>
      </c>
      <c r="DS16" s="151">
        <v>5503.3092100000003</v>
      </c>
      <c r="DT16" s="151">
        <v>4848.8623000000007</v>
      </c>
      <c r="DU16" s="151">
        <v>6763.9403000000011</v>
      </c>
      <c r="DV16" s="151">
        <v>6034.7575100000004</v>
      </c>
      <c r="DW16" s="151">
        <v>6610.4631300000001</v>
      </c>
      <c r="DX16" s="151">
        <v>8442.6926800000001</v>
      </c>
      <c r="DY16" s="151">
        <v>10857.522949999999</v>
      </c>
      <c r="DZ16" s="151">
        <v>10011.47717</v>
      </c>
      <c r="EA16" s="161">
        <f t="shared" si="36"/>
        <v>85820.650590000005</v>
      </c>
      <c r="EB16" s="162">
        <v>10739.893530000001</v>
      </c>
      <c r="EC16" s="151">
        <v>8598.7421699999995</v>
      </c>
      <c r="ED16" s="151">
        <v>7543.5530899999985</v>
      </c>
      <c r="EE16" s="151">
        <v>6342.2099200000002</v>
      </c>
      <c r="EF16" s="151">
        <v>7809.6925700000011</v>
      </c>
      <c r="EG16" s="151">
        <v>7326.964320000001</v>
      </c>
      <c r="EH16" s="151">
        <v>6359.6840999999995</v>
      </c>
      <c r="EI16" s="151">
        <v>5666.3185000000003</v>
      </c>
      <c r="EJ16" s="151">
        <v>7473.9611499999992</v>
      </c>
      <c r="EK16" s="151">
        <v>10709.220819999999</v>
      </c>
      <c r="EL16" s="151">
        <v>11119.628739999998</v>
      </c>
      <c r="EM16" s="151">
        <v>14013.528919999999</v>
      </c>
      <c r="EN16" s="161">
        <f t="shared" si="37"/>
        <v>103703.39782999999</v>
      </c>
      <c r="EO16" s="162">
        <v>10420.52542</v>
      </c>
      <c r="EP16" s="151">
        <v>8138.8226799999993</v>
      </c>
      <c r="EQ16" s="151">
        <v>7026.9406200000003</v>
      </c>
      <c r="ER16" s="151">
        <v>7451.8495800000001</v>
      </c>
      <c r="ES16" s="151">
        <v>7770.7568500000007</v>
      </c>
      <c r="ET16" s="151">
        <v>8670.7351799999979</v>
      </c>
      <c r="EU16" s="151">
        <v>13605.082559999997</v>
      </c>
      <c r="EV16" s="950">
        <v>7635.5139899999995</v>
      </c>
      <c r="FA16" s="161">
        <f t="shared" si="38"/>
        <v>70720.226879999987</v>
      </c>
      <c r="FC16" s="149">
        <f t="shared" si="17"/>
        <v>34.752643890384903</v>
      </c>
      <c r="FD16" s="149">
        <f t="shared" si="39"/>
        <v>17.111561629276384</v>
      </c>
      <c r="FE16" s="148">
        <f>SUMIFS($B16:$FA16,$B$5:$FA$5,"&gt;="&amp;DATE(YEAR($FC$5)-1,1,1),$B$5:$FA$5,"&lt;="&amp;DATE(YEAR($FC$5)-1,MONTH($FC$5),1))</f>
        <v>60387.058199999992</v>
      </c>
      <c r="FF16" s="148">
        <f t="shared" si="40"/>
        <v>70720.226879999987</v>
      </c>
      <c r="FG16" s="127"/>
    </row>
    <row r="17" spans="1:163" ht="15" customHeight="1" x14ac:dyDescent="0.25">
      <c r="A17" s="399" t="s">
        <v>556</v>
      </c>
      <c r="B17" s="162">
        <v>28.709010000000003</v>
      </c>
      <c r="C17" s="151">
        <v>35</v>
      </c>
      <c r="D17" s="151">
        <v>290</v>
      </c>
      <c r="E17" s="151">
        <v>92</v>
      </c>
      <c r="F17" s="151">
        <v>7.5</v>
      </c>
      <c r="G17" s="151">
        <v>486</v>
      </c>
      <c r="H17" s="151">
        <v>40</v>
      </c>
      <c r="I17" s="151">
        <v>33.5</v>
      </c>
      <c r="J17" s="151">
        <v>5.6</v>
      </c>
      <c r="K17" s="151">
        <v>129.5</v>
      </c>
      <c r="L17" s="151">
        <v>20.8</v>
      </c>
      <c r="M17" s="151">
        <v>101.7</v>
      </c>
      <c r="N17" s="161">
        <f t="shared" si="19"/>
        <v>1270.3090099999999</v>
      </c>
      <c r="O17" s="162">
        <v>110.3</v>
      </c>
      <c r="P17" s="151">
        <v>53.8</v>
      </c>
      <c r="Q17" s="151">
        <v>73.2</v>
      </c>
      <c r="R17" s="151">
        <v>26.8</v>
      </c>
      <c r="S17" s="151">
        <v>1017.7</v>
      </c>
      <c r="T17" s="151">
        <v>23.7</v>
      </c>
      <c r="U17" s="151">
        <v>230.2</v>
      </c>
      <c r="V17" s="151">
        <v>26.4</v>
      </c>
      <c r="W17" s="151">
        <v>9.8000000000000007</v>
      </c>
      <c r="X17" s="151">
        <v>31.9</v>
      </c>
      <c r="Y17" s="151">
        <v>61.8</v>
      </c>
      <c r="Z17" s="151">
        <v>23.8</v>
      </c>
      <c r="AA17" s="161">
        <f t="shared" si="21"/>
        <v>1689.4000000000003</v>
      </c>
      <c r="AB17" s="162">
        <v>26.3</v>
      </c>
      <c r="AC17" s="151">
        <v>61.6</v>
      </c>
      <c r="AD17" s="151">
        <v>335.4</v>
      </c>
      <c r="AE17" s="151">
        <v>7.6</v>
      </c>
      <c r="AF17" s="151">
        <v>119.3</v>
      </c>
      <c r="AG17" s="151">
        <v>246.3</v>
      </c>
      <c r="AH17" s="151">
        <v>82.2</v>
      </c>
      <c r="AI17" s="151">
        <v>61.4</v>
      </c>
      <c r="AJ17" s="151">
        <v>28</v>
      </c>
      <c r="AK17" s="151">
        <v>77.599999999999994</v>
      </c>
      <c r="AL17" s="151">
        <v>49.7</v>
      </c>
      <c r="AM17" s="151">
        <v>5.8</v>
      </c>
      <c r="AN17" s="161">
        <f t="shared" si="23"/>
        <v>1101.2</v>
      </c>
      <c r="AO17" s="162">
        <v>14</v>
      </c>
      <c r="AP17" s="151">
        <v>95</v>
      </c>
      <c r="AQ17" s="151">
        <v>6.3</v>
      </c>
      <c r="AR17" s="151">
        <v>35.200000000000003</v>
      </c>
      <c r="AS17" s="151">
        <v>120</v>
      </c>
      <c r="AT17" s="151">
        <v>15</v>
      </c>
      <c r="AU17" s="151">
        <v>199.1</v>
      </c>
      <c r="AV17" s="151">
        <v>1.6</v>
      </c>
      <c r="AW17" s="151">
        <v>7.6</v>
      </c>
      <c r="AX17" s="151">
        <v>2.8</v>
      </c>
      <c r="AY17" s="151">
        <v>3.9</v>
      </c>
      <c r="AZ17" s="151">
        <v>7.1</v>
      </c>
      <c r="BA17" s="161">
        <f t="shared" si="25"/>
        <v>507.60000000000008</v>
      </c>
      <c r="BB17" s="162">
        <v>11</v>
      </c>
      <c r="BC17" s="151">
        <v>153.02800999999999</v>
      </c>
      <c r="BD17" s="151">
        <v>37.799999999999997</v>
      </c>
      <c r="BE17" s="151">
        <v>62</v>
      </c>
      <c r="BF17" s="151">
        <v>127.4</v>
      </c>
      <c r="BG17" s="151">
        <v>236.9</v>
      </c>
      <c r="BH17" s="151">
        <v>405.9</v>
      </c>
      <c r="BI17" s="151">
        <v>193.4</v>
      </c>
      <c r="BJ17" s="151">
        <v>358.4</v>
      </c>
      <c r="BK17" s="151">
        <v>175.7</v>
      </c>
      <c r="BL17" s="151">
        <v>407.1</v>
      </c>
      <c r="BM17" s="151">
        <v>206.8</v>
      </c>
      <c r="BN17" s="161">
        <f t="shared" si="27"/>
        <v>2375.4280100000005</v>
      </c>
      <c r="BO17" s="162">
        <v>210.8</v>
      </c>
      <c r="BP17" s="151">
        <v>368.1</v>
      </c>
      <c r="BQ17" s="151">
        <v>173.6</v>
      </c>
      <c r="BR17" s="151">
        <v>23.2</v>
      </c>
      <c r="BS17" s="151">
        <v>16.7</v>
      </c>
      <c r="BT17" s="151">
        <v>51</v>
      </c>
      <c r="BU17" s="151">
        <v>61.4</v>
      </c>
      <c r="BV17" s="151">
        <v>33.700000000000003</v>
      </c>
      <c r="BW17" s="151">
        <v>103.2</v>
      </c>
      <c r="BX17" s="151">
        <v>9.4</v>
      </c>
      <c r="BY17" s="151">
        <v>31.3</v>
      </c>
      <c r="BZ17" s="151">
        <v>9.8000000000000007</v>
      </c>
      <c r="CA17" s="161">
        <f t="shared" si="29"/>
        <v>1092.2000000000003</v>
      </c>
      <c r="CB17" s="162"/>
      <c r="CC17" s="151">
        <v>1.6</v>
      </c>
      <c r="CD17" s="151">
        <v>13.9</v>
      </c>
      <c r="CE17" s="151">
        <v>91.5</v>
      </c>
      <c r="CF17" s="151">
        <v>43.7</v>
      </c>
      <c r="CG17" s="151">
        <v>7.5430000000000001</v>
      </c>
      <c r="CH17" s="151">
        <v>43.262</v>
      </c>
      <c r="CI17" s="151">
        <v>51.527087948178291</v>
      </c>
      <c r="CJ17" s="151">
        <v>25.346019999999996</v>
      </c>
      <c r="CK17" s="151">
        <v>31.770970000000002</v>
      </c>
      <c r="CL17" s="151">
        <v>0.56300000000000017</v>
      </c>
      <c r="CM17" s="151">
        <v>7.13903</v>
      </c>
      <c r="CN17" s="161">
        <f t="shared" si="31"/>
        <v>317.85110794817825</v>
      </c>
      <c r="CO17" s="162"/>
      <c r="CP17" s="151">
        <v>21.068000000000001</v>
      </c>
      <c r="CQ17" s="151">
        <v>0.84399999999999997</v>
      </c>
      <c r="CR17" s="151">
        <v>114.93204</v>
      </c>
      <c r="CS17" s="151">
        <v>36.017020000000002</v>
      </c>
      <c r="CT17" s="151">
        <v>1.59301</v>
      </c>
      <c r="CU17" s="151">
        <v>165.82501000000005</v>
      </c>
      <c r="CV17" s="151">
        <v>80.52000000000001</v>
      </c>
      <c r="CW17" s="151">
        <v>60.706040000000002</v>
      </c>
      <c r="CX17" s="151">
        <v>79.21105</v>
      </c>
      <c r="CY17" s="151">
        <v>42.659019999999998</v>
      </c>
      <c r="CZ17" s="151">
        <v>200.55902000000003</v>
      </c>
      <c r="DA17" s="161">
        <f t="shared" si="33"/>
        <v>803.93421000000001</v>
      </c>
      <c r="DB17" s="162">
        <v>12.731</v>
      </c>
      <c r="DC17" s="151">
        <v>5.6389999999999993</v>
      </c>
      <c r="DD17" s="151">
        <v>34.259039999999999</v>
      </c>
      <c r="DE17" s="151">
        <v>29.699020000000001</v>
      </c>
      <c r="DF17" s="151">
        <v>81.356019999999987</v>
      </c>
      <c r="DG17" s="151">
        <v>129.45003</v>
      </c>
      <c r="DH17" s="151">
        <v>46.548989999999996</v>
      </c>
      <c r="DI17" s="151">
        <v>13.478020000000001</v>
      </c>
      <c r="DJ17" s="151">
        <v>121.21605999999998</v>
      </c>
      <c r="DK17" s="151">
        <v>2.8330000000000002</v>
      </c>
      <c r="DL17" s="151">
        <v>193.58402000000001</v>
      </c>
      <c r="DM17" s="151">
        <v>8.8240199999999991</v>
      </c>
      <c r="DN17" s="161">
        <f t="shared" si="35"/>
        <v>679.61822000000006</v>
      </c>
      <c r="DO17" s="162">
        <v>23.151989999999998</v>
      </c>
      <c r="DP17" s="151">
        <v>0.68899999999999983</v>
      </c>
      <c r="DQ17" s="151">
        <v>6.71</v>
      </c>
      <c r="DR17" s="151">
        <v>88.345029999999994</v>
      </c>
      <c r="DS17" s="151">
        <v>30.628049999999998</v>
      </c>
      <c r="DT17" s="151">
        <v>24.444999999999997</v>
      </c>
      <c r="DU17" s="151">
        <v>61.806039999999996</v>
      </c>
      <c r="DV17" s="151">
        <v>166.803</v>
      </c>
      <c r="DW17" s="151">
        <v>158.34605999999997</v>
      </c>
      <c r="DX17" s="151">
        <v>13.196980000000002</v>
      </c>
      <c r="DY17" s="151">
        <v>13.196980000000002</v>
      </c>
      <c r="DZ17" s="151">
        <v>26.24502</v>
      </c>
      <c r="EA17" s="161">
        <f t="shared" si="36"/>
        <v>613.56315000000006</v>
      </c>
      <c r="EB17" s="162">
        <v>39.544999999999995</v>
      </c>
      <c r="EC17" s="151">
        <v>160.70904000000002</v>
      </c>
      <c r="ED17" s="151">
        <v>3.7770300000000003</v>
      </c>
      <c r="EE17" s="151">
        <v>10.935030000000001</v>
      </c>
      <c r="EF17" s="151">
        <v>15.746079999999999</v>
      </c>
      <c r="EG17" s="151">
        <v>8.7300500000000003</v>
      </c>
      <c r="EH17" s="151">
        <v>272.65800999999999</v>
      </c>
      <c r="EI17" s="151">
        <v>32.019009999999994</v>
      </c>
      <c r="EJ17" s="151">
        <v>147.65300999999997</v>
      </c>
      <c r="EK17" s="151">
        <v>58.123059999999988</v>
      </c>
      <c r="EL17" s="151">
        <v>28.907049999999998</v>
      </c>
      <c r="EM17" s="151">
        <v>0</v>
      </c>
      <c r="EN17" s="161">
        <f t="shared" si="37"/>
        <v>778.80237</v>
      </c>
      <c r="EO17" s="162">
        <v>48.552020000000006</v>
      </c>
      <c r="EP17" s="151">
        <v>89.571029999999993</v>
      </c>
      <c r="EQ17" s="151">
        <v>93.390090000000001</v>
      </c>
      <c r="ER17" s="151">
        <v>405.13706000000002</v>
      </c>
      <c r="ES17" s="151">
        <v>225.77400999999998</v>
      </c>
      <c r="ET17" s="151">
        <v>139.68403999999998</v>
      </c>
      <c r="EU17" s="151">
        <v>508.97007000000002</v>
      </c>
      <c r="EV17" s="950">
        <v>333.04903000000002</v>
      </c>
      <c r="FA17" s="161">
        <f t="shared" si="38"/>
        <v>1844.1273500000002</v>
      </c>
      <c r="FC17" s="149">
        <f t="shared" si="17"/>
        <v>940.1602985226591</v>
      </c>
      <c r="FD17" s="149">
        <f t="shared" si="39"/>
        <v>238.91970372303507</v>
      </c>
      <c r="FE17" s="148">
        <f>SUMIFS($B17:$FA17,$B$5:$FA$5,"&gt;="&amp;DATE(YEAR($FC$5)-1,1,1),$B$5:$FA$5,"&lt;="&amp;DATE(YEAR($FC$5)-1,MONTH($FC$5),1))</f>
        <v>544.11924999999997</v>
      </c>
      <c r="FF17" s="148">
        <f t="shared" si="40"/>
        <v>1844.1273500000002</v>
      </c>
      <c r="FG17" s="127"/>
    </row>
    <row r="18" spans="1:163" ht="15" customHeight="1" x14ac:dyDescent="0.25">
      <c r="A18" s="398" t="s">
        <v>202</v>
      </c>
      <c r="B18" s="162">
        <v>26071.428</v>
      </c>
      <c r="C18" s="151">
        <v>15256</v>
      </c>
      <c r="D18" s="151">
        <v>16790</v>
      </c>
      <c r="E18" s="151">
        <v>17270</v>
      </c>
      <c r="F18" s="151">
        <v>16042</v>
      </c>
      <c r="G18" s="151">
        <v>18909</v>
      </c>
      <c r="H18" s="151">
        <v>20160</v>
      </c>
      <c r="I18" s="151">
        <v>20355.5</v>
      </c>
      <c r="J18" s="151">
        <v>19902</v>
      </c>
      <c r="K18" s="151">
        <v>20398.900000000001</v>
      </c>
      <c r="L18" s="151">
        <v>21147.599999999999</v>
      </c>
      <c r="M18" s="151">
        <v>19915.2</v>
      </c>
      <c r="N18" s="161">
        <f t="shared" si="19"/>
        <v>232217.62800000003</v>
      </c>
      <c r="O18" s="162">
        <v>28814.9</v>
      </c>
      <c r="P18" s="151">
        <v>17298.400000000001</v>
      </c>
      <c r="Q18" s="151">
        <v>18616.599999999999</v>
      </c>
      <c r="R18" s="151">
        <v>18434</v>
      </c>
      <c r="S18" s="151">
        <v>18251.400000000001</v>
      </c>
      <c r="T18" s="151">
        <v>21824.5</v>
      </c>
      <c r="U18" s="151">
        <v>22969.7</v>
      </c>
      <c r="V18" s="151">
        <v>23297</v>
      </c>
      <c r="W18" s="151">
        <v>22813.1</v>
      </c>
      <c r="X18" s="151">
        <v>21290.6</v>
      </c>
      <c r="Y18" s="151">
        <v>22041.3</v>
      </c>
      <c r="Z18" s="151">
        <v>22225.1</v>
      </c>
      <c r="AA18" s="161">
        <f t="shared" si="21"/>
        <v>257876.6</v>
      </c>
      <c r="AB18" s="162">
        <v>30140.799999999999</v>
      </c>
      <c r="AC18" s="151">
        <v>19793.8</v>
      </c>
      <c r="AD18" s="151">
        <v>19824.3</v>
      </c>
      <c r="AE18" s="151">
        <v>21252</v>
      </c>
      <c r="AF18" s="151">
        <v>20085</v>
      </c>
      <c r="AG18" s="151">
        <v>24680.799999999999</v>
      </c>
      <c r="AH18" s="151">
        <v>25634</v>
      </c>
      <c r="AI18" s="151">
        <v>24906.2</v>
      </c>
      <c r="AJ18" s="151">
        <v>25186.799999999999</v>
      </c>
      <c r="AK18" s="151">
        <v>24753.8</v>
      </c>
      <c r="AL18" s="151">
        <v>23639.200000000001</v>
      </c>
      <c r="AM18" s="151">
        <v>24168.3</v>
      </c>
      <c r="AN18" s="161">
        <f t="shared" si="23"/>
        <v>284065</v>
      </c>
      <c r="AO18" s="162">
        <v>33481</v>
      </c>
      <c r="AP18" s="151">
        <v>20302</v>
      </c>
      <c r="AQ18" s="151">
        <v>22947.1</v>
      </c>
      <c r="AR18" s="151">
        <v>22274.5</v>
      </c>
      <c r="AS18" s="151">
        <v>21553</v>
      </c>
      <c r="AT18" s="151">
        <v>28275.5</v>
      </c>
      <c r="AU18" s="151">
        <v>28766.7</v>
      </c>
      <c r="AV18" s="151">
        <v>20226.599999999999</v>
      </c>
      <c r="AW18" s="151">
        <v>27050.7</v>
      </c>
      <c r="AX18" s="151">
        <v>25211.200000000001</v>
      </c>
      <c r="AY18" s="151">
        <v>25581.599999999999</v>
      </c>
      <c r="AZ18" s="151">
        <v>25152.2</v>
      </c>
      <c r="BA18" s="161">
        <f t="shared" si="25"/>
        <v>300822.10000000003</v>
      </c>
      <c r="BB18" s="162">
        <v>33770.699999999997</v>
      </c>
      <c r="BC18" s="151">
        <v>21962.178039999999</v>
      </c>
      <c r="BD18" s="151">
        <v>22236.1</v>
      </c>
      <c r="BE18" s="151">
        <v>22572</v>
      </c>
      <c r="BF18" s="151">
        <v>19932.8</v>
      </c>
      <c r="BG18" s="151">
        <v>25244.7</v>
      </c>
      <c r="BH18" s="151">
        <v>32744.7</v>
      </c>
      <c r="BI18" s="151">
        <v>28246.2</v>
      </c>
      <c r="BJ18" s="151">
        <v>34664.5</v>
      </c>
      <c r="BK18" s="151">
        <v>34028</v>
      </c>
      <c r="BL18" s="151">
        <v>29378.5</v>
      </c>
      <c r="BM18" s="151">
        <v>34969.599999999999</v>
      </c>
      <c r="BN18" s="161">
        <f t="shared" si="27"/>
        <v>339749.97803999996</v>
      </c>
      <c r="BO18" s="162">
        <v>43622</v>
      </c>
      <c r="BP18" s="151">
        <v>25435</v>
      </c>
      <c r="BQ18" s="151">
        <v>28417.5</v>
      </c>
      <c r="BR18" s="151">
        <v>10787.2</v>
      </c>
      <c r="BS18" s="151">
        <v>997.3</v>
      </c>
      <c r="BT18" s="151">
        <v>12140.95</v>
      </c>
      <c r="BU18" s="151">
        <v>26818.7</v>
      </c>
      <c r="BV18" s="151">
        <v>29190.7</v>
      </c>
      <c r="BW18" s="151">
        <v>27408.3</v>
      </c>
      <c r="BX18" s="151">
        <v>28884.799999999999</v>
      </c>
      <c r="BY18" s="151">
        <v>35699.300000000003</v>
      </c>
      <c r="BZ18" s="151">
        <v>35099.1</v>
      </c>
      <c r="CA18" s="161">
        <f t="shared" si="29"/>
        <v>304500.84999999998</v>
      </c>
      <c r="CB18" s="162">
        <v>39093.5</v>
      </c>
      <c r="CC18" s="151">
        <v>34883.9</v>
      </c>
      <c r="CD18" s="151">
        <v>29303.8</v>
      </c>
      <c r="CE18" s="151">
        <v>31430.400000000001</v>
      </c>
      <c r="CF18" s="151">
        <v>28625</v>
      </c>
      <c r="CG18" s="151">
        <v>35760.446059999995</v>
      </c>
      <c r="CH18" s="151">
        <v>36573.942029999991</v>
      </c>
      <c r="CI18" s="151">
        <v>39529.46299</v>
      </c>
      <c r="CJ18" s="151">
        <v>41400.817990000003</v>
      </c>
      <c r="CK18" s="151">
        <v>39363.346989999998</v>
      </c>
      <c r="CL18" s="151">
        <v>37817.613060000003</v>
      </c>
      <c r="CM18" s="151">
        <v>37147.426939999998</v>
      </c>
      <c r="CN18" s="161">
        <f t="shared" si="31"/>
        <v>430929.65606000001</v>
      </c>
      <c r="CO18" s="162">
        <v>44103.593979999998</v>
      </c>
      <c r="CP18" s="151">
        <v>29413.696010000003</v>
      </c>
      <c r="CQ18" s="151">
        <v>27457.908010000003</v>
      </c>
      <c r="CR18" s="151">
        <v>34580.978020000002</v>
      </c>
      <c r="CS18" s="151">
        <v>33577.259989999991</v>
      </c>
      <c r="CT18" s="151">
        <v>40917.20796</v>
      </c>
      <c r="CU18" s="151">
        <v>40447.15698</v>
      </c>
      <c r="CV18" s="151">
        <v>38887.076979999998</v>
      </c>
      <c r="CW18" s="151">
        <v>39713.625019999992</v>
      </c>
      <c r="CX18" s="151">
        <v>41759.256029999997</v>
      </c>
      <c r="CY18" s="151">
        <v>41094.585019999999</v>
      </c>
      <c r="CZ18" s="151">
        <v>36366.797979999996</v>
      </c>
      <c r="DA18" s="161">
        <f t="shared" si="33"/>
        <v>448319.14197999996</v>
      </c>
      <c r="DB18" s="162">
        <v>39387.835019999999</v>
      </c>
      <c r="DC18" s="151">
        <v>28850.44499</v>
      </c>
      <c r="DD18" s="151">
        <v>29749.830010000001</v>
      </c>
      <c r="DE18" s="151">
        <v>32408.760969999999</v>
      </c>
      <c r="DF18" s="151">
        <v>29053.353999999999</v>
      </c>
      <c r="DG18" s="151">
        <v>35260.421000000002</v>
      </c>
      <c r="DH18" s="151">
        <v>35310.933010000001</v>
      </c>
      <c r="DI18" s="151">
        <v>36708.680959999991</v>
      </c>
      <c r="DJ18" s="151">
        <v>37663.384030000001</v>
      </c>
      <c r="DK18" s="151">
        <v>31413.944909999998</v>
      </c>
      <c r="DL18" s="151">
        <v>35822.279009999998</v>
      </c>
      <c r="DM18" s="151">
        <v>32099.872010000003</v>
      </c>
      <c r="DN18" s="161">
        <f t="shared" si="35"/>
        <v>403729.73992000002</v>
      </c>
      <c r="DO18" s="162">
        <v>39018.142030000003</v>
      </c>
      <c r="DP18" s="151">
        <v>30238.010010000002</v>
      </c>
      <c r="DQ18" s="151">
        <v>31810.356010000003</v>
      </c>
      <c r="DR18" s="151">
        <v>31987.22897</v>
      </c>
      <c r="DS18" s="151">
        <v>31328.594979999998</v>
      </c>
      <c r="DT18" s="151">
        <v>38604.44601</v>
      </c>
      <c r="DU18" s="151">
        <v>39955.633969999995</v>
      </c>
      <c r="DV18" s="151">
        <v>38524.188999999998</v>
      </c>
      <c r="DW18" s="151">
        <v>43397.934010000004</v>
      </c>
      <c r="DX18" s="151">
        <v>38411.398009999997</v>
      </c>
      <c r="DY18" s="151">
        <v>41142.714979999997</v>
      </c>
      <c r="DZ18" s="151">
        <v>39731.247009999999</v>
      </c>
      <c r="EA18" s="161">
        <f t="shared" si="36"/>
        <v>444149.89499</v>
      </c>
      <c r="EB18" s="162">
        <v>48195.496979999996</v>
      </c>
      <c r="EC18" s="151">
        <v>36687.047989999992</v>
      </c>
      <c r="ED18" s="151">
        <v>34542.021079999999</v>
      </c>
      <c r="EE18" s="151">
        <v>32893.370929999997</v>
      </c>
      <c r="EF18" s="151">
        <v>34824.823040000003</v>
      </c>
      <c r="EG18" s="151">
        <v>36177.564980000003</v>
      </c>
      <c r="EH18" s="151">
        <v>39458.923980000007</v>
      </c>
      <c r="EI18" s="151">
        <v>41141.506020000001</v>
      </c>
      <c r="EJ18" s="151">
        <v>44471.267959999997</v>
      </c>
      <c r="EK18" s="151">
        <v>43808.203980000006</v>
      </c>
      <c r="EL18" s="151">
        <v>41999.676009999996</v>
      </c>
      <c r="EM18" s="151">
        <v>40564.476000000002</v>
      </c>
      <c r="EN18" s="161">
        <f t="shared" si="37"/>
        <v>474764.37894999998</v>
      </c>
      <c r="EO18" s="162">
        <v>52568.501969999998</v>
      </c>
      <c r="EP18" s="151">
        <v>37971.660990000004</v>
      </c>
      <c r="EQ18" s="151">
        <v>38247.442999999999</v>
      </c>
      <c r="ER18" s="151">
        <v>39879.866030000005</v>
      </c>
      <c r="ES18" s="151">
        <v>38502.180970000009</v>
      </c>
      <c r="ET18" s="151">
        <v>41314.351000000002</v>
      </c>
      <c r="EU18" s="151">
        <v>45686.022019999997</v>
      </c>
      <c r="EV18" s="950">
        <v>47241.24699</v>
      </c>
      <c r="FA18" s="161">
        <f t="shared" si="38"/>
        <v>341411.27296999999</v>
      </c>
      <c r="FC18" s="149">
        <f t="shared" si="17"/>
        <v>14.826246192919502</v>
      </c>
      <c r="FD18" s="149">
        <f>IFERROR(((FF18/FE18)-1)*100,"")</f>
        <v>12.335622807333447</v>
      </c>
      <c r="FE18" s="148">
        <f t="shared" si="49"/>
        <v>303920.755</v>
      </c>
      <c r="FF18" s="148">
        <f t="shared" si="40"/>
        <v>341411.27296999999</v>
      </c>
      <c r="FG18" s="127"/>
    </row>
    <row r="19" spans="1:163" ht="15" customHeight="1" x14ac:dyDescent="0.25">
      <c r="A19" s="398" t="s">
        <v>203</v>
      </c>
      <c r="B19" s="162">
        <v>765.35005999999998</v>
      </c>
      <c r="C19" s="151">
        <v>590.9</v>
      </c>
      <c r="D19" s="151">
        <v>735</v>
      </c>
      <c r="E19" s="151">
        <v>3626</v>
      </c>
      <c r="F19" s="151">
        <v>1273</v>
      </c>
      <c r="G19" s="151">
        <v>1351</v>
      </c>
      <c r="H19" s="151">
        <v>1402</v>
      </c>
      <c r="I19" s="151">
        <v>1410</v>
      </c>
      <c r="J19" s="151">
        <v>1388.5</v>
      </c>
      <c r="K19" s="151">
        <v>1492.5</v>
      </c>
      <c r="L19" s="151">
        <v>1330.2</v>
      </c>
      <c r="M19" s="151">
        <v>1564.8999999999999</v>
      </c>
      <c r="N19" s="161">
        <f t="shared" si="19"/>
        <v>16929.350060000001</v>
      </c>
      <c r="O19" s="162">
        <v>761.8</v>
      </c>
      <c r="P19" s="151">
        <v>790.3</v>
      </c>
      <c r="Q19" s="151">
        <v>739.5</v>
      </c>
      <c r="R19" s="151">
        <v>3957.7</v>
      </c>
      <c r="S19" s="151">
        <v>1609.6</v>
      </c>
      <c r="T19" s="151">
        <v>1401.5</v>
      </c>
      <c r="U19" s="151">
        <v>1548.7</v>
      </c>
      <c r="V19" s="151">
        <v>1620</v>
      </c>
      <c r="W19" s="151">
        <v>1561.9</v>
      </c>
      <c r="X19" s="151">
        <v>1548.5</v>
      </c>
      <c r="Y19" s="151">
        <v>1477.8999999999999</v>
      </c>
      <c r="Z19" s="151">
        <v>1516.3</v>
      </c>
      <c r="AA19" s="161">
        <f t="shared" si="21"/>
        <v>18533.7</v>
      </c>
      <c r="AB19" s="162">
        <v>759.2</v>
      </c>
      <c r="AC19" s="151">
        <v>532.29999999999995</v>
      </c>
      <c r="AD19" s="151">
        <v>650.4</v>
      </c>
      <c r="AE19" s="151">
        <v>3908.1</v>
      </c>
      <c r="AF19" s="151">
        <v>1624.5000000000002</v>
      </c>
      <c r="AG19" s="151">
        <v>1657.6000000000001</v>
      </c>
      <c r="AH19" s="151">
        <v>1848.1000000000001</v>
      </c>
      <c r="AI19" s="151">
        <v>1656.4999999999998</v>
      </c>
      <c r="AJ19" s="151">
        <v>1763.8999999999999</v>
      </c>
      <c r="AK19" s="151">
        <v>1696.1000000000001</v>
      </c>
      <c r="AL19" s="151">
        <v>1494.6999999999998</v>
      </c>
      <c r="AM19" s="151">
        <v>1724.1000000000001</v>
      </c>
      <c r="AN19" s="161">
        <f t="shared" si="23"/>
        <v>19315.5</v>
      </c>
      <c r="AO19" s="162">
        <v>919</v>
      </c>
      <c r="AP19" s="151">
        <v>744</v>
      </c>
      <c r="AQ19" s="151">
        <v>842.4</v>
      </c>
      <c r="AR19" s="151">
        <v>5502.5</v>
      </c>
      <c r="AS19" s="151">
        <v>1969.5</v>
      </c>
      <c r="AT19" s="151">
        <v>1805</v>
      </c>
      <c r="AU19" s="151">
        <v>1856.5</v>
      </c>
      <c r="AV19" s="151">
        <v>1804.9</v>
      </c>
      <c r="AW19" s="151">
        <v>1719.8000000000002</v>
      </c>
      <c r="AX19" s="151">
        <v>2003.5</v>
      </c>
      <c r="AY19" s="151">
        <v>1893.6</v>
      </c>
      <c r="AZ19" s="151">
        <v>1755</v>
      </c>
      <c r="BA19" s="161">
        <f t="shared" si="25"/>
        <v>22815.699999999997</v>
      </c>
      <c r="BB19" s="162">
        <v>1023.1000000000001</v>
      </c>
      <c r="BC19" s="151">
        <v>1051.25692</v>
      </c>
      <c r="BD19" s="151">
        <v>797.2</v>
      </c>
      <c r="BE19" s="151">
        <v>7990</v>
      </c>
      <c r="BF19" s="151">
        <v>2179.3999999999996</v>
      </c>
      <c r="BG19" s="151">
        <v>1814.6999999999998</v>
      </c>
      <c r="BH19" s="151">
        <v>2061.1</v>
      </c>
      <c r="BI19" s="151">
        <v>2046.7</v>
      </c>
      <c r="BJ19" s="151">
        <v>2108.8999999999996</v>
      </c>
      <c r="BK19" s="151">
        <v>2292.9000000000005</v>
      </c>
      <c r="BL19" s="151">
        <v>1997.1000000000001</v>
      </c>
      <c r="BM19" s="151">
        <v>2260.8000000000002</v>
      </c>
      <c r="BN19" s="161">
        <f t="shared" si="27"/>
        <v>27623.156919999998</v>
      </c>
      <c r="BO19" s="162">
        <v>1146.9000000000001</v>
      </c>
      <c r="BP19" s="151">
        <v>1033</v>
      </c>
      <c r="BQ19" s="151">
        <v>492.9</v>
      </c>
      <c r="BR19" s="151">
        <v>2700.3</v>
      </c>
      <c r="BS19" s="151">
        <v>1633.5</v>
      </c>
      <c r="BT19" s="151">
        <v>1926.9</v>
      </c>
      <c r="BU19" s="151">
        <v>2588.8000000000002</v>
      </c>
      <c r="BV19" s="151">
        <v>2740</v>
      </c>
      <c r="BW19" s="151">
        <v>2687.6</v>
      </c>
      <c r="BX19" s="151">
        <v>2614.7999999999997</v>
      </c>
      <c r="BY19" s="151">
        <v>2943.4</v>
      </c>
      <c r="BZ19" s="151">
        <v>3049.8000000000006</v>
      </c>
      <c r="CA19" s="161">
        <f t="shared" si="29"/>
        <v>25557.899999999998</v>
      </c>
      <c r="CB19" s="162">
        <v>812.77800000000002</v>
      </c>
      <c r="CC19" s="151">
        <v>870.9</v>
      </c>
      <c r="CD19" s="151">
        <v>1123.2</v>
      </c>
      <c r="CE19" s="151">
        <v>5031</v>
      </c>
      <c r="CF19" s="151">
        <v>3040.4</v>
      </c>
      <c r="CG19" s="151">
        <v>3653.5572700000002</v>
      </c>
      <c r="CH19" s="151">
        <v>3443.2081800000001</v>
      </c>
      <c r="CI19" s="151">
        <v>3516.2295599999993</v>
      </c>
      <c r="CJ19" s="151">
        <v>3696.7399500000001</v>
      </c>
      <c r="CK19" s="151">
        <v>3501.4167999999995</v>
      </c>
      <c r="CL19" s="151">
        <v>3776.8686299999999</v>
      </c>
      <c r="CM19" s="151">
        <v>3769.9414300000003</v>
      </c>
      <c r="CN19" s="161">
        <f t="shared" si="31"/>
        <v>36236.239820000003</v>
      </c>
      <c r="CO19" s="162">
        <v>1150.28043</v>
      </c>
      <c r="CP19" s="151">
        <v>1128.32763</v>
      </c>
      <c r="CQ19" s="151">
        <v>1342.9500499999997</v>
      </c>
      <c r="CR19" s="151">
        <v>5874.9895399999996</v>
      </c>
      <c r="CS19" s="151">
        <v>3474.9734900000003</v>
      </c>
      <c r="CT19" s="151">
        <v>3354.5173899999995</v>
      </c>
      <c r="CU19" s="151">
        <v>3741.4792699999994</v>
      </c>
      <c r="CV19" s="151">
        <v>4118.6380400000007</v>
      </c>
      <c r="CW19" s="151">
        <v>4433.8217199999999</v>
      </c>
      <c r="CX19" s="151">
        <v>3482.5063300000002</v>
      </c>
      <c r="CY19" s="151">
        <v>3400.3763799999997</v>
      </c>
      <c r="CZ19" s="151">
        <v>3809.9865199999995</v>
      </c>
      <c r="DA19" s="161">
        <f t="shared" si="33"/>
        <v>39312.846789999996</v>
      </c>
      <c r="DB19" s="162">
        <v>1682.0854599999998</v>
      </c>
      <c r="DC19" s="151">
        <v>1349.96217</v>
      </c>
      <c r="DD19" s="151">
        <v>1687.1183199999998</v>
      </c>
      <c r="DE19" s="151">
        <v>6175.9463799999994</v>
      </c>
      <c r="DF19" s="151">
        <v>4996.5085499999996</v>
      </c>
      <c r="DG19" s="151">
        <v>4304.1918000000005</v>
      </c>
      <c r="DH19" s="151">
        <v>4825.2011600000005</v>
      </c>
      <c r="DI19" s="151">
        <v>5044.4706400000005</v>
      </c>
      <c r="DJ19" s="151">
        <v>5066.7929099999992</v>
      </c>
      <c r="DK19" s="151">
        <v>4444.1536799999994</v>
      </c>
      <c r="DL19" s="151">
        <v>4674.7959999999994</v>
      </c>
      <c r="DM19" s="151">
        <v>5490.1607300000005</v>
      </c>
      <c r="DN19" s="161">
        <f t="shared" si="35"/>
        <v>49741.387799999997</v>
      </c>
      <c r="DO19" s="162">
        <v>2506.6255200000005</v>
      </c>
      <c r="DP19" s="151">
        <v>1651.6314400000001</v>
      </c>
      <c r="DQ19" s="151">
        <v>1636.2397599999999</v>
      </c>
      <c r="DR19" s="151">
        <v>5611.4534299999996</v>
      </c>
      <c r="DS19" s="151">
        <v>3647.2231399999996</v>
      </c>
      <c r="DT19" s="151">
        <v>3699.0807999999997</v>
      </c>
      <c r="DU19" s="151">
        <v>4362.5319500000005</v>
      </c>
      <c r="DV19" s="151">
        <v>4393.0724600000003</v>
      </c>
      <c r="DW19" s="151">
        <v>4146.6020699999999</v>
      </c>
      <c r="DX19" s="151">
        <v>4693.2622800000008</v>
      </c>
      <c r="DY19" s="151">
        <v>5258.511120000001</v>
      </c>
      <c r="DZ19" s="151">
        <v>5033.4547700000012</v>
      </c>
      <c r="EA19" s="161">
        <f t="shared" si="36"/>
        <v>46639.688740000012</v>
      </c>
      <c r="EB19" s="162">
        <v>2470.3773999999999</v>
      </c>
      <c r="EC19" s="151">
        <v>49941.136949999993</v>
      </c>
      <c r="ED19" s="151">
        <v>4684.1006199999993</v>
      </c>
      <c r="EE19" s="151">
        <v>9865.2591599999996</v>
      </c>
      <c r="EF19" s="151">
        <v>6906.4450199999992</v>
      </c>
      <c r="EG19" s="151">
        <v>4411.5171600000003</v>
      </c>
      <c r="EH19" s="151">
        <v>4760.4440199999999</v>
      </c>
      <c r="EI19" s="151">
        <v>5538.6882300000007</v>
      </c>
      <c r="EJ19" s="151">
        <v>5222.9891700000007</v>
      </c>
      <c r="EK19" s="151">
        <v>5587.0712200000007</v>
      </c>
      <c r="EL19" s="151">
        <v>5804.862079999999</v>
      </c>
      <c r="EM19" s="151">
        <v>5635.9155599999995</v>
      </c>
      <c r="EN19" s="161">
        <f t="shared" si="37"/>
        <v>110828.80658999996</v>
      </c>
      <c r="EO19" s="162">
        <v>2160.8796600000001</v>
      </c>
      <c r="EP19" s="151">
        <v>2670.5179800000001</v>
      </c>
      <c r="EQ19" s="151">
        <v>2363.1799800000003</v>
      </c>
      <c r="ER19" s="151">
        <v>8038.9840899999999</v>
      </c>
      <c r="ES19" s="151">
        <v>4935.3838100000003</v>
      </c>
      <c r="ET19" s="151">
        <v>5124.8363499999996</v>
      </c>
      <c r="EU19" s="151">
        <v>5812.5305999999991</v>
      </c>
      <c r="EV19" s="950">
        <v>5398.38274</v>
      </c>
      <c r="FA19" s="161">
        <f t="shared" si="38"/>
        <v>36504.695209999998</v>
      </c>
      <c r="FC19" s="149">
        <f t="shared" si="17"/>
        <v>-2.5331898849269674</v>
      </c>
      <c r="FD19" s="149">
        <f t="shared" si="39"/>
        <v>-58.788064567914709</v>
      </c>
      <c r="FE19" s="148">
        <f>SUMIFS($B19:$FA19,$B$5:$FA$5,"&gt;="&amp;DATE(YEAR($FC$5)-1,1,1),$B$5:$FA$5,"&lt;="&amp;DATE(YEAR($FC$5)-1,MONTH($FC$5),1))</f>
        <v>88577.968559999979</v>
      </c>
      <c r="FF19" s="148">
        <f>SUMIFS($B19:$FA19,$B$5:$FA$5,"&gt;="&amp;DATE(YEAR($FC$5),1,1),$B$5:$FA$5,"&lt;="&amp;$FC$5)</f>
        <v>36504.695209999998</v>
      </c>
      <c r="FG19" s="127"/>
    </row>
    <row r="20" spans="1:163" ht="15" customHeight="1" x14ac:dyDescent="0.25">
      <c r="A20" s="161"/>
      <c r="B20" s="162"/>
      <c r="N20" s="161"/>
      <c r="O20" s="162"/>
      <c r="AA20" s="161"/>
      <c r="AB20" s="162"/>
      <c r="AN20" s="161"/>
      <c r="AO20" s="162"/>
      <c r="BA20" s="161"/>
      <c r="BB20" s="162"/>
      <c r="BN20" s="161"/>
      <c r="BO20" s="162"/>
      <c r="CA20" s="161"/>
      <c r="CB20" s="162"/>
      <c r="CN20" s="161"/>
      <c r="CO20" s="162"/>
      <c r="DA20" s="161"/>
      <c r="DB20" s="162"/>
      <c r="DN20" s="161"/>
      <c r="DO20" s="162"/>
      <c r="EA20" s="161"/>
      <c r="EB20" s="162"/>
      <c r="EN20" s="161"/>
      <c r="EO20" s="162"/>
      <c r="FA20" s="161"/>
      <c r="FC20" s="149" t="str">
        <f t="shared" si="17"/>
        <v/>
      </c>
      <c r="FD20" s="149"/>
      <c r="FE20" s="148"/>
      <c r="FF20" s="148"/>
      <c r="FG20" s="127"/>
    </row>
    <row r="21" spans="1:163" s="147" customFormat="1" ht="15" customHeight="1" x14ac:dyDescent="0.25">
      <c r="A21" s="234" t="s">
        <v>198</v>
      </c>
      <c r="B21" s="272">
        <v>777.24808000000007</v>
      </c>
      <c r="C21" s="147">
        <v>648.20000000000005</v>
      </c>
      <c r="D21" s="147">
        <v>632</v>
      </c>
      <c r="E21" s="147">
        <v>607</v>
      </c>
      <c r="F21" s="147">
        <v>644</v>
      </c>
      <c r="G21" s="147">
        <v>544</v>
      </c>
      <c r="H21" s="147">
        <v>644</v>
      </c>
      <c r="I21" s="147">
        <v>687.5</v>
      </c>
      <c r="J21" s="147">
        <v>1001</v>
      </c>
      <c r="K21" s="147">
        <v>950.7</v>
      </c>
      <c r="L21" s="147">
        <v>1195.3</v>
      </c>
      <c r="M21" s="147">
        <v>6364</v>
      </c>
      <c r="N21" s="234">
        <f>SUM(B21:M21)</f>
        <v>14694.94808</v>
      </c>
      <c r="O21" s="272">
        <v>369.2</v>
      </c>
      <c r="P21" s="147">
        <v>576</v>
      </c>
      <c r="Q21" s="147">
        <v>432.7</v>
      </c>
      <c r="R21" s="147">
        <v>556.6</v>
      </c>
      <c r="S21" s="147">
        <v>645</v>
      </c>
      <c r="T21" s="147">
        <v>470</v>
      </c>
      <c r="U21" s="147">
        <v>317.7</v>
      </c>
      <c r="V21" s="147">
        <v>661.4</v>
      </c>
      <c r="W21" s="147">
        <v>525.40000000000009</v>
      </c>
      <c r="X21" s="147">
        <v>356.90000000000003</v>
      </c>
      <c r="Y21" s="147">
        <v>373.2</v>
      </c>
      <c r="Z21" s="147">
        <v>266.7</v>
      </c>
      <c r="AA21" s="234">
        <f>SUM(O21:Z21)</f>
        <v>5550.7999999999993</v>
      </c>
      <c r="AB21" s="272">
        <v>291.89999999999998</v>
      </c>
      <c r="AC21" s="147">
        <v>185.3</v>
      </c>
      <c r="AD21" s="147">
        <v>247</v>
      </c>
      <c r="AE21" s="147">
        <v>286.8</v>
      </c>
      <c r="AF21" s="147">
        <v>363.29999999999995</v>
      </c>
      <c r="AG21" s="147">
        <v>230.7</v>
      </c>
      <c r="AH21" s="147">
        <v>318</v>
      </c>
      <c r="AI21" s="147">
        <v>350.8</v>
      </c>
      <c r="AJ21" s="147">
        <v>369.4</v>
      </c>
      <c r="AK21" s="147">
        <v>711.6</v>
      </c>
      <c r="AL21" s="147">
        <v>510.90000000000003</v>
      </c>
      <c r="AM21" s="147">
        <v>470.90000000000003</v>
      </c>
      <c r="AN21" s="234">
        <f>SUM(AB21:AM21)</f>
        <v>4336.6000000000004</v>
      </c>
      <c r="AO21" s="272">
        <v>248</v>
      </c>
      <c r="AP21" s="147">
        <v>410</v>
      </c>
      <c r="AQ21" s="147">
        <v>323.5</v>
      </c>
      <c r="AR21" s="147">
        <v>391</v>
      </c>
      <c r="AS21" s="147">
        <v>960.1</v>
      </c>
      <c r="AT21" s="147">
        <v>597.79999999999995</v>
      </c>
      <c r="AU21" s="147">
        <v>1677.1</v>
      </c>
      <c r="AV21" s="147">
        <v>473.8</v>
      </c>
      <c r="AW21" s="147">
        <v>425.6</v>
      </c>
      <c r="AX21" s="147">
        <v>719</v>
      </c>
      <c r="AY21" s="147">
        <v>817.4</v>
      </c>
      <c r="AZ21" s="147">
        <v>1438.7</v>
      </c>
      <c r="BA21" s="234">
        <f>SUM(AO21:AZ21)</f>
        <v>8482</v>
      </c>
      <c r="BB21" s="272">
        <v>587.29999999999995</v>
      </c>
      <c r="BC21" s="147">
        <v>1033.64652</v>
      </c>
      <c r="BD21" s="147">
        <v>372.8</v>
      </c>
      <c r="BE21" s="147">
        <v>458</v>
      </c>
      <c r="BF21" s="147">
        <v>371.5</v>
      </c>
      <c r="BG21" s="147">
        <v>1214.5</v>
      </c>
      <c r="BH21" s="147">
        <v>1687.8</v>
      </c>
      <c r="BI21" s="147">
        <v>1377.3999999999999</v>
      </c>
      <c r="BJ21" s="147">
        <v>1685.1999999999998</v>
      </c>
      <c r="BK21" s="147">
        <v>1933</v>
      </c>
      <c r="BL21" s="147">
        <v>1147.5</v>
      </c>
      <c r="BM21" s="147">
        <v>527.6</v>
      </c>
      <c r="BN21" s="234">
        <f t="shared" si="27"/>
        <v>12396.246519999999</v>
      </c>
      <c r="BO21" s="272">
        <v>812.8</v>
      </c>
      <c r="BP21" s="147">
        <v>471.8</v>
      </c>
      <c r="BQ21" s="147">
        <v>294.39999999999998</v>
      </c>
      <c r="BR21" s="147">
        <v>46.4</v>
      </c>
      <c r="BS21" s="147">
        <v>30.1</v>
      </c>
      <c r="BT21" s="147">
        <v>37.6</v>
      </c>
      <c r="BU21" s="147">
        <v>714.8</v>
      </c>
      <c r="BV21" s="147">
        <v>467</v>
      </c>
      <c r="BW21" s="147">
        <v>808</v>
      </c>
      <c r="BX21" s="147">
        <v>248.09999999999997</v>
      </c>
      <c r="BY21" s="147">
        <v>3213.2</v>
      </c>
      <c r="BZ21" s="147">
        <v>348.2</v>
      </c>
      <c r="CA21" s="234">
        <f t="shared" si="29"/>
        <v>7492.3999999999987</v>
      </c>
      <c r="CB21" s="272">
        <v>518</v>
      </c>
      <c r="CC21" s="147">
        <v>202.5</v>
      </c>
      <c r="CD21" s="147">
        <v>509.5</v>
      </c>
      <c r="CE21" s="147">
        <v>664.86099999999999</v>
      </c>
      <c r="CF21" s="147">
        <v>471.5</v>
      </c>
      <c r="CG21" s="147">
        <v>542.66205000000002</v>
      </c>
      <c r="CH21" s="147">
        <v>198.99938</v>
      </c>
      <c r="CI21" s="147">
        <v>218.54244999999997</v>
      </c>
      <c r="CJ21" s="147">
        <v>317.93610000000001</v>
      </c>
      <c r="CK21" s="147">
        <v>272.91703999999999</v>
      </c>
      <c r="CL21" s="147">
        <v>344.33011999999997</v>
      </c>
      <c r="CM21" s="147">
        <v>642.97349000000008</v>
      </c>
      <c r="CN21" s="234">
        <f t="shared" si="31"/>
        <v>4904.72163</v>
      </c>
      <c r="CO21" s="272">
        <v>451.01887999999997</v>
      </c>
      <c r="CP21" s="147">
        <v>407.10617999999999</v>
      </c>
      <c r="CQ21" s="147">
        <v>490.16106999999994</v>
      </c>
      <c r="CR21" s="147">
        <v>642.36995999999999</v>
      </c>
      <c r="CS21" s="147">
        <v>375.61761999999999</v>
      </c>
      <c r="CT21" s="147">
        <v>414.97298000000001</v>
      </c>
      <c r="CU21" s="147">
        <v>1195.4757999999999</v>
      </c>
      <c r="CV21" s="147">
        <v>249.81706999999997</v>
      </c>
      <c r="CW21" s="147">
        <v>431.37043</v>
      </c>
      <c r="CX21" s="147">
        <v>437.72773000000001</v>
      </c>
      <c r="CY21" s="147">
        <v>587.32528000000002</v>
      </c>
      <c r="CZ21" s="147">
        <v>1541.4356599999999</v>
      </c>
      <c r="DA21" s="234">
        <f>SUM(CO21:CZ21)</f>
        <v>7224.3986599999998</v>
      </c>
      <c r="DB21" s="272">
        <v>388.03199999999998</v>
      </c>
      <c r="DC21" s="147">
        <v>458.72288000000009</v>
      </c>
      <c r="DD21" s="147">
        <v>587.05875999999989</v>
      </c>
      <c r="DE21" s="147">
        <v>390.00981999999999</v>
      </c>
      <c r="DF21" s="147">
        <v>612.66694000000007</v>
      </c>
      <c r="DG21" s="147">
        <v>676.52098000000001</v>
      </c>
      <c r="DH21" s="147">
        <v>353.07218999999998</v>
      </c>
      <c r="DI21" s="147">
        <v>409.20112999999998</v>
      </c>
      <c r="DJ21" s="147">
        <v>395.32800000000003</v>
      </c>
      <c r="DK21" s="147">
        <v>285.20708000000002</v>
      </c>
      <c r="DL21" s="147">
        <v>479.29917999999998</v>
      </c>
      <c r="DM21" s="147">
        <v>351.94544000000008</v>
      </c>
      <c r="DN21" s="234">
        <f t="shared" si="35"/>
        <v>5387.0644000000002</v>
      </c>
      <c r="DO21" s="272">
        <v>307.29367000000002</v>
      </c>
      <c r="DP21" s="147">
        <v>444.43711999999999</v>
      </c>
      <c r="DQ21" s="147">
        <v>342.75652000000002</v>
      </c>
      <c r="DR21" s="147">
        <v>497.73572999999999</v>
      </c>
      <c r="DS21" s="147">
        <v>879.64615000000003</v>
      </c>
      <c r="DT21" s="147">
        <v>4753.8752100000002</v>
      </c>
      <c r="DU21" s="147">
        <v>267.83032000000003</v>
      </c>
      <c r="DV21" s="147">
        <v>1338.3387399999999</v>
      </c>
      <c r="DW21" s="147">
        <v>240.56866000000002</v>
      </c>
      <c r="DX21" s="147">
        <v>382.09010999999998</v>
      </c>
      <c r="DY21" s="147">
        <v>1364.7721399999998</v>
      </c>
      <c r="DZ21" s="147">
        <v>1549.2001300000002</v>
      </c>
      <c r="EA21" s="234">
        <f t="shared" si="36"/>
        <v>12368.5445</v>
      </c>
      <c r="EB21" s="272">
        <v>1786.3192299999998</v>
      </c>
      <c r="EC21" s="147">
        <v>391.32196999999996</v>
      </c>
      <c r="ED21" s="147">
        <v>957.88302999999996</v>
      </c>
      <c r="EE21" s="147">
        <v>519.15825999999993</v>
      </c>
      <c r="EF21" s="147">
        <v>299.03196000000003</v>
      </c>
      <c r="EG21" s="147">
        <v>464.49533000000002</v>
      </c>
      <c r="EH21" s="147">
        <v>1110.0825300000001</v>
      </c>
      <c r="EI21" s="147">
        <v>530.33427000000006</v>
      </c>
      <c r="EJ21" s="147">
        <v>519.12090999999998</v>
      </c>
      <c r="EK21" s="147">
        <v>2697.9010500000004</v>
      </c>
      <c r="EL21" s="147">
        <v>571.09460999999999</v>
      </c>
      <c r="EM21" s="147">
        <v>1285.24425</v>
      </c>
      <c r="EN21" s="234">
        <f>SUM(EB21:EM21)</f>
        <v>11131.987400000002</v>
      </c>
      <c r="EO21" s="272">
        <v>2721.6289699999998</v>
      </c>
      <c r="EP21" s="147">
        <v>764.25729000000001</v>
      </c>
      <c r="EQ21" s="147">
        <v>837.03966000000003</v>
      </c>
      <c r="ER21" s="147">
        <v>987.81871999999998</v>
      </c>
      <c r="ES21" s="147">
        <v>660.20312999999987</v>
      </c>
      <c r="ET21" s="147">
        <v>1127.4187400000001</v>
      </c>
      <c r="EU21" s="147">
        <v>1207.49441</v>
      </c>
      <c r="EV21" s="951">
        <v>1619.8757499999999</v>
      </c>
      <c r="FA21" s="234">
        <f>SUM(EO21:EZ21)</f>
        <v>9925.7366699999984</v>
      </c>
      <c r="FB21" s="111"/>
      <c r="FC21" s="146">
        <f t="shared" si="17"/>
        <v>205.44429082435119</v>
      </c>
      <c r="FD21" s="146">
        <f t="shared" si="39"/>
        <v>63.828163675999264</v>
      </c>
      <c r="FE21" s="143">
        <f>SUMIFS($B21:$FA21,$B$5:$FA$5,"&gt;="&amp;DATE(YEAR($FC$5)-1,1,1),$B$5:$FA$5,"&lt;="&amp;DATE(YEAR($FC$5)-1,MONTH($FC$5),1))</f>
        <v>6058.626580000001</v>
      </c>
      <c r="FF21" s="143">
        <f>SUMIFS($B21:$FA21,$B$5:$FA$5,"&gt;="&amp;DATE(YEAR($FC$5),1,1),$B$5:$FA$5,"&lt;="&amp;$FC$5)</f>
        <v>9925.7366699999984</v>
      </c>
      <c r="FG21" s="142"/>
    </row>
    <row r="22" spans="1:163" ht="15" customHeight="1" x14ac:dyDescent="0.25">
      <c r="A22" s="248"/>
      <c r="B22" s="392"/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248"/>
      <c r="O22" s="392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  <c r="AA22" s="248"/>
      <c r="AB22" s="392"/>
      <c r="AC22" s="393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248"/>
      <c r="AO22" s="392"/>
      <c r="AP22" s="393"/>
      <c r="AQ22" s="393"/>
      <c r="AR22" s="393"/>
      <c r="AS22" s="393"/>
      <c r="AT22" s="393"/>
      <c r="AU22" s="393"/>
      <c r="AV22" s="393"/>
      <c r="AW22" s="393"/>
      <c r="AX22" s="393"/>
      <c r="AY22" s="393"/>
      <c r="AZ22" s="393"/>
      <c r="BA22" s="248"/>
      <c r="BB22" s="392"/>
      <c r="BC22" s="393"/>
      <c r="BD22" s="393"/>
      <c r="BE22" s="393"/>
      <c r="BF22" s="393"/>
      <c r="BG22" s="393"/>
      <c r="BH22" s="393"/>
      <c r="BI22" s="393"/>
      <c r="BJ22" s="393"/>
      <c r="BK22" s="393"/>
      <c r="BL22" s="393"/>
      <c r="BM22" s="393"/>
      <c r="BN22" s="248"/>
      <c r="BO22" s="392"/>
      <c r="BP22" s="393"/>
      <c r="BQ22" s="393"/>
      <c r="BR22" s="393"/>
      <c r="BS22" s="393"/>
      <c r="BT22" s="393"/>
      <c r="BU22" s="393"/>
      <c r="BV22" s="393"/>
      <c r="BW22" s="393"/>
      <c r="BX22" s="393"/>
      <c r="BY22" s="393"/>
      <c r="BZ22" s="393"/>
      <c r="CA22" s="248"/>
      <c r="CB22" s="392"/>
      <c r="CC22" s="393"/>
      <c r="CD22" s="393"/>
      <c r="CE22" s="393"/>
      <c r="CF22" s="393"/>
      <c r="CG22" s="393"/>
      <c r="CH22" s="393"/>
      <c r="CI22" s="393"/>
      <c r="CJ22" s="393"/>
      <c r="CK22" s="393"/>
      <c r="CL22" s="393"/>
      <c r="CM22" s="393"/>
      <c r="CN22" s="248"/>
      <c r="CO22" s="392"/>
      <c r="CP22" s="393"/>
      <c r="CQ22" s="393"/>
      <c r="CR22" s="393"/>
      <c r="CS22" s="393"/>
      <c r="CT22" s="393"/>
      <c r="CU22" s="393"/>
      <c r="CV22" s="393"/>
      <c r="CW22" s="393"/>
      <c r="CX22" s="393"/>
      <c r="CY22" s="393"/>
      <c r="CZ22" s="393"/>
      <c r="DA22" s="248"/>
      <c r="DB22" s="392"/>
      <c r="DC22" s="393"/>
      <c r="DD22" s="393"/>
      <c r="DE22" s="393"/>
      <c r="DF22" s="393"/>
      <c r="DG22" s="393"/>
      <c r="DH22" s="393"/>
      <c r="DI22" s="393"/>
      <c r="DJ22" s="393"/>
      <c r="DK22" s="393"/>
      <c r="DL22" s="393"/>
      <c r="DM22" s="393"/>
      <c r="DN22" s="248"/>
      <c r="DO22" s="392"/>
      <c r="DP22" s="393"/>
      <c r="DQ22" s="393"/>
      <c r="DR22" s="393"/>
      <c r="DS22" s="393"/>
      <c r="DT22" s="393"/>
      <c r="DU22" s="393"/>
      <c r="DV22" s="393"/>
      <c r="DW22" s="393"/>
      <c r="DX22" s="393"/>
      <c r="DY22" s="393"/>
      <c r="DZ22" s="393"/>
      <c r="EA22" s="248"/>
      <c r="EB22" s="392"/>
      <c r="EC22" s="393"/>
      <c r="ED22" s="393"/>
      <c r="EE22" s="393"/>
      <c r="EF22" s="393"/>
      <c r="EG22" s="393"/>
      <c r="EH22" s="393"/>
      <c r="EI22" s="393"/>
      <c r="EJ22" s="393"/>
      <c r="EK22" s="393"/>
      <c r="EL22" s="393"/>
      <c r="EM22" s="393"/>
      <c r="EN22" s="248"/>
      <c r="EO22" s="392"/>
      <c r="EP22" s="393"/>
      <c r="EQ22" s="393"/>
      <c r="ER22" s="393"/>
      <c r="ES22" s="393"/>
      <c r="ET22" s="393"/>
      <c r="EU22" s="393"/>
      <c r="EV22" s="975"/>
      <c r="EW22" s="393"/>
      <c r="EX22" s="393"/>
      <c r="EY22" s="393"/>
      <c r="EZ22" s="393"/>
      <c r="FA22" s="248"/>
      <c r="FC22" s="156"/>
      <c r="FD22" s="173"/>
      <c r="FE22" s="240"/>
      <c r="FF22" s="240"/>
      <c r="FG22" s="236"/>
    </row>
    <row r="23" spans="1:163" ht="15" customHeight="1" x14ac:dyDescent="0.25">
      <c r="A23" s="151" t="s">
        <v>199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  <c r="AU23" s="175"/>
      <c r="AV23" s="175"/>
      <c r="AW23" s="175"/>
      <c r="AX23" s="175"/>
      <c r="AY23" s="175"/>
      <c r="AZ23" s="175"/>
      <c r="BA23" s="175"/>
      <c r="BB23" s="175"/>
      <c r="BC23" s="175"/>
      <c r="BD23" s="175"/>
      <c r="BE23" s="175"/>
      <c r="BF23" s="175"/>
      <c r="BG23" s="175"/>
      <c r="BH23" s="175"/>
      <c r="BI23" s="175"/>
      <c r="BJ23" s="175"/>
      <c r="BK23" s="175"/>
      <c r="BL23" s="175"/>
      <c r="BM23" s="175"/>
      <c r="BN23" s="175"/>
      <c r="BO23" s="175"/>
      <c r="BP23" s="175"/>
      <c r="BQ23" s="175"/>
      <c r="BR23" s="175"/>
      <c r="BS23" s="175"/>
      <c r="BT23" s="175"/>
      <c r="BU23" s="175"/>
      <c r="BV23" s="175"/>
    </row>
    <row r="25" spans="1:163" ht="15" customHeight="1" x14ac:dyDescent="0.25">
      <c r="A25" s="229" t="s">
        <v>369</v>
      </c>
      <c r="B25" s="249"/>
      <c r="C25" s="249"/>
      <c r="D25" s="249"/>
      <c r="E25" s="249"/>
      <c r="F25" s="249"/>
      <c r="G25" s="249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49"/>
      <c r="AY25" s="249"/>
      <c r="AZ25" s="249"/>
      <c r="BA25" s="249"/>
      <c r="BB25" s="249"/>
      <c r="BC25" s="249"/>
      <c r="BD25" s="249"/>
      <c r="BE25" s="249"/>
      <c r="BF25" s="249"/>
      <c r="BG25" s="249"/>
      <c r="BH25" s="249"/>
      <c r="BI25" s="249"/>
      <c r="BJ25" s="249"/>
      <c r="BK25" s="249"/>
      <c r="BL25" s="249"/>
      <c r="BM25" s="249"/>
      <c r="BN25" s="249"/>
      <c r="BO25" s="249"/>
      <c r="BP25" s="249"/>
      <c r="BQ25" s="249"/>
      <c r="BR25" s="249"/>
      <c r="BS25" s="249"/>
      <c r="BT25" s="249"/>
      <c r="BU25" s="249"/>
      <c r="BV25" s="249"/>
      <c r="BW25" s="229"/>
      <c r="BX25" s="229"/>
      <c r="BY25" s="22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49"/>
      <c r="CQ25" s="249"/>
      <c r="CR25" s="249"/>
      <c r="CS25" s="249"/>
      <c r="CT25" s="249"/>
      <c r="CU25" s="249"/>
      <c r="CV25" s="249"/>
      <c r="CW25" s="249"/>
      <c r="CX25" s="249"/>
      <c r="CY25" s="221"/>
      <c r="CZ25" s="221"/>
      <c r="DA25" s="221"/>
      <c r="DB25" s="221"/>
      <c r="DC25" s="221"/>
      <c r="DD25" s="221"/>
      <c r="DE25" s="221"/>
      <c r="DF25" s="221"/>
      <c r="DG25" s="221"/>
      <c r="DH25" s="221"/>
      <c r="DI25" s="221"/>
      <c r="DJ25" s="221"/>
      <c r="DK25" s="221"/>
      <c r="DL25" s="221"/>
      <c r="DM25" s="221"/>
      <c r="DN25" s="221"/>
      <c r="DO25" s="221"/>
      <c r="DP25" s="221"/>
      <c r="DQ25" s="221"/>
      <c r="DR25" s="221"/>
      <c r="DS25" s="221"/>
      <c r="DT25" s="221"/>
      <c r="DU25" s="221"/>
      <c r="DV25" s="221"/>
      <c r="DW25" s="221"/>
      <c r="DX25" s="221"/>
      <c r="DY25" s="221"/>
      <c r="DZ25" s="221"/>
      <c r="EA25" s="221"/>
      <c r="EB25" s="221"/>
      <c r="EC25" s="221"/>
      <c r="ED25" s="221"/>
      <c r="EE25" s="221"/>
      <c r="EF25" s="221"/>
      <c r="EG25" s="221"/>
      <c r="EH25" s="221"/>
      <c r="EI25" s="221"/>
      <c r="EJ25" s="221"/>
      <c r="EK25" s="221"/>
      <c r="EL25" s="221"/>
      <c r="EM25" s="221"/>
      <c r="EN25" s="221"/>
      <c r="EO25" s="221"/>
      <c r="EP25" s="221"/>
      <c r="EQ25" s="221"/>
      <c r="ER25" s="221"/>
      <c r="ES25" s="221"/>
      <c r="ET25" s="221"/>
      <c r="EU25" s="221"/>
      <c r="EV25" s="970"/>
      <c r="EW25" s="221"/>
      <c r="EX25" s="221"/>
      <c r="EY25" s="221"/>
      <c r="EZ25" s="221"/>
      <c r="FA25" s="221"/>
    </row>
    <row r="26" spans="1:163" s="221" customFormat="1" ht="15" customHeight="1" x14ac:dyDescent="0.25">
      <c r="A26" s="151" t="s">
        <v>200</v>
      </c>
      <c r="B26" s="221">
        <v>2.2532000000000001</v>
      </c>
      <c r="C26" s="221">
        <v>2.2599</v>
      </c>
      <c r="D26" s="221">
        <v>2.2770999999999999</v>
      </c>
      <c r="E26" s="221">
        <v>2.286</v>
      </c>
      <c r="F26" s="221">
        <v>2.2988</v>
      </c>
      <c r="G26" s="221">
        <v>2.3064</v>
      </c>
      <c r="H26" s="221">
        <v>1.3083499999999999</v>
      </c>
      <c r="I26" s="221">
        <v>1.31332</v>
      </c>
      <c r="J26" s="221">
        <v>1.31372</v>
      </c>
      <c r="K26" s="221">
        <v>1.3155600000000001</v>
      </c>
      <c r="L26" s="221">
        <v>1.320003</v>
      </c>
      <c r="M26" s="221">
        <v>1.3259700000000001</v>
      </c>
      <c r="O26" s="221">
        <v>1.3308800000000001</v>
      </c>
      <c r="P26" s="221">
        <v>1.33314</v>
      </c>
      <c r="Q26" s="221">
        <v>1.34114</v>
      </c>
      <c r="R26" s="221">
        <v>1.34127</v>
      </c>
      <c r="S26" s="221">
        <v>1.34409</v>
      </c>
      <c r="T26" s="221">
        <v>1.3459700000000001</v>
      </c>
      <c r="U26" s="221">
        <v>1.3470500000000001</v>
      </c>
      <c r="V26" s="221">
        <v>1.3519000000000001</v>
      </c>
      <c r="W26" s="221">
        <v>1.3547400000000001</v>
      </c>
      <c r="X26" s="221">
        <v>1.36029</v>
      </c>
      <c r="Y26" s="221">
        <v>1.3642399999999999</v>
      </c>
      <c r="Z26" s="221">
        <v>1.3687400000000001</v>
      </c>
      <c r="AB26" s="221">
        <v>1.37202</v>
      </c>
      <c r="AC26" s="221">
        <v>1.3764099999999999</v>
      </c>
      <c r="AD26" s="221">
        <v>1.3943099999999999</v>
      </c>
      <c r="AE26" s="221">
        <v>1.3906799999999999</v>
      </c>
      <c r="AF26" s="221">
        <v>1.3848400000000001</v>
      </c>
      <c r="AG26" s="221">
        <v>1.38262</v>
      </c>
      <c r="AH26" s="221">
        <v>1.3853899999999999</v>
      </c>
      <c r="AI26" s="221">
        <v>1.3946700000000001</v>
      </c>
      <c r="AJ26" s="221">
        <v>1.39439</v>
      </c>
      <c r="AK26" s="221">
        <v>1.38784</v>
      </c>
      <c r="AL26" s="221">
        <v>1.385063126928862</v>
      </c>
      <c r="AM26" s="221">
        <v>1.3872792279319484</v>
      </c>
      <c r="AO26" s="221">
        <v>1.3890826909282596</v>
      </c>
      <c r="AP26" s="221">
        <v>1.3925553976555805</v>
      </c>
      <c r="AQ26" s="221">
        <v>1.3993789191040926</v>
      </c>
      <c r="AR26" s="221">
        <v>1.3974197886173472</v>
      </c>
      <c r="AS26" s="221">
        <v>1.3976992725750705</v>
      </c>
      <c r="AT26" s="221">
        <v>1.4023116801745681</v>
      </c>
      <c r="AU26" s="221">
        <v>1.4076404645592313</v>
      </c>
      <c r="AV26" s="221">
        <v>1.4094703971631584</v>
      </c>
      <c r="AW26" s="221">
        <v>1.4121483909177683</v>
      </c>
      <c r="AX26" s="221">
        <v>1.4132781096305025</v>
      </c>
      <c r="AY26" s="221">
        <v>1.414974043362059</v>
      </c>
      <c r="AZ26" s="221">
        <v>1.4175209966401108</v>
      </c>
      <c r="BB26" s="221">
        <v>1.4185132613377587</v>
      </c>
      <c r="BC26" s="221">
        <v>1.3925553976555805</v>
      </c>
      <c r="BD26" s="221">
        <v>1.4307259370761134</v>
      </c>
      <c r="BE26" s="221">
        <v>1.4335873889502657</v>
      </c>
      <c r="BF26" s="221">
        <v>1.4357377700336911</v>
      </c>
      <c r="BG26" s="221">
        <v>1.4344456060406601</v>
      </c>
      <c r="BH26" s="221">
        <v>1.4373144972527421</v>
      </c>
      <c r="BI26" s="221">
        <v>1.4381768859510939</v>
      </c>
      <c r="BJ26" s="221">
        <v>1.438320703639689</v>
      </c>
      <c r="BK26" s="221">
        <v>1.4399028564136926</v>
      </c>
      <c r="BL26" s="221">
        <v>1.4414867495557475</v>
      </c>
      <c r="BM26" s="221">
        <v>1.4445138717298147</v>
      </c>
      <c r="BO26" s="221">
        <v>1.4452361286656796</v>
      </c>
      <c r="BP26" s="221">
        <v>1.4472594592458117</v>
      </c>
      <c r="BQ26" s="221">
        <v>1.4566666457309094</v>
      </c>
      <c r="BR26" s="221">
        <v>1.4581233123766402</v>
      </c>
      <c r="BS26" s="221">
        <v>1.4610395590013934</v>
      </c>
      <c r="BT26" s="221">
        <v>1.4570947521920896</v>
      </c>
      <c r="BU26" s="221">
        <v>1.4637973880521731</v>
      </c>
      <c r="BV26" s="221">
        <v>1.46218721092531</v>
      </c>
      <c r="BW26" s="221">
        <v>1.4642342730206099</v>
      </c>
      <c r="BX26" s="221">
        <v>1.4645271198752159</v>
      </c>
      <c r="BY26" s="221">
        <v>1.472142660898567</v>
      </c>
      <c r="BZ26" s="221">
        <v>1.4728787322290162</v>
      </c>
      <c r="CB26" s="221">
        <v>1.4837780348475111</v>
      </c>
      <c r="CC26" s="221">
        <v>1.4818491234022095</v>
      </c>
      <c r="CD26" s="221">
        <v>1.494296656038788</v>
      </c>
      <c r="CE26" s="221">
        <v>1.4928023593827493</v>
      </c>
      <c r="CF26" s="221">
        <v>1.4968329257530826</v>
      </c>
      <c r="CG26" s="221">
        <v>1.504616456967</v>
      </c>
      <c r="CH26" s="221">
        <v>1.5198130831823653</v>
      </c>
      <c r="CI26" s="221">
        <v>1.5347072513975526</v>
      </c>
      <c r="CJ26" s="221">
        <v>1.5408460804031427</v>
      </c>
      <c r="CK26" s="221">
        <v>1.5497829876694811</v>
      </c>
      <c r="CL26" s="221">
        <v>1.5553622064250914</v>
      </c>
      <c r="CM26" s="221">
        <v>1.5674940316352071</v>
      </c>
      <c r="CO26" s="221">
        <v>1.5681210292478611</v>
      </c>
      <c r="CP26" s="221">
        <v>1.5730050411382599</v>
      </c>
      <c r="CQ26" s="221">
        <v>1.5962855157471061</v>
      </c>
      <c r="CR26" s="223">
        <v>1.6116098566982784</v>
      </c>
      <c r="CS26" s="223">
        <v>1.617733974153732</v>
      </c>
      <c r="CT26" s="223">
        <v>1.6369850084461615</v>
      </c>
      <c r="CU26" s="223">
        <v>1.6523726675255554</v>
      </c>
      <c r="CV26" s="221">
        <v>1.6634435643979766</v>
      </c>
      <c r="CW26" s="223">
        <v>1.6720934709328463</v>
      </c>
      <c r="CX26" s="221">
        <v>1.6779457980811114</v>
      </c>
      <c r="CY26" s="221">
        <v>1.6866711162311334</v>
      </c>
      <c r="CZ26" s="221">
        <v>1.6999958180493595</v>
      </c>
      <c r="DB26" s="221">
        <v>1.7039058084308729</v>
      </c>
      <c r="DC26" s="221">
        <v>1.7088471352753223</v>
      </c>
      <c r="DD26" s="221">
        <v>1.7302077244662637</v>
      </c>
      <c r="DE26" s="221">
        <v>1.7398968877232748</v>
      </c>
      <c r="DF26" s="221">
        <v>1.7454645577639893</v>
      </c>
      <c r="DG26" s="221">
        <v>1.7428463609273435</v>
      </c>
      <c r="DH26" s="221">
        <v>1.7496434617349601</v>
      </c>
      <c r="DI26" s="221">
        <v>1.756292106889553</v>
      </c>
      <c r="DJ26" s="221">
        <v>1.7566433653109308</v>
      </c>
      <c r="DK26" s="221">
        <v>1.7510221065419358</v>
      </c>
      <c r="DL26" s="221">
        <v>1.7482204711714686</v>
      </c>
      <c r="DM26" s="221">
        <v>1.7553881751032716</v>
      </c>
      <c r="DO26" s="221">
        <v>1.7557392527382922</v>
      </c>
      <c r="DP26" s="221">
        <v>1.7655713925536267</v>
      </c>
      <c r="DQ26" s="221">
        <v>1.7834036636184183</v>
      </c>
      <c r="DR26" s="221">
        <v>1.7825119617866092</v>
      </c>
      <c r="DS26" s="221">
        <v>1.7809077010210013</v>
      </c>
      <c r="DT26" s="221">
        <v>1.7830447902622266</v>
      </c>
      <c r="DU26" s="221">
        <v>1.7873240977588558</v>
      </c>
      <c r="DV26" s="221">
        <v>1.7923286052325804</v>
      </c>
      <c r="DW26" s="221">
        <v>1.7880270165800223</v>
      </c>
      <c r="DX26" s="221">
        <v>1.7864177922651003</v>
      </c>
      <c r="DY26" s="221">
        <v>1.7880255682781387</v>
      </c>
      <c r="DZ26" s="221">
        <v>1.7899923964032449</v>
      </c>
      <c r="EB26" s="221">
        <v>1.788381403246482</v>
      </c>
      <c r="EC26" s="221">
        <v>1.7917793279126504</v>
      </c>
      <c r="ED26" s="221">
        <v>1.8062927404687428</v>
      </c>
      <c r="EE26" s="221">
        <v>1.8120728772382428</v>
      </c>
      <c r="EF26" s="221">
        <v>1.8109856335118999</v>
      </c>
      <c r="EG26" s="221">
        <v>1.8133399148354654</v>
      </c>
      <c r="EH26" s="221">
        <v>1.817510596639587</v>
      </c>
      <c r="EI26" s="221">
        <v>1.8122398159093323</v>
      </c>
      <c r="EJ26" s="221">
        <v>1.8124210398909231</v>
      </c>
      <c r="EK26" s="221">
        <v>1.8106086188510322</v>
      </c>
      <c r="EL26" s="221">
        <v>1.8126002883317684</v>
      </c>
      <c r="EM26" s="221">
        <v>1.8169505290237646</v>
      </c>
      <c r="EO26" s="221">
        <v>1.8187674795527882</v>
      </c>
      <c r="EP26" s="221">
        <v>1.8313169751617022</v>
      </c>
      <c r="EQ26" s="221">
        <v>1.8749023191705507</v>
      </c>
      <c r="ER26" s="221">
        <v>1.8846518112302377</v>
      </c>
      <c r="ES26" s="221">
        <v>1.8816363683322692</v>
      </c>
      <c r="ET26" s="221">
        <v>1.8859641319794334</v>
      </c>
      <c r="EU26" s="221">
        <v>1.8914334279621701</v>
      </c>
      <c r="EV26" s="970">
        <v>1.8927574313617499</v>
      </c>
      <c r="FB26" s="396"/>
      <c r="FC26" s="397"/>
      <c r="FD26" s="223"/>
      <c r="FE26" s="223"/>
      <c r="FF26" s="223"/>
    </row>
    <row r="27" spans="1:163" ht="15" customHeight="1" x14ac:dyDescent="0.25">
      <c r="A27" s="165"/>
      <c r="B27" s="102">
        <v>2015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4" t="s">
        <v>83</v>
      </c>
      <c r="O27" s="102">
        <v>2016</v>
      </c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4" t="s">
        <v>83</v>
      </c>
      <c r="AB27" s="102">
        <v>2017</v>
      </c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4" t="s">
        <v>83</v>
      </c>
      <c r="AO27" s="102">
        <v>2018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4" t="s">
        <v>83</v>
      </c>
      <c r="BB27" s="102">
        <v>2019</v>
      </c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4" t="s">
        <v>83</v>
      </c>
      <c r="BO27" s="102">
        <v>2020</v>
      </c>
      <c r="BP27" s="103"/>
      <c r="BQ27" s="103"/>
      <c r="BR27" s="103"/>
      <c r="BS27" s="103"/>
      <c r="BT27" s="103"/>
      <c r="BU27" s="103"/>
      <c r="BV27" s="103"/>
      <c r="BW27" s="103"/>
      <c r="BX27" s="103"/>
      <c r="BY27" s="103"/>
      <c r="BZ27" s="103"/>
      <c r="CA27" s="104" t="s">
        <v>83</v>
      </c>
      <c r="CB27" s="102">
        <v>2021</v>
      </c>
      <c r="CC27" s="103"/>
      <c r="CD27" s="103"/>
      <c r="CE27" s="103"/>
      <c r="CF27" s="103"/>
      <c r="CG27" s="103"/>
      <c r="CH27" s="103"/>
      <c r="CI27" s="103"/>
      <c r="CJ27" s="103"/>
      <c r="CK27" s="103"/>
      <c r="CL27" s="103"/>
      <c r="CM27" s="103"/>
      <c r="CN27" s="104" t="s">
        <v>83</v>
      </c>
      <c r="CO27" s="102">
        <v>2022</v>
      </c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4" t="s">
        <v>83</v>
      </c>
      <c r="DB27" s="102">
        <v>2023</v>
      </c>
      <c r="DC27" s="103"/>
      <c r="DD27" s="103"/>
      <c r="DE27" s="103"/>
      <c r="DF27" s="103"/>
      <c r="DG27" s="103"/>
      <c r="DH27" s="103"/>
      <c r="DI27" s="103"/>
      <c r="DJ27" s="103"/>
      <c r="DK27" s="103"/>
      <c r="DL27" s="103"/>
      <c r="DM27" s="103"/>
      <c r="DN27" s="104" t="s">
        <v>83</v>
      </c>
      <c r="DO27" s="102">
        <v>2024</v>
      </c>
      <c r="DP27" s="103"/>
      <c r="DQ27" s="103"/>
      <c r="DR27" s="103"/>
      <c r="DS27" s="103"/>
      <c r="DT27" s="103"/>
      <c r="DU27" s="103"/>
      <c r="DV27" s="103"/>
      <c r="DW27" s="103"/>
      <c r="DX27" s="103"/>
      <c r="DY27" s="103"/>
      <c r="DZ27" s="103"/>
      <c r="EA27" s="104" t="s">
        <v>83</v>
      </c>
      <c r="EB27" s="102">
        <v>2025</v>
      </c>
      <c r="EC27" s="103"/>
      <c r="ED27" s="103"/>
      <c r="EE27" s="103"/>
      <c r="EF27" s="103"/>
      <c r="EG27" s="103"/>
      <c r="EH27" s="103"/>
      <c r="EI27" s="103"/>
      <c r="EJ27" s="103"/>
      <c r="EK27" s="103"/>
      <c r="EL27" s="103"/>
      <c r="EM27" s="103"/>
      <c r="EN27" s="104" t="s">
        <v>83</v>
      </c>
      <c r="EO27" s="102">
        <v>2026</v>
      </c>
      <c r="EP27" s="103"/>
      <c r="EQ27" s="103"/>
      <c r="ER27" s="103"/>
      <c r="ES27" s="103"/>
      <c r="ET27" s="103"/>
      <c r="EU27" s="103"/>
      <c r="EV27" s="948"/>
      <c r="EW27" s="103"/>
      <c r="EX27" s="103"/>
      <c r="EY27" s="103"/>
      <c r="EZ27" s="103"/>
      <c r="FA27" s="104" t="s">
        <v>83</v>
      </c>
      <c r="FC27" s="982" t="str">
        <f>CONCATENATE("Var.% ",FF27,"/",FE27)</f>
        <v>Var.% 2026/2025</v>
      </c>
      <c r="FD27" s="983"/>
      <c r="FE27" s="105">
        <f>FF27-1</f>
        <v>2025</v>
      </c>
      <c r="FF27" s="105">
        <f>YEAR(FC28)</f>
        <v>2026</v>
      </c>
      <c r="FG27" s="169"/>
    </row>
    <row r="28" spans="1:163" ht="15" customHeight="1" x14ac:dyDescent="0.25">
      <c r="A28" s="232"/>
      <c r="B28" s="106">
        <v>42005</v>
      </c>
      <c r="C28" s="107">
        <v>42036</v>
      </c>
      <c r="D28" s="107">
        <v>42064</v>
      </c>
      <c r="E28" s="107">
        <v>42095</v>
      </c>
      <c r="F28" s="107">
        <v>42125</v>
      </c>
      <c r="G28" s="107">
        <v>42156</v>
      </c>
      <c r="H28" s="107">
        <v>42186</v>
      </c>
      <c r="I28" s="107">
        <v>42217</v>
      </c>
      <c r="J28" s="107">
        <v>42248</v>
      </c>
      <c r="K28" s="107">
        <v>42278</v>
      </c>
      <c r="L28" s="107">
        <v>42309</v>
      </c>
      <c r="M28" s="107">
        <v>42339</v>
      </c>
      <c r="N28" s="108">
        <f t="shared" ref="N28" si="57">YEAR(M28)</f>
        <v>2015</v>
      </c>
      <c r="O28" s="106">
        <v>42370</v>
      </c>
      <c r="P28" s="107">
        <v>42401</v>
      </c>
      <c r="Q28" s="107">
        <v>42430</v>
      </c>
      <c r="R28" s="107">
        <v>42461</v>
      </c>
      <c r="S28" s="107">
        <v>42491</v>
      </c>
      <c r="T28" s="107">
        <v>42522</v>
      </c>
      <c r="U28" s="107">
        <v>42552</v>
      </c>
      <c r="V28" s="107">
        <v>42583</v>
      </c>
      <c r="W28" s="107">
        <v>42614</v>
      </c>
      <c r="X28" s="107">
        <v>42644</v>
      </c>
      <c r="Y28" s="107">
        <v>42675</v>
      </c>
      <c r="Z28" s="107">
        <v>42705</v>
      </c>
      <c r="AA28" s="108">
        <f t="shared" ref="AA28" si="58">YEAR(Z28)</f>
        <v>2016</v>
      </c>
      <c r="AB28" s="106">
        <v>42736</v>
      </c>
      <c r="AC28" s="107">
        <v>42767</v>
      </c>
      <c r="AD28" s="107">
        <v>42795</v>
      </c>
      <c r="AE28" s="107">
        <v>42826</v>
      </c>
      <c r="AF28" s="107">
        <v>42856</v>
      </c>
      <c r="AG28" s="107">
        <v>42887</v>
      </c>
      <c r="AH28" s="107">
        <v>42917</v>
      </c>
      <c r="AI28" s="107">
        <v>42948</v>
      </c>
      <c r="AJ28" s="107">
        <v>42979</v>
      </c>
      <c r="AK28" s="107">
        <v>43009</v>
      </c>
      <c r="AL28" s="107">
        <v>43040</v>
      </c>
      <c r="AM28" s="107">
        <v>43070</v>
      </c>
      <c r="AN28" s="108">
        <f t="shared" ref="AN28" si="59">YEAR(AM28)</f>
        <v>2017</v>
      </c>
      <c r="AO28" s="106">
        <v>43101</v>
      </c>
      <c r="AP28" s="107">
        <v>43132</v>
      </c>
      <c r="AQ28" s="107">
        <v>43160</v>
      </c>
      <c r="AR28" s="107">
        <v>43191</v>
      </c>
      <c r="AS28" s="107">
        <v>43221</v>
      </c>
      <c r="AT28" s="107">
        <v>43252</v>
      </c>
      <c r="AU28" s="107">
        <v>43282</v>
      </c>
      <c r="AV28" s="107">
        <v>43313</v>
      </c>
      <c r="AW28" s="107">
        <v>43344</v>
      </c>
      <c r="AX28" s="107">
        <v>43374</v>
      </c>
      <c r="AY28" s="107">
        <v>43405</v>
      </c>
      <c r="AZ28" s="107">
        <v>43435</v>
      </c>
      <c r="BA28" s="108">
        <f t="shared" ref="BA28" si="60">YEAR(AZ28)</f>
        <v>2018</v>
      </c>
      <c r="BB28" s="106">
        <v>43466</v>
      </c>
      <c r="BC28" s="107">
        <v>43497</v>
      </c>
      <c r="BD28" s="107">
        <v>43525</v>
      </c>
      <c r="BE28" s="107">
        <v>43556</v>
      </c>
      <c r="BF28" s="107">
        <v>43586</v>
      </c>
      <c r="BG28" s="107">
        <v>43617</v>
      </c>
      <c r="BH28" s="107">
        <v>43647</v>
      </c>
      <c r="BI28" s="107">
        <v>43678</v>
      </c>
      <c r="BJ28" s="107">
        <v>43709</v>
      </c>
      <c r="BK28" s="107">
        <v>43739</v>
      </c>
      <c r="BL28" s="107">
        <v>43770</v>
      </c>
      <c r="BM28" s="107">
        <v>43800</v>
      </c>
      <c r="BN28" s="108">
        <f t="shared" ref="BN28" si="61">YEAR(BM28)</f>
        <v>2019</v>
      </c>
      <c r="BO28" s="106">
        <v>43831</v>
      </c>
      <c r="BP28" s="107">
        <v>43862</v>
      </c>
      <c r="BQ28" s="107">
        <v>43891</v>
      </c>
      <c r="BR28" s="107">
        <v>43922</v>
      </c>
      <c r="BS28" s="107">
        <v>43952</v>
      </c>
      <c r="BT28" s="107">
        <v>43983</v>
      </c>
      <c r="BU28" s="107">
        <v>44013</v>
      </c>
      <c r="BV28" s="107">
        <v>44044</v>
      </c>
      <c r="BW28" s="107">
        <v>44075</v>
      </c>
      <c r="BX28" s="107">
        <v>44105</v>
      </c>
      <c r="BY28" s="107">
        <v>44136</v>
      </c>
      <c r="BZ28" s="107">
        <v>44166</v>
      </c>
      <c r="CA28" s="108">
        <f t="shared" ref="CA28" si="62">YEAR(BZ28)</f>
        <v>2020</v>
      </c>
      <c r="CB28" s="106">
        <v>44197</v>
      </c>
      <c r="CC28" s="107">
        <v>44228</v>
      </c>
      <c r="CD28" s="107">
        <v>44256</v>
      </c>
      <c r="CE28" s="107">
        <v>44287</v>
      </c>
      <c r="CF28" s="107">
        <v>44317</v>
      </c>
      <c r="CG28" s="107">
        <v>44348</v>
      </c>
      <c r="CH28" s="107">
        <v>44378</v>
      </c>
      <c r="CI28" s="107">
        <v>44409</v>
      </c>
      <c r="CJ28" s="107">
        <v>44440</v>
      </c>
      <c r="CK28" s="107">
        <v>44470</v>
      </c>
      <c r="CL28" s="107">
        <v>44501</v>
      </c>
      <c r="CM28" s="107">
        <v>44531</v>
      </c>
      <c r="CN28" s="108">
        <f t="shared" ref="CN28" si="63">YEAR(CM28)</f>
        <v>2021</v>
      </c>
      <c r="CO28" s="106">
        <v>44562</v>
      </c>
      <c r="CP28" s="107">
        <v>44593</v>
      </c>
      <c r="CQ28" s="107">
        <v>44621</v>
      </c>
      <c r="CR28" s="107">
        <v>44652</v>
      </c>
      <c r="CS28" s="107">
        <v>44682</v>
      </c>
      <c r="CT28" s="107">
        <v>44713</v>
      </c>
      <c r="CU28" s="107">
        <v>44743</v>
      </c>
      <c r="CV28" s="107">
        <v>44774</v>
      </c>
      <c r="CW28" s="107">
        <v>44805</v>
      </c>
      <c r="CX28" s="107">
        <v>44835</v>
      </c>
      <c r="CY28" s="107">
        <v>44866</v>
      </c>
      <c r="CZ28" s="107">
        <v>44896</v>
      </c>
      <c r="DA28" s="108">
        <f t="shared" ref="DA28" si="64">YEAR(CZ28)</f>
        <v>2022</v>
      </c>
      <c r="DB28" s="106">
        <v>44927</v>
      </c>
      <c r="DC28" s="107">
        <v>44958</v>
      </c>
      <c r="DD28" s="107">
        <v>44986</v>
      </c>
      <c r="DE28" s="107">
        <v>45017</v>
      </c>
      <c r="DF28" s="107">
        <v>45047</v>
      </c>
      <c r="DG28" s="107">
        <v>45078</v>
      </c>
      <c r="DH28" s="107">
        <v>45108</v>
      </c>
      <c r="DI28" s="107">
        <v>45139</v>
      </c>
      <c r="DJ28" s="107">
        <v>45170</v>
      </c>
      <c r="DK28" s="107">
        <v>45200</v>
      </c>
      <c r="DL28" s="107">
        <v>45231</v>
      </c>
      <c r="DM28" s="107">
        <v>45261</v>
      </c>
      <c r="DN28" s="108">
        <f t="shared" ref="DN28" si="65">YEAR(DM28)</f>
        <v>2023</v>
      </c>
      <c r="DO28" s="106">
        <v>45292</v>
      </c>
      <c r="DP28" s="107">
        <v>45323</v>
      </c>
      <c r="DQ28" s="107">
        <v>45352</v>
      </c>
      <c r="DR28" s="107">
        <v>45383</v>
      </c>
      <c r="DS28" s="107">
        <v>45413</v>
      </c>
      <c r="DT28" s="107">
        <v>45444</v>
      </c>
      <c r="DU28" s="107">
        <v>45474</v>
      </c>
      <c r="DV28" s="107">
        <v>45505</v>
      </c>
      <c r="DW28" s="107">
        <v>45536</v>
      </c>
      <c r="DX28" s="107">
        <v>45566</v>
      </c>
      <c r="DY28" s="107">
        <v>45597</v>
      </c>
      <c r="DZ28" s="107">
        <v>45627</v>
      </c>
      <c r="EA28" s="108">
        <f t="shared" ref="EA28" si="66">YEAR(DZ28)</f>
        <v>2024</v>
      </c>
      <c r="EB28" s="106">
        <v>45658</v>
      </c>
      <c r="EC28" s="107">
        <v>45689</v>
      </c>
      <c r="ED28" s="107">
        <v>45717</v>
      </c>
      <c r="EE28" s="107">
        <v>45748</v>
      </c>
      <c r="EF28" s="107">
        <v>45778</v>
      </c>
      <c r="EG28" s="107">
        <v>45809</v>
      </c>
      <c r="EH28" s="107">
        <v>45839</v>
      </c>
      <c r="EI28" s="107">
        <v>45870</v>
      </c>
      <c r="EJ28" s="107">
        <v>45901</v>
      </c>
      <c r="EK28" s="107">
        <v>45931</v>
      </c>
      <c r="EL28" s="107">
        <v>45962</v>
      </c>
      <c r="EM28" s="107">
        <v>45992</v>
      </c>
      <c r="EN28" s="108">
        <f>YEAR(EM28)</f>
        <v>2025</v>
      </c>
      <c r="EO28" s="106">
        <v>46023</v>
      </c>
      <c r="EP28" s="107">
        <v>46054</v>
      </c>
      <c r="EQ28" s="107">
        <v>46082</v>
      </c>
      <c r="ER28" s="107">
        <v>46113</v>
      </c>
      <c r="ES28" s="107">
        <v>46143</v>
      </c>
      <c r="ET28" s="107">
        <v>46174</v>
      </c>
      <c r="EU28" s="107">
        <v>46204</v>
      </c>
      <c r="EV28" s="949">
        <v>46235</v>
      </c>
      <c r="EW28" s="107">
        <v>46266</v>
      </c>
      <c r="EX28" s="107">
        <v>46296</v>
      </c>
      <c r="EY28" s="107">
        <v>46327</v>
      </c>
      <c r="EZ28" s="107">
        <v>46357</v>
      </c>
      <c r="FA28" s="108">
        <f>YEAR(EZ28)</f>
        <v>2026</v>
      </c>
      <c r="FC28" s="106">
        <f>$FC$5</f>
        <v>46235</v>
      </c>
      <c r="FD28" s="109" t="str">
        <f>CONCATENATE("Ene.-",TEXT(FC28,"MMM."))</f>
        <v>Ene.-Ago.</v>
      </c>
      <c r="FE28" s="109" t="str">
        <f>FD28</f>
        <v>Ene.-Ago.</v>
      </c>
      <c r="FF28" s="109" t="str">
        <f>FD28</f>
        <v>Ene.-Ago.</v>
      </c>
    </row>
    <row r="29" spans="1:163" ht="15" customHeight="1" x14ac:dyDescent="0.25">
      <c r="A29" s="165"/>
      <c r="B29" s="164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5"/>
      <c r="O29" s="164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5"/>
      <c r="AB29" s="164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5"/>
      <c r="AO29" s="164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5"/>
      <c r="BB29" s="164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5"/>
      <c r="BO29" s="164"/>
      <c r="BP29" s="160"/>
      <c r="BQ29" s="160"/>
      <c r="BR29" s="160"/>
      <c r="BS29" s="160"/>
      <c r="BT29" s="160"/>
      <c r="BU29" s="160"/>
      <c r="BV29" s="160"/>
      <c r="BW29" s="160"/>
      <c r="BX29" s="160"/>
      <c r="BY29" s="160"/>
      <c r="BZ29" s="160"/>
      <c r="CA29" s="165"/>
      <c r="CB29" s="164"/>
      <c r="CC29" s="160"/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5"/>
      <c r="CO29" s="164"/>
      <c r="CP29" s="160"/>
      <c r="CQ29" s="160"/>
      <c r="CR29" s="160"/>
      <c r="CS29" s="160"/>
      <c r="CT29" s="160"/>
      <c r="CU29" s="160"/>
      <c r="CV29" s="160"/>
      <c r="CW29" s="160"/>
      <c r="CX29" s="160"/>
      <c r="CY29" s="160"/>
      <c r="CZ29" s="160"/>
      <c r="DA29" s="165"/>
      <c r="DB29" s="164"/>
      <c r="DC29" s="160"/>
      <c r="DD29" s="160"/>
      <c r="DE29" s="160"/>
      <c r="DF29" s="160"/>
      <c r="DG29" s="160"/>
      <c r="DH29" s="160"/>
      <c r="DI29" s="160"/>
      <c r="DJ29" s="160"/>
      <c r="DK29" s="160"/>
      <c r="DL29" s="160"/>
      <c r="DM29" s="160"/>
      <c r="DN29" s="165"/>
      <c r="DO29" s="164"/>
      <c r="DP29" s="160"/>
      <c r="DQ29" s="160"/>
      <c r="DR29" s="160"/>
      <c r="DS29" s="160"/>
      <c r="DT29" s="160"/>
      <c r="DU29" s="160"/>
      <c r="DV29" s="160"/>
      <c r="DW29" s="160"/>
      <c r="DX29" s="160"/>
      <c r="DY29" s="160"/>
      <c r="DZ29" s="160"/>
      <c r="EA29" s="165"/>
      <c r="EB29" s="164"/>
      <c r="EC29" s="160"/>
      <c r="ED29" s="160"/>
      <c r="EE29" s="160"/>
      <c r="EF29" s="160"/>
      <c r="EG29" s="160"/>
      <c r="EH29" s="160"/>
      <c r="EI29" s="160"/>
      <c r="EJ29" s="160"/>
      <c r="EK29" s="160"/>
      <c r="EL29" s="160"/>
      <c r="EM29" s="160"/>
      <c r="EN29" s="165"/>
      <c r="EO29" s="164"/>
      <c r="EP29" s="160"/>
      <c r="EQ29" s="160"/>
      <c r="ER29" s="160"/>
      <c r="ES29" s="160"/>
      <c r="ET29" s="160"/>
      <c r="EU29" s="160"/>
      <c r="EV29" s="960"/>
      <c r="EW29" s="160"/>
      <c r="EX29" s="160"/>
      <c r="EY29" s="160"/>
      <c r="EZ29" s="160"/>
      <c r="FA29" s="165"/>
      <c r="FC29" s="165"/>
      <c r="FD29" s="165"/>
      <c r="FE29" s="165"/>
      <c r="FF29" s="140"/>
      <c r="FG29" s="127"/>
    </row>
    <row r="30" spans="1:163" ht="15" customHeight="1" x14ac:dyDescent="0.25">
      <c r="A30" s="380" t="s">
        <v>195</v>
      </c>
      <c r="B30" s="381">
        <f>B7/$B$26</f>
        <v>21465.72571453932</v>
      </c>
      <c r="C30" s="382">
        <f>C7/$C$26</f>
        <v>13948.581795654676</v>
      </c>
      <c r="D30" s="382">
        <f>D7/$D$26</f>
        <v>16532.212024065699</v>
      </c>
      <c r="E30" s="382">
        <f>E7/$E$26</f>
        <v>17704.243219597549</v>
      </c>
      <c r="F30" s="382">
        <f>F7/$F$26</f>
        <v>13496.041412911083</v>
      </c>
      <c r="G30" s="382">
        <f>G7/$G$26</f>
        <v>15346.860908775581</v>
      </c>
      <c r="H30" s="382">
        <f>H7/$H$26</f>
        <v>28483.968357090995</v>
      </c>
      <c r="I30" s="382">
        <f>I7/$I$26</f>
        <v>29059.178265769195</v>
      </c>
      <c r="J30" s="382">
        <f>J7/$J$26</f>
        <v>29144.03373626039</v>
      </c>
      <c r="K30" s="382">
        <f>K7/$K$26</f>
        <v>29762.838639058653</v>
      </c>
      <c r="L30" s="382">
        <f>L7/$L$26</f>
        <v>31858.033655984113</v>
      </c>
      <c r="M30" s="382">
        <f>M7/$M$26</f>
        <v>35454.044963309876</v>
      </c>
      <c r="N30" s="380">
        <f>SUM(B30:M30)</f>
        <v>282255.76269301708</v>
      </c>
      <c r="O30" s="381">
        <f>O7/$O$26</f>
        <v>39199.702452512625</v>
      </c>
      <c r="P30" s="382">
        <f>P7/$P$26</f>
        <v>27253.251721499622</v>
      </c>
      <c r="Q30" s="382">
        <f>Q7/$Q$26</f>
        <v>30697.317207748627</v>
      </c>
      <c r="R30" s="382">
        <f>R7/$R$26</f>
        <v>29565.411885750073</v>
      </c>
      <c r="S30" s="382">
        <f>S7/$S$26</f>
        <v>43117.350772641708</v>
      </c>
      <c r="T30" s="382">
        <f>T7/$T$26</f>
        <v>29498.948713567162</v>
      </c>
      <c r="U30" s="382">
        <f>U7/$U$26</f>
        <v>31727.849745740692</v>
      </c>
      <c r="V30" s="382">
        <f>V7/$V$26</f>
        <v>31848.805385013682</v>
      </c>
      <c r="W30" s="382">
        <f>W7/$W$26</f>
        <v>31467.144987230022</v>
      </c>
      <c r="X30" s="382">
        <f>X7/$X$26</f>
        <v>30033.375236162876</v>
      </c>
      <c r="Y30" s="382">
        <f>Y7/$Y$26</f>
        <v>31809.212455286463</v>
      </c>
      <c r="Z30" s="382">
        <f>Z7/$Z$26</f>
        <v>31525.417537297075</v>
      </c>
      <c r="AA30" s="380">
        <f>SUM(O30:Z30)</f>
        <v>387743.78810045059</v>
      </c>
      <c r="AB30" s="381">
        <f>AB7/$AB$26</f>
        <v>38768.822611915275</v>
      </c>
      <c r="AC30" s="382">
        <f>AC7/$AC$26</f>
        <v>26476.631236332203</v>
      </c>
      <c r="AD30" s="382">
        <f>AD7/$AD$26</f>
        <v>29541.206761767469</v>
      </c>
      <c r="AE30" s="382">
        <f>AE7/$AE$26</f>
        <v>29239.149193200454</v>
      </c>
      <c r="AF30" s="382">
        <f>AF7/$AF$26</f>
        <v>26737.962508304208</v>
      </c>
      <c r="AG30" s="382">
        <f>AG7/$AG$26</f>
        <v>30805.427377008866</v>
      </c>
      <c r="AH30" s="382">
        <f>AH7/$AH$26</f>
        <v>31706.595254765809</v>
      </c>
      <c r="AI30" s="382">
        <f>AI7/$AI$26</f>
        <v>31454.681035657184</v>
      </c>
      <c r="AJ30" s="382">
        <f>AJ7/$AJ$26</f>
        <v>31437.115871456339</v>
      </c>
      <c r="AK30" s="382">
        <f>AK7/$AK$26</f>
        <v>31971.408807931748</v>
      </c>
      <c r="AL30" s="382">
        <f>AL7/$AL$26</f>
        <v>30216.384499960433</v>
      </c>
      <c r="AM30" s="382">
        <f>AM7/$AM$26</f>
        <v>31003.419595719512</v>
      </c>
      <c r="AN30" s="380">
        <f>SUM(AB30:AM30)</f>
        <v>369358.80475401954</v>
      </c>
      <c r="AO30" s="381">
        <f>AO7/$AO$26</f>
        <v>40596.575256665128</v>
      </c>
      <c r="AP30" s="382">
        <f>AP7/$AP$26</f>
        <v>27941.437780864195</v>
      </c>
      <c r="AQ30" s="382">
        <f>AQ7/$AQ$26</f>
        <v>47104.897108355493</v>
      </c>
      <c r="AR30" s="382">
        <f>AR7/$AR$26</f>
        <v>37241.421957743965</v>
      </c>
      <c r="AS30" s="382">
        <f>AS7/$AS$26</f>
        <v>31504.631120593884</v>
      </c>
      <c r="AT30" s="382">
        <f>AT7/$AT$26</f>
        <v>35515.21441638437</v>
      </c>
      <c r="AU30" s="382">
        <f>AU7/$AU$26</f>
        <v>38661.932055953628</v>
      </c>
      <c r="AV30" s="382">
        <f>AV7/$AV$26</f>
        <v>28983.510460540096</v>
      </c>
      <c r="AW30" s="382">
        <f>AW7/$AW$26</f>
        <v>31936.799482304701</v>
      </c>
      <c r="AX30" s="382">
        <f>AX7/$AX$26</f>
        <v>34245.347515255555</v>
      </c>
      <c r="AY30" s="382">
        <f>AY7/$AY$26</f>
        <v>32926.823088074518</v>
      </c>
      <c r="AZ30" s="382">
        <f>AZ7/$AZ$26</f>
        <v>32841.629937294922</v>
      </c>
      <c r="BA30" s="380">
        <f>SUM(AO30:AZ30)</f>
        <v>419500.22018003045</v>
      </c>
      <c r="BB30" s="381">
        <f>BB7/$BB$26</f>
        <v>37865.419706647794</v>
      </c>
      <c r="BC30" s="382">
        <f>BC7/$BC$26</f>
        <v>27165.0375731452</v>
      </c>
      <c r="BD30" s="382">
        <f>BD7/$BD$26</f>
        <v>28337.921994240816</v>
      </c>
      <c r="BE30" s="382">
        <f>BE7/$BE$26</f>
        <v>90076.266710574331</v>
      </c>
      <c r="BF30" s="382">
        <f>BF7/$BF$26</f>
        <v>28088.067919989095</v>
      </c>
      <c r="BG30" s="382">
        <f>BG7/$BG$26</f>
        <v>30508.232459781069</v>
      </c>
      <c r="BH30" s="382">
        <f>BH7/$BH$26</f>
        <v>37592.538100239297</v>
      </c>
      <c r="BI30" s="382">
        <f>BI7/$BI$26</f>
        <v>34475.453252198946</v>
      </c>
      <c r="BJ30" s="382">
        <f>BJ7/$BJ$26</f>
        <v>37161.392354809381</v>
      </c>
      <c r="BK30" s="382">
        <f>BK7/$BK$26</f>
        <v>38163.407868268077</v>
      </c>
      <c r="BL30" s="382">
        <f>BL7/$BL$26</f>
        <v>36979.042656082704</v>
      </c>
      <c r="BM30" s="382">
        <f>BM7/$BM$26</f>
        <v>38818.664948402955</v>
      </c>
      <c r="BN30" s="380">
        <f>SUM(BB30:BM30)</f>
        <v>465231.44554437971</v>
      </c>
      <c r="BO30" s="381">
        <f>BO7/$BO$26</f>
        <v>46894.35771479924</v>
      </c>
      <c r="BP30" s="382">
        <f>BP7/$BP$26</f>
        <v>31748.211909386406</v>
      </c>
      <c r="BQ30" s="382">
        <f>BQ7/$BQ$26</f>
        <v>33840.755635113397</v>
      </c>
      <c r="BR30" s="382">
        <f>BR7/$BR$26</f>
        <v>84932.665810099163</v>
      </c>
      <c r="BS30" s="382">
        <f>BS7/$BS$26</f>
        <v>5522.711517486232</v>
      </c>
      <c r="BT30" s="382">
        <f>BT7/$BT$26</f>
        <v>16855.149579704408</v>
      </c>
      <c r="BU30" s="382">
        <f>BU7/$BU$26</f>
        <v>29444.238903412916</v>
      </c>
      <c r="BV30" s="382">
        <f>BV7/$BV$26</f>
        <v>32230.20940675378</v>
      </c>
      <c r="BW30" s="382">
        <f>BW7/$BW$26</f>
        <v>30855.786421934179</v>
      </c>
      <c r="BX30" s="382">
        <f>BX7/$BX$26</f>
        <v>34443.199661811632</v>
      </c>
      <c r="BY30" s="382">
        <f>BY7/$BY$26</f>
        <v>41980.917774828515</v>
      </c>
      <c r="BZ30" s="382">
        <f>BZ7/$BZ$26</f>
        <v>39422.525921143926</v>
      </c>
      <c r="CA30" s="380">
        <f>SUM(BO30:BZ30)</f>
        <v>428170.73025647382</v>
      </c>
      <c r="CB30" s="381">
        <f>CB7/$CB$26</f>
        <v>42475.880165241222</v>
      </c>
      <c r="CC30" s="382">
        <f>CC7/$CC$26</f>
        <v>40056.10224590257</v>
      </c>
      <c r="CD30" s="382">
        <f>CD7/$CD$26</f>
        <v>41928.756078521044</v>
      </c>
      <c r="CE30" s="382">
        <f>CE7/$CE$26</f>
        <v>97788.270552010581</v>
      </c>
      <c r="CF30" s="382">
        <f>CF7/$CF$26</f>
        <v>34594.976572917869</v>
      </c>
      <c r="CG30" s="382">
        <f>CG7/$CG$26</f>
        <v>41793.663567099466</v>
      </c>
      <c r="CH30" s="382">
        <f>CH7/$CH$26</f>
        <v>41877.864669206123</v>
      </c>
      <c r="CI30" s="382">
        <f>CI7/$CI$26</f>
        <v>43219.516106148869</v>
      </c>
      <c r="CJ30" s="382">
        <f>CJ7/$CJ$26</f>
        <v>45926.083824988702</v>
      </c>
      <c r="CK30" s="382">
        <f>CK7/$CK$26</f>
        <v>44736.684543337054</v>
      </c>
      <c r="CL30" s="382">
        <f>CL7/$CL$26</f>
        <v>44870.614909956144</v>
      </c>
      <c r="CM30" s="382">
        <f>CM7/$CM$26</f>
        <v>47632.77682283138</v>
      </c>
      <c r="CN30" s="380">
        <f>SUM(CB30:CM30)</f>
        <v>566901.19005816104</v>
      </c>
      <c r="CO30" s="381">
        <f>CO7/$CO$26</f>
        <v>49956.085964597965</v>
      </c>
      <c r="CP30" s="382">
        <f>CP7/$CP$26</f>
        <v>34636.670236335973</v>
      </c>
      <c r="CQ30" s="382">
        <f>CQ7/$CQ$26</f>
        <v>44105.681393123697</v>
      </c>
      <c r="CR30" s="382">
        <f>CR7/$CR$26</f>
        <v>123585.39318445507</v>
      </c>
      <c r="CS30" s="382">
        <f>CS7/$CS$26</f>
        <v>38592.080006639677</v>
      </c>
      <c r="CT30" s="382">
        <f>CT7/$CT$26</f>
        <v>44344.03624679707</v>
      </c>
      <c r="CU30" s="382">
        <f>CU7/$CU$26</f>
        <v>44611.038604498062</v>
      </c>
      <c r="CV30" s="382">
        <f>CV7/$CV$26</f>
        <v>41730.994417669368</v>
      </c>
      <c r="CW30" s="382">
        <f>CW7/$CW$26</f>
        <v>41606.020398601249</v>
      </c>
      <c r="CX30" s="382">
        <f>CX7/$CX$26</f>
        <v>42047.578628990646</v>
      </c>
      <c r="CY30" s="382">
        <f>CY7/$CY$26</f>
        <v>43270.964859517182</v>
      </c>
      <c r="CZ30" s="382">
        <f>CZ7/$CZ$26</f>
        <v>43909.971893726528</v>
      </c>
      <c r="DA30" s="380">
        <f>SUM(CO30:CZ30)</f>
        <v>592396.51583495247</v>
      </c>
      <c r="DB30" s="381">
        <f>DB7/$DB$26</f>
        <v>39590.331552494834</v>
      </c>
      <c r="DC30" s="382">
        <f>DC7/$DC$26</f>
        <v>32628.562291510429</v>
      </c>
      <c r="DD30" s="382">
        <f>DD7/$DD$26</f>
        <v>38708.955250249142</v>
      </c>
      <c r="DE30" s="382">
        <f>DE7/$DE$26</f>
        <v>118996.61965653759</v>
      </c>
      <c r="DF30" s="382">
        <f>DF7/$DF$26</f>
        <v>32711.110143160047</v>
      </c>
      <c r="DG30" s="382">
        <f>DG7/$DG$26</f>
        <v>36990.153082511206</v>
      </c>
      <c r="DH30" s="382">
        <f>DH7/$DH$26</f>
        <v>34080.657279095831</v>
      </c>
      <c r="DI30" s="382">
        <f>DI7/$DI$26</f>
        <v>37660.333130540836</v>
      </c>
      <c r="DJ30" s="382">
        <f>DJ7/$DJ$26</f>
        <v>36661.084760708349</v>
      </c>
      <c r="DK30" s="382">
        <f>DK7/$DK$26</f>
        <v>33859.152473572773</v>
      </c>
      <c r="DL30" s="382">
        <f>DL7/$DL$26</f>
        <v>37582.428866064794</v>
      </c>
      <c r="DM30" s="382">
        <f>DM7/$DM$26</f>
        <v>34595.880330814711</v>
      </c>
      <c r="DN30" s="380">
        <f>SUM(DB30:DM30)</f>
        <v>514065.26881726051</v>
      </c>
      <c r="DO30" s="381">
        <f>DO7/$DO$26</f>
        <v>41658.511117711139</v>
      </c>
      <c r="DP30" s="382">
        <f>DP7/$DP$26</f>
        <v>32405.823741427768</v>
      </c>
      <c r="DQ30" s="382">
        <f>DQ7/$DQ$26</f>
        <v>34618.308675410299</v>
      </c>
      <c r="DR30" s="382">
        <f>DR7/$DR$26</f>
        <v>113299.63654077123</v>
      </c>
      <c r="DS30" s="382">
        <f>DS7/$DS$26</f>
        <v>32434.288743254099</v>
      </c>
      <c r="DT30" s="382">
        <f>DT7/$DT$26</f>
        <v>42926.479956088777</v>
      </c>
      <c r="DU30" s="382">
        <f>DU7/$DU$26</f>
        <v>38656.36132620518</v>
      </c>
      <c r="DV30" s="382">
        <f>DV7/$DV$26</f>
        <v>38899.760136871046</v>
      </c>
      <c r="DW30" s="382">
        <f>DW7/$DW$26</f>
        <v>41755.981379299585</v>
      </c>
      <c r="DX30" s="382">
        <f>DX7/$DX$26</f>
        <v>40304.745089168478</v>
      </c>
      <c r="DY30" s="382">
        <f>DY7/$DY$26</f>
        <v>43418.603043110175</v>
      </c>
      <c r="DZ30" s="382">
        <f>DZ7/$DZ$26</f>
        <v>42511.338401717716</v>
      </c>
      <c r="EA30" s="380">
        <f>SUM(DO30:DZ30)</f>
        <v>542889.8381510356</v>
      </c>
      <c r="EB30" s="381">
        <f>EB7/$EB$26</f>
        <v>48085.415948684975</v>
      </c>
      <c r="EC30" s="382">
        <f>EC7/$EC$26</f>
        <v>64296.622365997224</v>
      </c>
      <c r="ED30" s="382">
        <f>ED7/$ED$26</f>
        <v>39614.878362092517</v>
      </c>
      <c r="EE30" s="382">
        <f>EE7/$EE$26</f>
        <v>124143.09582451951</v>
      </c>
      <c r="EF30" s="382">
        <f>EF7/$EF$26</f>
        <v>36426.02784875517</v>
      </c>
      <c r="EG30" s="382">
        <f>EG7/$EG$26</f>
        <v>36828.797360951285</v>
      </c>
      <c r="EH30" s="382">
        <f>EH7/$EH$26</f>
        <v>39387.492795012171</v>
      </c>
      <c r="EI30" s="382">
        <f>EI7/$EI$26</f>
        <v>41461.872866035323</v>
      </c>
      <c r="EJ30" s="382">
        <f>EJ7/$EJ$26</f>
        <v>44178.942722282067</v>
      </c>
      <c r="EK30" s="382">
        <f>EK7/$EK$26</f>
        <v>47001.556401517228</v>
      </c>
      <c r="EL30" s="382">
        <f>EL7/$EL$26</f>
        <v>44755.397360475064</v>
      </c>
      <c r="EM30" s="382">
        <f>EM7/$EM$26</f>
        <v>46343.115987446166</v>
      </c>
      <c r="EN30" s="380">
        <f>SUM(EB30:EM30)</f>
        <v>612523.21584376879</v>
      </c>
      <c r="EO30" s="381">
        <f>EO7/$EO$26</f>
        <v>50589.693896783501</v>
      </c>
      <c r="EP30" s="382">
        <f>EP7/$EP$26</f>
        <v>39353.152440274025</v>
      </c>
      <c r="EQ30" s="382">
        <f>EQ7/$EQ$26</f>
        <v>42293.647033878769</v>
      </c>
      <c r="ER30" s="382">
        <f>ER7/$ER$26</f>
        <v>138259.81076043303</v>
      </c>
      <c r="ES30" s="382">
        <f>ES7/$ES$26</f>
        <v>40082.414811553987</v>
      </c>
      <c r="ET30" s="382">
        <f>ET7/$ET$26</f>
        <v>43119.317664142516</v>
      </c>
      <c r="EU30" s="382">
        <f>EU7/$EU$26</f>
        <v>48908.415158796794</v>
      </c>
      <c r="EV30" s="969">
        <f>EV7/$EV$26</f>
        <v>44255.219042904762</v>
      </c>
      <c r="EW30" s="382"/>
      <c r="EX30" s="382"/>
      <c r="EY30" s="382"/>
      <c r="EZ30" s="382"/>
      <c r="FA30" s="380">
        <f>SUM(EO30:EZ30)</f>
        <v>446861.67080876743</v>
      </c>
      <c r="FC30" s="383">
        <f>IFERROR((((EV30/EI30)-1)*100),"")</f>
        <v>6.7371442334378751</v>
      </c>
      <c r="FD30" s="383">
        <f>IFERROR(((FF30/FE30)-1)*100,"")</f>
        <v>3.8623338342456348</v>
      </c>
      <c r="FE30" s="384">
        <f>SUMIFS($B30:$FA30,$B$5:$FA$5,"&gt;="&amp;DATE(YEAR($FC$5)-1,1,1),$B$5:$FA$5,"&lt;="&amp;DATE(YEAR($FC$5)-1,MONTH($FC$5),1))</f>
        <v>430244.20337204821</v>
      </c>
      <c r="FF30" s="384">
        <f>SUMIFS($B30:$FA30,$B$5:$FA$5,"&gt;="&amp;DATE(YEAR($FC$5),1,1),$B$5:$FA$5,"&lt;="&amp;$FC$5)</f>
        <v>446861.67080876743</v>
      </c>
      <c r="FG30" s="142"/>
    </row>
    <row r="31" spans="1:163" ht="15" customHeight="1" x14ac:dyDescent="0.25">
      <c r="A31" s="161"/>
      <c r="B31" s="162"/>
      <c r="N31" s="161"/>
      <c r="O31" s="162"/>
      <c r="AA31" s="161"/>
      <c r="AB31" s="162"/>
      <c r="AN31" s="161"/>
      <c r="AO31" s="162"/>
      <c r="BA31" s="161"/>
      <c r="BB31" s="162"/>
      <c r="BN31" s="161"/>
      <c r="BO31" s="162"/>
      <c r="CA31" s="161"/>
      <c r="CB31" s="162"/>
      <c r="CN31" s="161"/>
      <c r="CO31" s="162"/>
      <c r="DA31" s="161"/>
      <c r="DB31" s="162"/>
      <c r="DN31" s="161"/>
      <c r="DO31" s="162"/>
      <c r="EA31" s="161"/>
      <c r="EB31" s="162"/>
      <c r="EN31" s="161"/>
      <c r="EO31" s="162"/>
      <c r="FA31" s="161"/>
      <c r="FC31" s="149" t="str">
        <f t="shared" ref="FC31:FC44" si="67">IFERROR((((EV31/EI31)-1)*100),"")</f>
        <v/>
      </c>
      <c r="FD31" s="149"/>
      <c r="FE31" s="148"/>
      <c r="FF31" s="148"/>
      <c r="FG31" s="142"/>
    </row>
    <row r="32" spans="1:163" ht="15" customHeight="1" x14ac:dyDescent="0.25">
      <c r="A32" s="234" t="s">
        <v>196</v>
      </c>
      <c r="B32" s="272">
        <f t="shared" ref="B32:B42" si="68">B9/$B$26</f>
        <v>21120.77272323806</v>
      </c>
      <c r="C32" s="147">
        <f t="shared" ref="C32:C42" si="69">C9/$C$26</f>
        <v>13661.754944909067</v>
      </c>
      <c r="D32" s="147">
        <f t="shared" ref="D32:D42" si="70">D9/$D$26</f>
        <v>16254.666022572572</v>
      </c>
      <c r="E32" s="147">
        <f t="shared" ref="E32:E42" si="71">E9/$E$26</f>
        <v>17438.713910761155</v>
      </c>
      <c r="F32" s="147">
        <f t="shared" ref="F32:F42" si="72">F9/$F$26</f>
        <v>13215.895249695492</v>
      </c>
      <c r="G32" s="147">
        <f t="shared" ref="G32:G42" si="73">G9/$G$26</f>
        <v>15110.995490808185</v>
      </c>
      <c r="H32" s="147">
        <f t="shared" ref="H32:H42" si="74">H9/$H$26</f>
        <v>27991.745328084995</v>
      </c>
      <c r="I32" s="147">
        <f t="shared" ref="I32:I42" si="75">I9/$I$26</f>
        <v>28535.695793865925</v>
      </c>
      <c r="J32" s="147">
        <f t="shared" ref="J32:J42" si="76">J9/$J$26</f>
        <v>28382.075328075996</v>
      </c>
      <c r="K32" s="147">
        <f t="shared" ref="K32:K42" si="77">K9/$K$26</f>
        <v>29040.18060749795</v>
      </c>
      <c r="L32" s="147">
        <f t="shared" ref="L32:L42" si="78">L9/$L$26</f>
        <v>30952.505410972546</v>
      </c>
      <c r="M32" s="147">
        <f t="shared" ref="M32:M42" si="79">M9/$M$26</f>
        <v>30654.539695468222</v>
      </c>
      <c r="N32" s="234">
        <f t="shared" ref="N32:N42" si="80">SUM(B32:M32)</f>
        <v>272359.54050595016</v>
      </c>
      <c r="O32" s="272">
        <f t="shared" ref="O32:O42" si="81">O9/$O$26</f>
        <v>38922.292017311862</v>
      </c>
      <c r="P32" s="147">
        <f t="shared" ref="P32:P42" si="82">P9/$P$26</f>
        <v>26821.189072415506</v>
      </c>
      <c r="Q32" s="147">
        <f t="shared" ref="Q32:Q42" si="83">Q9/$Q$26</f>
        <v>30374.681241332</v>
      </c>
      <c r="R32" s="147">
        <f t="shared" ref="R32:R42" si="84">R9/$R$26</f>
        <v>29150.432053203305</v>
      </c>
      <c r="S32" s="147">
        <f t="shared" ref="S32:S42" si="85">S9/$S$26</f>
        <v>42637.472193082307</v>
      </c>
      <c r="T32" s="147">
        <f t="shared" ref="T32:T42" si="86">T9/$T$26</f>
        <v>29149.758166972515</v>
      </c>
      <c r="U32" s="147">
        <f t="shared" ref="U32:U42" si="87">U9/$U$26</f>
        <v>31492.001039308117</v>
      </c>
      <c r="V32" s="147">
        <f t="shared" ref="V32:V42" si="88">V9/$V$26</f>
        <v>31359.56801538575</v>
      </c>
      <c r="W32" s="147">
        <f t="shared" ref="W32:W42" si="89">W9/$W$26</f>
        <v>31079.321493423093</v>
      </c>
      <c r="X32" s="147">
        <f t="shared" ref="X32:X42" si="90">X9/$X$26</f>
        <v>29771.004712230479</v>
      </c>
      <c r="Y32" s="147">
        <f t="shared" ref="Y32:Y42" si="91">Y9/$Y$26</f>
        <v>31535.653550694897</v>
      </c>
      <c r="Z32" s="147">
        <f t="shared" ref="Z32:Z42" si="92">Z9/$Z$26</f>
        <v>31330.566798661541</v>
      </c>
      <c r="AA32" s="234">
        <f t="shared" ref="AA32:AA42" si="93">SUM(O32:Z32)</f>
        <v>383623.94035402132</v>
      </c>
      <c r="AB32" s="272">
        <f t="shared" ref="AB32:AB42" si="94">AB9/$AB$26</f>
        <v>38556.070611215575</v>
      </c>
      <c r="AC32" s="147">
        <f t="shared" ref="AC32:AC42" si="95">AC9/$AC$26</f>
        <v>26342.005652385556</v>
      </c>
      <c r="AD32" s="147">
        <f t="shared" ref="AD32:AD42" si="96">AD9/$AD$26</f>
        <v>29364.058208002523</v>
      </c>
      <c r="AE32" s="147">
        <f t="shared" ref="AE32:AE42" si="97">AE9/$AE$26</f>
        <v>29032.919147467426</v>
      </c>
      <c r="AF32" s="147">
        <f t="shared" ref="AF32:AF42" si="98">AF9/$AF$26</f>
        <v>26475.621732474508</v>
      </c>
      <c r="AG32" s="147">
        <f t="shared" ref="AG32:AG42" si="99">AG9/$AG$26</f>
        <v>30638.570250683486</v>
      </c>
      <c r="AH32" s="147">
        <f t="shared" ref="AH32:AH42" si="100">AH9/$AH$26</f>
        <v>31477.057001999437</v>
      </c>
      <c r="AI32" s="147">
        <f t="shared" ref="AI32:AI42" si="101">AI9/$AI$26</f>
        <v>31203.152000114726</v>
      </c>
      <c r="AJ32" s="147">
        <f t="shared" ref="AJ32:AJ42" si="102">AJ9/$AJ$26</f>
        <v>31172.1971614828</v>
      </c>
      <c r="AK32" s="147">
        <f t="shared" ref="AK32:AK42" si="103">AK9/$AK$26</f>
        <v>31458.669587272307</v>
      </c>
      <c r="AL32" s="147">
        <f t="shared" ref="AL32:AL42" si="104">AL9/$AL$26</f>
        <v>29847.52044599285</v>
      </c>
      <c r="AM32" s="147">
        <f t="shared" ref="AM32:AM42" si="105">AM9/$AM$26</f>
        <v>30663.978198112785</v>
      </c>
      <c r="AN32" s="234">
        <f t="shared" ref="AN32:AN42" si="106">SUM(AB32:AM32)</f>
        <v>366231.819997204</v>
      </c>
      <c r="AO32" s="272">
        <f t="shared" ref="AO32:AO42" si="107">AO9/$AO$26</f>
        <v>40418.040168999272</v>
      </c>
      <c r="AP32" s="147">
        <f t="shared" ref="AP32:AP42" si="108">AP9/$AP$26</f>
        <v>27647.015023471384</v>
      </c>
      <c r="AQ32" s="147">
        <f t="shared" ref="AQ32:AQ42" si="109">AQ9/$AQ$26</f>
        <v>46873.72312425181</v>
      </c>
      <c r="AR32" s="147">
        <f t="shared" ref="AR32:AR42" si="110">AR9/$AR$26</f>
        <v>36961.620567220598</v>
      </c>
      <c r="AS32" s="147">
        <f t="shared" ref="AS32:AS42" si="111">AS9/$AS$26</f>
        <v>30817.716546880794</v>
      </c>
      <c r="AT32" s="147">
        <f t="shared" ref="AT32:AT42" si="112">AT9/$AT$26</f>
        <v>35088.91831655756</v>
      </c>
      <c r="AU32" s="147">
        <f t="shared" ref="AU32:AU42" si="113">AU9/$AU$26</f>
        <v>37470.505663898934</v>
      </c>
      <c r="AV32" s="147">
        <f t="shared" ref="AV32:AV42" si="114">AV9/$AV$26</f>
        <v>28647.355830436743</v>
      </c>
      <c r="AW32" s="147">
        <f t="shared" ref="AW32:AW42" si="115">AW9/$AW$26</f>
        <v>31635.414725053095</v>
      </c>
      <c r="AX32" s="147">
        <f t="shared" ref="AX32:AX42" si="116">AX9/$AX$26</f>
        <v>33736.601221726691</v>
      </c>
      <c r="AY32" s="147">
        <f t="shared" ref="AY32:AY42" si="117">AY9/$AY$26</f>
        <v>32349.14464666805</v>
      </c>
      <c r="AZ32" s="147">
        <f t="shared" ref="AZ32:AZ42" si="118">AZ9/$AZ$26</f>
        <v>31826.689062761081</v>
      </c>
      <c r="BA32" s="234">
        <f t="shared" ref="BA32:BA42" si="119">SUM(AO32:AZ32)</f>
        <v>413472.74489792594</v>
      </c>
      <c r="BB32" s="272">
        <f t="shared" ref="BB32:BB42" si="120">BB9/$BB$26</f>
        <v>37451.394673532392</v>
      </c>
      <c r="BC32" s="147">
        <f t="shared" ref="BC32:BC42" si="121">BC9/$BC$26</f>
        <v>26422.771576589384</v>
      </c>
      <c r="BD32" s="147">
        <f t="shared" ref="BD32:BD42" si="122">BD9/$BD$26</f>
        <v>28077.354969949727</v>
      </c>
      <c r="BE32" s="147">
        <f t="shared" ref="BE32:BE42" si="123">BE9/$BE$26</f>
        <v>89756.788453768953</v>
      </c>
      <c r="BF32" s="147">
        <f t="shared" ref="BF32:BF42" si="124">BF9/$BF$26</f>
        <v>27829.31593355129</v>
      </c>
      <c r="BG32" s="147">
        <f t="shared" ref="BG32:BG42" si="125">BG9/$BG$26</f>
        <v>29661.563896758838</v>
      </c>
      <c r="BH32" s="147">
        <f t="shared" ref="BH32:BH42" si="126">BH9/$BH$26</f>
        <v>36418.264826557002</v>
      </c>
      <c r="BI32" s="147">
        <f t="shared" ref="BI32:BI42" si="127">BI9/$BI$26</f>
        <v>33517.712925918357</v>
      </c>
      <c r="BJ32" s="147">
        <f t="shared" ref="BJ32:BJ42" si="128">BJ9/$BJ$26</f>
        <v>35989.748231398262</v>
      </c>
      <c r="BK32" s="147">
        <f t="shared" ref="BK32:BK42" si="129">BK9/$BK$26</f>
        <v>36820.956194261096</v>
      </c>
      <c r="BL32" s="147">
        <f t="shared" ref="BL32:BL42" si="130">BL9/$BL$26</f>
        <v>36182.989553025291</v>
      </c>
      <c r="BM32" s="147">
        <f t="shared" ref="BM32:BM42" si="131">BM9/$BM$26</f>
        <v>38453.420965409423</v>
      </c>
      <c r="BN32" s="234">
        <f t="shared" ref="BN32:BN44" si="132">SUM(BB32:BM32)</f>
        <v>456582.28220072004</v>
      </c>
      <c r="BO32" s="272">
        <f t="shared" ref="BO32:BO42" si="133">BO9/$BO$26</f>
        <v>46331.958267485097</v>
      </c>
      <c r="BP32" s="147">
        <f t="shared" ref="BP32:BP42" si="134">BP9/$BP$26</f>
        <v>31422.216458476822</v>
      </c>
      <c r="BQ32" s="147">
        <f t="shared" ref="BQ32:BQ42" si="135">BQ9/$BQ$26</f>
        <v>33638.650369050767</v>
      </c>
      <c r="BR32" s="147">
        <f t="shared" ref="BR32:BR42" si="136">BR9/$BR$26</f>
        <v>84900.844084456243</v>
      </c>
      <c r="BS32" s="147">
        <f t="shared" ref="BS32:BS42" si="137">BS9/$BS$26</f>
        <v>5502.109748140183</v>
      </c>
      <c r="BT32" s="147">
        <f t="shared" ref="BT32:BT42" si="138">BT9/$BT$26</f>
        <v>16829.344806237597</v>
      </c>
      <c r="BU32" s="147">
        <f t="shared" ref="BU32:BU42" si="139">BU9/$BU$26</f>
        <v>28955.919955835641</v>
      </c>
      <c r="BV32" s="147">
        <f t="shared" ref="BV32:BV42" si="140">BV9/$BV$26</f>
        <v>31910.824859747332</v>
      </c>
      <c r="BW32" s="147">
        <f t="shared" ref="BW32:BW42" si="141">BW9/$BW$26</f>
        <v>30303.962157956834</v>
      </c>
      <c r="BX32" s="147">
        <f t="shared" ref="BX32:BX42" si="142">BX9/$BX$26</f>
        <v>34273.793444177958</v>
      </c>
      <c r="BY32" s="147">
        <f t="shared" ref="BY32:BY42" si="143">BY9/$BY$26</f>
        <v>39798.248876395315</v>
      </c>
      <c r="BZ32" s="147">
        <f t="shared" ref="BZ32:BZ42" si="144">BZ9/$BZ$26</f>
        <v>39186.118135234057</v>
      </c>
      <c r="CA32" s="234">
        <f t="shared" ref="CA32:CA44" si="145">SUM(BO32:BZ32)</f>
        <v>423053.99116319389</v>
      </c>
      <c r="CB32" s="272">
        <f t="shared" ref="CB32:CB42" si="146">CB9/$CB$26</f>
        <v>42126.77134449147</v>
      </c>
      <c r="CC32" s="147">
        <f t="shared" ref="CC32:CC42" si="147">CC9/$CC$26</f>
        <v>39919.448657624249</v>
      </c>
      <c r="CD32" s="147">
        <f t="shared" ref="CD32:CD42" si="148">CD9/$CD$26</f>
        <v>41587.792992014089</v>
      </c>
      <c r="CE32" s="147">
        <f t="shared" ref="CE32:CE42" si="149">CE9/$CE$26</f>
        <v>97342.892772546911</v>
      </c>
      <c r="CF32" s="147">
        <f t="shared" ref="CF32:CF42" si="150">CF9/$CF$26</f>
        <v>34279.978157338002</v>
      </c>
      <c r="CG32" s="147">
        <f t="shared" ref="CG32:CG42" si="151">CG9/$CG$26</f>
        <v>41432.998862491688</v>
      </c>
      <c r="CH32" s="147">
        <f t="shared" ref="CH32:CH42" si="152">CH9/$CH$26</f>
        <v>41746.927922969327</v>
      </c>
      <c r="CI32" s="147">
        <f t="shared" ref="CI32:CI42" si="153">CI9/$CI$26</f>
        <v>43077.116016619759</v>
      </c>
      <c r="CJ32" s="147">
        <f t="shared" ref="CJ32:CJ42" si="154">CJ9/$CJ$26</f>
        <v>45719.745175045922</v>
      </c>
      <c r="CK32" s="147">
        <f t="shared" ref="CK32:CK42" si="155">CK9/$CK$26</f>
        <v>44560.584378235617</v>
      </c>
      <c r="CL32" s="147">
        <f t="shared" ref="CL32:CL42" si="156">CL9/$CL$26</f>
        <v>44649.232315871246</v>
      </c>
      <c r="CM32" s="147">
        <f t="shared" ref="CM32:CM42" si="157">CM9/$CM$26</f>
        <v>47222.584836754562</v>
      </c>
      <c r="CN32" s="234">
        <f t="shared" ref="CN32:CN44" si="158">SUM(CB32:CM32)</f>
        <v>563666.0734320028</v>
      </c>
      <c r="CO32" s="272">
        <f t="shared" ref="CO32:CO42" si="159">CO9/$CO$26</f>
        <v>49668.468573090671</v>
      </c>
      <c r="CP32" s="147">
        <f t="shared" ref="CP32:CP42" si="160">CP9/$CP$26</f>
        <v>34377.862305431052</v>
      </c>
      <c r="CQ32" s="147">
        <f t="shared" ref="CQ32:CQ42" si="161">CQ9/$CQ$26</f>
        <v>43798.617860212675</v>
      </c>
      <c r="CR32" s="147">
        <f t="shared" ref="CR32:CR42" si="162">CR9/$CR$26</f>
        <v>123186.80418518197</v>
      </c>
      <c r="CS32" s="147">
        <f t="shared" ref="CS32:CS42" si="163">CS9/$CS$26</f>
        <v>38359.892498680289</v>
      </c>
      <c r="CT32" s="147">
        <f t="shared" ref="CT32:CT42" si="164">CT9/$CT$26</f>
        <v>44090.537908169092</v>
      </c>
      <c r="CU32" s="147">
        <f t="shared" ref="CU32:CU42" si="165">CU9/$CU$26</f>
        <v>43887.548181608028</v>
      </c>
      <c r="CV32" s="147">
        <f t="shared" ref="CV32:CV42" si="166">CV9/$CV$26</f>
        <v>41580.813747073298</v>
      </c>
      <c r="CW32" s="147">
        <f t="shared" ref="CW32:CW42" si="167">CW9/$CW$26</f>
        <v>41348.038152094821</v>
      </c>
      <c r="CX32" s="147">
        <f t="shared" ref="CX32:CX42" si="168">CX9/$CX$26</f>
        <v>41786.707431303221</v>
      </c>
      <c r="CY32" s="147">
        <f t="shared" ref="CY32:CY42" si="169">CY9/$CY$26</f>
        <v>42922.749208968555</v>
      </c>
      <c r="CZ32" s="147">
        <f t="shared" ref="CZ32:CZ42" si="170">CZ9/$CZ$26</f>
        <v>43003.242804375761</v>
      </c>
      <c r="DA32" s="234">
        <f t="shared" ref="DA32:DA42" si="171">SUM(CO32:CZ32)</f>
        <v>588011.28285618941</v>
      </c>
      <c r="DB32" s="272">
        <f t="shared" ref="DB32:DB42" si="172">DB9/$DB$26</f>
        <v>39362.529635229548</v>
      </c>
      <c r="DC32" s="147">
        <f t="shared" ref="DC32:DC42" si="173">DC9/$DC$26</f>
        <v>32360.122317840054</v>
      </c>
      <c r="DD32" s="147">
        <f t="shared" ref="DD32:DD42" si="174">DD9/$DD$26</f>
        <v>38369.655666910905</v>
      </c>
      <c r="DE32" s="147">
        <f t="shared" ref="DE32:DE42" si="175">DE9/$DE$26</f>
        <v>118772.46279830541</v>
      </c>
      <c r="DF32" s="147">
        <f t="shared" ref="DF32:DF42" si="176">DF9/$DF$26</f>
        <v>32360.105055560412</v>
      </c>
      <c r="DG32" s="147">
        <f t="shared" ref="DG32:DG42" si="177">DG9/$DG$26</f>
        <v>36601.982905743564</v>
      </c>
      <c r="DH32" s="147">
        <f t="shared" ref="DH32:DH42" si="178">DH9/$DH$26</f>
        <v>33878.860628680042</v>
      </c>
      <c r="DI32" s="147">
        <f t="shared" ref="DI32:DI42" si="179">DI9/$DI$26</f>
        <v>37427.341631920084</v>
      </c>
      <c r="DJ32" s="147">
        <f t="shared" ref="DJ32:DJ42" si="180">DJ9/$DJ$26</f>
        <v>36436.03737328374</v>
      </c>
      <c r="DK32" s="147">
        <f t="shared" ref="DK32:DK42" si="181">DK9/$DK$26</f>
        <v>33696.272131323269</v>
      </c>
      <c r="DL32" s="147">
        <f t="shared" ref="DL32:DL42" si="182">DL9/$DL$26</f>
        <v>37308.264830175875</v>
      </c>
      <c r="DM32" s="147">
        <f t="shared" ref="DM32:DM42" si="183">DM9/$DM$26</f>
        <v>34395.385964388159</v>
      </c>
      <c r="DN32" s="234">
        <f t="shared" ref="DN32:DN44" si="184">SUM(DB32:DM32)</f>
        <v>510969.02093936107</v>
      </c>
      <c r="DO32" s="272">
        <f t="shared" ref="DO32:DO42" si="185">DO9/$DO$26</f>
        <v>41483.488733538354</v>
      </c>
      <c r="DP32" s="147">
        <f t="shared" ref="DP32:DP42" si="186">DP9/$DP$26</f>
        <v>32154.099499703851</v>
      </c>
      <c r="DQ32" s="147">
        <f t="shared" ref="DQ32:DQ42" si="187">DQ9/$DQ$26</f>
        <v>34426.116337246895</v>
      </c>
      <c r="DR32" s="147">
        <f t="shared" ref="DR32:DR42" si="188">DR9/$DR$26</f>
        <v>113020.4037834768</v>
      </c>
      <c r="DS32" s="147">
        <f t="shared" ref="DS32:DS42" si="189">DS9/$DS$26</f>
        <v>31940.357390441321</v>
      </c>
      <c r="DT32" s="147">
        <f t="shared" ref="DT32:DT42" si="190">DT9/$DT$26</f>
        <v>40260.324155649876</v>
      </c>
      <c r="DU32" s="147">
        <f t="shared" ref="DU32:DU42" si="191">DU9/$DU$26</f>
        <v>38506.51143589383</v>
      </c>
      <c r="DV32" s="147">
        <f t="shared" ref="DV32:DV42" si="192">DV9/$DV$26</f>
        <v>38153.056247811401</v>
      </c>
      <c r="DW32" s="147">
        <f t="shared" ref="DW32:DW42" si="193">DW9/$DW$26</f>
        <v>41621.437181829824</v>
      </c>
      <c r="DX32" s="147">
        <f t="shared" ref="DX32:DX42" si="194">DX9/$DX$26</f>
        <v>40090.837619340004</v>
      </c>
      <c r="DY32" s="147">
        <f t="shared" ref="DY32:DY42" si="195">DY9/$DY$26</f>
        <v>42655.318577712809</v>
      </c>
      <c r="DZ32" s="147">
        <f t="shared" ref="DZ32:DZ42" si="196">DZ9/$DZ$26</f>
        <v>41645.859792359981</v>
      </c>
      <c r="EA32" s="234">
        <f t="shared" ref="EA32:EA44" si="197">SUM(DO32:DZ32)</f>
        <v>535957.81075500487</v>
      </c>
      <c r="EB32" s="272">
        <f t="shared" ref="EB32:EB44" si="198">EB9/$EB$26</f>
        <v>47086.569043457006</v>
      </c>
      <c r="EC32" s="147">
        <f t="shared" ref="EC32:EC44" si="199">EC9/$EC$26</f>
        <v>64078.223836723046</v>
      </c>
      <c r="ED32" s="147">
        <f t="shared" ref="ED32:ED44" si="200">ED9/$ED$26</f>
        <v>39084.575046057806</v>
      </c>
      <c r="EE32" s="147">
        <f t="shared" ref="EE32:EE44" si="201">EE9/$EE$26</f>
        <v>123856.59616629867</v>
      </c>
      <c r="EF32" s="147">
        <f t="shared" ref="EF32:EF44" si="202">EF9/$EF$26</f>
        <v>36260.906737650548</v>
      </c>
      <c r="EG32" s="147">
        <f t="shared" ref="EG32:EG44" si="203">EG9/$EG$26</f>
        <v>36572.642777797933</v>
      </c>
      <c r="EH32" s="147">
        <f t="shared" ref="EH32:EH44" si="204">EH9/$EH$26</f>
        <v>38776.721924100908</v>
      </c>
      <c r="EI32" s="147">
        <f t="shared" ref="EI32:EI44" si="205">EI9/$EI$26</f>
        <v>41169.232639645699</v>
      </c>
      <c r="EJ32" s="147">
        <f t="shared" ref="EJ32:EJ44" si="206">EJ9/$EJ$26</f>
        <v>43892.518707897834</v>
      </c>
      <c r="EK32" s="147">
        <f t="shared" ref="EK32:EK44" si="207">EK9/$EK$26</f>
        <v>45511.504370442708</v>
      </c>
      <c r="EL32" s="147">
        <f t="shared" ref="EL32:EL44" si="208">EL9/$EL$26</f>
        <v>44440.328112347779</v>
      </c>
      <c r="EM32" s="147">
        <f t="shared" ref="EM32:EM44" si="209">EM9/$EM$26</f>
        <v>45635.752617079357</v>
      </c>
      <c r="EN32" s="234">
        <f t="shared" ref="EN32:EN42" si="210">SUM(EB32:EM32)</f>
        <v>606365.57197949919</v>
      </c>
      <c r="EO32" s="272">
        <f t="shared" ref="EO32:EO44" si="211">EO9/$EO$26</f>
        <v>49093.279978788218</v>
      </c>
      <c r="EP32" s="147">
        <f t="shared" ref="EP32:EP44" si="212">EP9/$EP$26</f>
        <v>38935.825838508368</v>
      </c>
      <c r="EQ32" s="147">
        <f t="shared" ref="EQ32:EQ44" si="213">EQ9/$EQ$26</f>
        <v>41847.202623713289</v>
      </c>
      <c r="ER32" s="147">
        <f t="shared" ref="ER32:ER42" si="214">ER9/$ER$26</f>
        <v>137735.67218262583</v>
      </c>
      <c r="ES32" s="147">
        <f t="shared" ref="ES32:ES44" si="215">ES9/$ES$26</f>
        <v>39731.548331127087</v>
      </c>
      <c r="ET32" s="147">
        <f t="shared" ref="ET32:ET44" si="216">ET9/$ET$26</f>
        <v>42521.523294205748</v>
      </c>
      <c r="EU32" s="147">
        <f t="shared" ref="EU32:EU44" si="217">EU9/$EU$26</f>
        <v>48270.013409018611</v>
      </c>
      <c r="EV32" s="951">
        <f t="shared" ref="EV32:EV44" si="218">EV9/$EV$26</f>
        <v>43399.390544672642</v>
      </c>
      <c r="EW32" s="147"/>
      <c r="EX32" s="147"/>
      <c r="EY32" s="147"/>
      <c r="EZ32" s="147"/>
      <c r="FA32" s="234">
        <f t="shared" ref="FA32:FA42" si="219">SUM(EO32:EZ32)</f>
        <v>441534.45620265976</v>
      </c>
      <c r="FC32" s="146">
        <f t="shared" si="67"/>
        <v>5.417049971631771</v>
      </c>
      <c r="FD32" s="146">
        <f t="shared" ref="FD32:FD42" si="220">IFERROR(((FF32/FE32)-1)*100,"")</f>
        <v>3.4315967919139823</v>
      </c>
      <c r="FE32" s="143">
        <f t="shared" ref="FE32:FE42" si="221">SUMIFS($B32:$FA32,$B$5:$FA$5,"&gt;="&amp;DATE(YEAR($FC$5)-1,1,1),$B$5:$FA$5,"&lt;="&amp;DATE(YEAR($FC$5)-1,MONTH($FC$5),1))</f>
        <v>426885.46817173163</v>
      </c>
      <c r="FF32" s="143">
        <f>SUMIFS($B32:$FA32,$B$5:$FA$5,"&gt;="&amp;DATE(YEAR($FC$5),1,1),$B$5:$FA$5,"&lt;="&amp;$FC$5)</f>
        <v>441534.45620265976</v>
      </c>
      <c r="FG32" s="142"/>
    </row>
    <row r="33" spans="1:163" ht="15" customHeight="1" x14ac:dyDescent="0.25">
      <c r="A33" s="398" t="s">
        <v>222</v>
      </c>
      <c r="B33" s="162">
        <f t="shared" si="68"/>
        <v>7811.1496493875393</v>
      </c>
      <c r="C33" s="151">
        <f t="shared" si="69"/>
        <v>5513.7395459976105</v>
      </c>
      <c r="D33" s="151">
        <f t="shared" si="70"/>
        <v>7365.3330991172979</v>
      </c>
      <c r="E33" s="151">
        <f t="shared" si="71"/>
        <v>7137.7952755905508</v>
      </c>
      <c r="F33" s="151">
        <f t="shared" si="72"/>
        <v>4539.0203584478859</v>
      </c>
      <c r="G33" s="151">
        <f t="shared" si="73"/>
        <v>4877.7315296566076</v>
      </c>
      <c r="H33" s="151">
        <f t="shared" si="74"/>
        <v>9473.7646654182754</v>
      </c>
      <c r="I33" s="151">
        <f t="shared" si="75"/>
        <v>9759.9975634270395</v>
      </c>
      <c r="J33" s="151">
        <f t="shared" si="76"/>
        <v>9747.1302865146299</v>
      </c>
      <c r="K33" s="151">
        <f t="shared" si="77"/>
        <v>9720.5752683267965</v>
      </c>
      <c r="L33" s="151">
        <f t="shared" si="78"/>
        <v>11122.02017722687</v>
      </c>
      <c r="M33" s="151">
        <f t="shared" si="79"/>
        <v>10626.937261024004</v>
      </c>
      <c r="N33" s="161">
        <f t="shared" si="80"/>
        <v>97695.1946801351</v>
      </c>
      <c r="O33" s="162">
        <f t="shared" si="81"/>
        <v>13052.716999278673</v>
      </c>
      <c r="P33" s="151">
        <f t="shared" si="82"/>
        <v>10180.251136414781</v>
      </c>
      <c r="Q33" s="151">
        <f t="shared" si="83"/>
        <v>13533.411873480771</v>
      </c>
      <c r="R33" s="151">
        <f t="shared" si="84"/>
        <v>9730.5538780409606</v>
      </c>
      <c r="S33" s="151">
        <f t="shared" si="85"/>
        <v>24583.324033360859</v>
      </c>
      <c r="T33" s="151">
        <f t="shared" si="86"/>
        <v>10016.122201832135</v>
      </c>
      <c r="U33" s="151">
        <f t="shared" si="87"/>
        <v>10480.457295571805</v>
      </c>
      <c r="V33" s="151">
        <f t="shared" si="88"/>
        <v>11104.371625120202</v>
      </c>
      <c r="W33" s="151">
        <f t="shared" si="89"/>
        <v>10744.79235868137</v>
      </c>
      <c r="X33" s="151">
        <f t="shared" si="90"/>
        <v>10528.490248402913</v>
      </c>
      <c r="Y33" s="151">
        <f t="shared" si="91"/>
        <v>11083.240485545066</v>
      </c>
      <c r="Z33" s="151">
        <f t="shared" si="92"/>
        <v>10750.617356108538</v>
      </c>
      <c r="AA33" s="161">
        <f t="shared" si="93"/>
        <v>145788.34949183807</v>
      </c>
      <c r="AB33" s="162">
        <f t="shared" si="94"/>
        <v>12820.002623868459</v>
      </c>
      <c r="AC33" s="151">
        <f t="shared" si="95"/>
        <v>9727.6247629703375</v>
      </c>
      <c r="AD33" s="151">
        <f t="shared" si="96"/>
        <v>12334.129426024341</v>
      </c>
      <c r="AE33" s="151">
        <f t="shared" si="97"/>
        <v>9065.20551097305</v>
      </c>
      <c r="AF33" s="151">
        <f t="shared" si="98"/>
        <v>8592.3283556223087</v>
      </c>
      <c r="AG33" s="151">
        <f t="shared" si="99"/>
        <v>9571.104135626565</v>
      </c>
      <c r="AH33" s="151">
        <f t="shared" si="100"/>
        <v>9717.3359126311007</v>
      </c>
      <c r="AI33" s="151">
        <f t="shared" si="101"/>
        <v>10458.889916611097</v>
      </c>
      <c r="AJ33" s="151">
        <f t="shared" si="102"/>
        <v>9528.3242134553457</v>
      </c>
      <c r="AK33" s="151">
        <f t="shared" si="103"/>
        <v>9862.6642840673267</v>
      </c>
      <c r="AL33" s="151">
        <f t="shared" si="104"/>
        <v>9044.7863035512219</v>
      </c>
      <c r="AM33" s="151">
        <f t="shared" si="105"/>
        <v>10029.487733872797</v>
      </c>
      <c r="AN33" s="161">
        <f t="shared" si="106"/>
        <v>120751.88317927395</v>
      </c>
      <c r="AO33" s="162">
        <f t="shared" si="107"/>
        <v>12816.371635948526</v>
      </c>
      <c r="AP33" s="151">
        <f t="shared" si="108"/>
        <v>10291.15252730827</v>
      </c>
      <c r="AQ33" s="151">
        <f t="shared" si="109"/>
        <v>26784.882556324901</v>
      </c>
      <c r="AR33" s="151">
        <f t="shared" si="110"/>
        <v>14539.725403562086</v>
      </c>
      <c r="AS33" s="151">
        <f t="shared" si="111"/>
        <v>11713.392373623539</v>
      </c>
      <c r="AT33" s="151">
        <f t="shared" si="112"/>
        <v>11206.067967745787</v>
      </c>
      <c r="AU33" s="151">
        <f t="shared" si="113"/>
        <v>12600.23453897639</v>
      </c>
      <c r="AV33" s="151">
        <f t="shared" si="114"/>
        <v>11068.057925443718</v>
      </c>
      <c r="AW33" s="151">
        <f t="shared" si="115"/>
        <v>8735.5550445961162</v>
      </c>
      <c r="AX33" s="151">
        <f t="shared" si="116"/>
        <v>11692.886125803287</v>
      </c>
      <c r="AY33" s="151">
        <f t="shared" si="117"/>
        <v>10081.951726905099</v>
      </c>
      <c r="AZ33" s="151">
        <f t="shared" si="118"/>
        <v>9952.6568096273859</v>
      </c>
      <c r="BA33" s="161">
        <f t="shared" si="119"/>
        <v>151482.93463586512</v>
      </c>
      <c r="BB33" s="162">
        <f t="shared" si="120"/>
        <v>9173.3368694264373</v>
      </c>
      <c r="BC33" s="151">
        <f t="shared" si="121"/>
        <v>7669.7820337928288</v>
      </c>
      <c r="BD33" s="151">
        <f t="shared" si="122"/>
        <v>9652.5824003883336</v>
      </c>
      <c r="BE33" s="151">
        <f t="shared" si="123"/>
        <v>65515.36427003151</v>
      </c>
      <c r="BF33" s="151">
        <f t="shared" si="124"/>
        <v>8304.2323249044439</v>
      </c>
      <c r="BG33" s="151">
        <f t="shared" si="125"/>
        <v>7731.4887042748114</v>
      </c>
      <c r="BH33" s="151">
        <f t="shared" si="126"/>
        <v>9522.8288771606112</v>
      </c>
      <c r="BI33" s="151">
        <f t="shared" si="127"/>
        <v>9391.3343566691783</v>
      </c>
      <c r="BJ33" s="151">
        <f t="shared" si="128"/>
        <v>7374.5722863884603</v>
      </c>
      <c r="BK33" s="151">
        <f t="shared" si="129"/>
        <v>7677.5318215105071</v>
      </c>
      <c r="BL33" s="151">
        <f t="shared" si="130"/>
        <v>10847.064674592977</v>
      </c>
      <c r="BM33" s="151">
        <f t="shared" si="131"/>
        <v>9083.7480046396486</v>
      </c>
      <c r="BN33" s="161">
        <f t="shared" si="132"/>
        <v>161943.86662377976</v>
      </c>
      <c r="BO33" s="162">
        <f t="shared" si="133"/>
        <v>10555.091792566709</v>
      </c>
      <c r="BP33" s="151">
        <f t="shared" si="134"/>
        <v>8681.9263261528849</v>
      </c>
      <c r="BQ33" s="151">
        <f t="shared" si="135"/>
        <v>11560.434948759585</v>
      </c>
      <c r="BR33" s="151">
        <f t="shared" si="136"/>
        <v>74205.863853612886</v>
      </c>
      <c r="BS33" s="151">
        <f t="shared" si="137"/>
        <v>2608.2113769763887</v>
      </c>
      <c r="BT33" s="151">
        <f t="shared" si="138"/>
        <v>3735.7899970546273</v>
      </c>
      <c r="BU33" s="151">
        <f t="shared" si="139"/>
        <v>6293.0840532908996</v>
      </c>
      <c r="BV33" s="151">
        <f t="shared" si="140"/>
        <v>7277.3854951625253</v>
      </c>
      <c r="BW33" s="151">
        <f t="shared" si="141"/>
        <v>6998.2653655968388</v>
      </c>
      <c r="BX33" s="151">
        <f t="shared" si="142"/>
        <v>8540.2310617953499</v>
      </c>
      <c r="BY33" s="151">
        <f t="shared" si="143"/>
        <v>8999.8750473768687</v>
      </c>
      <c r="BZ33" s="151">
        <f t="shared" si="144"/>
        <v>9076.2394129820295</v>
      </c>
      <c r="CA33" s="161">
        <f t="shared" si="145"/>
        <v>158532.39873132759</v>
      </c>
      <c r="CB33" s="162">
        <f t="shared" si="146"/>
        <v>11127.270799433812</v>
      </c>
      <c r="CC33" s="151">
        <f t="shared" si="147"/>
        <v>11811.99875451092</v>
      </c>
      <c r="CD33" s="151">
        <f t="shared" si="148"/>
        <v>17752.499072253442</v>
      </c>
      <c r="CE33" s="151">
        <f t="shared" si="149"/>
        <v>68619.666465663642</v>
      </c>
      <c r="CF33" s="151">
        <f t="shared" si="150"/>
        <v>9206.0374694571165</v>
      </c>
      <c r="CG33" s="151">
        <f t="shared" si="151"/>
        <v>10529.717734137132</v>
      </c>
      <c r="CH33" s="151">
        <f t="shared" si="152"/>
        <v>10330.085208324366</v>
      </c>
      <c r="CI33" s="151">
        <f t="shared" si="153"/>
        <v>10855.973557711548</v>
      </c>
      <c r="CJ33" s="151">
        <f t="shared" si="154"/>
        <v>12163.419908298954</v>
      </c>
      <c r="CK33" s="151">
        <f t="shared" si="155"/>
        <v>11249.291867770911</v>
      </c>
      <c r="CL33" s="151">
        <f t="shared" si="156"/>
        <v>12042.678813092336</v>
      </c>
      <c r="CM33" s="151">
        <f t="shared" si="157"/>
        <v>13601.72401279153</v>
      </c>
      <c r="CN33" s="161">
        <f t="shared" si="158"/>
        <v>199290.36366344572</v>
      </c>
      <c r="CO33" s="162">
        <f t="shared" si="159"/>
        <v>12787.698988781574</v>
      </c>
      <c r="CP33" s="151">
        <f t="shared" si="160"/>
        <v>9731.3651766323492</v>
      </c>
      <c r="CQ33" s="151">
        <f t="shared" si="161"/>
        <v>20150.545602705297</v>
      </c>
      <c r="CR33" s="151">
        <f t="shared" si="162"/>
        <v>91814.683879600067</v>
      </c>
      <c r="CS33" s="151">
        <f t="shared" si="163"/>
        <v>10189.960038777966</v>
      </c>
      <c r="CT33" s="151">
        <f t="shared" si="164"/>
        <v>9976.4006119406768</v>
      </c>
      <c r="CU33" s="151">
        <f t="shared" si="165"/>
        <v>10768.13960899339</v>
      </c>
      <c r="CV33" s="151">
        <f t="shared" si="166"/>
        <v>10956.979316936644</v>
      </c>
      <c r="CW33" s="151">
        <f t="shared" si="167"/>
        <v>10276.594412161368</v>
      </c>
      <c r="CX33" s="151">
        <f t="shared" si="168"/>
        <v>10156.701086226729</v>
      </c>
      <c r="CY33" s="151">
        <f t="shared" si="169"/>
        <v>10843.606684193483</v>
      </c>
      <c r="CZ33" s="151">
        <f t="shared" si="170"/>
        <v>13843.192412674927</v>
      </c>
      <c r="DA33" s="161">
        <f t="shared" si="171"/>
        <v>221495.86781962446</v>
      </c>
      <c r="DB33" s="162">
        <f t="shared" si="172"/>
        <v>10417.070745445551</v>
      </c>
      <c r="DC33" s="151">
        <f t="shared" si="173"/>
        <v>9839.5372604764652</v>
      </c>
      <c r="DD33" s="151">
        <f t="shared" si="174"/>
        <v>16092.504828337391</v>
      </c>
      <c r="DE33" s="151">
        <f t="shared" si="175"/>
        <v>93075.013273864883</v>
      </c>
      <c r="DF33" s="151">
        <f t="shared" si="176"/>
        <v>8871.6775090736664</v>
      </c>
      <c r="DG33" s="151">
        <f t="shared" si="177"/>
        <v>10317.55477885732</v>
      </c>
      <c r="DH33" s="151">
        <f t="shared" si="178"/>
        <v>8017.0651945801064</v>
      </c>
      <c r="DI33" s="151">
        <f t="shared" si="179"/>
        <v>9404.2624089744713</v>
      </c>
      <c r="DJ33" s="151">
        <f t="shared" si="180"/>
        <v>8801.666949206443</v>
      </c>
      <c r="DK33" s="151">
        <f t="shared" si="181"/>
        <v>8972.1372970134744</v>
      </c>
      <c r="DL33" s="151">
        <f t="shared" si="182"/>
        <v>9416.0910888827111</v>
      </c>
      <c r="DM33" s="151">
        <f t="shared" si="183"/>
        <v>9085.2949086669942</v>
      </c>
      <c r="DN33" s="161">
        <f t="shared" si="184"/>
        <v>202309.87624337946</v>
      </c>
      <c r="DO33" s="162">
        <f t="shared" si="185"/>
        <v>11469.762237526125</v>
      </c>
      <c r="DP33" s="151">
        <f t="shared" si="186"/>
        <v>10944.365315101859</v>
      </c>
      <c r="DQ33" s="151">
        <f t="shared" si="187"/>
        <v>13007.5085204958</v>
      </c>
      <c r="DR33" s="151">
        <f t="shared" si="188"/>
        <v>88905.194936903034</v>
      </c>
      <c r="DS33" s="151">
        <f t="shared" si="189"/>
        <v>9193.4854684571474</v>
      </c>
      <c r="DT33" s="151">
        <f t="shared" si="190"/>
        <v>13801.707205785237</v>
      </c>
      <c r="DU33" s="151">
        <f t="shared" si="191"/>
        <v>9890.155082766054</v>
      </c>
      <c r="DV33" s="151">
        <f t="shared" si="192"/>
        <v>10748.014099512866</v>
      </c>
      <c r="DW33" s="151">
        <f t="shared" si="193"/>
        <v>11245.304849173193</v>
      </c>
      <c r="DX33" s="151">
        <f t="shared" si="194"/>
        <v>11226.155363450356</v>
      </c>
      <c r="DY33" s="151">
        <f t="shared" si="195"/>
        <v>10629.994624910971</v>
      </c>
      <c r="DZ33" s="151">
        <f t="shared" si="196"/>
        <v>11029.850428231801</v>
      </c>
      <c r="EA33" s="161">
        <f t="shared" si="197"/>
        <v>212091.49813231442</v>
      </c>
      <c r="EB33" s="162">
        <f t="shared" si="198"/>
        <v>12728.413233708108</v>
      </c>
      <c r="EC33" s="151">
        <f t="shared" si="199"/>
        <v>10841.94821726788</v>
      </c>
      <c r="ED33" s="151">
        <f t="shared" si="200"/>
        <v>13189.84504351014</v>
      </c>
      <c r="EE33" s="151">
        <f t="shared" si="201"/>
        <v>96754.057600161861</v>
      </c>
      <c r="EF33" s="151">
        <f t="shared" si="202"/>
        <v>8896.3695525054154</v>
      </c>
      <c r="EG33" s="151">
        <f t="shared" si="203"/>
        <v>10143.115634042002</v>
      </c>
      <c r="EH33" s="151">
        <f t="shared" si="204"/>
        <v>10797.227766530299</v>
      </c>
      <c r="EI33" s="151">
        <f t="shared" si="205"/>
        <v>12266.299749542724</v>
      </c>
      <c r="EJ33" s="151">
        <f t="shared" si="206"/>
        <v>12268.500321171625</v>
      </c>
      <c r="EK33" s="151">
        <f t="shared" si="207"/>
        <v>12283.567397416578</v>
      </c>
      <c r="EL33" s="151">
        <f t="shared" si="208"/>
        <v>11916.256335741329</v>
      </c>
      <c r="EM33" s="151">
        <f t="shared" si="209"/>
        <v>12495.62385839898</v>
      </c>
      <c r="EN33" s="161">
        <f t="shared" si="210"/>
        <v>224581.22470999692</v>
      </c>
      <c r="EO33" s="162">
        <f t="shared" si="211"/>
        <v>13245.568936565531</v>
      </c>
      <c r="EP33" s="151">
        <f t="shared" si="212"/>
        <v>12249.777850729079</v>
      </c>
      <c r="EQ33" s="151">
        <f t="shared" si="213"/>
        <v>16389.349586806278</v>
      </c>
      <c r="ER33" s="151">
        <f t="shared" si="214"/>
        <v>108140.90224812455</v>
      </c>
      <c r="ES33" s="151">
        <f t="shared" si="215"/>
        <v>12322.593817928153</v>
      </c>
      <c r="ET33" s="151">
        <f t="shared" si="216"/>
        <v>13226.370945782133</v>
      </c>
      <c r="EU33" s="151">
        <f t="shared" si="217"/>
        <v>13580.658615976283</v>
      </c>
      <c r="EV33" s="950">
        <f t="shared" si="218"/>
        <v>11378.277466070038</v>
      </c>
      <c r="FA33" s="161">
        <f t="shared" si="219"/>
        <v>200533.49946798204</v>
      </c>
      <c r="FC33" s="149">
        <f t="shared" si="67"/>
        <v>-7.2395286402958785</v>
      </c>
      <c r="FD33" s="149">
        <f>IFERROR(((FF33/FE33)-1)*100,"")</f>
        <v>14.187796966853528</v>
      </c>
      <c r="FE33" s="148">
        <f>SUMIFS($B33:$FA33,$B$5:$FA$5,"&gt;="&amp;DATE(YEAR($FC$5)-1,1,1),$B$5:$FA$5,"&lt;="&amp;DATE(YEAR($FC$5)-1,MONTH($FC$5),1))</f>
        <v>175617.27679726842</v>
      </c>
      <c r="FF33" s="148">
        <f>SUMIFS($B33:$FA33,$B$5:$FA$5,"&gt;="&amp;DATE(YEAR($FC$5),1,1),$B$5:$FA$5,"&lt;="&amp;$FC$5)</f>
        <v>200533.49946798204</v>
      </c>
      <c r="FG33" s="127"/>
    </row>
    <row r="34" spans="1:163" ht="15" customHeight="1" x14ac:dyDescent="0.25">
      <c r="A34" s="399" t="s">
        <v>552</v>
      </c>
      <c r="B34" s="162">
        <f t="shared" si="68"/>
        <v>1276.8691594177169</v>
      </c>
      <c r="C34" s="151">
        <f t="shared" si="69"/>
        <v>811.31908491526178</v>
      </c>
      <c r="D34" s="151">
        <f t="shared" si="70"/>
        <v>843.74862764041984</v>
      </c>
      <c r="E34" s="151">
        <f t="shared" si="71"/>
        <v>1461.5048118985126</v>
      </c>
      <c r="F34" s="151">
        <f t="shared" si="72"/>
        <v>808.24778145119194</v>
      </c>
      <c r="G34" s="151">
        <f t="shared" si="73"/>
        <v>767.42976066597294</v>
      </c>
      <c r="H34" s="151">
        <f t="shared" si="74"/>
        <v>1213.7425000955402</v>
      </c>
      <c r="I34" s="151">
        <f t="shared" si="75"/>
        <v>1824.3840038985168</v>
      </c>
      <c r="J34" s="151">
        <f t="shared" si="76"/>
        <v>1475.2001948664861</v>
      </c>
      <c r="K34" s="151">
        <f t="shared" si="77"/>
        <v>1291.4652315363799</v>
      </c>
      <c r="L34" s="151">
        <f t="shared" si="78"/>
        <v>1799.5413646787167</v>
      </c>
      <c r="M34" s="151">
        <f t="shared" si="79"/>
        <v>1754.1875004713529</v>
      </c>
      <c r="N34" s="161">
        <f t="shared" si="80"/>
        <v>15327.640021536068</v>
      </c>
      <c r="O34" s="162">
        <f t="shared" si="81"/>
        <v>1990.0366674681413</v>
      </c>
      <c r="P34" s="151">
        <f t="shared" si="82"/>
        <v>1496.0919333303329</v>
      </c>
      <c r="Q34" s="151">
        <f t="shared" si="83"/>
        <v>1336.847756386358</v>
      </c>
      <c r="R34" s="151">
        <f t="shared" si="84"/>
        <v>3320.4351100076797</v>
      </c>
      <c r="S34" s="151">
        <f t="shared" si="85"/>
        <v>1699.5885692178349</v>
      </c>
      <c r="T34" s="151">
        <f t="shared" si="86"/>
        <v>1646.9163502901251</v>
      </c>
      <c r="U34" s="151">
        <f t="shared" si="87"/>
        <v>1681.9717159719385</v>
      </c>
      <c r="V34" s="151">
        <f t="shared" si="88"/>
        <v>1764.0358014646051</v>
      </c>
      <c r="W34" s="151">
        <f t="shared" si="89"/>
        <v>1559.413614420479</v>
      </c>
      <c r="X34" s="151">
        <f t="shared" si="90"/>
        <v>1446.2357291459912</v>
      </c>
      <c r="Y34" s="151">
        <f t="shared" si="91"/>
        <v>1741.335835336891</v>
      </c>
      <c r="Z34" s="151">
        <f t="shared" si="92"/>
        <v>1595.993395385537</v>
      </c>
      <c r="AA34" s="161">
        <f t="shared" si="93"/>
        <v>21278.902478425913</v>
      </c>
      <c r="AB34" s="162">
        <f t="shared" si="94"/>
        <v>1940.715149924928</v>
      </c>
      <c r="AC34" s="151">
        <f t="shared" si="95"/>
        <v>1730.9522598644301</v>
      </c>
      <c r="AD34" s="151">
        <f t="shared" si="96"/>
        <v>2278.4746577160031</v>
      </c>
      <c r="AE34" s="151">
        <f t="shared" si="97"/>
        <v>3141.9880921563554</v>
      </c>
      <c r="AF34" s="151">
        <f t="shared" si="98"/>
        <v>1585.670546777967</v>
      </c>
      <c r="AG34" s="151">
        <f t="shared" si="99"/>
        <v>1358.4354341756957</v>
      </c>
      <c r="AH34" s="151">
        <f t="shared" si="100"/>
        <v>1588.3614000389782</v>
      </c>
      <c r="AI34" s="151">
        <f t="shared" si="101"/>
        <v>2082.9300121175615</v>
      </c>
      <c r="AJ34" s="151">
        <f t="shared" si="102"/>
        <v>1284.5760511765</v>
      </c>
      <c r="AK34" s="151">
        <f t="shared" si="103"/>
        <v>1349.6512566290062</v>
      </c>
      <c r="AL34" s="151">
        <f t="shared" si="104"/>
        <v>1303.6228926284434</v>
      </c>
      <c r="AM34" s="151">
        <f t="shared" si="105"/>
        <v>1570.1957876549814</v>
      </c>
      <c r="AN34" s="161">
        <f t="shared" si="106"/>
        <v>21215.573540860849</v>
      </c>
      <c r="AO34" s="162">
        <f t="shared" si="107"/>
        <v>2081.2295904918942</v>
      </c>
      <c r="AP34" s="151">
        <f t="shared" si="108"/>
        <v>1640.8682942501848</v>
      </c>
      <c r="AQ34" s="151">
        <f t="shared" si="109"/>
        <v>1653.8765650991227</v>
      </c>
      <c r="AR34" s="151">
        <f t="shared" si="110"/>
        <v>4465.1578937305321</v>
      </c>
      <c r="AS34" s="151">
        <f t="shared" si="111"/>
        <v>1998.1408410227234</v>
      </c>
      <c r="AT34" s="151">
        <f t="shared" si="112"/>
        <v>1130.062611902888</v>
      </c>
      <c r="AU34" s="151">
        <f t="shared" si="113"/>
        <v>1814.4548017094373</v>
      </c>
      <c r="AV34" s="151">
        <f t="shared" si="114"/>
        <v>1795.0714006426338</v>
      </c>
      <c r="AW34" s="151">
        <f t="shared" si="115"/>
        <v>1595.7246522339585</v>
      </c>
      <c r="AX34" s="151">
        <f t="shared" si="116"/>
        <v>1889.0124893379868</v>
      </c>
      <c r="AY34" s="151">
        <f t="shared" si="117"/>
        <v>1767.240898679973</v>
      </c>
      <c r="AZ34" s="151">
        <f t="shared" si="118"/>
        <v>1914.2573594547755</v>
      </c>
      <c r="BA34" s="161">
        <f t="shared" si="119"/>
        <v>23745.097398556114</v>
      </c>
      <c r="BB34" s="162">
        <f t="shared" si="120"/>
        <v>2663.6338925987202</v>
      </c>
      <c r="BC34" s="151">
        <f t="shared" si="121"/>
        <v>1574.3000556321279</v>
      </c>
      <c r="BD34" s="151">
        <f t="shared" si="122"/>
        <v>1677.7496918141778</v>
      </c>
      <c r="BE34" s="151">
        <f t="shared" si="123"/>
        <v>3058.0626153597468</v>
      </c>
      <c r="BF34" s="151">
        <f t="shared" si="124"/>
        <v>2273.2563481445582</v>
      </c>
      <c r="BG34" s="151">
        <f t="shared" si="125"/>
        <v>1655.0645001820344</v>
      </c>
      <c r="BH34" s="151">
        <f t="shared" si="126"/>
        <v>1851.2301970694703</v>
      </c>
      <c r="BI34" s="151">
        <f t="shared" si="127"/>
        <v>2039.526589985639</v>
      </c>
      <c r="BJ34" s="151">
        <f t="shared" si="128"/>
        <v>1771.9970195454198</v>
      </c>
      <c r="BK34" s="151">
        <f t="shared" si="129"/>
        <v>1899.8503876945194</v>
      </c>
      <c r="BL34" s="151">
        <f t="shared" si="130"/>
        <v>4357.0986704773049</v>
      </c>
      <c r="BM34" s="151">
        <f t="shared" si="131"/>
        <v>2014.657011576508</v>
      </c>
      <c r="BN34" s="161">
        <f t="shared" si="132"/>
        <v>26836.426980080221</v>
      </c>
      <c r="BO34" s="162">
        <f t="shared" si="133"/>
        <v>2751.8686539284581</v>
      </c>
      <c r="BP34" s="151">
        <f t="shared" si="134"/>
        <v>1782.6796594886146</v>
      </c>
      <c r="BQ34" s="151">
        <f t="shared" si="135"/>
        <v>1269.1991029095957</v>
      </c>
      <c r="BR34" s="151">
        <f t="shared" si="136"/>
        <v>1958.8192409766712</v>
      </c>
      <c r="BS34" s="151">
        <f t="shared" si="137"/>
        <v>1458.002958835674</v>
      </c>
      <c r="BT34" s="151">
        <f t="shared" si="138"/>
        <v>1326.7496826075626</v>
      </c>
      <c r="BU34" s="151">
        <f t="shared" si="139"/>
        <v>1789.0454111854585</v>
      </c>
      <c r="BV34" s="151">
        <f t="shared" si="140"/>
        <v>1744.6466368596268</v>
      </c>
      <c r="BW34" s="151">
        <f t="shared" si="141"/>
        <v>1996.7433175625763</v>
      </c>
      <c r="BX34" s="151">
        <f t="shared" si="142"/>
        <v>2281.4872832704482</v>
      </c>
      <c r="BY34" s="151">
        <f t="shared" si="143"/>
        <v>1902.0575073144566</v>
      </c>
      <c r="BZ34" s="151">
        <f t="shared" si="144"/>
        <v>2757.5250501807654</v>
      </c>
      <c r="CA34" s="161">
        <f t="shared" si="145"/>
        <v>23018.824505119905</v>
      </c>
      <c r="CB34" s="162">
        <f t="shared" si="146"/>
        <v>3157.0085888765761</v>
      </c>
      <c r="CC34" s="151">
        <f t="shared" si="147"/>
        <v>2632.8591341623642</v>
      </c>
      <c r="CD34" s="151">
        <f t="shared" si="148"/>
        <v>2116.5141387547242</v>
      </c>
      <c r="CE34" s="151">
        <f t="shared" si="149"/>
        <v>2714.1570178622405</v>
      </c>
      <c r="CF34" s="151">
        <f t="shared" si="150"/>
        <v>2228.4384199537844</v>
      </c>
      <c r="CG34" s="151">
        <f t="shared" si="151"/>
        <v>2304.9869114093203</v>
      </c>
      <c r="CH34" s="151">
        <f t="shared" si="152"/>
        <v>2592.3116688470122</v>
      </c>
      <c r="CI34" s="151">
        <f t="shared" si="153"/>
        <v>2041.0566231100534</v>
      </c>
      <c r="CJ34" s="151">
        <f t="shared" si="154"/>
        <v>2569.4792103855912</v>
      </c>
      <c r="CK34" s="151">
        <f t="shared" si="155"/>
        <v>1944.6260244035764</v>
      </c>
      <c r="CL34" s="151">
        <f t="shared" si="156"/>
        <v>2526.5632042276716</v>
      </c>
      <c r="CM34" s="151">
        <f t="shared" si="157"/>
        <v>2596.9409183354041</v>
      </c>
      <c r="CN34" s="161">
        <f t="shared" si="158"/>
        <v>29424.941860328316</v>
      </c>
      <c r="CO34" s="162">
        <f t="shared" si="159"/>
        <v>2819.4215864323919</v>
      </c>
      <c r="CP34" s="151">
        <f t="shared" si="160"/>
        <v>1768.9509615216962</v>
      </c>
      <c r="CQ34" s="151">
        <f t="shared" si="161"/>
        <v>2167.0569367917733</v>
      </c>
      <c r="CR34" s="151">
        <f t="shared" si="162"/>
        <v>3255.7377259714326</v>
      </c>
      <c r="CS34" s="151">
        <f t="shared" si="163"/>
        <v>2675.911131967503</v>
      </c>
      <c r="CT34" s="151">
        <f t="shared" si="164"/>
        <v>2991.4312377534848</v>
      </c>
      <c r="CU34" s="151">
        <f t="shared" si="165"/>
        <v>2430.4150988008819</v>
      </c>
      <c r="CV34" s="151">
        <f t="shared" si="166"/>
        <v>2080.8060544288401</v>
      </c>
      <c r="CW34" s="151">
        <f t="shared" si="167"/>
        <v>2299.5970182545057</v>
      </c>
      <c r="CX34" s="151">
        <f t="shared" si="168"/>
        <v>1930.1904410165218</v>
      </c>
      <c r="CY34" s="151">
        <f t="shared" si="169"/>
        <v>1975.9145087199679</v>
      </c>
      <c r="CZ34" s="151">
        <f t="shared" si="170"/>
        <v>2439.5255717503105</v>
      </c>
      <c r="DA34" s="161">
        <f t="shared" si="171"/>
        <v>28834.958273409309</v>
      </c>
      <c r="DB34" s="162">
        <f t="shared" si="172"/>
        <v>2396.9680423597756</v>
      </c>
      <c r="DC34" s="151">
        <f t="shared" si="173"/>
        <v>1674.0660887371253</v>
      </c>
      <c r="DD34" s="151">
        <f t="shared" si="174"/>
        <v>2543.2371141201661</v>
      </c>
      <c r="DE34" s="151">
        <f t="shared" si="175"/>
        <v>3646.1463347412919</v>
      </c>
      <c r="DF34" s="151">
        <f t="shared" si="176"/>
        <v>2898.9307101612194</v>
      </c>
      <c r="DG34" s="151">
        <f t="shared" si="177"/>
        <v>2668.0138388824103</v>
      </c>
      <c r="DH34" s="151">
        <f t="shared" si="178"/>
        <v>2028.0909268688054</v>
      </c>
      <c r="DI34" s="151">
        <f t="shared" si="179"/>
        <v>2116.9472580416318</v>
      </c>
      <c r="DJ34" s="151">
        <f t="shared" si="180"/>
        <v>1725.2669265987076</v>
      </c>
      <c r="DK34" s="151">
        <f t="shared" si="181"/>
        <v>1940.7633903099513</v>
      </c>
      <c r="DL34" s="151">
        <f t="shared" si="182"/>
        <v>2054.9129124387464</v>
      </c>
      <c r="DM34" s="151">
        <f t="shared" si="183"/>
        <v>1986.5913872838078</v>
      </c>
      <c r="DN34" s="161">
        <f t="shared" si="184"/>
        <v>27679.934930543641</v>
      </c>
      <c r="DO34" s="162">
        <f t="shared" si="185"/>
        <v>2527.369307873777</v>
      </c>
      <c r="DP34" s="151">
        <f t="shared" si="186"/>
        <v>2449.6232711069119</v>
      </c>
      <c r="DQ34" s="151">
        <f t="shared" si="187"/>
        <v>1985.3404320232291</v>
      </c>
      <c r="DR34" s="151">
        <f t="shared" si="188"/>
        <v>3231.7401248887795</v>
      </c>
      <c r="DS34" s="151">
        <f t="shared" si="189"/>
        <v>2190.05004457219</v>
      </c>
      <c r="DT34" s="151">
        <f t="shared" si="190"/>
        <v>2630.8833438278984</v>
      </c>
      <c r="DU34" s="151">
        <f t="shared" si="191"/>
        <v>2494.6050610467178</v>
      </c>
      <c r="DV34" s="151">
        <f t="shared" si="192"/>
        <v>2401.0804589270929</v>
      </c>
      <c r="DW34" s="151">
        <f t="shared" si="193"/>
        <v>2593.8058692596032</v>
      </c>
      <c r="DX34" s="151">
        <f t="shared" si="194"/>
        <v>2673.755893319712</v>
      </c>
      <c r="DY34" s="151">
        <f t="shared" si="195"/>
        <v>2457.4190313348454</v>
      </c>
      <c r="DZ34" s="151">
        <f t="shared" si="196"/>
        <v>3686.256323355653</v>
      </c>
      <c r="EA34" s="161">
        <f t="shared" si="197"/>
        <v>31321.929161536409</v>
      </c>
      <c r="EB34" s="162">
        <f t="shared" si="198"/>
        <v>2995.9042295305971</v>
      </c>
      <c r="EC34" s="151">
        <f t="shared" si="199"/>
        <v>2359.515725033581</v>
      </c>
      <c r="ED34" s="151">
        <f t="shared" si="200"/>
        <v>2272.0106426021571</v>
      </c>
      <c r="EE34" s="151">
        <f t="shared" si="201"/>
        <v>3182.4143181200616</v>
      </c>
      <c r="EF34" s="151">
        <f t="shared" si="202"/>
        <v>2963.9439268167607</v>
      </c>
      <c r="EG34" s="151">
        <f t="shared" si="203"/>
        <v>2282.3093817882013</v>
      </c>
      <c r="EH34" s="151">
        <f t="shared" si="204"/>
        <v>2990.1155459825227</v>
      </c>
      <c r="EI34" s="151">
        <f t="shared" si="205"/>
        <v>2482.9484323752013</v>
      </c>
      <c r="EJ34" s="151">
        <f t="shared" si="206"/>
        <v>2679.1005032099097</v>
      </c>
      <c r="EK34" s="151">
        <f t="shared" si="207"/>
        <v>2832.9942797107747</v>
      </c>
      <c r="EL34" s="151">
        <f t="shared" si="208"/>
        <v>2582.100367151294</v>
      </c>
      <c r="EM34" s="151">
        <f t="shared" si="209"/>
        <v>3054.2811603030809</v>
      </c>
      <c r="EN34" s="161">
        <f t="shared" si="210"/>
        <v>32677.638512624148</v>
      </c>
      <c r="EO34" s="162">
        <f t="shared" si="211"/>
        <v>3227.7908561700838</v>
      </c>
      <c r="EP34" s="151">
        <f t="shared" si="212"/>
        <v>2425.2530447973545</v>
      </c>
      <c r="EQ34" s="151">
        <f t="shared" si="213"/>
        <v>2864.9474082342213</v>
      </c>
      <c r="ER34" s="151">
        <f t="shared" si="214"/>
        <v>4351.1605385861903</v>
      </c>
      <c r="ES34" s="151">
        <f t="shared" si="215"/>
        <v>3382.0285242681148</v>
      </c>
      <c r="ET34" s="151">
        <f t="shared" si="216"/>
        <v>2626.472288633121</v>
      </c>
      <c r="EU34" s="151">
        <f t="shared" si="217"/>
        <v>2672.3077721248205</v>
      </c>
      <c r="EV34" s="950">
        <f t="shared" si="218"/>
        <v>2529.6455006150763</v>
      </c>
      <c r="FA34" s="161">
        <f t="shared" si="219"/>
        <v>24079.605933428978</v>
      </c>
      <c r="FC34" s="149">
        <f t="shared" si="67"/>
        <v>1.8807103535051883</v>
      </c>
      <c r="FD34" s="149">
        <f>IFERROR(((FF34/FE34)-1)*100,"")</f>
        <v>11.84646066214996</v>
      </c>
      <c r="FE34" s="148">
        <f>SUMIFS($B34:$FA34,$B$5:$FA$5,"&gt;="&amp;DATE(YEAR($FC$5)-1,1,1),$B$5:$FA$5,"&lt;="&amp;DATE(YEAR($FC$5)-1,MONTH($FC$5),1))</f>
        <v>21529.162202249085</v>
      </c>
      <c r="FF34" s="148">
        <f>SUMIFS($B34:$FA34,$B$5:$FA$5,"&gt;="&amp;DATE(YEAR($FC$5),1,1),$B$5:$FA$5,"&lt;="&amp;$FC$5)</f>
        <v>24079.605933428978</v>
      </c>
      <c r="FG34" s="127"/>
    </row>
    <row r="35" spans="1:163" ht="15" customHeight="1" x14ac:dyDescent="0.25">
      <c r="A35" s="399" t="s">
        <v>553</v>
      </c>
      <c r="B35" s="162">
        <f t="shared" si="68"/>
        <v>6410.1237573229191</v>
      </c>
      <c r="C35" s="151">
        <f t="shared" si="69"/>
        <v>4389.3092614717461</v>
      </c>
      <c r="D35" s="151">
        <f t="shared" si="70"/>
        <v>4439.8577137587281</v>
      </c>
      <c r="E35" s="151">
        <f t="shared" si="71"/>
        <v>3353.0183727034118</v>
      </c>
      <c r="F35" s="151">
        <f t="shared" si="72"/>
        <v>3413.0850878719334</v>
      </c>
      <c r="G35" s="151">
        <f t="shared" si="73"/>
        <v>3770.8116545265348</v>
      </c>
      <c r="H35" s="151">
        <f t="shared" si="74"/>
        <v>7170.8640654259189</v>
      </c>
      <c r="I35" s="151">
        <f t="shared" si="75"/>
        <v>7452.1061127524135</v>
      </c>
      <c r="J35" s="151">
        <f t="shared" si="76"/>
        <v>7736.0472551228577</v>
      </c>
      <c r="K35" s="151">
        <f t="shared" si="77"/>
        <v>7976.8311593541912</v>
      </c>
      <c r="L35" s="151">
        <f t="shared" si="78"/>
        <v>8154.9057085476315</v>
      </c>
      <c r="M35" s="151">
        <f t="shared" si="79"/>
        <v>8333.8235405024243</v>
      </c>
      <c r="N35" s="161">
        <f t="shared" si="80"/>
        <v>72600.783689360716</v>
      </c>
      <c r="O35" s="162">
        <f t="shared" si="81"/>
        <v>10754.312935801876</v>
      </c>
      <c r="P35" s="151">
        <f t="shared" si="82"/>
        <v>8352.6111286136493</v>
      </c>
      <c r="Q35" s="151">
        <f t="shared" si="83"/>
        <v>7908.2720670474373</v>
      </c>
      <c r="R35" s="151">
        <f t="shared" si="84"/>
        <v>3975.3368076524489</v>
      </c>
      <c r="S35" s="151">
        <f t="shared" si="85"/>
        <v>21750.18041946596</v>
      </c>
      <c r="T35" s="151">
        <f t="shared" si="86"/>
        <v>7817.856267227352</v>
      </c>
      <c r="U35" s="151">
        <f t="shared" si="87"/>
        <v>8469.9899781002932</v>
      </c>
      <c r="V35" s="151">
        <f t="shared" si="88"/>
        <v>8701.827058214365</v>
      </c>
      <c r="W35" s="151">
        <f t="shared" si="89"/>
        <v>8779.9873038368987</v>
      </c>
      <c r="X35" s="151">
        <f t="shared" si="90"/>
        <v>8573.3189246410675</v>
      </c>
      <c r="Y35" s="151">
        <f t="shared" si="91"/>
        <v>8971.6618776754822</v>
      </c>
      <c r="Z35" s="151">
        <f t="shared" si="92"/>
        <v>8578.7658722620799</v>
      </c>
      <c r="AA35" s="161">
        <f t="shared" si="93"/>
        <v>112634.12064053889</v>
      </c>
      <c r="AB35" s="162">
        <f t="shared" si="94"/>
        <v>10648.678590691099</v>
      </c>
      <c r="AC35" s="151">
        <f t="shared" si="95"/>
        <v>7805.2324525395788</v>
      </c>
      <c r="AD35" s="151">
        <f t="shared" si="96"/>
        <v>7943.35549483257</v>
      </c>
      <c r="AE35" s="151">
        <f t="shared" si="97"/>
        <v>3855.3801018206927</v>
      </c>
      <c r="AF35" s="151">
        <f t="shared" si="98"/>
        <v>6258.7013662228119</v>
      </c>
      <c r="AG35" s="151">
        <f t="shared" si="99"/>
        <v>7587.5511709652692</v>
      </c>
      <c r="AH35" s="151">
        <f t="shared" si="100"/>
        <v>7836.3493312352484</v>
      </c>
      <c r="AI35" s="151">
        <f t="shared" si="101"/>
        <v>8131.7444269970656</v>
      </c>
      <c r="AJ35" s="151">
        <f t="shared" si="102"/>
        <v>8216.4243862907788</v>
      </c>
      <c r="AK35" s="151">
        <f t="shared" si="103"/>
        <v>8229.190684805164</v>
      </c>
      <c r="AL35" s="151">
        <f t="shared" si="104"/>
        <v>7672.5022805013305</v>
      </c>
      <c r="AM35" s="151">
        <f t="shared" si="105"/>
        <v>8097.2163165345319</v>
      </c>
      <c r="AN35" s="161">
        <f t="shared" si="106"/>
        <v>92282.32660343613</v>
      </c>
      <c r="AO35" s="162">
        <f t="shared" si="107"/>
        <v>10678.989880787532</v>
      </c>
      <c r="AP35" s="151">
        <f t="shared" si="108"/>
        <v>8403.2563585626522</v>
      </c>
      <c r="AQ35" s="151">
        <f t="shared" si="109"/>
        <v>8047.2128358268819</v>
      </c>
      <c r="AR35" s="151">
        <f t="shared" si="110"/>
        <v>6940.7919359698681</v>
      </c>
      <c r="AS35" s="151">
        <f t="shared" si="111"/>
        <v>8612.1530118729333</v>
      </c>
      <c r="AT35" s="151">
        <f t="shared" si="112"/>
        <v>9657.7673790138178</v>
      </c>
      <c r="AU35" s="151">
        <f t="shared" si="113"/>
        <v>10390.721472034342</v>
      </c>
      <c r="AV35" s="151">
        <f t="shared" si="114"/>
        <v>9034.6700616273502</v>
      </c>
      <c r="AW35" s="151">
        <f t="shared" si="115"/>
        <v>6909.3305368983465</v>
      </c>
      <c r="AX35" s="151">
        <f t="shared" si="116"/>
        <v>7701.8811271659924</v>
      </c>
      <c r="AY35" s="151">
        <f t="shared" si="117"/>
        <v>8133.2234000954704</v>
      </c>
      <c r="AZ35" s="151">
        <f t="shared" si="118"/>
        <v>7277.2819763875532</v>
      </c>
      <c r="BA35" s="161">
        <f t="shared" si="119"/>
        <v>101787.27997624273</v>
      </c>
      <c r="BB35" s="162">
        <f t="shared" si="120"/>
        <v>6414.4624149787624</v>
      </c>
      <c r="BC35" s="151">
        <f t="shared" si="121"/>
        <v>5863.3346104191723</v>
      </c>
      <c r="BD35" s="151">
        <f t="shared" si="122"/>
        <v>5382.3725428067974</v>
      </c>
      <c r="BE35" s="151">
        <f t="shared" si="123"/>
        <v>4273.8936232457045</v>
      </c>
      <c r="BF35" s="151">
        <f t="shared" si="124"/>
        <v>4387.5003719183205</v>
      </c>
      <c r="BG35" s="151">
        <f t="shared" si="125"/>
        <v>5662.9543607593187</v>
      </c>
      <c r="BH35" s="151">
        <f t="shared" si="126"/>
        <v>7356.7754449085151</v>
      </c>
      <c r="BI35" s="151">
        <f t="shared" si="127"/>
        <v>7164.6958734048221</v>
      </c>
      <c r="BJ35" s="151">
        <f t="shared" si="128"/>
        <v>5390.3833688694604</v>
      </c>
      <c r="BK35" s="151">
        <f t="shared" si="129"/>
        <v>5476.8972537785194</v>
      </c>
      <c r="BL35" s="151">
        <f t="shared" si="130"/>
        <v>5780.6289253564482</v>
      </c>
      <c r="BM35" s="151">
        <f t="shared" si="131"/>
        <v>6107.1756891027408</v>
      </c>
      <c r="BN35" s="161">
        <f t="shared" si="132"/>
        <v>69261.074479548581</v>
      </c>
      <c r="BO35" s="162">
        <f t="shared" si="133"/>
        <v>7276.9423566166806</v>
      </c>
      <c r="BP35" s="151">
        <f t="shared" si="134"/>
        <v>6663.6289287241079</v>
      </c>
      <c r="BQ35" s="151">
        <f t="shared" si="135"/>
        <v>4793.958878969217</v>
      </c>
      <c r="BR35" s="151">
        <f t="shared" si="136"/>
        <v>1755.2013456451211</v>
      </c>
      <c r="BS35" s="151">
        <f t="shared" si="137"/>
        <v>964.92938285913681</v>
      </c>
      <c r="BT35" s="151">
        <f t="shared" si="138"/>
        <v>1863.0909183606198</v>
      </c>
      <c r="BU35" s="151">
        <f t="shared" si="139"/>
        <v>3540.653947262866</v>
      </c>
      <c r="BV35" s="151">
        <f t="shared" si="140"/>
        <v>4876.8720904673901</v>
      </c>
      <c r="BW35" s="151">
        <f t="shared" si="141"/>
        <v>4531.8567679139405</v>
      </c>
      <c r="BX35" s="151">
        <f t="shared" si="142"/>
        <v>5882.2399961661422</v>
      </c>
      <c r="BY35" s="151">
        <f t="shared" si="143"/>
        <v>6200.2822433177989</v>
      </c>
      <c r="BZ35" s="151">
        <f t="shared" si="144"/>
        <v>6172.741720725955</v>
      </c>
      <c r="CA35" s="161">
        <f t="shared" si="145"/>
        <v>54522.39857702898</v>
      </c>
      <c r="CB35" s="162">
        <f t="shared" si="146"/>
        <v>7891.0050728735114</v>
      </c>
      <c r="CC35" s="151">
        <f t="shared" si="147"/>
        <v>9070.7615152744875</v>
      </c>
      <c r="CD35" s="151">
        <f t="shared" si="148"/>
        <v>8470.2725853329193</v>
      </c>
      <c r="CE35" s="151">
        <f t="shared" si="149"/>
        <v>6545.6086256725112</v>
      </c>
      <c r="CF35" s="151">
        <f t="shared" si="150"/>
        <v>5907.1388983185525</v>
      </c>
      <c r="CG35" s="151">
        <f t="shared" si="151"/>
        <v>7529.2916593750015</v>
      </c>
      <c r="CH35" s="151">
        <f t="shared" si="152"/>
        <v>7545.9111169027137</v>
      </c>
      <c r="CI35" s="151">
        <f t="shared" si="153"/>
        <v>8608.9962095171395</v>
      </c>
      <c r="CJ35" s="151">
        <f t="shared" si="154"/>
        <v>9522.4318811656394</v>
      </c>
      <c r="CK35" s="151">
        <f t="shared" si="155"/>
        <v>9110.5592798075122</v>
      </c>
      <c r="CL35" s="151">
        <f t="shared" si="156"/>
        <v>9395.721729402725</v>
      </c>
      <c r="CM35" s="151">
        <f t="shared" si="157"/>
        <v>9824.5763551232048</v>
      </c>
      <c r="CN35" s="161">
        <f t="shared" si="158"/>
        <v>99422.27492876591</v>
      </c>
      <c r="CO35" s="162">
        <f t="shared" si="159"/>
        <v>9792.2239824595108</v>
      </c>
      <c r="CP35" s="151">
        <f t="shared" si="160"/>
        <v>7524.8662467316353</v>
      </c>
      <c r="CQ35" s="151">
        <f t="shared" si="161"/>
        <v>8021.4893160933671</v>
      </c>
      <c r="CR35" s="151">
        <f t="shared" si="162"/>
        <v>5948.1086878179058</v>
      </c>
      <c r="CS35" s="151">
        <f t="shared" si="163"/>
        <v>7000.2593633629367</v>
      </c>
      <c r="CT35" s="151">
        <f t="shared" si="164"/>
        <v>6818.0071182167276</v>
      </c>
      <c r="CU35" s="151">
        <f t="shared" si="165"/>
        <v>7555.0477536611324</v>
      </c>
      <c r="CV35" s="151">
        <f t="shared" si="166"/>
        <v>8543.7037505648768</v>
      </c>
      <c r="CW35" s="151">
        <f t="shared" si="167"/>
        <v>7617.9211398353518</v>
      </c>
      <c r="CX35" s="151">
        <f t="shared" si="168"/>
        <v>8106.5335993305243</v>
      </c>
      <c r="CY35" s="151">
        <f t="shared" si="169"/>
        <v>8247.4829361420871</v>
      </c>
      <c r="CZ35" s="151">
        <f t="shared" si="170"/>
        <v>7493.6370341295269</v>
      </c>
      <c r="DA35" s="161">
        <f t="shared" si="171"/>
        <v>92669.280928345572</v>
      </c>
      <c r="DB35" s="162">
        <f t="shared" si="172"/>
        <v>7871.4007157186843</v>
      </c>
      <c r="DC35" s="151">
        <f t="shared" si="173"/>
        <v>8075.033644116309</v>
      </c>
      <c r="DD35" s="151">
        <f t="shared" si="174"/>
        <v>7797.0987178210598</v>
      </c>
      <c r="DE35" s="151">
        <f t="shared" si="175"/>
        <v>5284.5659733500097</v>
      </c>
      <c r="DF35" s="151">
        <f t="shared" si="176"/>
        <v>5307.1388352146305</v>
      </c>
      <c r="DG35" s="151">
        <f t="shared" si="177"/>
        <v>6248.1872895587803</v>
      </c>
      <c r="DH35" s="151">
        <f t="shared" si="178"/>
        <v>5797.3311087859356</v>
      </c>
      <c r="DI35" s="151">
        <f t="shared" si="179"/>
        <v>7149.5694883229626</v>
      </c>
      <c r="DJ35" s="151">
        <f t="shared" si="180"/>
        <v>6917.1944573104802</v>
      </c>
      <c r="DK35" s="151">
        <f t="shared" si="181"/>
        <v>6897.4891892438536</v>
      </c>
      <c r="DL35" s="151">
        <f t="shared" si="182"/>
        <v>7230.0007226950511</v>
      </c>
      <c r="DM35" s="151">
        <f t="shared" si="183"/>
        <v>6887.4202763093826</v>
      </c>
      <c r="DN35" s="161">
        <f t="shared" si="184"/>
        <v>81462.430418447126</v>
      </c>
      <c r="DO35" s="162">
        <f t="shared" si="185"/>
        <v>8546.9760538735372</v>
      </c>
      <c r="DP35" s="151">
        <f t="shared" si="186"/>
        <v>8281.4145390362046</v>
      </c>
      <c r="DQ35" s="151">
        <f t="shared" si="187"/>
        <v>7766.7660006353199</v>
      </c>
      <c r="DR35" s="151">
        <f t="shared" si="188"/>
        <v>7104.2157368231865</v>
      </c>
      <c r="DS35" s="151">
        <f t="shared" si="189"/>
        <v>5442.7037596855762</v>
      </c>
      <c r="DT35" s="151">
        <f t="shared" si="190"/>
        <v>5832.0309208108483</v>
      </c>
      <c r="DU35" s="151">
        <f t="shared" si="191"/>
        <v>6769.8430212921066</v>
      </c>
      <c r="DV35" s="151">
        <f t="shared" si="192"/>
        <v>7675.255910014831</v>
      </c>
      <c r="DW35" s="151">
        <f t="shared" si="193"/>
        <v>8284.453071818034</v>
      </c>
      <c r="DX35" s="151">
        <f t="shared" si="194"/>
        <v>8267.6051895301862</v>
      </c>
      <c r="DY35" s="151">
        <f t="shared" si="195"/>
        <v>7283.0600417758114</v>
      </c>
      <c r="DZ35" s="151">
        <f t="shared" si="196"/>
        <v>7138.5626529339797</v>
      </c>
      <c r="EA35" s="161">
        <f t="shared" si="197"/>
        <v>88392.886898229612</v>
      </c>
      <c r="EB35" s="162">
        <f t="shared" si="198"/>
        <v>8997.1910582333167</v>
      </c>
      <c r="EC35" s="151">
        <f t="shared" si="199"/>
        <v>8324.6713630614886</v>
      </c>
      <c r="ED35" s="151">
        <f t="shared" si="200"/>
        <v>8574.4906863661345</v>
      </c>
      <c r="EE35" s="151">
        <f t="shared" si="201"/>
        <v>5636.8113160920457</v>
      </c>
      <c r="EF35" s="151">
        <f t="shared" si="202"/>
        <v>4616.9076525393966</v>
      </c>
      <c r="EG35" s="151">
        <f t="shared" si="203"/>
        <v>6520.9067771901518</v>
      </c>
      <c r="EH35" s="151">
        <f t="shared" si="204"/>
        <v>7079.0283719877398</v>
      </c>
      <c r="EI35" s="151">
        <f t="shared" si="205"/>
        <v>8940.0673728551246</v>
      </c>
      <c r="EJ35" s="151">
        <f t="shared" si="206"/>
        <v>8932.1983819909165</v>
      </c>
      <c r="EK35" s="151">
        <f t="shared" si="207"/>
        <v>8677.5235169101306</v>
      </c>
      <c r="EL35" s="151">
        <f t="shared" si="208"/>
        <v>9094.2412379131292</v>
      </c>
      <c r="EM35" s="151">
        <f t="shared" si="209"/>
        <v>8912.2607034878747</v>
      </c>
      <c r="EN35" s="161">
        <f t="shared" si="210"/>
        <v>94306.298438627462</v>
      </c>
      <c r="EO35" s="162">
        <f t="shared" si="211"/>
        <v>9438.0202433687627</v>
      </c>
      <c r="EP35" s="151">
        <f t="shared" si="212"/>
        <v>9696.7505903406</v>
      </c>
      <c r="EQ35" s="151">
        <f t="shared" si="213"/>
        <v>9005.7646296313851</v>
      </c>
      <c r="ER35" s="151">
        <f t="shared" si="214"/>
        <v>7373.4905340041851</v>
      </c>
      <c r="ES35" s="151">
        <f t="shared" si="215"/>
        <v>8080.1104165920478</v>
      </c>
      <c r="ET35" s="151">
        <f t="shared" si="216"/>
        <v>7944.4787501204655</v>
      </c>
      <c r="EU35" s="151">
        <f t="shared" si="217"/>
        <v>10397.90137429746</v>
      </c>
      <c r="EV35" s="950">
        <f t="shared" si="218"/>
        <v>8555.57623585683</v>
      </c>
      <c r="FA35" s="161">
        <f t="shared" si="219"/>
        <v>70492.092774211735</v>
      </c>
      <c r="FC35" s="149">
        <f t="shared" si="67"/>
        <v>-4.3007633048239846</v>
      </c>
      <c r="FD35" s="149">
        <f>IFERROR(((FF35/FE35)-1)*100,"")</f>
        <v>20.109052947469031</v>
      </c>
      <c r="FE35" s="148">
        <f>SUMIFS($B35:$FA35,$B$5:$FA$5,"&gt;="&amp;DATE(YEAR($FC$5)-1,1,1),$B$5:$FA$5,"&lt;="&amp;DATE(YEAR($FC$5)-1,MONTH($FC$5),1))</f>
        <v>58690.074598325402</v>
      </c>
      <c r="FF35" s="148">
        <f>SUMIFS($B35:$FA35,$B$5:$FA$5,"&gt;="&amp;DATE(YEAR($FC$5),1,1),$B$5:$FA$5,"&lt;="&amp;$FC$5)</f>
        <v>70492.092774211735</v>
      </c>
      <c r="FG35" s="127"/>
    </row>
    <row r="36" spans="1:163" ht="15" customHeight="1" x14ac:dyDescent="0.25">
      <c r="A36" s="399" t="s">
        <v>554</v>
      </c>
      <c r="B36" s="162">
        <f t="shared" si="68"/>
        <v>124.15673264690219</v>
      </c>
      <c r="C36" s="151">
        <f t="shared" si="69"/>
        <v>313.11119961060223</v>
      </c>
      <c r="D36" s="151">
        <f t="shared" si="70"/>
        <v>2081.7267577181506</v>
      </c>
      <c r="E36" s="151">
        <f t="shared" si="71"/>
        <v>2323.2720909886266</v>
      </c>
      <c r="F36" s="151">
        <f t="shared" si="72"/>
        <v>317.68748912476076</v>
      </c>
      <c r="G36" s="151">
        <f t="shared" si="73"/>
        <v>339.49011446409992</v>
      </c>
      <c r="H36" s="151">
        <f t="shared" si="74"/>
        <v>1089.1580998968168</v>
      </c>
      <c r="I36" s="151">
        <f t="shared" si="75"/>
        <v>483.50744677610936</v>
      </c>
      <c r="J36" s="151">
        <f t="shared" si="76"/>
        <v>535.88283652528696</v>
      </c>
      <c r="K36" s="151">
        <f t="shared" si="77"/>
        <v>452.27887743622483</v>
      </c>
      <c r="L36" s="151">
        <f t="shared" si="78"/>
        <v>1167.5731040005212</v>
      </c>
      <c r="M36" s="151">
        <f t="shared" si="79"/>
        <v>538.92622005022736</v>
      </c>
      <c r="N36" s="161">
        <f t="shared" si="80"/>
        <v>9766.7709692383287</v>
      </c>
      <c r="O36" s="162">
        <f t="shared" si="81"/>
        <v>308.36739600865587</v>
      </c>
      <c r="P36" s="151">
        <f t="shared" si="82"/>
        <v>331.54807447079827</v>
      </c>
      <c r="Q36" s="151">
        <f t="shared" si="83"/>
        <v>4288.2920500469745</v>
      </c>
      <c r="R36" s="151">
        <f t="shared" si="84"/>
        <v>2434.781960380833</v>
      </c>
      <c r="S36" s="151">
        <f t="shared" si="85"/>
        <v>1133.5550446770676</v>
      </c>
      <c r="T36" s="151">
        <f t="shared" si="86"/>
        <v>551.34958431465782</v>
      </c>
      <c r="U36" s="151">
        <f t="shared" si="87"/>
        <v>328.49560149957313</v>
      </c>
      <c r="V36" s="151">
        <f t="shared" si="88"/>
        <v>638.50876544123071</v>
      </c>
      <c r="W36" s="151">
        <f t="shared" si="89"/>
        <v>405.39144042399283</v>
      </c>
      <c r="X36" s="151">
        <f t="shared" si="90"/>
        <v>508.93559461585392</v>
      </c>
      <c r="Y36" s="151">
        <f t="shared" si="91"/>
        <v>370.24277253269224</v>
      </c>
      <c r="Z36" s="151">
        <f t="shared" si="92"/>
        <v>575.85808846092016</v>
      </c>
      <c r="AA36" s="161">
        <f t="shared" si="93"/>
        <v>11875.326372873251</v>
      </c>
      <c r="AB36" s="162">
        <f t="shared" si="94"/>
        <v>230.6088832524307</v>
      </c>
      <c r="AC36" s="151">
        <f t="shared" si="95"/>
        <v>191.44005056632835</v>
      </c>
      <c r="AD36" s="151">
        <f t="shared" si="96"/>
        <v>2112.2992734757695</v>
      </c>
      <c r="AE36" s="151">
        <f t="shared" si="97"/>
        <v>2067.8373169960018</v>
      </c>
      <c r="AF36" s="151">
        <f t="shared" si="98"/>
        <v>747.95644262153019</v>
      </c>
      <c r="AG36" s="151">
        <f t="shared" si="99"/>
        <v>625.11753048559979</v>
      </c>
      <c r="AH36" s="151">
        <f t="shared" si="100"/>
        <v>292.62518135687429</v>
      </c>
      <c r="AI36" s="151">
        <f t="shared" si="101"/>
        <v>244.21547749646865</v>
      </c>
      <c r="AJ36" s="151">
        <f t="shared" si="102"/>
        <v>27.323775988066462</v>
      </c>
      <c r="AK36" s="151">
        <f t="shared" si="103"/>
        <v>283.82234263315655</v>
      </c>
      <c r="AL36" s="151">
        <f t="shared" si="104"/>
        <v>68.66113042144714</v>
      </c>
      <c r="AM36" s="151">
        <f t="shared" si="105"/>
        <v>362.07562968328381</v>
      </c>
      <c r="AN36" s="161">
        <f t="shared" si="106"/>
        <v>7253.9830349769582</v>
      </c>
      <c r="AO36" s="162">
        <f t="shared" si="107"/>
        <v>56.152164669099875</v>
      </c>
      <c r="AP36" s="151">
        <f t="shared" si="108"/>
        <v>247.02787449543263</v>
      </c>
      <c r="AQ36" s="151">
        <f t="shared" si="109"/>
        <v>17083.793155398893</v>
      </c>
      <c r="AR36" s="151">
        <f t="shared" si="110"/>
        <v>3133.7755738616838</v>
      </c>
      <c r="AS36" s="151">
        <f t="shared" si="111"/>
        <v>1103.0985207278843</v>
      </c>
      <c r="AT36" s="151">
        <f t="shared" si="112"/>
        <v>418.23797682908054</v>
      </c>
      <c r="AU36" s="151">
        <f t="shared" si="113"/>
        <v>395.05826523261339</v>
      </c>
      <c r="AV36" s="151">
        <f t="shared" si="114"/>
        <v>238.31646317373256</v>
      </c>
      <c r="AW36" s="151">
        <f t="shared" si="115"/>
        <v>230.4998554638118</v>
      </c>
      <c r="AX36" s="151">
        <f t="shared" si="116"/>
        <v>2101.9925092993062</v>
      </c>
      <c r="AY36" s="151">
        <f t="shared" si="117"/>
        <v>181.48742812965571</v>
      </c>
      <c r="AZ36" s="151">
        <f t="shared" si="118"/>
        <v>761.11747378505891</v>
      </c>
      <c r="BA36" s="161">
        <f t="shared" si="119"/>
        <v>25950.557261066249</v>
      </c>
      <c r="BB36" s="162">
        <f t="shared" si="120"/>
        <v>95.240561848953817</v>
      </c>
      <c r="BC36" s="151">
        <f t="shared" si="121"/>
        <v>232.14736774152817</v>
      </c>
      <c r="BD36" s="151">
        <f t="shared" si="122"/>
        <v>2592.4601657673584</v>
      </c>
      <c r="BE36" s="151">
        <f t="shared" si="123"/>
        <v>58183.408031426057</v>
      </c>
      <c r="BF36" s="151">
        <f t="shared" si="124"/>
        <v>1643.4756048415647</v>
      </c>
      <c r="BG36" s="151">
        <f t="shared" si="125"/>
        <v>413.46984333345875</v>
      </c>
      <c r="BH36" s="151">
        <f t="shared" si="126"/>
        <v>314.82323518262746</v>
      </c>
      <c r="BI36" s="151">
        <f t="shared" si="127"/>
        <v>187.11189327871796</v>
      </c>
      <c r="BJ36" s="151">
        <f t="shared" si="128"/>
        <v>212.19189797357953</v>
      </c>
      <c r="BK36" s="151">
        <f t="shared" si="129"/>
        <v>300.78418003746765</v>
      </c>
      <c r="BL36" s="151">
        <f t="shared" si="130"/>
        <v>709.33707875922187</v>
      </c>
      <c r="BM36" s="151">
        <f t="shared" si="131"/>
        <v>961.91530396040071</v>
      </c>
      <c r="BN36" s="161">
        <f t="shared" si="132"/>
        <v>65846.365164150935</v>
      </c>
      <c r="BO36" s="162">
        <f t="shared" si="133"/>
        <v>526.28078202156985</v>
      </c>
      <c r="BP36" s="151">
        <f t="shared" si="134"/>
        <v>235.61773794016185</v>
      </c>
      <c r="BQ36" s="151">
        <f t="shared" si="135"/>
        <v>5497.2769668807705</v>
      </c>
      <c r="BR36" s="151">
        <f t="shared" si="136"/>
        <v>70491.843266991084</v>
      </c>
      <c r="BS36" s="151">
        <f t="shared" si="137"/>
        <v>185.27903528157776</v>
      </c>
      <c r="BT36" s="151">
        <f t="shared" si="138"/>
        <v>545.94939608644529</v>
      </c>
      <c r="BU36" s="151">
        <f t="shared" si="139"/>
        <v>963.38469484257428</v>
      </c>
      <c r="BV36" s="151">
        <f t="shared" si="140"/>
        <v>655.86676783550854</v>
      </c>
      <c r="BW36" s="151">
        <f t="shared" si="141"/>
        <v>469.66528012032148</v>
      </c>
      <c r="BX36" s="151">
        <f t="shared" si="142"/>
        <v>376.50378235876008</v>
      </c>
      <c r="BY36" s="151">
        <f t="shared" si="143"/>
        <v>897.53529674461322</v>
      </c>
      <c r="BZ36" s="151">
        <f t="shared" si="144"/>
        <v>145.97264207530827</v>
      </c>
      <c r="CA36" s="161">
        <f t="shared" si="145"/>
        <v>80991.175649178709</v>
      </c>
      <c r="CB36" s="162">
        <f t="shared" si="146"/>
        <v>79.25713768372762</v>
      </c>
      <c r="CC36" s="151">
        <f t="shared" si="147"/>
        <v>108.37810507406785</v>
      </c>
      <c r="CD36" s="151">
        <f t="shared" si="148"/>
        <v>7165.7123481657964</v>
      </c>
      <c r="CE36" s="151">
        <f t="shared" si="149"/>
        <v>59359.90082212889</v>
      </c>
      <c r="CF36" s="151">
        <f t="shared" si="150"/>
        <v>1070.4601511847791</v>
      </c>
      <c r="CG36" s="151">
        <f t="shared" si="151"/>
        <v>695.43916335281006</v>
      </c>
      <c r="CH36" s="151">
        <f t="shared" si="152"/>
        <v>191.86242257463903</v>
      </c>
      <c r="CI36" s="151">
        <f t="shared" si="153"/>
        <v>205.92072508435402</v>
      </c>
      <c r="CJ36" s="151">
        <f t="shared" si="154"/>
        <v>71.508816747725859</v>
      </c>
      <c r="CK36" s="151">
        <f t="shared" si="155"/>
        <v>194.10656355982397</v>
      </c>
      <c r="CL36" s="151">
        <f t="shared" si="156"/>
        <v>120.39387946194033</v>
      </c>
      <c r="CM36" s="151">
        <f t="shared" si="157"/>
        <v>1180.2067393329196</v>
      </c>
      <c r="CN36" s="161">
        <f t="shared" si="158"/>
        <v>70443.146874351485</v>
      </c>
      <c r="CO36" s="162">
        <f t="shared" si="159"/>
        <v>176.05341988967305</v>
      </c>
      <c r="CP36" s="151">
        <f t="shared" si="160"/>
        <v>437.54796837901853</v>
      </c>
      <c r="CQ36" s="151">
        <f t="shared" si="161"/>
        <v>9961.9993498201547</v>
      </c>
      <c r="CR36" s="151">
        <f t="shared" si="162"/>
        <v>82610.83746581072</v>
      </c>
      <c r="CS36" s="151">
        <f t="shared" si="163"/>
        <v>513.78954344752742</v>
      </c>
      <c r="CT36" s="151">
        <f t="shared" si="164"/>
        <v>166.96225597046387</v>
      </c>
      <c r="CU36" s="151">
        <f t="shared" si="165"/>
        <v>782.67675653137633</v>
      </c>
      <c r="CV36" s="151">
        <f t="shared" si="166"/>
        <v>332.46951194292814</v>
      </c>
      <c r="CW36" s="151">
        <f t="shared" si="167"/>
        <v>359.07625407151249</v>
      </c>
      <c r="CX36" s="151">
        <f t="shared" si="168"/>
        <v>119.97704587968371</v>
      </c>
      <c r="CY36" s="151">
        <f t="shared" si="169"/>
        <v>620.20923933142683</v>
      </c>
      <c r="CZ36" s="151">
        <f t="shared" si="170"/>
        <v>3910.0298067950907</v>
      </c>
      <c r="DA36" s="161">
        <f t="shared" si="171"/>
        <v>99991.628617869559</v>
      </c>
      <c r="DB36" s="162">
        <f t="shared" si="172"/>
        <v>148.70198736709062</v>
      </c>
      <c r="DC36" s="151">
        <f t="shared" si="173"/>
        <v>90.437527623031386</v>
      </c>
      <c r="DD36" s="151">
        <f t="shared" si="174"/>
        <v>5752.1689963961653</v>
      </c>
      <c r="DE36" s="151">
        <f t="shared" si="175"/>
        <v>84144.300965773582</v>
      </c>
      <c r="DF36" s="151">
        <f t="shared" si="176"/>
        <v>665.60796369781724</v>
      </c>
      <c r="DG36" s="151">
        <f t="shared" si="177"/>
        <v>1401.3536504161293</v>
      </c>
      <c r="DH36" s="151">
        <f t="shared" si="178"/>
        <v>191.6431589253657</v>
      </c>
      <c r="DI36" s="151">
        <f t="shared" si="179"/>
        <v>137.74566260987788</v>
      </c>
      <c r="DJ36" s="151">
        <f t="shared" si="180"/>
        <v>159.2055652972555</v>
      </c>
      <c r="DK36" s="151">
        <f t="shared" si="181"/>
        <v>133.88471745966814</v>
      </c>
      <c r="DL36" s="151">
        <f t="shared" si="182"/>
        <v>131.17745374891402</v>
      </c>
      <c r="DM36" s="151">
        <f t="shared" si="183"/>
        <v>211.28324507380279</v>
      </c>
      <c r="DN36" s="161">
        <f t="shared" si="184"/>
        <v>93167.510894388688</v>
      </c>
      <c r="DO36" s="162">
        <f t="shared" si="185"/>
        <v>395.41687577881106</v>
      </c>
      <c r="DP36" s="151">
        <f t="shared" si="186"/>
        <v>213.32750495874379</v>
      </c>
      <c r="DQ36" s="151">
        <f t="shared" si="187"/>
        <v>3255.4020878372507</v>
      </c>
      <c r="DR36" s="151">
        <f t="shared" si="188"/>
        <v>78569.239075191086</v>
      </c>
      <c r="DS36" s="151">
        <f t="shared" si="189"/>
        <v>1560.7316641993802</v>
      </c>
      <c r="DT36" s="151">
        <f t="shared" si="190"/>
        <v>5338.7929411464902</v>
      </c>
      <c r="DU36" s="151">
        <f t="shared" si="191"/>
        <v>625.70700042723058</v>
      </c>
      <c r="DV36" s="151">
        <f t="shared" si="192"/>
        <v>671.67773057094109</v>
      </c>
      <c r="DW36" s="151">
        <f t="shared" si="193"/>
        <v>367.04590809555486</v>
      </c>
      <c r="DX36" s="151">
        <f t="shared" si="194"/>
        <v>284.79428060045933</v>
      </c>
      <c r="DY36" s="151">
        <f t="shared" si="195"/>
        <v>889.51555180031482</v>
      </c>
      <c r="DZ36" s="151">
        <f t="shared" si="196"/>
        <v>205.0314519421691</v>
      </c>
      <c r="EA36" s="161">
        <f t="shared" si="197"/>
        <v>92376.682072548414</v>
      </c>
      <c r="EB36" s="162">
        <f t="shared" si="198"/>
        <v>735.317945944195</v>
      </c>
      <c r="EC36" s="151">
        <f t="shared" si="199"/>
        <v>157.76112917281094</v>
      </c>
      <c r="ED36" s="151">
        <f t="shared" si="200"/>
        <v>2343.3437145418488</v>
      </c>
      <c r="EE36" s="151">
        <f t="shared" si="201"/>
        <v>87934.83196594975</v>
      </c>
      <c r="EF36" s="151">
        <f t="shared" si="202"/>
        <v>1315.5179731492585</v>
      </c>
      <c r="EG36" s="151">
        <f t="shared" si="203"/>
        <v>1339.899475063648</v>
      </c>
      <c r="EH36" s="151">
        <f t="shared" si="204"/>
        <v>728.08384856003715</v>
      </c>
      <c r="EI36" s="151">
        <f t="shared" si="205"/>
        <v>843.28394431240031</v>
      </c>
      <c r="EJ36" s="151">
        <f t="shared" si="206"/>
        <v>657.20143597079721</v>
      </c>
      <c r="EK36" s="151">
        <f t="shared" si="207"/>
        <v>773.04960079567559</v>
      </c>
      <c r="EL36" s="151">
        <f t="shared" si="208"/>
        <v>239.91473067690688</v>
      </c>
      <c r="EM36" s="151">
        <f t="shared" si="209"/>
        <v>529.0819946080253</v>
      </c>
      <c r="EN36" s="161">
        <f t="shared" si="210"/>
        <v>97597.287758745355</v>
      </c>
      <c r="EO36" s="162">
        <f t="shared" si="211"/>
        <v>579.75783702668502</v>
      </c>
      <c r="EP36" s="151">
        <f t="shared" si="212"/>
        <v>127.77421559112597</v>
      </c>
      <c r="EQ36" s="151">
        <f t="shared" si="213"/>
        <v>4518.6375489406719</v>
      </c>
      <c r="ER36" s="151">
        <f t="shared" si="214"/>
        <v>96416.251175534169</v>
      </c>
      <c r="ES36" s="151">
        <f t="shared" si="215"/>
        <v>860.45487706798895</v>
      </c>
      <c r="ET36" s="151">
        <f t="shared" si="216"/>
        <v>2655.4199070285467</v>
      </c>
      <c r="EU36" s="151">
        <f t="shared" si="217"/>
        <v>510.44946955400343</v>
      </c>
      <c r="EV36" s="950">
        <f t="shared" si="218"/>
        <v>293.05572959812997</v>
      </c>
      <c r="FA36" s="161">
        <f t="shared" si="219"/>
        <v>105961.80076034131</v>
      </c>
      <c r="FC36" s="149">
        <f t="shared" si="67"/>
        <v>-65.248273541234951</v>
      </c>
      <c r="FD36" s="149">
        <f t="shared" si="220"/>
        <v>11.073351993409354</v>
      </c>
      <c r="FE36" s="148">
        <f t="shared" si="221"/>
        <v>95398.039996693944</v>
      </c>
      <c r="FF36" s="148">
        <f>SUMIFS($B36:$FA36,$B$5:$FA$5,"&gt;="&amp;DATE(YEAR($FC$5),1,1),$B$5:$FA$5,"&lt;="&amp;$FC$5)</f>
        <v>105961.80076034131</v>
      </c>
      <c r="FG36" s="127"/>
    </row>
    <row r="37" spans="1:163" ht="15" customHeight="1" x14ac:dyDescent="0.25">
      <c r="A37" s="398" t="s">
        <v>197</v>
      </c>
      <c r="B37" s="162">
        <f t="shared" si="68"/>
        <v>0.28316172554589025</v>
      </c>
      <c r="C37" s="151">
        <f t="shared" si="69"/>
        <v>0.39824771007566706</v>
      </c>
      <c r="D37" s="151">
        <f t="shared" si="70"/>
        <v>0.3952395590883141</v>
      </c>
      <c r="E37" s="151">
        <f t="shared" si="71"/>
        <v>0.39370078740157483</v>
      </c>
      <c r="F37" s="151">
        <f t="shared" si="72"/>
        <v>0.39150861318949021</v>
      </c>
      <c r="G37" s="151">
        <f t="shared" si="73"/>
        <v>0</v>
      </c>
      <c r="H37" s="151">
        <f t="shared" si="74"/>
        <v>0.76432147361180114</v>
      </c>
      <c r="I37" s="151">
        <f t="shared" si="75"/>
        <v>1.5228581000822343</v>
      </c>
      <c r="J37" s="151">
        <f t="shared" si="76"/>
        <v>0.76119721097341897</v>
      </c>
      <c r="K37" s="151">
        <f t="shared" si="77"/>
        <v>1.1401988506795584</v>
      </c>
      <c r="L37" s="151">
        <f t="shared" si="78"/>
        <v>0.90908884297990222</v>
      </c>
      <c r="M37" s="151">
        <f t="shared" si="79"/>
        <v>0.22624946265752616</v>
      </c>
      <c r="N37" s="161">
        <f t="shared" si="80"/>
        <v>7.1857723362853783</v>
      </c>
      <c r="O37" s="162">
        <f t="shared" si="81"/>
        <v>0.75138254388074055</v>
      </c>
      <c r="P37" s="151">
        <f t="shared" si="82"/>
        <v>0.90013051892524409</v>
      </c>
      <c r="Q37" s="151">
        <f t="shared" si="83"/>
        <v>0.89476117333015193</v>
      </c>
      <c r="R37" s="151">
        <f t="shared" si="84"/>
        <v>0.14911240838906412</v>
      </c>
      <c r="S37" s="151">
        <f t="shared" si="85"/>
        <v>11.531965865381039</v>
      </c>
      <c r="T37" s="151">
        <f t="shared" si="86"/>
        <v>0.29718344391033974</v>
      </c>
      <c r="U37" s="151">
        <f t="shared" si="87"/>
        <v>0.29694517649678925</v>
      </c>
      <c r="V37" s="151">
        <f t="shared" si="88"/>
        <v>0.44381980915748204</v>
      </c>
      <c r="W37" s="151">
        <f t="shared" si="89"/>
        <v>0.44288941051419456</v>
      </c>
      <c r="X37" s="151">
        <f t="shared" si="90"/>
        <v>6.7632637158253015</v>
      </c>
      <c r="Y37" s="151">
        <f t="shared" si="91"/>
        <v>0.14660177094939308</v>
      </c>
      <c r="Z37" s="151">
        <f t="shared" si="92"/>
        <v>11.835702909244999</v>
      </c>
      <c r="AA37" s="161">
        <f t="shared" si="93"/>
        <v>34.453758746004738</v>
      </c>
      <c r="AB37" s="162">
        <f t="shared" si="94"/>
        <v>0.29154093963644845</v>
      </c>
      <c r="AC37" s="151">
        <f t="shared" si="95"/>
        <v>13.658720875320581</v>
      </c>
      <c r="AD37" s="151">
        <f t="shared" si="96"/>
        <v>0.21516018675904211</v>
      </c>
      <c r="AE37" s="151">
        <f t="shared" si="97"/>
        <v>0.35953634193344264</v>
      </c>
      <c r="AF37" s="151">
        <f t="shared" si="98"/>
        <v>23.251783599549409</v>
      </c>
      <c r="AG37" s="151">
        <f t="shared" si="99"/>
        <v>6.1477484775281717</v>
      </c>
      <c r="AH37" s="151">
        <f t="shared" si="100"/>
        <v>0.36090920246284441</v>
      </c>
      <c r="AI37" s="151">
        <f t="shared" si="101"/>
        <v>0.50191084629338834</v>
      </c>
      <c r="AJ37" s="151">
        <f t="shared" si="102"/>
        <v>0.14343189495048014</v>
      </c>
      <c r="AK37" s="151">
        <f t="shared" si="103"/>
        <v>0</v>
      </c>
      <c r="AL37" s="151">
        <f t="shared" si="104"/>
        <v>0.9385853790523796</v>
      </c>
      <c r="AM37" s="151">
        <f t="shared" si="105"/>
        <v>0</v>
      </c>
      <c r="AN37" s="161">
        <f t="shared" si="106"/>
        <v>45.869327743486188</v>
      </c>
      <c r="AO37" s="162">
        <f t="shared" si="107"/>
        <v>0</v>
      </c>
      <c r="AP37" s="151">
        <f t="shared" si="108"/>
        <v>0</v>
      </c>
      <c r="AQ37" s="151">
        <f t="shared" si="109"/>
        <v>7.1460273293256257E-2</v>
      </c>
      <c r="AR37" s="151">
        <f t="shared" si="110"/>
        <v>0.14312091586872872</v>
      </c>
      <c r="AS37" s="151">
        <f t="shared" si="111"/>
        <v>0.14309229740924687</v>
      </c>
      <c r="AT37" s="151">
        <f t="shared" si="112"/>
        <v>0.28524329195504217</v>
      </c>
      <c r="AU37" s="151">
        <f t="shared" si="113"/>
        <v>1.1366538830645236</v>
      </c>
      <c r="AV37" s="151">
        <f t="shared" si="114"/>
        <v>0.14189726893345195</v>
      </c>
      <c r="AW37" s="151">
        <f t="shared" si="115"/>
        <v>0.1416281754001916</v>
      </c>
      <c r="AX37" s="151">
        <f t="shared" si="116"/>
        <v>7.0757481714724013E-2</v>
      </c>
      <c r="AY37" s="151">
        <f t="shared" si="117"/>
        <v>6.5018860544892219</v>
      </c>
      <c r="AZ37" s="151">
        <f t="shared" si="118"/>
        <v>0.3527284612962549</v>
      </c>
      <c r="BA37" s="161">
        <f t="shared" si="119"/>
        <v>8.9884681034246423</v>
      </c>
      <c r="BB37" s="162">
        <f t="shared" si="120"/>
        <v>0</v>
      </c>
      <c r="BC37" s="151">
        <f t="shared" si="121"/>
        <v>0</v>
      </c>
      <c r="BD37" s="151">
        <f t="shared" si="122"/>
        <v>0.62905129254822534</v>
      </c>
      <c r="BE37" s="151">
        <f t="shared" si="123"/>
        <v>0.13951015581020743</v>
      </c>
      <c r="BF37" s="151">
        <f t="shared" si="124"/>
        <v>0.13930120400420112</v>
      </c>
      <c r="BG37" s="151">
        <f t="shared" si="125"/>
        <v>0.4182800640702668</v>
      </c>
      <c r="BH37" s="151">
        <f t="shared" si="126"/>
        <v>2.2959484554755152</v>
      </c>
      <c r="BI37" s="151">
        <f t="shared" si="127"/>
        <v>1.3211170465609963</v>
      </c>
      <c r="BJ37" s="151">
        <f t="shared" si="128"/>
        <v>2.9895975140445343</v>
      </c>
      <c r="BK37" s="151">
        <f t="shared" si="129"/>
        <v>5.6948286222748425</v>
      </c>
      <c r="BL37" s="151">
        <f t="shared" si="130"/>
        <v>0</v>
      </c>
      <c r="BM37" s="151">
        <f t="shared" si="131"/>
        <v>0</v>
      </c>
      <c r="BN37" s="161">
        <f t="shared" si="132"/>
        <v>13.627634354788789</v>
      </c>
      <c r="BO37" s="162">
        <f t="shared" si="133"/>
        <v>1.3838569077611619E-2</v>
      </c>
      <c r="BP37" s="151">
        <f t="shared" si="134"/>
        <v>0.13819222166578407</v>
      </c>
      <c r="BQ37" s="151">
        <f t="shared" si="135"/>
        <v>2.6086956896670612</v>
      </c>
      <c r="BR37" s="151">
        <f t="shared" si="136"/>
        <v>0</v>
      </c>
      <c r="BS37" s="151">
        <f t="shared" si="137"/>
        <v>0</v>
      </c>
      <c r="BT37" s="151">
        <f t="shared" si="138"/>
        <v>0</v>
      </c>
      <c r="BU37" s="151">
        <f t="shared" si="139"/>
        <v>5.1919753799486346</v>
      </c>
      <c r="BV37" s="151">
        <f t="shared" si="140"/>
        <v>1.7097673822614925</v>
      </c>
      <c r="BW37" s="151">
        <f t="shared" si="141"/>
        <v>16.937180379502649</v>
      </c>
      <c r="BX37" s="151">
        <f t="shared" si="142"/>
        <v>0</v>
      </c>
      <c r="BY37" s="151">
        <f t="shared" si="143"/>
        <v>0</v>
      </c>
      <c r="BZ37" s="151">
        <f t="shared" si="144"/>
        <v>0</v>
      </c>
      <c r="CA37" s="161">
        <f t="shared" si="145"/>
        <v>26.599649622123234</v>
      </c>
      <c r="CB37" s="162">
        <f t="shared" si="146"/>
        <v>0</v>
      </c>
      <c r="CC37" s="151">
        <f t="shared" si="147"/>
        <v>0</v>
      </c>
      <c r="CD37" s="151">
        <f t="shared" si="148"/>
        <v>6.6921116095574176E-2</v>
      </c>
      <c r="CE37" s="151">
        <f t="shared" si="149"/>
        <v>0</v>
      </c>
      <c r="CF37" s="151">
        <f t="shared" si="150"/>
        <v>0</v>
      </c>
      <c r="CG37" s="151">
        <f t="shared" si="151"/>
        <v>0</v>
      </c>
      <c r="CH37" s="151">
        <f t="shared" si="152"/>
        <v>2.0390665367289416E-2</v>
      </c>
      <c r="CI37" s="151">
        <f t="shared" si="153"/>
        <v>4.1128702662753154E-3</v>
      </c>
      <c r="CJ37" s="151">
        <f t="shared" si="154"/>
        <v>0.24467726192440983</v>
      </c>
      <c r="CK37" s="151">
        <f t="shared" si="155"/>
        <v>0.13614809407431663</v>
      </c>
      <c r="CL37" s="151">
        <f t="shared" si="156"/>
        <v>7.587300212934904E-2</v>
      </c>
      <c r="CM37" s="151">
        <f t="shared" si="157"/>
        <v>0</v>
      </c>
      <c r="CN37" s="161">
        <f t="shared" si="158"/>
        <v>0.5481230098572144</v>
      </c>
      <c r="CO37" s="162">
        <f t="shared" si="159"/>
        <v>0</v>
      </c>
      <c r="CP37" s="151">
        <f t="shared" si="160"/>
        <v>5.0858069686865277E-3</v>
      </c>
      <c r="CQ37" s="151">
        <f t="shared" si="161"/>
        <v>0</v>
      </c>
      <c r="CR37" s="151">
        <f t="shared" si="162"/>
        <v>0</v>
      </c>
      <c r="CS37" s="151">
        <f t="shared" si="163"/>
        <v>1.8226111629647994</v>
      </c>
      <c r="CT37" s="151">
        <f t="shared" si="164"/>
        <v>0</v>
      </c>
      <c r="CU37" s="151">
        <f t="shared" si="165"/>
        <v>14.209875569511539</v>
      </c>
      <c r="CV37" s="151">
        <f t="shared" si="166"/>
        <v>13.811715943795772</v>
      </c>
      <c r="CW37" s="151">
        <f t="shared" si="167"/>
        <v>0</v>
      </c>
      <c r="CX37" s="151">
        <f t="shared" si="168"/>
        <v>0</v>
      </c>
      <c r="CY37" s="151">
        <f t="shared" si="169"/>
        <v>0.16897188625416937</v>
      </c>
      <c r="CZ37" s="151">
        <f t="shared" si="170"/>
        <v>0.12823560957352328</v>
      </c>
      <c r="DA37" s="161">
        <f t="shared" si="171"/>
        <v>30.146495979068487</v>
      </c>
      <c r="DB37" s="162">
        <f t="shared" si="172"/>
        <v>0</v>
      </c>
      <c r="DC37" s="151">
        <f t="shared" si="173"/>
        <v>0.3119061904352991</v>
      </c>
      <c r="DD37" s="151">
        <f t="shared" si="174"/>
        <v>0.76407588597942189</v>
      </c>
      <c r="DE37" s="151">
        <f t="shared" si="175"/>
        <v>1.112703869786974</v>
      </c>
      <c r="DF37" s="151">
        <f t="shared" si="176"/>
        <v>1.3853217409911747</v>
      </c>
      <c r="DG37" s="151">
        <f t="shared" si="177"/>
        <v>0.54624436286709965</v>
      </c>
      <c r="DH37" s="151">
        <f t="shared" si="178"/>
        <v>0</v>
      </c>
      <c r="DI37" s="151">
        <f t="shared" si="179"/>
        <v>0.42078421755753775</v>
      </c>
      <c r="DJ37" s="151">
        <f t="shared" si="180"/>
        <v>0.43321827015542169</v>
      </c>
      <c r="DK37" s="151">
        <f t="shared" si="181"/>
        <v>0.48257528950835249</v>
      </c>
      <c r="DL37" s="151">
        <f t="shared" si="182"/>
        <v>0.12927431278078971</v>
      </c>
      <c r="DM37" s="151">
        <f t="shared" si="183"/>
        <v>1.6526259212321117E-2</v>
      </c>
      <c r="DN37" s="161">
        <f t="shared" si="184"/>
        <v>5.6026303992743909</v>
      </c>
      <c r="DO37" s="162">
        <f t="shared" si="185"/>
        <v>1.0821652457998619E-2</v>
      </c>
      <c r="DP37" s="151">
        <f t="shared" si="186"/>
        <v>0.25997249498709157</v>
      </c>
      <c r="DQ37" s="151">
        <f t="shared" si="187"/>
        <v>0.3067168758026268</v>
      </c>
      <c r="DR37" s="151">
        <f t="shared" si="188"/>
        <v>8.9760968470378299E-3</v>
      </c>
      <c r="DS37" s="151">
        <f t="shared" si="189"/>
        <v>0.18192969788060862</v>
      </c>
      <c r="DT37" s="151">
        <f t="shared" si="190"/>
        <v>3.6454496463008461E-2</v>
      </c>
      <c r="DU37" s="151">
        <f t="shared" si="191"/>
        <v>1.561574648660371</v>
      </c>
      <c r="DV37" s="151">
        <f t="shared" si="192"/>
        <v>1.0600734678077895E-2</v>
      </c>
      <c r="DW37" s="151">
        <f t="shared" si="193"/>
        <v>0</v>
      </c>
      <c r="DX37" s="151">
        <f t="shared" si="194"/>
        <v>2.1450749184160278</v>
      </c>
      <c r="DY37" s="151">
        <f t="shared" si="195"/>
        <v>2.1431460869377839</v>
      </c>
      <c r="DZ37" s="151">
        <f t="shared" si="196"/>
        <v>0</v>
      </c>
      <c r="EA37" s="161">
        <f t="shared" si="197"/>
        <v>6.665267703130632</v>
      </c>
      <c r="EB37" s="162">
        <f t="shared" si="198"/>
        <v>9.7289090394337988E-2</v>
      </c>
      <c r="EC37" s="151">
        <f t="shared" si="199"/>
        <v>1.2278297699543781E-2</v>
      </c>
      <c r="ED37" s="151">
        <f t="shared" si="200"/>
        <v>6.0898212972640524E-3</v>
      </c>
      <c r="EE37" s="151">
        <f t="shared" si="201"/>
        <v>0</v>
      </c>
      <c r="EF37" s="151">
        <f t="shared" si="202"/>
        <v>4.2518283179684889E-2</v>
      </c>
      <c r="EG37" s="151">
        <f t="shared" si="203"/>
        <v>0.5183749567908732</v>
      </c>
      <c r="EH37" s="151">
        <f t="shared" si="204"/>
        <v>0.72462301041602317</v>
      </c>
      <c r="EI37" s="151">
        <f t="shared" si="205"/>
        <v>0.28363795756362348</v>
      </c>
      <c r="EJ37" s="151">
        <f t="shared" si="206"/>
        <v>9.1038448775638908E-2</v>
      </c>
      <c r="EK37" s="151">
        <f t="shared" si="207"/>
        <v>9.3885557723607599E-2</v>
      </c>
      <c r="EL37" s="151">
        <f t="shared" si="208"/>
        <v>3.7515165609172438E-2</v>
      </c>
      <c r="EM37" s="151">
        <f t="shared" si="209"/>
        <v>2.9720126738405937E-2</v>
      </c>
      <c r="EN37" s="161">
        <f t="shared" si="210"/>
        <v>1.9369707161881751</v>
      </c>
      <c r="EO37" s="162">
        <f t="shared" si="211"/>
        <v>0.10556049751186881</v>
      </c>
      <c r="EP37" s="151">
        <f t="shared" si="212"/>
        <v>2.1842204567818234E-2</v>
      </c>
      <c r="EQ37" s="151">
        <f t="shared" si="213"/>
        <v>1.8139611675901002E-2</v>
      </c>
      <c r="ER37" s="151">
        <f t="shared" si="214"/>
        <v>0</v>
      </c>
      <c r="ES37" s="151">
        <f t="shared" si="215"/>
        <v>74.185423044156693</v>
      </c>
      <c r="ET37" s="151">
        <f t="shared" si="216"/>
        <v>0</v>
      </c>
      <c r="EU37" s="151">
        <f t="shared" si="217"/>
        <v>0</v>
      </c>
      <c r="EV37" s="950">
        <f t="shared" si="218"/>
        <v>3.6930247289907745E-3</v>
      </c>
      <c r="FA37" s="161">
        <f t="shared" si="219"/>
        <v>74.334658382641265</v>
      </c>
      <c r="FC37" s="149">
        <f t="shared" si="67"/>
        <v>-98.697979367531445</v>
      </c>
      <c r="FD37" s="149">
        <f t="shared" si="220"/>
        <v>4312.0462158276514</v>
      </c>
      <c r="FE37" s="148">
        <f t="shared" si="221"/>
        <v>1.6848114173413504</v>
      </c>
      <c r="FF37" s="148">
        <f t="shared" ref="FF37:FF42" si="222">SUMIFS($B37:$FA37,$B$5:$FA$5,"&gt;="&amp;DATE(YEAR($FC$5),1,1),$B$5:$FA$5,"&lt;="&amp;$FC$5)</f>
        <v>74.334658382641265</v>
      </c>
      <c r="FG37" s="127"/>
    </row>
    <row r="38" spans="1:163" ht="15" customHeight="1" x14ac:dyDescent="0.25">
      <c r="A38" s="398" t="s">
        <v>221</v>
      </c>
      <c r="B38" s="162">
        <f t="shared" si="68"/>
        <v>1398.8223992543938</v>
      </c>
      <c r="C38" s="151">
        <f t="shared" si="69"/>
        <v>1135.4042214257267</v>
      </c>
      <c r="D38" s="151">
        <f t="shared" si="70"/>
        <v>1192.7451583154011</v>
      </c>
      <c r="E38" s="151">
        <f t="shared" si="71"/>
        <v>1159.6675415573054</v>
      </c>
      <c r="F38" s="151">
        <f t="shared" si="72"/>
        <v>1144.2926744388376</v>
      </c>
      <c r="G38" s="151">
        <f t="shared" si="73"/>
        <v>1449.0114464099895</v>
      </c>
      <c r="H38" s="151">
        <f t="shared" si="74"/>
        <v>2036.9167271754502</v>
      </c>
      <c r="I38" s="151">
        <f t="shared" si="75"/>
        <v>2201.2913836688695</v>
      </c>
      <c r="J38" s="151">
        <f t="shared" si="76"/>
        <v>2427.9146241208173</v>
      </c>
      <c r="K38" s="151">
        <f t="shared" si="77"/>
        <v>2678.0990604761469</v>
      </c>
      <c r="L38" s="151">
        <f t="shared" si="78"/>
        <v>2800.978482624661</v>
      </c>
      <c r="M38" s="151">
        <f t="shared" si="79"/>
        <v>3827.8392422151323</v>
      </c>
      <c r="N38" s="161">
        <f t="shared" si="80"/>
        <v>23452.982961682734</v>
      </c>
      <c r="O38" s="162">
        <f t="shared" si="81"/>
        <v>3645.407549891801</v>
      </c>
      <c r="P38" s="151">
        <f t="shared" si="82"/>
        <v>3071.5453740792418</v>
      </c>
      <c r="Q38" s="151">
        <f t="shared" si="83"/>
        <v>2407.802317431439</v>
      </c>
      <c r="R38" s="151">
        <f t="shared" si="84"/>
        <v>2725.3274881269244</v>
      </c>
      <c r="S38" s="151">
        <f t="shared" si="85"/>
        <v>3266.0759324152395</v>
      </c>
      <c r="T38" s="151">
        <f t="shared" si="86"/>
        <v>1877.3821110425934</v>
      </c>
      <c r="U38" s="151">
        <f t="shared" si="87"/>
        <v>2809.6952600126197</v>
      </c>
      <c r="V38" s="151">
        <f t="shared" si="88"/>
        <v>1823.6555958280937</v>
      </c>
      <c r="W38" s="151">
        <f t="shared" si="89"/>
        <v>2341.7039431920516</v>
      </c>
      <c r="X38" s="151">
        <f t="shared" si="90"/>
        <v>2445.8755118393869</v>
      </c>
      <c r="Y38" s="151">
        <f t="shared" si="91"/>
        <v>3212.4846068140509</v>
      </c>
      <c r="Z38" s="151">
        <f t="shared" si="92"/>
        <v>3222.671946461709</v>
      </c>
      <c r="AA38" s="161">
        <f t="shared" si="93"/>
        <v>32849.627637135156</v>
      </c>
      <c r="AB38" s="162">
        <f t="shared" si="94"/>
        <v>3214.2388594918443</v>
      </c>
      <c r="AC38" s="151">
        <f t="shared" si="95"/>
        <v>1833.2473608881073</v>
      </c>
      <c r="AD38" s="151">
        <f t="shared" si="96"/>
        <v>2345.2460356735592</v>
      </c>
      <c r="AE38" s="151">
        <f t="shared" si="97"/>
        <v>1875.4134667932235</v>
      </c>
      <c r="AF38" s="151">
        <f t="shared" si="98"/>
        <v>2183.5013431154503</v>
      </c>
      <c r="AG38" s="151">
        <f t="shared" si="99"/>
        <v>2011.6879547525714</v>
      </c>
      <c r="AH38" s="151">
        <f t="shared" si="100"/>
        <v>1922.274594157602</v>
      </c>
      <c r="AI38" s="151">
        <f t="shared" si="101"/>
        <v>1697.8926914610624</v>
      </c>
      <c r="AJ38" s="151">
        <f t="shared" si="102"/>
        <v>2315.7796599229769</v>
      </c>
      <c r="AK38" s="151">
        <f t="shared" si="103"/>
        <v>2537.6844593036662</v>
      </c>
      <c r="AL38" s="151">
        <f t="shared" si="104"/>
        <v>2655.4024350898048</v>
      </c>
      <c r="AM38" s="151">
        <f t="shared" si="105"/>
        <v>1970.3315273268724</v>
      </c>
      <c r="AN38" s="161">
        <f t="shared" si="106"/>
        <v>26562.700387976736</v>
      </c>
      <c r="AO38" s="162">
        <f t="shared" si="107"/>
        <v>2837.124114883623</v>
      </c>
      <c r="AP38" s="151">
        <f t="shared" si="108"/>
        <v>2242.6396861896396</v>
      </c>
      <c r="AQ38" s="151">
        <f t="shared" si="109"/>
        <v>3088.7273925544155</v>
      </c>
      <c r="AR38" s="151">
        <f t="shared" si="110"/>
        <v>2544.4036423142588</v>
      </c>
      <c r="AS38" s="151">
        <f t="shared" si="111"/>
        <v>2274.7382519147977</v>
      </c>
      <c r="AT38" s="151">
        <f t="shared" si="112"/>
        <v>2431.9129963857008</v>
      </c>
      <c r="AU38" s="151">
        <f t="shared" si="113"/>
        <v>3114.1474761260283</v>
      </c>
      <c r="AV38" s="151">
        <f t="shared" si="114"/>
        <v>1948.1076051873615</v>
      </c>
      <c r="AW38" s="151">
        <f t="shared" si="115"/>
        <v>2526.1509505255167</v>
      </c>
      <c r="AX38" s="151">
        <f t="shared" si="116"/>
        <v>2787.2079622246938</v>
      </c>
      <c r="AY38" s="151">
        <f t="shared" si="117"/>
        <v>2843.232368023434</v>
      </c>
      <c r="AZ38" s="151">
        <f t="shared" si="118"/>
        <v>2891.809017091216</v>
      </c>
      <c r="BA38" s="161">
        <f t="shared" si="119"/>
        <v>31530.201463420683</v>
      </c>
      <c r="BB38" s="162">
        <f t="shared" si="120"/>
        <v>3749.700580862956</v>
      </c>
      <c r="BC38" s="151">
        <f t="shared" si="121"/>
        <v>2226.9217046738959</v>
      </c>
      <c r="BD38" s="151">
        <f t="shared" si="122"/>
        <v>2325.1133664343629</v>
      </c>
      <c r="BE38" s="151">
        <f t="shared" si="123"/>
        <v>2922.7377642238457</v>
      </c>
      <c r="BF38" s="151">
        <f t="shared" si="124"/>
        <v>4123.6638915343638</v>
      </c>
      <c r="BG38" s="151">
        <f t="shared" si="125"/>
        <v>3065.6443029149973</v>
      </c>
      <c r="BH38" s="151">
        <f t="shared" si="126"/>
        <v>2677.2846216713124</v>
      </c>
      <c r="BI38" s="151">
        <f t="shared" si="127"/>
        <v>3061.6539891670413</v>
      </c>
      <c r="BJ38" s="151">
        <f t="shared" si="128"/>
        <v>3045.2874584340616</v>
      </c>
      <c r="BK38" s="151">
        <f t="shared" si="129"/>
        <v>3913.1806530572958</v>
      </c>
      <c r="BL38" s="151">
        <f t="shared" si="130"/>
        <v>3569.7865426691483</v>
      </c>
      <c r="BM38" s="151">
        <f t="shared" si="131"/>
        <v>3596.0194648595188</v>
      </c>
      <c r="BN38" s="161">
        <f t="shared" si="132"/>
        <v>38276.994340502803</v>
      </c>
      <c r="BO38" s="162">
        <f t="shared" si="133"/>
        <v>4799.9768774149779</v>
      </c>
      <c r="BP38" s="151">
        <f t="shared" si="134"/>
        <v>4451.7933248524014</v>
      </c>
      <c r="BQ38" s="151">
        <f t="shared" si="135"/>
        <v>2228.649917614513</v>
      </c>
      <c r="BR38" s="151">
        <f t="shared" si="136"/>
        <v>1445.0766832371487</v>
      </c>
      <c r="BS38" s="151">
        <f t="shared" si="137"/>
        <v>1093.2626636692435</v>
      </c>
      <c r="BT38" s="151">
        <f t="shared" si="138"/>
        <v>3438.8292130362684</v>
      </c>
      <c r="BU38" s="151">
        <f t="shared" si="139"/>
        <v>2567.7734027122283</v>
      </c>
      <c r="BV38" s="151">
        <f t="shared" si="140"/>
        <v>2794.101856091731</v>
      </c>
      <c r="BW38" s="151">
        <f t="shared" si="141"/>
        <v>2734.7399755500987</v>
      </c>
      <c r="BX38" s="151">
        <f t="shared" si="142"/>
        <v>4225.186352661899</v>
      </c>
      <c r="BY38" s="151">
        <f t="shared" si="143"/>
        <v>4549.0835758487865</v>
      </c>
      <c r="BZ38" s="151">
        <f t="shared" si="144"/>
        <v>4208.9683721742258</v>
      </c>
      <c r="CA38" s="161">
        <f t="shared" si="145"/>
        <v>38537.44221486352</v>
      </c>
      <c r="CB38" s="162">
        <f t="shared" si="146"/>
        <v>4104.4548827182798</v>
      </c>
      <c r="CC38" s="151">
        <f t="shared" si="147"/>
        <v>3978.9475911439536</v>
      </c>
      <c r="CD38" s="151">
        <f t="shared" si="148"/>
        <v>3473.1390042442035</v>
      </c>
      <c r="CE38" s="151">
        <f t="shared" si="149"/>
        <v>4298.4256821868948</v>
      </c>
      <c r="CF38" s="151">
        <f t="shared" si="150"/>
        <v>3919.0078592429832</v>
      </c>
      <c r="CG38" s="151">
        <f t="shared" si="151"/>
        <v>4707.8988118201614</v>
      </c>
      <c r="CH38" s="151">
        <f t="shared" si="152"/>
        <v>5086.5119372527452</v>
      </c>
      <c r="CI38" s="151">
        <f t="shared" si="153"/>
        <v>4172.9926747372847</v>
      </c>
      <c r="CJ38" s="151">
        <f t="shared" si="154"/>
        <v>4288.0320065916712</v>
      </c>
      <c r="CK38" s="151">
        <f t="shared" si="155"/>
        <v>5652.5976279901515</v>
      </c>
      <c r="CL38" s="151">
        <f t="shared" si="156"/>
        <v>5863.8439730143027</v>
      </c>
      <c r="CM38" s="151">
        <f t="shared" si="157"/>
        <v>7517.1771452985113</v>
      </c>
      <c r="CN38" s="161">
        <f t="shared" si="158"/>
        <v>57063.029196241143</v>
      </c>
      <c r="CO38" s="162">
        <f t="shared" si="159"/>
        <v>8022.1078063303185</v>
      </c>
      <c r="CP38" s="151">
        <f t="shared" si="160"/>
        <v>5230.1374597291469</v>
      </c>
      <c r="CQ38" s="151">
        <f t="shared" si="161"/>
        <v>5605.6495355794705</v>
      </c>
      <c r="CR38" s="151">
        <f t="shared" si="162"/>
        <v>6269.2907393228861</v>
      </c>
      <c r="CS38" s="151">
        <f t="shared" si="163"/>
        <v>5264.3233968397226</v>
      </c>
      <c r="CT38" s="151">
        <f t="shared" si="164"/>
        <v>7069.4636299600588</v>
      </c>
      <c r="CU38" s="151">
        <f t="shared" si="165"/>
        <v>6362.6622714257637</v>
      </c>
      <c r="CV38" s="151">
        <f t="shared" si="166"/>
        <v>4756.5967606863678</v>
      </c>
      <c r="CW38" s="151">
        <f t="shared" si="167"/>
        <v>4668.9444135228832</v>
      </c>
      <c r="CX38" s="151">
        <f t="shared" si="168"/>
        <v>4667.4176775890228</v>
      </c>
      <c r="CY38" s="151">
        <f t="shared" si="169"/>
        <v>5698.631249153882</v>
      </c>
      <c r="CZ38" s="151">
        <f t="shared" si="170"/>
        <v>5526.4613714051002</v>
      </c>
      <c r="DA38" s="161">
        <f t="shared" si="171"/>
        <v>69141.686311544618</v>
      </c>
      <c r="DB38" s="162">
        <f t="shared" si="172"/>
        <v>4842.0605230507481</v>
      </c>
      <c r="DC38" s="151">
        <f t="shared" si="173"/>
        <v>4847.3013934423279</v>
      </c>
      <c r="DD38" s="151">
        <f t="shared" si="174"/>
        <v>4106.92197215338</v>
      </c>
      <c r="DE38" s="151">
        <f t="shared" si="175"/>
        <v>3519.9034800354484</v>
      </c>
      <c r="DF38" s="151">
        <f t="shared" si="176"/>
        <v>3979.4203721317763</v>
      </c>
      <c r="DG38" s="151">
        <f t="shared" si="177"/>
        <v>3582.734100943685</v>
      </c>
      <c r="DH38" s="151">
        <f t="shared" si="178"/>
        <v>2922.1879953359871</v>
      </c>
      <c r="DI38" s="151">
        <f t="shared" si="179"/>
        <v>4249.1919201395758</v>
      </c>
      <c r="DJ38" s="151">
        <f t="shared" si="180"/>
        <v>3309.0356442220241</v>
      </c>
      <c r="DK38" s="151">
        <f t="shared" si="181"/>
        <v>4245.2708290933106</v>
      </c>
      <c r="DL38" s="151">
        <f t="shared" si="182"/>
        <v>4727.303132689045</v>
      </c>
      <c r="DM38" s="151">
        <f t="shared" si="183"/>
        <v>3895.9888741404188</v>
      </c>
      <c r="DN38" s="161">
        <f t="shared" si="184"/>
        <v>48227.320237377724</v>
      </c>
      <c r="DO38" s="162">
        <f t="shared" si="185"/>
        <v>6362.8418414503631</v>
      </c>
      <c r="DP38" s="151">
        <f t="shared" si="186"/>
        <v>3147.5359724549958</v>
      </c>
      <c r="DQ38" s="151">
        <f t="shared" si="187"/>
        <v>2663.9402940110313</v>
      </c>
      <c r="DR38" s="151">
        <f t="shared" si="188"/>
        <v>3022.1114615133738</v>
      </c>
      <c r="DS38" s="151">
        <f t="shared" si="189"/>
        <v>3107.3689314877874</v>
      </c>
      <c r="DT38" s="151">
        <f t="shared" si="190"/>
        <v>2733.1379035538971</v>
      </c>
      <c r="DU38" s="151">
        <f t="shared" si="191"/>
        <v>3818.9751643582022</v>
      </c>
      <c r="DV38" s="151">
        <f t="shared" si="192"/>
        <v>3460.0577661344964</v>
      </c>
      <c r="DW38" s="151">
        <f t="shared" si="193"/>
        <v>3785.6302657813139</v>
      </c>
      <c r="DX38" s="151">
        <f t="shared" si="194"/>
        <v>4733.4334088098722</v>
      </c>
      <c r="DY38" s="151">
        <f t="shared" si="195"/>
        <v>6074.2263157114548</v>
      </c>
      <c r="DZ38" s="151">
        <f t="shared" si="196"/>
        <v>5607.689848386779</v>
      </c>
      <c r="EA38" s="161">
        <f t="shared" si="197"/>
        <v>48516.949173653571</v>
      </c>
      <c r="EB38" s="162">
        <f t="shared" si="198"/>
        <v>6027.4830136523933</v>
      </c>
      <c r="EC38" s="151">
        <f t="shared" si="199"/>
        <v>4888.688620045863</v>
      </c>
      <c r="ED38" s="151">
        <f t="shared" si="200"/>
        <v>4178.3537911144049</v>
      </c>
      <c r="EE38" s="151">
        <f t="shared" si="201"/>
        <v>3506.0096256629299</v>
      </c>
      <c r="EF38" s="151">
        <f t="shared" si="202"/>
        <v>4321.0937211162482</v>
      </c>
      <c r="EG38" s="151">
        <f t="shared" si="203"/>
        <v>4045.4050065211354</v>
      </c>
      <c r="EH38" s="151">
        <f t="shared" si="204"/>
        <v>3649.1353185299722</v>
      </c>
      <c r="EI38" s="151">
        <f t="shared" si="205"/>
        <v>3144.3617229768956</v>
      </c>
      <c r="EJ38" s="151">
        <f t="shared" si="206"/>
        <v>4205.2116987445097</v>
      </c>
      <c r="EK38" s="151">
        <f t="shared" si="207"/>
        <v>5946.8091380414899</v>
      </c>
      <c r="EL38" s="151">
        <f t="shared" si="208"/>
        <v>6150.5759773769996</v>
      </c>
      <c r="EM38" s="151">
        <f t="shared" si="209"/>
        <v>7712.6639917540151</v>
      </c>
      <c r="EN38" s="161">
        <f t="shared" si="210"/>
        <v>57775.791625536855</v>
      </c>
      <c r="EO38" s="162">
        <f t="shared" si="211"/>
        <v>5756.1384606317088</v>
      </c>
      <c r="EP38" s="151">
        <f t="shared" si="212"/>
        <v>4493.156466959219</v>
      </c>
      <c r="EQ38" s="151">
        <f t="shared" si="213"/>
        <v>3797.7075590529994</v>
      </c>
      <c r="ER38" s="151">
        <f t="shared" si="214"/>
        <v>4168.9327403512389</v>
      </c>
      <c r="ES38" s="151">
        <f t="shared" si="215"/>
        <v>4249.7748207787254</v>
      </c>
      <c r="ET38" s="151">
        <f t="shared" si="216"/>
        <v>4671.5730541242747</v>
      </c>
      <c r="EU38" s="151">
        <f t="shared" si="217"/>
        <v>7462.0932576022378</v>
      </c>
      <c r="EV38" s="950">
        <f t="shared" si="218"/>
        <v>4210.0286534165098</v>
      </c>
      <c r="FA38" s="161">
        <f t="shared" si="219"/>
        <v>38809.405012916919</v>
      </c>
      <c r="FC38" s="149">
        <f t="shared" si="67"/>
        <v>33.891359338603813</v>
      </c>
      <c r="FD38" s="149">
        <f t="shared" si="220"/>
        <v>14.954960928407379</v>
      </c>
      <c r="FE38" s="148">
        <f t="shared" si="221"/>
        <v>33760.530819619838</v>
      </c>
      <c r="FF38" s="148">
        <f t="shared" si="222"/>
        <v>38809.405012916919</v>
      </c>
      <c r="FG38" s="127"/>
    </row>
    <row r="39" spans="1:163" ht="15" customHeight="1" x14ac:dyDescent="0.25">
      <c r="A39" s="399" t="s">
        <v>555</v>
      </c>
      <c r="B39" s="162">
        <f t="shared" si="68"/>
        <v>1386.0809604118585</v>
      </c>
      <c r="C39" s="151">
        <f t="shared" si="69"/>
        <v>1119.9168104783398</v>
      </c>
      <c r="D39" s="151">
        <f t="shared" si="70"/>
        <v>1065.3901892758333</v>
      </c>
      <c r="E39" s="151">
        <f t="shared" si="71"/>
        <v>1119.4225721784776</v>
      </c>
      <c r="F39" s="151">
        <f t="shared" si="72"/>
        <v>1141.0301026622585</v>
      </c>
      <c r="G39" s="151">
        <f t="shared" si="73"/>
        <v>1238.2934443288241</v>
      </c>
      <c r="H39" s="151">
        <f t="shared" si="74"/>
        <v>2006.3438682309782</v>
      </c>
      <c r="I39" s="151">
        <f t="shared" si="75"/>
        <v>2175.783510492492</v>
      </c>
      <c r="J39" s="151">
        <f t="shared" si="76"/>
        <v>2423.6519197393659</v>
      </c>
      <c r="K39" s="151">
        <f t="shared" si="77"/>
        <v>2579.6618930341447</v>
      </c>
      <c r="L39" s="151">
        <f t="shared" si="78"/>
        <v>2785.2209426796758</v>
      </c>
      <c r="M39" s="151">
        <f t="shared" si="79"/>
        <v>3751.1406743742314</v>
      </c>
      <c r="N39" s="161">
        <f t="shared" si="80"/>
        <v>22791.936887886481</v>
      </c>
      <c r="O39" s="162">
        <f t="shared" si="81"/>
        <v>3562.5300553017551</v>
      </c>
      <c r="P39" s="151">
        <f t="shared" si="82"/>
        <v>3031.1895224807599</v>
      </c>
      <c r="Q39" s="151">
        <f t="shared" si="83"/>
        <v>2353.2218858582996</v>
      </c>
      <c r="R39" s="151">
        <f t="shared" si="84"/>
        <v>2705.3464254027899</v>
      </c>
      <c r="S39" s="151">
        <f t="shared" si="85"/>
        <v>2508.9093736282539</v>
      </c>
      <c r="T39" s="151">
        <f t="shared" si="86"/>
        <v>1859.7739919909059</v>
      </c>
      <c r="U39" s="151">
        <f t="shared" si="87"/>
        <v>2638.8033109387179</v>
      </c>
      <c r="V39" s="151">
        <f t="shared" si="88"/>
        <v>1804.1275242251645</v>
      </c>
      <c r="W39" s="151">
        <f t="shared" si="89"/>
        <v>2334.4700828203195</v>
      </c>
      <c r="X39" s="151">
        <f t="shared" si="90"/>
        <v>2422.4246300421232</v>
      </c>
      <c r="Y39" s="151">
        <f t="shared" si="91"/>
        <v>3167.1846595906882</v>
      </c>
      <c r="Z39" s="151">
        <f t="shared" si="92"/>
        <v>3205.2836915703492</v>
      </c>
      <c r="AA39" s="161">
        <f t="shared" si="93"/>
        <v>31593.265153850127</v>
      </c>
      <c r="AB39" s="162">
        <f t="shared" si="94"/>
        <v>3195.0700427107477</v>
      </c>
      <c r="AC39" s="151">
        <f t="shared" si="95"/>
        <v>1788.4932541902485</v>
      </c>
      <c r="AD39" s="151">
        <f t="shared" si="96"/>
        <v>2104.6969468769498</v>
      </c>
      <c r="AE39" s="151">
        <f t="shared" si="97"/>
        <v>1869.9485143958352</v>
      </c>
      <c r="AF39" s="151">
        <f t="shared" si="98"/>
        <v>2097.3542069842001</v>
      </c>
      <c r="AG39" s="151">
        <f t="shared" si="99"/>
        <v>1833.5479018096078</v>
      </c>
      <c r="AH39" s="151">
        <f t="shared" si="100"/>
        <v>1862.9411212727105</v>
      </c>
      <c r="AI39" s="151">
        <f t="shared" si="101"/>
        <v>1653.8679400861852</v>
      </c>
      <c r="AJ39" s="151">
        <f t="shared" si="102"/>
        <v>2295.6991946299099</v>
      </c>
      <c r="AK39" s="151">
        <f t="shared" si="103"/>
        <v>2481.7702328798709</v>
      </c>
      <c r="AL39" s="151">
        <f t="shared" si="104"/>
        <v>2619.5195940598792</v>
      </c>
      <c r="AM39" s="151">
        <f t="shared" si="105"/>
        <v>1966.150681911457</v>
      </c>
      <c r="AN39" s="161">
        <f t="shared" si="106"/>
        <v>25769.059631807602</v>
      </c>
      <c r="AO39" s="162">
        <f t="shared" si="107"/>
        <v>2827.0455212250668</v>
      </c>
      <c r="AP39" s="151">
        <f t="shared" si="108"/>
        <v>2174.4197789888663</v>
      </c>
      <c r="AQ39" s="151">
        <f t="shared" si="109"/>
        <v>3084.22539533694</v>
      </c>
      <c r="AR39" s="151">
        <f t="shared" si="110"/>
        <v>2519.2143611213628</v>
      </c>
      <c r="AS39" s="151">
        <f t="shared" si="111"/>
        <v>2188.8828734692493</v>
      </c>
      <c r="AT39" s="151">
        <f t="shared" si="112"/>
        <v>2421.2163729373865</v>
      </c>
      <c r="AU39" s="151">
        <f t="shared" si="113"/>
        <v>2972.7051085521866</v>
      </c>
      <c r="AV39" s="151">
        <f t="shared" si="114"/>
        <v>1946.972427035894</v>
      </c>
      <c r="AW39" s="151">
        <f t="shared" si="115"/>
        <v>2520.7690798603098</v>
      </c>
      <c r="AX39" s="151">
        <f t="shared" si="116"/>
        <v>2785.2267527366816</v>
      </c>
      <c r="AY39" s="151">
        <f t="shared" si="117"/>
        <v>2840.4761337177265</v>
      </c>
      <c r="AZ39" s="151">
        <f t="shared" si="118"/>
        <v>2886.8002729408095</v>
      </c>
      <c r="BA39" s="161">
        <f t="shared" si="119"/>
        <v>31167.954077922481</v>
      </c>
      <c r="BB39" s="162">
        <f t="shared" si="120"/>
        <v>3741.9459829329894</v>
      </c>
      <c r="BC39" s="151">
        <f t="shared" si="121"/>
        <v>2117.0316347652742</v>
      </c>
      <c r="BD39" s="151">
        <f t="shared" si="122"/>
        <v>2298.6932121473374</v>
      </c>
      <c r="BE39" s="151">
        <f t="shared" si="123"/>
        <v>2879.489615922681</v>
      </c>
      <c r="BF39" s="151">
        <f t="shared" si="124"/>
        <v>4034.9290245836878</v>
      </c>
      <c r="BG39" s="151">
        <f t="shared" si="125"/>
        <v>2900.4933909512538</v>
      </c>
      <c r="BH39" s="151">
        <f t="shared" si="126"/>
        <v>2394.8829616478238</v>
      </c>
      <c r="BI39" s="151">
        <f t="shared" si="127"/>
        <v>2927.1781803223589</v>
      </c>
      <c r="BJ39" s="151">
        <f t="shared" si="128"/>
        <v>2796.1079819146289</v>
      </c>
      <c r="BK39" s="151">
        <f t="shared" si="129"/>
        <v>3791.1585324556263</v>
      </c>
      <c r="BL39" s="151">
        <f t="shared" si="130"/>
        <v>3287.3697947347919</v>
      </c>
      <c r="BM39" s="151">
        <f t="shared" si="131"/>
        <v>3452.8571151948836</v>
      </c>
      <c r="BN39" s="161">
        <f t="shared" si="132"/>
        <v>36622.13742757334</v>
      </c>
      <c r="BO39" s="162">
        <f t="shared" si="133"/>
        <v>4654.1183593369515</v>
      </c>
      <c r="BP39" s="151">
        <f t="shared" si="134"/>
        <v>4197.4505408765253</v>
      </c>
      <c r="BQ39" s="151">
        <f t="shared" si="135"/>
        <v>2109.4737145286704</v>
      </c>
      <c r="BR39" s="151">
        <f t="shared" si="136"/>
        <v>1429.165820415687</v>
      </c>
      <c r="BS39" s="151">
        <f t="shared" si="137"/>
        <v>1081.8324461250897</v>
      </c>
      <c r="BT39" s="151">
        <f t="shared" si="138"/>
        <v>3403.8280575360686</v>
      </c>
      <c r="BU39" s="151">
        <f t="shared" si="139"/>
        <v>2525.827706879485</v>
      </c>
      <c r="BV39" s="151">
        <f t="shared" si="140"/>
        <v>2771.054191778846</v>
      </c>
      <c r="BW39" s="151">
        <f t="shared" si="141"/>
        <v>2664.2594507450717</v>
      </c>
      <c r="BX39" s="151">
        <f t="shared" si="142"/>
        <v>4218.7678986282172</v>
      </c>
      <c r="BY39" s="151">
        <f t="shared" si="143"/>
        <v>4527.8220494822481</v>
      </c>
      <c r="BZ39" s="151">
        <f t="shared" si="144"/>
        <v>4202.3147354656767</v>
      </c>
      <c r="CA39" s="161">
        <f t="shared" si="145"/>
        <v>37785.914971798535</v>
      </c>
      <c r="CB39" s="162">
        <f t="shared" si="146"/>
        <v>4104.4548827182798</v>
      </c>
      <c r="CC39" s="151">
        <f t="shared" si="147"/>
        <v>3977.867859088421</v>
      </c>
      <c r="CD39" s="151">
        <f t="shared" si="148"/>
        <v>3463.8369691069192</v>
      </c>
      <c r="CE39" s="151">
        <f t="shared" si="149"/>
        <v>4237.1315668441011</v>
      </c>
      <c r="CF39" s="151">
        <f t="shared" si="150"/>
        <v>3889.8128841404591</v>
      </c>
      <c r="CG39" s="151">
        <f t="shared" si="151"/>
        <v>4702.8855740843428</v>
      </c>
      <c r="CH39" s="151">
        <f t="shared" si="152"/>
        <v>5058.0465947190351</v>
      </c>
      <c r="CI39" s="151">
        <f t="shared" si="153"/>
        <v>4139.4181360744506</v>
      </c>
      <c r="CJ39" s="151">
        <f t="shared" si="154"/>
        <v>4271.5825894030522</v>
      </c>
      <c r="CK39" s="151">
        <f t="shared" si="155"/>
        <v>5632.097357789241</v>
      </c>
      <c r="CL39" s="151">
        <f t="shared" si="156"/>
        <v>5863.4819994510553</v>
      </c>
      <c r="CM39" s="151">
        <f t="shared" si="157"/>
        <v>7512.6227228535645</v>
      </c>
      <c r="CN39" s="161">
        <f t="shared" si="158"/>
        <v>56853.239136272918</v>
      </c>
      <c r="CO39" s="162">
        <f t="shared" si="159"/>
        <v>8022.1078063303185</v>
      </c>
      <c r="CP39" s="151">
        <f t="shared" si="160"/>
        <v>5216.7439870771113</v>
      </c>
      <c r="CQ39" s="151">
        <f t="shared" si="161"/>
        <v>5605.1208081108107</v>
      </c>
      <c r="CR39" s="151">
        <f t="shared" si="162"/>
        <v>6197.9756877784248</v>
      </c>
      <c r="CS39" s="151">
        <f t="shared" si="163"/>
        <v>5242.0595261567569</v>
      </c>
      <c r="CT39" s="151">
        <f t="shared" si="164"/>
        <v>7068.490493375557</v>
      </c>
      <c r="CU39" s="151">
        <f t="shared" si="165"/>
        <v>6262.3065748816389</v>
      </c>
      <c r="CV39" s="151">
        <f t="shared" si="166"/>
        <v>4708.1911509480278</v>
      </c>
      <c r="CW39" s="151">
        <f t="shared" si="167"/>
        <v>4632.6390029371141</v>
      </c>
      <c r="CX39" s="151">
        <f t="shared" si="168"/>
        <v>4620.2105210225918</v>
      </c>
      <c r="CY39" s="151">
        <f t="shared" si="169"/>
        <v>5673.3394067849204</v>
      </c>
      <c r="CZ39" s="151">
        <f t="shared" si="170"/>
        <v>5408.4851870694656</v>
      </c>
      <c r="DA39" s="161">
        <f t="shared" si="171"/>
        <v>68657.67015247274</v>
      </c>
      <c r="DB39" s="162">
        <f t="shared" si="172"/>
        <v>4834.5888659104248</v>
      </c>
      <c r="DC39" s="151">
        <f t="shared" si="173"/>
        <v>4844.0015078741017</v>
      </c>
      <c r="DD39" s="151">
        <f t="shared" si="174"/>
        <v>4087.1214363474446</v>
      </c>
      <c r="DE39" s="151">
        <f t="shared" si="175"/>
        <v>3502.8340662043438</v>
      </c>
      <c r="DF39" s="151">
        <f t="shared" si="176"/>
        <v>3932.810419705002</v>
      </c>
      <c r="DG39" s="151">
        <f t="shared" si="177"/>
        <v>3508.4590340748409</v>
      </c>
      <c r="DH39" s="151">
        <f t="shared" si="178"/>
        <v>2895.5831521104756</v>
      </c>
      <c r="DI39" s="151">
        <f t="shared" si="179"/>
        <v>4241.5177866926806</v>
      </c>
      <c r="DJ39" s="151">
        <f t="shared" si="180"/>
        <v>3240.031279196261</v>
      </c>
      <c r="DK39" s="151">
        <f t="shared" si="181"/>
        <v>4243.6529169096693</v>
      </c>
      <c r="DL39" s="151">
        <f t="shared" si="182"/>
        <v>4616.5710921985901</v>
      </c>
      <c r="DM39" s="151">
        <f t="shared" si="183"/>
        <v>3890.9620543605256</v>
      </c>
      <c r="DN39" s="161">
        <f t="shared" si="184"/>
        <v>47838.133611584359</v>
      </c>
      <c r="DO39" s="162">
        <f t="shared" si="185"/>
        <v>6349.6553788455703</v>
      </c>
      <c r="DP39" s="151">
        <f t="shared" si="186"/>
        <v>3147.1457305180761</v>
      </c>
      <c r="DQ39" s="151">
        <f t="shared" si="187"/>
        <v>2660.1778255711124</v>
      </c>
      <c r="DR39" s="151">
        <f t="shared" si="188"/>
        <v>2972.5493649362197</v>
      </c>
      <c r="DS39" s="151">
        <f t="shared" si="189"/>
        <v>3090.1709318483668</v>
      </c>
      <c r="DT39" s="151">
        <f t="shared" si="190"/>
        <v>2719.4282086917706</v>
      </c>
      <c r="DU39" s="151">
        <f t="shared" si="191"/>
        <v>3784.3949558344657</v>
      </c>
      <c r="DV39" s="151">
        <f t="shared" si="192"/>
        <v>3366.9928005288425</v>
      </c>
      <c r="DW39" s="151">
        <f t="shared" si="193"/>
        <v>3697.0711676627243</v>
      </c>
      <c r="DX39" s="151">
        <f t="shared" si="194"/>
        <v>4726.046010376459</v>
      </c>
      <c r="DY39" s="151">
        <f t="shared" si="195"/>
        <v>6072.3532943970977</v>
      </c>
      <c r="DZ39" s="151">
        <f t="shared" si="196"/>
        <v>5593.0277637585232</v>
      </c>
      <c r="EA39" s="161">
        <f t="shared" si="197"/>
        <v>48179.01343296923</v>
      </c>
      <c r="EB39" s="162">
        <f t="shared" si="198"/>
        <v>6005.3708400812448</v>
      </c>
      <c r="EC39" s="151">
        <f t="shared" si="199"/>
        <v>4798.9961911309592</v>
      </c>
      <c r="ED39" s="151">
        <f t="shared" si="200"/>
        <v>4176.2627513203679</v>
      </c>
      <c r="EE39" s="151">
        <f t="shared" si="201"/>
        <v>3499.9750835993314</v>
      </c>
      <c r="EF39" s="151">
        <f t="shared" si="202"/>
        <v>4312.3989641239104</v>
      </c>
      <c r="EG39" s="151">
        <f t="shared" si="203"/>
        <v>4040.5906581860127</v>
      </c>
      <c r="EH39" s="151">
        <f t="shared" si="204"/>
        <v>3499.1180308706212</v>
      </c>
      <c r="EI39" s="151">
        <f t="shared" si="205"/>
        <v>3126.693526020339</v>
      </c>
      <c r="EJ39" s="151">
        <f t="shared" si="206"/>
        <v>4123.7444200326681</v>
      </c>
      <c r="EK39" s="151">
        <f t="shared" si="207"/>
        <v>5914.7077444024362</v>
      </c>
      <c r="EL39" s="151">
        <f t="shared" si="208"/>
        <v>6134.6281425531379</v>
      </c>
      <c r="EM39" s="151">
        <f t="shared" si="209"/>
        <v>7712.6639917540151</v>
      </c>
      <c r="EN39" s="161">
        <f t="shared" si="210"/>
        <v>57345.150344075038</v>
      </c>
      <c r="EO39" s="162">
        <f t="shared" si="211"/>
        <v>5729.4434484622934</v>
      </c>
      <c r="EP39" s="151">
        <f t="shared" si="212"/>
        <v>4444.2457479439654</v>
      </c>
      <c r="EQ39" s="151">
        <f t="shared" si="213"/>
        <v>3747.8969160957095</v>
      </c>
      <c r="ER39" s="151">
        <f t="shared" si="214"/>
        <v>3953.9662104140507</v>
      </c>
      <c r="ES39" s="151">
        <f t="shared" si="215"/>
        <v>4129.7867009699503</v>
      </c>
      <c r="ET39" s="151">
        <f t="shared" si="216"/>
        <v>4597.5079976200486</v>
      </c>
      <c r="EU39" s="151">
        <f t="shared" si="217"/>
        <v>7193.0010112267655</v>
      </c>
      <c r="EV39" s="950">
        <f t="shared" si="218"/>
        <v>4034.0689533082991</v>
      </c>
      <c r="FA39" s="161">
        <f t="shared" si="219"/>
        <v>37829.916986041084</v>
      </c>
      <c r="FC39" s="149">
        <f t="shared" si="67"/>
        <v>29.020286757777281</v>
      </c>
      <c r="FD39" s="149">
        <f t="shared" si="220"/>
        <v>13.062129479485908</v>
      </c>
      <c r="FE39" s="148">
        <f t="shared" si="221"/>
        <v>33459.406045332784</v>
      </c>
      <c r="FF39" s="148">
        <f t="shared" si="222"/>
        <v>37829.916986041084</v>
      </c>
      <c r="FG39" s="127"/>
    </row>
    <row r="40" spans="1:163" ht="15" customHeight="1" x14ac:dyDescent="0.25">
      <c r="A40" s="399" t="s">
        <v>556</v>
      </c>
      <c r="B40" s="162">
        <f t="shared" si="68"/>
        <v>12.741438842535063</v>
      </c>
      <c r="C40" s="151">
        <f t="shared" si="69"/>
        <v>15.487410947387053</v>
      </c>
      <c r="D40" s="151">
        <f t="shared" si="70"/>
        <v>127.35496903956788</v>
      </c>
      <c r="E40" s="151">
        <f t="shared" si="71"/>
        <v>40.244969378827648</v>
      </c>
      <c r="F40" s="151">
        <f t="shared" si="72"/>
        <v>3.2625717765790849</v>
      </c>
      <c r="G40" s="151">
        <f t="shared" si="73"/>
        <v>210.71800208116545</v>
      </c>
      <c r="H40" s="151">
        <f t="shared" si="74"/>
        <v>30.572858944472046</v>
      </c>
      <c r="I40" s="151">
        <f t="shared" si="75"/>
        <v>25.507873176377423</v>
      </c>
      <c r="J40" s="151">
        <f t="shared" si="76"/>
        <v>4.2627043814511465</v>
      </c>
      <c r="K40" s="151">
        <f t="shared" si="77"/>
        <v>98.437167442001879</v>
      </c>
      <c r="L40" s="151">
        <f t="shared" si="78"/>
        <v>15.757539944984973</v>
      </c>
      <c r="M40" s="151">
        <f t="shared" si="79"/>
        <v>76.698567840901376</v>
      </c>
      <c r="N40" s="161">
        <f t="shared" si="80"/>
        <v>661.04607379625099</v>
      </c>
      <c r="O40" s="162">
        <f t="shared" si="81"/>
        <v>82.877494590045671</v>
      </c>
      <c r="P40" s="151">
        <f t="shared" si="82"/>
        <v>40.355851598481777</v>
      </c>
      <c r="Q40" s="151">
        <f t="shared" si="83"/>
        <v>54.580431573139272</v>
      </c>
      <c r="R40" s="151">
        <f t="shared" si="84"/>
        <v>19.981062724134588</v>
      </c>
      <c r="S40" s="151">
        <f t="shared" si="85"/>
        <v>757.166558786986</v>
      </c>
      <c r="T40" s="151">
        <f t="shared" si="86"/>
        <v>17.608119051687627</v>
      </c>
      <c r="U40" s="151">
        <f t="shared" si="87"/>
        <v>170.89194907390223</v>
      </c>
      <c r="V40" s="151">
        <f t="shared" si="88"/>
        <v>19.528071602929209</v>
      </c>
      <c r="W40" s="151">
        <f t="shared" si="89"/>
        <v>7.2338603717318453</v>
      </c>
      <c r="X40" s="151">
        <f t="shared" si="90"/>
        <v>23.450881797263818</v>
      </c>
      <c r="Y40" s="151">
        <f t="shared" si="91"/>
        <v>45.299947223362459</v>
      </c>
      <c r="Z40" s="151">
        <f t="shared" si="92"/>
        <v>17.388254891359935</v>
      </c>
      <c r="AA40" s="161">
        <f t="shared" si="93"/>
        <v>1256.3624832850246</v>
      </c>
      <c r="AB40" s="162">
        <f t="shared" si="94"/>
        <v>19.168816781096485</v>
      </c>
      <c r="AC40" s="151">
        <f t="shared" si="95"/>
        <v>44.75410669785893</v>
      </c>
      <c r="AD40" s="151">
        <f t="shared" si="96"/>
        <v>240.54908879660908</v>
      </c>
      <c r="AE40" s="151">
        <f t="shared" si="97"/>
        <v>5.4649523973883278</v>
      </c>
      <c r="AF40" s="151">
        <f t="shared" si="98"/>
        <v>86.147136131249809</v>
      </c>
      <c r="AG40" s="151">
        <f t="shared" si="99"/>
        <v>178.14005294296337</v>
      </c>
      <c r="AH40" s="151">
        <f t="shared" si="100"/>
        <v>59.333472884891627</v>
      </c>
      <c r="AI40" s="151">
        <f t="shared" si="101"/>
        <v>44.024751374877205</v>
      </c>
      <c r="AJ40" s="151">
        <f t="shared" si="102"/>
        <v>20.080465293067221</v>
      </c>
      <c r="AK40" s="151">
        <f t="shared" si="103"/>
        <v>55.914226423795249</v>
      </c>
      <c r="AL40" s="151">
        <f t="shared" si="104"/>
        <v>35.882841029925586</v>
      </c>
      <c r="AM40" s="151">
        <f t="shared" si="105"/>
        <v>4.180845415415182</v>
      </c>
      <c r="AN40" s="161">
        <f t="shared" si="106"/>
        <v>793.64075616913817</v>
      </c>
      <c r="AO40" s="162">
        <f t="shared" si="107"/>
        <v>10.078593658556388</v>
      </c>
      <c r="AP40" s="151">
        <f t="shared" si="108"/>
        <v>68.219907200773548</v>
      </c>
      <c r="AQ40" s="151">
        <f t="shared" si="109"/>
        <v>4.5019972174751439</v>
      </c>
      <c r="AR40" s="151">
        <f t="shared" si="110"/>
        <v>25.189281192896253</v>
      </c>
      <c r="AS40" s="151">
        <f t="shared" si="111"/>
        <v>85.855378445548126</v>
      </c>
      <c r="AT40" s="151">
        <f t="shared" si="112"/>
        <v>10.69662344831408</v>
      </c>
      <c r="AU40" s="151">
        <f t="shared" si="113"/>
        <v>141.44236757384164</v>
      </c>
      <c r="AV40" s="151">
        <f t="shared" si="114"/>
        <v>1.1351781514676156</v>
      </c>
      <c r="AW40" s="151">
        <f t="shared" si="115"/>
        <v>5.3818706652072796</v>
      </c>
      <c r="AX40" s="151">
        <f t="shared" si="116"/>
        <v>1.9812094880122724</v>
      </c>
      <c r="AY40" s="151">
        <f t="shared" si="117"/>
        <v>2.7562343057073879</v>
      </c>
      <c r="AZ40" s="151">
        <f t="shared" si="118"/>
        <v>5.0087441504068195</v>
      </c>
      <c r="BA40" s="161">
        <f t="shared" si="119"/>
        <v>362.24738549820654</v>
      </c>
      <c r="BB40" s="162">
        <f t="shared" si="120"/>
        <v>7.7545979299666321</v>
      </c>
      <c r="BC40" s="151">
        <f t="shared" si="121"/>
        <v>109.89006990862153</v>
      </c>
      <c r="BD40" s="151">
        <f t="shared" si="122"/>
        <v>26.420154287025461</v>
      </c>
      <c r="BE40" s="151">
        <f t="shared" si="123"/>
        <v>43.248148301164299</v>
      </c>
      <c r="BF40" s="151">
        <f t="shared" si="124"/>
        <v>88.734866950676121</v>
      </c>
      <c r="BG40" s="151">
        <f t="shared" si="125"/>
        <v>165.15091196374368</v>
      </c>
      <c r="BH40" s="151">
        <f t="shared" si="126"/>
        <v>282.40166002348838</v>
      </c>
      <c r="BI40" s="151">
        <f t="shared" si="127"/>
        <v>134.47580884468246</v>
      </c>
      <c r="BJ40" s="151">
        <f t="shared" si="128"/>
        <v>249.17947651943282</v>
      </c>
      <c r="BK40" s="151">
        <f t="shared" si="129"/>
        <v>122.02212060166949</v>
      </c>
      <c r="BL40" s="151">
        <f t="shared" si="130"/>
        <v>282.41674793435624</v>
      </c>
      <c r="BM40" s="151">
        <f t="shared" si="131"/>
        <v>143.1623496646354</v>
      </c>
      <c r="BN40" s="161">
        <f t="shared" si="132"/>
        <v>1654.8569129294626</v>
      </c>
      <c r="BO40" s="162">
        <f t="shared" si="133"/>
        <v>145.85851807802646</v>
      </c>
      <c r="BP40" s="151">
        <f t="shared" si="134"/>
        <v>254.34278397587559</v>
      </c>
      <c r="BQ40" s="151">
        <f t="shared" si="135"/>
        <v>119.1762030858426</v>
      </c>
      <c r="BR40" s="151">
        <f t="shared" si="136"/>
        <v>15.910862821461652</v>
      </c>
      <c r="BS40" s="151">
        <f t="shared" si="137"/>
        <v>11.430217544153486</v>
      </c>
      <c r="BT40" s="151">
        <f t="shared" si="138"/>
        <v>35.001155500199509</v>
      </c>
      <c r="BU40" s="151">
        <f t="shared" si="139"/>
        <v>41.945695832742913</v>
      </c>
      <c r="BV40" s="151">
        <f t="shared" si="140"/>
        <v>23.047664312884919</v>
      </c>
      <c r="BW40" s="151">
        <f t="shared" si="141"/>
        <v>70.480524805027159</v>
      </c>
      <c r="BX40" s="151">
        <f t="shared" si="142"/>
        <v>6.4184540336821634</v>
      </c>
      <c r="BY40" s="151">
        <f t="shared" si="143"/>
        <v>21.261526366537801</v>
      </c>
      <c r="BZ40" s="151">
        <f t="shared" si="144"/>
        <v>6.6536367085489356</v>
      </c>
      <c r="CA40" s="161">
        <f t="shared" si="145"/>
        <v>751.52724306498317</v>
      </c>
      <c r="CB40" s="162">
        <f t="shared" si="146"/>
        <v>0</v>
      </c>
      <c r="CC40" s="151">
        <f t="shared" si="147"/>
        <v>1.0797320555324319</v>
      </c>
      <c r="CD40" s="151">
        <f t="shared" si="148"/>
        <v>9.3020351372848094</v>
      </c>
      <c r="CE40" s="151">
        <f t="shared" si="149"/>
        <v>61.294115342793155</v>
      </c>
      <c r="CF40" s="151">
        <f t="shared" si="150"/>
        <v>29.194975102524403</v>
      </c>
      <c r="CG40" s="151">
        <f t="shared" si="151"/>
        <v>5.0132377358181701</v>
      </c>
      <c r="CH40" s="151">
        <f t="shared" si="152"/>
        <v>28.465342533710054</v>
      </c>
      <c r="CI40" s="151">
        <f t="shared" si="153"/>
        <v>33.574538662833646</v>
      </c>
      <c r="CJ40" s="151">
        <f t="shared" si="154"/>
        <v>16.449417188619211</v>
      </c>
      <c r="CK40" s="151">
        <f t="shared" si="155"/>
        <v>20.500270200911334</v>
      </c>
      <c r="CL40" s="151">
        <f t="shared" si="156"/>
        <v>0.36197356324738184</v>
      </c>
      <c r="CM40" s="151">
        <f t="shared" si="157"/>
        <v>4.5544224449470958</v>
      </c>
      <c r="CN40" s="161">
        <f t="shared" si="158"/>
        <v>209.79005996822167</v>
      </c>
      <c r="CO40" s="162">
        <f t="shared" si="159"/>
        <v>0</v>
      </c>
      <c r="CP40" s="151">
        <f t="shared" si="160"/>
        <v>13.393472652035971</v>
      </c>
      <c r="CQ40" s="151">
        <f t="shared" si="161"/>
        <v>0.52872746866025688</v>
      </c>
      <c r="CR40" s="151">
        <f t="shared" si="162"/>
        <v>71.315051544461539</v>
      </c>
      <c r="CS40" s="151">
        <f t="shared" si="163"/>
        <v>22.263870682966402</v>
      </c>
      <c r="CT40" s="151">
        <f t="shared" si="164"/>
        <v>0.97313658450183194</v>
      </c>
      <c r="CU40" s="151">
        <f t="shared" si="165"/>
        <v>100.35569654412443</v>
      </c>
      <c r="CV40" s="151">
        <f t="shared" si="166"/>
        <v>48.405609738338988</v>
      </c>
      <c r="CW40" s="151">
        <f t="shared" si="167"/>
        <v>36.305410585768648</v>
      </c>
      <c r="CX40" s="151">
        <f t="shared" si="168"/>
        <v>47.207156566430974</v>
      </c>
      <c r="CY40" s="151">
        <f t="shared" si="169"/>
        <v>25.291842368962584</v>
      </c>
      <c r="CZ40" s="151">
        <f t="shared" si="170"/>
        <v>117.97618433563511</v>
      </c>
      <c r="DA40" s="161">
        <f t="shared" si="171"/>
        <v>484.0161590718867</v>
      </c>
      <c r="DB40" s="162">
        <f t="shared" si="172"/>
        <v>7.4716571403227858</v>
      </c>
      <c r="DC40" s="151">
        <f t="shared" si="173"/>
        <v>3.299885568226363</v>
      </c>
      <c r="DD40" s="151">
        <f t="shared" si="174"/>
        <v>19.800535805935247</v>
      </c>
      <c r="DE40" s="151">
        <f t="shared" si="175"/>
        <v>17.069413831104878</v>
      </c>
      <c r="DF40" s="151">
        <f t="shared" si="176"/>
        <v>46.609952426774186</v>
      </c>
      <c r="DG40" s="151">
        <f t="shared" si="177"/>
        <v>74.275066868844078</v>
      </c>
      <c r="DH40" s="151">
        <f t="shared" si="178"/>
        <v>26.604843225511587</v>
      </c>
      <c r="DI40" s="151">
        <f t="shared" si="179"/>
        <v>7.6741334468956799</v>
      </c>
      <c r="DJ40" s="151">
        <f t="shared" si="180"/>
        <v>69.004365025762866</v>
      </c>
      <c r="DK40" s="151">
        <f t="shared" si="181"/>
        <v>1.6179121836416128</v>
      </c>
      <c r="DL40" s="151">
        <f t="shared" si="182"/>
        <v>110.73204049045421</v>
      </c>
      <c r="DM40" s="151">
        <f t="shared" si="183"/>
        <v>5.0268197798933398</v>
      </c>
      <c r="DN40" s="161">
        <f t="shared" si="184"/>
        <v>389.18662579336689</v>
      </c>
      <c r="DO40" s="162">
        <f t="shared" si="185"/>
        <v>13.186462604792602</v>
      </c>
      <c r="DP40" s="151">
        <f t="shared" si="186"/>
        <v>0.390241936919621</v>
      </c>
      <c r="DQ40" s="151">
        <f t="shared" si="187"/>
        <v>3.762468439918877</v>
      </c>
      <c r="DR40" s="151">
        <f t="shared" si="188"/>
        <v>49.562096577153902</v>
      </c>
      <c r="DS40" s="151">
        <f t="shared" si="189"/>
        <v>17.197999639420292</v>
      </c>
      <c r="DT40" s="151">
        <f t="shared" si="190"/>
        <v>13.709694862126796</v>
      </c>
      <c r="DU40" s="151">
        <f t="shared" si="191"/>
        <v>34.580208523736253</v>
      </c>
      <c r="DV40" s="151">
        <f t="shared" si="192"/>
        <v>93.064965605654052</v>
      </c>
      <c r="DW40" s="151">
        <f t="shared" si="193"/>
        <v>88.559098118590015</v>
      </c>
      <c r="DX40" s="151">
        <f t="shared" si="194"/>
        <v>7.3873984334128258</v>
      </c>
      <c r="DY40" s="151">
        <f t="shared" si="195"/>
        <v>7.3807557532349151</v>
      </c>
      <c r="DZ40" s="151">
        <f t="shared" si="196"/>
        <v>14.662084628256482</v>
      </c>
      <c r="EA40" s="161">
        <f t="shared" si="197"/>
        <v>343.44347512321667</v>
      </c>
      <c r="EB40" s="162">
        <f t="shared" si="198"/>
        <v>22.112173571148315</v>
      </c>
      <c r="EC40" s="151">
        <f t="shared" si="199"/>
        <v>89.692428914904085</v>
      </c>
      <c r="ED40" s="151">
        <f t="shared" si="200"/>
        <v>2.0910397940368406</v>
      </c>
      <c r="EE40" s="151">
        <f t="shared" si="201"/>
        <v>6.0345420635984253</v>
      </c>
      <c r="EF40" s="151">
        <f t="shared" si="202"/>
        <v>8.6947569923373074</v>
      </c>
      <c r="EG40" s="151">
        <f t="shared" si="203"/>
        <v>4.8143483351228866</v>
      </c>
      <c r="EH40" s="151">
        <f t="shared" si="204"/>
        <v>150.01728765935121</v>
      </c>
      <c r="EI40" s="151">
        <f t="shared" si="205"/>
        <v>17.668196956556621</v>
      </c>
      <c r="EJ40" s="151">
        <f t="shared" si="206"/>
        <v>81.4672787118418</v>
      </c>
      <c r="EK40" s="151">
        <f t="shared" si="207"/>
        <v>32.101393639053512</v>
      </c>
      <c r="EL40" s="151">
        <f t="shared" si="208"/>
        <v>15.947834823862177</v>
      </c>
      <c r="EM40" s="151">
        <f t="shared" si="209"/>
        <v>0</v>
      </c>
      <c r="EN40" s="161">
        <f t="shared" si="210"/>
        <v>430.64128146181326</v>
      </c>
      <c r="EO40" s="162">
        <f t="shared" si="211"/>
        <v>26.695012169416142</v>
      </c>
      <c r="EP40" s="151">
        <f t="shared" si="212"/>
        <v>48.910719015254593</v>
      </c>
      <c r="EQ40" s="151">
        <f t="shared" si="213"/>
        <v>49.810642957290383</v>
      </c>
      <c r="ER40" s="151">
        <f t="shared" si="214"/>
        <v>214.96652993718774</v>
      </c>
      <c r="ES40" s="151">
        <f t="shared" si="215"/>
        <v>119.98811980877467</v>
      </c>
      <c r="ET40" s="151">
        <f t="shared" si="216"/>
        <v>74.065056504225851</v>
      </c>
      <c r="EU40" s="151">
        <f t="shared" si="217"/>
        <v>269.09224637547209</v>
      </c>
      <c r="EV40" s="950">
        <f t="shared" si="218"/>
        <v>175.95970010821034</v>
      </c>
      <c r="FA40" s="161">
        <f t="shared" si="219"/>
        <v>979.48802687583179</v>
      </c>
      <c r="FC40" s="149">
        <f t="shared" si="67"/>
        <v>895.91203641700497</v>
      </c>
      <c r="FD40" s="149">
        <f t="shared" si="220"/>
        <v>225.27646693795677</v>
      </c>
      <c r="FE40" s="148">
        <f>SUMIFS($B40:$FA40,$B$5:$FA$5,"&gt;="&amp;DATE(YEAR($FC$5)-1,1,1),$B$5:$FA$5,"&lt;="&amp;DATE(YEAR($FC$5)-1,MONTH($FC$5),1))</f>
        <v>301.12477428705574</v>
      </c>
      <c r="FF40" s="148">
        <f t="shared" si="222"/>
        <v>979.48802687583179</v>
      </c>
      <c r="FG40" s="127"/>
    </row>
    <row r="41" spans="1:163" ht="15" customHeight="1" x14ac:dyDescent="0.25">
      <c r="A41" s="398" t="s">
        <v>202</v>
      </c>
      <c r="B41" s="162">
        <f t="shared" si="68"/>
        <v>11570.845020415409</v>
      </c>
      <c r="C41" s="151">
        <f t="shared" si="69"/>
        <v>6750.7411832381968</v>
      </c>
      <c r="D41" s="151">
        <f t="shared" si="70"/>
        <v>7373.4135523253262</v>
      </c>
      <c r="E41" s="151">
        <f t="shared" si="71"/>
        <v>7554.6806649168857</v>
      </c>
      <c r="F41" s="151">
        <f t="shared" si="72"/>
        <v>6978.4235253175575</v>
      </c>
      <c r="G41" s="151">
        <f t="shared" si="73"/>
        <v>8198.491155046826</v>
      </c>
      <c r="H41" s="151">
        <f t="shared" si="74"/>
        <v>15408.720908013911</v>
      </c>
      <c r="I41" s="151">
        <f t="shared" si="75"/>
        <v>15499.269028111959</v>
      </c>
      <c r="J41" s="151">
        <f t="shared" si="76"/>
        <v>15149.346892792984</v>
      </c>
      <c r="K41" s="151">
        <f t="shared" si="77"/>
        <v>15505.868223418165</v>
      </c>
      <c r="L41" s="151">
        <f t="shared" si="78"/>
        <v>16020.872679834816</v>
      </c>
      <c r="M41" s="151">
        <f t="shared" si="79"/>
        <v>15019.344329057218</v>
      </c>
      <c r="N41" s="161">
        <f t="shared" si="80"/>
        <v>141030.01716248924</v>
      </c>
      <c r="O41" s="162">
        <f t="shared" si="81"/>
        <v>21651.012863669152</v>
      </c>
      <c r="P41" s="151">
        <f t="shared" si="82"/>
        <v>12975.681473813704</v>
      </c>
      <c r="Q41" s="151">
        <f t="shared" si="83"/>
        <v>13881.175716181755</v>
      </c>
      <c r="R41" s="151">
        <f t="shared" si="84"/>
        <v>13743.690681220038</v>
      </c>
      <c r="S41" s="151">
        <f t="shared" si="85"/>
        <v>13579.00140615584</v>
      </c>
      <c r="T41" s="151">
        <f t="shared" si="86"/>
        <v>16214.700179053023</v>
      </c>
      <c r="U41" s="151">
        <f t="shared" si="87"/>
        <v>17051.854051445753</v>
      </c>
      <c r="V41" s="151">
        <f t="shared" si="88"/>
        <v>17232.783489903097</v>
      </c>
      <c r="W41" s="151">
        <f t="shared" si="89"/>
        <v>16839.467351668955</v>
      </c>
      <c r="X41" s="151">
        <f t="shared" si="90"/>
        <v>15651.515485668497</v>
      </c>
      <c r="Y41" s="151">
        <f t="shared" si="91"/>
        <v>16156.468070134288</v>
      </c>
      <c r="Z41" s="151">
        <f t="shared" si="92"/>
        <v>16237.634612855618</v>
      </c>
      <c r="AA41" s="161">
        <f t="shared" si="93"/>
        <v>191214.98538176971</v>
      </c>
      <c r="AB41" s="162">
        <f t="shared" si="94"/>
        <v>21968.192883485663</v>
      </c>
      <c r="AC41" s="151">
        <f t="shared" si="95"/>
        <v>14380.744109676623</v>
      </c>
      <c r="AD41" s="151">
        <f t="shared" si="96"/>
        <v>14218.000301224261</v>
      </c>
      <c r="AE41" s="151">
        <f t="shared" si="97"/>
        <v>15281.732677539047</v>
      </c>
      <c r="AF41" s="151">
        <f t="shared" si="98"/>
        <v>14503.480546489125</v>
      </c>
      <c r="AG41" s="151">
        <f t="shared" si="99"/>
        <v>17850.747132256151</v>
      </c>
      <c r="AH41" s="151">
        <f t="shared" si="100"/>
        <v>18503.092991865109</v>
      </c>
      <c r="AI41" s="151">
        <f t="shared" si="101"/>
        <v>17858.131314217699</v>
      </c>
      <c r="AJ41" s="151">
        <f t="shared" si="102"/>
        <v>18062.952258693764</v>
      </c>
      <c r="AK41" s="151">
        <f t="shared" si="103"/>
        <v>17836.205902697719</v>
      </c>
      <c r="AL41" s="151">
        <f t="shared" si="104"/>
        <v>17067.236532688468</v>
      </c>
      <c r="AM41" s="151">
        <f t="shared" si="105"/>
        <v>17421.366595410131</v>
      </c>
      <c r="AN41" s="161">
        <f t="shared" si="106"/>
        <v>204951.88324624373</v>
      </c>
      <c r="AO41" s="162">
        <f t="shared" si="107"/>
        <v>24102.956734437601</v>
      </c>
      <c r="AP41" s="151">
        <f t="shared" si="108"/>
        <v>14578.953220948468</v>
      </c>
      <c r="AQ41" s="151">
        <f t="shared" si="109"/>
        <v>16398.060372876807</v>
      </c>
      <c r="AR41" s="151">
        <f t="shared" si="110"/>
        <v>15939.734202589989</v>
      </c>
      <c r="AS41" s="151">
        <f t="shared" si="111"/>
        <v>15420.34143030749</v>
      </c>
      <c r="AT41" s="151">
        <f t="shared" si="112"/>
        <v>20163.491754186984</v>
      </c>
      <c r="AU41" s="151">
        <f t="shared" si="113"/>
        <v>20436.113286220141</v>
      </c>
      <c r="AV41" s="151">
        <f t="shared" si="114"/>
        <v>14350.496499046794</v>
      </c>
      <c r="AW41" s="151">
        <f t="shared" si="115"/>
        <v>19155.706421489813</v>
      </c>
      <c r="AX41" s="151">
        <f t="shared" si="116"/>
        <v>17838.8102300625</v>
      </c>
      <c r="AY41" s="151">
        <f t="shared" si="117"/>
        <v>18079.200901252334</v>
      </c>
      <c r="AZ41" s="151">
        <f t="shared" si="118"/>
        <v>17743.793608431326</v>
      </c>
      <c r="BA41" s="161">
        <f t="shared" si="119"/>
        <v>214207.65866185026</v>
      </c>
      <c r="BB41" s="162">
        <f t="shared" si="120"/>
        <v>23807.109119411285</v>
      </c>
      <c r="BC41" s="151">
        <f t="shared" si="121"/>
        <v>15771.134187533333</v>
      </c>
      <c r="BD41" s="151">
        <f t="shared" si="122"/>
        <v>15541.830495812879</v>
      </c>
      <c r="BE41" s="151">
        <f t="shared" si="123"/>
        <v>15745.116184740009</v>
      </c>
      <c r="BF41" s="151">
        <f t="shared" si="124"/>
        <v>13883.3151958747</v>
      </c>
      <c r="BG41" s="151">
        <f t="shared" si="125"/>
        <v>17598.924555724443</v>
      </c>
      <c r="BH41" s="151">
        <f t="shared" si="126"/>
        <v>22781.861633336095</v>
      </c>
      <c r="BI41" s="151">
        <f t="shared" si="127"/>
        <v>19640.282273984849</v>
      </c>
      <c r="BJ41" s="151">
        <f t="shared" si="128"/>
        <v>24100.675122231805</v>
      </c>
      <c r="BK41" s="151">
        <f t="shared" si="129"/>
        <v>23632.149799849798</v>
      </c>
      <c r="BL41" s="151">
        <f t="shared" si="130"/>
        <v>20380.693758755795</v>
      </c>
      <c r="BM41" s="151">
        <f t="shared" si="131"/>
        <v>24208.559491452772</v>
      </c>
      <c r="BN41" s="161">
        <f t="shared" si="132"/>
        <v>237091.65181870776</v>
      </c>
      <c r="BO41" s="162">
        <f t="shared" si="133"/>
        <v>30183.303015178699</v>
      </c>
      <c r="BP41" s="151">
        <f t="shared" si="134"/>
        <v>17574.595790346091</v>
      </c>
      <c r="BQ41" s="151">
        <f t="shared" si="135"/>
        <v>19508.581516082559</v>
      </c>
      <c r="BR41" s="151">
        <f t="shared" si="136"/>
        <v>7398.0025615375498</v>
      </c>
      <c r="BS41" s="151">
        <f t="shared" si="137"/>
        <v>682.59616507690248</v>
      </c>
      <c r="BT41" s="151">
        <f t="shared" si="138"/>
        <v>8332.299585689163</v>
      </c>
      <c r="BU41" s="151">
        <f t="shared" si="139"/>
        <v>18321.319752924795</v>
      </c>
      <c r="BV41" s="151">
        <f t="shared" si="140"/>
        <v>19963.722690152219</v>
      </c>
      <c r="BW41" s="151">
        <f t="shared" si="141"/>
        <v>18718.52100788397</v>
      </c>
      <c r="BX41" s="151">
        <f t="shared" si="142"/>
        <v>19722.953305542822</v>
      </c>
      <c r="BY41" s="151">
        <f t="shared" si="143"/>
        <v>24249.891636324057</v>
      </c>
      <c r="BZ41" s="151">
        <f t="shared" si="144"/>
        <v>23830.271448676522</v>
      </c>
      <c r="CA41" s="161">
        <f t="shared" si="145"/>
        <v>208486.05847541537</v>
      </c>
      <c r="CB41" s="162">
        <f t="shared" si="146"/>
        <v>26347.269660193928</v>
      </c>
      <c r="CC41" s="151">
        <f t="shared" si="147"/>
        <v>23540.790657492376</v>
      </c>
      <c r="CD41" s="151">
        <f t="shared" si="148"/>
        <v>19610.430018414863</v>
      </c>
      <c r="CE41" s="151">
        <f t="shared" si="149"/>
        <v>21054.62910240575</v>
      </c>
      <c r="CF41" s="151">
        <f t="shared" si="150"/>
        <v>19123.710808003681</v>
      </c>
      <c r="CG41" s="151">
        <f t="shared" si="151"/>
        <v>23767.150687747868</v>
      </c>
      <c r="CH41" s="151">
        <f t="shared" si="152"/>
        <v>24064.763249318214</v>
      </c>
      <c r="CI41" s="151">
        <f t="shared" si="153"/>
        <v>25757.005418462206</v>
      </c>
      <c r="CJ41" s="151">
        <f t="shared" si="154"/>
        <v>26868.886202551788</v>
      </c>
      <c r="CK41" s="151">
        <f t="shared" si="155"/>
        <v>25399.263834476245</v>
      </c>
      <c r="CL41" s="151">
        <f t="shared" si="156"/>
        <v>24314.344854065577</v>
      </c>
      <c r="CM41" s="151">
        <f t="shared" si="157"/>
        <v>23698.608218142857</v>
      </c>
      <c r="CN41" s="161">
        <f t="shared" si="158"/>
        <v>283546.85271127539</v>
      </c>
      <c r="CO41" s="162">
        <f t="shared" si="159"/>
        <v>28125.121184781252</v>
      </c>
      <c r="CP41" s="151">
        <f t="shared" si="160"/>
        <v>18699.047517810639</v>
      </c>
      <c r="CQ41" s="151">
        <f t="shared" si="161"/>
        <v>17201.125825632102</v>
      </c>
      <c r="CR41" s="151">
        <f t="shared" si="162"/>
        <v>21457.412832437254</v>
      </c>
      <c r="CS41" s="151">
        <f t="shared" si="163"/>
        <v>20755.736435321454</v>
      </c>
      <c r="CT41" s="151">
        <f t="shared" si="164"/>
        <v>24995.468955967364</v>
      </c>
      <c r="CU41" s="151">
        <f t="shared" si="165"/>
        <v>24478.229260818032</v>
      </c>
      <c r="CV41" s="151">
        <f t="shared" si="166"/>
        <v>23377.454944841349</v>
      </c>
      <c r="CW41" s="151">
        <f t="shared" si="167"/>
        <v>23750.840315071684</v>
      </c>
      <c r="CX41" s="151">
        <f t="shared" si="168"/>
        <v>24887.130488812945</v>
      </c>
      <c r="CY41" s="151">
        <f t="shared" si="169"/>
        <v>24364.314195304327</v>
      </c>
      <c r="CZ41" s="151">
        <f t="shared" si="170"/>
        <v>21392.286730286582</v>
      </c>
      <c r="DA41" s="161">
        <f t="shared" si="171"/>
        <v>273484.16868708504</v>
      </c>
      <c r="DB41" s="162">
        <f t="shared" si="172"/>
        <v>23116.204443408911</v>
      </c>
      <c r="DC41" s="151">
        <f t="shared" si="173"/>
        <v>16882.987596986983</v>
      </c>
      <c r="DD41" s="151">
        <f t="shared" si="174"/>
        <v>17194.368970452528</v>
      </c>
      <c r="DE41" s="151">
        <f t="shared" si="175"/>
        <v>18626.828519940726</v>
      </c>
      <c r="DF41" s="151">
        <f t="shared" si="176"/>
        <v>16645.055249485282</v>
      </c>
      <c r="DG41" s="151">
        <f t="shared" si="177"/>
        <v>20231.514257652889</v>
      </c>
      <c r="DH41" s="151">
        <f t="shared" si="178"/>
        <v>20181.787765483034</v>
      </c>
      <c r="DI41" s="151">
        <f t="shared" si="179"/>
        <v>20901.238931724285</v>
      </c>
      <c r="DJ41" s="151">
        <f t="shared" si="180"/>
        <v>21440.540962242201</v>
      </c>
      <c r="DK41" s="151">
        <f t="shared" si="181"/>
        <v>17940.347407742825</v>
      </c>
      <c r="DL41" s="151">
        <f t="shared" si="182"/>
        <v>20490.710182563973</v>
      </c>
      <c r="DM41" s="151">
        <f t="shared" si="183"/>
        <v>18286.480714222384</v>
      </c>
      <c r="DN41" s="161">
        <f t="shared" si="184"/>
        <v>231938.06500190604</v>
      </c>
      <c r="DO41" s="162">
        <f t="shared" si="185"/>
        <v>22223.19855818362</v>
      </c>
      <c r="DP41" s="151">
        <f t="shared" si="186"/>
        <v>17126.472561534531</v>
      </c>
      <c r="DQ41" s="151">
        <f t="shared" si="187"/>
        <v>17836.879366648107</v>
      </c>
      <c r="DR41" s="151">
        <f t="shared" si="188"/>
        <v>17945.029068943382</v>
      </c>
      <c r="DS41" s="151">
        <f t="shared" si="189"/>
        <v>17591.363641158492</v>
      </c>
      <c r="DT41" s="151">
        <f t="shared" si="190"/>
        <v>21650.856008122246</v>
      </c>
      <c r="DU41" s="151">
        <f t="shared" si="191"/>
        <v>22355.002106277636</v>
      </c>
      <c r="DV41" s="151">
        <f t="shared" si="192"/>
        <v>21493.931909322469</v>
      </c>
      <c r="DW41" s="151">
        <f t="shared" si="193"/>
        <v>24271.408433753804</v>
      </c>
      <c r="DX41" s="151">
        <f t="shared" si="194"/>
        <v>21501.911913503733</v>
      </c>
      <c r="DY41" s="151">
        <f t="shared" si="195"/>
        <v>23010.137947647057</v>
      </c>
      <c r="DZ41" s="151">
        <f t="shared" si="196"/>
        <v>22196.321665854408</v>
      </c>
      <c r="EA41" s="161">
        <f t="shared" si="197"/>
        <v>249202.51318094943</v>
      </c>
      <c r="EB41" s="162">
        <f t="shared" si="198"/>
        <v>26949.227325060423</v>
      </c>
      <c r="EC41" s="151">
        <f t="shared" si="199"/>
        <v>20475.204406303146</v>
      </c>
      <c r="ED41" s="151">
        <f t="shared" si="200"/>
        <v>19123.157783957078</v>
      </c>
      <c r="EE41" s="151">
        <f t="shared" si="201"/>
        <v>18152.344391431081</v>
      </c>
      <c r="EF41" s="151">
        <f t="shared" si="202"/>
        <v>19229.76217788487</v>
      </c>
      <c r="EG41" s="151">
        <f t="shared" si="203"/>
        <v>19950.790628949784</v>
      </c>
      <c r="EH41" s="151">
        <f t="shared" si="204"/>
        <v>21710.423066009076</v>
      </c>
      <c r="EI41" s="151">
        <f t="shared" si="205"/>
        <v>22702.020813595424</v>
      </c>
      <c r="EJ41" s="151">
        <f t="shared" si="206"/>
        <v>24536.940910085887</v>
      </c>
      <c r="EK41" s="151">
        <f t="shared" si="207"/>
        <v>24195.291861473419</v>
      </c>
      <c r="EL41" s="151">
        <f t="shared" si="208"/>
        <v>23170.952956569654</v>
      </c>
      <c r="EM41" s="151">
        <f t="shared" si="209"/>
        <v>22325.580885130112</v>
      </c>
      <c r="EN41" s="161">
        <f t="shared" si="210"/>
        <v>262521.69720644993</v>
      </c>
      <c r="EO41" s="162">
        <f t="shared" si="211"/>
        <v>28903.365911801946</v>
      </c>
      <c r="EP41" s="151">
        <f t="shared" si="212"/>
        <v>20734.619678085586</v>
      </c>
      <c r="EQ41" s="151">
        <f t="shared" si="213"/>
        <v>20399.699018411004</v>
      </c>
      <c r="ER41" s="151">
        <f t="shared" si="214"/>
        <v>21160.336244798324</v>
      </c>
      <c r="ES41" s="151">
        <f t="shared" si="215"/>
        <v>20462.073128468088</v>
      </c>
      <c r="ET41" s="151">
        <f t="shared" si="216"/>
        <v>21906.223082110311</v>
      </c>
      <c r="EU41" s="151">
        <f t="shared" si="217"/>
        <v>24154.179229676673</v>
      </c>
      <c r="EV41" s="950">
        <f t="shared" si="218"/>
        <v>24958.954701349208</v>
      </c>
      <c r="FA41" s="161">
        <f t="shared" si="219"/>
        <v>182679.45099470112</v>
      </c>
      <c r="FC41" s="149">
        <f t="shared" si="67"/>
        <v>9.9415550108305162</v>
      </c>
      <c r="FD41" s="149">
        <f t="shared" si="220"/>
        <v>8.5484995423166907</v>
      </c>
      <c r="FE41" s="148">
        <f t="shared" si="221"/>
        <v>168292.93059319086</v>
      </c>
      <c r="FF41" s="148">
        <f t="shared" si="222"/>
        <v>182679.45099470112</v>
      </c>
      <c r="FG41" s="127"/>
    </row>
    <row r="42" spans="1:163" ht="15" customHeight="1" x14ac:dyDescent="0.25">
      <c r="A42" s="398" t="s">
        <v>203</v>
      </c>
      <c r="B42" s="162">
        <f t="shared" si="68"/>
        <v>339.67249245517485</v>
      </c>
      <c r="C42" s="151">
        <f t="shared" si="69"/>
        <v>261.47174653745742</v>
      </c>
      <c r="D42" s="151">
        <f t="shared" si="70"/>
        <v>322.77897325545649</v>
      </c>
      <c r="E42" s="151">
        <f t="shared" si="71"/>
        <v>1586.1767279090113</v>
      </c>
      <c r="F42" s="151">
        <f t="shared" si="72"/>
        <v>553.76718287802328</v>
      </c>
      <c r="G42" s="151">
        <f t="shared" si="73"/>
        <v>585.7613596947624</v>
      </c>
      <c r="H42" s="151">
        <f t="shared" si="74"/>
        <v>1071.5787060037453</v>
      </c>
      <c r="I42" s="151">
        <f t="shared" si="75"/>
        <v>1073.6149605579751</v>
      </c>
      <c r="J42" s="151">
        <f t="shared" si="76"/>
        <v>1056.9223274365922</v>
      </c>
      <c r="K42" s="151">
        <f t="shared" si="77"/>
        <v>1134.4978564261608</v>
      </c>
      <c r="L42" s="151">
        <f t="shared" si="78"/>
        <v>1007.7249824432217</v>
      </c>
      <c r="M42" s="151">
        <f t="shared" si="79"/>
        <v>1180.1926137092089</v>
      </c>
      <c r="N42" s="161">
        <f t="shared" si="80"/>
        <v>10174.159929306788</v>
      </c>
      <c r="O42" s="162">
        <f t="shared" si="81"/>
        <v>572.4032219283481</v>
      </c>
      <c r="P42" s="151">
        <f t="shared" si="82"/>
        <v>592.81095758885033</v>
      </c>
      <c r="Q42" s="151">
        <f t="shared" si="83"/>
        <v>551.3965730647061</v>
      </c>
      <c r="R42" s="151">
        <f t="shared" si="84"/>
        <v>2950.7108934069947</v>
      </c>
      <c r="S42" s="151">
        <f t="shared" si="85"/>
        <v>1197.5388552849884</v>
      </c>
      <c r="T42" s="151">
        <f t="shared" si="86"/>
        <v>1041.2564916008528</v>
      </c>
      <c r="U42" s="151">
        <f t="shared" si="87"/>
        <v>1149.6974871014438</v>
      </c>
      <c r="V42" s="151">
        <f t="shared" si="88"/>
        <v>1198.3134847252015</v>
      </c>
      <c r="W42" s="151">
        <f t="shared" si="89"/>
        <v>1152.9149504702009</v>
      </c>
      <c r="X42" s="151">
        <f t="shared" si="90"/>
        <v>1138.3602026038566</v>
      </c>
      <c r="Y42" s="151">
        <f t="shared" si="91"/>
        <v>1083.3137864305399</v>
      </c>
      <c r="Z42" s="151">
        <f t="shared" si="92"/>
        <v>1107.8071803264315</v>
      </c>
      <c r="AA42" s="161">
        <f t="shared" si="93"/>
        <v>13736.524084532415</v>
      </c>
      <c r="AB42" s="162">
        <f t="shared" si="94"/>
        <v>553.34470342997918</v>
      </c>
      <c r="AC42" s="151">
        <f t="shared" si="95"/>
        <v>386.73069797516729</v>
      </c>
      <c r="AD42" s="151">
        <f t="shared" si="96"/>
        <v>466.46728489360328</v>
      </c>
      <c r="AE42" s="151">
        <f t="shared" si="97"/>
        <v>2810.2079558201744</v>
      </c>
      <c r="AF42" s="151">
        <f t="shared" si="98"/>
        <v>1173.0597036480749</v>
      </c>
      <c r="AG42" s="151">
        <f t="shared" si="99"/>
        <v>1198.8832795706703</v>
      </c>
      <c r="AH42" s="151">
        <f t="shared" si="100"/>
        <v>1333.9925941431657</v>
      </c>
      <c r="AI42" s="151">
        <f t="shared" si="101"/>
        <v>1187.7361669785682</v>
      </c>
      <c r="AJ42" s="151">
        <f t="shared" si="102"/>
        <v>1264.9975975157595</v>
      </c>
      <c r="AK42" s="151">
        <f t="shared" si="103"/>
        <v>1222.114941203597</v>
      </c>
      <c r="AL42" s="151">
        <f t="shared" si="104"/>
        <v>1079.1565892843012</v>
      </c>
      <c r="AM42" s="151">
        <f t="shared" si="105"/>
        <v>1242.7923415029857</v>
      </c>
      <c r="AN42" s="161">
        <f t="shared" si="106"/>
        <v>13919.483855966047</v>
      </c>
      <c r="AO42" s="162">
        <f t="shared" si="107"/>
        <v>661.58768372952284</v>
      </c>
      <c r="AP42" s="151">
        <f t="shared" si="108"/>
        <v>534.26958902500542</v>
      </c>
      <c r="AQ42" s="151">
        <f t="shared" si="109"/>
        <v>601.98134222239071</v>
      </c>
      <c r="AR42" s="151">
        <f t="shared" si="110"/>
        <v>3937.6141978383985</v>
      </c>
      <c r="AS42" s="151">
        <f t="shared" si="111"/>
        <v>1409.1013987375586</v>
      </c>
      <c r="AT42" s="151">
        <f t="shared" si="112"/>
        <v>1287.1603549471276</v>
      </c>
      <c r="AU42" s="151">
        <f t="shared" si="113"/>
        <v>1318.8737086933049</v>
      </c>
      <c r="AV42" s="151">
        <f t="shared" si="114"/>
        <v>1280.5519034899371</v>
      </c>
      <c r="AW42" s="151">
        <f t="shared" si="115"/>
        <v>1217.8606802662475</v>
      </c>
      <c r="AX42" s="151">
        <f t="shared" si="116"/>
        <v>1417.6261461544957</v>
      </c>
      <c r="AY42" s="151">
        <f t="shared" si="117"/>
        <v>1338.2577644326948</v>
      </c>
      <c r="AZ42" s="151">
        <f t="shared" si="118"/>
        <v>1238.0768991498546</v>
      </c>
      <c r="BA42" s="161">
        <f t="shared" si="119"/>
        <v>16242.961668686541</v>
      </c>
      <c r="BB42" s="162">
        <f t="shared" si="120"/>
        <v>721.24810383171473</v>
      </c>
      <c r="BC42" s="151">
        <f t="shared" si="121"/>
        <v>754.91210027969498</v>
      </c>
      <c r="BD42" s="151">
        <f t="shared" si="122"/>
        <v>557.19965602160585</v>
      </c>
      <c r="BE42" s="151">
        <f t="shared" si="123"/>
        <v>5573.4307246177868</v>
      </c>
      <c r="BF42" s="151">
        <f t="shared" si="124"/>
        <v>1517.9652200337794</v>
      </c>
      <c r="BG42" s="151">
        <f t="shared" si="125"/>
        <v>1265.0880537805219</v>
      </c>
      <c r="BH42" s="151">
        <f t="shared" si="126"/>
        <v>1433.9937459335104</v>
      </c>
      <c r="BI42" s="151">
        <f t="shared" si="127"/>
        <v>1423.1211890507323</v>
      </c>
      <c r="BJ42" s="151">
        <f t="shared" si="128"/>
        <v>1466.2237668298878</v>
      </c>
      <c r="BK42" s="151">
        <f t="shared" si="129"/>
        <v>1592.3990912212182</v>
      </c>
      <c r="BL42" s="151">
        <f t="shared" si="130"/>
        <v>1385.4445770073762</v>
      </c>
      <c r="BM42" s="151">
        <f t="shared" si="131"/>
        <v>1565.0940044574841</v>
      </c>
      <c r="BN42" s="161">
        <f t="shared" si="132"/>
        <v>19256.120233065314</v>
      </c>
      <c r="BO42" s="162">
        <f t="shared" si="133"/>
        <v>793.57274375563827</v>
      </c>
      <c r="BP42" s="151">
        <f t="shared" si="134"/>
        <v>713.7628249037748</v>
      </c>
      <c r="BQ42" s="151">
        <f t="shared" si="135"/>
        <v>338.37529090444593</v>
      </c>
      <c r="BR42" s="151">
        <f t="shared" si="136"/>
        <v>1851.9009860686597</v>
      </c>
      <c r="BS42" s="151">
        <f t="shared" si="137"/>
        <v>1118.0395424176479</v>
      </c>
      <c r="BT42" s="151">
        <f t="shared" si="138"/>
        <v>1322.426010457538</v>
      </c>
      <c r="BU42" s="151">
        <f t="shared" si="139"/>
        <v>1768.5507715277665</v>
      </c>
      <c r="BV42" s="151">
        <f t="shared" si="140"/>
        <v>1873.9050509585957</v>
      </c>
      <c r="BW42" s="151">
        <f t="shared" si="141"/>
        <v>1835.4986285464242</v>
      </c>
      <c r="BX42" s="151">
        <f t="shared" si="142"/>
        <v>1785.4227241778849</v>
      </c>
      <c r="BY42" s="151">
        <f t="shared" si="143"/>
        <v>1999.3986168456026</v>
      </c>
      <c r="BZ42" s="151">
        <f t="shared" si="144"/>
        <v>2070.6389014012802</v>
      </c>
      <c r="CA42" s="161">
        <f t="shared" si="145"/>
        <v>17471.492091965258</v>
      </c>
      <c r="CB42" s="162">
        <f t="shared" si="146"/>
        <v>547.77600214544873</v>
      </c>
      <c r="CC42" s="151">
        <f t="shared" si="147"/>
        <v>587.71165447699684</v>
      </c>
      <c r="CD42" s="151">
        <f t="shared" si="148"/>
        <v>751.65797598548909</v>
      </c>
      <c r="CE42" s="151">
        <f t="shared" si="149"/>
        <v>3370.1715222906273</v>
      </c>
      <c r="CF42" s="151">
        <f t="shared" si="150"/>
        <v>2031.2220206342149</v>
      </c>
      <c r="CG42" s="151">
        <f t="shared" si="151"/>
        <v>2428.2316287865328</v>
      </c>
      <c r="CH42" s="151">
        <f t="shared" si="152"/>
        <v>2265.5471374086355</v>
      </c>
      <c r="CI42" s="151">
        <f t="shared" si="153"/>
        <v>2291.1402528384551</v>
      </c>
      <c r="CJ42" s="151">
        <f t="shared" si="154"/>
        <v>2399.1623803415819</v>
      </c>
      <c r="CK42" s="151">
        <f t="shared" si="155"/>
        <v>2259.2948999042305</v>
      </c>
      <c r="CL42" s="151">
        <f t="shared" si="156"/>
        <v>2428.288802696904</v>
      </c>
      <c r="CM42" s="151">
        <f t="shared" si="157"/>
        <v>2405.0754605216607</v>
      </c>
      <c r="CN42" s="161">
        <f t="shared" si="158"/>
        <v>23765.279738030778</v>
      </c>
      <c r="CO42" s="162">
        <f t="shared" si="159"/>
        <v>733.54059319753173</v>
      </c>
      <c r="CP42" s="151">
        <f t="shared" si="160"/>
        <v>717.30706545194425</v>
      </c>
      <c r="CQ42" s="151">
        <f t="shared" si="161"/>
        <v>841.29689629581185</v>
      </c>
      <c r="CR42" s="151">
        <f t="shared" si="162"/>
        <v>3645.4167338217644</v>
      </c>
      <c r="CS42" s="151">
        <f t="shared" si="163"/>
        <v>2148.0500165781746</v>
      </c>
      <c r="CT42" s="151">
        <f t="shared" si="164"/>
        <v>2049.2047103010018</v>
      </c>
      <c r="CU42" s="151">
        <f t="shared" si="165"/>
        <v>2264.3071648013288</v>
      </c>
      <c r="CV42" s="151">
        <f t="shared" si="166"/>
        <v>2475.9710086651439</v>
      </c>
      <c r="CW42" s="151">
        <f t="shared" si="167"/>
        <v>2651.6590113388875</v>
      </c>
      <c r="CX42" s="151">
        <f t="shared" si="168"/>
        <v>2075.4581786745275</v>
      </c>
      <c r="CY42" s="151">
        <f t="shared" si="169"/>
        <v>2016.0281084306114</v>
      </c>
      <c r="CZ42" s="151">
        <f t="shared" si="170"/>
        <v>2241.1740543995716</v>
      </c>
      <c r="DA42" s="161">
        <f t="shared" si="171"/>
        <v>23859.413541956299</v>
      </c>
      <c r="DB42" s="162">
        <f t="shared" si="172"/>
        <v>987.19392332433711</v>
      </c>
      <c r="DC42" s="151">
        <f t="shared" si="173"/>
        <v>789.98416074384545</v>
      </c>
      <c r="DD42" s="151">
        <f t="shared" si="174"/>
        <v>975.09582008162852</v>
      </c>
      <c r="DE42" s="151">
        <f t="shared" si="175"/>
        <v>3549.6048205945549</v>
      </c>
      <c r="DF42" s="151">
        <f t="shared" si="176"/>
        <v>2862.5666031286987</v>
      </c>
      <c r="DG42" s="151">
        <f t="shared" si="177"/>
        <v>2469.6335239268033</v>
      </c>
      <c r="DH42" s="151">
        <f t="shared" si="178"/>
        <v>2757.819673280917</v>
      </c>
      <c r="DI42" s="151">
        <f t="shared" si="179"/>
        <v>2872.2275868641877</v>
      </c>
      <c r="DJ42" s="151">
        <f t="shared" si="180"/>
        <v>2884.3605993429192</v>
      </c>
      <c r="DK42" s="151">
        <f t="shared" si="181"/>
        <v>2538.0340221841539</v>
      </c>
      <c r="DL42" s="151">
        <f t="shared" si="182"/>
        <v>2674.0311517273653</v>
      </c>
      <c r="DM42" s="151">
        <f t="shared" si="183"/>
        <v>3127.6049410991432</v>
      </c>
      <c r="DN42" s="161">
        <f t="shared" si="184"/>
        <v>28488.156826298557</v>
      </c>
      <c r="DO42" s="162">
        <f t="shared" si="185"/>
        <v>1427.6752747257933</v>
      </c>
      <c r="DP42" s="151">
        <f t="shared" si="186"/>
        <v>935.465678117479</v>
      </c>
      <c r="DQ42" s="151">
        <f t="shared" si="187"/>
        <v>917.48143921616054</v>
      </c>
      <c r="DR42" s="151">
        <f t="shared" si="188"/>
        <v>3148.0593400201633</v>
      </c>
      <c r="DS42" s="151">
        <f t="shared" si="189"/>
        <v>2047.9574196400142</v>
      </c>
      <c r="DT42" s="151">
        <f t="shared" si="190"/>
        <v>2074.5865836920384</v>
      </c>
      <c r="DU42" s="151">
        <f t="shared" si="191"/>
        <v>2440.8175078432751</v>
      </c>
      <c r="DV42" s="151">
        <f t="shared" si="192"/>
        <v>2451.0418721068932</v>
      </c>
      <c r="DW42" s="151">
        <f t="shared" si="193"/>
        <v>2319.0936331215221</v>
      </c>
      <c r="DX42" s="151">
        <f t="shared" si="194"/>
        <v>2627.1918586576253</v>
      </c>
      <c r="DY42" s="151">
        <f t="shared" si="195"/>
        <v>2940.9596894433257</v>
      </c>
      <c r="DZ42" s="151">
        <f t="shared" si="196"/>
        <v>2811.9978498869987</v>
      </c>
      <c r="EA42" s="161">
        <f t="shared" si="197"/>
        <v>26142.328146471293</v>
      </c>
      <c r="EB42" s="162">
        <f t="shared" si="198"/>
        <v>1381.3481819456845</v>
      </c>
      <c r="EC42" s="151">
        <f t="shared" si="199"/>
        <v>27872.37031480845</v>
      </c>
      <c r="ED42" s="151">
        <f t="shared" si="200"/>
        <v>2593.2123376548861</v>
      </c>
      <c r="EE42" s="151">
        <f t="shared" si="201"/>
        <v>5444.184549042815</v>
      </c>
      <c r="EF42" s="151">
        <f t="shared" si="202"/>
        <v>3813.6387678608371</v>
      </c>
      <c r="EG42" s="151">
        <f t="shared" si="203"/>
        <v>2432.8131333282222</v>
      </c>
      <c r="EH42" s="151">
        <f t="shared" si="204"/>
        <v>2619.2111500211504</v>
      </c>
      <c r="EI42" s="151">
        <f t="shared" si="205"/>
        <v>3056.2667155730924</v>
      </c>
      <c r="EJ42" s="151">
        <f t="shared" si="206"/>
        <v>2881.7747394470416</v>
      </c>
      <c r="EK42" s="151">
        <f t="shared" si="207"/>
        <v>3085.7420879535075</v>
      </c>
      <c r="EL42" s="151">
        <f t="shared" si="208"/>
        <v>3202.5053274941929</v>
      </c>
      <c r="EM42" s="151">
        <f t="shared" si="209"/>
        <v>3101.8541616695197</v>
      </c>
      <c r="EN42" s="161">
        <f t="shared" si="210"/>
        <v>61484.921466799402</v>
      </c>
      <c r="EO42" s="162">
        <f t="shared" si="211"/>
        <v>1188.1011092915148</v>
      </c>
      <c r="EP42" s="151">
        <f t="shared" si="212"/>
        <v>1458.250000529918</v>
      </c>
      <c r="EQ42" s="151">
        <f t="shared" si="213"/>
        <v>1260.4283198313294</v>
      </c>
      <c r="ER42" s="151">
        <f t="shared" si="214"/>
        <v>4265.5009493517109</v>
      </c>
      <c r="ES42" s="151">
        <f t="shared" si="215"/>
        <v>2622.9211409079676</v>
      </c>
      <c r="ET42" s="151">
        <f t="shared" si="216"/>
        <v>2717.3562121890272</v>
      </c>
      <c r="EU42" s="151">
        <f t="shared" si="217"/>
        <v>3073.082305763422</v>
      </c>
      <c r="EV42" s="950">
        <f t="shared" si="218"/>
        <v>2852.1260308121564</v>
      </c>
      <c r="FA42" s="161">
        <f t="shared" si="219"/>
        <v>19437.766068677047</v>
      </c>
      <c r="FC42" s="149">
        <f t="shared" si="67"/>
        <v>-6.6794132763591918</v>
      </c>
      <c r="FD42" s="149">
        <f t="shared" si="220"/>
        <v>-60.50281788225378</v>
      </c>
      <c r="FE42" s="148">
        <f t="shared" si="221"/>
        <v>49213.045150235135</v>
      </c>
      <c r="FF42" s="148">
        <f t="shared" si="222"/>
        <v>19437.766068677047</v>
      </c>
      <c r="FG42" s="127"/>
    </row>
    <row r="43" spans="1:163" ht="15" customHeight="1" x14ac:dyDescent="0.25">
      <c r="A43" s="161"/>
      <c r="B43" s="162"/>
      <c r="N43" s="161"/>
      <c r="O43" s="162"/>
      <c r="AA43" s="161"/>
      <c r="AB43" s="162"/>
      <c r="AN43" s="161"/>
      <c r="AO43" s="162"/>
      <c r="BA43" s="161"/>
      <c r="BB43" s="162"/>
      <c r="BN43" s="161"/>
      <c r="BO43" s="162"/>
      <c r="CA43" s="161"/>
      <c r="CB43" s="162"/>
      <c r="CN43" s="161"/>
      <c r="CO43" s="162"/>
      <c r="DA43" s="161"/>
      <c r="DB43" s="162"/>
      <c r="DN43" s="161"/>
      <c r="DO43" s="162"/>
      <c r="EA43" s="161"/>
      <c r="EB43" s="162"/>
      <c r="EN43" s="161"/>
      <c r="EO43" s="162"/>
      <c r="FA43" s="161"/>
      <c r="FC43" s="149" t="str">
        <f t="shared" si="67"/>
        <v/>
      </c>
      <c r="FD43" s="149"/>
      <c r="FE43" s="148"/>
      <c r="FF43" s="148"/>
      <c r="FG43" s="127"/>
    </row>
    <row r="44" spans="1:163" ht="15" customHeight="1" x14ac:dyDescent="0.25">
      <c r="A44" s="234" t="s">
        <v>198</v>
      </c>
      <c r="B44" s="272">
        <f>B21/$B$26</f>
        <v>344.95299130126045</v>
      </c>
      <c r="C44" s="147">
        <f>C21/$C$26</f>
        <v>286.82685074560823</v>
      </c>
      <c r="D44" s="147">
        <f>D21/$D$26</f>
        <v>277.54600149312722</v>
      </c>
      <c r="E44" s="147">
        <f>E21/$E$26</f>
        <v>265.52930883639544</v>
      </c>
      <c r="F44" s="147">
        <f>F21/$F$26</f>
        <v>280.14616321559078</v>
      </c>
      <c r="G44" s="147">
        <f>G21/$G$26</f>
        <v>235.86541796739508</v>
      </c>
      <c r="H44" s="147">
        <f>H21/$H$26</f>
        <v>492.22302900599993</v>
      </c>
      <c r="I44" s="147">
        <f>I21/$I$26</f>
        <v>523.48247190326799</v>
      </c>
      <c r="J44" s="147">
        <f>J21/$J$26</f>
        <v>761.9584081843924</v>
      </c>
      <c r="K44" s="147">
        <f>K21/$K$26</f>
        <v>722.65803156070422</v>
      </c>
      <c r="L44" s="147">
        <f>L21/$L$26</f>
        <v>905.52824501156431</v>
      </c>
      <c r="M44" s="147">
        <f>M21/$M$26</f>
        <v>4799.505267841655</v>
      </c>
      <c r="N44" s="234">
        <f>SUM(B44:M44)</f>
        <v>9896.22218706696</v>
      </c>
      <c r="O44" s="272">
        <f>O21/$O$26</f>
        <v>277.41043520076937</v>
      </c>
      <c r="P44" s="147">
        <f>P21/$P$26</f>
        <v>432.0626490841172</v>
      </c>
      <c r="Q44" s="147">
        <f>Q21/$Q$26</f>
        <v>322.63596641663059</v>
      </c>
      <c r="R44" s="147">
        <f>R21/$R$26</f>
        <v>414.97983254676541</v>
      </c>
      <c r="S44" s="147">
        <f>S21/$S$26</f>
        <v>479.8785795594045</v>
      </c>
      <c r="T44" s="147">
        <f>T21/$T$26</f>
        <v>349.19054659464916</v>
      </c>
      <c r="U44" s="147">
        <f>U21/$U$26</f>
        <v>235.84870643257486</v>
      </c>
      <c r="V44" s="147">
        <f>V21/$V$26</f>
        <v>489.237369627931</v>
      </c>
      <c r="W44" s="147">
        <f>W21/$W$26</f>
        <v>387.82349380692978</v>
      </c>
      <c r="X44" s="147">
        <f>X21/$X$26</f>
        <v>262.37052393239679</v>
      </c>
      <c r="Y44" s="147">
        <f>Y21/$Y$26</f>
        <v>273.55890459156745</v>
      </c>
      <c r="Z44" s="147">
        <f>Z21/$Z$26</f>
        <v>194.85073863553339</v>
      </c>
      <c r="AA44" s="234">
        <f>SUM(O44:Z44)</f>
        <v>4119.84774642927</v>
      </c>
      <c r="AB44" s="272">
        <f>AB21/$AB$26</f>
        <v>212.75200069969824</v>
      </c>
      <c r="AC44" s="147">
        <f>AC21/$AC$26</f>
        <v>134.62558394664381</v>
      </c>
      <c r="AD44" s="147">
        <f>AD21/$AD$26</f>
        <v>177.14855376494467</v>
      </c>
      <c r="AE44" s="147">
        <f>AE21/$AE$26</f>
        <v>206.23004573302271</v>
      </c>
      <c r="AF44" s="147">
        <f>AF21/$AF$26</f>
        <v>262.34077582969871</v>
      </c>
      <c r="AG44" s="147">
        <f>AG21/$AG$26</f>
        <v>166.85712632538224</v>
      </c>
      <c r="AH44" s="147">
        <f>AH21/$AH$26</f>
        <v>229.53825276636906</v>
      </c>
      <c r="AI44" s="147">
        <f>AI21/$AI$26</f>
        <v>251.52903554245808</v>
      </c>
      <c r="AJ44" s="147">
        <f>AJ21/$AJ$26</f>
        <v>264.91870997353681</v>
      </c>
      <c r="AK44" s="147">
        <f>AK21/$AK$26</f>
        <v>512.73922065944203</v>
      </c>
      <c r="AL44" s="147">
        <f>AL21/$AL$26</f>
        <v>368.86405396758516</v>
      </c>
      <c r="AM44" s="147">
        <f>AM21/$AM$26</f>
        <v>339.44139760672579</v>
      </c>
      <c r="AN44" s="234">
        <f>SUM(AB44:AM44)</f>
        <v>3126.9847568155078</v>
      </c>
      <c r="AO44" s="272">
        <f>AO21/$AO$26</f>
        <v>178.535087665856</v>
      </c>
      <c r="AP44" s="147">
        <f>AP21/$AP$26</f>
        <v>294.42275739281212</v>
      </c>
      <c r="AQ44" s="147">
        <f>AQ21/$AQ$26</f>
        <v>231.17398410368401</v>
      </c>
      <c r="AR44" s="147">
        <f>AR21/$AR$26</f>
        <v>279.8013905233646</v>
      </c>
      <c r="AS44" s="147">
        <f>AS21/$AS$26</f>
        <v>686.91457371308957</v>
      </c>
      <c r="AT44" s="147">
        <f>AT21/$AT$26</f>
        <v>426.29609982681046</v>
      </c>
      <c r="AU44" s="147">
        <f>AU21/$AU$26</f>
        <v>1191.426392054695</v>
      </c>
      <c r="AV44" s="147">
        <f>AV21/$AV$26</f>
        <v>336.15463010334764</v>
      </c>
      <c r="AW44" s="147">
        <f>AW21/$AW$26</f>
        <v>301.38475725160771</v>
      </c>
      <c r="AX44" s="147">
        <f>AX21/$AX$26</f>
        <v>508.74629352886564</v>
      </c>
      <c r="AY44" s="147">
        <f>AY21/$AY$26</f>
        <v>577.67844140646639</v>
      </c>
      <c r="AZ44" s="147">
        <f>AZ21/$AZ$26</f>
        <v>1014.940874533844</v>
      </c>
      <c r="BA44" s="234">
        <f>SUM(AO44:AZ44)</f>
        <v>6027.475282104444</v>
      </c>
      <c r="BB44" s="272">
        <f>BB21/$BB$26</f>
        <v>414.02503311540028</v>
      </c>
      <c r="BC44" s="147">
        <f>BC21/$BC$26</f>
        <v>742.26599655581595</v>
      </c>
      <c r="BD44" s="147">
        <f>BD21/$BD$26</f>
        <v>260.56702429108714</v>
      </c>
      <c r="BE44" s="147">
        <f>BE21/$BE$26</f>
        <v>319.478256805375</v>
      </c>
      <c r="BF44" s="147">
        <f>BF21/$BF$26</f>
        <v>258.75198643780357</v>
      </c>
      <c r="BG44" s="147">
        <f>BG21/$BF$26</f>
        <v>845.90656131551134</v>
      </c>
      <c r="BH44" s="147">
        <f>BH21/$BH$26</f>
        <v>1174.2732736822954</v>
      </c>
      <c r="BI44" s="147">
        <f>BI21/$BI$26</f>
        <v>957.7403262805874</v>
      </c>
      <c r="BJ44" s="147">
        <f>BJ21/$BJ$26</f>
        <v>1171.6441234111278</v>
      </c>
      <c r="BK44" s="147">
        <f>BK21/$BK$26</f>
        <v>1342.4516740069844</v>
      </c>
      <c r="BL44" s="147">
        <f>BL21/$BL$26</f>
        <v>796.05310305741523</v>
      </c>
      <c r="BM44" s="147">
        <f>BM21/$BM$26</f>
        <v>365.24398299352822</v>
      </c>
      <c r="BN44" s="234">
        <f t="shared" si="132"/>
        <v>8648.401341952931</v>
      </c>
      <c r="BO44" s="272">
        <f>BO21/$BO$26</f>
        <v>562.39944731413618</v>
      </c>
      <c r="BP44" s="147">
        <f>BP21/$BP$26</f>
        <v>325.99545090958463</v>
      </c>
      <c r="BQ44" s="147">
        <f>BQ21/$BQ$26</f>
        <v>202.10526606262707</v>
      </c>
      <c r="BR44" s="147">
        <f>BR21/$BR$26</f>
        <v>31.821725642923305</v>
      </c>
      <c r="BS44" s="147">
        <f>BS21/$BS$26</f>
        <v>20.6017693460491</v>
      </c>
      <c r="BT44" s="147">
        <f>BT21/$BT$26</f>
        <v>25.804773466813756</v>
      </c>
      <c r="BU44" s="147">
        <f>BU21/$BU$26</f>
        <v>488.31894757727417</v>
      </c>
      <c r="BV44" s="147">
        <f>BV21/$BV$26</f>
        <v>319.38454700644678</v>
      </c>
      <c r="BW44" s="147">
        <f>BW21/$BW$26</f>
        <v>551.82426397734434</v>
      </c>
      <c r="BX44" s="147">
        <f>BX21/$BX$26</f>
        <v>169.40621763367494</v>
      </c>
      <c r="BY44" s="147">
        <f>BY21/$BY$26</f>
        <v>2182.6688984332031</v>
      </c>
      <c r="BZ44" s="147">
        <f>BZ21/$BZ$26</f>
        <v>236.40778590987134</v>
      </c>
      <c r="CA44" s="234">
        <f t="shared" si="145"/>
        <v>5116.739093279949</v>
      </c>
      <c r="CB44" s="272">
        <f>CB21/$CB$26</f>
        <v>349.10882074975262</v>
      </c>
      <c r="CC44" s="147">
        <f>CC21/$CC$26</f>
        <v>136.65358827832341</v>
      </c>
      <c r="CD44" s="147">
        <f>CD21/$CD$26</f>
        <v>340.96308650695039</v>
      </c>
      <c r="CE44" s="147">
        <f>CE21/$CE$26</f>
        <v>445.37777946365901</v>
      </c>
      <c r="CF44" s="147">
        <f>CF21/$CF$26</f>
        <v>314.99841557986855</v>
      </c>
      <c r="CG44" s="147">
        <f>CG21/$CG$26</f>
        <v>360.66470460777498</v>
      </c>
      <c r="CH44" s="147">
        <f>CH21/$CH$26</f>
        <v>130.93674623678817</v>
      </c>
      <c r="CI44" s="147">
        <f>CI21/$CI$26</f>
        <v>142.40008952911921</v>
      </c>
      <c r="CJ44" s="147">
        <f>CJ21/$CJ$26</f>
        <v>206.33864994277434</v>
      </c>
      <c r="CK44" s="147">
        <f>CK21/$CK$26</f>
        <v>176.10016510144092</v>
      </c>
      <c r="CL44" s="147">
        <f>CL21/$CL$26</f>
        <v>221.38259408489969</v>
      </c>
      <c r="CM44" s="147">
        <f>CM21/$CM$26</f>
        <v>410.1919860768154</v>
      </c>
      <c r="CN44" s="234">
        <f t="shared" si="158"/>
        <v>3235.1166261581666</v>
      </c>
      <c r="CO44" s="272">
        <f>CO21/$CO$26</f>
        <v>287.61739150729215</v>
      </c>
      <c r="CP44" s="147">
        <f>CP21/$CP$26</f>
        <v>258.80793090491898</v>
      </c>
      <c r="CQ44" s="147">
        <f>CQ21/$CQ$26</f>
        <v>307.06353291102243</v>
      </c>
      <c r="CR44" s="147">
        <f>CR21/$CR$26</f>
        <v>398.58899927308084</v>
      </c>
      <c r="CS44" s="147">
        <f>CS21/$CS$26</f>
        <v>232.18750795939292</v>
      </c>
      <c r="CT44" s="147">
        <f>CT21/$CT$26</f>
        <v>253.49833862797283</v>
      </c>
      <c r="CU44" s="147">
        <f>CU21/$CU$26</f>
        <v>723.49042289003535</v>
      </c>
      <c r="CV44" s="147">
        <f>CV21/$CV$26</f>
        <v>150.18067059606693</v>
      </c>
      <c r="CW44" s="147">
        <f>CW21/$CW$26</f>
        <v>257.98224650643613</v>
      </c>
      <c r="CX44" s="147">
        <f>CX21/$CX$26</f>
        <v>260.87119768742394</v>
      </c>
      <c r="CY44" s="147">
        <f>CY21/$CY$26</f>
        <v>348.21565054862526</v>
      </c>
      <c r="CZ44" s="147">
        <f>CZ21/$CZ$26</f>
        <v>906.72908935076225</v>
      </c>
      <c r="DA44" s="234">
        <f>SUM(CO44:CZ44)</f>
        <v>4385.2329787630306</v>
      </c>
      <c r="DB44" s="272">
        <f>DB21/$DB$26</f>
        <v>227.73089808135504</v>
      </c>
      <c r="DC44" s="147">
        <f>DC21/$DC$26</f>
        <v>268.43997367037315</v>
      </c>
      <c r="DD44" s="147">
        <f>DD21/$DD$26</f>
        <v>339.29958333823555</v>
      </c>
      <c r="DE44" s="147">
        <f>DE21/$DE$26</f>
        <v>224.15685823218155</v>
      </c>
      <c r="DF44" s="147">
        <f>DF21/$DF$26</f>
        <v>351.00508759963088</v>
      </c>
      <c r="DG44" s="147">
        <f>DG21/$DG$26</f>
        <v>388.17017676763714</v>
      </c>
      <c r="DH44" s="147">
        <f>DH21/$DH$26</f>
        <v>201.79665041578863</v>
      </c>
      <c r="DI44" s="147">
        <f>DI21/$DI$26</f>
        <v>232.9914986207549</v>
      </c>
      <c r="DJ44" s="147">
        <f>DJ21/$DJ$26</f>
        <v>225.04738742461015</v>
      </c>
      <c r="DK44" s="147">
        <f>DK21/$DK$26</f>
        <v>162.88034224950516</v>
      </c>
      <c r="DL44" s="147">
        <f>DL21/$DL$26</f>
        <v>274.16403588892047</v>
      </c>
      <c r="DM44" s="147">
        <f>DM21/$DM$26</f>
        <v>200.49436642655672</v>
      </c>
      <c r="DN44" s="234">
        <f t="shared" si="184"/>
        <v>3096.1768587155489</v>
      </c>
      <c r="DO44" s="272">
        <f>DO21/$DO$26</f>
        <v>175.02238417278511</v>
      </c>
      <c r="DP44" s="147">
        <f>DP21/$DP$26</f>
        <v>251.72424172391592</v>
      </c>
      <c r="DQ44" s="147">
        <f>DQ21/$DQ$26</f>
        <v>192.19233816340142</v>
      </c>
      <c r="DR44" s="147">
        <f>DR21/$DR$26</f>
        <v>279.23275729444202</v>
      </c>
      <c r="DS44" s="147">
        <f>DS21/$DS$26</f>
        <v>493.93135281277938</v>
      </c>
      <c r="DT44" s="147">
        <f>DT21/$DT$26</f>
        <v>2666.1558004389017</v>
      </c>
      <c r="DU44" s="147">
        <f>DU21/$DU$26</f>
        <v>149.8498903113516</v>
      </c>
      <c r="DV44" s="147">
        <f>DV21/$DV$26</f>
        <v>746.70388905963546</v>
      </c>
      <c r="DW44" s="147">
        <f>DW21/$DW$26</f>
        <v>134.54419746975535</v>
      </c>
      <c r="DX44" s="147">
        <f>DX21/$DX$26</f>
        <v>213.88619820872154</v>
      </c>
      <c r="DY44" s="147">
        <f>DY21/$DY$26</f>
        <v>763.28446539736547</v>
      </c>
      <c r="DZ44" s="147">
        <f>DZ21/$DZ$26</f>
        <v>865.47860935773508</v>
      </c>
      <c r="EA44" s="234">
        <f t="shared" si="197"/>
        <v>6932.0061244107901</v>
      </c>
      <c r="EB44" s="272">
        <f t="shared" si="198"/>
        <v>998.84690522796836</v>
      </c>
      <c r="EC44" s="147">
        <f t="shared" si="199"/>
        <v>218.39852927417911</v>
      </c>
      <c r="ED44" s="147">
        <f t="shared" si="200"/>
        <v>530.30331603471097</v>
      </c>
      <c r="EE44" s="147">
        <f t="shared" si="201"/>
        <v>286.49965822083402</v>
      </c>
      <c r="EF44" s="147">
        <f t="shared" si="202"/>
        <v>165.12111110462607</v>
      </c>
      <c r="EG44" s="147">
        <f t="shared" si="203"/>
        <v>256.15458315334462</v>
      </c>
      <c r="EH44" s="147">
        <f t="shared" si="204"/>
        <v>610.7708709112577</v>
      </c>
      <c r="EI44" s="147">
        <f t="shared" si="205"/>
        <v>292.64022638962541</v>
      </c>
      <c r="EJ44" s="147">
        <f t="shared" si="206"/>
        <v>286.42401438423065</v>
      </c>
      <c r="EK44" s="147">
        <f t="shared" si="207"/>
        <v>1490.0520310745137</v>
      </c>
      <c r="EL44" s="147">
        <f t="shared" si="208"/>
        <v>315.06924812729034</v>
      </c>
      <c r="EM44" s="147">
        <f t="shared" si="209"/>
        <v>707.36337036680527</v>
      </c>
      <c r="EN44" s="234">
        <f>SUM(EB44:EM44)</f>
        <v>6157.6438642693856</v>
      </c>
      <c r="EO44" s="272">
        <f t="shared" si="211"/>
        <v>1496.4139179952865</v>
      </c>
      <c r="EP44" s="147">
        <f t="shared" si="212"/>
        <v>417.32660176565957</v>
      </c>
      <c r="EQ44" s="147">
        <f t="shared" si="213"/>
        <v>446.44441016548694</v>
      </c>
      <c r="ER44" s="147">
        <f>ER21/$ER$26</f>
        <v>524.13857780721037</v>
      </c>
      <c r="ES44" s="147">
        <f t="shared" si="215"/>
        <v>350.86648042690138</v>
      </c>
      <c r="ET44" s="147">
        <f t="shared" si="216"/>
        <v>597.79436993677393</v>
      </c>
      <c r="EU44" s="147">
        <f t="shared" si="217"/>
        <v>638.40174977818504</v>
      </c>
      <c r="EV44" s="951">
        <f t="shared" si="218"/>
        <v>855.82849823211393</v>
      </c>
      <c r="EW44" s="147"/>
      <c r="EX44" s="147"/>
      <c r="EY44" s="147"/>
      <c r="EZ44" s="147"/>
      <c r="FA44" s="234">
        <f>SUM(EO44:EZ44)</f>
        <v>5327.2146061076173</v>
      </c>
      <c r="FC44" s="146">
        <f t="shared" si="67"/>
        <v>192.45073679400849</v>
      </c>
      <c r="FD44" s="146">
        <f>IFERROR(((FF44/FE44)-1)*100,"")</f>
        <v>58.607758230108509</v>
      </c>
      <c r="FE44" s="143">
        <f>SUMIFS($B44:$FA44,$B$5:$FA$5,"&gt;="&amp;DATE(YEAR($FC$5)-1,1,1),$B$5:$FA$5,"&lt;="&amp;DATE(YEAR($FC$5)-1,MONTH($FC$5),1))</f>
        <v>3358.7352003165456</v>
      </c>
      <c r="FF44" s="143">
        <f>SUMIFS($B44:$FA44,$B$5:$FA$5,"&gt;="&amp;DATE(YEAR($FC$5),1,1),$B$5:$FA$5,"&lt;="&amp;$FC$5)</f>
        <v>5327.2146061076173</v>
      </c>
      <c r="FG44" s="142"/>
    </row>
    <row r="45" spans="1:163" ht="15" customHeight="1" x14ac:dyDescent="0.25">
      <c r="A45" s="248"/>
      <c r="B45" s="392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248"/>
      <c r="O45" s="392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248"/>
      <c r="AB45" s="392"/>
      <c r="AC45" s="393"/>
      <c r="AD45" s="393"/>
      <c r="AE45" s="393"/>
      <c r="AF45" s="393"/>
      <c r="AG45" s="393"/>
      <c r="AH45" s="393"/>
      <c r="AI45" s="393"/>
      <c r="AJ45" s="393"/>
      <c r="AK45" s="393"/>
      <c r="AL45" s="393"/>
      <c r="AM45" s="393"/>
      <c r="AN45" s="248"/>
      <c r="AO45" s="392"/>
      <c r="AP45" s="393"/>
      <c r="AQ45" s="393"/>
      <c r="AR45" s="393"/>
      <c r="AS45" s="393"/>
      <c r="AT45" s="393"/>
      <c r="AU45" s="393"/>
      <c r="AV45" s="393"/>
      <c r="AW45" s="393"/>
      <c r="AX45" s="393"/>
      <c r="AY45" s="393"/>
      <c r="AZ45" s="393"/>
      <c r="BA45" s="248"/>
      <c r="BB45" s="392"/>
      <c r="BC45" s="393"/>
      <c r="BD45" s="393"/>
      <c r="BE45" s="393"/>
      <c r="BF45" s="393"/>
      <c r="BG45" s="393"/>
      <c r="BH45" s="393"/>
      <c r="BI45" s="393"/>
      <c r="BJ45" s="393"/>
      <c r="BK45" s="393"/>
      <c r="BL45" s="393"/>
      <c r="BM45" s="393"/>
      <c r="BN45" s="248"/>
      <c r="BO45" s="392"/>
      <c r="BP45" s="393"/>
      <c r="BQ45" s="393"/>
      <c r="BR45" s="393"/>
      <c r="BS45" s="393"/>
      <c r="BT45" s="393"/>
      <c r="BU45" s="393"/>
      <c r="BV45" s="393"/>
      <c r="BW45" s="393"/>
      <c r="BX45" s="393"/>
      <c r="BY45" s="393"/>
      <c r="BZ45" s="393"/>
      <c r="CA45" s="248"/>
      <c r="CB45" s="392"/>
      <c r="CC45" s="393"/>
      <c r="CD45" s="393"/>
      <c r="CE45" s="393"/>
      <c r="CF45" s="393"/>
      <c r="CG45" s="393"/>
      <c r="CH45" s="393"/>
      <c r="CI45" s="393"/>
      <c r="CJ45" s="393"/>
      <c r="CK45" s="393"/>
      <c r="CL45" s="393"/>
      <c r="CM45" s="393"/>
      <c r="CN45" s="248"/>
      <c r="CO45" s="392"/>
      <c r="CP45" s="393"/>
      <c r="CQ45" s="393"/>
      <c r="CR45" s="393"/>
      <c r="CS45" s="393"/>
      <c r="CT45" s="393"/>
      <c r="CU45" s="393"/>
      <c r="CV45" s="393"/>
      <c r="CW45" s="393"/>
      <c r="CX45" s="393"/>
      <c r="CY45" s="393"/>
      <c r="CZ45" s="393"/>
      <c r="DA45" s="248"/>
      <c r="DB45" s="392"/>
      <c r="DC45" s="393"/>
      <c r="DD45" s="393"/>
      <c r="DE45" s="393"/>
      <c r="DF45" s="393"/>
      <c r="DG45" s="393"/>
      <c r="DH45" s="393"/>
      <c r="DI45" s="393"/>
      <c r="DJ45" s="393"/>
      <c r="DK45" s="393"/>
      <c r="DL45" s="393"/>
      <c r="DM45" s="393"/>
      <c r="DN45" s="248"/>
      <c r="DO45" s="392"/>
      <c r="DP45" s="393"/>
      <c r="DQ45" s="393"/>
      <c r="DR45" s="393"/>
      <c r="DS45" s="393"/>
      <c r="DT45" s="393"/>
      <c r="DU45" s="393"/>
      <c r="DV45" s="393"/>
      <c r="DW45" s="393"/>
      <c r="DX45" s="393"/>
      <c r="DY45" s="393"/>
      <c r="DZ45" s="393"/>
      <c r="EA45" s="248"/>
      <c r="EB45" s="392"/>
      <c r="EC45" s="393"/>
      <c r="ED45" s="393"/>
      <c r="EE45" s="393"/>
      <c r="EF45" s="393"/>
      <c r="EG45" s="393"/>
      <c r="EH45" s="393"/>
      <c r="EI45" s="393"/>
      <c r="EJ45" s="393"/>
      <c r="EK45" s="393"/>
      <c r="EL45" s="393"/>
      <c r="EM45" s="393"/>
      <c r="EN45" s="248"/>
      <c r="EO45" s="392"/>
      <c r="EP45" s="393"/>
      <c r="EQ45" s="393"/>
      <c r="ER45" s="393"/>
      <c r="ES45" s="393"/>
      <c r="ET45" s="393"/>
      <c r="EU45" s="393"/>
      <c r="EV45" s="975"/>
      <c r="EW45" s="393"/>
      <c r="EX45" s="393"/>
      <c r="EY45" s="393"/>
      <c r="EZ45" s="393"/>
      <c r="FA45" s="248"/>
      <c r="FC45" s="156"/>
      <c r="FD45" s="173"/>
      <c r="FE45" s="240"/>
      <c r="FF45" s="240"/>
    </row>
    <row r="46" spans="1:163" ht="15" customHeight="1" x14ac:dyDescent="0.25">
      <c r="A46" s="151" t="s">
        <v>199</v>
      </c>
    </row>
  </sheetData>
  <mergeCells count="2">
    <mergeCell ref="FC4:FD4"/>
    <mergeCell ref="FC27:FD27"/>
  </mergeCells>
  <printOptions horizontalCentered="1" verticalCentered="1"/>
  <pageMargins left="0.39370078740157483" right="0.31496062992125984" top="0.19685039370078741" bottom="0.43307086614173229" header="0" footer="0"/>
  <pageSetup paperSize="9" scale="10" fitToWidth="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59999389629810485"/>
    <pageSetUpPr fitToPage="1"/>
  </sheetPr>
  <dimension ref="A1:FH72"/>
  <sheetViews>
    <sheetView showGridLines="0" view="pageBreakPreview" zoomScale="80" zoomScaleNormal="85" zoomScaleSheetLayoutView="80" workbookViewId="0">
      <pane xSplit="1" topLeftCell="EB1" activePane="topRight" state="frozen"/>
      <selection activeCell="FG21" sqref="FG21"/>
      <selection pane="topRight" activeCell="EV17" sqref="EV17"/>
    </sheetView>
  </sheetViews>
  <sheetFormatPr baseColWidth="10" defaultColWidth="10.7109375" defaultRowHeight="15" customHeight="1" x14ac:dyDescent="0.25"/>
  <cols>
    <col min="1" max="1" width="30.7109375" style="126" customWidth="1"/>
    <col min="2" max="143" width="10.7109375" style="126"/>
    <col min="144" max="144" width="11" style="126" customWidth="1"/>
    <col min="145" max="145" width="10" style="126" customWidth="1"/>
    <col min="146" max="147" width="9.5703125" style="126" customWidth="1"/>
    <col min="148" max="148" width="10" style="126" customWidth="1"/>
    <col min="149" max="151" width="10.7109375" style="126"/>
    <col min="152" max="152" width="10.7109375" style="946"/>
    <col min="153" max="157" width="10.7109375" style="126"/>
    <col min="158" max="158" width="4.42578125" customWidth="1"/>
    <col min="159" max="159" width="8.85546875" style="126" customWidth="1"/>
    <col min="160" max="160" width="10.7109375" style="126"/>
    <col min="161" max="161" width="11.7109375" style="126" customWidth="1"/>
    <col min="162" max="162" width="12.42578125" style="126" customWidth="1"/>
    <col min="164" max="164" width="10.7109375" style="126"/>
  </cols>
  <sheetData>
    <row r="1" spans="1:164" ht="15" customHeight="1" x14ac:dyDescent="0.25">
      <c r="A1" s="681" t="s">
        <v>337</v>
      </c>
    </row>
    <row r="2" spans="1:164" ht="15" customHeight="1" x14ac:dyDescent="0.25">
      <c r="A2" s="681" t="s">
        <v>290</v>
      </c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  <c r="FC2" s="127"/>
      <c r="FD2" s="127"/>
      <c r="FE2" s="127"/>
      <c r="FF2" s="127"/>
    </row>
    <row r="3" spans="1:164" ht="15" customHeight="1" x14ac:dyDescent="0.25">
      <c r="A3" s="775" t="s">
        <v>305</v>
      </c>
    </row>
    <row r="4" spans="1:164" s="753" customFormat="1" ht="15" customHeight="1" x14ac:dyDescent="0.25">
      <c r="A4" s="836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976"/>
      <c r="EW4" s="474"/>
      <c r="EX4" s="474"/>
      <c r="EY4" s="474"/>
      <c r="EZ4" s="474"/>
      <c r="FA4" s="758" t="s">
        <v>83</v>
      </c>
      <c r="FC4" s="984" t="str">
        <f>CONCATENATE("Var.% ",FF4,"/",FE4)</f>
        <v>Var.% 2026/2025</v>
      </c>
      <c r="FD4" s="985"/>
      <c r="FE4" s="478">
        <f>FF4-1</f>
        <v>2025</v>
      </c>
      <c r="FF4" s="478">
        <f>YEAR(FC5)</f>
        <v>2026</v>
      </c>
      <c r="FH4" s="795"/>
    </row>
    <row r="5" spans="1:164" s="753" customFormat="1" ht="15" customHeight="1" x14ac:dyDescent="0.25">
      <c r="A5" s="837"/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977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487" t="str">
        <f>FD5</f>
        <v>Ene.-Ago.</v>
      </c>
      <c r="FH5" s="795"/>
    </row>
    <row r="6" spans="1:164" ht="15" customHeight="1" x14ac:dyDescent="0.25">
      <c r="A6" s="138"/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73"/>
      <c r="N6" s="874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73"/>
      <c r="AA6" s="874"/>
      <c r="AB6" s="883"/>
      <c r="AC6" s="883"/>
      <c r="AD6" s="883"/>
      <c r="AE6" s="883"/>
      <c r="AF6" s="883"/>
      <c r="AG6" s="883"/>
      <c r="AH6" s="883"/>
      <c r="AI6" s="883"/>
      <c r="AJ6" s="883"/>
      <c r="AK6" s="883"/>
      <c r="AL6" s="883"/>
      <c r="AM6" s="873"/>
      <c r="AN6" s="874"/>
      <c r="AO6" s="883"/>
      <c r="AP6" s="883"/>
      <c r="AQ6" s="883"/>
      <c r="AR6" s="883"/>
      <c r="AS6" s="883"/>
      <c r="AT6" s="883"/>
      <c r="AU6" s="883"/>
      <c r="AV6" s="883"/>
      <c r="AW6" s="883"/>
      <c r="AX6" s="883"/>
      <c r="AY6" s="883"/>
      <c r="AZ6" s="873"/>
      <c r="BA6" s="874"/>
      <c r="BB6" s="883"/>
      <c r="BC6" s="883"/>
      <c r="BD6" s="883"/>
      <c r="BE6" s="883"/>
      <c r="BF6" s="883"/>
      <c r="BG6" s="883"/>
      <c r="BH6" s="883"/>
      <c r="BI6" s="883"/>
      <c r="BJ6" s="883"/>
      <c r="BK6" s="883"/>
      <c r="BL6" s="883"/>
      <c r="BM6" s="873"/>
      <c r="BN6" s="874"/>
      <c r="BO6" s="883"/>
      <c r="BP6" s="883"/>
      <c r="BQ6" s="883"/>
      <c r="BR6" s="883"/>
      <c r="BS6" s="883"/>
      <c r="BT6" s="883"/>
      <c r="BU6" s="883"/>
      <c r="BV6" s="883"/>
      <c r="BW6" s="883"/>
      <c r="BX6" s="883"/>
      <c r="BY6" s="883"/>
      <c r="BZ6" s="873"/>
      <c r="CA6" s="874"/>
      <c r="CB6" s="883"/>
      <c r="CC6" s="883"/>
      <c r="CD6" s="883"/>
      <c r="CE6" s="883"/>
      <c r="CF6" s="883"/>
      <c r="CG6" s="883"/>
      <c r="CH6" s="883"/>
      <c r="CI6" s="883"/>
      <c r="CJ6" s="883"/>
      <c r="CK6" s="883"/>
      <c r="CL6" s="883"/>
      <c r="CM6" s="873"/>
      <c r="CN6" s="874"/>
      <c r="CO6" s="883"/>
      <c r="CP6" s="883"/>
      <c r="CQ6" s="883"/>
      <c r="CR6" s="883"/>
      <c r="CS6" s="883"/>
      <c r="CT6" s="883"/>
      <c r="CU6" s="883"/>
      <c r="CV6" s="883"/>
      <c r="CW6" s="883"/>
      <c r="CX6" s="883"/>
      <c r="CY6" s="883"/>
      <c r="CZ6" s="873"/>
      <c r="DA6" s="874"/>
      <c r="DB6" s="883"/>
      <c r="DC6" s="883"/>
      <c r="DD6" s="883"/>
      <c r="DE6" s="883"/>
      <c r="DF6" s="883"/>
      <c r="DG6" s="883"/>
      <c r="DH6" s="883"/>
      <c r="DI6" s="883"/>
      <c r="DJ6" s="883"/>
      <c r="DK6" s="883"/>
      <c r="DL6" s="883"/>
      <c r="DM6" s="873"/>
      <c r="DN6" s="874"/>
      <c r="DO6" s="883"/>
      <c r="DP6" s="883"/>
      <c r="DQ6" s="883"/>
      <c r="DR6" s="883"/>
      <c r="DS6" s="883"/>
      <c r="DT6" s="883"/>
      <c r="DU6" s="883"/>
      <c r="DV6" s="883"/>
      <c r="DW6" s="883"/>
      <c r="DX6" s="883"/>
      <c r="DY6" s="883"/>
      <c r="DZ6" s="873"/>
      <c r="EA6" s="874"/>
      <c r="EB6" s="883"/>
      <c r="EC6" s="883"/>
      <c r="ED6" s="883"/>
      <c r="EE6" s="883"/>
      <c r="EF6" s="883"/>
      <c r="EG6" s="883"/>
      <c r="EH6" s="883"/>
      <c r="EI6" s="883"/>
      <c r="EJ6" s="883"/>
      <c r="EK6" s="883"/>
      <c r="EL6" s="883"/>
      <c r="EM6" s="873"/>
      <c r="EN6" s="874"/>
      <c r="EO6" s="883"/>
      <c r="EP6" s="883"/>
      <c r="EQ6" s="883"/>
      <c r="ER6" s="883"/>
      <c r="ES6" s="883"/>
      <c r="ET6" s="883"/>
      <c r="EU6" s="883"/>
      <c r="EV6" s="973"/>
      <c r="EW6" s="883"/>
      <c r="EX6" s="883"/>
      <c r="EY6" s="883"/>
      <c r="EZ6" s="873"/>
      <c r="FA6" s="874"/>
      <c r="FC6" s="839"/>
      <c r="FD6" s="840"/>
      <c r="FE6" s="454"/>
      <c r="FF6" s="455"/>
    </row>
    <row r="7" spans="1:164" s="753" customFormat="1" ht="15" customHeight="1" x14ac:dyDescent="0.25">
      <c r="A7" s="822" t="s">
        <v>211</v>
      </c>
      <c r="B7" s="884">
        <f t="shared" ref="B7:M7" si="10">B8+B14+B19</f>
        <v>31647</v>
      </c>
      <c r="C7" s="884">
        <f t="shared" si="10"/>
        <v>50475</v>
      </c>
      <c r="D7" s="884">
        <f t="shared" si="10"/>
        <v>44601</v>
      </c>
      <c r="E7" s="884">
        <f t="shared" si="10"/>
        <v>38544</v>
      </c>
      <c r="F7" s="884">
        <f t="shared" si="10"/>
        <v>33848</v>
      </c>
      <c r="G7" s="884">
        <f t="shared" si="10"/>
        <v>50682</v>
      </c>
      <c r="H7" s="884">
        <f t="shared" si="10"/>
        <v>42005</v>
      </c>
      <c r="I7" s="884">
        <f t="shared" si="10"/>
        <v>44015</v>
      </c>
      <c r="J7" s="884">
        <f t="shared" si="10"/>
        <v>72036</v>
      </c>
      <c r="K7" s="884">
        <f t="shared" si="10"/>
        <v>56330</v>
      </c>
      <c r="L7" s="884">
        <f t="shared" si="10"/>
        <v>55121</v>
      </c>
      <c r="M7" s="875">
        <f t="shared" si="10"/>
        <v>187421</v>
      </c>
      <c r="N7" s="876">
        <f>SUM(B7:M7)</f>
        <v>706725</v>
      </c>
      <c r="O7" s="884">
        <f t="shared" ref="O7:Z7" si="11">O8+O14+O19</f>
        <v>32312</v>
      </c>
      <c r="P7" s="884">
        <f t="shared" si="11"/>
        <v>54594</v>
      </c>
      <c r="Q7" s="884">
        <f t="shared" si="11"/>
        <v>53464</v>
      </c>
      <c r="R7" s="884">
        <f t="shared" si="11"/>
        <v>75667</v>
      </c>
      <c r="S7" s="884">
        <f t="shared" si="11"/>
        <v>54245</v>
      </c>
      <c r="T7" s="884">
        <f t="shared" si="11"/>
        <v>68460</v>
      </c>
      <c r="U7" s="884">
        <f t="shared" si="11"/>
        <v>72149</v>
      </c>
      <c r="V7" s="884">
        <f t="shared" si="11"/>
        <v>98307</v>
      </c>
      <c r="W7" s="884">
        <f t="shared" si="11"/>
        <v>68161</v>
      </c>
      <c r="X7" s="884">
        <f t="shared" si="11"/>
        <v>66156</v>
      </c>
      <c r="Y7" s="884">
        <f t="shared" si="11"/>
        <v>84992</v>
      </c>
      <c r="Z7" s="875">
        <f t="shared" si="11"/>
        <v>115683</v>
      </c>
      <c r="AA7" s="876">
        <f>SUM(O7:Z7)</f>
        <v>844190</v>
      </c>
      <c r="AB7" s="884">
        <f t="shared" ref="AB7:AM7" si="12">AB8+AB14+AB19</f>
        <v>35793</v>
      </c>
      <c r="AC7" s="884">
        <f t="shared" si="12"/>
        <v>81100</v>
      </c>
      <c r="AD7" s="884">
        <f t="shared" si="12"/>
        <v>64613</v>
      </c>
      <c r="AE7" s="884">
        <f t="shared" si="12"/>
        <v>53782</v>
      </c>
      <c r="AF7" s="884">
        <f t="shared" si="12"/>
        <v>60967</v>
      </c>
      <c r="AG7" s="884">
        <f t="shared" si="12"/>
        <v>80207</v>
      </c>
      <c r="AH7" s="884">
        <f t="shared" si="12"/>
        <v>81139</v>
      </c>
      <c r="AI7" s="884">
        <f t="shared" si="12"/>
        <v>69075</v>
      </c>
      <c r="AJ7" s="884">
        <f t="shared" si="12"/>
        <v>62823</v>
      </c>
      <c r="AK7" s="884">
        <f t="shared" si="12"/>
        <v>71462</v>
      </c>
      <c r="AL7" s="884">
        <f t="shared" si="12"/>
        <v>73662</v>
      </c>
      <c r="AM7" s="875">
        <f t="shared" si="12"/>
        <v>86883</v>
      </c>
      <c r="AN7" s="876">
        <f>SUM(AB7:AM7)</f>
        <v>821506</v>
      </c>
      <c r="AO7" s="884">
        <f t="shared" ref="AO7:AZ7" si="13">AO8+AO14+AO19</f>
        <v>47262</v>
      </c>
      <c r="AP7" s="884">
        <f t="shared" si="13"/>
        <v>49183</v>
      </c>
      <c r="AQ7" s="884">
        <f t="shared" si="13"/>
        <v>38005</v>
      </c>
      <c r="AR7" s="884">
        <f t="shared" si="13"/>
        <v>50700</v>
      </c>
      <c r="AS7" s="884">
        <f t="shared" si="13"/>
        <v>58603</v>
      </c>
      <c r="AT7" s="884">
        <f t="shared" si="13"/>
        <v>47959</v>
      </c>
      <c r="AU7" s="884">
        <f t="shared" si="13"/>
        <v>58826</v>
      </c>
      <c r="AV7" s="884">
        <f t="shared" si="13"/>
        <v>54367</v>
      </c>
      <c r="AW7" s="884">
        <f t="shared" si="13"/>
        <v>52064</v>
      </c>
      <c r="AX7" s="884">
        <f t="shared" si="13"/>
        <v>51922</v>
      </c>
      <c r="AY7" s="884">
        <f t="shared" si="13"/>
        <v>45445</v>
      </c>
      <c r="AZ7" s="875">
        <f t="shared" si="13"/>
        <v>108638</v>
      </c>
      <c r="BA7" s="876">
        <f>SUM(AO7:AZ7)</f>
        <v>662974</v>
      </c>
      <c r="BB7" s="884">
        <f t="shared" ref="BB7:BM7" si="14">BB8+BB14+BB19</f>
        <v>44670</v>
      </c>
      <c r="BC7" s="884">
        <f t="shared" si="14"/>
        <v>43856</v>
      </c>
      <c r="BD7" s="884">
        <f t="shared" si="14"/>
        <v>40410</v>
      </c>
      <c r="BE7" s="884">
        <f t="shared" si="14"/>
        <v>52224</v>
      </c>
      <c r="BF7" s="884">
        <f t="shared" si="14"/>
        <v>54253</v>
      </c>
      <c r="BG7" s="884">
        <f t="shared" si="14"/>
        <v>50999</v>
      </c>
      <c r="BH7" s="884">
        <f t="shared" si="14"/>
        <v>66742</v>
      </c>
      <c r="BI7" s="884">
        <f t="shared" si="14"/>
        <v>43772</v>
      </c>
      <c r="BJ7" s="884">
        <f t="shared" si="14"/>
        <v>50446</v>
      </c>
      <c r="BK7" s="884">
        <f t="shared" si="14"/>
        <v>55394</v>
      </c>
      <c r="BL7" s="884">
        <f t="shared" si="14"/>
        <v>82439</v>
      </c>
      <c r="BM7" s="875">
        <f t="shared" si="14"/>
        <v>99282</v>
      </c>
      <c r="BN7" s="876">
        <f>SUM(BB7:BM7)</f>
        <v>684487</v>
      </c>
      <c r="BO7" s="884">
        <f t="shared" ref="BO7:BZ7" si="15">BO8+BO14+BO19</f>
        <v>43834</v>
      </c>
      <c r="BP7" s="884">
        <f t="shared" si="15"/>
        <v>53129</v>
      </c>
      <c r="BQ7" s="884">
        <f t="shared" si="15"/>
        <v>59065</v>
      </c>
      <c r="BR7" s="884">
        <f t="shared" si="15"/>
        <v>74516</v>
      </c>
      <c r="BS7" s="884">
        <f t="shared" si="15"/>
        <v>72570</v>
      </c>
      <c r="BT7" s="884">
        <f t="shared" si="15"/>
        <v>32940</v>
      </c>
      <c r="BU7" s="884">
        <f t="shared" si="15"/>
        <v>49959</v>
      </c>
      <c r="BV7" s="884">
        <f t="shared" si="15"/>
        <v>92530</v>
      </c>
      <c r="BW7" s="884">
        <f t="shared" si="15"/>
        <v>56051</v>
      </c>
      <c r="BX7" s="884">
        <f t="shared" si="15"/>
        <v>121811</v>
      </c>
      <c r="BY7" s="884">
        <f t="shared" si="15"/>
        <v>89435</v>
      </c>
      <c r="BZ7" s="875">
        <f t="shared" si="15"/>
        <v>121524</v>
      </c>
      <c r="CA7" s="876">
        <f>SUM(BO7:BZ7)</f>
        <v>867364</v>
      </c>
      <c r="CB7" s="884">
        <f t="shared" ref="CB7:CM7" si="16">CB8+CB14+CB19</f>
        <v>30029</v>
      </c>
      <c r="CC7" s="884">
        <f t="shared" si="16"/>
        <v>52713</v>
      </c>
      <c r="CD7" s="884">
        <f t="shared" si="16"/>
        <v>48781</v>
      </c>
      <c r="CE7" s="884">
        <f t="shared" si="16"/>
        <v>57950</v>
      </c>
      <c r="CF7" s="884">
        <f t="shared" si="16"/>
        <v>47254</v>
      </c>
      <c r="CG7" s="884">
        <f t="shared" si="16"/>
        <v>60678</v>
      </c>
      <c r="CH7" s="884">
        <f t="shared" si="16"/>
        <v>55489</v>
      </c>
      <c r="CI7" s="884">
        <f t="shared" si="16"/>
        <v>50978</v>
      </c>
      <c r="CJ7" s="884">
        <f t="shared" si="16"/>
        <v>75832</v>
      </c>
      <c r="CK7" s="884">
        <f t="shared" si="16"/>
        <v>77862</v>
      </c>
      <c r="CL7" s="884">
        <f t="shared" si="16"/>
        <v>71495</v>
      </c>
      <c r="CM7" s="875">
        <f t="shared" si="16"/>
        <v>111008</v>
      </c>
      <c r="CN7" s="876">
        <f>SUM(CB7:CM7)</f>
        <v>740069</v>
      </c>
      <c r="CO7" s="884">
        <f t="shared" ref="CO7:CZ7" si="17">CO8+CO14+CO19</f>
        <v>34593</v>
      </c>
      <c r="CP7" s="884">
        <f t="shared" si="17"/>
        <v>43633</v>
      </c>
      <c r="CQ7" s="884">
        <f t="shared" si="17"/>
        <v>61130</v>
      </c>
      <c r="CR7" s="884">
        <f t="shared" si="17"/>
        <v>52988</v>
      </c>
      <c r="CS7" s="884">
        <f t="shared" si="17"/>
        <v>57139</v>
      </c>
      <c r="CT7" s="884">
        <f t="shared" si="17"/>
        <v>59064</v>
      </c>
      <c r="CU7" s="884">
        <f t="shared" si="17"/>
        <v>54789</v>
      </c>
      <c r="CV7" s="884">
        <f t="shared" si="17"/>
        <v>63212</v>
      </c>
      <c r="CW7" s="884">
        <f t="shared" si="17"/>
        <v>50233</v>
      </c>
      <c r="CX7" s="884">
        <f t="shared" si="17"/>
        <v>71737</v>
      </c>
      <c r="CY7" s="884">
        <f t="shared" si="17"/>
        <v>64783</v>
      </c>
      <c r="CZ7" s="875">
        <f t="shared" si="17"/>
        <v>107120</v>
      </c>
      <c r="DA7" s="876">
        <f>SUM(CO7:CZ7)</f>
        <v>720421</v>
      </c>
      <c r="DB7" s="884">
        <f t="shared" ref="DB7:DM7" si="18">DB8+DB14+DB19</f>
        <v>52080</v>
      </c>
      <c r="DC7" s="884">
        <f t="shared" si="18"/>
        <v>56528</v>
      </c>
      <c r="DD7" s="884">
        <f t="shared" si="18"/>
        <v>50867</v>
      </c>
      <c r="DE7" s="884">
        <f t="shared" si="18"/>
        <v>56429</v>
      </c>
      <c r="DF7" s="884">
        <f t="shared" si="18"/>
        <v>55554</v>
      </c>
      <c r="DG7" s="884">
        <f t="shared" si="18"/>
        <v>57858</v>
      </c>
      <c r="DH7" s="884">
        <f t="shared" si="18"/>
        <v>52142</v>
      </c>
      <c r="DI7" s="884">
        <f t="shared" si="18"/>
        <v>59388</v>
      </c>
      <c r="DJ7" s="884">
        <f t="shared" si="18"/>
        <v>48630</v>
      </c>
      <c r="DK7" s="884">
        <f t="shared" si="18"/>
        <v>62727</v>
      </c>
      <c r="DL7" s="884">
        <f t="shared" si="18"/>
        <v>61570</v>
      </c>
      <c r="DM7" s="875">
        <f t="shared" si="18"/>
        <v>99335</v>
      </c>
      <c r="DN7" s="876">
        <f>SUM(DB7:DM7)</f>
        <v>713108</v>
      </c>
      <c r="DO7" s="884">
        <f t="shared" ref="DO7:DZ7" si="19">DO8+DO14+DO19</f>
        <v>43346</v>
      </c>
      <c r="DP7" s="884">
        <f t="shared" si="19"/>
        <v>78046</v>
      </c>
      <c r="DQ7" s="884">
        <f t="shared" si="19"/>
        <v>49505</v>
      </c>
      <c r="DR7" s="884">
        <f t="shared" si="19"/>
        <v>63459</v>
      </c>
      <c r="DS7" s="884">
        <f t="shared" si="19"/>
        <v>58288</v>
      </c>
      <c r="DT7" s="884">
        <f t="shared" si="19"/>
        <v>68952</v>
      </c>
      <c r="DU7" s="884">
        <f t="shared" si="19"/>
        <v>72332</v>
      </c>
      <c r="DV7" s="884">
        <f t="shared" si="19"/>
        <v>72870</v>
      </c>
      <c r="DW7" s="884">
        <f t="shared" si="19"/>
        <v>65666</v>
      </c>
      <c r="DX7" s="884">
        <f t="shared" si="19"/>
        <v>90466</v>
      </c>
      <c r="DY7" s="884">
        <f t="shared" si="19"/>
        <v>81071</v>
      </c>
      <c r="DZ7" s="875">
        <f t="shared" si="19"/>
        <v>114518</v>
      </c>
      <c r="EA7" s="876">
        <f>SUM(DO7:DZ7)</f>
        <v>858519</v>
      </c>
      <c r="EB7" s="884">
        <f t="shared" ref="EB7:EM7" si="20">EB8+EB14+EB19</f>
        <v>58427</v>
      </c>
      <c r="EC7" s="884">
        <f t="shared" si="20"/>
        <v>61077</v>
      </c>
      <c r="ED7" s="884">
        <f t="shared" si="20"/>
        <v>64473</v>
      </c>
      <c r="EE7" s="884">
        <f t="shared" si="20"/>
        <v>68634</v>
      </c>
      <c r="EF7" s="884">
        <f t="shared" si="20"/>
        <v>78352</v>
      </c>
      <c r="EG7" s="884">
        <f t="shared" si="20"/>
        <v>83652</v>
      </c>
      <c r="EH7" s="884">
        <f t="shared" si="20"/>
        <v>76811</v>
      </c>
      <c r="EI7" s="884">
        <f t="shared" si="20"/>
        <v>62419</v>
      </c>
      <c r="EJ7" s="884">
        <f t="shared" si="20"/>
        <v>99198</v>
      </c>
      <c r="EK7" s="884">
        <f t="shared" si="20"/>
        <v>79740</v>
      </c>
      <c r="EL7" s="884">
        <f t="shared" si="20"/>
        <v>76016</v>
      </c>
      <c r="EM7" s="875">
        <f t="shared" si="20"/>
        <v>153536</v>
      </c>
      <c r="EN7" s="876">
        <f>SUM(EB7:EM7)</f>
        <v>962335</v>
      </c>
      <c r="EO7" s="884">
        <f t="shared" ref="EO7:EY7" si="21">EO8+EO14+EO19</f>
        <v>87766</v>
      </c>
      <c r="EP7" s="884">
        <f t="shared" si="21"/>
        <v>58991</v>
      </c>
      <c r="EQ7" s="884">
        <f t="shared" si="21"/>
        <v>74646</v>
      </c>
      <c r="ER7" s="884">
        <f t="shared" si="21"/>
        <v>75291</v>
      </c>
      <c r="ES7" s="884">
        <f t="shared" si="21"/>
        <v>77327</v>
      </c>
      <c r="ET7" s="884">
        <f t="shared" si="21"/>
        <v>81752</v>
      </c>
      <c r="EU7" s="884">
        <f t="shared" si="21"/>
        <v>82617</v>
      </c>
      <c r="EV7" s="971">
        <f t="shared" si="21"/>
        <v>69635</v>
      </c>
      <c r="EW7" s="884">
        <f t="shared" si="21"/>
        <v>0</v>
      </c>
      <c r="EX7" s="884">
        <f t="shared" si="21"/>
        <v>0</v>
      </c>
      <c r="EY7" s="884">
        <f t="shared" si="21"/>
        <v>0</v>
      </c>
      <c r="EZ7" s="875"/>
      <c r="FA7" s="876">
        <f>SUM(EO7:EZ7)</f>
        <v>608025</v>
      </c>
      <c r="FB7" s="757"/>
      <c r="FC7" s="841">
        <f>IFERROR(((
_xlfn.XLOOKUP((DATE(YEAR($FC$5),MONTH($FC$5),1)),UCA.GGN.DATE,$B7:$FA7) /
_xlfn.XLOOKUP((DATE(YEAR($FC$5)-1,MONTH($FC$5),1)),UCA.GGN.DATE,$B7:$FA7)
)-1)*100,"")</f>
        <v>11.560582514939366</v>
      </c>
      <c r="FD7" s="842">
        <f>IFERROR(((FF7/FE7)-1)*100,"")</f>
        <v>9.7825203802508032</v>
      </c>
      <c r="FE7" s="702">
        <f>SUMIFS($B7:$FA7,UCA.GGN.DATE,"&gt;="&amp;DATE(YEAR($FC$5)-1,1,1),UCA.GGN.DATE,"&lt;="&amp;DATE(YEAR($FC$5)-1,MONTH($FC$5),1))</f>
        <v>553845</v>
      </c>
      <c r="FF7" s="703">
        <f t="shared" ref="FF7:FF30" si="22">SUMIFS($B7:$FA7,UCA.GGN.DATE,"&gt;="&amp;DATE(YEAR($FC$5),1,1),UCA.GGN.DATE,"&lt;="&amp;$FC$5)</f>
        <v>608025</v>
      </c>
      <c r="FG7" s="757"/>
      <c r="FH7" s="838">
        <f>EV7-EI7</f>
        <v>7216</v>
      </c>
    </row>
    <row r="8" spans="1:164" s="110" customFormat="1" ht="15" customHeight="1" x14ac:dyDescent="0.25">
      <c r="A8" s="401" t="s">
        <v>370</v>
      </c>
      <c r="B8" s="885">
        <f t="shared" ref="B8:AM8" si="23">SUM(B9:B13)</f>
        <v>24537</v>
      </c>
      <c r="C8" s="885">
        <f t="shared" si="23"/>
        <v>33943</v>
      </c>
      <c r="D8" s="885">
        <f t="shared" si="23"/>
        <v>38222</v>
      </c>
      <c r="E8" s="885">
        <f t="shared" si="23"/>
        <v>29686</v>
      </c>
      <c r="F8" s="885">
        <f t="shared" si="23"/>
        <v>28139</v>
      </c>
      <c r="G8" s="885">
        <f t="shared" si="23"/>
        <v>28962</v>
      </c>
      <c r="H8" s="885">
        <f t="shared" si="23"/>
        <v>29782</v>
      </c>
      <c r="I8" s="885">
        <f t="shared" si="23"/>
        <v>33239</v>
      </c>
      <c r="J8" s="885">
        <f t="shared" si="23"/>
        <v>38688</v>
      </c>
      <c r="K8" s="885">
        <f t="shared" si="23"/>
        <v>30529</v>
      </c>
      <c r="L8" s="885">
        <f t="shared" si="23"/>
        <v>29751</v>
      </c>
      <c r="M8" s="877">
        <f t="shared" si="23"/>
        <v>72454</v>
      </c>
      <c r="N8" s="878">
        <f t="shared" ref="N8:N21" si="24">SUM(B8:M8)</f>
        <v>417932</v>
      </c>
      <c r="O8" s="885">
        <f t="shared" si="23"/>
        <v>29930</v>
      </c>
      <c r="P8" s="885">
        <f t="shared" si="23"/>
        <v>34295</v>
      </c>
      <c r="Q8" s="885">
        <f t="shared" si="23"/>
        <v>32013</v>
      </c>
      <c r="R8" s="885">
        <f t="shared" si="23"/>
        <v>42156</v>
      </c>
      <c r="S8" s="885">
        <f t="shared" si="23"/>
        <v>32732</v>
      </c>
      <c r="T8" s="885">
        <f t="shared" si="23"/>
        <v>39809</v>
      </c>
      <c r="U8" s="885">
        <f t="shared" si="23"/>
        <v>40672</v>
      </c>
      <c r="V8" s="885">
        <f t="shared" si="23"/>
        <v>35261</v>
      </c>
      <c r="W8" s="885">
        <f t="shared" si="23"/>
        <v>31081</v>
      </c>
      <c r="X8" s="885">
        <f t="shared" si="23"/>
        <v>36458</v>
      </c>
      <c r="Y8" s="885">
        <f t="shared" si="23"/>
        <v>34830</v>
      </c>
      <c r="Z8" s="877">
        <f t="shared" si="23"/>
        <v>55325</v>
      </c>
      <c r="AA8" s="878">
        <f t="shared" ref="AA8:AA21" si="25">SUM(O8:Z8)</f>
        <v>444562</v>
      </c>
      <c r="AB8" s="885">
        <f t="shared" si="23"/>
        <v>22781</v>
      </c>
      <c r="AC8" s="885">
        <f t="shared" si="23"/>
        <v>32674</v>
      </c>
      <c r="AD8" s="885">
        <f t="shared" si="23"/>
        <v>49370</v>
      </c>
      <c r="AE8" s="885">
        <f t="shared" si="23"/>
        <v>37595</v>
      </c>
      <c r="AF8" s="885">
        <f t="shared" si="23"/>
        <v>38624</v>
      </c>
      <c r="AG8" s="885">
        <f t="shared" si="23"/>
        <v>47566</v>
      </c>
      <c r="AH8" s="885">
        <f t="shared" si="23"/>
        <v>36895</v>
      </c>
      <c r="AI8" s="885">
        <f t="shared" si="23"/>
        <v>35456</v>
      </c>
      <c r="AJ8" s="885">
        <f t="shared" si="23"/>
        <v>30673</v>
      </c>
      <c r="AK8" s="885">
        <f t="shared" si="23"/>
        <v>40767</v>
      </c>
      <c r="AL8" s="885">
        <f t="shared" si="23"/>
        <v>48057</v>
      </c>
      <c r="AM8" s="877">
        <f t="shared" si="23"/>
        <v>63332</v>
      </c>
      <c r="AN8" s="878">
        <f t="shared" ref="AN8:AN21" si="26">SUM(AB8:AM8)</f>
        <v>483790</v>
      </c>
      <c r="AO8" s="885">
        <f t="shared" ref="AO8:AZ8" si="27">SUM(AO9:AO13)</f>
        <v>38952</v>
      </c>
      <c r="AP8" s="885">
        <f t="shared" si="27"/>
        <v>43683</v>
      </c>
      <c r="AQ8" s="885">
        <f t="shared" si="27"/>
        <v>33153</v>
      </c>
      <c r="AR8" s="885">
        <f t="shared" si="27"/>
        <v>43178</v>
      </c>
      <c r="AS8" s="885">
        <f t="shared" si="27"/>
        <v>53534</v>
      </c>
      <c r="AT8" s="885">
        <f t="shared" si="27"/>
        <v>41352</v>
      </c>
      <c r="AU8" s="885">
        <f t="shared" si="27"/>
        <v>51791</v>
      </c>
      <c r="AV8" s="885">
        <f t="shared" si="27"/>
        <v>43265</v>
      </c>
      <c r="AW8" s="885">
        <f t="shared" si="27"/>
        <v>43272</v>
      </c>
      <c r="AX8" s="885">
        <f t="shared" si="27"/>
        <v>46212</v>
      </c>
      <c r="AY8" s="885">
        <f t="shared" si="27"/>
        <v>39316</v>
      </c>
      <c r="AZ8" s="877">
        <f t="shared" si="27"/>
        <v>60339</v>
      </c>
      <c r="BA8" s="878">
        <f t="shared" ref="BA8:BA21" si="28">SUM(AO8:AZ8)</f>
        <v>538047</v>
      </c>
      <c r="BB8" s="885">
        <f>SUM(BB9:BB13)</f>
        <v>43992</v>
      </c>
      <c r="BC8" s="885">
        <f t="shared" ref="BC8:BK8" si="29">SUM(BC9:BC13)</f>
        <v>42656</v>
      </c>
      <c r="BD8" s="885">
        <f t="shared" si="29"/>
        <v>38411</v>
      </c>
      <c r="BE8" s="885">
        <f t="shared" si="29"/>
        <v>44896</v>
      </c>
      <c r="BF8" s="885">
        <f t="shared" si="29"/>
        <v>48137</v>
      </c>
      <c r="BG8" s="885">
        <f t="shared" si="29"/>
        <v>42257</v>
      </c>
      <c r="BH8" s="885">
        <f t="shared" si="29"/>
        <v>60581</v>
      </c>
      <c r="BI8" s="885">
        <f t="shared" si="29"/>
        <v>39085</v>
      </c>
      <c r="BJ8" s="885">
        <f t="shared" si="29"/>
        <v>41680</v>
      </c>
      <c r="BK8" s="885">
        <f t="shared" si="29"/>
        <v>44814</v>
      </c>
      <c r="BL8" s="885">
        <f>SUM(BL9:BL13)</f>
        <v>52952</v>
      </c>
      <c r="BM8" s="877">
        <f>SUM(BM9:BM13)</f>
        <v>56145</v>
      </c>
      <c r="BN8" s="878">
        <f t="shared" ref="BN8:BN21" si="30">SUM(BB8:BM8)</f>
        <v>555606</v>
      </c>
      <c r="BO8" s="885">
        <f t="shared" ref="BO8:BZ8" si="31">SUM(BO9:BO13)</f>
        <v>35404</v>
      </c>
      <c r="BP8" s="885">
        <f t="shared" si="31"/>
        <v>49499</v>
      </c>
      <c r="BQ8" s="885">
        <f t="shared" si="31"/>
        <v>56655</v>
      </c>
      <c r="BR8" s="885">
        <f t="shared" si="31"/>
        <v>73506</v>
      </c>
      <c r="BS8" s="885">
        <f t="shared" si="31"/>
        <v>68625</v>
      </c>
      <c r="BT8" s="885">
        <f t="shared" si="31"/>
        <v>32172</v>
      </c>
      <c r="BU8" s="885">
        <f t="shared" si="31"/>
        <v>45996</v>
      </c>
      <c r="BV8" s="885">
        <f t="shared" si="31"/>
        <v>71689</v>
      </c>
      <c r="BW8" s="885">
        <f t="shared" si="31"/>
        <v>47507</v>
      </c>
      <c r="BX8" s="885">
        <f t="shared" si="31"/>
        <v>106890</v>
      </c>
      <c r="BY8" s="885">
        <f t="shared" si="31"/>
        <v>76397</v>
      </c>
      <c r="BZ8" s="877">
        <f t="shared" si="31"/>
        <v>93145</v>
      </c>
      <c r="CA8" s="878">
        <f t="shared" ref="CA8:CA21" si="32">SUM(BO8:BZ8)</f>
        <v>757485</v>
      </c>
      <c r="CB8" s="885">
        <f t="shared" ref="CB8:CM8" si="33">SUM(CB9:CB13)</f>
        <v>28858</v>
      </c>
      <c r="CC8" s="885">
        <f t="shared" si="33"/>
        <v>48278</v>
      </c>
      <c r="CD8" s="885">
        <f t="shared" si="33"/>
        <v>38905</v>
      </c>
      <c r="CE8" s="885">
        <f t="shared" si="33"/>
        <v>50840</v>
      </c>
      <c r="CF8" s="885">
        <f t="shared" si="33"/>
        <v>36640</v>
      </c>
      <c r="CG8" s="885">
        <f t="shared" si="33"/>
        <v>39947</v>
      </c>
      <c r="CH8" s="885">
        <f t="shared" si="33"/>
        <v>46102</v>
      </c>
      <c r="CI8" s="885">
        <f t="shared" si="33"/>
        <v>42914</v>
      </c>
      <c r="CJ8" s="885">
        <f t="shared" si="33"/>
        <v>65979</v>
      </c>
      <c r="CK8" s="885">
        <f t="shared" si="33"/>
        <v>71361</v>
      </c>
      <c r="CL8" s="885">
        <f t="shared" si="33"/>
        <v>62948</v>
      </c>
      <c r="CM8" s="877">
        <f t="shared" si="33"/>
        <v>93688</v>
      </c>
      <c r="CN8" s="878">
        <f t="shared" ref="CN8:CN28" si="34">SUM(CB8:CM8)</f>
        <v>626460</v>
      </c>
      <c r="CO8" s="885">
        <f t="shared" ref="CO8:CZ8" si="35">SUM(CO9:CO13)</f>
        <v>33717</v>
      </c>
      <c r="CP8" s="885">
        <f t="shared" si="35"/>
        <v>41616</v>
      </c>
      <c r="CQ8" s="885">
        <f t="shared" si="35"/>
        <v>56894</v>
      </c>
      <c r="CR8" s="885">
        <f t="shared" si="35"/>
        <v>49741</v>
      </c>
      <c r="CS8" s="885">
        <f t="shared" si="35"/>
        <v>37822</v>
      </c>
      <c r="CT8" s="885">
        <f t="shared" si="35"/>
        <v>56140</v>
      </c>
      <c r="CU8" s="885">
        <f t="shared" si="35"/>
        <v>48188</v>
      </c>
      <c r="CV8" s="885">
        <f t="shared" si="35"/>
        <v>55193</v>
      </c>
      <c r="CW8" s="885">
        <f t="shared" si="35"/>
        <v>45488</v>
      </c>
      <c r="CX8" s="885">
        <f t="shared" si="35"/>
        <v>67362</v>
      </c>
      <c r="CY8" s="885">
        <f t="shared" si="35"/>
        <v>56786</v>
      </c>
      <c r="CZ8" s="877">
        <f t="shared" si="35"/>
        <v>73154</v>
      </c>
      <c r="DA8" s="878">
        <f t="shared" ref="DA8:DA27" si="36">SUM(CO8:CZ8)</f>
        <v>622101</v>
      </c>
      <c r="DB8" s="885">
        <f t="shared" ref="DB8:DL8" si="37">SUM(DB9:DB13)</f>
        <v>50157</v>
      </c>
      <c r="DC8" s="885">
        <f t="shared" si="37"/>
        <v>54528</v>
      </c>
      <c r="DD8" s="885">
        <f t="shared" si="37"/>
        <v>46242</v>
      </c>
      <c r="DE8" s="885">
        <f t="shared" si="37"/>
        <v>52099</v>
      </c>
      <c r="DF8" s="885">
        <f t="shared" si="37"/>
        <v>47586</v>
      </c>
      <c r="DG8" s="885">
        <f t="shared" si="37"/>
        <v>54267</v>
      </c>
      <c r="DH8" s="885">
        <f t="shared" si="37"/>
        <v>48225</v>
      </c>
      <c r="DI8" s="885">
        <f t="shared" si="37"/>
        <v>50616</v>
      </c>
      <c r="DJ8" s="885">
        <f t="shared" si="37"/>
        <v>44154</v>
      </c>
      <c r="DK8" s="885">
        <f t="shared" si="37"/>
        <v>55376</v>
      </c>
      <c r="DL8" s="885">
        <f t="shared" si="37"/>
        <v>49031</v>
      </c>
      <c r="DM8" s="877">
        <f>SUM(DM9:DM13)</f>
        <v>74876</v>
      </c>
      <c r="DN8" s="878">
        <f t="shared" ref="DN8:DZ30" si="38">SUM(DB8:DM8)</f>
        <v>627157</v>
      </c>
      <c r="DO8" s="885">
        <f t="shared" ref="DO8:DZ8" si="39">SUM(DO9:DO13)</f>
        <v>39461</v>
      </c>
      <c r="DP8" s="885">
        <f t="shared" si="39"/>
        <v>72750</v>
      </c>
      <c r="DQ8" s="885">
        <f t="shared" si="39"/>
        <v>44439</v>
      </c>
      <c r="DR8" s="885">
        <f t="shared" si="39"/>
        <v>57791</v>
      </c>
      <c r="DS8" s="885">
        <f t="shared" si="39"/>
        <v>55219</v>
      </c>
      <c r="DT8" s="885">
        <f t="shared" si="39"/>
        <v>53834</v>
      </c>
      <c r="DU8" s="885">
        <f t="shared" si="39"/>
        <v>63814</v>
      </c>
      <c r="DV8" s="885">
        <f t="shared" si="39"/>
        <v>60671</v>
      </c>
      <c r="DW8" s="885">
        <f t="shared" si="39"/>
        <v>55371</v>
      </c>
      <c r="DX8" s="885">
        <f t="shared" si="39"/>
        <v>55034</v>
      </c>
      <c r="DY8" s="885">
        <f t="shared" si="39"/>
        <v>52670</v>
      </c>
      <c r="DZ8" s="877">
        <f t="shared" si="39"/>
        <v>79536</v>
      </c>
      <c r="EA8" s="878">
        <f t="shared" ref="EA8:EA30" si="40">SUM(DO8:DZ8)</f>
        <v>690590</v>
      </c>
      <c r="EB8" s="885">
        <f t="shared" ref="EB8:EE8" si="41">SUM(EB9:EB13)</f>
        <v>57047</v>
      </c>
      <c r="EC8" s="885">
        <f t="shared" si="41"/>
        <v>52444</v>
      </c>
      <c r="ED8" s="885">
        <f t="shared" si="41"/>
        <v>54932</v>
      </c>
      <c r="EE8" s="885">
        <f t="shared" si="41"/>
        <v>55209</v>
      </c>
      <c r="EF8" s="885">
        <f>SUM(EF9:EF13)</f>
        <v>64795</v>
      </c>
      <c r="EG8" s="885">
        <f t="shared" ref="EG8:EM8" si="42">SUM(EG9:EG13)</f>
        <v>67679</v>
      </c>
      <c r="EH8" s="885">
        <f t="shared" si="42"/>
        <v>70081</v>
      </c>
      <c r="EI8" s="885">
        <f t="shared" si="42"/>
        <v>57177</v>
      </c>
      <c r="EJ8" s="885">
        <f t="shared" si="42"/>
        <v>63314</v>
      </c>
      <c r="EK8" s="885">
        <f t="shared" si="42"/>
        <v>61515</v>
      </c>
      <c r="EL8" s="885">
        <f t="shared" si="42"/>
        <v>61924</v>
      </c>
      <c r="EM8" s="877">
        <f t="shared" si="42"/>
        <v>89245</v>
      </c>
      <c r="EN8" s="878">
        <f>SUM(EB8:EM8)</f>
        <v>755362</v>
      </c>
      <c r="EO8" s="885">
        <f t="shared" ref="EO8:ER8" si="43">SUM(EO9:EO13)</f>
        <v>74597</v>
      </c>
      <c r="EP8" s="885">
        <f t="shared" si="43"/>
        <v>51438</v>
      </c>
      <c r="EQ8" s="885">
        <f t="shared" si="43"/>
        <v>65881</v>
      </c>
      <c r="ER8" s="885">
        <f t="shared" si="43"/>
        <v>59257</v>
      </c>
      <c r="ES8" s="885">
        <f t="shared" ref="ES8" si="44">SUM(ES9:ES13)</f>
        <v>68514</v>
      </c>
      <c r="ET8" s="885">
        <f t="shared" ref="ET8" si="45">SUM(ET9:ET13)</f>
        <v>67509</v>
      </c>
      <c r="EU8" s="885">
        <f t="shared" ref="EU8" si="46">SUM(EU9:EU13)</f>
        <v>76415</v>
      </c>
      <c r="EV8" s="972">
        <f t="shared" ref="EV8" si="47">SUM(EV9:EV13)</f>
        <v>62278</v>
      </c>
      <c r="EW8" s="885">
        <f t="shared" ref="EW8:EY8" si="48">SUM(EW9:EW13)</f>
        <v>0</v>
      </c>
      <c r="EX8" s="885">
        <f t="shared" si="48"/>
        <v>0</v>
      </c>
      <c r="EY8" s="885">
        <f t="shared" si="48"/>
        <v>0</v>
      </c>
      <c r="EZ8" s="877"/>
      <c r="FA8" s="878">
        <f>SUM(EO8:EZ8)</f>
        <v>525889</v>
      </c>
      <c r="FC8" s="851">
        <f t="shared" ref="FC8:FC30" si="49">IFERROR(((
_xlfn.XLOOKUP((DATE(YEAR($FC$5),MONTH($FC$5),1)),UCA.GGN.DATE,$B8:$FA8) /
_xlfn.XLOOKUP((DATE(YEAR($FC$5)-1,MONTH($FC$5),1)),UCA.GGN.DATE,$B8:$FA8)
)-1)*100,"")</f>
        <v>8.9214194518774992</v>
      </c>
      <c r="FD8" s="852">
        <f t="shared" ref="FD8:FD30" si="50">IFERROR(((FF8/FE8)-1)*100,"")</f>
        <v>9.7055682112132011</v>
      </c>
      <c r="FE8" s="853">
        <f>SUMIFS($B8:$FA8,UCA.GGN.DATE,"&gt;="&amp;DATE(YEAR($FC$5)-1,1,1),UCA.GGN.DATE,"&lt;="&amp;DATE(YEAR($FC$5)-1,MONTH($FC$5),1))</f>
        <v>479364</v>
      </c>
      <c r="FF8" s="854">
        <f t="shared" si="22"/>
        <v>525889</v>
      </c>
      <c r="FH8" s="236">
        <f t="shared" ref="FH8:FH18" si="51">EV8-EI8</f>
        <v>5101</v>
      </c>
    </row>
    <row r="9" spans="1:164" ht="15" customHeight="1" x14ac:dyDescent="0.25">
      <c r="A9" s="403" t="s">
        <v>371</v>
      </c>
      <c r="B9" s="883">
        <v>12338</v>
      </c>
      <c r="C9" s="883">
        <v>14363</v>
      </c>
      <c r="D9" s="883">
        <v>15561</v>
      </c>
      <c r="E9" s="883">
        <v>14772</v>
      </c>
      <c r="F9" s="883">
        <v>14570</v>
      </c>
      <c r="G9" s="883">
        <v>15431</v>
      </c>
      <c r="H9" s="883">
        <v>16291</v>
      </c>
      <c r="I9" s="883">
        <v>13780</v>
      </c>
      <c r="J9" s="883">
        <v>14189</v>
      </c>
      <c r="K9" s="883">
        <v>13870</v>
      </c>
      <c r="L9" s="883">
        <v>14321</v>
      </c>
      <c r="M9" s="873">
        <v>17802</v>
      </c>
      <c r="N9" s="879">
        <f t="shared" si="24"/>
        <v>177288</v>
      </c>
      <c r="O9" s="883">
        <v>15770</v>
      </c>
      <c r="P9" s="883">
        <v>15047</v>
      </c>
      <c r="Q9" s="883">
        <v>15151</v>
      </c>
      <c r="R9" s="883">
        <v>15437</v>
      </c>
      <c r="S9" s="883">
        <v>17175</v>
      </c>
      <c r="T9" s="883">
        <v>17218</v>
      </c>
      <c r="U9" s="883">
        <v>17930</v>
      </c>
      <c r="V9" s="883">
        <v>14908</v>
      </c>
      <c r="W9" s="883">
        <v>14008</v>
      </c>
      <c r="X9" s="883">
        <v>14319</v>
      </c>
      <c r="Y9" s="883">
        <v>16589</v>
      </c>
      <c r="Z9" s="873">
        <v>17534</v>
      </c>
      <c r="AA9" s="879">
        <f t="shared" si="25"/>
        <v>191086</v>
      </c>
      <c r="AB9" s="883">
        <v>17800</v>
      </c>
      <c r="AC9" s="883">
        <v>17958</v>
      </c>
      <c r="AD9" s="883">
        <v>19422</v>
      </c>
      <c r="AE9" s="883">
        <v>17794</v>
      </c>
      <c r="AF9" s="883">
        <v>16884</v>
      </c>
      <c r="AG9" s="883">
        <v>19967</v>
      </c>
      <c r="AH9" s="883">
        <v>17943</v>
      </c>
      <c r="AI9" s="883">
        <v>14766</v>
      </c>
      <c r="AJ9" s="883">
        <v>15876</v>
      </c>
      <c r="AK9" s="883">
        <v>16623</v>
      </c>
      <c r="AL9" s="883">
        <v>17296</v>
      </c>
      <c r="AM9" s="873">
        <v>20762</v>
      </c>
      <c r="AN9" s="879">
        <f t="shared" si="26"/>
        <v>213091</v>
      </c>
      <c r="AO9" s="883">
        <v>19061</v>
      </c>
      <c r="AP9" s="883">
        <v>18694</v>
      </c>
      <c r="AQ9" s="883">
        <v>20171</v>
      </c>
      <c r="AR9" s="883">
        <v>18703</v>
      </c>
      <c r="AS9" s="883">
        <v>19072</v>
      </c>
      <c r="AT9" s="883">
        <v>18766</v>
      </c>
      <c r="AU9" s="883">
        <v>20066</v>
      </c>
      <c r="AV9" s="883">
        <v>18258</v>
      </c>
      <c r="AW9" s="883">
        <v>16863</v>
      </c>
      <c r="AX9" s="883">
        <v>16760</v>
      </c>
      <c r="AY9" s="883">
        <v>17538</v>
      </c>
      <c r="AZ9" s="873">
        <v>21365</v>
      </c>
      <c r="BA9" s="879">
        <f t="shared" si="28"/>
        <v>225317</v>
      </c>
      <c r="BB9" s="883">
        <v>18202</v>
      </c>
      <c r="BC9" s="883">
        <v>19438</v>
      </c>
      <c r="BD9" s="883">
        <v>19334</v>
      </c>
      <c r="BE9" s="883">
        <v>19198</v>
      </c>
      <c r="BF9" s="883">
        <v>20590</v>
      </c>
      <c r="BG9" s="883">
        <v>19861</v>
      </c>
      <c r="BH9" s="883">
        <v>22983</v>
      </c>
      <c r="BI9" s="883">
        <v>19342</v>
      </c>
      <c r="BJ9" s="883">
        <v>19485</v>
      </c>
      <c r="BK9" s="883">
        <v>19757</v>
      </c>
      <c r="BL9" s="883">
        <v>20767</v>
      </c>
      <c r="BM9" s="873">
        <v>25226</v>
      </c>
      <c r="BN9" s="879">
        <f t="shared" si="30"/>
        <v>244183</v>
      </c>
      <c r="BO9" s="883">
        <v>18986</v>
      </c>
      <c r="BP9" s="883">
        <v>17618</v>
      </c>
      <c r="BQ9" s="883">
        <v>17520</v>
      </c>
      <c r="BR9" s="883">
        <v>17570</v>
      </c>
      <c r="BS9" s="883">
        <v>19072</v>
      </c>
      <c r="BT9" s="883">
        <v>17578</v>
      </c>
      <c r="BU9" s="883">
        <v>21595</v>
      </c>
      <c r="BV9" s="883">
        <v>17451</v>
      </c>
      <c r="BW9" s="883">
        <v>17539</v>
      </c>
      <c r="BX9" s="883">
        <v>17819</v>
      </c>
      <c r="BY9" s="883">
        <v>19425</v>
      </c>
      <c r="BZ9" s="873">
        <v>24681</v>
      </c>
      <c r="CA9" s="879">
        <f t="shared" si="32"/>
        <v>226854</v>
      </c>
      <c r="CB9" s="883">
        <v>17086</v>
      </c>
      <c r="CC9" s="883">
        <v>16728</v>
      </c>
      <c r="CD9" s="883">
        <v>17144</v>
      </c>
      <c r="CE9" s="883">
        <v>17501</v>
      </c>
      <c r="CF9" s="883">
        <v>19101</v>
      </c>
      <c r="CG9" s="883">
        <v>17082</v>
      </c>
      <c r="CH9" s="883">
        <v>21332</v>
      </c>
      <c r="CI9" s="883">
        <v>17578</v>
      </c>
      <c r="CJ9" s="883">
        <v>17951</v>
      </c>
      <c r="CK9" s="883">
        <v>17504</v>
      </c>
      <c r="CL9" s="883">
        <v>19179</v>
      </c>
      <c r="CM9" s="873">
        <v>24100</v>
      </c>
      <c r="CN9" s="879">
        <f t="shared" si="34"/>
        <v>222286</v>
      </c>
      <c r="CO9" s="883">
        <v>18338</v>
      </c>
      <c r="CP9" s="883">
        <v>18730</v>
      </c>
      <c r="CQ9" s="883">
        <v>18691</v>
      </c>
      <c r="CR9" s="883">
        <v>18533</v>
      </c>
      <c r="CS9" s="883">
        <v>19587</v>
      </c>
      <c r="CT9" s="883">
        <v>18688</v>
      </c>
      <c r="CU9" s="883">
        <v>22475</v>
      </c>
      <c r="CV9" s="883">
        <v>18297</v>
      </c>
      <c r="CW9" s="883">
        <v>17808</v>
      </c>
      <c r="CX9" s="883">
        <v>17705</v>
      </c>
      <c r="CY9" s="883">
        <v>19661</v>
      </c>
      <c r="CZ9" s="873">
        <v>23963</v>
      </c>
      <c r="DA9" s="879">
        <f t="shared" si="36"/>
        <v>232476</v>
      </c>
      <c r="DB9" s="883">
        <v>19006</v>
      </c>
      <c r="DC9" s="883">
        <v>18162</v>
      </c>
      <c r="DD9" s="883">
        <v>18104</v>
      </c>
      <c r="DE9" s="883">
        <v>18289</v>
      </c>
      <c r="DF9" s="883">
        <v>20310</v>
      </c>
      <c r="DG9" s="883">
        <v>18759</v>
      </c>
      <c r="DH9" s="883">
        <v>23595</v>
      </c>
      <c r="DI9" s="883">
        <v>18702</v>
      </c>
      <c r="DJ9" s="883">
        <v>18682</v>
      </c>
      <c r="DK9" s="883">
        <v>19059</v>
      </c>
      <c r="DL9" s="883">
        <v>21687</v>
      </c>
      <c r="DM9" s="873">
        <v>28635</v>
      </c>
      <c r="DN9" s="879">
        <f t="shared" si="38"/>
        <v>242990</v>
      </c>
      <c r="DO9" s="883">
        <v>24781</v>
      </c>
      <c r="DP9" s="883">
        <v>23433</v>
      </c>
      <c r="DQ9" s="883">
        <v>23332</v>
      </c>
      <c r="DR9" s="883">
        <v>23995</v>
      </c>
      <c r="DS9" s="883">
        <v>25468</v>
      </c>
      <c r="DT9" s="883">
        <v>23503</v>
      </c>
      <c r="DU9" s="883">
        <v>29700</v>
      </c>
      <c r="DV9" s="883">
        <v>24610</v>
      </c>
      <c r="DW9" s="883">
        <v>24075</v>
      </c>
      <c r="DX9" s="883">
        <v>24906</v>
      </c>
      <c r="DY9" s="883">
        <v>28450</v>
      </c>
      <c r="DZ9" s="873">
        <v>33105</v>
      </c>
      <c r="EA9" s="879">
        <f t="shared" si="40"/>
        <v>309358</v>
      </c>
      <c r="EB9" s="883">
        <v>27061</v>
      </c>
      <c r="EC9" s="883">
        <v>27714</v>
      </c>
      <c r="ED9" s="883">
        <v>26112</v>
      </c>
      <c r="EE9" s="883">
        <v>26119</v>
      </c>
      <c r="EF9" s="883">
        <v>28942</v>
      </c>
      <c r="EG9" s="883">
        <v>26511</v>
      </c>
      <c r="EH9" s="883">
        <v>33833</v>
      </c>
      <c r="EI9" s="883">
        <v>27123</v>
      </c>
      <c r="EJ9" s="883">
        <v>28346</v>
      </c>
      <c r="EK9" s="883">
        <v>27601</v>
      </c>
      <c r="EL9" s="883">
        <v>30844</v>
      </c>
      <c r="EM9" s="873">
        <v>39334</v>
      </c>
      <c r="EN9" s="879">
        <f t="shared" ref="EN9:EN18" si="52">SUM(EB9:EM9)</f>
        <v>349540</v>
      </c>
      <c r="EO9" s="883">
        <v>29133</v>
      </c>
      <c r="EP9" s="883">
        <v>29975</v>
      </c>
      <c r="EQ9" s="883">
        <v>29832</v>
      </c>
      <c r="ER9" s="883">
        <v>30488</v>
      </c>
      <c r="ES9" s="883">
        <v>32549</v>
      </c>
      <c r="ET9" s="883">
        <v>31090</v>
      </c>
      <c r="EU9" s="883">
        <v>37987</v>
      </c>
      <c r="EV9" s="973">
        <v>30805</v>
      </c>
      <c r="EW9" s="883"/>
      <c r="EX9" s="883"/>
      <c r="EY9" s="883"/>
      <c r="EZ9" s="873"/>
      <c r="FA9" s="879">
        <f t="shared" ref="FA9:FA29" si="53">SUM(EO9:EZ9)</f>
        <v>251859</v>
      </c>
      <c r="FC9" s="843">
        <f>IFERROR(((
_xlfn.XLOOKUP((DATE(YEAR($FC$5),MONTH($FC$5),1)),UCA.GGN.DATE,$B9:$FA9) /
_xlfn.XLOOKUP((DATE(YEAR($FC$5)-1,MONTH($FC$5),1)),UCA.GGN.DATE,$B9:$FA9)
)-1)*100,"")</f>
        <v>13.575194484385955</v>
      </c>
      <c r="FD9" s="844">
        <f t="shared" si="50"/>
        <v>12.731463867690174</v>
      </c>
      <c r="FE9" s="845">
        <f t="shared" ref="FE9:FE30" si="54">SUMIFS($B9:$FA9,UCA.GGN.DATE,"&gt;="&amp;DATE(YEAR($FC$5)-1,1,1),UCA.GGN.DATE,"&lt;="&amp;DATE(YEAR($FC$5)-1,MONTH($FC$5),1))</f>
        <v>223415</v>
      </c>
      <c r="FF9" s="846">
        <f t="shared" si="22"/>
        <v>251859</v>
      </c>
      <c r="FH9" s="954">
        <f t="shared" si="51"/>
        <v>3682</v>
      </c>
    </row>
    <row r="10" spans="1:164" ht="15" customHeight="1" x14ac:dyDescent="0.25">
      <c r="A10" s="403" t="s">
        <v>372</v>
      </c>
      <c r="B10" s="883">
        <v>631</v>
      </c>
      <c r="C10" s="883">
        <v>874</v>
      </c>
      <c r="D10" s="883">
        <v>796</v>
      </c>
      <c r="E10" s="883">
        <v>1089</v>
      </c>
      <c r="F10" s="883">
        <v>837</v>
      </c>
      <c r="G10" s="883">
        <v>837</v>
      </c>
      <c r="H10" s="883">
        <v>1455</v>
      </c>
      <c r="I10" s="883">
        <v>837</v>
      </c>
      <c r="J10" s="883">
        <v>918</v>
      </c>
      <c r="K10" s="883">
        <v>1149</v>
      </c>
      <c r="L10" s="883">
        <v>844</v>
      </c>
      <c r="M10" s="873">
        <v>1493</v>
      </c>
      <c r="N10" s="879">
        <f t="shared" si="24"/>
        <v>11760</v>
      </c>
      <c r="O10" s="883">
        <v>953</v>
      </c>
      <c r="P10" s="883">
        <v>863</v>
      </c>
      <c r="Q10" s="883">
        <v>888</v>
      </c>
      <c r="R10" s="883">
        <v>1179</v>
      </c>
      <c r="S10" s="883">
        <v>1001</v>
      </c>
      <c r="T10" s="883">
        <v>933</v>
      </c>
      <c r="U10" s="883">
        <v>1697</v>
      </c>
      <c r="V10" s="883">
        <v>926</v>
      </c>
      <c r="W10" s="883">
        <v>952</v>
      </c>
      <c r="X10" s="883">
        <v>558</v>
      </c>
      <c r="Y10" s="883">
        <v>237</v>
      </c>
      <c r="Z10" s="873">
        <v>1688</v>
      </c>
      <c r="AA10" s="879">
        <f t="shared" si="25"/>
        <v>11875</v>
      </c>
      <c r="AB10" s="883">
        <v>1091</v>
      </c>
      <c r="AC10" s="883">
        <v>985</v>
      </c>
      <c r="AD10" s="883">
        <v>946</v>
      </c>
      <c r="AE10" s="883">
        <v>1252</v>
      </c>
      <c r="AF10" s="883">
        <v>976</v>
      </c>
      <c r="AG10" s="883">
        <v>207</v>
      </c>
      <c r="AH10" s="883">
        <v>1602</v>
      </c>
      <c r="AI10" s="883">
        <v>122</v>
      </c>
      <c r="AJ10" s="883">
        <v>166</v>
      </c>
      <c r="AK10" s="883">
        <v>934</v>
      </c>
      <c r="AL10" s="883">
        <v>329</v>
      </c>
      <c r="AM10" s="873">
        <v>727</v>
      </c>
      <c r="AN10" s="879">
        <f t="shared" si="26"/>
        <v>9337</v>
      </c>
      <c r="AO10" s="883">
        <v>1389</v>
      </c>
      <c r="AP10" s="883">
        <v>1049</v>
      </c>
      <c r="AQ10" s="883">
        <v>1120</v>
      </c>
      <c r="AR10" s="883">
        <v>1289</v>
      </c>
      <c r="AS10" s="883">
        <v>1092</v>
      </c>
      <c r="AT10" s="883">
        <v>1061</v>
      </c>
      <c r="AU10" s="883">
        <v>2034</v>
      </c>
      <c r="AV10" s="883">
        <v>2058</v>
      </c>
      <c r="AW10" s="883">
        <v>2097</v>
      </c>
      <c r="AX10" s="883">
        <v>1193</v>
      </c>
      <c r="AY10" s="883">
        <v>1928</v>
      </c>
      <c r="AZ10" s="873">
        <v>2001</v>
      </c>
      <c r="BA10" s="879">
        <f t="shared" si="28"/>
        <v>18311</v>
      </c>
      <c r="BB10" s="883">
        <v>1241</v>
      </c>
      <c r="BC10" s="883">
        <v>1077</v>
      </c>
      <c r="BD10" s="883">
        <v>1279</v>
      </c>
      <c r="BE10" s="883">
        <v>1318</v>
      </c>
      <c r="BF10" s="883">
        <v>1137</v>
      </c>
      <c r="BG10" s="883">
        <v>1175</v>
      </c>
      <c r="BH10" s="883">
        <v>6647</v>
      </c>
      <c r="BI10" s="883">
        <v>1129</v>
      </c>
      <c r="BJ10" s="883">
        <v>181</v>
      </c>
      <c r="BK10" s="883">
        <v>297</v>
      </c>
      <c r="BL10" s="883">
        <v>187</v>
      </c>
      <c r="BM10" s="873">
        <v>2228</v>
      </c>
      <c r="BN10" s="879">
        <f t="shared" si="30"/>
        <v>17896</v>
      </c>
      <c r="BO10" s="883">
        <v>1120</v>
      </c>
      <c r="BP10" s="883">
        <v>1421</v>
      </c>
      <c r="BQ10" s="883">
        <v>1517</v>
      </c>
      <c r="BR10" s="883">
        <v>1544</v>
      </c>
      <c r="BS10" s="883">
        <v>5291</v>
      </c>
      <c r="BT10" s="883">
        <v>5306</v>
      </c>
      <c r="BU10" s="883">
        <v>432</v>
      </c>
      <c r="BV10" s="883">
        <v>154</v>
      </c>
      <c r="BW10" s="883">
        <v>182</v>
      </c>
      <c r="BX10" s="883">
        <v>1562</v>
      </c>
      <c r="BY10" s="883">
        <v>1400</v>
      </c>
      <c r="BZ10" s="873">
        <v>3540</v>
      </c>
      <c r="CA10" s="879">
        <f t="shared" si="32"/>
        <v>23469</v>
      </c>
      <c r="CB10" s="883">
        <v>1333</v>
      </c>
      <c r="CC10" s="883">
        <v>1260</v>
      </c>
      <c r="CD10" s="883">
        <v>1265</v>
      </c>
      <c r="CE10" s="883">
        <v>1269</v>
      </c>
      <c r="CF10" s="883">
        <v>1333</v>
      </c>
      <c r="CG10" s="883">
        <v>1180</v>
      </c>
      <c r="CH10" s="883">
        <v>2702</v>
      </c>
      <c r="CI10" s="883">
        <v>1276</v>
      </c>
      <c r="CJ10" s="883">
        <v>1449</v>
      </c>
      <c r="CK10" s="883">
        <v>1415</v>
      </c>
      <c r="CL10" s="883">
        <v>1098</v>
      </c>
      <c r="CM10" s="873">
        <v>2865</v>
      </c>
      <c r="CN10" s="879">
        <f t="shared" si="34"/>
        <v>18445</v>
      </c>
      <c r="CO10" s="883">
        <v>1266</v>
      </c>
      <c r="CP10" s="883">
        <v>1341</v>
      </c>
      <c r="CQ10" s="883">
        <v>1224</v>
      </c>
      <c r="CR10" s="883">
        <v>1359</v>
      </c>
      <c r="CS10" s="883">
        <v>1159</v>
      </c>
      <c r="CT10" s="883">
        <v>1428</v>
      </c>
      <c r="CU10" s="883">
        <v>2627</v>
      </c>
      <c r="CV10" s="883">
        <v>1461</v>
      </c>
      <c r="CW10" s="883">
        <v>956</v>
      </c>
      <c r="CX10" s="883">
        <v>1017</v>
      </c>
      <c r="CY10" s="883">
        <v>1533</v>
      </c>
      <c r="CZ10" s="873">
        <v>3195</v>
      </c>
      <c r="DA10" s="879">
        <f t="shared" si="36"/>
        <v>18566</v>
      </c>
      <c r="DB10" s="883">
        <v>1003</v>
      </c>
      <c r="DC10" s="883">
        <v>1166</v>
      </c>
      <c r="DD10" s="883">
        <v>1676</v>
      </c>
      <c r="DE10" s="883">
        <v>1176</v>
      </c>
      <c r="DF10" s="883">
        <v>1671</v>
      </c>
      <c r="DG10" s="883">
        <v>1365</v>
      </c>
      <c r="DH10" s="883">
        <v>1763</v>
      </c>
      <c r="DI10" s="883">
        <v>1532</v>
      </c>
      <c r="DJ10" s="883">
        <v>1701</v>
      </c>
      <c r="DK10" s="883">
        <v>1653</v>
      </c>
      <c r="DL10" s="883">
        <v>772</v>
      </c>
      <c r="DM10" s="873">
        <v>2941</v>
      </c>
      <c r="DN10" s="879">
        <f t="shared" si="38"/>
        <v>18419</v>
      </c>
      <c r="DO10" s="883">
        <v>1686</v>
      </c>
      <c r="DP10" s="883">
        <v>1666</v>
      </c>
      <c r="DQ10" s="883">
        <v>1757</v>
      </c>
      <c r="DR10" s="883">
        <v>1721</v>
      </c>
      <c r="DS10" s="883">
        <v>1624</v>
      </c>
      <c r="DT10" s="883">
        <v>1746</v>
      </c>
      <c r="DU10" s="883">
        <v>3143</v>
      </c>
      <c r="DV10" s="883">
        <v>1810</v>
      </c>
      <c r="DW10" s="883">
        <v>1757</v>
      </c>
      <c r="DX10" s="883">
        <v>1771</v>
      </c>
      <c r="DY10" s="883">
        <v>1802</v>
      </c>
      <c r="DZ10" s="873">
        <v>3345</v>
      </c>
      <c r="EA10" s="879">
        <f t="shared" si="40"/>
        <v>23828</v>
      </c>
      <c r="EB10" s="883">
        <v>2003</v>
      </c>
      <c r="EC10" s="883">
        <v>1951</v>
      </c>
      <c r="ED10" s="883">
        <v>1892</v>
      </c>
      <c r="EE10" s="883">
        <v>2067</v>
      </c>
      <c r="EF10" s="883">
        <v>2177</v>
      </c>
      <c r="EG10" s="883">
        <v>2027</v>
      </c>
      <c r="EH10" s="883">
        <v>3538</v>
      </c>
      <c r="EI10" s="883">
        <v>2187</v>
      </c>
      <c r="EJ10" s="883">
        <v>1981</v>
      </c>
      <c r="EK10" s="883">
        <v>1957</v>
      </c>
      <c r="EL10" s="883">
        <v>2024</v>
      </c>
      <c r="EM10" s="873">
        <v>3718</v>
      </c>
      <c r="EN10" s="879">
        <f t="shared" si="52"/>
        <v>27522</v>
      </c>
      <c r="EO10" s="883">
        <v>1952</v>
      </c>
      <c r="EP10" s="883">
        <v>2181</v>
      </c>
      <c r="EQ10" s="883">
        <v>2144</v>
      </c>
      <c r="ER10" s="883">
        <v>2089</v>
      </c>
      <c r="ES10" s="883">
        <v>2149</v>
      </c>
      <c r="ET10" s="883">
        <v>2110</v>
      </c>
      <c r="EU10" s="883">
        <v>3906</v>
      </c>
      <c r="EV10" s="973">
        <v>2077</v>
      </c>
      <c r="EW10" s="883"/>
      <c r="EX10" s="883"/>
      <c r="EY10" s="883"/>
      <c r="EZ10" s="873"/>
      <c r="FA10" s="879">
        <f t="shared" si="53"/>
        <v>18608</v>
      </c>
      <c r="FC10" s="843">
        <f t="shared" si="49"/>
        <v>-5.0297210791037994</v>
      </c>
      <c r="FD10" s="844">
        <f t="shared" si="50"/>
        <v>4.2932406680865398</v>
      </c>
      <c r="FE10" s="845">
        <f t="shared" si="54"/>
        <v>17842</v>
      </c>
      <c r="FF10" s="846">
        <f t="shared" si="22"/>
        <v>18608</v>
      </c>
      <c r="FH10" s="127">
        <f t="shared" si="51"/>
        <v>-110</v>
      </c>
    </row>
    <row r="11" spans="1:164" ht="15" customHeight="1" x14ac:dyDescent="0.25">
      <c r="A11" s="403" t="s">
        <v>373</v>
      </c>
      <c r="B11" s="883">
        <v>6280</v>
      </c>
      <c r="C11" s="883">
        <v>5576</v>
      </c>
      <c r="D11" s="883">
        <v>6899</v>
      </c>
      <c r="E11" s="883">
        <v>7462</v>
      </c>
      <c r="F11" s="883">
        <v>9544</v>
      </c>
      <c r="G11" s="883">
        <v>7601</v>
      </c>
      <c r="H11" s="883">
        <v>7279</v>
      </c>
      <c r="I11" s="883">
        <v>10423</v>
      </c>
      <c r="J11" s="883">
        <v>19093</v>
      </c>
      <c r="K11" s="883">
        <v>8262</v>
      </c>
      <c r="L11" s="883">
        <v>9334</v>
      </c>
      <c r="M11" s="873">
        <v>40807</v>
      </c>
      <c r="N11" s="879">
        <f t="shared" si="24"/>
        <v>138560</v>
      </c>
      <c r="O11" s="883">
        <v>7279</v>
      </c>
      <c r="P11" s="883">
        <v>9067</v>
      </c>
      <c r="Q11" s="883">
        <v>9669</v>
      </c>
      <c r="R11" s="883">
        <v>17957</v>
      </c>
      <c r="S11" s="883">
        <v>11760</v>
      </c>
      <c r="T11" s="883">
        <v>13809</v>
      </c>
      <c r="U11" s="883">
        <v>14909</v>
      </c>
      <c r="V11" s="883">
        <v>10785</v>
      </c>
      <c r="W11" s="883">
        <v>12672</v>
      </c>
      <c r="X11" s="883">
        <v>10403</v>
      </c>
      <c r="Y11" s="883">
        <v>10910</v>
      </c>
      <c r="Z11" s="873">
        <v>26192</v>
      </c>
      <c r="AA11" s="879">
        <f t="shared" si="25"/>
        <v>155412</v>
      </c>
      <c r="AB11" s="883">
        <v>3645</v>
      </c>
      <c r="AC11" s="883">
        <v>8073</v>
      </c>
      <c r="AD11" s="883">
        <v>14007</v>
      </c>
      <c r="AE11" s="883">
        <v>8132</v>
      </c>
      <c r="AF11" s="883">
        <v>12774</v>
      </c>
      <c r="AG11" s="883">
        <v>10293</v>
      </c>
      <c r="AH11" s="883">
        <v>11887</v>
      </c>
      <c r="AI11" s="883">
        <v>11017</v>
      </c>
      <c r="AJ11" s="883">
        <v>10312</v>
      </c>
      <c r="AK11" s="883">
        <v>12581</v>
      </c>
      <c r="AL11" s="883">
        <v>14414</v>
      </c>
      <c r="AM11" s="873">
        <v>27161</v>
      </c>
      <c r="AN11" s="879">
        <f t="shared" si="26"/>
        <v>144296</v>
      </c>
      <c r="AO11" s="883">
        <v>5026</v>
      </c>
      <c r="AP11" s="883">
        <v>11916</v>
      </c>
      <c r="AQ11" s="883">
        <v>10553</v>
      </c>
      <c r="AR11" s="883">
        <v>11728</v>
      </c>
      <c r="AS11" s="883">
        <v>10801</v>
      </c>
      <c r="AT11" s="883">
        <v>10771</v>
      </c>
      <c r="AU11" s="883">
        <v>13231</v>
      </c>
      <c r="AV11" s="883">
        <v>10686</v>
      </c>
      <c r="AW11" s="883">
        <v>10370</v>
      </c>
      <c r="AX11" s="883">
        <v>12742</v>
      </c>
      <c r="AY11" s="883">
        <v>12133</v>
      </c>
      <c r="AZ11" s="873">
        <v>23024</v>
      </c>
      <c r="BA11" s="879">
        <f t="shared" si="28"/>
        <v>142981</v>
      </c>
      <c r="BB11" s="883">
        <v>4805</v>
      </c>
      <c r="BC11" s="883">
        <v>14908</v>
      </c>
      <c r="BD11" s="883">
        <v>12451</v>
      </c>
      <c r="BE11" s="883">
        <v>11197</v>
      </c>
      <c r="BF11" s="883">
        <v>11378</v>
      </c>
      <c r="BG11" s="883">
        <v>10044</v>
      </c>
      <c r="BH11" s="883">
        <v>17102</v>
      </c>
      <c r="BI11" s="883">
        <v>12286</v>
      </c>
      <c r="BJ11" s="883">
        <v>11531</v>
      </c>
      <c r="BK11" s="883">
        <v>13440</v>
      </c>
      <c r="BL11" s="883">
        <v>14222</v>
      </c>
      <c r="BM11" s="873">
        <v>21042</v>
      </c>
      <c r="BN11" s="879">
        <f t="shared" si="30"/>
        <v>154406</v>
      </c>
      <c r="BO11" s="883">
        <v>13851</v>
      </c>
      <c r="BP11" s="883">
        <v>8008</v>
      </c>
      <c r="BQ11" s="883">
        <v>8757</v>
      </c>
      <c r="BR11" s="883">
        <v>8453</v>
      </c>
      <c r="BS11" s="883">
        <v>6401</v>
      </c>
      <c r="BT11" s="883">
        <v>7333</v>
      </c>
      <c r="BU11" s="883">
        <v>9735</v>
      </c>
      <c r="BV11" s="883">
        <v>7865</v>
      </c>
      <c r="BW11" s="883">
        <v>11439</v>
      </c>
      <c r="BX11" s="883">
        <v>11568</v>
      </c>
      <c r="BY11" s="883">
        <v>11308</v>
      </c>
      <c r="BZ11" s="873">
        <v>24857</v>
      </c>
      <c r="CA11" s="879">
        <f t="shared" si="32"/>
        <v>129575</v>
      </c>
      <c r="CB11" s="883">
        <v>9116</v>
      </c>
      <c r="CC11" s="883">
        <v>8050</v>
      </c>
      <c r="CD11" s="883">
        <v>10788</v>
      </c>
      <c r="CE11" s="883">
        <v>12070</v>
      </c>
      <c r="CF11" s="883">
        <v>10662</v>
      </c>
      <c r="CG11" s="883">
        <v>12260</v>
      </c>
      <c r="CH11" s="883">
        <v>11521</v>
      </c>
      <c r="CI11" s="883">
        <v>14277</v>
      </c>
      <c r="CJ11" s="883">
        <v>10617</v>
      </c>
      <c r="CK11" s="883">
        <v>11849</v>
      </c>
      <c r="CL11" s="883">
        <v>15257</v>
      </c>
      <c r="CM11" s="873">
        <v>24716</v>
      </c>
      <c r="CN11" s="879">
        <f t="shared" si="34"/>
        <v>151183</v>
      </c>
      <c r="CO11" s="883">
        <v>7907</v>
      </c>
      <c r="CP11" s="883">
        <v>10810</v>
      </c>
      <c r="CQ11" s="883">
        <v>12184</v>
      </c>
      <c r="CR11" s="883">
        <v>9847</v>
      </c>
      <c r="CS11" s="883">
        <v>10609</v>
      </c>
      <c r="CT11" s="883">
        <v>12945</v>
      </c>
      <c r="CU11" s="883">
        <v>12744</v>
      </c>
      <c r="CV11" s="883">
        <v>12185</v>
      </c>
      <c r="CW11" s="883">
        <v>15291</v>
      </c>
      <c r="CX11" s="883">
        <v>15666</v>
      </c>
      <c r="CY11" s="883">
        <v>17781</v>
      </c>
      <c r="CZ11" s="873">
        <v>27549</v>
      </c>
      <c r="DA11" s="879">
        <f t="shared" si="36"/>
        <v>165518</v>
      </c>
      <c r="DB11" s="883">
        <v>13108</v>
      </c>
      <c r="DC11" s="883">
        <v>11947</v>
      </c>
      <c r="DD11" s="883">
        <v>13245</v>
      </c>
      <c r="DE11" s="883">
        <v>12876</v>
      </c>
      <c r="DF11" s="883">
        <v>16030</v>
      </c>
      <c r="DG11" s="883">
        <v>17252</v>
      </c>
      <c r="DH11" s="883">
        <v>14672</v>
      </c>
      <c r="DI11" s="883">
        <v>14598</v>
      </c>
      <c r="DJ11" s="883">
        <v>16012</v>
      </c>
      <c r="DK11" s="883">
        <v>14898</v>
      </c>
      <c r="DL11" s="883">
        <v>19444</v>
      </c>
      <c r="DM11" s="873">
        <v>24340</v>
      </c>
      <c r="DN11" s="879">
        <f t="shared" si="38"/>
        <v>188422</v>
      </c>
      <c r="DO11" s="883">
        <v>10047</v>
      </c>
      <c r="DP11" s="883">
        <v>11143</v>
      </c>
      <c r="DQ11" s="883">
        <v>12212</v>
      </c>
      <c r="DR11" s="883">
        <v>13043</v>
      </c>
      <c r="DS11" s="883">
        <v>13944</v>
      </c>
      <c r="DT11" s="883">
        <v>10816</v>
      </c>
      <c r="DU11" s="883">
        <v>17574</v>
      </c>
      <c r="DV11" s="883">
        <v>14746</v>
      </c>
      <c r="DW11" s="883">
        <v>12271</v>
      </c>
      <c r="DX11" s="883">
        <v>11686</v>
      </c>
      <c r="DY11" s="883">
        <v>13748</v>
      </c>
      <c r="DZ11" s="873">
        <v>22569</v>
      </c>
      <c r="EA11" s="879">
        <f t="shared" si="40"/>
        <v>163799</v>
      </c>
      <c r="EB11" s="883">
        <v>4797</v>
      </c>
      <c r="EC11" s="883">
        <v>13628</v>
      </c>
      <c r="ED11" s="883">
        <v>13670</v>
      </c>
      <c r="EE11" s="883">
        <v>14082</v>
      </c>
      <c r="EF11" s="883">
        <v>15909</v>
      </c>
      <c r="EG11" s="883">
        <v>16727</v>
      </c>
      <c r="EH11" s="883">
        <v>14059</v>
      </c>
      <c r="EI11" s="883">
        <v>13024</v>
      </c>
      <c r="EJ11" s="883">
        <v>15920</v>
      </c>
      <c r="EK11" s="883">
        <v>14567</v>
      </c>
      <c r="EL11" s="883">
        <v>16168</v>
      </c>
      <c r="EM11" s="873">
        <v>27951</v>
      </c>
      <c r="EN11" s="879">
        <f t="shared" si="52"/>
        <v>180502</v>
      </c>
      <c r="EO11" s="883">
        <v>6726</v>
      </c>
      <c r="EP11" s="883">
        <v>8797</v>
      </c>
      <c r="EQ11" s="883">
        <v>18944</v>
      </c>
      <c r="ER11" s="883">
        <v>17165</v>
      </c>
      <c r="ES11" s="883">
        <v>16628</v>
      </c>
      <c r="ET11" s="883">
        <v>11428</v>
      </c>
      <c r="EU11" s="883">
        <v>13502</v>
      </c>
      <c r="EV11" s="973">
        <v>15029</v>
      </c>
      <c r="EW11" s="883"/>
      <c r="EX11" s="883"/>
      <c r="EY11" s="883"/>
      <c r="EZ11" s="873"/>
      <c r="FA11" s="879">
        <f t="shared" si="53"/>
        <v>108219</v>
      </c>
      <c r="FC11" s="843">
        <f t="shared" si="49"/>
        <v>15.394656019656017</v>
      </c>
      <c r="FD11" s="844">
        <f t="shared" si="50"/>
        <v>2.1936617058245789</v>
      </c>
      <c r="FE11" s="845">
        <f>SUMIFS($B11:$FA11,UCA.GGN.DATE,"&gt;="&amp;DATE(YEAR($FC$5)-1,1,1),UCA.GGN.DATE,"&lt;="&amp;DATE(YEAR($FC$5)-1,MONTH($FC$5),1))</f>
        <v>105896</v>
      </c>
      <c r="FF11" s="846">
        <f t="shared" si="22"/>
        <v>108219</v>
      </c>
      <c r="FH11" s="954">
        <f t="shared" si="51"/>
        <v>2005</v>
      </c>
    </row>
    <row r="12" spans="1:164" ht="15" customHeight="1" x14ac:dyDescent="0.25">
      <c r="A12" s="403" t="s">
        <v>374</v>
      </c>
      <c r="B12" s="883">
        <v>5000</v>
      </c>
      <c r="C12" s="883">
        <v>9307</v>
      </c>
      <c r="D12" s="883">
        <v>9272</v>
      </c>
      <c r="E12" s="883">
        <v>1083</v>
      </c>
      <c r="F12" s="883">
        <v>1262</v>
      </c>
      <c r="G12" s="883">
        <v>1318</v>
      </c>
      <c r="H12" s="883">
        <v>1876</v>
      </c>
      <c r="I12" s="883">
        <v>1018</v>
      </c>
      <c r="J12" s="883">
        <v>475</v>
      </c>
      <c r="K12" s="883">
        <v>1011</v>
      </c>
      <c r="L12" s="883">
        <v>413</v>
      </c>
      <c r="M12" s="873">
        <v>2903</v>
      </c>
      <c r="N12" s="879">
        <f t="shared" si="24"/>
        <v>34938</v>
      </c>
      <c r="O12" s="883">
        <v>4979</v>
      </c>
      <c r="P12" s="883">
        <v>3456</v>
      </c>
      <c r="Q12" s="883">
        <v>2592</v>
      </c>
      <c r="R12" s="883">
        <v>449</v>
      </c>
      <c r="S12" s="883">
        <v>17</v>
      </c>
      <c r="T12" s="883">
        <v>1430</v>
      </c>
      <c r="U12" s="883">
        <v>219</v>
      </c>
      <c r="V12" s="883">
        <v>256</v>
      </c>
      <c r="W12" s="883">
        <v>8</v>
      </c>
      <c r="X12" s="883"/>
      <c r="Y12" s="883">
        <v>2120</v>
      </c>
      <c r="Z12" s="873">
        <v>856</v>
      </c>
      <c r="AA12" s="879">
        <f t="shared" si="25"/>
        <v>16382</v>
      </c>
      <c r="AB12" s="883"/>
      <c r="AC12" s="883">
        <v>3048</v>
      </c>
      <c r="AD12" s="883">
        <v>9752</v>
      </c>
      <c r="AE12" s="883">
        <v>2048</v>
      </c>
      <c r="AF12" s="883">
        <v>74</v>
      </c>
      <c r="AG12" s="883">
        <v>3412</v>
      </c>
      <c r="AH12" s="883">
        <v>174</v>
      </c>
      <c r="AI12" s="883">
        <v>2686</v>
      </c>
      <c r="AJ12" s="883"/>
      <c r="AK12" s="883">
        <v>118</v>
      </c>
      <c r="AL12" s="883">
        <v>4604</v>
      </c>
      <c r="AM12" s="873">
        <v>719</v>
      </c>
      <c r="AN12" s="879">
        <f t="shared" si="26"/>
        <v>26635</v>
      </c>
      <c r="AO12" s="883">
        <v>1476</v>
      </c>
      <c r="AP12" s="883">
        <v>7087</v>
      </c>
      <c r="AQ12" s="883"/>
      <c r="AR12" s="883">
        <v>888</v>
      </c>
      <c r="AS12" s="883">
        <v>7119</v>
      </c>
      <c r="AT12" s="883">
        <v>12</v>
      </c>
      <c r="AU12" s="883">
        <v>11145</v>
      </c>
      <c r="AV12" s="883">
        <v>783</v>
      </c>
      <c r="AW12" s="883">
        <v>7945</v>
      </c>
      <c r="AX12" s="883">
        <v>3023</v>
      </c>
      <c r="AY12" s="883">
        <v>831</v>
      </c>
      <c r="AZ12" s="873">
        <v>4158</v>
      </c>
      <c r="BA12" s="879">
        <f t="shared" si="28"/>
        <v>44467</v>
      </c>
      <c r="BB12" s="883">
        <v>18979</v>
      </c>
      <c r="BC12" s="883">
        <v>27</v>
      </c>
      <c r="BD12" s="883">
        <v>41</v>
      </c>
      <c r="BE12" s="883">
        <v>67</v>
      </c>
      <c r="BF12" s="883">
        <v>582</v>
      </c>
      <c r="BG12" s="883">
        <v>245</v>
      </c>
      <c r="BH12" s="883">
        <v>5678</v>
      </c>
      <c r="BI12" s="883">
        <v>-658</v>
      </c>
      <c r="BJ12" s="883">
        <v>1980</v>
      </c>
      <c r="BK12" s="883">
        <v>526</v>
      </c>
      <c r="BL12" s="883">
        <v>2383</v>
      </c>
      <c r="BM12" s="873">
        <v>799</v>
      </c>
      <c r="BN12" s="879">
        <f t="shared" si="30"/>
        <v>30649</v>
      </c>
      <c r="BO12" s="883"/>
      <c r="BP12" s="883">
        <v>14259</v>
      </c>
      <c r="BQ12" s="883">
        <v>174</v>
      </c>
      <c r="BR12" s="883">
        <v>5992</v>
      </c>
      <c r="BS12" s="883">
        <v>130</v>
      </c>
      <c r="BT12" s="883"/>
      <c r="BU12" s="883">
        <v>4809</v>
      </c>
      <c r="BV12" s="883">
        <v>917</v>
      </c>
      <c r="BW12" s="883">
        <v>6133</v>
      </c>
      <c r="BX12" s="883">
        <v>121</v>
      </c>
      <c r="BY12" s="883">
        <v>2321</v>
      </c>
      <c r="BZ12" s="873">
        <v>3025</v>
      </c>
      <c r="CA12" s="879">
        <f t="shared" si="32"/>
        <v>37881</v>
      </c>
      <c r="CB12" s="883"/>
      <c r="CC12" s="883">
        <v>13555</v>
      </c>
      <c r="CD12" s="883">
        <v>2079</v>
      </c>
      <c r="CE12" s="883">
        <v>1118</v>
      </c>
      <c r="CF12" s="883">
        <v>532</v>
      </c>
      <c r="CG12" s="883">
        <v>554</v>
      </c>
      <c r="CH12" s="883">
        <v>3437</v>
      </c>
      <c r="CI12" s="883">
        <v>784</v>
      </c>
      <c r="CJ12" s="883">
        <v>6394</v>
      </c>
      <c r="CK12" s="883">
        <v>769</v>
      </c>
      <c r="CL12" s="883">
        <v>5051</v>
      </c>
      <c r="CM12" s="873">
        <v>1175</v>
      </c>
      <c r="CN12" s="879">
        <f t="shared" si="34"/>
        <v>35448</v>
      </c>
      <c r="CO12" s="883"/>
      <c r="CP12" s="883">
        <v>1107</v>
      </c>
      <c r="CQ12" s="883">
        <v>18881</v>
      </c>
      <c r="CR12" s="883">
        <v>-4</v>
      </c>
      <c r="CS12" s="883">
        <v>649</v>
      </c>
      <c r="CT12" s="883">
        <v>4896</v>
      </c>
      <c r="CU12" s="883">
        <v>1238</v>
      </c>
      <c r="CV12" s="883">
        <v>7500</v>
      </c>
      <c r="CW12" s="883">
        <v>6678</v>
      </c>
      <c r="CX12" s="883">
        <v>1131</v>
      </c>
      <c r="CY12" s="883">
        <v>5673</v>
      </c>
      <c r="CZ12" s="873">
        <v>967</v>
      </c>
      <c r="DA12" s="879">
        <f t="shared" si="36"/>
        <v>48716</v>
      </c>
      <c r="DB12" s="883">
        <v>7730</v>
      </c>
      <c r="DC12" s="883">
        <v>12736</v>
      </c>
      <c r="DD12" s="883">
        <v>1824</v>
      </c>
      <c r="DE12" s="883">
        <v>2937</v>
      </c>
      <c r="DF12" s="883">
        <v>2353</v>
      </c>
      <c r="DG12" s="883">
        <v>338</v>
      </c>
      <c r="DH12" s="883">
        <v>1603</v>
      </c>
      <c r="DI12" s="883">
        <v>4787</v>
      </c>
      <c r="DJ12" s="883">
        <v>-64</v>
      </c>
      <c r="DK12" s="883">
        <v>570</v>
      </c>
      <c r="DL12" s="883">
        <v>3281</v>
      </c>
      <c r="DM12" s="873">
        <v>2415</v>
      </c>
      <c r="DN12" s="879">
        <f t="shared" si="38"/>
        <v>40510</v>
      </c>
      <c r="DO12" s="883"/>
      <c r="DP12" s="883">
        <v>25312</v>
      </c>
      <c r="DQ12" s="883">
        <v>2251</v>
      </c>
      <c r="DR12" s="883">
        <v>5554</v>
      </c>
      <c r="DS12" s="883">
        <v>783</v>
      </c>
      <c r="DT12" s="883">
        <v>600</v>
      </c>
      <c r="DU12" s="883">
        <v>402</v>
      </c>
      <c r="DV12" s="883">
        <v>159</v>
      </c>
      <c r="DW12" s="883">
        <v>3272</v>
      </c>
      <c r="DX12" s="883">
        <v>1043</v>
      </c>
      <c r="DY12" s="883">
        <v>23</v>
      </c>
      <c r="DZ12" s="873">
        <v>817</v>
      </c>
      <c r="EA12" s="879">
        <f t="shared" si="40"/>
        <v>40216</v>
      </c>
      <c r="EB12" s="883">
        <v>15547</v>
      </c>
      <c r="EC12" s="883">
        <v>390</v>
      </c>
      <c r="ED12" s="883">
        <v>3186</v>
      </c>
      <c r="EE12" s="883">
        <v>0</v>
      </c>
      <c r="EF12" s="883">
        <v>-4</v>
      </c>
      <c r="EG12" s="883">
        <v>6353</v>
      </c>
      <c r="EH12" s="883">
        <v>0</v>
      </c>
      <c r="EI12" s="883">
        <v>670</v>
      </c>
      <c r="EJ12" s="883">
        <v>1083</v>
      </c>
      <c r="EK12" s="883">
        <v>-36</v>
      </c>
      <c r="EL12" s="883">
        <v>473</v>
      </c>
      <c r="EM12" s="873">
        <v>1566</v>
      </c>
      <c r="EN12" s="879">
        <f t="shared" si="52"/>
        <v>29228</v>
      </c>
      <c r="EO12" s="883">
        <v>26427</v>
      </c>
      <c r="EP12" s="883">
        <v>0</v>
      </c>
      <c r="EQ12" s="883">
        <v>1849</v>
      </c>
      <c r="ER12" s="883">
        <v>773</v>
      </c>
      <c r="ES12" s="883">
        <v>0</v>
      </c>
      <c r="ET12" s="883">
        <v>1102</v>
      </c>
      <c r="EU12" s="883">
        <v>10</v>
      </c>
      <c r="EV12" s="973">
        <v>1963</v>
      </c>
      <c r="EW12" s="883"/>
      <c r="EX12" s="883"/>
      <c r="EY12" s="883"/>
      <c r="EZ12" s="873"/>
      <c r="FA12" s="879">
        <f t="shared" si="53"/>
        <v>32124</v>
      </c>
      <c r="FC12" s="843">
        <f t="shared" si="49"/>
        <v>192.98507462686567</v>
      </c>
      <c r="FD12" s="844">
        <f t="shared" si="50"/>
        <v>22.882717466146431</v>
      </c>
      <c r="FE12" s="845">
        <f t="shared" si="54"/>
        <v>26142</v>
      </c>
      <c r="FF12" s="846">
        <f t="shared" si="22"/>
        <v>32124</v>
      </c>
      <c r="FH12" s="127">
        <f t="shared" si="51"/>
        <v>1293</v>
      </c>
    </row>
    <row r="13" spans="1:164" ht="15" customHeight="1" x14ac:dyDescent="0.25">
      <c r="A13" s="403" t="s">
        <v>286</v>
      </c>
      <c r="B13" s="883">
        <v>288</v>
      </c>
      <c r="C13" s="883">
        <v>3823</v>
      </c>
      <c r="D13" s="883">
        <v>5694</v>
      </c>
      <c r="E13" s="883">
        <v>5280</v>
      </c>
      <c r="F13" s="883">
        <v>1926</v>
      </c>
      <c r="G13" s="883">
        <v>3775</v>
      </c>
      <c r="H13" s="883">
        <v>2881</v>
      </c>
      <c r="I13" s="883">
        <v>7181</v>
      </c>
      <c r="J13" s="883">
        <v>4013</v>
      </c>
      <c r="K13" s="883">
        <v>6237</v>
      </c>
      <c r="L13" s="883">
        <v>4839</v>
      </c>
      <c r="M13" s="873">
        <v>9449</v>
      </c>
      <c r="N13" s="879">
        <f t="shared" si="24"/>
        <v>55386</v>
      </c>
      <c r="O13" s="883">
        <v>949</v>
      </c>
      <c r="P13" s="883">
        <v>5862</v>
      </c>
      <c r="Q13" s="883">
        <v>3713</v>
      </c>
      <c r="R13" s="883">
        <v>7134</v>
      </c>
      <c r="S13" s="883">
        <v>2779</v>
      </c>
      <c r="T13" s="883">
        <v>6419</v>
      </c>
      <c r="U13" s="883">
        <v>5917</v>
      </c>
      <c r="V13" s="883">
        <v>8386</v>
      </c>
      <c r="W13" s="883">
        <v>3441</v>
      </c>
      <c r="X13" s="883">
        <v>11178</v>
      </c>
      <c r="Y13" s="883">
        <v>4974</v>
      </c>
      <c r="Z13" s="873">
        <v>9055</v>
      </c>
      <c r="AA13" s="879">
        <f t="shared" si="25"/>
        <v>69807</v>
      </c>
      <c r="AB13" s="883">
        <v>245</v>
      </c>
      <c r="AC13" s="883">
        <v>2610</v>
      </c>
      <c r="AD13" s="883">
        <v>5243</v>
      </c>
      <c r="AE13" s="883">
        <v>8369</v>
      </c>
      <c r="AF13" s="883">
        <v>7916</v>
      </c>
      <c r="AG13" s="883">
        <v>13687</v>
      </c>
      <c r="AH13" s="883">
        <v>5289</v>
      </c>
      <c r="AI13" s="883">
        <v>6865</v>
      </c>
      <c r="AJ13" s="883">
        <v>4319</v>
      </c>
      <c r="AK13" s="883">
        <v>10511</v>
      </c>
      <c r="AL13" s="883">
        <v>11414</v>
      </c>
      <c r="AM13" s="873">
        <v>13963</v>
      </c>
      <c r="AN13" s="879">
        <f t="shared" si="26"/>
        <v>90431</v>
      </c>
      <c r="AO13" s="883">
        <v>12000</v>
      </c>
      <c r="AP13" s="883">
        <v>4937</v>
      </c>
      <c r="AQ13" s="883">
        <v>1309</v>
      </c>
      <c r="AR13" s="883">
        <v>10570</v>
      </c>
      <c r="AS13" s="883">
        <v>15450</v>
      </c>
      <c r="AT13" s="883">
        <v>10742</v>
      </c>
      <c r="AU13" s="883">
        <v>5315</v>
      </c>
      <c r="AV13" s="883">
        <v>11480</v>
      </c>
      <c r="AW13" s="883">
        <v>5997</v>
      </c>
      <c r="AX13" s="883">
        <v>12494</v>
      </c>
      <c r="AY13" s="883">
        <v>6886</v>
      </c>
      <c r="AZ13" s="873">
        <v>9791</v>
      </c>
      <c r="BA13" s="879">
        <f t="shared" si="28"/>
        <v>106971</v>
      </c>
      <c r="BB13" s="883">
        <v>765</v>
      </c>
      <c r="BC13" s="883">
        <v>7206</v>
      </c>
      <c r="BD13" s="883">
        <v>5306</v>
      </c>
      <c r="BE13" s="883">
        <v>13116</v>
      </c>
      <c r="BF13" s="883">
        <v>14450</v>
      </c>
      <c r="BG13" s="883">
        <v>10932</v>
      </c>
      <c r="BH13" s="883">
        <v>8171</v>
      </c>
      <c r="BI13" s="883">
        <v>6986</v>
      </c>
      <c r="BJ13" s="883">
        <v>8503</v>
      </c>
      <c r="BK13" s="883">
        <v>10794</v>
      </c>
      <c r="BL13" s="883">
        <v>15393</v>
      </c>
      <c r="BM13" s="873">
        <v>6850</v>
      </c>
      <c r="BN13" s="879">
        <f t="shared" si="30"/>
        <v>108472</v>
      </c>
      <c r="BO13" s="883">
        <v>1447</v>
      </c>
      <c r="BP13" s="883">
        <v>8193</v>
      </c>
      <c r="BQ13" s="883">
        <v>28687</v>
      </c>
      <c r="BR13" s="883">
        <v>39947</v>
      </c>
      <c r="BS13" s="883">
        <v>37731</v>
      </c>
      <c r="BT13" s="883">
        <v>1955</v>
      </c>
      <c r="BU13" s="883">
        <v>9425</v>
      </c>
      <c r="BV13" s="883">
        <v>45302</v>
      </c>
      <c r="BW13" s="883">
        <v>12214</v>
      </c>
      <c r="BX13" s="883">
        <v>75820</v>
      </c>
      <c r="BY13" s="883">
        <v>41943</v>
      </c>
      <c r="BZ13" s="873">
        <v>37042</v>
      </c>
      <c r="CA13" s="879">
        <f t="shared" si="32"/>
        <v>339706</v>
      </c>
      <c r="CB13" s="883">
        <v>1323</v>
      </c>
      <c r="CC13" s="883">
        <v>8685</v>
      </c>
      <c r="CD13" s="883">
        <v>7629</v>
      </c>
      <c r="CE13" s="883">
        <v>18882</v>
      </c>
      <c r="CF13" s="883">
        <v>5012</v>
      </c>
      <c r="CG13" s="883">
        <v>8871</v>
      </c>
      <c r="CH13" s="883">
        <v>7110</v>
      </c>
      <c r="CI13" s="883">
        <v>8999</v>
      </c>
      <c r="CJ13" s="883">
        <v>29568</v>
      </c>
      <c r="CK13" s="883">
        <v>39824</v>
      </c>
      <c r="CL13" s="883">
        <v>22363</v>
      </c>
      <c r="CM13" s="873">
        <v>40832</v>
      </c>
      <c r="CN13" s="879">
        <f t="shared" si="34"/>
        <v>199098</v>
      </c>
      <c r="CO13" s="883">
        <v>6206</v>
      </c>
      <c r="CP13" s="883">
        <v>9628</v>
      </c>
      <c r="CQ13" s="883">
        <v>5914</v>
      </c>
      <c r="CR13" s="883">
        <v>20006</v>
      </c>
      <c r="CS13" s="883">
        <v>5818</v>
      </c>
      <c r="CT13" s="883">
        <v>18183</v>
      </c>
      <c r="CU13" s="883">
        <v>9104</v>
      </c>
      <c r="CV13" s="883">
        <v>15750</v>
      </c>
      <c r="CW13" s="883">
        <v>4755</v>
      </c>
      <c r="CX13" s="883">
        <v>31843</v>
      </c>
      <c r="CY13" s="883">
        <v>12138</v>
      </c>
      <c r="CZ13" s="873">
        <v>17480</v>
      </c>
      <c r="DA13" s="879">
        <f t="shared" si="36"/>
        <v>156825</v>
      </c>
      <c r="DB13" s="883">
        <v>9310</v>
      </c>
      <c r="DC13" s="883">
        <v>10517</v>
      </c>
      <c r="DD13" s="883">
        <v>11393</v>
      </c>
      <c r="DE13" s="883">
        <v>16821</v>
      </c>
      <c r="DF13" s="883">
        <v>7222</v>
      </c>
      <c r="DG13" s="883">
        <v>16553</v>
      </c>
      <c r="DH13" s="883">
        <v>6592</v>
      </c>
      <c r="DI13" s="883">
        <v>10997</v>
      </c>
      <c r="DJ13" s="883">
        <v>7823</v>
      </c>
      <c r="DK13" s="883">
        <v>19196</v>
      </c>
      <c r="DL13" s="883">
        <v>3847</v>
      </c>
      <c r="DM13" s="873">
        <v>16545</v>
      </c>
      <c r="DN13" s="879">
        <f t="shared" si="38"/>
        <v>136816</v>
      </c>
      <c r="DO13" s="883">
        <v>2947</v>
      </c>
      <c r="DP13" s="883">
        <v>11196</v>
      </c>
      <c r="DQ13" s="883">
        <v>4887</v>
      </c>
      <c r="DR13" s="883">
        <v>13478</v>
      </c>
      <c r="DS13" s="883">
        <v>13400</v>
      </c>
      <c r="DT13" s="883">
        <v>17169</v>
      </c>
      <c r="DU13" s="883">
        <v>12995</v>
      </c>
      <c r="DV13" s="883">
        <v>19346</v>
      </c>
      <c r="DW13" s="883">
        <v>13996</v>
      </c>
      <c r="DX13" s="883">
        <v>15628</v>
      </c>
      <c r="DY13" s="883">
        <v>8647</v>
      </c>
      <c r="DZ13" s="873">
        <v>19700</v>
      </c>
      <c r="EA13" s="879">
        <f t="shared" si="40"/>
        <v>153389</v>
      </c>
      <c r="EB13" s="883">
        <v>7639</v>
      </c>
      <c r="EC13" s="883">
        <v>8761</v>
      </c>
      <c r="ED13" s="883">
        <v>10072</v>
      </c>
      <c r="EE13" s="883">
        <v>12941</v>
      </c>
      <c r="EF13" s="883">
        <v>17771</v>
      </c>
      <c r="EG13" s="883">
        <v>16061</v>
      </c>
      <c r="EH13" s="883">
        <v>18651</v>
      </c>
      <c r="EI13" s="883">
        <v>14173</v>
      </c>
      <c r="EJ13" s="883">
        <v>15984</v>
      </c>
      <c r="EK13" s="883">
        <v>17426</v>
      </c>
      <c r="EL13" s="883">
        <v>12415</v>
      </c>
      <c r="EM13" s="873">
        <v>16676</v>
      </c>
      <c r="EN13" s="879">
        <f t="shared" si="52"/>
        <v>168570</v>
      </c>
      <c r="EO13" s="883">
        <v>10359</v>
      </c>
      <c r="EP13" s="883">
        <v>10485</v>
      </c>
      <c r="EQ13" s="883">
        <v>13112</v>
      </c>
      <c r="ER13" s="883">
        <v>8742</v>
      </c>
      <c r="ES13" s="883">
        <v>17188</v>
      </c>
      <c r="ET13" s="883">
        <v>21779</v>
      </c>
      <c r="EU13" s="883">
        <v>21010</v>
      </c>
      <c r="EV13" s="973">
        <v>12404</v>
      </c>
      <c r="EW13" s="883"/>
      <c r="EX13" s="883"/>
      <c r="EY13" s="883"/>
      <c r="EZ13" s="873"/>
      <c r="FA13" s="879">
        <f t="shared" si="53"/>
        <v>115079</v>
      </c>
      <c r="FC13" s="843">
        <f t="shared" si="49"/>
        <v>-12.481478868270656</v>
      </c>
      <c r="FD13" s="844">
        <f t="shared" si="50"/>
        <v>8.4944705804711909</v>
      </c>
      <c r="FE13" s="845">
        <f t="shared" si="54"/>
        <v>106069</v>
      </c>
      <c r="FF13" s="846">
        <f>SUMIFS($B13:$FA13,UCA.GGN.DATE,"&gt;="&amp;DATE(YEAR($FC$5),1,1),UCA.GGN.DATE,"&lt;="&amp;$FC$5)</f>
        <v>115079</v>
      </c>
      <c r="FH13" s="127">
        <f t="shared" si="51"/>
        <v>-1769</v>
      </c>
    </row>
    <row r="14" spans="1:164" s="110" customFormat="1" ht="15" customHeight="1" x14ac:dyDescent="0.25">
      <c r="A14" s="401" t="s">
        <v>375</v>
      </c>
      <c r="B14" s="885">
        <f t="shared" ref="B14:AM14" si="55">SUM(B15:B18)</f>
        <v>7110</v>
      </c>
      <c r="C14" s="885">
        <f t="shared" si="55"/>
        <v>16532</v>
      </c>
      <c r="D14" s="885">
        <f t="shared" si="55"/>
        <v>6379</v>
      </c>
      <c r="E14" s="885">
        <f t="shared" si="55"/>
        <v>8858</v>
      </c>
      <c r="F14" s="885">
        <f t="shared" si="55"/>
        <v>5709</v>
      </c>
      <c r="G14" s="885">
        <f t="shared" si="55"/>
        <v>21720</v>
      </c>
      <c r="H14" s="885">
        <f t="shared" si="55"/>
        <v>12223</v>
      </c>
      <c r="I14" s="885">
        <f t="shared" si="55"/>
        <v>10776</v>
      </c>
      <c r="J14" s="885">
        <f t="shared" si="55"/>
        <v>33348</v>
      </c>
      <c r="K14" s="885">
        <f t="shared" si="55"/>
        <v>25801</v>
      </c>
      <c r="L14" s="885">
        <f t="shared" si="55"/>
        <v>25370</v>
      </c>
      <c r="M14" s="877">
        <f t="shared" si="55"/>
        <v>114967</v>
      </c>
      <c r="N14" s="878">
        <f t="shared" si="24"/>
        <v>288793</v>
      </c>
      <c r="O14" s="885">
        <f t="shared" si="55"/>
        <v>2382</v>
      </c>
      <c r="P14" s="885">
        <f t="shared" si="55"/>
        <v>20299</v>
      </c>
      <c r="Q14" s="885">
        <f t="shared" si="55"/>
        <v>21451</v>
      </c>
      <c r="R14" s="885">
        <f t="shared" si="55"/>
        <v>33511</v>
      </c>
      <c r="S14" s="885">
        <f t="shared" si="55"/>
        <v>21513</v>
      </c>
      <c r="T14" s="885">
        <f t="shared" si="55"/>
        <v>28651</v>
      </c>
      <c r="U14" s="885">
        <f t="shared" si="55"/>
        <v>31477</v>
      </c>
      <c r="V14" s="885">
        <f t="shared" si="55"/>
        <v>63046</v>
      </c>
      <c r="W14" s="885">
        <f t="shared" si="55"/>
        <v>37080</v>
      </c>
      <c r="X14" s="885">
        <f t="shared" si="55"/>
        <v>29698</v>
      </c>
      <c r="Y14" s="885">
        <f t="shared" si="55"/>
        <v>50162</v>
      </c>
      <c r="Z14" s="877">
        <f t="shared" si="55"/>
        <v>60358</v>
      </c>
      <c r="AA14" s="878">
        <f t="shared" si="25"/>
        <v>399628</v>
      </c>
      <c r="AB14" s="885">
        <f t="shared" si="55"/>
        <v>13012</v>
      </c>
      <c r="AC14" s="885">
        <f t="shared" si="55"/>
        <v>48426</v>
      </c>
      <c r="AD14" s="885">
        <f t="shared" si="55"/>
        <v>15243</v>
      </c>
      <c r="AE14" s="885">
        <f t="shared" si="55"/>
        <v>16187</v>
      </c>
      <c r="AF14" s="885">
        <f t="shared" si="55"/>
        <v>22343</v>
      </c>
      <c r="AG14" s="885">
        <f t="shared" si="55"/>
        <v>32641</v>
      </c>
      <c r="AH14" s="885">
        <f t="shared" si="55"/>
        <v>44244</v>
      </c>
      <c r="AI14" s="885">
        <f t="shared" si="55"/>
        <v>33619</v>
      </c>
      <c r="AJ14" s="885">
        <f t="shared" si="55"/>
        <v>32150</v>
      </c>
      <c r="AK14" s="885">
        <f t="shared" si="55"/>
        <v>30695</v>
      </c>
      <c r="AL14" s="885">
        <f t="shared" si="55"/>
        <v>25605</v>
      </c>
      <c r="AM14" s="877">
        <f t="shared" si="55"/>
        <v>23551</v>
      </c>
      <c r="AN14" s="878">
        <f t="shared" si="26"/>
        <v>337716</v>
      </c>
      <c r="AO14" s="885">
        <f t="shared" ref="AO14:AZ14" si="56">SUM(AO15:AO18)</f>
        <v>8310</v>
      </c>
      <c r="AP14" s="885">
        <f t="shared" si="56"/>
        <v>5500</v>
      </c>
      <c r="AQ14" s="885">
        <f t="shared" si="56"/>
        <v>4852</v>
      </c>
      <c r="AR14" s="885">
        <f t="shared" si="56"/>
        <v>7522</v>
      </c>
      <c r="AS14" s="885">
        <f t="shared" si="56"/>
        <v>5069</v>
      </c>
      <c r="AT14" s="885">
        <f t="shared" si="56"/>
        <v>6607</v>
      </c>
      <c r="AU14" s="885">
        <f t="shared" si="56"/>
        <v>7035</v>
      </c>
      <c r="AV14" s="885">
        <f t="shared" si="56"/>
        <v>11102</v>
      </c>
      <c r="AW14" s="885">
        <f t="shared" si="56"/>
        <v>8792</v>
      </c>
      <c r="AX14" s="885">
        <f t="shared" si="56"/>
        <v>5710</v>
      </c>
      <c r="AY14" s="885">
        <f t="shared" si="56"/>
        <v>6129</v>
      </c>
      <c r="AZ14" s="877">
        <f t="shared" si="56"/>
        <v>48299</v>
      </c>
      <c r="BA14" s="878">
        <f t="shared" si="28"/>
        <v>124927</v>
      </c>
      <c r="BB14" s="885">
        <f>SUM(BB15:BB18)</f>
        <v>678</v>
      </c>
      <c r="BC14" s="885">
        <f t="shared" ref="BC14:BK14" si="57">SUM(BC15:BC18)</f>
        <v>1200</v>
      </c>
      <c r="BD14" s="885">
        <f t="shared" si="57"/>
        <v>1999</v>
      </c>
      <c r="BE14" s="885">
        <f t="shared" si="57"/>
        <v>7328</v>
      </c>
      <c r="BF14" s="885">
        <f t="shared" si="57"/>
        <v>6116</v>
      </c>
      <c r="BG14" s="885">
        <f t="shared" si="57"/>
        <v>8742</v>
      </c>
      <c r="BH14" s="885">
        <f t="shared" si="57"/>
        <v>6161</v>
      </c>
      <c r="BI14" s="885">
        <f t="shared" si="57"/>
        <v>4687</v>
      </c>
      <c r="BJ14" s="885">
        <f t="shared" si="57"/>
        <v>8766</v>
      </c>
      <c r="BK14" s="885">
        <f t="shared" si="57"/>
        <v>10580</v>
      </c>
      <c r="BL14" s="885">
        <f>SUM(BL15:BL18)</f>
        <v>29487</v>
      </c>
      <c r="BM14" s="877">
        <f>SUM(BM15:BM18)</f>
        <v>43137</v>
      </c>
      <c r="BN14" s="878">
        <f t="shared" si="30"/>
        <v>128881</v>
      </c>
      <c r="BO14" s="885">
        <f t="shared" ref="BO14:BZ14" si="58">SUM(BO15:BO18)</f>
        <v>8430</v>
      </c>
      <c r="BP14" s="885">
        <f t="shared" si="58"/>
        <v>3630</v>
      </c>
      <c r="BQ14" s="885">
        <f t="shared" si="58"/>
        <v>2410</v>
      </c>
      <c r="BR14" s="885">
        <f t="shared" si="58"/>
        <v>1010</v>
      </c>
      <c r="BS14" s="885">
        <f t="shared" si="58"/>
        <v>3945</v>
      </c>
      <c r="BT14" s="885">
        <f t="shared" si="58"/>
        <v>768</v>
      </c>
      <c r="BU14" s="885">
        <f t="shared" si="58"/>
        <v>3963</v>
      </c>
      <c r="BV14" s="885">
        <f t="shared" si="58"/>
        <v>20841</v>
      </c>
      <c r="BW14" s="885">
        <f t="shared" si="58"/>
        <v>8544</v>
      </c>
      <c r="BX14" s="885">
        <f t="shared" si="58"/>
        <v>14921</v>
      </c>
      <c r="BY14" s="885">
        <f t="shared" si="58"/>
        <v>13038</v>
      </c>
      <c r="BZ14" s="877">
        <f t="shared" si="58"/>
        <v>28379</v>
      </c>
      <c r="CA14" s="878">
        <f t="shared" si="32"/>
        <v>109879</v>
      </c>
      <c r="CB14" s="885">
        <f>SUM(CB15:CB18)</f>
        <v>1171</v>
      </c>
      <c r="CC14" s="885">
        <f>SUM(CC15:CC18)</f>
        <v>4435</v>
      </c>
      <c r="CD14" s="885">
        <f>SUM(CD15:CD18)</f>
        <v>9876</v>
      </c>
      <c r="CE14" s="885">
        <f t="shared" ref="CE14:CM14" si="59">SUM(CE15:CE18)</f>
        <v>7110</v>
      </c>
      <c r="CF14" s="885">
        <f t="shared" si="59"/>
        <v>10614</v>
      </c>
      <c r="CG14" s="885">
        <f t="shared" si="59"/>
        <v>20731</v>
      </c>
      <c r="CH14" s="885">
        <f t="shared" si="59"/>
        <v>9387</v>
      </c>
      <c r="CI14" s="885">
        <f t="shared" si="59"/>
        <v>8064</v>
      </c>
      <c r="CJ14" s="885">
        <f t="shared" si="59"/>
        <v>9853</v>
      </c>
      <c r="CK14" s="885">
        <f t="shared" si="59"/>
        <v>6501</v>
      </c>
      <c r="CL14" s="885">
        <f t="shared" si="59"/>
        <v>8547</v>
      </c>
      <c r="CM14" s="877">
        <f t="shared" si="59"/>
        <v>17320</v>
      </c>
      <c r="CN14" s="878">
        <f t="shared" si="34"/>
        <v>113609</v>
      </c>
      <c r="CO14" s="885">
        <f t="shared" ref="CO14:CZ14" si="60">SUM(CO15:CO18)</f>
        <v>876</v>
      </c>
      <c r="CP14" s="885">
        <f t="shared" si="60"/>
        <v>2017</v>
      </c>
      <c r="CQ14" s="885">
        <f t="shared" si="60"/>
        <v>4236</v>
      </c>
      <c r="CR14" s="885">
        <f t="shared" si="60"/>
        <v>3247</v>
      </c>
      <c r="CS14" s="885">
        <f t="shared" si="60"/>
        <v>19317</v>
      </c>
      <c r="CT14" s="885">
        <f t="shared" si="60"/>
        <v>2924</v>
      </c>
      <c r="CU14" s="885">
        <f t="shared" si="60"/>
        <v>6601</v>
      </c>
      <c r="CV14" s="885">
        <f t="shared" si="60"/>
        <v>8019</v>
      </c>
      <c r="CW14" s="885">
        <f t="shared" si="60"/>
        <v>4745</v>
      </c>
      <c r="CX14" s="885">
        <f t="shared" si="60"/>
        <v>4375</v>
      </c>
      <c r="CY14" s="885">
        <f t="shared" si="60"/>
        <v>7997</v>
      </c>
      <c r="CZ14" s="877">
        <f t="shared" si="60"/>
        <v>33966</v>
      </c>
      <c r="DA14" s="878">
        <f t="shared" si="36"/>
        <v>98320</v>
      </c>
      <c r="DB14" s="885">
        <f t="shared" ref="DB14:DL14" si="61">SUM(DB15:DB18)</f>
        <v>1923</v>
      </c>
      <c r="DC14" s="885">
        <f t="shared" si="61"/>
        <v>2000</v>
      </c>
      <c r="DD14" s="885">
        <f t="shared" si="61"/>
        <v>4625</v>
      </c>
      <c r="DE14" s="885">
        <f t="shared" si="61"/>
        <v>4330</v>
      </c>
      <c r="DF14" s="885">
        <f t="shared" si="61"/>
        <v>7968</v>
      </c>
      <c r="DG14" s="885">
        <f t="shared" si="61"/>
        <v>3591</v>
      </c>
      <c r="DH14" s="885">
        <f t="shared" si="61"/>
        <v>3917</v>
      </c>
      <c r="DI14" s="885">
        <f t="shared" si="61"/>
        <v>8772</v>
      </c>
      <c r="DJ14" s="885">
        <f t="shared" si="61"/>
        <v>4476</v>
      </c>
      <c r="DK14" s="885">
        <f t="shared" si="61"/>
        <v>7351</v>
      </c>
      <c r="DL14" s="885">
        <f t="shared" si="61"/>
        <v>12539</v>
      </c>
      <c r="DM14" s="877">
        <f>SUM(DM15:DM18)</f>
        <v>24459</v>
      </c>
      <c r="DN14" s="878">
        <f t="shared" si="38"/>
        <v>85951</v>
      </c>
      <c r="DO14" s="885">
        <f t="shared" ref="DO14:DZ14" si="62">SUM(DO15:DO18)</f>
        <v>3885</v>
      </c>
      <c r="DP14" s="885">
        <f t="shared" si="62"/>
        <v>5296</v>
      </c>
      <c r="DQ14" s="885">
        <f t="shared" si="62"/>
        <v>5066</v>
      </c>
      <c r="DR14" s="885">
        <f t="shared" si="62"/>
        <v>5668</v>
      </c>
      <c r="DS14" s="885">
        <f t="shared" si="62"/>
        <v>3069</v>
      </c>
      <c r="DT14" s="885">
        <f t="shared" si="62"/>
        <v>15118</v>
      </c>
      <c r="DU14" s="885">
        <f t="shared" si="62"/>
        <v>8518</v>
      </c>
      <c r="DV14" s="885">
        <f t="shared" si="62"/>
        <v>12199</v>
      </c>
      <c r="DW14" s="885">
        <f t="shared" si="62"/>
        <v>10295</v>
      </c>
      <c r="DX14" s="885">
        <f t="shared" si="62"/>
        <v>35432</v>
      </c>
      <c r="DY14" s="885">
        <f t="shared" si="62"/>
        <v>28401</v>
      </c>
      <c r="DZ14" s="877">
        <f t="shared" si="62"/>
        <v>34982</v>
      </c>
      <c r="EA14" s="878">
        <f t="shared" si="40"/>
        <v>167929</v>
      </c>
      <c r="EB14" s="885">
        <f t="shared" ref="EB14:EE14" si="63">SUM(EB15:EB18)</f>
        <v>1380</v>
      </c>
      <c r="EC14" s="885">
        <f t="shared" si="63"/>
        <v>8633</v>
      </c>
      <c r="ED14" s="885">
        <f t="shared" si="63"/>
        <v>9541</v>
      </c>
      <c r="EE14" s="885">
        <f t="shared" si="63"/>
        <v>13425</v>
      </c>
      <c r="EF14" s="885">
        <f>SUM(EF15:EF18)</f>
        <v>13557</v>
      </c>
      <c r="EG14" s="885">
        <f t="shared" ref="EG14:EM14" si="64">SUM(EG15:EG18)</f>
        <v>15973</v>
      </c>
      <c r="EH14" s="885">
        <f t="shared" si="64"/>
        <v>6730</v>
      </c>
      <c r="EI14" s="885">
        <f t="shared" si="64"/>
        <v>5242</v>
      </c>
      <c r="EJ14" s="885">
        <f t="shared" si="64"/>
        <v>35884</v>
      </c>
      <c r="EK14" s="885">
        <f t="shared" si="64"/>
        <v>18225</v>
      </c>
      <c r="EL14" s="885">
        <f t="shared" si="64"/>
        <v>14092</v>
      </c>
      <c r="EM14" s="877">
        <f t="shared" si="64"/>
        <v>64291</v>
      </c>
      <c r="EN14" s="878">
        <f t="shared" si="52"/>
        <v>206973</v>
      </c>
      <c r="EO14" s="885">
        <f t="shared" ref="EO14:ER14" si="65">SUM(EO15:EO18)</f>
        <v>13169</v>
      </c>
      <c r="EP14" s="885">
        <f t="shared" si="65"/>
        <v>7553</v>
      </c>
      <c r="EQ14" s="885">
        <f t="shared" si="65"/>
        <v>8765</v>
      </c>
      <c r="ER14" s="885">
        <f t="shared" si="65"/>
        <v>16034</v>
      </c>
      <c r="ES14" s="885">
        <f t="shared" ref="ES14" si="66">SUM(ES15:ES18)</f>
        <v>8813</v>
      </c>
      <c r="ET14" s="885">
        <f t="shared" ref="ET14" si="67">SUM(ET15:ET18)</f>
        <v>14243</v>
      </c>
      <c r="EU14" s="885">
        <f t="shared" ref="EU14" si="68">SUM(EU15:EU18)</f>
        <v>6202</v>
      </c>
      <c r="EV14" s="972">
        <f t="shared" ref="EV14" si="69">SUM(EV15:EV18)</f>
        <v>7357</v>
      </c>
      <c r="EW14" s="885">
        <f t="shared" ref="EW14:EY14" si="70">SUM(EW15:EW18)</f>
        <v>0</v>
      </c>
      <c r="EX14" s="885">
        <f t="shared" si="70"/>
        <v>0</v>
      </c>
      <c r="EY14" s="885">
        <f t="shared" si="70"/>
        <v>0</v>
      </c>
      <c r="EZ14" s="877"/>
      <c r="FA14" s="878">
        <f t="shared" si="53"/>
        <v>82136</v>
      </c>
      <c r="FC14" s="851">
        <f t="shared" si="49"/>
        <v>40.347195726821816</v>
      </c>
      <c r="FD14" s="852">
        <f t="shared" si="50"/>
        <v>10.277788966313551</v>
      </c>
      <c r="FE14" s="853">
        <f t="shared" si="54"/>
        <v>74481</v>
      </c>
      <c r="FF14" s="854">
        <f t="shared" si="22"/>
        <v>82136</v>
      </c>
      <c r="FH14" s="236">
        <f t="shared" si="51"/>
        <v>2115</v>
      </c>
    </row>
    <row r="15" spans="1:164" ht="15" customHeight="1" x14ac:dyDescent="0.25">
      <c r="A15" s="403" t="s">
        <v>376</v>
      </c>
      <c r="B15" s="883"/>
      <c r="C15" s="883">
        <v>9187</v>
      </c>
      <c r="D15" s="883"/>
      <c r="E15" s="883"/>
      <c r="F15" s="883">
        <v>1698</v>
      </c>
      <c r="G15" s="883"/>
      <c r="H15" s="883">
        <v>206</v>
      </c>
      <c r="I15" s="883">
        <v>295</v>
      </c>
      <c r="J15" s="883">
        <v>1264</v>
      </c>
      <c r="K15" s="883">
        <v>494</v>
      </c>
      <c r="L15" s="883">
        <v>-922</v>
      </c>
      <c r="M15" s="873">
        <v>15641</v>
      </c>
      <c r="N15" s="879">
        <f t="shared" si="24"/>
        <v>27863</v>
      </c>
      <c r="O15" s="883"/>
      <c r="P15" s="883">
        <v>168</v>
      </c>
      <c r="Q15" s="883">
        <v>464</v>
      </c>
      <c r="R15" s="883">
        <v>3309</v>
      </c>
      <c r="S15" s="883">
        <v>5</v>
      </c>
      <c r="T15" s="883">
        <v>1966</v>
      </c>
      <c r="U15" s="883"/>
      <c r="V15" s="883">
        <v>964</v>
      </c>
      <c r="W15" s="883"/>
      <c r="X15" s="883">
        <v>1967</v>
      </c>
      <c r="Y15" s="883">
        <v>2041</v>
      </c>
      <c r="Z15" s="873">
        <v>2622</v>
      </c>
      <c r="AA15" s="879">
        <f t="shared" si="25"/>
        <v>13506</v>
      </c>
      <c r="AB15" s="883"/>
      <c r="AC15" s="883">
        <v>1439</v>
      </c>
      <c r="AD15" s="883">
        <v>1405</v>
      </c>
      <c r="AE15" s="883"/>
      <c r="AF15" s="883">
        <v>650</v>
      </c>
      <c r="AG15" s="883"/>
      <c r="AH15" s="883"/>
      <c r="AI15" s="883">
        <v>588</v>
      </c>
      <c r="AJ15" s="883"/>
      <c r="AK15" s="883"/>
      <c r="AL15" s="883">
        <v>616</v>
      </c>
      <c r="AM15" s="873">
        <v>2525</v>
      </c>
      <c r="AN15" s="879">
        <f t="shared" si="26"/>
        <v>7223</v>
      </c>
      <c r="AO15" s="883"/>
      <c r="AP15" s="883"/>
      <c r="AQ15" s="883"/>
      <c r="AR15" s="883">
        <v>1802</v>
      </c>
      <c r="AS15" s="883"/>
      <c r="AT15" s="883">
        <v>492</v>
      </c>
      <c r="AU15" s="883"/>
      <c r="AV15" s="883"/>
      <c r="AW15" s="883"/>
      <c r="AX15" s="883"/>
      <c r="AY15" s="883">
        <v>1033</v>
      </c>
      <c r="AZ15" s="873">
        <v>29370</v>
      </c>
      <c r="BA15" s="879">
        <f t="shared" si="28"/>
        <v>32697</v>
      </c>
      <c r="BB15" s="883"/>
      <c r="BC15" s="883"/>
      <c r="BD15" s="883"/>
      <c r="BE15" s="883">
        <v>77</v>
      </c>
      <c r="BF15" s="883"/>
      <c r="BG15" s="883">
        <v>1985</v>
      </c>
      <c r="BH15" s="883"/>
      <c r="BI15" s="883">
        <v>40</v>
      </c>
      <c r="BJ15" s="883"/>
      <c r="BK15" s="883">
        <v>938</v>
      </c>
      <c r="BL15" s="883"/>
      <c r="BM15" s="873"/>
      <c r="BN15" s="879">
        <f t="shared" si="30"/>
        <v>3040</v>
      </c>
      <c r="BO15" s="883">
        <v>5280</v>
      </c>
      <c r="BP15" s="883"/>
      <c r="BQ15" s="883"/>
      <c r="BR15" s="883"/>
      <c r="BS15" s="883">
        <v>2658</v>
      </c>
      <c r="BT15" s="883"/>
      <c r="BU15" s="883">
        <v>1645</v>
      </c>
      <c r="BV15" s="883"/>
      <c r="BW15" s="883"/>
      <c r="BX15" s="883"/>
      <c r="BY15" s="883"/>
      <c r="BZ15" s="873">
        <v>9186</v>
      </c>
      <c r="CA15" s="879">
        <f t="shared" si="32"/>
        <v>18769</v>
      </c>
      <c r="CB15" s="883"/>
      <c r="CC15" s="883"/>
      <c r="CD15" s="883"/>
      <c r="CE15" s="883"/>
      <c r="CF15" s="883"/>
      <c r="CG15" s="883">
        <v>10365</v>
      </c>
      <c r="CH15" s="883">
        <v>242</v>
      </c>
      <c r="CI15" s="883"/>
      <c r="CJ15" s="883"/>
      <c r="CK15" s="883"/>
      <c r="CL15" s="883"/>
      <c r="CM15" s="873"/>
      <c r="CN15" s="879">
        <f t="shared" si="34"/>
        <v>10607</v>
      </c>
      <c r="CO15" s="883"/>
      <c r="CP15" s="883"/>
      <c r="CQ15" s="883"/>
      <c r="CR15" s="883"/>
      <c r="CS15" s="883">
        <v>16873</v>
      </c>
      <c r="CT15" s="883"/>
      <c r="CU15" s="883">
        <v>1187</v>
      </c>
      <c r="CV15" s="883">
        <v>2557</v>
      </c>
      <c r="CW15" s="883"/>
      <c r="CX15" s="883">
        <v>1000</v>
      </c>
      <c r="CY15" s="883">
        <v>2387</v>
      </c>
      <c r="CZ15" s="873">
        <v>17671</v>
      </c>
      <c r="DA15" s="879">
        <f t="shared" si="36"/>
        <v>41675</v>
      </c>
      <c r="DB15" s="883"/>
      <c r="DC15" s="883"/>
      <c r="DD15" s="883">
        <v>235</v>
      </c>
      <c r="DE15" s="883">
        <v>193</v>
      </c>
      <c r="DF15" s="883">
        <v>145</v>
      </c>
      <c r="DG15" s="883">
        <v>213</v>
      </c>
      <c r="DH15" s="883"/>
      <c r="DI15" s="883"/>
      <c r="DJ15" s="883"/>
      <c r="DK15" s="883">
        <v>106</v>
      </c>
      <c r="DL15" s="883">
        <v>3291</v>
      </c>
      <c r="DM15" s="873">
        <v>22</v>
      </c>
      <c r="DN15" s="879">
        <f t="shared" si="38"/>
        <v>4205</v>
      </c>
      <c r="DO15" s="883">
        <v>92</v>
      </c>
      <c r="DP15" s="883"/>
      <c r="DQ15" s="883"/>
      <c r="DR15" s="883"/>
      <c r="DS15" s="883">
        <v>28</v>
      </c>
      <c r="DT15" s="883"/>
      <c r="DU15" s="883"/>
      <c r="DV15" s="883"/>
      <c r="DW15" s="883"/>
      <c r="DX15" s="883"/>
      <c r="DY15" s="883">
        <v>426</v>
      </c>
      <c r="DZ15" s="873">
        <v>5242</v>
      </c>
      <c r="EA15" s="879">
        <f t="shared" si="40"/>
        <v>5788</v>
      </c>
      <c r="EB15" s="883">
        <v>0</v>
      </c>
      <c r="EC15" s="883">
        <v>108</v>
      </c>
      <c r="ED15" s="883">
        <v>0</v>
      </c>
      <c r="EE15" s="883">
        <v>0</v>
      </c>
      <c r="EF15" s="883">
        <v>1146</v>
      </c>
      <c r="EG15" s="883">
        <v>0</v>
      </c>
      <c r="EH15" s="883">
        <v>0</v>
      </c>
      <c r="EI15" s="883">
        <v>0</v>
      </c>
      <c r="EJ15" s="883">
        <v>0</v>
      </c>
      <c r="EK15" s="883">
        <v>4026</v>
      </c>
      <c r="EL15" s="883">
        <v>4530</v>
      </c>
      <c r="EM15" s="873">
        <v>8528</v>
      </c>
      <c r="EN15" s="879">
        <f t="shared" si="52"/>
        <v>18338</v>
      </c>
      <c r="EO15" s="883">
        <v>0</v>
      </c>
      <c r="EP15" s="883">
        <v>0</v>
      </c>
      <c r="EQ15" s="883">
        <v>0</v>
      </c>
      <c r="ER15" s="883">
        <v>7205</v>
      </c>
      <c r="ES15" s="883">
        <v>0</v>
      </c>
      <c r="ET15" s="883">
        <v>0</v>
      </c>
      <c r="EU15" s="883">
        <v>0</v>
      </c>
      <c r="EV15" s="973">
        <v>3362</v>
      </c>
      <c r="EW15" s="883"/>
      <c r="EX15" s="883"/>
      <c r="EY15" s="883"/>
      <c r="EZ15" s="873"/>
      <c r="FA15" s="879">
        <f t="shared" si="53"/>
        <v>10567</v>
      </c>
      <c r="FC15" s="843" t="str">
        <f t="shared" si="49"/>
        <v/>
      </c>
      <c r="FD15" s="844">
        <f t="shared" si="50"/>
        <v>742.66347687400321</v>
      </c>
      <c r="FE15" s="845">
        <f t="shared" si="54"/>
        <v>1254</v>
      </c>
      <c r="FF15" s="846">
        <f t="shared" si="22"/>
        <v>10567</v>
      </c>
      <c r="FH15" s="127">
        <f t="shared" si="51"/>
        <v>3362</v>
      </c>
    </row>
    <row r="16" spans="1:164" ht="15" customHeight="1" x14ac:dyDescent="0.25">
      <c r="A16" s="404" t="s">
        <v>377</v>
      </c>
      <c r="B16" s="883"/>
      <c r="C16" s="883"/>
      <c r="D16" s="883"/>
      <c r="E16" s="883">
        <v>1228</v>
      </c>
      <c r="F16" s="883">
        <v>34</v>
      </c>
      <c r="G16" s="883"/>
      <c r="H16" s="883">
        <v>3631</v>
      </c>
      <c r="I16" s="883">
        <v>52</v>
      </c>
      <c r="J16" s="883">
        <v>60</v>
      </c>
      <c r="K16" s="883">
        <v>102</v>
      </c>
      <c r="L16" s="883">
        <v>27</v>
      </c>
      <c r="M16" s="873"/>
      <c r="N16" s="879">
        <f t="shared" si="24"/>
        <v>5134</v>
      </c>
      <c r="O16" s="883"/>
      <c r="P16" s="883"/>
      <c r="Q16" s="883"/>
      <c r="R16" s="883"/>
      <c r="S16" s="883">
        <v>4999</v>
      </c>
      <c r="T16" s="883"/>
      <c r="U16" s="883">
        <v>2712</v>
      </c>
      <c r="V16" s="883"/>
      <c r="W16" s="883"/>
      <c r="X16" s="883">
        <v>70</v>
      </c>
      <c r="Y16" s="883"/>
      <c r="Z16" s="873">
        <v>106</v>
      </c>
      <c r="AA16" s="879">
        <f t="shared" si="25"/>
        <v>7887</v>
      </c>
      <c r="AB16" s="883"/>
      <c r="AC16" s="883"/>
      <c r="AD16" s="883"/>
      <c r="AE16" s="883"/>
      <c r="AF16" s="883"/>
      <c r="AG16" s="883"/>
      <c r="AH16" s="883">
        <v>1</v>
      </c>
      <c r="AI16" s="883"/>
      <c r="AJ16" s="883"/>
      <c r="AK16" s="883"/>
      <c r="AL16" s="883">
        <v>93</v>
      </c>
      <c r="AM16" s="873">
        <v>1178</v>
      </c>
      <c r="AN16" s="879">
        <f t="shared" si="26"/>
        <v>1272</v>
      </c>
      <c r="AO16" s="883"/>
      <c r="AP16" s="883"/>
      <c r="AQ16" s="883"/>
      <c r="AR16" s="883"/>
      <c r="AS16" s="883"/>
      <c r="AT16" s="883">
        <v>1503</v>
      </c>
      <c r="AU16" s="883"/>
      <c r="AV16" s="883"/>
      <c r="AW16" s="883">
        <v>55</v>
      </c>
      <c r="AX16" s="883">
        <v>319</v>
      </c>
      <c r="AY16" s="883"/>
      <c r="AZ16" s="873"/>
      <c r="BA16" s="879">
        <f t="shared" si="28"/>
        <v>1877</v>
      </c>
      <c r="BB16" s="883"/>
      <c r="BC16" s="883"/>
      <c r="BD16" s="883"/>
      <c r="BE16" s="883">
        <v>2373</v>
      </c>
      <c r="BF16" s="883">
        <v>3390</v>
      </c>
      <c r="BG16" s="883">
        <v>994</v>
      </c>
      <c r="BH16" s="883">
        <v>953</v>
      </c>
      <c r="BI16" s="883"/>
      <c r="BJ16" s="883"/>
      <c r="BK16" s="883"/>
      <c r="BL16" s="883"/>
      <c r="BM16" s="873">
        <v>119</v>
      </c>
      <c r="BN16" s="879">
        <f t="shared" si="30"/>
        <v>7829</v>
      </c>
      <c r="BO16" s="883"/>
      <c r="BP16" s="883"/>
      <c r="BQ16" s="883"/>
      <c r="BR16" s="883"/>
      <c r="BS16" s="883"/>
      <c r="BT16" s="883"/>
      <c r="BU16" s="883">
        <v>543</v>
      </c>
      <c r="BV16" s="883"/>
      <c r="BW16" s="883"/>
      <c r="BX16" s="883">
        <v>637</v>
      </c>
      <c r="BY16" s="883"/>
      <c r="BZ16" s="873">
        <v>504</v>
      </c>
      <c r="CA16" s="879">
        <f t="shared" si="32"/>
        <v>1684</v>
      </c>
      <c r="CB16" s="883"/>
      <c r="CC16" s="883"/>
      <c r="CD16" s="883">
        <v>542</v>
      </c>
      <c r="CE16" s="883"/>
      <c r="CF16" s="883"/>
      <c r="CG16" s="883"/>
      <c r="CH16" s="883"/>
      <c r="CI16" s="883"/>
      <c r="CJ16" s="883"/>
      <c r="CK16" s="883"/>
      <c r="CL16" s="883"/>
      <c r="CM16" s="873"/>
      <c r="CN16" s="879">
        <f t="shared" si="34"/>
        <v>542</v>
      </c>
      <c r="CO16" s="883"/>
      <c r="CP16" s="883"/>
      <c r="CQ16" s="883"/>
      <c r="CR16" s="883"/>
      <c r="CS16" s="883"/>
      <c r="CT16" s="883"/>
      <c r="CU16" s="883"/>
      <c r="CV16" s="883"/>
      <c r="CW16" s="883"/>
      <c r="CX16" s="883"/>
      <c r="CY16" s="883"/>
      <c r="CZ16" s="873"/>
      <c r="DA16" s="879">
        <f t="shared" si="36"/>
        <v>0</v>
      </c>
      <c r="DB16" s="883"/>
      <c r="DC16" s="883"/>
      <c r="DD16" s="883"/>
      <c r="DE16" s="883"/>
      <c r="DF16" s="883"/>
      <c r="DG16" s="883">
        <v>45</v>
      </c>
      <c r="DH16" s="883">
        <v>3</v>
      </c>
      <c r="DI16" s="883"/>
      <c r="DJ16" s="883"/>
      <c r="DK16" s="883">
        <v>-4</v>
      </c>
      <c r="DL16" s="883">
        <v>43</v>
      </c>
      <c r="DM16" s="873">
        <v>7</v>
      </c>
      <c r="DN16" s="879">
        <f t="shared" si="38"/>
        <v>94</v>
      </c>
      <c r="DO16" s="883"/>
      <c r="DP16" s="883"/>
      <c r="DQ16" s="883"/>
      <c r="DR16" s="883">
        <v>106</v>
      </c>
      <c r="DS16" s="883">
        <v>139</v>
      </c>
      <c r="DT16" s="883"/>
      <c r="DU16" s="883">
        <v>49</v>
      </c>
      <c r="DV16" s="883">
        <v>50</v>
      </c>
      <c r="DW16" s="883">
        <v>60</v>
      </c>
      <c r="DX16" s="883">
        <v>56</v>
      </c>
      <c r="DY16" s="883">
        <v>2584</v>
      </c>
      <c r="DZ16" s="873">
        <v>392</v>
      </c>
      <c r="EA16" s="879">
        <f t="shared" si="40"/>
        <v>3436</v>
      </c>
      <c r="EB16" s="883">
        <v>0</v>
      </c>
      <c r="EC16" s="883">
        <v>0</v>
      </c>
      <c r="ED16" s="883">
        <v>0</v>
      </c>
      <c r="EE16" s="883">
        <v>0</v>
      </c>
      <c r="EF16" s="883">
        <v>0</v>
      </c>
      <c r="EG16" s="883">
        <v>0</v>
      </c>
      <c r="EH16" s="883">
        <v>0</v>
      </c>
      <c r="EI16" s="883">
        <v>0</v>
      </c>
      <c r="EJ16" s="883">
        <v>57</v>
      </c>
      <c r="EK16" s="883">
        <v>2168</v>
      </c>
      <c r="EL16" s="883">
        <v>9</v>
      </c>
      <c r="EM16" s="873">
        <v>12</v>
      </c>
      <c r="EN16" s="879">
        <f t="shared" si="52"/>
        <v>2246</v>
      </c>
      <c r="EO16" s="883">
        <v>0</v>
      </c>
      <c r="EP16" s="883">
        <v>0</v>
      </c>
      <c r="EQ16" s="883">
        <v>0</v>
      </c>
      <c r="ER16" s="883">
        <v>542</v>
      </c>
      <c r="ES16" s="883">
        <v>30</v>
      </c>
      <c r="ET16" s="883">
        <v>3223</v>
      </c>
      <c r="EU16" s="883">
        <v>0</v>
      </c>
      <c r="EV16" s="973">
        <v>0</v>
      </c>
      <c r="EW16" s="883"/>
      <c r="EX16" s="883"/>
      <c r="EY16" s="883"/>
      <c r="EZ16" s="873"/>
      <c r="FA16" s="879">
        <f t="shared" si="53"/>
        <v>3795</v>
      </c>
      <c r="FC16" s="843" t="str">
        <f t="shared" si="49"/>
        <v/>
      </c>
      <c r="FD16" s="844" t="str">
        <f t="shared" si="50"/>
        <v/>
      </c>
      <c r="FE16" s="845">
        <f t="shared" si="54"/>
        <v>0</v>
      </c>
      <c r="FF16" s="846">
        <f t="shared" si="22"/>
        <v>3795</v>
      </c>
      <c r="FH16" s="127">
        <f t="shared" si="51"/>
        <v>0</v>
      </c>
    </row>
    <row r="17" spans="1:164" ht="15" customHeight="1" x14ac:dyDescent="0.25">
      <c r="A17" s="403" t="s">
        <v>378</v>
      </c>
      <c r="B17" s="883">
        <v>7110</v>
      </c>
      <c r="C17" s="883">
        <v>7345</v>
      </c>
      <c r="D17" s="883">
        <v>6379</v>
      </c>
      <c r="E17" s="883">
        <v>7630</v>
      </c>
      <c r="F17" s="883">
        <v>3977</v>
      </c>
      <c r="G17" s="883">
        <v>21705</v>
      </c>
      <c r="H17" s="883">
        <v>8386</v>
      </c>
      <c r="I17" s="883">
        <v>10429</v>
      </c>
      <c r="J17" s="883">
        <v>32024</v>
      </c>
      <c r="K17" s="883">
        <v>25205</v>
      </c>
      <c r="L17" s="883">
        <v>26265</v>
      </c>
      <c r="M17" s="873">
        <v>99326</v>
      </c>
      <c r="N17" s="879">
        <f t="shared" si="24"/>
        <v>255781</v>
      </c>
      <c r="O17" s="883">
        <v>2382</v>
      </c>
      <c r="P17" s="883">
        <v>20131</v>
      </c>
      <c r="Q17" s="883">
        <v>20987</v>
      </c>
      <c r="R17" s="883">
        <v>30202</v>
      </c>
      <c r="S17" s="883">
        <v>16509</v>
      </c>
      <c r="T17" s="883">
        <v>26685</v>
      </c>
      <c r="U17" s="883">
        <v>28765</v>
      </c>
      <c r="V17" s="883">
        <v>62082</v>
      </c>
      <c r="W17" s="883">
        <v>37080</v>
      </c>
      <c r="X17" s="883">
        <v>27661</v>
      </c>
      <c r="Y17" s="883">
        <v>48121</v>
      </c>
      <c r="Z17" s="873">
        <v>57630</v>
      </c>
      <c r="AA17" s="879">
        <f t="shared" si="25"/>
        <v>378235</v>
      </c>
      <c r="AB17" s="883">
        <v>13012</v>
      </c>
      <c r="AC17" s="883">
        <v>46987</v>
      </c>
      <c r="AD17" s="883">
        <v>13838</v>
      </c>
      <c r="AE17" s="883">
        <v>16187</v>
      </c>
      <c r="AF17" s="883">
        <v>21693</v>
      </c>
      <c r="AG17" s="883">
        <v>32641</v>
      </c>
      <c r="AH17" s="883">
        <v>44231</v>
      </c>
      <c r="AI17" s="883">
        <v>33027</v>
      </c>
      <c r="AJ17" s="883">
        <v>32150</v>
      </c>
      <c r="AK17" s="883">
        <v>30612</v>
      </c>
      <c r="AL17" s="883">
        <v>24896</v>
      </c>
      <c r="AM17" s="873">
        <v>19826</v>
      </c>
      <c r="AN17" s="879">
        <f t="shared" si="26"/>
        <v>329100</v>
      </c>
      <c r="AO17" s="883">
        <v>8310</v>
      </c>
      <c r="AP17" s="883">
        <v>5500</v>
      </c>
      <c r="AQ17" s="883">
        <v>4852</v>
      </c>
      <c r="AR17" s="883">
        <v>5720</v>
      </c>
      <c r="AS17" s="883">
        <v>5029</v>
      </c>
      <c r="AT17" s="883">
        <v>4612</v>
      </c>
      <c r="AU17" s="883">
        <v>7010</v>
      </c>
      <c r="AV17" s="883">
        <v>11102</v>
      </c>
      <c r="AW17" s="883">
        <v>8737</v>
      </c>
      <c r="AX17" s="883">
        <v>5331</v>
      </c>
      <c r="AY17" s="883">
        <v>5070</v>
      </c>
      <c r="AZ17" s="873">
        <v>18900</v>
      </c>
      <c r="BA17" s="879">
        <f t="shared" si="28"/>
        <v>90173</v>
      </c>
      <c r="BB17" s="883">
        <v>678</v>
      </c>
      <c r="BC17" s="883">
        <v>1200</v>
      </c>
      <c r="BD17" s="883">
        <v>1999</v>
      </c>
      <c r="BE17" s="883">
        <v>4856</v>
      </c>
      <c r="BF17" s="883">
        <v>2724</v>
      </c>
      <c r="BG17" s="883">
        <v>5732</v>
      </c>
      <c r="BH17" s="883">
        <v>5208</v>
      </c>
      <c r="BI17" s="883">
        <v>4647</v>
      </c>
      <c r="BJ17" s="883">
        <v>8766</v>
      </c>
      <c r="BK17" s="883">
        <v>9642</v>
      </c>
      <c r="BL17" s="883">
        <v>29487</v>
      </c>
      <c r="BM17" s="873">
        <v>42944</v>
      </c>
      <c r="BN17" s="879">
        <f t="shared" si="30"/>
        <v>117883</v>
      </c>
      <c r="BO17" s="883">
        <v>3150</v>
      </c>
      <c r="BP17" s="883">
        <v>3599</v>
      </c>
      <c r="BQ17" s="883">
        <v>2410</v>
      </c>
      <c r="BR17" s="883">
        <v>1000</v>
      </c>
      <c r="BS17" s="883">
        <v>1287</v>
      </c>
      <c r="BT17" s="883">
        <v>734</v>
      </c>
      <c r="BU17" s="883">
        <v>1755</v>
      </c>
      <c r="BV17" s="883">
        <v>20841</v>
      </c>
      <c r="BW17" s="883">
        <v>8544</v>
      </c>
      <c r="BX17" s="883">
        <v>14284</v>
      </c>
      <c r="BY17" s="883">
        <v>13040</v>
      </c>
      <c r="BZ17" s="873">
        <v>18689</v>
      </c>
      <c r="CA17" s="879">
        <f t="shared" si="32"/>
        <v>89333</v>
      </c>
      <c r="CB17" s="883">
        <v>1171</v>
      </c>
      <c r="CC17" s="883">
        <v>4435</v>
      </c>
      <c r="CD17" s="883">
        <v>9334</v>
      </c>
      <c r="CE17" s="883">
        <v>7110</v>
      </c>
      <c r="CF17" s="883">
        <v>10614</v>
      </c>
      <c r="CG17" s="883">
        <v>10366</v>
      </c>
      <c r="CH17" s="883">
        <v>9071</v>
      </c>
      <c r="CI17" s="883">
        <v>8052</v>
      </c>
      <c r="CJ17" s="883">
        <v>9853</v>
      </c>
      <c r="CK17" s="883">
        <v>6415</v>
      </c>
      <c r="CL17" s="883">
        <v>8491</v>
      </c>
      <c r="CM17" s="873">
        <v>17138</v>
      </c>
      <c r="CN17" s="879">
        <f t="shared" si="34"/>
        <v>102050</v>
      </c>
      <c r="CO17" s="883">
        <v>876</v>
      </c>
      <c r="CP17" s="883">
        <v>2017</v>
      </c>
      <c r="CQ17" s="883">
        <v>4182</v>
      </c>
      <c r="CR17" s="883">
        <v>3233</v>
      </c>
      <c r="CS17" s="883">
        <v>2397</v>
      </c>
      <c r="CT17" s="883">
        <v>2854</v>
      </c>
      <c r="CU17" s="883">
        <v>5391</v>
      </c>
      <c r="CV17" s="883">
        <v>5434</v>
      </c>
      <c r="CW17" s="883">
        <v>4718</v>
      </c>
      <c r="CX17" s="883">
        <v>3375</v>
      </c>
      <c r="CY17" s="883">
        <v>5541</v>
      </c>
      <c r="CZ17" s="873">
        <v>16285</v>
      </c>
      <c r="DA17" s="879">
        <f t="shared" si="36"/>
        <v>56303</v>
      </c>
      <c r="DB17" s="883">
        <v>1909</v>
      </c>
      <c r="DC17" s="883">
        <v>1917</v>
      </c>
      <c r="DD17" s="883">
        <v>4375</v>
      </c>
      <c r="DE17" s="883">
        <v>4134</v>
      </c>
      <c r="DF17" s="883">
        <v>7792</v>
      </c>
      <c r="DG17" s="883">
        <v>3331</v>
      </c>
      <c r="DH17" s="883">
        <v>3906</v>
      </c>
      <c r="DI17" s="883">
        <v>8715</v>
      </c>
      <c r="DJ17" s="883">
        <v>4435</v>
      </c>
      <c r="DK17" s="883">
        <v>7221</v>
      </c>
      <c r="DL17" s="883">
        <v>9181</v>
      </c>
      <c r="DM17" s="873">
        <v>24416</v>
      </c>
      <c r="DN17" s="879">
        <f t="shared" si="38"/>
        <v>81332</v>
      </c>
      <c r="DO17" s="883">
        <v>3785</v>
      </c>
      <c r="DP17" s="883">
        <v>5276</v>
      </c>
      <c r="DQ17" s="883">
        <v>5054</v>
      </c>
      <c r="DR17" s="883">
        <v>5539</v>
      </c>
      <c r="DS17" s="883">
        <v>2875</v>
      </c>
      <c r="DT17" s="883">
        <v>15034</v>
      </c>
      <c r="DU17" s="883">
        <v>8428</v>
      </c>
      <c r="DV17" s="883">
        <v>12129</v>
      </c>
      <c r="DW17" s="883">
        <v>10171</v>
      </c>
      <c r="DX17" s="883">
        <v>35376</v>
      </c>
      <c r="DY17" s="883">
        <v>25360</v>
      </c>
      <c r="DZ17" s="873">
        <v>29264</v>
      </c>
      <c r="EA17" s="879">
        <f t="shared" si="40"/>
        <v>158291</v>
      </c>
      <c r="EB17" s="883">
        <v>1380</v>
      </c>
      <c r="EC17" s="883">
        <v>8491</v>
      </c>
      <c r="ED17" s="883">
        <v>9533</v>
      </c>
      <c r="EE17" s="883">
        <v>13383</v>
      </c>
      <c r="EF17" s="883">
        <v>12343</v>
      </c>
      <c r="EG17" s="883">
        <v>15933</v>
      </c>
      <c r="EH17" s="883">
        <v>6705</v>
      </c>
      <c r="EI17" s="883">
        <v>5208</v>
      </c>
      <c r="EJ17" s="883">
        <v>35827</v>
      </c>
      <c r="EK17" s="883">
        <v>12031</v>
      </c>
      <c r="EL17" s="883">
        <v>9526</v>
      </c>
      <c r="EM17" s="873">
        <v>55734</v>
      </c>
      <c r="EN17" s="879">
        <f t="shared" si="52"/>
        <v>186094</v>
      </c>
      <c r="EO17" s="883">
        <v>13169</v>
      </c>
      <c r="EP17" s="883">
        <v>7509</v>
      </c>
      <c r="EQ17" s="883">
        <v>8733</v>
      </c>
      <c r="ER17" s="883">
        <v>8182</v>
      </c>
      <c r="ES17" s="883">
        <v>8712</v>
      </c>
      <c r="ET17" s="883">
        <v>11010</v>
      </c>
      <c r="EU17" s="883">
        <v>6172</v>
      </c>
      <c r="EV17" s="973">
        <v>3973</v>
      </c>
      <c r="EW17" s="883"/>
      <c r="EX17" s="883"/>
      <c r="EY17" s="883"/>
      <c r="EZ17" s="873"/>
      <c r="FA17" s="879">
        <f t="shared" si="53"/>
        <v>67460</v>
      </c>
      <c r="FC17" s="843">
        <f t="shared" si="49"/>
        <v>-23.713517665130567</v>
      </c>
      <c r="FD17" s="844">
        <f t="shared" si="50"/>
        <v>-7.5586494189870628</v>
      </c>
      <c r="FE17" s="845">
        <f t="shared" si="54"/>
        <v>72976</v>
      </c>
      <c r="FF17" s="846">
        <f t="shared" si="22"/>
        <v>67460</v>
      </c>
      <c r="FH17" s="127">
        <f t="shared" si="51"/>
        <v>-1235</v>
      </c>
    </row>
    <row r="18" spans="1:164" ht="15" customHeight="1" x14ac:dyDescent="0.25">
      <c r="A18" s="404" t="s">
        <v>379</v>
      </c>
      <c r="B18" s="883"/>
      <c r="C18" s="883"/>
      <c r="D18" s="883"/>
      <c r="E18" s="883"/>
      <c r="F18" s="883"/>
      <c r="G18" s="883">
        <v>15</v>
      </c>
      <c r="H18" s="883"/>
      <c r="I18" s="883"/>
      <c r="J18" s="883"/>
      <c r="K18" s="883"/>
      <c r="L18" s="883"/>
      <c r="M18" s="873"/>
      <c r="N18" s="879">
        <f t="shared" si="24"/>
        <v>15</v>
      </c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73"/>
      <c r="AA18" s="879">
        <f t="shared" si="25"/>
        <v>0</v>
      </c>
      <c r="AB18" s="883"/>
      <c r="AC18" s="883"/>
      <c r="AD18" s="883"/>
      <c r="AE18" s="883"/>
      <c r="AF18" s="883"/>
      <c r="AG18" s="883"/>
      <c r="AH18" s="883">
        <v>12</v>
      </c>
      <c r="AI18" s="883">
        <v>4</v>
      </c>
      <c r="AJ18" s="883"/>
      <c r="AK18" s="883">
        <v>83</v>
      </c>
      <c r="AL18" s="883"/>
      <c r="AM18" s="873">
        <v>22</v>
      </c>
      <c r="AN18" s="879">
        <f t="shared" si="26"/>
        <v>121</v>
      </c>
      <c r="AO18" s="883"/>
      <c r="AP18" s="883"/>
      <c r="AQ18" s="883"/>
      <c r="AR18" s="883"/>
      <c r="AS18" s="883">
        <v>40</v>
      </c>
      <c r="AT18" s="883"/>
      <c r="AU18" s="883">
        <v>25</v>
      </c>
      <c r="AV18" s="883"/>
      <c r="AW18" s="883"/>
      <c r="AX18" s="883">
        <v>60</v>
      </c>
      <c r="AY18" s="883">
        <v>26</v>
      </c>
      <c r="AZ18" s="873">
        <v>29</v>
      </c>
      <c r="BA18" s="879">
        <f t="shared" si="28"/>
        <v>180</v>
      </c>
      <c r="BB18" s="883"/>
      <c r="BC18" s="883"/>
      <c r="BD18" s="883"/>
      <c r="BE18" s="883">
        <v>22</v>
      </c>
      <c r="BF18" s="883">
        <v>2</v>
      </c>
      <c r="BG18" s="883">
        <v>31</v>
      </c>
      <c r="BH18" s="883"/>
      <c r="BI18" s="883"/>
      <c r="BJ18" s="883"/>
      <c r="BK18" s="883"/>
      <c r="BL18" s="883"/>
      <c r="BM18" s="873">
        <v>74</v>
      </c>
      <c r="BN18" s="879">
        <f t="shared" si="30"/>
        <v>129</v>
      </c>
      <c r="BO18" s="883"/>
      <c r="BP18" s="883">
        <v>31</v>
      </c>
      <c r="BQ18" s="883"/>
      <c r="BR18" s="883">
        <v>10</v>
      </c>
      <c r="BS18" s="883"/>
      <c r="BT18" s="883">
        <v>34</v>
      </c>
      <c r="BU18" s="883">
        <v>20</v>
      </c>
      <c r="BV18" s="883"/>
      <c r="BW18" s="883"/>
      <c r="BX18" s="883"/>
      <c r="BY18" s="883">
        <v>-2</v>
      </c>
      <c r="BZ18" s="873"/>
      <c r="CA18" s="879">
        <f t="shared" si="32"/>
        <v>93</v>
      </c>
      <c r="CB18" s="883"/>
      <c r="CC18" s="883"/>
      <c r="CD18" s="883"/>
      <c r="CE18" s="883"/>
      <c r="CF18" s="883"/>
      <c r="CG18" s="883"/>
      <c r="CH18" s="883">
        <v>74</v>
      </c>
      <c r="CI18" s="883">
        <v>12</v>
      </c>
      <c r="CJ18" s="883"/>
      <c r="CK18" s="883">
        <v>86</v>
      </c>
      <c r="CL18" s="883">
        <v>56</v>
      </c>
      <c r="CM18" s="873">
        <v>182</v>
      </c>
      <c r="CN18" s="879">
        <f t="shared" si="34"/>
        <v>410</v>
      </c>
      <c r="CO18" s="883"/>
      <c r="CP18" s="883"/>
      <c r="CQ18" s="883">
        <v>54</v>
      </c>
      <c r="CR18" s="883">
        <v>14</v>
      </c>
      <c r="CS18" s="883">
        <v>47</v>
      </c>
      <c r="CT18" s="883">
        <v>70</v>
      </c>
      <c r="CU18" s="883">
        <v>23</v>
      </c>
      <c r="CV18" s="883">
        <v>28</v>
      </c>
      <c r="CW18" s="883">
        <v>27</v>
      </c>
      <c r="CX18" s="883"/>
      <c r="CY18" s="883">
        <v>69</v>
      </c>
      <c r="CZ18" s="873">
        <v>10</v>
      </c>
      <c r="DA18" s="879">
        <f t="shared" si="36"/>
        <v>342</v>
      </c>
      <c r="DB18" s="883">
        <v>14</v>
      </c>
      <c r="DC18" s="883">
        <v>83</v>
      </c>
      <c r="DD18" s="883">
        <v>15</v>
      </c>
      <c r="DE18" s="883">
        <v>3</v>
      </c>
      <c r="DF18" s="883">
        <v>31</v>
      </c>
      <c r="DG18" s="883">
        <v>2</v>
      </c>
      <c r="DH18" s="883">
        <v>8</v>
      </c>
      <c r="DI18" s="883">
        <v>57</v>
      </c>
      <c r="DJ18" s="883">
        <v>41</v>
      </c>
      <c r="DK18" s="883">
        <v>28</v>
      </c>
      <c r="DL18" s="883">
        <v>24</v>
      </c>
      <c r="DM18" s="873">
        <v>14</v>
      </c>
      <c r="DN18" s="879">
        <f t="shared" si="38"/>
        <v>320</v>
      </c>
      <c r="DO18" s="883">
        <v>8</v>
      </c>
      <c r="DP18" s="883">
        <v>20</v>
      </c>
      <c r="DQ18" s="883">
        <v>12</v>
      </c>
      <c r="DR18" s="883">
        <v>23</v>
      </c>
      <c r="DS18" s="883">
        <v>27</v>
      </c>
      <c r="DT18" s="883">
        <v>84</v>
      </c>
      <c r="DU18" s="883">
        <v>41</v>
      </c>
      <c r="DV18" s="883">
        <v>20</v>
      </c>
      <c r="DW18" s="883">
        <v>64</v>
      </c>
      <c r="DX18" s="883"/>
      <c r="DY18" s="883">
        <v>31</v>
      </c>
      <c r="DZ18" s="873">
        <v>84</v>
      </c>
      <c r="EA18" s="879">
        <f t="shared" si="40"/>
        <v>414</v>
      </c>
      <c r="EB18" s="883">
        <v>0</v>
      </c>
      <c r="EC18" s="883">
        <v>34</v>
      </c>
      <c r="ED18" s="883">
        <v>8</v>
      </c>
      <c r="EE18" s="883">
        <v>42</v>
      </c>
      <c r="EF18" s="883">
        <v>68</v>
      </c>
      <c r="EG18" s="883">
        <v>40</v>
      </c>
      <c r="EH18" s="883">
        <v>25</v>
      </c>
      <c r="EI18" s="883">
        <v>34</v>
      </c>
      <c r="EJ18" s="883">
        <v>0</v>
      </c>
      <c r="EK18" s="883">
        <v>0</v>
      </c>
      <c r="EL18" s="883">
        <v>27</v>
      </c>
      <c r="EM18" s="873">
        <v>17</v>
      </c>
      <c r="EN18" s="879">
        <f t="shared" si="52"/>
        <v>295</v>
      </c>
      <c r="EO18" s="883">
        <v>0</v>
      </c>
      <c r="EP18" s="883">
        <v>44</v>
      </c>
      <c r="EQ18" s="883">
        <v>32</v>
      </c>
      <c r="ER18" s="883">
        <v>105</v>
      </c>
      <c r="ES18" s="883">
        <v>71</v>
      </c>
      <c r="ET18" s="883">
        <v>10</v>
      </c>
      <c r="EU18" s="883">
        <v>30</v>
      </c>
      <c r="EV18" s="973">
        <v>22</v>
      </c>
      <c r="EW18" s="883"/>
      <c r="EX18" s="883"/>
      <c r="EY18" s="883"/>
      <c r="EZ18" s="873"/>
      <c r="FA18" s="879">
        <f t="shared" si="53"/>
        <v>314</v>
      </c>
      <c r="FC18" s="843">
        <f t="shared" si="49"/>
        <v>-35.294117647058819</v>
      </c>
      <c r="FD18" s="844">
        <f t="shared" si="50"/>
        <v>25.099601593625497</v>
      </c>
      <c r="FE18" s="845">
        <f t="shared" si="54"/>
        <v>251</v>
      </c>
      <c r="FF18" s="846">
        <f t="shared" si="22"/>
        <v>314</v>
      </c>
      <c r="FH18" s="127">
        <f t="shared" si="51"/>
        <v>-12</v>
      </c>
    </row>
    <row r="19" spans="1:164" s="110" customFormat="1" ht="15" customHeight="1" x14ac:dyDescent="0.25">
      <c r="A19" s="401" t="s">
        <v>380</v>
      </c>
      <c r="B19" s="885">
        <f t="shared" ref="B19:Z19" si="71">SUM(B20:B21)</f>
        <v>0</v>
      </c>
      <c r="C19" s="885">
        <f t="shared" si="71"/>
        <v>0</v>
      </c>
      <c r="D19" s="885">
        <f t="shared" si="71"/>
        <v>0</v>
      </c>
      <c r="E19" s="885">
        <f t="shared" si="71"/>
        <v>0</v>
      </c>
      <c r="F19" s="885">
        <f t="shared" si="71"/>
        <v>0</v>
      </c>
      <c r="G19" s="885">
        <f t="shared" si="71"/>
        <v>0</v>
      </c>
      <c r="H19" s="885">
        <f t="shared" si="71"/>
        <v>0</v>
      </c>
      <c r="I19" s="885">
        <f t="shared" si="71"/>
        <v>0</v>
      </c>
      <c r="J19" s="885">
        <f t="shared" si="71"/>
        <v>0</v>
      </c>
      <c r="K19" s="885">
        <f t="shared" si="71"/>
        <v>0</v>
      </c>
      <c r="L19" s="885">
        <f t="shared" si="71"/>
        <v>0</v>
      </c>
      <c r="M19" s="877">
        <f t="shared" si="71"/>
        <v>0</v>
      </c>
      <c r="N19" s="878">
        <f t="shared" si="24"/>
        <v>0</v>
      </c>
      <c r="O19" s="885">
        <f t="shared" si="71"/>
        <v>0</v>
      </c>
      <c r="P19" s="885">
        <f t="shared" si="71"/>
        <v>0</v>
      </c>
      <c r="Q19" s="885">
        <f t="shared" si="71"/>
        <v>0</v>
      </c>
      <c r="R19" s="885">
        <f t="shared" si="71"/>
        <v>0</v>
      </c>
      <c r="S19" s="885">
        <f t="shared" si="71"/>
        <v>0</v>
      </c>
      <c r="T19" s="885">
        <f t="shared" si="71"/>
        <v>0</v>
      </c>
      <c r="U19" s="885">
        <f t="shared" si="71"/>
        <v>0</v>
      </c>
      <c r="V19" s="885">
        <f t="shared" si="71"/>
        <v>0</v>
      </c>
      <c r="W19" s="885">
        <f t="shared" si="71"/>
        <v>0</v>
      </c>
      <c r="X19" s="885">
        <f t="shared" si="71"/>
        <v>0</v>
      </c>
      <c r="Y19" s="885">
        <f t="shared" si="71"/>
        <v>0</v>
      </c>
      <c r="Z19" s="877">
        <f t="shared" si="71"/>
        <v>0</v>
      </c>
      <c r="AA19" s="878">
        <f t="shared" si="25"/>
        <v>0</v>
      </c>
      <c r="AB19" s="885"/>
      <c r="AC19" s="885"/>
      <c r="AD19" s="885"/>
      <c r="AE19" s="885"/>
      <c r="AF19" s="885"/>
      <c r="AG19" s="885"/>
      <c r="AH19" s="885"/>
      <c r="AI19" s="885"/>
      <c r="AJ19" s="885"/>
      <c r="AK19" s="885"/>
      <c r="AL19" s="885"/>
      <c r="AM19" s="877"/>
      <c r="AN19" s="878">
        <f t="shared" si="26"/>
        <v>0</v>
      </c>
      <c r="AO19" s="885"/>
      <c r="AP19" s="885"/>
      <c r="AQ19" s="885"/>
      <c r="AR19" s="885"/>
      <c r="AS19" s="885"/>
      <c r="AT19" s="885"/>
      <c r="AU19" s="885"/>
      <c r="AV19" s="885"/>
      <c r="AW19" s="885"/>
      <c r="AX19" s="885"/>
      <c r="AY19" s="885"/>
      <c r="AZ19" s="877"/>
      <c r="BA19" s="878">
        <f t="shared" si="28"/>
        <v>0</v>
      </c>
      <c r="BB19" s="885"/>
      <c r="BC19" s="885"/>
      <c r="BD19" s="885"/>
      <c r="BE19" s="885"/>
      <c r="BF19" s="885"/>
      <c r="BG19" s="885"/>
      <c r="BH19" s="885"/>
      <c r="BI19" s="885"/>
      <c r="BJ19" s="885"/>
      <c r="BK19" s="885"/>
      <c r="BL19" s="885"/>
      <c r="BM19" s="877"/>
      <c r="BN19" s="878">
        <f t="shared" si="30"/>
        <v>0</v>
      </c>
      <c r="BO19" s="885"/>
      <c r="BP19" s="885"/>
      <c r="BQ19" s="885"/>
      <c r="BR19" s="885"/>
      <c r="BS19" s="885"/>
      <c r="BT19" s="885"/>
      <c r="BU19" s="885"/>
      <c r="BV19" s="885"/>
      <c r="BW19" s="885"/>
      <c r="BX19" s="885"/>
      <c r="BY19" s="885"/>
      <c r="BZ19" s="877"/>
      <c r="CA19" s="878">
        <f t="shared" si="32"/>
        <v>0</v>
      </c>
      <c r="CB19" s="885"/>
      <c r="CC19" s="885"/>
      <c r="CD19" s="885"/>
      <c r="CE19" s="885"/>
      <c r="CF19" s="885"/>
      <c r="CG19" s="885"/>
      <c r="CH19" s="885"/>
      <c r="CI19" s="885"/>
      <c r="CJ19" s="885"/>
      <c r="CK19" s="885"/>
      <c r="CL19" s="885"/>
      <c r="CM19" s="877"/>
      <c r="CN19" s="878">
        <f t="shared" si="34"/>
        <v>0</v>
      </c>
      <c r="CO19" s="885"/>
      <c r="CP19" s="885"/>
      <c r="CQ19" s="885"/>
      <c r="CR19" s="885"/>
      <c r="CS19" s="885"/>
      <c r="CT19" s="885"/>
      <c r="CU19" s="885"/>
      <c r="CV19" s="885"/>
      <c r="CW19" s="885"/>
      <c r="CX19" s="885"/>
      <c r="CY19" s="885"/>
      <c r="CZ19" s="877"/>
      <c r="DA19" s="878">
        <f t="shared" si="36"/>
        <v>0</v>
      </c>
      <c r="DB19" s="885"/>
      <c r="DC19" s="885"/>
      <c r="DD19" s="885"/>
      <c r="DE19" s="885"/>
      <c r="DF19" s="885"/>
      <c r="DG19" s="885"/>
      <c r="DH19" s="885"/>
      <c r="DI19" s="885"/>
      <c r="DJ19" s="885"/>
      <c r="DK19" s="885"/>
      <c r="DL19" s="885"/>
      <c r="DM19" s="877"/>
      <c r="DN19" s="878">
        <f t="shared" si="38"/>
        <v>0</v>
      </c>
      <c r="DO19" s="885">
        <f t="shared" si="38"/>
        <v>0</v>
      </c>
      <c r="DP19" s="885">
        <f t="shared" si="38"/>
        <v>0</v>
      </c>
      <c r="DQ19" s="885">
        <f t="shared" si="38"/>
        <v>0</v>
      </c>
      <c r="DR19" s="885">
        <f t="shared" si="38"/>
        <v>0</v>
      </c>
      <c r="DS19" s="885">
        <f t="shared" si="38"/>
        <v>0</v>
      </c>
      <c r="DT19" s="885">
        <f t="shared" si="38"/>
        <v>0</v>
      </c>
      <c r="DU19" s="885">
        <f t="shared" si="38"/>
        <v>0</v>
      </c>
      <c r="DV19" s="885">
        <f t="shared" si="38"/>
        <v>0</v>
      </c>
      <c r="DW19" s="885">
        <f t="shared" si="38"/>
        <v>0</v>
      </c>
      <c r="DX19" s="885">
        <f t="shared" si="38"/>
        <v>0</v>
      </c>
      <c r="DY19" s="885">
        <f t="shared" si="38"/>
        <v>0</v>
      </c>
      <c r="DZ19" s="877">
        <f t="shared" si="38"/>
        <v>0</v>
      </c>
      <c r="EA19" s="878">
        <f t="shared" si="40"/>
        <v>0</v>
      </c>
      <c r="EB19" s="885">
        <f>SUM(DC19:DN19)</f>
        <v>0</v>
      </c>
      <c r="EC19" s="885">
        <f t="shared" ref="EC19:EM19" si="72">SUM(DD19:EB19)</f>
        <v>0</v>
      </c>
      <c r="ED19" s="885">
        <f t="shared" si="72"/>
        <v>0</v>
      </c>
      <c r="EE19" s="885">
        <f t="shared" si="72"/>
        <v>0</v>
      </c>
      <c r="EF19" s="885">
        <f t="shared" si="72"/>
        <v>0</v>
      </c>
      <c r="EG19" s="885">
        <f t="shared" si="72"/>
        <v>0</v>
      </c>
      <c r="EH19" s="885">
        <f t="shared" si="72"/>
        <v>0</v>
      </c>
      <c r="EI19" s="885">
        <f t="shared" si="72"/>
        <v>0</v>
      </c>
      <c r="EJ19" s="885">
        <f t="shared" si="72"/>
        <v>0</v>
      </c>
      <c r="EK19" s="885">
        <f t="shared" si="72"/>
        <v>0</v>
      </c>
      <c r="EL19" s="885">
        <f t="shared" si="72"/>
        <v>0</v>
      </c>
      <c r="EM19" s="877">
        <f t="shared" si="72"/>
        <v>0</v>
      </c>
      <c r="EN19" s="878">
        <f>SUM(EB19:EM19)</f>
        <v>0</v>
      </c>
      <c r="EO19" s="885">
        <f>SUM(DP19:EA19)</f>
        <v>0</v>
      </c>
      <c r="EP19" s="885">
        <f t="shared" ref="EP19:EY19" si="73">SUM(DQ19:EO19)</f>
        <v>0</v>
      </c>
      <c r="EQ19" s="885">
        <f t="shared" si="73"/>
        <v>0</v>
      </c>
      <c r="ER19" s="885">
        <f t="shared" si="73"/>
        <v>0</v>
      </c>
      <c r="ES19" s="885">
        <f t="shared" ref="ES19" si="74">SUM(DT19:ER19)</f>
        <v>0</v>
      </c>
      <c r="ET19" s="885">
        <f t="shared" ref="ET19" si="75">SUM(DU19:ES19)</f>
        <v>0</v>
      </c>
      <c r="EU19" s="885">
        <f t="shared" ref="EU19" si="76">SUM(DV19:ET19)</f>
        <v>0</v>
      </c>
      <c r="EV19" s="972">
        <f t="shared" ref="EV19" si="77">SUM(DW19:EU19)</f>
        <v>0</v>
      </c>
      <c r="EW19" s="885">
        <f t="shared" si="73"/>
        <v>0</v>
      </c>
      <c r="EX19" s="885">
        <f t="shared" si="73"/>
        <v>0</v>
      </c>
      <c r="EY19" s="885">
        <f t="shared" si="73"/>
        <v>0</v>
      </c>
      <c r="EZ19" s="877"/>
      <c r="FA19" s="878">
        <f>SUM(EO19:EZ19)</f>
        <v>0</v>
      </c>
      <c r="FC19" s="851" t="str">
        <f t="shared" si="49"/>
        <v/>
      </c>
      <c r="FD19" s="852" t="str">
        <f t="shared" si="50"/>
        <v/>
      </c>
      <c r="FE19" s="853">
        <f t="shared" si="54"/>
        <v>0</v>
      </c>
      <c r="FF19" s="854">
        <f t="shared" si="22"/>
        <v>0</v>
      </c>
      <c r="FH19" s="236"/>
    </row>
    <row r="20" spans="1:164" ht="15" customHeight="1" x14ac:dyDescent="0.25">
      <c r="A20" s="403" t="s">
        <v>381</v>
      </c>
      <c r="B20" s="883"/>
      <c r="C20" s="883"/>
      <c r="D20" s="883"/>
      <c r="E20" s="883"/>
      <c r="F20" s="883"/>
      <c r="G20" s="883"/>
      <c r="H20" s="883"/>
      <c r="I20" s="883"/>
      <c r="J20" s="883"/>
      <c r="K20" s="883"/>
      <c r="L20" s="883"/>
      <c r="M20" s="873"/>
      <c r="N20" s="879">
        <f t="shared" si="24"/>
        <v>0</v>
      </c>
      <c r="O20" s="883"/>
      <c r="P20" s="883"/>
      <c r="Q20" s="883"/>
      <c r="R20" s="883"/>
      <c r="S20" s="883"/>
      <c r="T20" s="883"/>
      <c r="U20" s="883"/>
      <c r="V20" s="883"/>
      <c r="W20" s="883"/>
      <c r="X20" s="883"/>
      <c r="Y20" s="883"/>
      <c r="Z20" s="873"/>
      <c r="AA20" s="879">
        <f t="shared" si="25"/>
        <v>0</v>
      </c>
      <c r="AB20" s="883"/>
      <c r="AC20" s="883"/>
      <c r="AD20" s="883"/>
      <c r="AE20" s="883"/>
      <c r="AF20" s="883"/>
      <c r="AG20" s="883"/>
      <c r="AH20" s="883"/>
      <c r="AI20" s="883"/>
      <c r="AJ20" s="883"/>
      <c r="AK20" s="883"/>
      <c r="AL20" s="883"/>
      <c r="AM20" s="873"/>
      <c r="AN20" s="879">
        <f t="shared" si="26"/>
        <v>0</v>
      </c>
      <c r="AO20" s="883"/>
      <c r="AP20" s="883"/>
      <c r="AQ20" s="883"/>
      <c r="AR20" s="883"/>
      <c r="AS20" s="883"/>
      <c r="AT20" s="883"/>
      <c r="AU20" s="883"/>
      <c r="AV20" s="883"/>
      <c r="AW20" s="883"/>
      <c r="AX20" s="883"/>
      <c r="AY20" s="883"/>
      <c r="AZ20" s="873"/>
      <c r="BA20" s="879">
        <f t="shared" si="28"/>
        <v>0</v>
      </c>
      <c r="BB20" s="883"/>
      <c r="BC20" s="883"/>
      <c r="BD20" s="883"/>
      <c r="BE20" s="883"/>
      <c r="BF20" s="883"/>
      <c r="BG20" s="883"/>
      <c r="BH20" s="883"/>
      <c r="BI20" s="883"/>
      <c r="BJ20" s="883"/>
      <c r="BK20" s="883"/>
      <c r="BL20" s="883"/>
      <c r="BM20" s="873"/>
      <c r="BN20" s="879">
        <f t="shared" si="30"/>
        <v>0</v>
      </c>
      <c r="BO20" s="883"/>
      <c r="BP20" s="883"/>
      <c r="BQ20" s="883"/>
      <c r="BR20" s="883"/>
      <c r="BS20" s="883"/>
      <c r="BT20" s="883"/>
      <c r="BU20" s="883"/>
      <c r="BV20" s="883"/>
      <c r="BW20" s="883"/>
      <c r="BX20" s="883"/>
      <c r="BY20" s="883"/>
      <c r="BZ20" s="873"/>
      <c r="CA20" s="879">
        <f t="shared" si="32"/>
        <v>0</v>
      </c>
      <c r="CB20" s="883"/>
      <c r="CC20" s="883"/>
      <c r="CD20" s="883"/>
      <c r="CE20" s="883"/>
      <c r="CF20" s="883"/>
      <c r="CG20" s="883"/>
      <c r="CH20" s="883"/>
      <c r="CI20" s="883"/>
      <c r="CJ20" s="883"/>
      <c r="CK20" s="883"/>
      <c r="CL20" s="883"/>
      <c r="CM20" s="873"/>
      <c r="CN20" s="879">
        <f t="shared" si="34"/>
        <v>0</v>
      </c>
      <c r="CO20" s="883"/>
      <c r="CP20" s="883"/>
      <c r="CQ20" s="883"/>
      <c r="CR20" s="883"/>
      <c r="CS20" s="883"/>
      <c r="CT20" s="883"/>
      <c r="CU20" s="883"/>
      <c r="CV20" s="883"/>
      <c r="CW20" s="883"/>
      <c r="CX20" s="883"/>
      <c r="CY20" s="883"/>
      <c r="CZ20" s="873"/>
      <c r="DA20" s="879">
        <f t="shared" si="36"/>
        <v>0</v>
      </c>
      <c r="DB20" s="883"/>
      <c r="DC20" s="883"/>
      <c r="DD20" s="883"/>
      <c r="DE20" s="883"/>
      <c r="DF20" s="883"/>
      <c r="DG20" s="883"/>
      <c r="DH20" s="883"/>
      <c r="DI20" s="883"/>
      <c r="DJ20" s="883"/>
      <c r="DK20" s="883"/>
      <c r="DL20" s="883"/>
      <c r="DM20" s="873"/>
      <c r="DN20" s="879">
        <f t="shared" si="38"/>
        <v>0</v>
      </c>
      <c r="DO20" s="883">
        <f t="shared" si="38"/>
        <v>0</v>
      </c>
      <c r="DP20" s="883">
        <f t="shared" si="38"/>
        <v>0</v>
      </c>
      <c r="DQ20" s="883">
        <f t="shared" si="38"/>
        <v>0</v>
      </c>
      <c r="DR20" s="883">
        <f t="shared" si="38"/>
        <v>0</v>
      </c>
      <c r="DS20" s="883">
        <f t="shared" si="38"/>
        <v>0</v>
      </c>
      <c r="DT20" s="883">
        <f t="shared" si="38"/>
        <v>0</v>
      </c>
      <c r="DU20" s="883">
        <f t="shared" si="38"/>
        <v>0</v>
      </c>
      <c r="DV20" s="883">
        <f t="shared" si="38"/>
        <v>0</v>
      </c>
      <c r="DW20" s="883">
        <f t="shared" si="38"/>
        <v>0</v>
      </c>
      <c r="DX20" s="883">
        <f t="shared" si="38"/>
        <v>0</v>
      </c>
      <c r="DY20" s="883">
        <f t="shared" si="38"/>
        <v>0</v>
      </c>
      <c r="DZ20" s="873">
        <f t="shared" si="38"/>
        <v>0</v>
      </c>
      <c r="EA20" s="879">
        <f t="shared" si="40"/>
        <v>0</v>
      </c>
      <c r="EB20" s="883">
        <v>0</v>
      </c>
      <c r="EC20" s="883">
        <v>0</v>
      </c>
      <c r="ED20" s="883">
        <v>0</v>
      </c>
      <c r="EE20" s="883">
        <v>0</v>
      </c>
      <c r="EF20" s="883">
        <v>0</v>
      </c>
      <c r="EG20" s="883">
        <v>0</v>
      </c>
      <c r="EH20" s="883">
        <v>0</v>
      </c>
      <c r="EI20" s="883">
        <v>0</v>
      </c>
      <c r="EJ20" s="883">
        <v>0</v>
      </c>
      <c r="EK20" s="883">
        <v>0</v>
      </c>
      <c r="EL20" s="883">
        <v>0</v>
      </c>
      <c r="EM20" s="873">
        <v>0</v>
      </c>
      <c r="EN20" s="879">
        <f t="shared" ref="EN20:EN21" si="78">SUM(EB20:EM20)</f>
        <v>0</v>
      </c>
      <c r="EO20" s="883">
        <v>0</v>
      </c>
      <c r="EP20" s="883">
        <v>0</v>
      </c>
      <c r="EQ20" s="883">
        <v>0</v>
      </c>
      <c r="ER20" s="883">
        <v>0</v>
      </c>
      <c r="ES20" s="883">
        <v>0</v>
      </c>
      <c r="ET20" s="883">
        <v>0</v>
      </c>
      <c r="EU20" s="883">
        <v>0</v>
      </c>
      <c r="EV20" s="973">
        <v>0</v>
      </c>
      <c r="EW20" s="883"/>
      <c r="EX20" s="883"/>
      <c r="EY20" s="883"/>
      <c r="EZ20" s="873"/>
      <c r="FA20" s="879">
        <f t="shared" si="53"/>
        <v>0</v>
      </c>
      <c r="FC20" s="843" t="str">
        <f t="shared" si="49"/>
        <v/>
      </c>
      <c r="FD20" s="844" t="str">
        <f t="shared" si="50"/>
        <v/>
      </c>
      <c r="FE20" s="845">
        <f t="shared" si="54"/>
        <v>0</v>
      </c>
      <c r="FF20" s="846">
        <f t="shared" si="22"/>
        <v>0</v>
      </c>
      <c r="FH20" s="127"/>
    </row>
    <row r="21" spans="1:164" ht="15" customHeight="1" x14ac:dyDescent="0.25">
      <c r="A21" s="403" t="s">
        <v>382</v>
      </c>
      <c r="B21" s="883"/>
      <c r="C21" s="883"/>
      <c r="D21" s="883"/>
      <c r="E21" s="883"/>
      <c r="F21" s="883"/>
      <c r="G21" s="883"/>
      <c r="H21" s="883"/>
      <c r="I21" s="883"/>
      <c r="J21" s="883"/>
      <c r="K21" s="883"/>
      <c r="L21" s="883"/>
      <c r="M21" s="873"/>
      <c r="N21" s="879">
        <f t="shared" si="24"/>
        <v>0</v>
      </c>
      <c r="O21" s="883"/>
      <c r="P21" s="883"/>
      <c r="Q21" s="883"/>
      <c r="R21" s="883"/>
      <c r="S21" s="883"/>
      <c r="T21" s="883"/>
      <c r="U21" s="883"/>
      <c r="V21" s="883"/>
      <c r="W21" s="883"/>
      <c r="X21" s="883"/>
      <c r="Y21" s="883"/>
      <c r="Z21" s="873"/>
      <c r="AA21" s="879">
        <f t="shared" si="25"/>
        <v>0</v>
      </c>
      <c r="AB21" s="883"/>
      <c r="AC21" s="883"/>
      <c r="AD21" s="883"/>
      <c r="AE21" s="883"/>
      <c r="AF21" s="883"/>
      <c r="AG21" s="883"/>
      <c r="AH21" s="883"/>
      <c r="AI21" s="883"/>
      <c r="AJ21" s="883"/>
      <c r="AK21" s="883"/>
      <c r="AL21" s="883"/>
      <c r="AM21" s="873"/>
      <c r="AN21" s="879">
        <f t="shared" si="26"/>
        <v>0</v>
      </c>
      <c r="AO21" s="883"/>
      <c r="AP21" s="883"/>
      <c r="AQ21" s="883"/>
      <c r="AR21" s="883"/>
      <c r="AS21" s="883"/>
      <c r="AT21" s="883"/>
      <c r="AU21" s="883"/>
      <c r="AV21" s="883"/>
      <c r="AW21" s="883"/>
      <c r="AX21" s="883"/>
      <c r="AY21" s="883"/>
      <c r="AZ21" s="873"/>
      <c r="BA21" s="879">
        <f t="shared" si="28"/>
        <v>0</v>
      </c>
      <c r="BB21" s="883"/>
      <c r="BC21" s="883"/>
      <c r="BD21" s="883"/>
      <c r="BE21" s="883"/>
      <c r="BF21" s="883"/>
      <c r="BG21" s="883"/>
      <c r="BH21" s="883"/>
      <c r="BI21" s="883"/>
      <c r="BJ21" s="883"/>
      <c r="BK21" s="883"/>
      <c r="BL21" s="883"/>
      <c r="BM21" s="873"/>
      <c r="BN21" s="879">
        <f t="shared" si="30"/>
        <v>0</v>
      </c>
      <c r="BO21" s="883"/>
      <c r="BP21" s="883"/>
      <c r="BQ21" s="883"/>
      <c r="BR21" s="883"/>
      <c r="BS21" s="883"/>
      <c r="BT21" s="883"/>
      <c r="BU21" s="883"/>
      <c r="BV21" s="883"/>
      <c r="BW21" s="883"/>
      <c r="BX21" s="883"/>
      <c r="BY21" s="883"/>
      <c r="BZ21" s="873"/>
      <c r="CA21" s="879">
        <f t="shared" si="32"/>
        <v>0</v>
      </c>
      <c r="CB21" s="883"/>
      <c r="CC21" s="883"/>
      <c r="CD21" s="883"/>
      <c r="CE21" s="883"/>
      <c r="CF21" s="883"/>
      <c r="CG21" s="883"/>
      <c r="CH21" s="883"/>
      <c r="CI21" s="883"/>
      <c r="CJ21" s="883"/>
      <c r="CK21" s="883"/>
      <c r="CL21" s="883"/>
      <c r="CM21" s="873"/>
      <c r="CN21" s="879">
        <f t="shared" si="34"/>
        <v>0</v>
      </c>
      <c r="CO21" s="883"/>
      <c r="CP21" s="883"/>
      <c r="CQ21" s="883"/>
      <c r="CR21" s="883"/>
      <c r="CS21" s="883"/>
      <c r="CT21" s="883"/>
      <c r="CU21" s="883"/>
      <c r="CV21" s="883"/>
      <c r="CW21" s="883"/>
      <c r="CX21" s="883"/>
      <c r="CY21" s="883"/>
      <c r="CZ21" s="873"/>
      <c r="DA21" s="879">
        <f t="shared" si="36"/>
        <v>0</v>
      </c>
      <c r="DB21" s="883"/>
      <c r="DC21" s="883"/>
      <c r="DD21" s="883"/>
      <c r="DE21" s="883"/>
      <c r="DF21" s="883"/>
      <c r="DG21" s="883"/>
      <c r="DH21" s="883"/>
      <c r="DI21" s="883"/>
      <c r="DJ21" s="883"/>
      <c r="DK21" s="883"/>
      <c r="DL21" s="883"/>
      <c r="DM21" s="873"/>
      <c r="DN21" s="879">
        <f t="shared" si="38"/>
        <v>0</v>
      </c>
      <c r="DO21" s="883">
        <f t="shared" si="38"/>
        <v>0</v>
      </c>
      <c r="DP21" s="883">
        <f t="shared" si="38"/>
        <v>0</v>
      </c>
      <c r="DQ21" s="883">
        <f t="shared" si="38"/>
        <v>0</v>
      </c>
      <c r="DR21" s="883">
        <f t="shared" si="38"/>
        <v>0</v>
      </c>
      <c r="DS21" s="883">
        <f t="shared" si="38"/>
        <v>0</v>
      </c>
      <c r="DT21" s="883">
        <f t="shared" si="38"/>
        <v>0</v>
      </c>
      <c r="DU21" s="883">
        <f t="shared" si="38"/>
        <v>0</v>
      </c>
      <c r="DV21" s="883">
        <f t="shared" si="38"/>
        <v>0</v>
      </c>
      <c r="DW21" s="883">
        <f t="shared" si="38"/>
        <v>0</v>
      </c>
      <c r="DX21" s="883">
        <f t="shared" si="38"/>
        <v>0</v>
      </c>
      <c r="DY21" s="883">
        <f t="shared" si="38"/>
        <v>0</v>
      </c>
      <c r="DZ21" s="873">
        <f t="shared" si="38"/>
        <v>0</v>
      </c>
      <c r="EA21" s="879">
        <f t="shared" si="40"/>
        <v>0</v>
      </c>
      <c r="EB21" s="883">
        <v>0</v>
      </c>
      <c r="EC21" s="883">
        <v>0</v>
      </c>
      <c r="ED21" s="883">
        <v>0</v>
      </c>
      <c r="EE21" s="883">
        <v>0</v>
      </c>
      <c r="EF21" s="883">
        <v>0</v>
      </c>
      <c r="EG21" s="883">
        <v>0</v>
      </c>
      <c r="EH21" s="883">
        <v>0</v>
      </c>
      <c r="EI21" s="883">
        <v>0</v>
      </c>
      <c r="EJ21" s="883">
        <v>0</v>
      </c>
      <c r="EK21" s="883">
        <v>0</v>
      </c>
      <c r="EL21" s="883">
        <v>0</v>
      </c>
      <c r="EM21" s="873">
        <v>0</v>
      </c>
      <c r="EN21" s="879">
        <f t="shared" si="78"/>
        <v>0</v>
      </c>
      <c r="EO21" s="883">
        <v>0</v>
      </c>
      <c r="EP21" s="883">
        <v>0</v>
      </c>
      <c r="EQ21" s="883">
        <v>0</v>
      </c>
      <c r="ER21" s="883">
        <v>0</v>
      </c>
      <c r="ES21" s="883">
        <v>0</v>
      </c>
      <c r="ET21" s="883">
        <v>0</v>
      </c>
      <c r="EU21" s="883">
        <v>0</v>
      </c>
      <c r="EV21" s="973">
        <v>0</v>
      </c>
      <c r="EW21" s="883"/>
      <c r="EX21" s="883"/>
      <c r="EY21" s="883"/>
      <c r="EZ21" s="873"/>
      <c r="FA21" s="879">
        <f t="shared" si="53"/>
        <v>0</v>
      </c>
      <c r="FC21" s="843" t="str">
        <f t="shared" si="49"/>
        <v/>
      </c>
      <c r="FD21" s="844" t="str">
        <f t="shared" si="50"/>
        <v/>
      </c>
      <c r="FE21" s="845">
        <f t="shared" si="54"/>
        <v>0</v>
      </c>
      <c r="FF21" s="846">
        <f t="shared" si="22"/>
        <v>0</v>
      </c>
      <c r="FH21" s="127"/>
    </row>
    <row r="22" spans="1:164" ht="15" customHeight="1" x14ac:dyDescent="0.25">
      <c r="A22" s="138"/>
      <c r="B22" s="883"/>
      <c r="C22" s="883"/>
      <c r="D22" s="883"/>
      <c r="E22" s="883"/>
      <c r="F22" s="883"/>
      <c r="G22" s="883"/>
      <c r="H22" s="883"/>
      <c r="I22" s="883"/>
      <c r="J22" s="883"/>
      <c r="K22" s="883"/>
      <c r="L22" s="883"/>
      <c r="M22" s="873"/>
      <c r="N22" s="879"/>
      <c r="O22" s="883"/>
      <c r="P22" s="883"/>
      <c r="Q22" s="883"/>
      <c r="R22" s="883"/>
      <c r="S22" s="883"/>
      <c r="T22" s="883"/>
      <c r="U22" s="883"/>
      <c r="V22" s="883"/>
      <c r="W22" s="883"/>
      <c r="X22" s="883"/>
      <c r="Y22" s="883"/>
      <c r="Z22" s="873"/>
      <c r="AA22" s="879"/>
      <c r="AB22" s="883"/>
      <c r="AC22" s="883"/>
      <c r="AD22" s="883"/>
      <c r="AE22" s="883"/>
      <c r="AF22" s="883"/>
      <c r="AG22" s="883"/>
      <c r="AH22" s="883"/>
      <c r="AI22" s="883"/>
      <c r="AJ22" s="883"/>
      <c r="AK22" s="883"/>
      <c r="AL22" s="883"/>
      <c r="AM22" s="873"/>
      <c r="AN22" s="879"/>
      <c r="AO22" s="883"/>
      <c r="AP22" s="883"/>
      <c r="AQ22" s="883"/>
      <c r="AR22" s="883"/>
      <c r="AS22" s="883"/>
      <c r="AT22" s="883"/>
      <c r="AU22" s="883"/>
      <c r="AV22" s="883"/>
      <c r="AW22" s="883"/>
      <c r="AX22" s="883"/>
      <c r="AY22" s="883"/>
      <c r="AZ22" s="873"/>
      <c r="BA22" s="879"/>
      <c r="BB22" s="883"/>
      <c r="BC22" s="883"/>
      <c r="BD22" s="883"/>
      <c r="BE22" s="883"/>
      <c r="BF22" s="883"/>
      <c r="BG22" s="883"/>
      <c r="BH22" s="883"/>
      <c r="BI22" s="883"/>
      <c r="BJ22" s="883"/>
      <c r="BK22" s="883"/>
      <c r="BL22" s="883"/>
      <c r="BM22" s="873"/>
      <c r="BN22" s="879"/>
      <c r="BO22" s="883"/>
      <c r="BP22" s="883"/>
      <c r="BQ22" s="883"/>
      <c r="BR22" s="883"/>
      <c r="BS22" s="883"/>
      <c r="BT22" s="883"/>
      <c r="BU22" s="883"/>
      <c r="BV22" s="883"/>
      <c r="BW22" s="883"/>
      <c r="BX22" s="883"/>
      <c r="BY22" s="883"/>
      <c r="BZ22" s="873"/>
      <c r="CA22" s="879"/>
      <c r="CB22" s="883"/>
      <c r="CC22" s="883"/>
      <c r="CD22" s="883"/>
      <c r="CE22" s="883"/>
      <c r="CF22" s="883"/>
      <c r="CG22" s="883"/>
      <c r="CH22" s="883"/>
      <c r="CI22" s="883"/>
      <c r="CJ22" s="883"/>
      <c r="CK22" s="883"/>
      <c r="CL22" s="883"/>
      <c r="CM22" s="873"/>
      <c r="CN22" s="879"/>
      <c r="CO22" s="883"/>
      <c r="CP22" s="883"/>
      <c r="CQ22" s="883"/>
      <c r="CR22" s="883"/>
      <c r="CS22" s="883"/>
      <c r="CT22" s="883"/>
      <c r="CU22" s="883"/>
      <c r="CV22" s="883"/>
      <c r="CW22" s="883"/>
      <c r="CX22" s="883"/>
      <c r="CY22" s="883"/>
      <c r="CZ22" s="873"/>
      <c r="DA22" s="879"/>
      <c r="DB22" s="883"/>
      <c r="DC22" s="883"/>
      <c r="DD22" s="883"/>
      <c r="DE22" s="883"/>
      <c r="DF22" s="883"/>
      <c r="DG22" s="883"/>
      <c r="DH22" s="883"/>
      <c r="DI22" s="883"/>
      <c r="DJ22" s="883"/>
      <c r="DK22" s="883"/>
      <c r="DL22" s="883"/>
      <c r="DM22" s="873"/>
      <c r="DN22" s="879"/>
      <c r="DO22" s="883"/>
      <c r="DP22" s="883"/>
      <c r="DQ22" s="883"/>
      <c r="DR22" s="883"/>
      <c r="DS22" s="883"/>
      <c r="DT22" s="883"/>
      <c r="DU22" s="883"/>
      <c r="DV22" s="883"/>
      <c r="DW22" s="883"/>
      <c r="DX22" s="883"/>
      <c r="DY22" s="883"/>
      <c r="DZ22" s="873"/>
      <c r="EA22" s="879"/>
      <c r="EB22" s="883"/>
      <c r="EC22" s="883"/>
      <c r="ED22" s="883"/>
      <c r="EE22" s="883"/>
      <c r="EF22" s="883"/>
      <c r="EG22" s="883"/>
      <c r="EH22" s="883"/>
      <c r="EI22" s="883"/>
      <c r="EJ22" s="883"/>
      <c r="EK22" s="883"/>
      <c r="EL22" s="883"/>
      <c r="EM22" s="873"/>
      <c r="EN22" s="879"/>
      <c r="EO22" s="883"/>
      <c r="EP22" s="883"/>
      <c r="EQ22" s="883"/>
      <c r="ER22" s="883"/>
      <c r="ES22" s="883"/>
      <c r="ET22" s="883"/>
      <c r="EU22" s="883"/>
      <c r="EV22" s="973"/>
      <c r="EW22" s="883"/>
      <c r="EX22" s="883"/>
      <c r="EY22" s="883"/>
      <c r="EZ22" s="873"/>
      <c r="FA22" s="879"/>
      <c r="FC22" s="843" t="str">
        <f t="shared" si="49"/>
        <v/>
      </c>
      <c r="FD22" s="844"/>
      <c r="FE22" s="845"/>
      <c r="FF22" s="846"/>
    </row>
    <row r="23" spans="1:164" s="757" customFormat="1" ht="15" customHeight="1" x14ac:dyDescent="0.25">
      <c r="A23" s="822" t="s">
        <v>383</v>
      </c>
      <c r="B23" s="884">
        <f t="shared" ref="B23:AM23" si="79">SUM(B24:B28)</f>
        <v>31647</v>
      </c>
      <c r="C23" s="884">
        <f t="shared" si="79"/>
        <v>50475</v>
      </c>
      <c r="D23" s="884">
        <f t="shared" si="79"/>
        <v>44601</v>
      </c>
      <c r="E23" s="884">
        <f t="shared" si="79"/>
        <v>38544</v>
      </c>
      <c r="F23" s="884">
        <f t="shared" si="79"/>
        <v>33848</v>
      </c>
      <c r="G23" s="884">
        <f t="shared" si="79"/>
        <v>50682</v>
      </c>
      <c r="H23" s="884">
        <f t="shared" si="79"/>
        <v>42005</v>
      </c>
      <c r="I23" s="884">
        <f t="shared" si="79"/>
        <v>44015</v>
      </c>
      <c r="J23" s="884">
        <f t="shared" si="79"/>
        <v>72036</v>
      </c>
      <c r="K23" s="884">
        <f t="shared" si="79"/>
        <v>56330</v>
      </c>
      <c r="L23" s="884">
        <f t="shared" si="79"/>
        <v>55121</v>
      </c>
      <c r="M23" s="875">
        <f t="shared" si="79"/>
        <v>187421</v>
      </c>
      <c r="N23" s="876">
        <f t="shared" ref="N23:N28" si="80">SUM(B23:M23)</f>
        <v>706725</v>
      </c>
      <c r="O23" s="884">
        <f t="shared" si="79"/>
        <v>32312</v>
      </c>
      <c r="P23" s="884">
        <f t="shared" si="79"/>
        <v>54594</v>
      </c>
      <c r="Q23" s="884">
        <f t="shared" si="79"/>
        <v>53464</v>
      </c>
      <c r="R23" s="884">
        <f t="shared" si="79"/>
        <v>75667</v>
      </c>
      <c r="S23" s="884">
        <f t="shared" si="79"/>
        <v>54245</v>
      </c>
      <c r="T23" s="884">
        <f t="shared" si="79"/>
        <v>68460</v>
      </c>
      <c r="U23" s="884">
        <f t="shared" si="79"/>
        <v>72149</v>
      </c>
      <c r="V23" s="884">
        <f t="shared" si="79"/>
        <v>98307</v>
      </c>
      <c r="W23" s="884">
        <f t="shared" si="79"/>
        <v>68161</v>
      </c>
      <c r="X23" s="884">
        <f t="shared" si="79"/>
        <v>66156</v>
      </c>
      <c r="Y23" s="884">
        <f t="shared" si="79"/>
        <v>84992</v>
      </c>
      <c r="Z23" s="875">
        <f t="shared" si="79"/>
        <v>115683</v>
      </c>
      <c r="AA23" s="876">
        <f t="shared" ref="AA23:AA28" si="81">SUM(O23:Z23)</f>
        <v>844190</v>
      </c>
      <c r="AB23" s="884">
        <f t="shared" si="79"/>
        <v>35793</v>
      </c>
      <c r="AC23" s="884">
        <f t="shared" si="79"/>
        <v>81100</v>
      </c>
      <c r="AD23" s="884">
        <f t="shared" si="79"/>
        <v>64613</v>
      </c>
      <c r="AE23" s="884">
        <f t="shared" si="79"/>
        <v>53782</v>
      </c>
      <c r="AF23" s="884">
        <f t="shared" si="79"/>
        <v>60967</v>
      </c>
      <c r="AG23" s="884">
        <f t="shared" si="79"/>
        <v>80207</v>
      </c>
      <c r="AH23" s="884">
        <f t="shared" si="79"/>
        <v>81139</v>
      </c>
      <c r="AI23" s="884">
        <f t="shared" si="79"/>
        <v>69075</v>
      </c>
      <c r="AJ23" s="884">
        <f t="shared" si="79"/>
        <v>62823</v>
      </c>
      <c r="AK23" s="884">
        <f t="shared" si="79"/>
        <v>71462</v>
      </c>
      <c r="AL23" s="884">
        <f t="shared" si="79"/>
        <v>73662</v>
      </c>
      <c r="AM23" s="875">
        <f t="shared" si="79"/>
        <v>86883</v>
      </c>
      <c r="AN23" s="876">
        <f t="shared" ref="AN23:AN28" si="82">SUM(AB23:AM23)</f>
        <v>821506</v>
      </c>
      <c r="AO23" s="884">
        <f t="shared" ref="AO23:AZ23" si="83">SUM(AO24:AO28)</f>
        <v>47262</v>
      </c>
      <c r="AP23" s="884">
        <f t="shared" si="83"/>
        <v>49183</v>
      </c>
      <c r="AQ23" s="884">
        <f t="shared" si="83"/>
        <v>38005</v>
      </c>
      <c r="AR23" s="884">
        <f t="shared" si="83"/>
        <v>50700</v>
      </c>
      <c r="AS23" s="884">
        <f t="shared" si="83"/>
        <v>58603</v>
      </c>
      <c r="AT23" s="884">
        <f t="shared" si="83"/>
        <v>47959</v>
      </c>
      <c r="AU23" s="884">
        <f t="shared" si="83"/>
        <v>58826</v>
      </c>
      <c r="AV23" s="884">
        <f t="shared" si="83"/>
        <v>54367</v>
      </c>
      <c r="AW23" s="884">
        <f t="shared" si="83"/>
        <v>52064</v>
      </c>
      <c r="AX23" s="884">
        <f t="shared" si="83"/>
        <v>51922</v>
      </c>
      <c r="AY23" s="884">
        <f t="shared" si="83"/>
        <v>45445</v>
      </c>
      <c r="AZ23" s="875">
        <f t="shared" si="83"/>
        <v>108638</v>
      </c>
      <c r="BA23" s="876">
        <f t="shared" ref="BA23:BA28" si="84">SUM(AO23:AZ23)</f>
        <v>662974</v>
      </c>
      <c r="BB23" s="884">
        <f>SUM(BB24:BB28)</f>
        <v>44670</v>
      </c>
      <c r="BC23" s="884">
        <f t="shared" ref="BC23:BM23" si="85">SUM(BC24:BC28)</f>
        <v>43856</v>
      </c>
      <c r="BD23" s="884">
        <f t="shared" si="85"/>
        <v>40410</v>
      </c>
      <c r="BE23" s="884">
        <f t="shared" si="85"/>
        <v>52224</v>
      </c>
      <c r="BF23" s="884">
        <f t="shared" si="85"/>
        <v>54253</v>
      </c>
      <c r="BG23" s="884">
        <f t="shared" si="85"/>
        <v>50999</v>
      </c>
      <c r="BH23" s="884">
        <f t="shared" si="85"/>
        <v>66742</v>
      </c>
      <c r="BI23" s="884">
        <f t="shared" si="85"/>
        <v>43772</v>
      </c>
      <c r="BJ23" s="884">
        <f t="shared" si="85"/>
        <v>50446</v>
      </c>
      <c r="BK23" s="884">
        <f t="shared" si="85"/>
        <v>55394</v>
      </c>
      <c r="BL23" s="884">
        <f t="shared" si="85"/>
        <v>82439</v>
      </c>
      <c r="BM23" s="875">
        <f t="shared" si="85"/>
        <v>99282</v>
      </c>
      <c r="BN23" s="876">
        <f t="shared" ref="BN23:BN28" si="86">SUM(BB23:BM23)</f>
        <v>684487</v>
      </c>
      <c r="BO23" s="884">
        <f t="shared" ref="BO23:BZ23" si="87">SUM(BO24:BO28)</f>
        <v>43834</v>
      </c>
      <c r="BP23" s="884">
        <f t="shared" si="87"/>
        <v>53129</v>
      </c>
      <c r="BQ23" s="884">
        <f t="shared" si="87"/>
        <v>59065</v>
      </c>
      <c r="BR23" s="884">
        <f t="shared" si="87"/>
        <v>74516</v>
      </c>
      <c r="BS23" s="884">
        <f t="shared" si="87"/>
        <v>72570</v>
      </c>
      <c r="BT23" s="884">
        <f t="shared" si="87"/>
        <v>32940</v>
      </c>
      <c r="BU23" s="884">
        <f t="shared" si="87"/>
        <v>49959</v>
      </c>
      <c r="BV23" s="884">
        <f t="shared" si="87"/>
        <v>92530</v>
      </c>
      <c r="BW23" s="884">
        <f t="shared" si="87"/>
        <v>56051</v>
      </c>
      <c r="BX23" s="884">
        <f t="shared" si="87"/>
        <v>121811</v>
      </c>
      <c r="BY23" s="884">
        <f t="shared" si="87"/>
        <v>89435</v>
      </c>
      <c r="BZ23" s="875">
        <f t="shared" si="87"/>
        <v>121524</v>
      </c>
      <c r="CA23" s="876">
        <f t="shared" ref="CA23:CA28" si="88">SUM(BO23:BZ23)</f>
        <v>867364</v>
      </c>
      <c r="CB23" s="884">
        <f t="shared" ref="CB23:CM23" si="89">SUM(CB24:CB28)</f>
        <v>30029</v>
      </c>
      <c r="CC23" s="884">
        <f t="shared" si="89"/>
        <v>52713</v>
      </c>
      <c r="CD23" s="884">
        <f t="shared" si="89"/>
        <v>48781</v>
      </c>
      <c r="CE23" s="884">
        <f t="shared" si="89"/>
        <v>57950</v>
      </c>
      <c r="CF23" s="884">
        <f t="shared" si="89"/>
        <v>47254</v>
      </c>
      <c r="CG23" s="884">
        <f t="shared" si="89"/>
        <v>60678</v>
      </c>
      <c r="CH23" s="884">
        <f t="shared" si="89"/>
        <v>55489</v>
      </c>
      <c r="CI23" s="884">
        <f t="shared" si="89"/>
        <v>50978</v>
      </c>
      <c r="CJ23" s="884">
        <f t="shared" si="89"/>
        <v>75832</v>
      </c>
      <c r="CK23" s="884">
        <f t="shared" si="89"/>
        <v>77862</v>
      </c>
      <c r="CL23" s="884">
        <f t="shared" si="89"/>
        <v>71495</v>
      </c>
      <c r="CM23" s="875">
        <f t="shared" si="89"/>
        <v>111008</v>
      </c>
      <c r="CN23" s="876">
        <f t="shared" si="34"/>
        <v>740069</v>
      </c>
      <c r="CO23" s="884">
        <f t="shared" ref="CO23:CZ23" si="90">SUM(CO24:CO28)</f>
        <v>34593</v>
      </c>
      <c r="CP23" s="884">
        <f t="shared" si="90"/>
        <v>43633</v>
      </c>
      <c r="CQ23" s="884">
        <f t="shared" si="90"/>
        <v>61130</v>
      </c>
      <c r="CR23" s="884">
        <f t="shared" si="90"/>
        <v>52988</v>
      </c>
      <c r="CS23" s="884">
        <f t="shared" si="90"/>
        <v>57139</v>
      </c>
      <c r="CT23" s="884">
        <f t="shared" si="90"/>
        <v>59064</v>
      </c>
      <c r="CU23" s="884">
        <f t="shared" si="90"/>
        <v>54789</v>
      </c>
      <c r="CV23" s="884">
        <f t="shared" si="90"/>
        <v>63212</v>
      </c>
      <c r="CW23" s="884">
        <f t="shared" si="90"/>
        <v>50233</v>
      </c>
      <c r="CX23" s="884">
        <f t="shared" si="90"/>
        <v>71737</v>
      </c>
      <c r="CY23" s="884">
        <f t="shared" si="90"/>
        <v>64783</v>
      </c>
      <c r="CZ23" s="875">
        <f t="shared" si="90"/>
        <v>107120</v>
      </c>
      <c r="DA23" s="876">
        <f t="shared" si="36"/>
        <v>720421</v>
      </c>
      <c r="DB23" s="884">
        <f t="shared" ref="DB23:DL23" si="91">SUM(DB24:DB28)</f>
        <v>52080</v>
      </c>
      <c r="DC23" s="884">
        <f t="shared" si="91"/>
        <v>56528</v>
      </c>
      <c r="DD23" s="884">
        <f t="shared" si="91"/>
        <v>50867</v>
      </c>
      <c r="DE23" s="884">
        <f t="shared" si="91"/>
        <v>56429</v>
      </c>
      <c r="DF23" s="884">
        <f t="shared" si="91"/>
        <v>55554</v>
      </c>
      <c r="DG23" s="884">
        <f t="shared" si="91"/>
        <v>57858</v>
      </c>
      <c r="DH23" s="884">
        <f t="shared" si="91"/>
        <v>52142</v>
      </c>
      <c r="DI23" s="884">
        <f t="shared" si="91"/>
        <v>59388</v>
      </c>
      <c r="DJ23" s="884">
        <f t="shared" si="91"/>
        <v>48630</v>
      </c>
      <c r="DK23" s="884">
        <f t="shared" si="91"/>
        <v>62727</v>
      </c>
      <c r="DL23" s="884">
        <f t="shared" si="91"/>
        <v>61570</v>
      </c>
      <c r="DM23" s="875">
        <f>SUM(DM24:DM28)</f>
        <v>99335</v>
      </c>
      <c r="DN23" s="876">
        <f t="shared" si="38"/>
        <v>713108</v>
      </c>
      <c r="DO23" s="884">
        <f t="shared" ref="DO23:DZ23" si="92">SUM(DO24:DO28)</f>
        <v>43346</v>
      </c>
      <c r="DP23" s="884">
        <f t="shared" si="92"/>
        <v>78046</v>
      </c>
      <c r="DQ23" s="884">
        <f t="shared" si="92"/>
        <v>49505</v>
      </c>
      <c r="DR23" s="884">
        <f t="shared" si="92"/>
        <v>63459</v>
      </c>
      <c r="DS23" s="884">
        <f t="shared" si="92"/>
        <v>58288</v>
      </c>
      <c r="DT23" s="884">
        <f t="shared" si="92"/>
        <v>68952</v>
      </c>
      <c r="DU23" s="884">
        <f t="shared" si="92"/>
        <v>72332</v>
      </c>
      <c r="DV23" s="884">
        <f t="shared" si="92"/>
        <v>72870</v>
      </c>
      <c r="DW23" s="884">
        <f t="shared" si="92"/>
        <v>65666</v>
      </c>
      <c r="DX23" s="884">
        <f t="shared" si="92"/>
        <v>90466</v>
      </c>
      <c r="DY23" s="884">
        <f t="shared" si="92"/>
        <v>81071</v>
      </c>
      <c r="DZ23" s="875">
        <f t="shared" si="92"/>
        <v>114518</v>
      </c>
      <c r="EA23" s="876">
        <f t="shared" si="40"/>
        <v>858519</v>
      </c>
      <c r="EB23" s="884">
        <f t="shared" ref="EB23:EE23" si="93">SUM(EB24:EB28)</f>
        <v>58427</v>
      </c>
      <c r="EC23" s="884">
        <f t="shared" si="93"/>
        <v>61077</v>
      </c>
      <c r="ED23" s="884">
        <f t="shared" si="93"/>
        <v>64473</v>
      </c>
      <c r="EE23" s="884">
        <f t="shared" si="93"/>
        <v>68634</v>
      </c>
      <c r="EF23" s="884">
        <f>SUM(EF24:EF28)</f>
        <v>78352</v>
      </c>
      <c r="EG23" s="884">
        <f t="shared" ref="EG23:EM23" si="94">SUM(EG24:EG28)</f>
        <v>83652</v>
      </c>
      <c r="EH23" s="884">
        <f t="shared" si="94"/>
        <v>76811</v>
      </c>
      <c r="EI23" s="884">
        <f t="shared" si="94"/>
        <v>62419</v>
      </c>
      <c r="EJ23" s="884">
        <f t="shared" si="94"/>
        <v>99198</v>
      </c>
      <c r="EK23" s="884">
        <f t="shared" si="94"/>
        <v>79740</v>
      </c>
      <c r="EL23" s="884">
        <f t="shared" si="94"/>
        <v>76016</v>
      </c>
      <c r="EM23" s="875">
        <f t="shared" si="94"/>
        <v>153536</v>
      </c>
      <c r="EN23" s="876">
        <f t="shared" ref="EN23:EN26" si="95">SUM(EB23:EM23)</f>
        <v>962335</v>
      </c>
      <c r="EO23" s="884">
        <f t="shared" ref="EO23:ER23" si="96">SUM(EO24:EO28)</f>
        <v>87766</v>
      </c>
      <c r="EP23" s="884">
        <f t="shared" si="96"/>
        <v>58991</v>
      </c>
      <c r="EQ23" s="884">
        <f t="shared" si="96"/>
        <v>74646</v>
      </c>
      <c r="ER23" s="884">
        <f t="shared" si="96"/>
        <v>75291</v>
      </c>
      <c r="ES23" s="884">
        <f t="shared" ref="ES23" si="97">SUM(ES24:ES28)</f>
        <v>77327</v>
      </c>
      <c r="ET23" s="884">
        <f t="shared" ref="ET23" si="98">SUM(ET24:ET28)</f>
        <v>81752</v>
      </c>
      <c r="EU23" s="884">
        <f t="shared" ref="EU23" si="99">SUM(EU24:EU28)</f>
        <v>82617</v>
      </c>
      <c r="EV23" s="971">
        <f t="shared" ref="EV23" si="100">SUM(EV24:EV28)</f>
        <v>69635</v>
      </c>
      <c r="EW23" s="884">
        <f t="shared" ref="EW23:EY23" si="101">SUM(EW24:EW28)</f>
        <v>0</v>
      </c>
      <c r="EX23" s="884">
        <f t="shared" si="101"/>
        <v>0</v>
      </c>
      <c r="EY23" s="884">
        <f t="shared" si="101"/>
        <v>0</v>
      </c>
      <c r="EZ23" s="875"/>
      <c r="FA23" s="876">
        <f t="shared" si="53"/>
        <v>608025</v>
      </c>
      <c r="FC23" s="847">
        <f t="shared" si="49"/>
        <v>11.560582514939366</v>
      </c>
      <c r="FD23" s="848">
        <f t="shared" si="50"/>
        <v>9.7825203802508032</v>
      </c>
      <c r="FE23" s="849">
        <f>SUMIFS($B23:$FA23,UCA.GGN.DATE,"&gt;="&amp;DATE(YEAR($FC$5)-1,1,1),UCA.GGN.DATE,"&lt;="&amp;DATE(YEAR($FC$5)-1,MONTH($FC$5),1))</f>
        <v>553845</v>
      </c>
      <c r="FF23" s="850">
        <f t="shared" si="22"/>
        <v>608025</v>
      </c>
      <c r="FH23" s="793"/>
    </row>
    <row r="24" spans="1:164" ht="15" customHeight="1" x14ac:dyDescent="0.25">
      <c r="A24" s="402" t="s">
        <v>384</v>
      </c>
      <c r="B24" s="883">
        <v>30222</v>
      </c>
      <c r="C24" s="883">
        <v>46833</v>
      </c>
      <c r="D24" s="883">
        <v>42307</v>
      </c>
      <c r="E24" s="883">
        <v>34972</v>
      </c>
      <c r="F24" s="883">
        <v>29808</v>
      </c>
      <c r="G24" s="883">
        <v>47737</v>
      </c>
      <c r="H24" s="883">
        <v>37394</v>
      </c>
      <c r="I24" s="883">
        <v>38737</v>
      </c>
      <c r="J24" s="883">
        <v>66321</v>
      </c>
      <c r="K24" s="883">
        <v>50129</v>
      </c>
      <c r="L24" s="883">
        <v>47870</v>
      </c>
      <c r="M24" s="873">
        <v>162513</v>
      </c>
      <c r="N24" s="879">
        <f t="shared" si="80"/>
        <v>634843</v>
      </c>
      <c r="O24" s="883">
        <v>30204</v>
      </c>
      <c r="P24" s="883">
        <v>49666</v>
      </c>
      <c r="Q24" s="883">
        <v>47264</v>
      </c>
      <c r="R24" s="883">
        <v>69220</v>
      </c>
      <c r="S24" s="883">
        <v>38102</v>
      </c>
      <c r="T24" s="883">
        <v>50302</v>
      </c>
      <c r="U24" s="883">
        <v>53819</v>
      </c>
      <c r="V24" s="883">
        <v>78862</v>
      </c>
      <c r="W24" s="883">
        <v>53234</v>
      </c>
      <c r="X24" s="883">
        <v>60320</v>
      </c>
      <c r="Y24" s="883">
        <v>79230</v>
      </c>
      <c r="Z24" s="873">
        <v>103332</v>
      </c>
      <c r="AA24" s="879">
        <f t="shared" si="81"/>
        <v>713555</v>
      </c>
      <c r="AB24" s="883">
        <v>34155</v>
      </c>
      <c r="AC24" s="883">
        <v>78625</v>
      </c>
      <c r="AD24" s="883">
        <v>60959</v>
      </c>
      <c r="AE24" s="883">
        <v>50776</v>
      </c>
      <c r="AF24" s="883">
        <v>54618</v>
      </c>
      <c r="AG24" s="883">
        <v>76598</v>
      </c>
      <c r="AH24" s="883">
        <v>75190</v>
      </c>
      <c r="AI24" s="883">
        <v>65813</v>
      </c>
      <c r="AJ24" s="883">
        <v>59502</v>
      </c>
      <c r="AK24" s="883">
        <v>66858</v>
      </c>
      <c r="AL24" s="883">
        <v>67655</v>
      </c>
      <c r="AM24" s="873">
        <v>78562</v>
      </c>
      <c r="AN24" s="879">
        <f t="shared" si="82"/>
        <v>769311</v>
      </c>
      <c r="AO24" s="883">
        <v>45040</v>
      </c>
      <c r="AP24" s="883">
        <v>46369</v>
      </c>
      <c r="AQ24" s="883">
        <v>34851</v>
      </c>
      <c r="AR24" s="883">
        <v>46715</v>
      </c>
      <c r="AS24" s="883">
        <v>54728</v>
      </c>
      <c r="AT24" s="883">
        <v>44232</v>
      </c>
      <c r="AU24" s="883">
        <v>50623</v>
      </c>
      <c r="AV24" s="883">
        <v>49376</v>
      </c>
      <c r="AW24" s="883">
        <v>42638</v>
      </c>
      <c r="AX24" s="883">
        <v>45898</v>
      </c>
      <c r="AY24" s="883">
        <v>40321</v>
      </c>
      <c r="AZ24" s="873">
        <v>64053</v>
      </c>
      <c r="BA24" s="879">
        <f t="shared" si="84"/>
        <v>564844</v>
      </c>
      <c r="BB24" s="883">
        <v>42280</v>
      </c>
      <c r="BC24" s="883">
        <v>41549</v>
      </c>
      <c r="BD24" s="883">
        <v>37302</v>
      </c>
      <c r="BE24" s="883">
        <v>48444</v>
      </c>
      <c r="BF24" s="883">
        <v>50224</v>
      </c>
      <c r="BG24" s="883">
        <v>46097</v>
      </c>
      <c r="BH24" s="883">
        <v>60912</v>
      </c>
      <c r="BI24" s="883">
        <v>38037</v>
      </c>
      <c r="BJ24" s="883">
        <v>44846</v>
      </c>
      <c r="BK24" s="883">
        <v>48956</v>
      </c>
      <c r="BL24" s="883">
        <v>71374</v>
      </c>
      <c r="BM24" s="873">
        <v>86795</v>
      </c>
      <c r="BN24" s="879">
        <f t="shared" si="86"/>
        <v>616816</v>
      </c>
      <c r="BO24" s="883">
        <v>36834</v>
      </c>
      <c r="BP24" s="883">
        <v>50415</v>
      </c>
      <c r="BQ24" s="883">
        <v>56615</v>
      </c>
      <c r="BR24" s="883">
        <v>72628</v>
      </c>
      <c r="BS24" s="883">
        <v>68168</v>
      </c>
      <c r="BT24" s="883">
        <v>31080</v>
      </c>
      <c r="BU24" s="883">
        <v>45529</v>
      </c>
      <c r="BV24" s="883">
        <v>62944</v>
      </c>
      <c r="BW24" s="883">
        <v>49174</v>
      </c>
      <c r="BX24" s="883">
        <v>46163</v>
      </c>
      <c r="BY24" s="883">
        <v>49400</v>
      </c>
      <c r="BZ24" s="873">
        <v>68906</v>
      </c>
      <c r="CA24" s="879">
        <f t="shared" si="88"/>
        <v>637856</v>
      </c>
      <c r="CB24" s="883">
        <v>26644</v>
      </c>
      <c r="CC24" s="883">
        <v>46068</v>
      </c>
      <c r="CD24" s="883">
        <v>36238</v>
      </c>
      <c r="CE24" s="883">
        <v>47441</v>
      </c>
      <c r="CF24" s="883">
        <v>34066</v>
      </c>
      <c r="CG24" s="883">
        <v>37971</v>
      </c>
      <c r="CH24" s="883">
        <v>41332</v>
      </c>
      <c r="CI24" s="883">
        <v>37871</v>
      </c>
      <c r="CJ24" s="883">
        <v>37819</v>
      </c>
      <c r="CK24" s="883">
        <v>39998</v>
      </c>
      <c r="CL24" s="883">
        <v>43774</v>
      </c>
      <c r="CM24" s="873">
        <v>54897</v>
      </c>
      <c r="CN24" s="879">
        <f t="shared" si="34"/>
        <v>484119</v>
      </c>
      <c r="CO24" s="883">
        <v>33033</v>
      </c>
      <c r="CP24" s="883">
        <v>40336</v>
      </c>
      <c r="CQ24" s="883">
        <v>57895</v>
      </c>
      <c r="CR24" s="883">
        <v>50322</v>
      </c>
      <c r="CS24" s="883">
        <v>36904</v>
      </c>
      <c r="CT24" s="883">
        <v>55152</v>
      </c>
      <c r="CU24" s="883">
        <v>47168</v>
      </c>
      <c r="CV24" s="883">
        <v>53536</v>
      </c>
      <c r="CW24" s="883">
        <v>46218</v>
      </c>
      <c r="CX24" s="883">
        <v>65850</v>
      </c>
      <c r="CY24" s="883">
        <v>58241</v>
      </c>
      <c r="CZ24" s="873">
        <v>74892</v>
      </c>
      <c r="DA24" s="879">
        <f t="shared" si="36"/>
        <v>619547</v>
      </c>
      <c r="DB24" s="883">
        <v>50117</v>
      </c>
      <c r="DC24" s="883">
        <v>53735</v>
      </c>
      <c r="DD24" s="883">
        <v>47260</v>
      </c>
      <c r="DE24" s="883">
        <v>53372</v>
      </c>
      <c r="DF24" s="883">
        <v>49938</v>
      </c>
      <c r="DG24" s="883">
        <v>54526</v>
      </c>
      <c r="DH24" s="883">
        <v>47160</v>
      </c>
      <c r="DI24" s="883">
        <v>52732</v>
      </c>
      <c r="DJ24" s="883">
        <v>44189</v>
      </c>
      <c r="DK24" s="883">
        <v>57649</v>
      </c>
      <c r="DL24" s="883">
        <v>53525</v>
      </c>
      <c r="DM24" s="873">
        <v>84823</v>
      </c>
      <c r="DN24" s="879">
        <f t="shared" si="38"/>
        <v>649026</v>
      </c>
      <c r="DO24" s="883">
        <v>37916</v>
      </c>
      <c r="DP24" s="883">
        <v>71529</v>
      </c>
      <c r="DQ24" s="883">
        <v>44035</v>
      </c>
      <c r="DR24" s="883">
        <v>58199</v>
      </c>
      <c r="DS24" s="883">
        <v>54074</v>
      </c>
      <c r="DT24" s="883">
        <v>64214</v>
      </c>
      <c r="DU24" s="883">
        <v>61526</v>
      </c>
      <c r="DV24" s="883">
        <v>65678</v>
      </c>
      <c r="DW24" s="883">
        <v>60464</v>
      </c>
      <c r="DX24" s="883">
        <v>81360</v>
      </c>
      <c r="DY24" s="883">
        <v>67115</v>
      </c>
      <c r="DZ24" s="873">
        <v>98639</v>
      </c>
      <c r="EA24" s="879">
        <f t="shared" si="40"/>
        <v>764749</v>
      </c>
      <c r="EB24" s="883">
        <v>54793</v>
      </c>
      <c r="EC24" s="883">
        <v>55201</v>
      </c>
      <c r="ED24" s="883">
        <v>58889</v>
      </c>
      <c r="EE24" s="883">
        <v>58783</v>
      </c>
      <c r="EF24" s="883">
        <v>70845</v>
      </c>
      <c r="EG24" s="883">
        <v>73770</v>
      </c>
      <c r="EH24" s="883">
        <v>69629</v>
      </c>
      <c r="EI24" s="883">
        <v>56901</v>
      </c>
      <c r="EJ24" s="883">
        <v>91908</v>
      </c>
      <c r="EK24" s="883">
        <v>69642</v>
      </c>
      <c r="EL24" s="883">
        <v>68955</v>
      </c>
      <c r="EM24" s="873">
        <v>129879</v>
      </c>
      <c r="EN24" s="879">
        <f t="shared" si="95"/>
        <v>859195</v>
      </c>
      <c r="EO24" s="883">
        <v>83278</v>
      </c>
      <c r="EP24" s="883">
        <v>53291</v>
      </c>
      <c r="EQ24" s="883">
        <v>67362</v>
      </c>
      <c r="ER24" s="883">
        <v>65239</v>
      </c>
      <c r="ES24" s="883">
        <v>69917</v>
      </c>
      <c r="ET24" s="883">
        <v>74970</v>
      </c>
      <c r="EU24" s="883">
        <v>73463</v>
      </c>
      <c r="EV24" s="973">
        <v>60635</v>
      </c>
      <c r="EW24" s="883"/>
      <c r="EX24" s="883"/>
      <c r="EY24" s="883"/>
      <c r="EZ24" s="873"/>
      <c r="FA24" s="879">
        <f t="shared" si="53"/>
        <v>548155</v>
      </c>
      <c r="FC24" s="843">
        <f t="shared" si="49"/>
        <v>6.5622748282103904</v>
      </c>
      <c r="FD24" s="844">
        <f t="shared" si="50"/>
        <v>9.8923239463444048</v>
      </c>
      <c r="FE24" s="845">
        <f t="shared" si="54"/>
        <v>498811</v>
      </c>
      <c r="FF24" s="846">
        <f t="shared" si="22"/>
        <v>548155</v>
      </c>
    </row>
    <row r="25" spans="1:164" ht="15" customHeight="1" x14ac:dyDescent="0.25">
      <c r="A25" s="402" t="s">
        <v>385</v>
      </c>
      <c r="B25" s="883">
        <v>1305</v>
      </c>
      <c r="C25" s="883">
        <v>1433</v>
      </c>
      <c r="D25" s="883">
        <v>1733</v>
      </c>
      <c r="E25" s="883">
        <v>2445</v>
      </c>
      <c r="F25" s="883">
        <v>3228</v>
      </c>
      <c r="G25" s="883">
        <v>1798</v>
      </c>
      <c r="H25" s="883">
        <v>2222</v>
      </c>
      <c r="I25" s="883">
        <v>2244</v>
      </c>
      <c r="J25" s="883">
        <v>2282</v>
      </c>
      <c r="K25" s="883">
        <v>2435</v>
      </c>
      <c r="L25" s="883">
        <v>4202</v>
      </c>
      <c r="M25" s="873">
        <v>16438</v>
      </c>
      <c r="N25" s="879">
        <f t="shared" si="80"/>
        <v>41765</v>
      </c>
      <c r="O25" s="883">
        <v>1088</v>
      </c>
      <c r="P25" s="883">
        <v>1792</v>
      </c>
      <c r="Q25" s="883">
        <v>2448</v>
      </c>
      <c r="R25" s="883">
        <v>1996</v>
      </c>
      <c r="S25" s="883">
        <v>3051</v>
      </c>
      <c r="T25" s="883">
        <v>2730</v>
      </c>
      <c r="U25" s="883">
        <v>3361</v>
      </c>
      <c r="V25" s="883">
        <v>2408</v>
      </c>
      <c r="W25" s="883">
        <v>2883</v>
      </c>
      <c r="X25" s="883">
        <v>2021</v>
      </c>
      <c r="Y25" s="883">
        <v>3025</v>
      </c>
      <c r="Z25" s="873">
        <v>6393</v>
      </c>
      <c r="AA25" s="879">
        <f t="shared" si="81"/>
        <v>33196</v>
      </c>
      <c r="AB25" s="883">
        <v>1083</v>
      </c>
      <c r="AC25" s="883">
        <v>1846</v>
      </c>
      <c r="AD25" s="883">
        <v>3084</v>
      </c>
      <c r="AE25" s="883">
        <v>2203</v>
      </c>
      <c r="AF25" s="883">
        <v>4915</v>
      </c>
      <c r="AG25" s="883">
        <v>2790</v>
      </c>
      <c r="AH25" s="883">
        <v>4516</v>
      </c>
      <c r="AI25" s="883">
        <v>2535</v>
      </c>
      <c r="AJ25" s="883">
        <v>1855</v>
      </c>
      <c r="AK25" s="883">
        <v>2671</v>
      </c>
      <c r="AL25" s="883">
        <v>2914</v>
      </c>
      <c r="AM25" s="873">
        <v>4579</v>
      </c>
      <c r="AN25" s="879">
        <f t="shared" si="82"/>
        <v>34991</v>
      </c>
      <c r="AO25" s="883">
        <v>1711</v>
      </c>
      <c r="AP25" s="883">
        <v>1917</v>
      </c>
      <c r="AQ25" s="883">
        <v>1976</v>
      </c>
      <c r="AR25" s="883">
        <v>3322</v>
      </c>
      <c r="AS25" s="883">
        <v>3403</v>
      </c>
      <c r="AT25" s="883">
        <v>3005</v>
      </c>
      <c r="AU25" s="883">
        <v>6551</v>
      </c>
      <c r="AV25" s="883">
        <v>4321</v>
      </c>
      <c r="AW25" s="883">
        <v>8609</v>
      </c>
      <c r="AX25" s="883">
        <v>3844</v>
      </c>
      <c r="AY25" s="883">
        <v>3861</v>
      </c>
      <c r="AZ25" s="873">
        <v>5708</v>
      </c>
      <c r="BA25" s="879">
        <f t="shared" si="84"/>
        <v>48228</v>
      </c>
      <c r="BB25" s="883">
        <v>2053</v>
      </c>
      <c r="BC25" s="883">
        <v>2080</v>
      </c>
      <c r="BD25" s="883">
        <v>2358</v>
      </c>
      <c r="BE25" s="883">
        <v>3171</v>
      </c>
      <c r="BF25" s="883">
        <v>3100</v>
      </c>
      <c r="BG25" s="883">
        <v>2723</v>
      </c>
      <c r="BH25" s="883">
        <v>3484</v>
      </c>
      <c r="BI25" s="883">
        <v>3133</v>
      </c>
      <c r="BJ25" s="883">
        <v>2778</v>
      </c>
      <c r="BK25" s="883">
        <v>4030</v>
      </c>
      <c r="BL25" s="883">
        <v>6470</v>
      </c>
      <c r="BM25" s="873">
        <v>9099</v>
      </c>
      <c r="BN25" s="879">
        <f t="shared" si="86"/>
        <v>44479</v>
      </c>
      <c r="BO25" s="883">
        <v>6811</v>
      </c>
      <c r="BP25" s="883">
        <v>2119</v>
      </c>
      <c r="BQ25" s="883">
        <v>1461</v>
      </c>
      <c r="BR25" s="883">
        <v>1200</v>
      </c>
      <c r="BS25" s="883">
        <v>4012</v>
      </c>
      <c r="BT25" s="883">
        <v>1516</v>
      </c>
      <c r="BU25" s="883">
        <v>1920</v>
      </c>
      <c r="BV25" s="883">
        <v>1625</v>
      </c>
      <c r="BW25" s="883">
        <v>1829</v>
      </c>
      <c r="BX25" s="883">
        <v>2059</v>
      </c>
      <c r="BY25" s="883">
        <v>2398</v>
      </c>
      <c r="BZ25" s="873">
        <v>5770</v>
      </c>
      <c r="CA25" s="879">
        <f t="shared" si="88"/>
        <v>32720</v>
      </c>
      <c r="CB25" s="883">
        <v>1019</v>
      </c>
      <c r="CC25" s="883">
        <v>1532</v>
      </c>
      <c r="CD25" s="883">
        <v>1838</v>
      </c>
      <c r="CE25" s="883">
        <v>1850</v>
      </c>
      <c r="CF25" s="883">
        <v>1855</v>
      </c>
      <c r="CG25" s="883">
        <v>1934</v>
      </c>
      <c r="CH25" s="883">
        <v>2716</v>
      </c>
      <c r="CI25" s="883">
        <v>3513</v>
      </c>
      <c r="CJ25" s="883">
        <v>2970</v>
      </c>
      <c r="CK25" s="883">
        <v>2132</v>
      </c>
      <c r="CL25" s="883">
        <v>3095</v>
      </c>
      <c r="CM25" s="873">
        <v>5912</v>
      </c>
      <c r="CN25" s="879">
        <f t="shared" si="34"/>
        <v>30366</v>
      </c>
      <c r="CO25" s="883">
        <v>1129</v>
      </c>
      <c r="CP25" s="883">
        <v>2175</v>
      </c>
      <c r="CQ25" s="883">
        <v>2047</v>
      </c>
      <c r="CR25" s="883">
        <v>1896</v>
      </c>
      <c r="CS25" s="883">
        <v>19418</v>
      </c>
      <c r="CT25" s="883">
        <v>2234</v>
      </c>
      <c r="CU25" s="883">
        <v>3882</v>
      </c>
      <c r="CV25" s="883">
        <v>5188</v>
      </c>
      <c r="CW25" s="883">
        <v>2759</v>
      </c>
      <c r="CX25" s="883">
        <v>3839</v>
      </c>
      <c r="CY25" s="883">
        <v>3687</v>
      </c>
      <c r="CZ25" s="873">
        <v>8030</v>
      </c>
      <c r="DA25" s="879">
        <f t="shared" si="36"/>
        <v>56284</v>
      </c>
      <c r="DB25" s="883">
        <v>445</v>
      </c>
      <c r="DC25" s="883">
        <v>649</v>
      </c>
      <c r="DD25" s="883">
        <v>1348</v>
      </c>
      <c r="DE25" s="883">
        <v>1099</v>
      </c>
      <c r="DF25" s="883">
        <v>1619</v>
      </c>
      <c r="DG25" s="883">
        <v>1096</v>
      </c>
      <c r="DH25" s="883">
        <v>1503</v>
      </c>
      <c r="DI25" s="883">
        <v>3576</v>
      </c>
      <c r="DJ25" s="883">
        <v>935</v>
      </c>
      <c r="DK25" s="883">
        <v>653</v>
      </c>
      <c r="DL25" s="883">
        <v>2518</v>
      </c>
      <c r="DM25" s="873">
        <v>3665</v>
      </c>
      <c r="DN25" s="879">
        <f t="shared" si="38"/>
        <v>19106</v>
      </c>
      <c r="DO25" s="883">
        <v>328</v>
      </c>
      <c r="DP25" s="883">
        <v>619</v>
      </c>
      <c r="DQ25" s="883">
        <v>892</v>
      </c>
      <c r="DR25" s="883">
        <v>1207</v>
      </c>
      <c r="DS25" s="883">
        <v>1160</v>
      </c>
      <c r="DT25" s="883">
        <v>991</v>
      </c>
      <c r="DU25" s="883">
        <v>1459</v>
      </c>
      <c r="DV25" s="883">
        <v>1219</v>
      </c>
      <c r="DW25" s="883">
        <v>1205</v>
      </c>
      <c r="DX25" s="883">
        <v>964</v>
      </c>
      <c r="DY25" s="883">
        <v>857</v>
      </c>
      <c r="DZ25" s="873">
        <v>1850</v>
      </c>
      <c r="EA25" s="879">
        <f t="shared" si="40"/>
        <v>12751</v>
      </c>
      <c r="EB25" s="883">
        <v>850</v>
      </c>
      <c r="EC25" s="883">
        <v>1039</v>
      </c>
      <c r="ED25" s="883">
        <v>2020</v>
      </c>
      <c r="EE25" s="883">
        <v>2635</v>
      </c>
      <c r="EF25" s="883">
        <v>1635</v>
      </c>
      <c r="EG25" s="883">
        <v>1350</v>
      </c>
      <c r="EH25" s="883">
        <v>1570</v>
      </c>
      <c r="EI25" s="883">
        <v>1445</v>
      </c>
      <c r="EJ25" s="883">
        <v>1357</v>
      </c>
      <c r="EK25" s="883">
        <v>1631</v>
      </c>
      <c r="EL25" s="883">
        <v>1967</v>
      </c>
      <c r="EM25" s="873">
        <v>3068</v>
      </c>
      <c r="EN25" s="879">
        <f t="shared" si="95"/>
        <v>20567</v>
      </c>
      <c r="EO25" s="883">
        <v>353</v>
      </c>
      <c r="EP25" s="883">
        <v>879</v>
      </c>
      <c r="EQ25" s="883">
        <v>1944</v>
      </c>
      <c r="ER25" s="883">
        <v>2483</v>
      </c>
      <c r="ES25" s="883">
        <v>1349</v>
      </c>
      <c r="ET25" s="883">
        <v>974</v>
      </c>
      <c r="EU25" s="883">
        <v>1506</v>
      </c>
      <c r="EV25" s="973">
        <v>1489</v>
      </c>
      <c r="EW25" s="883"/>
      <c r="EX25" s="883"/>
      <c r="EY25" s="883"/>
      <c r="EZ25" s="873"/>
      <c r="FA25" s="879">
        <f t="shared" si="53"/>
        <v>10977</v>
      </c>
      <c r="FC25" s="843">
        <f t="shared" si="49"/>
        <v>3.04498269896194</v>
      </c>
      <c r="FD25" s="844">
        <f t="shared" si="50"/>
        <v>-12.492028061224492</v>
      </c>
      <c r="FE25" s="845">
        <f t="shared" si="54"/>
        <v>12544</v>
      </c>
      <c r="FF25" s="846">
        <f t="shared" si="22"/>
        <v>10977</v>
      </c>
    </row>
    <row r="26" spans="1:164" ht="15" customHeight="1" x14ac:dyDescent="0.25">
      <c r="A26" s="402" t="s">
        <v>386</v>
      </c>
      <c r="B26" s="883">
        <v>4</v>
      </c>
      <c r="C26" s="883">
        <v>5</v>
      </c>
      <c r="D26" s="883">
        <v>6</v>
      </c>
      <c r="E26" s="883">
        <v>45</v>
      </c>
      <c r="F26" s="883">
        <v>11</v>
      </c>
      <c r="G26" s="883">
        <v>686</v>
      </c>
      <c r="H26" s="883">
        <v>437</v>
      </c>
      <c r="I26" s="883">
        <v>1232</v>
      </c>
      <c r="J26" s="883">
        <v>1792</v>
      </c>
      <c r="K26" s="883">
        <v>2342</v>
      </c>
      <c r="L26" s="883">
        <v>2638</v>
      </c>
      <c r="M26" s="873">
        <v>3546</v>
      </c>
      <c r="N26" s="879">
        <f t="shared" si="80"/>
        <v>12744</v>
      </c>
      <c r="O26" s="883">
        <v>442</v>
      </c>
      <c r="P26" s="883">
        <v>2159</v>
      </c>
      <c r="Q26" s="883">
        <v>2971</v>
      </c>
      <c r="R26" s="883">
        <v>1932</v>
      </c>
      <c r="S26" s="883">
        <v>5986</v>
      </c>
      <c r="T26" s="883">
        <v>13541</v>
      </c>
      <c r="U26" s="883">
        <v>12147</v>
      </c>
      <c r="V26" s="883">
        <v>14137</v>
      </c>
      <c r="W26" s="883">
        <v>9687</v>
      </c>
      <c r="X26" s="883">
        <v>692</v>
      </c>
      <c r="Y26" s="883">
        <v>720</v>
      </c>
      <c r="Z26" s="873">
        <v>1621</v>
      </c>
      <c r="AA26" s="879">
        <f t="shared" si="81"/>
        <v>66035</v>
      </c>
      <c r="AB26" s="883"/>
      <c r="AC26" s="883"/>
      <c r="AD26" s="883"/>
      <c r="AE26" s="883">
        <v>64</v>
      </c>
      <c r="AF26" s="883">
        <v>38</v>
      </c>
      <c r="AG26" s="883">
        <v>152</v>
      </c>
      <c r="AH26" s="883">
        <v>251</v>
      </c>
      <c r="AI26" s="883">
        <v>5</v>
      </c>
      <c r="AJ26" s="883">
        <v>16</v>
      </c>
      <c r="AK26" s="883">
        <v>232</v>
      </c>
      <c r="AL26" s="883">
        <v>9</v>
      </c>
      <c r="AM26" s="873">
        <v>136</v>
      </c>
      <c r="AN26" s="879">
        <f t="shared" si="82"/>
        <v>903</v>
      </c>
      <c r="AO26" s="883"/>
      <c r="AP26" s="883">
        <v>7</v>
      </c>
      <c r="AQ26" s="883">
        <v>87</v>
      </c>
      <c r="AR26" s="883">
        <v>98</v>
      </c>
      <c r="AS26" s="883">
        <v>104</v>
      </c>
      <c r="AT26" s="883">
        <v>136</v>
      </c>
      <c r="AU26" s="883">
        <v>566</v>
      </c>
      <c r="AV26" s="883">
        <v>254</v>
      </c>
      <c r="AW26" s="883">
        <v>402</v>
      </c>
      <c r="AX26" s="883">
        <v>690</v>
      </c>
      <c r="AY26" s="883">
        <v>746</v>
      </c>
      <c r="AZ26" s="873">
        <v>6220</v>
      </c>
      <c r="BA26" s="879">
        <f t="shared" si="84"/>
        <v>9310</v>
      </c>
      <c r="BB26" s="883">
        <v>28</v>
      </c>
      <c r="BC26" s="883">
        <v>73</v>
      </c>
      <c r="BD26" s="883">
        <v>107</v>
      </c>
      <c r="BE26" s="883">
        <v>264</v>
      </c>
      <c r="BF26" s="883">
        <v>246</v>
      </c>
      <c r="BG26" s="883">
        <v>1149</v>
      </c>
      <c r="BH26" s="883">
        <v>1413</v>
      </c>
      <c r="BI26" s="883">
        <v>435</v>
      </c>
      <c r="BJ26" s="883">
        <v>1175</v>
      </c>
      <c r="BK26" s="883">
        <v>630</v>
      </c>
      <c r="BL26" s="883">
        <v>2894</v>
      </c>
      <c r="BM26" s="873">
        <v>492</v>
      </c>
      <c r="BN26" s="879">
        <f t="shared" si="86"/>
        <v>8906</v>
      </c>
      <c r="BO26" s="883">
        <v>1</v>
      </c>
      <c r="BP26" s="883">
        <v>30</v>
      </c>
      <c r="BQ26" s="883">
        <v>20</v>
      </c>
      <c r="BR26" s="883">
        <v>73</v>
      </c>
      <c r="BS26" s="883">
        <v>24</v>
      </c>
      <c r="BT26" s="883">
        <v>12</v>
      </c>
      <c r="BU26" s="883">
        <v>1303</v>
      </c>
      <c r="BV26" s="883">
        <v>27697</v>
      </c>
      <c r="BW26" s="883">
        <v>4179</v>
      </c>
      <c r="BX26" s="883">
        <v>70562</v>
      </c>
      <c r="BY26" s="883">
        <v>35149</v>
      </c>
      <c r="BZ26" s="873">
        <v>33905</v>
      </c>
      <c r="CA26" s="879">
        <f t="shared" si="88"/>
        <v>172955</v>
      </c>
      <c r="CB26" s="883">
        <v>1106</v>
      </c>
      <c r="CC26" s="883">
        <v>3630</v>
      </c>
      <c r="CD26" s="883">
        <v>9112</v>
      </c>
      <c r="CE26" s="883">
        <v>6939</v>
      </c>
      <c r="CF26" s="883">
        <v>8998</v>
      </c>
      <c r="CG26" s="883">
        <v>9086</v>
      </c>
      <c r="CH26" s="883">
        <v>8086</v>
      </c>
      <c r="CI26" s="883">
        <v>6587</v>
      </c>
      <c r="CJ26" s="883">
        <v>31596</v>
      </c>
      <c r="CK26" s="883">
        <v>32557</v>
      </c>
      <c r="CL26" s="883">
        <v>21736</v>
      </c>
      <c r="CM26" s="873">
        <v>44857</v>
      </c>
      <c r="CN26" s="879">
        <f t="shared" si="34"/>
        <v>184290</v>
      </c>
      <c r="CO26" s="883">
        <v>8</v>
      </c>
      <c r="CP26" s="883">
        <v>12</v>
      </c>
      <c r="CQ26" s="883">
        <v>55</v>
      </c>
      <c r="CR26" s="883">
        <v>72</v>
      </c>
      <c r="CS26" s="883">
        <v>112</v>
      </c>
      <c r="CT26" s="883">
        <v>121</v>
      </c>
      <c r="CU26" s="883">
        <v>894</v>
      </c>
      <c r="CV26" s="883">
        <v>87</v>
      </c>
      <c r="CW26" s="883">
        <v>103</v>
      </c>
      <c r="CX26" s="883">
        <v>112</v>
      </c>
      <c r="CY26" s="883">
        <v>362</v>
      </c>
      <c r="CZ26" s="873">
        <v>655</v>
      </c>
      <c r="DA26" s="879">
        <f t="shared" si="36"/>
        <v>2593</v>
      </c>
      <c r="DB26" s="883">
        <v>101</v>
      </c>
      <c r="DC26" s="883">
        <v>133</v>
      </c>
      <c r="DD26" s="883">
        <v>121</v>
      </c>
      <c r="DE26" s="883">
        <v>514</v>
      </c>
      <c r="DF26" s="883">
        <v>357</v>
      </c>
      <c r="DG26" s="883">
        <v>73</v>
      </c>
      <c r="DH26" s="883">
        <v>71</v>
      </c>
      <c r="DI26" s="883">
        <v>281</v>
      </c>
      <c r="DJ26" s="883">
        <v>52</v>
      </c>
      <c r="DK26" s="883">
        <v>63</v>
      </c>
      <c r="DL26" s="883">
        <v>55</v>
      </c>
      <c r="DM26" s="873">
        <v>2833</v>
      </c>
      <c r="DN26" s="879">
        <f t="shared" si="38"/>
        <v>4654</v>
      </c>
      <c r="DO26" s="883">
        <v>1451</v>
      </c>
      <c r="DP26" s="883">
        <v>552</v>
      </c>
      <c r="DQ26" s="883">
        <v>498</v>
      </c>
      <c r="DR26" s="883">
        <v>300</v>
      </c>
      <c r="DS26" s="883">
        <v>74</v>
      </c>
      <c r="DT26" s="883">
        <v>146</v>
      </c>
      <c r="DU26" s="883">
        <v>4205</v>
      </c>
      <c r="DV26" s="883">
        <v>818</v>
      </c>
      <c r="DW26" s="883">
        <v>296</v>
      </c>
      <c r="DX26" s="883">
        <v>4533</v>
      </c>
      <c r="DY26" s="883">
        <v>9000</v>
      </c>
      <c r="DZ26" s="873">
        <v>2416</v>
      </c>
      <c r="EA26" s="879">
        <f t="shared" si="40"/>
        <v>24289</v>
      </c>
      <c r="EB26" s="883">
        <v>389</v>
      </c>
      <c r="EC26" s="883">
        <v>1729</v>
      </c>
      <c r="ED26" s="883">
        <v>239</v>
      </c>
      <c r="EE26" s="883">
        <v>2671</v>
      </c>
      <c r="EF26" s="883">
        <v>1466</v>
      </c>
      <c r="EG26" s="883">
        <v>2085</v>
      </c>
      <c r="EH26" s="883">
        <v>495</v>
      </c>
      <c r="EI26" s="883">
        <v>697</v>
      </c>
      <c r="EJ26" s="883">
        <v>2618</v>
      </c>
      <c r="EK26" s="883">
        <v>3173</v>
      </c>
      <c r="EL26" s="883">
        <v>245</v>
      </c>
      <c r="EM26" s="873">
        <v>9269</v>
      </c>
      <c r="EN26" s="879">
        <f t="shared" si="95"/>
        <v>25076</v>
      </c>
      <c r="EO26" s="883">
        <v>365</v>
      </c>
      <c r="EP26" s="883">
        <v>2015</v>
      </c>
      <c r="EQ26" s="883">
        <v>1124</v>
      </c>
      <c r="ER26" s="883">
        <v>905</v>
      </c>
      <c r="ES26" s="883">
        <v>755</v>
      </c>
      <c r="ET26" s="883">
        <v>1070</v>
      </c>
      <c r="EU26" s="883">
        <v>694</v>
      </c>
      <c r="EV26" s="973">
        <v>4237</v>
      </c>
      <c r="EW26" s="883"/>
      <c r="EX26" s="883"/>
      <c r="EY26" s="883"/>
      <c r="EZ26" s="873"/>
      <c r="FA26" s="879">
        <f t="shared" si="53"/>
        <v>11165</v>
      </c>
      <c r="FC26" s="843">
        <f t="shared" si="49"/>
        <v>507.89096126255384</v>
      </c>
      <c r="FD26" s="844">
        <f t="shared" si="50"/>
        <v>14.266707604134687</v>
      </c>
      <c r="FE26" s="845">
        <f t="shared" si="54"/>
        <v>9771</v>
      </c>
      <c r="FF26" s="846">
        <f t="shared" si="22"/>
        <v>11165</v>
      </c>
    </row>
    <row r="27" spans="1:164" ht="15" customHeight="1" x14ac:dyDescent="0.25">
      <c r="A27" s="402" t="s">
        <v>299</v>
      </c>
      <c r="B27" s="883"/>
      <c r="C27" s="883">
        <v>153</v>
      </c>
      <c r="D27" s="883">
        <v>21</v>
      </c>
      <c r="E27" s="883">
        <v>57</v>
      </c>
      <c r="F27" s="883">
        <v>67</v>
      </c>
      <c r="G27" s="883">
        <v>1</v>
      </c>
      <c r="H27" s="883">
        <v>108</v>
      </c>
      <c r="I27" s="883">
        <v>328</v>
      </c>
      <c r="J27" s="883">
        <v>97</v>
      </c>
      <c r="K27" s="883">
        <v>443</v>
      </c>
      <c r="L27" s="883">
        <v>-219</v>
      </c>
      <c r="M27" s="873">
        <v>1061</v>
      </c>
      <c r="N27" s="879">
        <f t="shared" si="80"/>
        <v>2117</v>
      </c>
      <c r="O27" s="883">
        <v>4</v>
      </c>
      <c r="P27" s="883">
        <v>27</v>
      </c>
      <c r="Q27" s="883">
        <v>87</v>
      </c>
      <c r="R27" s="883">
        <v>245</v>
      </c>
      <c r="S27" s="883">
        <v>717</v>
      </c>
      <c r="T27" s="883">
        <v>463</v>
      </c>
      <c r="U27" s="883">
        <v>516</v>
      </c>
      <c r="V27" s="883">
        <v>528</v>
      </c>
      <c r="W27" s="883">
        <v>177</v>
      </c>
      <c r="X27" s="883">
        <v>560</v>
      </c>
      <c r="Y27" s="883">
        <v>97</v>
      </c>
      <c r="Z27" s="873">
        <v>660</v>
      </c>
      <c r="AA27" s="879">
        <f t="shared" si="81"/>
        <v>4081</v>
      </c>
      <c r="AB27" s="883">
        <v>7</v>
      </c>
      <c r="AC27" s="883">
        <v>37</v>
      </c>
      <c r="AD27" s="883">
        <v>113</v>
      </c>
      <c r="AE27" s="883">
        <v>158</v>
      </c>
      <c r="AF27" s="883">
        <v>316</v>
      </c>
      <c r="AG27" s="883">
        <v>231</v>
      </c>
      <c r="AH27" s="883">
        <v>445</v>
      </c>
      <c r="AI27" s="883">
        <v>95</v>
      </c>
      <c r="AJ27" s="883">
        <v>617</v>
      </c>
      <c r="AK27" s="883">
        <v>877</v>
      </c>
      <c r="AL27" s="883">
        <v>1198</v>
      </c>
      <c r="AM27" s="873">
        <v>1083</v>
      </c>
      <c r="AN27" s="879">
        <f t="shared" si="82"/>
        <v>5177</v>
      </c>
      <c r="AO27" s="883"/>
      <c r="AP27" s="883"/>
      <c r="AQ27" s="883">
        <v>391</v>
      </c>
      <c r="AR27" s="883">
        <v>42</v>
      </c>
      <c r="AS27" s="883">
        <v>52</v>
      </c>
      <c r="AT27" s="883">
        <v>39</v>
      </c>
      <c r="AU27" s="883">
        <v>27</v>
      </c>
      <c r="AV27" s="883">
        <v>56</v>
      </c>
      <c r="AW27" s="883">
        <v>51</v>
      </c>
      <c r="AX27" s="883">
        <v>65</v>
      </c>
      <c r="AY27" s="883">
        <v>96</v>
      </c>
      <c r="AZ27" s="873">
        <v>638</v>
      </c>
      <c r="BA27" s="879">
        <f t="shared" si="84"/>
        <v>1457</v>
      </c>
      <c r="BB27" s="883">
        <v>3</v>
      </c>
      <c r="BC27" s="883">
        <v>4</v>
      </c>
      <c r="BD27" s="883">
        <v>92</v>
      </c>
      <c r="BE27" s="883">
        <v>46</v>
      </c>
      <c r="BF27" s="883">
        <v>423</v>
      </c>
      <c r="BG27" s="883">
        <v>730</v>
      </c>
      <c r="BH27" s="883">
        <v>715</v>
      </c>
      <c r="BI27" s="883">
        <v>756</v>
      </c>
      <c r="BJ27" s="883">
        <v>1140</v>
      </c>
      <c r="BK27" s="883">
        <v>1218</v>
      </c>
      <c r="BL27" s="883">
        <v>673</v>
      </c>
      <c r="BM27" s="873">
        <v>1627</v>
      </c>
      <c r="BN27" s="879">
        <f t="shared" si="86"/>
        <v>7427</v>
      </c>
      <c r="BO27" s="883">
        <v>3</v>
      </c>
      <c r="BP27" s="883">
        <v>30</v>
      </c>
      <c r="BQ27" s="883">
        <v>152</v>
      </c>
      <c r="BR27" s="883">
        <v>140</v>
      </c>
      <c r="BS27" s="883">
        <v>48</v>
      </c>
      <c r="BT27" s="883">
        <v>70</v>
      </c>
      <c r="BU27" s="883">
        <v>93</v>
      </c>
      <c r="BV27" s="883">
        <v>99</v>
      </c>
      <c r="BW27" s="883">
        <v>447</v>
      </c>
      <c r="BX27" s="883">
        <v>965</v>
      </c>
      <c r="BY27" s="883">
        <v>1005</v>
      </c>
      <c r="BZ27" s="873">
        <v>1775</v>
      </c>
      <c r="CA27" s="879">
        <f t="shared" si="88"/>
        <v>4827</v>
      </c>
      <c r="CB27" s="883">
        <v>12</v>
      </c>
      <c r="CC27" s="883">
        <v>231</v>
      </c>
      <c r="CD27" s="883">
        <v>246</v>
      </c>
      <c r="CE27" s="883">
        <v>566</v>
      </c>
      <c r="CF27" s="883">
        <v>977</v>
      </c>
      <c r="CG27" s="883">
        <v>306</v>
      </c>
      <c r="CH27" s="883">
        <v>516</v>
      </c>
      <c r="CI27" s="883">
        <v>1393</v>
      </c>
      <c r="CJ27" s="883">
        <v>1707</v>
      </c>
      <c r="CK27" s="883">
        <v>1185</v>
      </c>
      <c r="CL27" s="883">
        <v>1156</v>
      </c>
      <c r="CM27" s="873">
        <v>1155</v>
      </c>
      <c r="CN27" s="879">
        <f t="shared" si="34"/>
        <v>9450</v>
      </c>
      <c r="CO27" s="883">
        <v>24</v>
      </c>
      <c r="CP27" s="883">
        <v>596</v>
      </c>
      <c r="CQ27" s="883">
        <v>769</v>
      </c>
      <c r="CR27" s="883">
        <v>261</v>
      </c>
      <c r="CS27" s="883">
        <v>332</v>
      </c>
      <c r="CT27" s="883">
        <v>578</v>
      </c>
      <c r="CU27" s="883">
        <v>958</v>
      </c>
      <c r="CV27" s="883">
        <v>588</v>
      </c>
      <c r="CW27" s="883">
        <v>497</v>
      </c>
      <c r="CX27" s="883">
        <v>1644</v>
      </c>
      <c r="CY27" s="883">
        <v>1101</v>
      </c>
      <c r="CZ27" s="873">
        <v>3040</v>
      </c>
      <c r="DA27" s="879">
        <f t="shared" si="36"/>
        <v>10388</v>
      </c>
      <c r="DB27" s="883">
        <v>507</v>
      </c>
      <c r="DC27" s="883">
        <v>973</v>
      </c>
      <c r="DD27" s="883">
        <v>525</v>
      </c>
      <c r="DE27" s="883">
        <v>230</v>
      </c>
      <c r="DF27" s="883">
        <v>1611</v>
      </c>
      <c r="DG27" s="883">
        <v>527</v>
      </c>
      <c r="DH27" s="883">
        <v>906</v>
      </c>
      <c r="DI27" s="883">
        <v>1021</v>
      </c>
      <c r="DJ27" s="883">
        <v>1170</v>
      </c>
      <c r="DK27" s="883">
        <v>2102</v>
      </c>
      <c r="DL27" s="883">
        <v>1906</v>
      </c>
      <c r="DM27" s="873">
        <v>1815</v>
      </c>
      <c r="DN27" s="879">
        <f t="shared" si="38"/>
        <v>13293</v>
      </c>
      <c r="DO27" s="883">
        <v>550</v>
      </c>
      <c r="DP27" s="883">
        <v>738</v>
      </c>
      <c r="DQ27" s="883">
        <v>839</v>
      </c>
      <c r="DR27" s="883">
        <v>1090</v>
      </c>
      <c r="DS27" s="883">
        <v>1171</v>
      </c>
      <c r="DT27" s="883">
        <v>1312</v>
      </c>
      <c r="DU27" s="883">
        <v>1692</v>
      </c>
      <c r="DV27" s="883">
        <v>3258</v>
      </c>
      <c r="DW27" s="883">
        <v>1605</v>
      </c>
      <c r="DX27" s="883">
        <v>1469</v>
      </c>
      <c r="DY27" s="883">
        <v>1764</v>
      </c>
      <c r="DZ27" s="873">
        <v>3344</v>
      </c>
      <c r="EA27" s="879">
        <f t="shared" si="40"/>
        <v>18832</v>
      </c>
      <c r="EB27" s="883">
        <v>424</v>
      </c>
      <c r="EC27" s="883">
        <v>1025</v>
      </c>
      <c r="ED27" s="883">
        <v>463</v>
      </c>
      <c r="EE27" s="883">
        <v>715</v>
      </c>
      <c r="EF27" s="883">
        <v>1114</v>
      </c>
      <c r="EG27" s="883">
        <v>3302</v>
      </c>
      <c r="EH27" s="883">
        <v>1105</v>
      </c>
      <c r="EI27" s="883">
        <v>1001</v>
      </c>
      <c r="EJ27" s="883">
        <v>1104</v>
      </c>
      <c r="EK27" s="883">
        <v>2988</v>
      </c>
      <c r="EL27" s="883">
        <v>2165</v>
      </c>
      <c r="EM27" s="873">
        <v>6665</v>
      </c>
      <c r="EN27" s="879">
        <f>SUM(EB27:EM27)</f>
        <v>22071</v>
      </c>
      <c r="EO27" s="883">
        <v>218</v>
      </c>
      <c r="EP27" s="883">
        <v>2239</v>
      </c>
      <c r="EQ27" s="883">
        <v>1637</v>
      </c>
      <c r="ER27" s="883">
        <v>789</v>
      </c>
      <c r="ES27" s="883">
        <v>1472</v>
      </c>
      <c r="ET27" s="883">
        <v>1171</v>
      </c>
      <c r="EU27" s="883">
        <v>1208</v>
      </c>
      <c r="EV27" s="973">
        <v>1000</v>
      </c>
      <c r="EW27" s="883"/>
      <c r="EX27" s="883"/>
      <c r="EY27" s="883"/>
      <c r="EZ27" s="873"/>
      <c r="FA27" s="879">
        <f>SUM(EO27:EZ27)</f>
        <v>9734</v>
      </c>
      <c r="FC27" s="843">
        <f>IFERROR(((
_xlfn.XLOOKUP((DATE(YEAR($FC$5),MONTH($FC$5),1)),UCA.GGN.DATE,$B27:$FA27) /
_xlfn.XLOOKUP((DATE(YEAR($FC$5)-1,MONTH($FC$5),1)),UCA.GGN.DATE,$B27:$FA27)
)-1)*100,"")</f>
        <v>-9.9900099900096517E-2</v>
      </c>
      <c r="FD27" s="844">
        <f t="shared" si="50"/>
        <v>6.3941414362225446</v>
      </c>
      <c r="FE27" s="845">
        <f t="shared" si="54"/>
        <v>9149</v>
      </c>
      <c r="FF27" s="846">
        <f t="shared" si="22"/>
        <v>9734</v>
      </c>
    </row>
    <row r="28" spans="1:164" ht="15" customHeight="1" x14ac:dyDescent="0.25">
      <c r="A28" s="402" t="s">
        <v>387</v>
      </c>
      <c r="B28" s="883">
        <v>116</v>
      </c>
      <c r="C28" s="883">
        <v>2051</v>
      </c>
      <c r="D28" s="883">
        <v>534</v>
      </c>
      <c r="E28" s="883">
        <v>1025</v>
      </c>
      <c r="F28" s="883">
        <v>734</v>
      </c>
      <c r="G28" s="883">
        <v>460</v>
      </c>
      <c r="H28" s="883">
        <v>1844</v>
      </c>
      <c r="I28" s="883">
        <v>1474</v>
      </c>
      <c r="J28" s="883">
        <v>1544</v>
      </c>
      <c r="K28" s="883">
        <v>981</v>
      </c>
      <c r="L28" s="883">
        <v>630</v>
      </c>
      <c r="M28" s="873">
        <v>3863</v>
      </c>
      <c r="N28" s="879">
        <f t="shared" si="80"/>
        <v>15256</v>
      </c>
      <c r="O28" s="883">
        <v>574</v>
      </c>
      <c r="P28" s="883">
        <v>950</v>
      </c>
      <c r="Q28" s="883">
        <v>694</v>
      </c>
      <c r="R28" s="883">
        <v>2274</v>
      </c>
      <c r="S28" s="883">
        <v>6389</v>
      </c>
      <c r="T28" s="883">
        <v>1424</v>
      </c>
      <c r="U28" s="883">
        <v>2306</v>
      </c>
      <c r="V28" s="883">
        <v>2372</v>
      </c>
      <c r="W28" s="883">
        <v>2180</v>
      </c>
      <c r="X28" s="883">
        <v>2563</v>
      </c>
      <c r="Y28" s="883">
        <v>1920</v>
      </c>
      <c r="Z28" s="873">
        <v>3677</v>
      </c>
      <c r="AA28" s="879">
        <f t="shared" si="81"/>
        <v>27323</v>
      </c>
      <c r="AB28" s="883">
        <v>548</v>
      </c>
      <c r="AC28" s="883">
        <v>592</v>
      </c>
      <c r="AD28" s="883">
        <v>457</v>
      </c>
      <c r="AE28" s="883">
        <v>581</v>
      </c>
      <c r="AF28" s="883">
        <v>1080</v>
      </c>
      <c r="AG28" s="883">
        <v>436</v>
      </c>
      <c r="AH28" s="883">
        <v>737</v>
      </c>
      <c r="AI28" s="883">
        <v>627</v>
      </c>
      <c r="AJ28" s="883">
        <v>833</v>
      </c>
      <c r="AK28" s="883">
        <v>824</v>
      </c>
      <c r="AL28" s="883">
        <v>1886</v>
      </c>
      <c r="AM28" s="873">
        <v>2523</v>
      </c>
      <c r="AN28" s="879">
        <f t="shared" si="82"/>
        <v>11124</v>
      </c>
      <c r="AO28" s="883">
        <v>511</v>
      </c>
      <c r="AP28" s="883">
        <v>890</v>
      </c>
      <c r="AQ28" s="883">
        <v>700</v>
      </c>
      <c r="AR28" s="883">
        <v>523</v>
      </c>
      <c r="AS28" s="883">
        <v>316</v>
      </c>
      <c r="AT28" s="883">
        <v>547</v>
      </c>
      <c r="AU28" s="883">
        <v>1059</v>
      </c>
      <c r="AV28" s="883">
        <v>360</v>
      </c>
      <c r="AW28" s="883">
        <v>364</v>
      </c>
      <c r="AX28" s="883">
        <v>1425</v>
      </c>
      <c r="AY28" s="883">
        <v>421</v>
      </c>
      <c r="AZ28" s="873">
        <v>32019</v>
      </c>
      <c r="BA28" s="879">
        <f t="shared" si="84"/>
        <v>39135</v>
      </c>
      <c r="BB28" s="883">
        <v>306</v>
      </c>
      <c r="BC28" s="883">
        <v>150</v>
      </c>
      <c r="BD28" s="883">
        <v>551</v>
      </c>
      <c r="BE28" s="883">
        <v>299</v>
      </c>
      <c r="BF28" s="883">
        <v>260</v>
      </c>
      <c r="BG28" s="883">
        <v>300</v>
      </c>
      <c r="BH28" s="883">
        <v>218</v>
      </c>
      <c r="BI28" s="883">
        <v>1411</v>
      </c>
      <c r="BJ28" s="883">
        <v>507</v>
      </c>
      <c r="BK28" s="883">
        <v>560</v>
      </c>
      <c r="BL28" s="883">
        <v>1028</v>
      </c>
      <c r="BM28" s="873">
        <v>1269</v>
      </c>
      <c r="BN28" s="879">
        <f t="shared" si="86"/>
        <v>6859</v>
      </c>
      <c r="BO28" s="883">
        <v>185</v>
      </c>
      <c r="BP28" s="883">
        <v>535</v>
      </c>
      <c r="BQ28" s="883">
        <v>817</v>
      </c>
      <c r="BR28" s="883">
        <v>475</v>
      </c>
      <c r="BS28" s="883">
        <v>318</v>
      </c>
      <c r="BT28" s="883">
        <v>262</v>
      </c>
      <c r="BU28" s="883">
        <v>1114</v>
      </c>
      <c r="BV28" s="883">
        <v>165</v>
      </c>
      <c r="BW28" s="883">
        <v>422</v>
      </c>
      <c r="BX28" s="883">
        <v>2062</v>
      </c>
      <c r="BY28" s="883">
        <v>1483</v>
      </c>
      <c r="BZ28" s="873">
        <v>11168</v>
      </c>
      <c r="CA28" s="879">
        <f t="shared" si="88"/>
        <v>19006</v>
      </c>
      <c r="CB28" s="883">
        <v>1248</v>
      </c>
      <c r="CC28" s="883">
        <v>1252</v>
      </c>
      <c r="CD28" s="883">
        <v>1347</v>
      </c>
      <c r="CE28" s="883">
        <v>1154</v>
      </c>
      <c r="CF28" s="883">
        <v>1358</v>
      </c>
      <c r="CG28" s="883">
        <v>11381</v>
      </c>
      <c r="CH28" s="883">
        <v>2839</v>
      </c>
      <c r="CI28" s="883">
        <v>1614</v>
      </c>
      <c r="CJ28" s="883">
        <v>1740</v>
      </c>
      <c r="CK28" s="883">
        <v>1990</v>
      </c>
      <c r="CL28" s="883">
        <v>1734</v>
      </c>
      <c r="CM28" s="873">
        <v>4187</v>
      </c>
      <c r="CN28" s="879">
        <f t="shared" si="34"/>
        <v>31844</v>
      </c>
      <c r="CO28" s="883">
        <v>399</v>
      </c>
      <c r="CP28" s="883">
        <v>514</v>
      </c>
      <c r="CQ28" s="883">
        <v>364</v>
      </c>
      <c r="CR28" s="883">
        <v>437</v>
      </c>
      <c r="CS28" s="883">
        <v>373</v>
      </c>
      <c r="CT28" s="883">
        <v>979</v>
      </c>
      <c r="CU28" s="883">
        <v>1887</v>
      </c>
      <c r="CV28" s="883">
        <v>3813</v>
      </c>
      <c r="CW28" s="883">
        <v>656</v>
      </c>
      <c r="CX28" s="883">
        <v>292</v>
      </c>
      <c r="CY28" s="883">
        <v>1392</v>
      </c>
      <c r="CZ28" s="873">
        <v>20503</v>
      </c>
      <c r="DA28" s="879">
        <f>SUM(CO28:CZ28)</f>
        <v>31609</v>
      </c>
      <c r="DB28" s="883">
        <v>910</v>
      </c>
      <c r="DC28" s="883">
        <v>1038</v>
      </c>
      <c r="DD28" s="883">
        <v>1613</v>
      </c>
      <c r="DE28" s="883">
        <v>1214</v>
      </c>
      <c r="DF28" s="883">
        <v>2029</v>
      </c>
      <c r="DG28" s="883">
        <v>1636</v>
      </c>
      <c r="DH28" s="883">
        <v>2502</v>
      </c>
      <c r="DI28" s="883">
        <v>1778</v>
      </c>
      <c r="DJ28" s="883">
        <v>2284</v>
      </c>
      <c r="DK28" s="883">
        <v>2260</v>
      </c>
      <c r="DL28" s="883">
        <v>3566</v>
      </c>
      <c r="DM28" s="873">
        <v>6199</v>
      </c>
      <c r="DN28" s="879">
        <f t="shared" si="38"/>
        <v>27029</v>
      </c>
      <c r="DO28" s="883">
        <v>3101</v>
      </c>
      <c r="DP28" s="883">
        <v>4608</v>
      </c>
      <c r="DQ28" s="883">
        <v>3241</v>
      </c>
      <c r="DR28" s="883">
        <v>2663</v>
      </c>
      <c r="DS28" s="883">
        <v>1809</v>
      </c>
      <c r="DT28" s="883">
        <v>2289</v>
      </c>
      <c r="DU28" s="883">
        <v>3450</v>
      </c>
      <c r="DV28" s="883">
        <v>1897</v>
      </c>
      <c r="DW28" s="883">
        <v>2096</v>
      </c>
      <c r="DX28" s="883">
        <v>2140</v>
      </c>
      <c r="DY28" s="883">
        <v>2335</v>
      </c>
      <c r="DZ28" s="873">
        <v>8269</v>
      </c>
      <c r="EA28" s="879">
        <f t="shared" si="40"/>
        <v>37898</v>
      </c>
      <c r="EB28" s="883">
        <v>1971</v>
      </c>
      <c r="EC28" s="883">
        <v>2083</v>
      </c>
      <c r="ED28" s="883">
        <v>2862</v>
      </c>
      <c r="EE28" s="883">
        <v>3830</v>
      </c>
      <c r="EF28" s="883">
        <v>3292</v>
      </c>
      <c r="EG28" s="883">
        <v>3145</v>
      </c>
      <c r="EH28" s="883">
        <v>4012</v>
      </c>
      <c r="EI28" s="883">
        <v>2375</v>
      </c>
      <c r="EJ28" s="883">
        <v>2211</v>
      </c>
      <c r="EK28" s="883">
        <v>2306</v>
      </c>
      <c r="EL28" s="883">
        <v>2684</v>
      </c>
      <c r="EM28" s="873">
        <v>4655</v>
      </c>
      <c r="EN28" s="879">
        <f>SUM(EB28:EM28)</f>
        <v>35426</v>
      </c>
      <c r="EO28" s="883">
        <v>3552</v>
      </c>
      <c r="EP28" s="883">
        <v>567</v>
      </c>
      <c r="EQ28" s="883">
        <v>2579</v>
      </c>
      <c r="ER28" s="883">
        <v>5875</v>
      </c>
      <c r="ES28" s="883">
        <v>3834</v>
      </c>
      <c r="ET28" s="883">
        <v>3567</v>
      </c>
      <c r="EU28" s="883">
        <v>5746</v>
      </c>
      <c r="EV28" s="973">
        <v>2274</v>
      </c>
      <c r="EW28" s="883"/>
      <c r="EX28" s="883"/>
      <c r="EY28" s="883"/>
      <c r="EZ28" s="873"/>
      <c r="FA28" s="879">
        <f>SUM(EO28:EZ28)</f>
        <v>27994</v>
      </c>
      <c r="FC28" s="843">
        <f t="shared" si="49"/>
        <v>-4.2526315789473639</v>
      </c>
      <c r="FD28" s="844">
        <f t="shared" si="50"/>
        <v>18.769622401357665</v>
      </c>
      <c r="FE28" s="845">
        <f t="shared" si="54"/>
        <v>23570</v>
      </c>
      <c r="FF28" s="846">
        <f>SUMIFS($B28:$FA28,UCA.GGN.DATE,"&gt;="&amp;DATE(YEAR($FC$5),1,1),UCA.GGN.DATE,"&lt;="&amp;$FC$5)</f>
        <v>27994</v>
      </c>
    </row>
    <row r="29" spans="1:164" ht="15" customHeight="1" x14ac:dyDescent="0.25">
      <c r="A29" s="402" t="s">
        <v>388</v>
      </c>
      <c r="B29" s="883"/>
      <c r="C29" s="883"/>
      <c r="D29" s="883"/>
      <c r="E29" s="883"/>
      <c r="F29" s="883"/>
      <c r="G29" s="883"/>
      <c r="H29" s="883"/>
      <c r="I29" s="883"/>
      <c r="J29" s="883"/>
      <c r="K29" s="883"/>
      <c r="L29" s="883"/>
      <c r="M29" s="873"/>
      <c r="N29" s="879"/>
      <c r="O29" s="883"/>
      <c r="P29" s="883"/>
      <c r="Q29" s="883"/>
      <c r="R29" s="883"/>
      <c r="S29" s="883"/>
      <c r="T29" s="883"/>
      <c r="U29" s="883"/>
      <c r="V29" s="883"/>
      <c r="W29" s="883"/>
      <c r="X29" s="883"/>
      <c r="Y29" s="883"/>
      <c r="Z29" s="873"/>
      <c r="AA29" s="879"/>
      <c r="AB29" s="883"/>
      <c r="AC29" s="883"/>
      <c r="AD29" s="883"/>
      <c r="AE29" s="883"/>
      <c r="AF29" s="883"/>
      <c r="AG29" s="883"/>
      <c r="AH29" s="883"/>
      <c r="AI29" s="883"/>
      <c r="AJ29" s="883"/>
      <c r="AK29" s="883"/>
      <c r="AL29" s="883"/>
      <c r="AM29" s="873"/>
      <c r="AN29" s="879"/>
      <c r="AO29" s="883"/>
      <c r="AP29" s="883"/>
      <c r="AQ29" s="883"/>
      <c r="AR29" s="883"/>
      <c r="AS29" s="883"/>
      <c r="AT29" s="883"/>
      <c r="AU29" s="883"/>
      <c r="AV29" s="883"/>
      <c r="AW29" s="883"/>
      <c r="AX29" s="883"/>
      <c r="AY29" s="883"/>
      <c r="AZ29" s="873"/>
      <c r="BA29" s="879"/>
      <c r="BB29" s="883"/>
      <c r="BC29" s="883"/>
      <c r="BD29" s="883"/>
      <c r="BE29" s="883"/>
      <c r="BF29" s="883"/>
      <c r="BG29" s="883"/>
      <c r="BH29" s="883"/>
      <c r="BI29" s="883"/>
      <c r="BJ29" s="883"/>
      <c r="BK29" s="883"/>
      <c r="BL29" s="883"/>
      <c r="BM29" s="873"/>
      <c r="BN29" s="879"/>
      <c r="BO29" s="883"/>
      <c r="BP29" s="883"/>
      <c r="BQ29" s="883"/>
      <c r="BR29" s="883"/>
      <c r="BS29" s="883"/>
      <c r="BT29" s="883"/>
      <c r="BU29" s="883"/>
      <c r="BV29" s="883"/>
      <c r="BW29" s="883"/>
      <c r="BX29" s="883"/>
      <c r="BY29" s="883"/>
      <c r="BZ29" s="873"/>
      <c r="CA29" s="879"/>
      <c r="CB29" s="883"/>
      <c r="CC29" s="883"/>
      <c r="CD29" s="883"/>
      <c r="CE29" s="883"/>
      <c r="CF29" s="883"/>
      <c r="CG29" s="883"/>
      <c r="CH29" s="883"/>
      <c r="CI29" s="883"/>
      <c r="CJ29" s="883"/>
      <c r="CK29" s="883"/>
      <c r="CL29" s="883"/>
      <c r="CM29" s="873"/>
      <c r="CN29" s="879"/>
      <c r="CO29" s="883"/>
      <c r="CP29" s="883"/>
      <c r="CQ29" s="883"/>
      <c r="CR29" s="883"/>
      <c r="CS29" s="883"/>
      <c r="CT29" s="883"/>
      <c r="CU29" s="883"/>
      <c r="CV29" s="883"/>
      <c r="CW29" s="883"/>
      <c r="CX29" s="883"/>
      <c r="CY29" s="883"/>
      <c r="CZ29" s="873"/>
      <c r="DA29" s="879"/>
      <c r="DB29" s="883"/>
      <c r="DC29" s="883"/>
      <c r="DD29" s="883"/>
      <c r="DE29" s="883"/>
      <c r="DF29" s="883"/>
      <c r="DG29" s="883"/>
      <c r="DH29" s="883"/>
      <c r="DI29" s="883"/>
      <c r="DJ29" s="883"/>
      <c r="DK29" s="883"/>
      <c r="DL29" s="883"/>
      <c r="DM29" s="873"/>
      <c r="DN29" s="879">
        <f t="shared" si="38"/>
        <v>0</v>
      </c>
      <c r="DO29" s="883"/>
      <c r="DP29" s="883"/>
      <c r="DQ29" s="883"/>
      <c r="DR29" s="883"/>
      <c r="DS29" s="883"/>
      <c r="DT29" s="883"/>
      <c r="DU29" s="883"/>
      <c r="DV29" s="883"/>
      <c r="DW29" s="883"/>
      <c r="DX29" s="883"/>
      <c r="DY29" s="883"/>
      <c r="DZ29" s="873"/>
      <c r="EA29" s="879">
        <f t="shared" si="40"/>
        <v>0</v>
      </c>
      <c r="EB29" s="883"/>
      <c r="EC29" s="883"/>
      <c r="ED29" s="883"/>
      <c r="EE29" s="883"/>
      <c r="EF29" s="883"/>
      <c r="EG29" s="883"/>
      <c r="EH29" s="883"/>
      <c r="EI29" s="883"/>
      <c r="EJ29" s="883"/>
      <c r="EK29" s="883"/>
      <c r="EL29" s="883"/>
      <c r="EM29" s="873"/>
      <c r="EN29" s="879">
        <f t="shared" ref="EN29" si="102">SUM(EB29:EM29)</f>
        <v>0</v>
      </c>
      <c r="EO29" s="883"/>
      <c r="EP29" s="883"/>
      <c r="EQ29" s="883"/>
      <c r="ER29" s="883"/>
      <c r="ES29" s="883"/>
      <c r="ET29" s="883"/>
      <c r="EU29" s="883"/>
      <c r="EV29" s="973"/>
      <c r="EW29" s="883"/>
      <c r="EX29" s="883"/>
      <c r="EY29" s="883"/>
      <c r="EZ29" s="873"/>
      <c r="FA29" s="879">
        <f t="shared" si="53"/>
        <v>0</v>
      </c>
      <c r="FC29" s="843" t="str">
        <f t="shared" si="49"/>
        <v/>
      </c>
      <c r="FD29" s="844" t="str">
        <f t="shared" si="50"/>
        <v/>
      </c>
      <c r="FE29" s="845">
        <f t="shared" si="54"/>
        <v>0</v>
      </c>
      <c r="FF29" s="846">
        <f t="shared" si="22"/>
        <v>0</v>
      </c>
    </row>
    <row r="30" spans="1:164" ht="15" customHeight="1" x14ac:dyDescent="0.25">
      <c r="A30" s="402" t="s">
        <v>389</v>
      </c>
      <c r="B30" s="883"/>
      <c r="C30" s="883"/>
      <c r="D30" s="883"/>
      <c r="E30" s="883"/>
      <c r="F30" s="883"/>
      <c r="G30" s="883"/>
      <c r="H30" s="883"/>
      <c r="I30" s="883"/>
      <c r="J30" s="883"/>
      <c r="K30" s="883"/>
      <c r="L30" s="883"/>
      <c r="M30" s="873"/>
      <c r="N30" s="879"/>
      <c r="O30" s="883"/>
      <c r="P30" s="883"/>
      <c r="Q30" s="883"/>
      <c r="R30" s="883"/>
      <c r="S30" s="883"/>
      <c r="T30" s="883"/>
      <c r="U30" s="883"/>
      <c r="V30" s="883"/>
      <c r="W30" s="883"/>
      <c r="X30" s="883"/>
      <c r="Y30" s="883"/>
      <c r="Z30" s="873"/>
      <c r="AA30" s="879"/>
      <c r="AB30" s="883"/>
      <c r="AC30" s="883"/>
      <c r="AD30" s="883"/>
      <c r="AE30" s="883"/>
      <c r="AF30" s="883"/>
      <c r="AG30" s="883"/>
      <c r="AH30" s="883"/>
      <c r="AI30" s="883"/>
      <c r="AJ30" s="883"/>
      <c r="AK30" s="883"/>
      <c r="AL30" s="883"/>
      <c r="AM30" s="873"/>
      <c r="AN30" s="879"/>
      <c r="AO30" s="883"/>
      <c r="AP30" s="883"/>
      <c r="AQ30" s="883"/>
      <c r="AR30" s="883"/>
      <c r="AS30" s="883"/>
      <c r="AT30" s="883"/>
      <c r="AU30" s="883"/>
      <c r="AV30" s="883"/>
      <c r="AW30" s="883"/>
      <c r="AX30" s="883"/>
      <c r="AY30" s="883"/>
      <c r="AZ30" s="873"/>
      <c r="BA30" s="879"/>
      <c r="BB30" s="883"/>
      <c r="BC30" s="883"/>
      <c r="BD30" s="883"/>
      <c r="BE30" s="883"/>
      <c r="BF30" s="883"/>
      <c r="BG30" s="883"/>
      <c r="BH30" s="883"/>
      <c r="BI30" s="883"/>
      <c r="BJ30" s="883"/>
      <c r="BK30" s="883"/>
      <c r="BL30" s="883"/>
      <c r="BM30" s="873"/>
      <c r="BN30" s="879"/>
      <c r="BO30" s="883"/>
      <c r="BP30" s="883"/>
      <c r="BQ30" s="883"/>
      <c r="BR30" s="883"/>
      <c r="BS30" s="883"/>
      <c r="BT30" s="883"/>
      <c r="BU30" s="883"/>
      <c r="BV30" s="883"/>
      <c r="BW30" s="883"/>
      <c r="BX30" s="883"/>
      <c r="BY30" s="883"/>
      <c r="BZ30" s="873"/>
      <c r="CA30" s="879"/>
      <c r="CB30" s="883"/>
      <c r="CC30" s="883"/>
      <c r="CD30" s="883"/>
      <c r="CE30" s="883"/>
      <c r="CF30" s="883"/>
      <c r="CG30" s="883"/>
      <c r="CH30" s="883"/>
      <c r="CI30" s="883"/>
      <c r="CJ30" s="883"/>
      <c r="CK30" s="883"/>
      <c r="CL30" s="883"/>
      <c r="CM30" s="873"/>
      <c r="CN30" s="879"/>
      <c r="CO30" s="883"/>
      <c r="CP30" s="883"/>
      <c r="CQ30" s="883"/>
      <c r="CR30" s="883"/>
      <c r="CS30" s="883"/>
      <c r="CT30" s="883"/>
      <c r="CU30" s="883"/>
      <c r="CV30" s="883"/>
      <c r="CW30" s="883"/>
      <c r="CX30" s="883"/>
      <c r="CY30" s="883"/>
      <c r="CZ30" s="873"/>
      <c r="DA30" s="879"/>
      <c r="DB30" s="883"/>
      <c r="DC30" s="883"/>
      <c r="DD30" s="883"/>
      <c r="DE30" s="883"/>
      <c r="DF30" s="883"/>
      <c r="DG30" s="883"/>
      <c r="DH30" s="883"/>
      <c r="DI30" s="883"/>
      <c r="DJ30" s="883"/>
      <c r="DK30" s="883"/>
      <c r="DL30" s="883"/>
      <c r="DM30" s="873"/>
      <c r="DN30" s="879">
        <f t="shared" si="38"/>
        <v>0</v>
      </c>
      <c r="DO30" s="883"/>
      <c r="DP30" s="883"/>
      <c r="DQ30" s="883"/>
      <c r="DR30" s="883"/>
      <c r="DS30" s="883"/>
      <c r="DT30" s="883"/>
      <c r="DU30" s="883"/>
      <c r="DV30" s="883"/>
      <c r="DW30" s="883"/>
      <c r="DX30" s="883"/>
      <c r="DY30" s="883"/>
      <c r="DZ30" s="873"/>
      <c r="EA30" s="879">
        <f t="shared" si="40"/>
        <v>0</v>
      </c>
      <c r="EB30" s="883"/>
      <c r="EC30" s="883"/>
      <c r="ED30" s="883"/>
      <c r="EE30" s="883"/>
      <c r="EF30" s="883"/>
      <c r="EG30" s="883"/>
      <c r="EH30" s="883"/>
      <c r="EI30" s="883"/>
      <c r="EJ30" s="883"/>
      <c r="EK30" s="883"/>
      <c r="EL30" s="883"/>
      <c r="EM30" s="873"/>
      <c r="EN30" s="879">
        <f>SUM(EB30:EM30)</f>
        <v>0</v>
      </c>
      <c r="EO30" s="883"/>
      <c r="EP30" s="883"/>
      <c r="EQ30" s="883"/>
      <c r="ER30" s="883"/>
      <c r="ES30" s="883"/>
      <c r="ET30" s="883"/>
      <c r="EU30" s="883"/>
      <c r="EV30" s="973"/>
      <c r="EW30" s="883"/>
      <c r="EX30" s="883"/>
      <c r="EY30" s="883"/>
      <c r="EZ30" s="873"/>
      <c r="FA30" s="879">
        <f>SUM(EO30:EZ30)</f>
        <v>0</v>
      </c>
      <c r="FC30" s="843" t="str">
        <f t="shared" si="49"/>
        <v/>
      </c>
      <c r="FD30" s="844" t="str">
        <f t="shared" si="50"/>
        <v/>
      </c>
      <c r="FE30" s="845">
        <f t="shared" si="54"/>
        <v>0</v>
      </c>
      <c r="FF30" s="846">
        <f t="shared" si="22"/>
        <v>0</v>
      </c>
    </row>
    <row r="31" spans="1:164" ht="15" customHeight="1" x14ac:dyDescent="0.25">
      <c r="A31" s="133"/>
      <c r="B31" s="880"/>
      <c r="C31" s="880"/>
      <c r="D31" s="880"/>
      <c r="E31" s="880"/>
      <c r="F31" s="880"/>
      <c r="G31" s="880"/>
      <c r="H31" s="880"/>
      <c r="I31" s="880"/>
      <c r="J31" s="880"/>
      <c r="K31" s="880"/>
      <c r="L31" s="880"/>
      <c r="M31" s="881"/>
      <c r="N31" s="882"/>
      <c r="O31" s="880"/>
      <c r="P31" s="880"/>
      <c r="Q31" s="880"/>
      <c r="R31" s="880"/>
      <c r="S31" s="880"/>
      <c r="T31" s="880"/>
      <c r="U31" s="880"/>
      <c r="V31" s="880"/>
      <c r="W31" s="880"/>
      <c r="X31" s="880"/>
      <c r="Y31" s="880"/>
      <c r="Z31" s="881"/>
      <c r="AA31" s="882"/>
      <c r="AB31" s="880"/>
      <c r="AC31" s="880"/>
      <c r="AD31" s="880"/>
      <c r="AE31" s="880"/>
      <c r="AF31" s="880"/>
      <c r="AG31" s="880"/>
      <c r="AH31" s="880"/>
      <c r="AI31" s="880"/>
      <c r="AJ31" s="880"/>
      <c r="AK31" s="880"/>
      <c r="AL31" s="880"/>
      <c r="AM31" s="881"/>
      <c r="AN31" s="882"/>
      <c r="AO31" s="880"/>
      <c r="AP31" s="880"/>
      <c r="AQ31" s="880"/>
      <c r="AR31" s="880"/>
      <c r="AS31" s="880"/>
      <c r="AT31" s="880"/>
      <c r="AU31" s="880"/>
      <c r="AV31" s="880"/>
      <c r="AW31" s="880"/>
      <c r="AX31" s="880"/>
      <c r="AY31" s="880"/>
      <c r="AZ31" s="881"/>
      <c r="BA31" s="882"/>
      <c r="BB31" s="880"/>
      <c r="BC31" s="880"/>
      <c r="BD31" s="880"/>
      <c r="BE31" s="880"/>
      <c r="BF31" s="880"/>
      <c r="BG31" s="880"/>
      <c r="BH31" s="880"/>
      <c r="BI31" s="880"/>
      <c r="BJ31" s="880"/>
      <c r="BK31" s="880"/>
      <c r="BL31" s="880"/>
      <c r="BM31" s="881"/>
      <c r="BN31" s="882"/>
      <c r="BO31" s="880"/>
      <c r="BP31" s="880"/>
      <c r="BQ31" s="880"/>
      <c r="BR31" s="880"/>
      <c r="BS31" s="880"/>
      <c r="BT31" s="880"/>
      <c r="BU31" s="880"/>
      <c r="BV31" s="880"/>
      <c r="BW31" s="880"/>
      <c r="BX31" s="880"/>
      <c r="BY31" s="880"/>
      <c r="BZ31" s="881"/>
      <c r="CA31" s="882"/>
      <c r="CB31" s="880"/>
      <c r="CC31" s="880"/>
      <c r="CD31" s="880"/>
      <c r="CE31" s="880"/>
      <c r="CF31" s="880"/>
      <c r="CG31" s="880"/>
      <c r="CH31" s="880"/>
      <c r="CI31" s="880"/>
      <c r="CJ31" s="880"/>
      <c r="CK31" s="880"/>
      <c r="CL31" s="880"/>
      <c r="CM31" s="881"/>
      <c r="CN31" s="882"/>
      <c r="CO31" s="880"/>
      <c r="CP31" s="880"/>
      <c r="CQ31" s="880"/>
      <c r="CR31" s="880"/>
      <c r="CS31" s="880"/>
      <c r="CT31" s="880"/>
      <c r="CU31" s="880"/>
      <c r="CV31" s="880"/>
      <c r="CW31" s="880"/>
      <c r="CX31" s="880"/>
      <c r="CY31" s="880"/>
      <c r="CZ31" s="881"/>
      <c r="DA31" s="882"/>
      <c r="DB31" s="880"/>
      <c r="DC31" s="880"/>
      <c r="DD31" s="880"/>
      <c r="DE31" s="880"/>
      <c r="DF31" s="880"/>
      <c r="DG31" s="880"/>
      <c r="DH31" s="880"/>
      <c r="DI31" s="880"/>
      <c r="DJ31" s="880"/>
      <c r="DK31" s="880"/>
      <c r="DL31" s="880"/>
      <c r="DM31" s="881"/>
      <c r="DN31" s="882"/>
      <c r="DO31" s="880"/>
      <c r="DP31" s="880"/>
      <c r="DQ31" s="880"/>
      <c r="DR31" s="880"/>
      <c r="DS31" s="880"/>
      <c r="DT31" s="880"/>
      <c r="DU31" s="880"/>
      <c r="DV31" s="880"/>
      <c r="DW31" s="880"/>
      <c r="DX31" s="880"/>
      <c r="DY31" s="880"/>
      <c r="DZ31" s="881"/>
      <c r="EA31" s="882"/>
      <c r="EB31" s="880"/>
      <c r="EC31" s="880"/>
      <c r="ED31" s="880"/>
      <c r="EE31" s="880"/>
      <c r="EF31" s="880"/>
      <c r="EG31" s="880"/>
      <c r="EH31" s="880"/>
      <c r="EI31" s="880"/>
      <c r="EJ31" s="880"/>
      <c r="EK31" s="880"/>
      <c r="EL31" s="880"/>
      <c r="EM31" s="881"/>
      <c r="EN31" s="882"/>
      <c r="EO31" s="880"/>
      <c r="EP31" s="880"/>
      <c r="EQ31" s="880"/>
      <c r="ER31" s="880"/>
      <c r="ES31" s="880"/>
      <c r="ET31" s="880"/>
      <c r="EU31" s="880"/>
      <c r="EV31" s="978"/>
      <c r="EW31" s="880"/>
      <c r="EX31" s="880"/>
      <c r="EY31" s="880"/>
      <c r="EZ31" s="881"/>
      <c r="FA31" s="882"/>
      <c r="FC31" s="340"/>
      <c r="FD31" s="228"/>
      <c r="FE31" s="305"/>
      <c r="FF31" s="218"/>
    </row>
    <row r="32" spans="1:164" ht="15" customHeight="1" x14ac:dyDescent="0.25">
      <c r="A32" s="131" t="s">
        <v>244</v>
      </c>
      <c r="FC32" s="205"/>
      <c r="FD32" s="205"/>
    </row>
    <row r="33" spans="1:164" ht="15" customHeight="1" x14ac:dyDescent="0.25">
      <c r="A33" s="175" t="s">
        <v>145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FC33" s="205"/>
      <c r="FD33" s="205"/>
    </row>
    <row r="34" spans="1:164" ht="15" customHeight="1" x14ac:dyDescent="0.25">
      <c r="B34" s="886"/>
      <c r="C34" s="886"/>
      <c r="D34" s="886"/>
      <c r="E34" s="886"/>
      <c r="F34" s="886"/>
      <c r="G34" s="886"/>
      <c r="H34" s="886"/>
      <c r="I34" s="886"/>
      <c r="J34" s="886"/>
      <c r="K34" s="886"/>
      <c r="L34" s="886"/>
      <c r="M34" s="886"/>
      <c r="N34" s="886"/>
      <c r="O34" s="886"/>
      <c r="P34" s="886"/>
      <c r="Q34" s="886"/>
      <c r="R34" s="886"/>
      <c r="S34" s="886"/>
      <c r="T34" s="886"/>
      <c r="U34" s="886"/>
      <c r="V34" s="886"/>
      <c r="W34" s="886"/>
      <c r="X34" s="886"/>
      <c r="Y34" s="886"/>
      <c r="Z34" s="886"/>
      <c r="AA34" s="886"/>
      <c r="AB34" s="886"/>
      <c r="AC34" s="886"/>
      <c r="AD34" s="886"/>
      <c r="AE34" s="886"/>
      <c r="AF34" s="886"/>
      <c r="AG34" s="886"/>
      <c r="AH34" s="886"/>
      <c r="AI34" s="886"/>
      <c r="AJ34" s="886">
        <f>((AJ35/AI35)-1)*100</f>
        <v>-2.00000000000089E-2</v>
      </c>
      <c r="AK34" s="886">
        <f>((AK35/AJ35)-1)*100</f>
        <v>-0.46999999999999265</v>
      </c>
      <c r="AL34" s="886">
        <f>((AL35/AK35)-1)*100</f>
        <v>-0.20000000000002238</v>
      </c>
      <c r="AM34" s="886">
        <f>((AM35/AL35)-1)*100</f>
        <v>0.16000000000000458</v>
      </c>
      <c r="AN34" s="886"/>
      <c r="AO34" s="886">
        <f>((AO35/AM35)-1)*100</f>
        <v>0.12999999999998568</v>
      </c>
      <c r="AP34" s="886">
        <f t="shared" ref="AP34:AV34" si="103">((AP35/AO35)-1)*100</f>
        <v>0.25000000000001688</v>
      </c>
      <c r="AQ34" s="886">
        <f t="shared" si="103"/>
        <v>0.48999999999999044</v>
      </c>
      <c r="AR34" s="886">
        <f t="shared" si="103"/>
        <v>-0.13999999999998458</v>
      </c>
      <c r="AS34" s="886">
        <f t="shared" si="103"/>
        <v>1.9999999999997797E-2</v>
      </c>
      <c r="AT34" s="886">
        <f t="shared" si="103"/>
        <v>0.32999999999998586</v>
      </c>
      <c r="AU34" s="886">
        <f t="shared" si="103"/>
        <v>0.37999999999998035</v>
      </c>
      <c r="AV34" s="886">
        <f t="shared" si="103"/>
        <v>0.13000000000000789</v>
      </c>
      <c r="AW34" s="886">
        <f>((AW35/AV35)-1)*100</f>
        <v>0.19000000000000128</v>
      </c>
      <c r="AX34" s="886">
        <f>((AX35/AW35)-1)*100</f>
        <v>7.9999999999991189E-2</v>
      </c>
      <c r="AY34" s="886">
        <f>((AY35/AX35)-1)*100</f>
        <v>0.11999999999998678</v>
      </c>
      <c r="AZ34" s="886">
        <f>((AZ35/AY35)-1)*100</f>
        <v>0.18000000000000238</v>
      </c>
      <c r="BA34" s="886"/>
      <c r="BB34" s="886">
        <f>((BB35/AZ35)-1)*100</f>
        <v>6.9999999999992291E-2</v>
      </c>
      <c r="BC34" s="886">
        <f t="shared" ref="BC34:BI34" si="104">((BC35/BB35)-1)*100</f>
        <v>0.13000000000000789</v>
      </c>
      <c r="BD34" s="886">
        <f t="shared" si="104"/>
        <v>0.72999999999998622</v>
      </c>
      <c r="BE34" s="886">
        <f t="shared" si="104"/>
        <v>0.20000000000000018</v>
      </c>
      <c r="BF34" s="886">
        <f t="shared" si="104"/>
        <v>0.15000000000000568</v>
      </c>
      <c r="BG34" s="886">
        <f t="shared" si="104"/>
        <v>-9.0000000000045599E-2</v>
      </c>
      <c r="BH34" s="886">
        <f t="shared" si="104"/>
        <v>0.20000000000004459</v>
      </c>
      <c r="BI34" s="886">
        <f t="shared" si="104"/>
        <v>6.0000000000015596E-2</v>
      </c>
      <c r="BJ34" s="886">
        <f>((BJ35/BI35)-1)*100</f>
        <v>9.9999999999988987E-3</v>
      </c>
      <c r="BK34" s="886">
        <f>((BK35/BJ35)-1)*100</f>
        <v>0.10999999999998789</v>
      </c>
      <c r="BL34" s="886">
        <f>((BL35/BK35)-1)*100</f>
        <v>0.10999999999998789</v>
      </c>
      <c r="BM34" s="886">
        <f>((BM35/BL35)-1)*100</f>
        <v>0.20999999999999908</v>
      </c>
      <c r="BN34" s="886"/>
      <c r="BO34" s="886">
        <f>((BO35/BM35)-1)*100</f>
        <v>5.0000000000038902E-2</v>
      </c>
      <c r="BP34" s="886">
        <f t="shared" ref="BP34:BZ34" si="105">((BP35/BO35)-1)*100</f>
        <v>0.13999999999998458</v>
      </c>
      <c r="BQ34" s="886">
        <f t="shared" si="105"/>
        <v>0.64999999999999503</v>
      </c>
      <c r="BR34" s="886">
        <f t="shared" si="105"/>
        <v>9.9999999999988987E-2</v>
      </c>
      <c r="BS34" s="886">
        <f t="shared" si="105"/>
        <v>0.20000000000000018</v>
      </c>
      <c r="BT34" s="886">
        <f t="shared" si="105"/>
        <v>-0.27000000000000357</v>
      </c>
      <c r="BU34" s="886">
        <f t="shared" si="105"/>
        <v>0.45999999999999375</v>
      </c>
      <c r="BV34" s="886">
        <f t="shared" si="105"/>
        <v>-0.11000000000038757</v>
      </c>
      <c r="BW34" s="886">
        <f t="shared" si="105"/>
        <v>0.14000000000031765</v>
      </c>
      <c r="BX34" s="886">
        <f t="shared" si="105"/>
        <v>2.0000000000131024E-2</v>
      </c>
      <c r="BY34" s="886">
        <f t="shared" si="105"/>
        <v>0.52000000000000934</v>
      </c>
      <c r="BZ34" s="886">
        <f t="shared" si="105"/>
        <v>4.9999999999994493E-2</v>
      </c>
      <c r="CA34" s="886"/>
      <c r="CB34" s="886">
        <f>((CB35/BZ35)-1)*100</f>
        <v>0.74000000000000732</v>
      </c>
      <c r="CC34" s="886">
        <f t="shared" ref="CC34:CM34" si="106">((CC35/CB35)-1)*100</f>
        <v>-0.12999999999998568</v>
      </c>
      <c r="CD34" s="886">
        <f t="shared" si="106"/>
        <v>0.83999999999999631</v>
      </c>
      <c r="CE34" s="886">
        <f t="shared" si="106"/>
        <v>-0.10000000000000009</v>
      </c>
      <c r="CF34" s="886">
        <f t="shared" si="106"/>
        <v>0.26999999999999247</v>
      </c>
      <c r="CG34" s="886">
        <f t="shared" si="106"/>
        <v>0.52000000000009816</v>
      </c>
      <c r="CH34" s="886">
        <f t="shared" si="106"/>
        <v>1.009999999999911</v>
      </c>
      <c r="CI34" s="886">
        <f t="shared" si="106"/>
        <v>0.98000000000000309</v>
      </c>
      <c r="CJ34" s="886">
        <f t="shared" si="106"/>
        <v>0.40000000000000036</v>
      </c>
      <c r="CK34" s="886">
        <f t="shared" si="106"/>
        <v>0.58000000000000274</v>
      </c>
      <c r="CL34" s="886">
        <f t="shared" si="106"/>
        <v>0.36000000000000476</v>
      </c>
      <c r="CM34" s="886">
        <f t="shared" si="106"/>
        <v>0.78000000000000291</v>
      </c>
      <c r="CN34" s="886"/>
      <c r="CO34" s="886">
        <f>((CO35/CM35)-1)*100</f>
        <v>3.9999999999995595E-2</v>
      </c>
      <c r="CP34" s="886">
        <f t="shared" ref="CP34:CZ34" si="107">((CP35/CO35)-1)*100</f>
        <v>0.31145630976847638</v>
      </c>
      <c r="CQ34" s="886">
        <f t="shared" si="107"/>
        <v>1.4799999999999924</v>
      </c>
      <c r="CR34" s="886">
        <f t="shared" si="107"/>
        <v>0.96000000000000529</v>
      </c>
      <c r="CS34" s="886">
        <f t="shared" si="107"/>
        <v>0.38000000000000256</v>
      </c>
      <c r="CT34" s="886">
        <f t="shared" si="107"/>
        <v>1.1900000000000022</v>
      </c>
      <c r="CU34" s="886">
        <f t="shared" si="107"/>
        <v>0.9400000000000075</v>
      </c>
      <c r="CV34" s="886">
        <f t="shared" si="107"/>
        <v>0.66999999999999282</v>
      </c>
      <c r="CW34" s="886">
        <f t="shared" si="107"/>
        <v>0.52000000000000934</v>
      </c>
      <c r="CX34" s="886">
        <f t="shared" si="107"/>
        <v>0.35000000000000586</v>
      </c>
      <c r="CY34" s="886">
        <f t="shared" si="107"/>
        <v>0.52000000000000934</v>
      </c>
      <c r="CZ34" s="886">
        <f t="shared" si="107"/>
        <v>0.79000000000000181</v>
      </c>
      <c r="DA34" s="886"/>
      <c r="DB34" s="886">
        <f>((DB35/CZ35)-1)*100</f>
        <v>0.22999999999999687</v>
      </c>
      <c r="DC34" s="886">
        <f t="shared" ref="DC34:DM34" si="108">((DC35/DB35)-1)*100</f>
        <v>0.28999999999999027</v>
      </c>
      <c r="DD34" s="886">
        <f t="shared" si="108"/>
        <v>1.2499999999999956</v>
      </c>
      <c r="DE34" s="886">
        <f t="shared" si="108"/>
        <v>0.56000000000000494</v>
      </c>
      <c r="DF34" s="886">
        <f t="shared" si="108"/>
        <v>0.32000000000000917</v>
      </c>
      <c r="DG34" s="886">
        <f t="shared" si="108"/>
        <v>-0.14999999999999458</v>
      </c>
      <c r="DH34" s="886">
        <f t="shared" si="108"/>
        <v>0.39000000000000146</v>
      </c>
      <c r="DI34" s="886">
        <f t="shared" si="108"/>
        <v>0.38000000000000256</v>
      </c>
      <c r="DJ34" s="886">
        <f t="shared" si="108"/>
        <v>1.9999999999997797E-2</v>
      </c>
      <c r="DK34" s="886">
        <f t="shared" si="108"/>
        <v>-0.31999999999999806</v>
      </c>
      <c r="DL34" s="886">
        <f t="shared" si="108"/>
        <v>-0.16000000000000458</v>
      </c>
      <c r="DM34" s="886">
        <f t="shared" si="108"/>
        <v>0.40999999999999925</v>
      </c>
      <c r="DN34" s="886"/>
      <c r="DO34" s="886">
        <f>((DO35/DM35)-1)*100</f>
        <v>1.9999999999997797E-2</v>
      </c>
      <c r="DP34" s="886">
        <f t="shared" ref="DP34:DZ34" si="109">((DP35/DO35)-1)*100</f>
        <v>0.56000000000000494</v>
      </c>
      <c r="DQ34" s="886">
        <f t="shared" si="109"/>
        <v>1.0099999999999998</v>
      </c>
      <c r="DR34" s="886">
        <f t="shared" si="109"/>
        <v>-4.9999999999994493E-2</v>
      </c>
      <c r="DS34" s="886">
        <f t="shared" si="109"/>
        <v>-9.000000000000119E-2</v>
      </c>
      <c r="DT34" s="886">
        <f t="shared" si="109"/>
        <v>0.12000000000000899</v>
      </c>
      <c r="DU34" s="886">
        <f t="shared" si="109"/>
        <v>0.23999999999999577</v>
      </c>
      <c r="DV34" s="886">
        <f t="shared" si="109"/>
        <v>0.27999999999999137</v>
      </c>
      <c r="DW34" s="886">
        <f t="shared" si="109"/>
        <v>-0.23999999999999577</v>
      </c>
      <c r="DX34" s="886">
        <f t="shared" si="109"/>
        <v>-8.9999999999990088E-2</v>
      </c>
      <c r="DY34" s="886">
        <f t="shared" si="109"/>
        <v>8.9999999999990088E-2</v>
      </c>
      <c r="DZ34" s="886">
        <f t="shared" si="109"/>
        <v>0.11000000000001009</v>
      </c>
      <c r="EA34" s="886"/>
      <c r="EB34" s="886">
        <f>((EB35/DM35)-1)*100</f>
        <v>1.8795402983314169</v>
      </c>
      <c r="EC34" s="886">
        <f t="shared" ref="EC34:EM34" si="110">((EC35/EB35)-1)*100</f>
        <v>0.19000000000000128</v>
      </c>
      <c r="ED34" s="886">
        <f t="shared" si="110"/>
        <v>0.80999999999999961</v>
      </c>
      <c r="EE34" s="886">
        <f t="shared" si="110"/>
        <v>0.32000000000000917</v>
      </c>
      <c r="EF34" s="886">
        <f t="shared" si="110"/>
        <v>-6.0000000000004494E-2</v>
      </c>
      <c r="EG34" s="886">
        <f t="shared" si="110"/>
        <v>0.13000000000000789</v>
      </c>
      <c r="EH34" s="886">
        <f t="shared" si="110"/>
        <v>0.22999999999999687</v>
      </c>
      <c r="EI34" s="886">
        <f t="shared" si="110"/>
        <v>-0.29000000000000137</v>
      </c>
      <c r="EJ34" s="886">
        <f t="shared" si="110"/>
        <v>9.9999999999988987E-3</v>
      </c>
      <c r="EK34" s="886">
        <f t="shared" si="110"/>
        <v>-0.10000000000000009</v>
      </c>
      <c r="EL34" s="886">
        <f t="shared" si="110"/>
        <v>0.11000000000001009</v>
      </c>
      <c r="EM34" s="886">
        <f t="shared" si="110"/>
        <v>0.23999999999999577</v>
      </c>
      <c r="EN34" s="886"/>
      <c r="EO34" s="886">
        <f>((EO35/DZ35)-1)*100</f>
        <v>1.6075533732636593</v>
      </c>
      <c r="EP34" s="886">
        <f t="shared" ref="EP34" si="111">((EP35/EO35)-1)*100</f>
        <v>0.68999999999999062</v>
      </c>
      <c r="EQ34" s="886">
        <f>((EQ35/EP35)-1)*100</f>
        <v>2.3800000000000043</v>
      </c>
      <c r="ER34" s="886">
        <f>((ER35/EQ35)-1)*100</f>
        <v>0.52000000000000934</v>
      </c>
      <c r="ES34" s="886">
        <f>((ES35/ER35)-1)*100</f>
        <v>-0.16000000000000458</v>
      </c>
      <c r="ET34" s="886">
        <f>((ET35/ES35)-1)*100</f>
        <v>0.22999999999999687</v>
      </c>
      <c r="EU34" s="886">
        <f>((EU35/ET35)-1)*100</f>
        <v>0.28999999999999027</v>
      </c>
      <c r="EV34" s="974">
        <f t="shared" ref="EV34" si="112">((EV35/EU35)-1)*100</f>
        <v>6.9999999999992291E-2</v>
      </c>
      <c r="EW34" s="886"/>
      <c r="EX34" s="886"/>
      <c r="EY34" s="886"/>
      <c r="EZ34" s="886"/>
      <c r="FA34" s="886"/>
    </row>
    <row r="35" spans="1:164" ht="15" customHeight="1" x14ac:dyDescent="0.25">
      <c r="A35" s="681" t="s">
        <v>237</v>
      </c>
      <c r="B35" s="886">
        <v>1.2724457879714965</v>
      </c>
      <c r="C35" s="886">
        <v>1.2762631253354111</v>
      </c>
      <c r="D35" s="886">
        <v>1.2859627250879599</v>
      </c>
      <c r="E35" s="886">
        <v>1.290977979715803</v>
      </c>
      <c r="F35" s="886">
        <v>1.2982074564022117</v>
      </c>
      <c r="G35" s="886">
        <v>1.3024915410083393</v>
      </c>
      <c r="H35" s="886">
        <v>1.3083527529428765</v>
      </c>
      <c r="I35" s="886">
        <v>1.3133244934040593</v>
      </c>
      <c r="J35" s="886">
        <v>1.3137184907520796</v>
      </c>
      <c r="K35" s="886">
        <v>1.3155576966391334</v>
      </c>
      <c r="L35" s="886">
        <v>1.3200305928077065</v>
      </c>
      <c r="M35" s="886">
        <v>1.3259707304753412</v>
      </c>
      <c r="N35" s="886"/>
      <c r="O35" s="886">
        <v>1.3308768221781</v>
      </c>
      <c r="P35" s="886">
        <v>1.3331393127758029</v>
      </c>
      <c r="Q35" s="886">
        <v>1.3411381486524576</v>
      </c>
      <c r="R35" s="886">
        <v>1.3412722624673228</v>
      </c>
      <c r="S35" s="886">
        <v>1.3440889342185038</v>
      </c>
      <c r="T35" s="886">
        <v>1.3459706587264098</v>
      </c>
      <c r="U35" s="886">
        <v>1.3470474352533908</v>
      </c>
      <c r="V35" s="886">
        <v>1.3518968060203032</v>
      </c>
      <c r="W35" s="886">
        <v>1.3547357893129455</v>
      </c>
      <c r="X35" s="886">
        <v>1.3602902060491286</v>
      </c>
      <c r="Y35" s="886">
        <v>1.3642350476466711</v>
      </c>
      <c r="Z35" s="886">
        <v>1.3687370233039053</v>
      </c>
      <c r="AA35" s="886"/>
      <c r="AB35" s="886">
        <v>1.3720219921598344</v>
      </c>
      <c r="AC35" s="886">
        <v>1.376412462534746</v>
      </c>
      <c r="AD35" s="886">
        <v>1.3943058245476976</v>
      </c>
      <c r="AE35" s="886">
        <v>1.3906806294038736</v>
      </c>
      <c r="AF35" s="886">
        <v>1.3848397707603775</v>
      </c>
      <c r="AG35" s="886">
        <v>1.382624027127161</v>
      </c>
      <c r="AH35" s="886">
        <v>1.3853892751814154</v>
      </c>
      <c r="AI35" s="886">
        <v>1.394671383325131</v>
      </c>
      <c r="AJ35" s="886">
        <v>1.3943924490484658</v>
      </c>
      <c r="AK35" s="886">
        <v>1.3878388045379382</v>
      </c>
      <c r="AL35" s="886">
        <v>1.385063126928862</v>
      </c>
      <c r="AM35" s="886">
        <v>1.3872792279319484</v>
      </c>
      <c r="AN35" s="886"/>
      <c r="AO35" s="886">
        <v>1.3890826909282596</v>
      </c>
      <c r="AP35" s="886">
        <v>1.3925553976555805</v>
      </c>
      <c r="AQ35" s="886">
        <v>1.3993789191040926</v>
      </c>
      <c r="AR35" s="886">
        <v>1.3974197886173472</v>
      </c>
      <c r="AS35" s="886">
        <v>1.3976992725750705</v>
      </c>
      <c r="AT35" s="886">
        <v>1.4023116801745681</v>
      </c>
      <c r="AU35" s="886">
        <v>1.4076404645592313</v>
      </c>
      <c r="AV35" s="886">
        <v>1.4094703971631584</v>
      </c>
      <c r="AW35" s="886">
        <v>1.4121483909177683</v>
      </c>
      <c r="AX35" s="886">
        <v>1.4132781096305025</v>
      </c>
      <c r="AY35" s="886">
        <v>1.414974043362059</v>
      </c>
      <c r="AZ35" s="886">
        <v>1.4175209966401108</v>
      </c>
      <c r="BA35" s="886"/>
      <c r="BB35" s="886">
        <v>1.4185132613377587</v>
      </c>
      <c r="BC35" s="886">
        <v>1.4203573285774977</v>
      </c>
      <c r="BD35" s="886">
        <v>1.4307259370761134</v>
      </c>
      <c r="BE35" s="886">
        <v>1.4335873889502657</v>
      </c>
      <c r="BF35" s="886">
        <v>1.4357377700336911</v>
      </c>
      <c r="BG35" s="886">
        <v>1.4344456060406601</v>
      </c>
      <c r="BH35" s="886">
        <v>1.4373144972527421</v>
      </c>
      <c r="BI35" s="886">
        <v>1.4381768859510939</v>
      </c>
      <c r="BJ35" s="886">
        <v>1.438320703639689</v>
      </c>
      <c r="BK35" s="886">
        <v>1.4399028564136926</v>
      </c>
      <c r="BL35" s="886">
        <v>1.4414867495557475</v>
      </c>
      <c r="BM35" s="886">
        <v>1.4445138717298147</v>
      </c>
      <c r="BN35" s="886"/>
      <c r="BO35" s="886">
        <v>1.4452361286656801</v>
      </c>
      <c r="BP35" s="886">
        <v>1.4472594592458117</v>
      </c>
      <c r="BQ35" s="886">
        <v>1.4566666457309094</v>
      </c>
      <c r="BR35" s="886">
        <v>1.4581233123766402</v>
      </c>
      <c r="BS35" s="886">
        <v>1.4610395590013934</v>
      </c>
      <c r="BT35" s="886">
        <v>1.4570947521920896</v>
      </c>
      <c r="BU35" s="886">
        <v>1.4637973880521731</v>
      </c>
      <c r="BV35" s="886">
        <v>1.46218721092531</v>
      </c>
      <c r="BW35" s="886">
        <v>1.4642342730206099</v>
      </c>
      <c r="BX35" s="886">
        <v>1.4645271198752159</v>
      </c>
      <c r="BY35" s="886">
        <v>1.472142660898567</v>
      </c>
      <c r="BZ35" s="886">
        <v>1.4728787322290162</v>
      </c>
      <c r="CA35" s="886"/>
      <c r="CB35" s="886">
        <v>1.4837780348475111</v>
      </c>
      <c r="CC35" s="886">
        <v>1.4818491234022095</v>
      </c>
      <c r="CD35" s="886">
        <v>1.494296656038788</v>
      </c>
      <c r="CE35" s="886">
        <v>1.4928023593827493</v>
      </c>
      <c r="CF35" s="886">
        <v>1.4968329257530826</v>
      </c>
      <c r="CG35" s="886">
        <v>1.504616456967</v>
      </c>
      <c r="CH35" s="886">
        <v>1.5198130831823653</v>
      </c>
      <c r="CI35" s="886">
        <v>1.5347072513975526</v>
      </c>
      <c r="CJ35" s="886">
        <v>1.5408460804031427</v>
      </c>
      <c r="CK35" s="886">
        <v>1.5497829876694811</v>
      </c>
      <c r="CL35" s="886">
        <v>1.5553622064250914</v>
      </c>
      <c r="CM35" s="886">
        <v>1.5674940316352071</v>
      </c>
      <c r="CN35" s="886"/>
      <c r="CO35" s="886">
        <v>1.5681210292478611</v>
      </c>
      <c r="CP35" s="886">
        <v>1.5730050411382599</v>
      </c>
      <c r="CQ35" s="886">
        <v>1.5962855157471061</v>
      </c>
      <c r="CR35" s="886">
        <v>1.6116098566982784</v>
      </c>
      <c r="CS35" s="886">
        <v>1.617733974153732</v>
      </c>
      <c r="CT35" s="886">
        <v>1.6369850084461615</v>
      </c>
      <c r="CU35" s="886">
        <v>1.6523726675255554</v>
      </c>
      <c r="CV35" s="886">
        <v>1.6634435643979766</v>
      </c>
      <c r="CW35" s="886">
        <v>1.6720934709328463</v>
      </c>
      <c r="CX35" s="886">
        <v>1.6779457980811114</v>
      </c>
      <c r="CY35" s="886">
        <v>1.6866711162311334</v>
      </c>
      <c r="CZ35" s="886">
        <v>1.6999958180493595</v>
      </c>
      <c r="DA35" s="886"/>
      <c r="DB35" s="886">
        <v>1.7039058084308729</v>
      </c>
      <c r="DC35" s="886">
        <v>1.7088471352753223</v>
      </c>
      <c r="DD35" s="886">
        <v>1.7302077244662637</v>
      </c>
      <c r="DE35" s="886">
        <v>1.7398968877232748</v>
      </c>
      <c r="DF35" s="886">
        <v>1.7454645577639893</v>
      </c>
      <c r="DG35" s="886">
        <v>1.7428463609273435</v>
      </c>
      <c r="DH35" s="886">
        <v>1.7496434617349601</v>
      </c>
      <c r="DI35" s="886">
        <v>1.756292106889553</v>
      </c>
      <c r="DJ35" s="886">
        <v>1.7566433653109308</v>
      </c>
      <c r="DK35" s="886">
        <v>1.7510221065419358</v>
      </c>
      <c r="DL35" s="886">
        <v>1.7482204711714686</v>
      </c>
      <c r="DM35" s="886">
        <v>1.7553881751032716</v>
      </c>
      <c r="DN35" s="886"/>
      <c r="DO35" s="886">
        <v>1.7557392527382922</v>
      </c>
      <c r="DP35" s="886">
        <v>1.7655713925536267</v>
      </c>
      <c r="DQ35" s="886">
        <v>1.7834036636184183</v>
      </c>
      <c r="DR35" s="886">
        <v>1.7825119617866092</v>
      </c>
      <c r="DS35" s="886">
        <v>1.7809077010210013</v>
      </c>
      <c r="DT35" s="886">
        <v>1.7830447902622266</v>
      </c>
      <c r="DU35" s="886">
        <v>1.7873240977588558</v>
      </c>
      <c r="DV35" s="886">
        <v>1.7923286052325804</v>
      </c>
      <c r="DW35" s="886">
        <v>1.7880270165800223</v>
      </c>
      <c r="DX35" s="886">
        <v>1.7864177922651003</v>
      </c>
      <c r="DY35" s="886">
        <v>1.7880255682781387</v>
      </c>
      <c r="DZ35" s="886">
        <v>1.7899923964032449</v>
      </c>
      <c r="EA35" s="886"/>
      <c r="EB35" s="886">
        <v>1.788381403246482</v>
      </c>
      <c r="EC35" s="886">
        <v>1.7917793279126504</v>
      </c>
      <c r="ED35" s="886">
        <v>1.8062927404687428</v>
      </c>
      <c r="EE35" s="886">
        <v>1.8120728772382428</v>
      </c>
      <c r="EF35" s="886">
        <v>1.8109856335118999</v>
      </c>
      <c r="EG35" s="886">
        <v>1.8133399148354654</v>
      </c>
      <c r="EH35" s="886">
        <v>1.817510596639587</v>
      </c>
      <c r="EI35" s="886">
        <v>1.8122398159093323</v>
      </c>
      <c r="EJ35" s="886">
        <v>1.8124210398909231</v>
      </c>
      <c r="EK35" s="886">
        <v>1.8106086188510322</v>
      </c>
      <c r="EL35" s="886">
        <v>1.8126002883317684</v>
      </c>
      <c r="EM35" s="886">
        <v>1.8169505290237646</v>
      </c>
      <c r="EN35" s="886"/>
      <c r="EO35" s="886">
        <v>1.8187674795527882</v>
      </c>
      <c r="EP35" s="886">
        <v>1.8313169751617022</v>
      </c>
      <c r="EQ35" s="886">
        <v>1.8749023191705507</v>
      </c>
      <c r="ER35" s="886">
        <v>1.8846518112302377</v>
      </c>
      <c r="ES35" s="886">
        <v>1.8816363683322692</v>
      </c>
      <c r="ET35" s="886">
        <v>1.8859641319794334</v>
      </c>
      <c r="EU35" s="886">
        <v>1.8914334279621736</v>
      </c>
      <c r="EV35" s="974">
        <v>1.892757431361747</v>
      </c>
      <c r="EW35" s="886"/>
      <c r="EX35" s="886"/>
      <c r="EY35" s="886"/>
      <c r="EZ35" s="886"/>
      <c r="FA35" s="886"/>
    </row>
    <row r="36" spans="1:164" ht="15" customHeight="1" x14ac:dyDescent="0.25">
      <c r="A36" s="681" t="s">
        <v>390</v>
      </c>
      <c r="FC36" s="127"/>
      <c r="FD36" s="127"/>
      <c r="FE36" s="127"/>
      <c r="FF36" s="127"/>
    </row>
    <row r="37" spans="1:164" ht="15" customHeight="1" x14ac:dyDescent="0.25">
      <c r="A37" s="775" t="s">
        <v>634</v>
      </c>
    </row>
    <row r="38" spans="1:164" s="753" customFormat="1" ht="15" customHeight="1" x14ac:dyDescent="0.25">
      <c r="A38" s="836"/>
      <c r="B38" s="474">
        <v>2015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758" t="s">
        <v>83</v>
      </c>
      <c r="O38" s="474">
        <v>2016</v>
      </c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758" t="s">
        <v>83</v>
      </c>
      <c r="AB38" s="474">
        <v>2017</v>
      </c>
      <c r="AC38" s="474"/>
      <c r="AD38" s="474"/>
      <c r="AE38" s="474"/>
      <c r="AF38" s="474"/>
      <c r="AG38" s="474"/>
      <c r="AH38" s="474"/>
      <c r="AI38" s="474"/>
      <c r="AJ38" s="474"/>
      <c r="AK38" s="474"/>
      <c r="AL38" s="474"/>
      <c r="AM38" s="474"/>
      <c r="AN38" s="758" t="s">
        <v>83</v>
      </c>
      <c r="AO38" s="474">
        <v>2018</v>
      </c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758" t="s">
        <v>83</v>
      </c>
      <c r="BB38" s="474">
        <v>2019</v>
      </c>
      <c r="BC38" s="474"/>
      <c r="BD38" s="474"/>
      <c r="BE38" s="474"/>
      <c r="BF38" s="474"/>
      <c r="BG38" s="474"/>
      <c r="BH38" s="474"/>
      <c r="BI38" s="474"/>
      <c r="BJ38" s="474"/>
      <c r="BK38" s="474"/>
      <c r="BL38" s="474"/>
      <c r="BM38" s="474"/>
      <c r="BN38" s="758" t="s">
        <v>83</v>
      </c>
      <c r="BO38" s="474">
        <v>2020</v>
      </c>
      <c r="BP38" s="474"/>
      <c r="BQ38" s="474"/>
      <c r="BR38" s="474"/>
      <c r="BS38" s="474"/>
      <c r="BT38" s="474"/>
      <c r="BU38" s="474"/>
      <c r="BV38" s="474"/>
      <c r="BW38" s="474"/>
      <c r="BX38" s="474"/>
      <c r="BY38" s="474"/>
      <c r="BZ38" s="474"/>
      <c r="CA38" s="758" t="s">
        <v>83</v>
      </c>
      <c r="CB38" s="474">
        <v>2021</v>
      </c>
      <c r="CC38" s="474"/>
      <c r="CD38" s="474"/>
      <c r="CE38" s="474"/>
      <c r="CF38" s="474"/>
      <c r="CG38" s="474"/>
      <c r="CH38" s="474"/>
      <c r="CI38" s="474"/>
      <c r="CJ38" s="474"/>
      <c r="CK38" s="474"/>
      <c r="CL38" s="474"/>
      <c r="CM38" s="474"/>
      <c r="CN38" s="758" t="s">
        <v>83</v>
      </c>
      <c r="CO38" s="474">
        <v>2022</v>
      </c>
      <c r="CP38" s="474"/>
      <c r="CQ38" s="474"/>
      <c r="CR38" s="474"/>
      <c r="CS38" s="474"/>
      <c r="CT38" s="474"/>
      <c r="CU38" s="474"/>
      <c r="CV38" s="474"/>
      <c r="CW38" s="474"/>
      <c r="CX38" s="474"/>
      <c r="CY38" s="474"/>
      <c r="CZ38" s="474"/>
      <c r="DA38" s="758" t="s">
        <v>83</v>
      </c>
      <c r="DB38" s="474">
        <v>2023</v>
      </c>
      <c r="DC38" s="474"/>
      <c r="DD38" s="474"/>
      <c r="DE38" s="474"/>
      <c r="DF38" s="474"/>
      <c r="DG38" s="474"/>
      <c r="DH38" s="474"/>
      <c r="DI38" s="474"/>
      <c r="DJ38" s="474"/>
      <c r="DK38" s="474"/>
      <c r="DL38" s="474"/>
      <c r="DM38" s="474"/>
      <c r="DN38" s="758" t="s">
        <v>83</v>
      </c>
      <c r="DO38" s="474">
        <v>2024</v>
      </c>
      <c r="DP38" s="474"/>
      <c r="DQ38" s="474"/>
      <c r="DR38" s="474"/>
      <c r="DS38" s="474"/>
      <c r="DT38" s="474"/>
      <c r="DU38" s="474"/>
      <c r="DV38" s="474"/>
      <c r="DW38" s="474"/>
      <c r="DX38" s="474"/>
      <c r="DY38" s="474"/>
      <c r="DZ38" s="474"/>
      <c r="EA38" s="758" t="s">
        <v>83</v>
      </c>
      <c r="EB38" s="474">
        <v>2025</v>
      </c>
      <c r="EC38" s="474"/>
      <c r="ED38" s="474"/>
      <c r="EE38" s="474"/>
      <c r="EF38" s="474"/>
      <c r="EG38" s="474"/>
      <c r="EH38" s="474"/>
      <c r="EI38" s="474"/>
      <c r="EJ38" s="474"/>
      <c r="EK38" s="474"/>
      <c r="EL38" s="474"/>
      <c r="EM38" s="474"/>
      <c r="EN38" s="758" t="s">
        <v>83</v>
      </c>
      <c r="EO38" s="474">
        <v>2026</v>
      </c>
      <c r="EP38" s="474"/>
      <c r="EQ38" s="474"/>
      <c r="ER38" s="474"/>
      <c r="ES38" s="474"/>
      <c r="ET38" s="474"/>
      <c r="EU38" s="474"/>
      <c r="EV38" s="976"/>
      <c r="EW38" s="474"/>
      <c r="EX38" s="474"/>
      <c r="EY38" s="474"/>
      <c r="EZ38" s="474"/>
      <c r="FA38" s="758" t="s">
        <v>83</v>
      </c>
      <c r="FC38" s="984" t="str">
        <f>CONCATENATE("Var.% ",FF38,"/",FE38)</f>
        <v>Var.% 2026/2025</v>
      </c>
      <c r="FD38" s="985"/>
      <c r="FE38" s="478">
        <f>FF38-1</f>
        <v>2025</v>
      </c>
      <c r="FF38" s="478">
        <f>YEAR(FC39)</f>
        <v>2026</v>
      </c>
      <c r="FH38" s="795"/>
    </row>
    <row r="39" spans="1:164" s="753" customFormat="1" ht="15" customHeight="1" x14ac:dyDescent="0.25">
      <c r="A39" s="837"/>
      <c r="B39" s="645">
        <v>42005</v>
      </c>
      <c r="C39" s="645">
        <v>42036</v>
      </c>
      <c r="D39" s="645">
        <v>42064</v>
      </c>
      <c r="E39" s="645">
        <v>42095</v>
      </c>
      <c r="F39" s="645">
        <v>42125</v>
      </c>
      <c r="G39" s="645">
        <v>42156</v>
      </c>
      <c r="H39" s="645">
        <v>42186</v>
      </c>
      <c r="I39" s="645">
        <v>42217</v>
      </c>
      <c r="J39" s="645">
        <v>42248</v>
      </c>
      <c r="K39" s="645">
        <v>42278</v>
      </c>
      <c r="L39" s="645">
        <v>42309</v>
      </c>
      <c r="M39" s="645">
        <v>42339</v>
      </c>
      <c r="N39" s="759">
        <f t="shared" ref="N39" si="113">YEAR(M39)</f>
        <v>2015</v>
      </c>
      <c r="O39" s="645">
        <v>42370</v>
      </c>
      <c r="P39" s="645">
        <v>42401</v>
      </c>
      <c r="Q39" s="645">
        <v>42430</v>
      </c>
      <c r="R39" s="645">
        <v>42461</v>
      </c>
      <c r="S39" s="645">
        <v>42491</v>
      </c>
      <c r="T39" s="645">
        <v>42522</v>
      </c>
      <c r="U39" s="645">
        <v>42552</v>
      </c>
      <c r="V39" s="645">
        <v>42583</v>
      </c>
      <c r="W39" s="645">
        <v>42614</v>
      </c>
      <c r="X39" s="645">
        <v>42644</v>
      </c>
      <c r="Y39" s="645">
        <v>42675</v>
      </c>
      <c r="Z39" s="645">
        <v>42705</v>
      </c>
      <c r="AA39" s="759">
        <f t="shared" ref="AA39" si="114">YEAR(Z39)</f>
        <v>2016</v>
      </c>
      <c r="AB39" s="645">
        <v>42736</v>
      </c>
      <c r="AC39" s="645">
        <v>42767</v>
      </c>
      <c r="AD39" s="645">
        <v>42795</v>
      </c>
      <c r="AE39" s="645">
        <v>42826</v>
      </c>
      <c r="AF39" s="645">
        <v>42856</v>
      </c>
      <c r="AG39" s="645">
        <v>42887</v>
      </c>
      <c r="AH39" s="645">
        <v>42917</v>
      </c>
      <c r="AI39" s="645">
        <v>42948</v>
      </c>
      <c r="AJ39" s="645">
        <v>42979</v>
      </c>
      <c r="AK39" s="645">
        <v>43009</v>
      </c>
      <c r="AL39" s="645">
        <v>43040</v>
      </c>
      <c r="AM39" s="645">
        <v>43070</v>
      </c>
      <c r="AN39" s="759">
        <f t="shared" ref="AN39" si="115">YEAR(AM39)</f>
        <v>2017</v>
      </c>
      <c r="AO39" s="645">
        <v>43101</v>
      </c>
      <c r="AP39" s="645">
        <v>43132</v>
      </c>
      <c r="AQ39" s="645">
        <v>43160</v>
      </c>
      <c r="AR39" s="645">
        <v>43191</v>
      </c>
      <c r="AS39" s="645">
        <v>43221</v>
      </c>
      <c r="AT39" s="645">
        <v>43252</v>
      </c>
      <c r="AU39" s="645">
        <v>43282</v>
      </c>
      <c r="AV39" s="645">
        <v>43313</v>
      </c>
      <c r="AW39" s="645">
        <v>43344</v>
      </c>
      <c r="AX39" s="645">
        <v>43374</v>
      </c>
      <c r="AY39" s="645">
        <v>43405</v>
      </c>
      <c r="AZ39" s="645">
        <v>43435</v>
      </c>
      <c r="BA39" s="759">
        <f t="shared" ref="BA39" si="116">YEAR(AZ39)</f>
        <v>2018</v>
      </c>
      <c r="BB39" s="645">
        <v>43466</v>
      </c>
      <c r="BC39" s="645">
        <v>43497</v>
      </c>
      <c r="BD39" s="645">
        <v>43525</v>
      </c>
      <c r="BE39" s="645">
        <v>43556</v>
      </c>
      <c r="BF39" s="645">
        <v>43586</v>
      </c>
      <c r="BG39" s="645">
        <v>43617</v>
      </c>
      <c r="BH39" s="645">
        <v>43647</v>
      </c>
      <c r="BI39" s="645">
        <v>43678</v>
      </c>
      <c r="BJ39" s="645">
        <v>43709</v>
      </c>
      <c r="BK39" s="645">
        <v>43739</v>
      </c>
      <c r="BL39" s="645">
        <v>43770</v>
      </c>
      <c r="BM39" s="645">
        <v>43800</v>
      </c>
      <c r="BN39" s="759">
        <f t="shared" ref="BN39" si="117">YEAR(BM39)</f>
        <v>2019</v>
      </c>
      <c r="BO39" s="645">
        <v>43831</v>
      </c>
      <c r="BP39" s="645">
        <v>43862</v>
      </c>
      <c r="BQ39" s="645">
        <v>43891</v>
      </c>
      <c r="BR39" s="645">
        <v>43922</v>
      </c>
      <c r="BS39" s="645">
        <v>43952</v>
      </c>
      <c r="BT39" s="645">
        <v>43983</v>
      </c>
      <c r="BU39" s="645">
        <v>44013</v>
      </c>
      <c r="BV39" s="645">
        <v>44044</v>
      </c>
      <c r="BW39" s="645">
        <v>44075</v>
      </c>
      <c r="BX39" s="645">
        <v>44105</v>
      </c>
      <c r="BY39" s="645">
        <v>44136</v>
      </c>
      <c r="BZ39" s="645">
        <v>44166</v>
      </c>
      <c r="CA39" s="759">
        <f t="shared" ref="CA39" si="118">YEAR(BZ39)</f>
        <v>2020</v>
      </c>
      <c r="CB39" s="645">
        <v>44197</v>
      </c>
      <c r="CC39" s="645">
        <v>44228</v>
      </c>
      <c r="CD39" s="645">
        <v>44256</v>
      </c>
      <c r="CE39" s="645">
        <v>44287</v>
      </c>
      <c r="CF39" s="645">
        <v>44317</v>
      </c>
      <c r="CG39" s="645">
        <v>44348</v>
      </c>
      <c r="CH39" s="645">
        <v>44378</v>
      </c>
      <c r="CI39" s="645">
        <v>44409</v>
      </c>
      <c r="CJ39" s="645">
        <v>44440</v>
      </c>
      <c r="CK39" s="645">
        <v>44470</v>
      </c>
      <c r="CL39" s="645">
        <v>44501</v>
      </c>
      <c r="CM39" s="645">
        <v>44531</v>
      </c>
      <c r="CN39" s="759">
        <f t="shared" ref="CN39" si="119">YEAR(CM39)</f>
        <v>2021</v>
      </c>
      <c r="CO39" s="645">
        <v>44562</v>
      </c>
      <c r="CP39" s="645">
        <v>44593</v>
      </c>
      <c r="CQ39" s="645">
        <v>44621</v>
      </c>
      <c r="CR39" s="645">
        <v>44652</v>
      </c>
      <c r="CS39" s="645">
        <v>44682</v>
      </c>
      <c r="CT39" s="645">
        <v>44713</v>
      </c>
      <c r="CU39" s="645">
        <v>44743</v>
      </c>
      <c r="CV39" s="645">
        <v>44774</v>
      </c>
      <c r="CW39" s="645">
        <v>44805</v>
      </c>
      <c r="CX39" s="645">
        <v>44835</v>
      </c>
      <c r="CY39" s="645">
        <v>44866</v>
      </c>
      <c r="CZ39" s="645">
        <v>44896</v>
      </c>
      <c r="DA39" s="759">
        <f t="shared" ref="DA39" si="120">YEAR(CZ39)</f>
        <v>2022</v>
      </c>
      <c r="DB39" s="645">
        <v>44927</v>
      </c>
      <c r="DC39" s="645">
        <v>44958</v>
      </c>
      <c r="DD39" s="645">
        <v>44986</v>
      </c>
      <c r="DE39" s="645">
        <v>45017</v>
      </c>
      <c r="DF39" s="645">
        <v>45047</v>
      </c>
      <c r="DG39" s="645">
        <v>45078</v>
      </c>
      <c r="DH39" s="645">
        <v>45108</v>
      </c>
      <c r="DI39" s="645">
        <v>45139</v>
      </c>
      <c r="DJ39" s="645">
        <v>45170</v>
      </c>
      <c r="DK39" s="645">
        <v>45200</v>
      </c>
      <c r="DL39" s="645">
        <v>45231</v>
      </c>
      <c r="DM39" s="645">
        <v>45261</v>
      </c>
      <c r="DN39" s="759">
        <f t="shared" ref="DN39" si="121">YEAR(DM39)</f>
        <v>2023</v>
      </c>
      <c r="DO39" s="645">
        <v>45292</v>
      </c>
      <c r="DP39" s="645">
        <v>45323</v>
      </c>
      <c r="DQ39" s="645">
        <v>45352</v>
      </c>
      <c r="DR39" s="645">
        <v>45383</v>
      </c>
      <c r="DS39" s="645">
        <v>45413</v>
      </c>
      <c r="DT39" s="645">
        <v>45444</v>
      </c>
      <c r="DU39" s="645">
        <v>45474</v>
      </c>
      <c r="DV39" s="645">
        <v>45505</v>
      </c>
      <c r="DW39" s="645">
        <v>45536</v>
      </c>
      <c r="DX39" s="645">
        <v>45566</v>
      </c>
      <c r="DY39" s="645">
        <v>45597</v>
      </c>
      <c r="DZ39" s="645">
        <v>45627</v>
      </c>
      <c r="EA39" s="759">
        <f t="shared" ref="EA39" si="122">YEAR(DZ39)</f>
        <v>2024</v>
      </c>
      <c r="EB39" s="645">
        <v>45658</v>
      </c>
      <c r="EC39" s="645">
        <v>45689</v>
      </c>
      <c r="ED39" s="645">
        <v>45717</v>
      </c>
      <c r="EE39" s="645">
        <v>45748</v>
      </c>
      <c r="EF39" s="645">
        <v>45778</v>
      </c>
      <c r="EG39" s="645">
        <v>45809</v>
      </c>
      <c r="EH39" s="645">
        <v>45839</v>
      </c>
      <c r="EI39" s="645">
        <v>45870</v>
      </c>
      <c r="EJ39" s="645">
        <v>45901</v>
      </c>
      <c r="EK39" s="645">
        <v>45931</v>
      </c>
      <c r="EL39" s="645">
        <v>45962</v>
      </c>
      <c r="EM39" s="645">
        <v>45992</v>
      </c>
      <c r="EN39" s="759">
        <f>YEAR(EM39)</f>
        <v>2025</v>
      </c>
      <c r="EO39" s="645">
        <v>46023</v>
      </c>
      <c r="EP39" s="645">
        <v>46054</v>
      </c>
      <c r="EQ39" s="645">
        <v>46082</v>
      </c>
      <c r="ER39" s="645">
        <v>46113</v>
      </c>
      <c r="ES39" s="645">
        <v>46143</v>
      </c>
      <c r="ET39" s="645">
        <v>46174</v>
      </c>
      <c r="EU39" s="645">
        <v>46204</v>
      </c>
      <c r="EV39" s="977">
        <v>46235</v>
      </c>
      <c r="EW39" s="645">
        <v>46266</v>
      </c>
      <c r="EX39" s="645">
        <v>46296</v>
      </c>
      <c r="EY39" s="645">
        <v>46327</v>
      </c>
      <c r="EZ39" s="645">
        <v>46357</v>
      </c>
      <c r="FA39" s="759">
        <f>YEAR(EZ39)</f>
        <v>2026</v>
      </c>
      <c r="FC39" s="485">
        <f>$FC$5</f>
        <v>46235</v>
      </c>
      <c r="FD39" s="487" t="str">
        <f>CONCATENATE("Ene.-",TEXT(FC39,"MMM."))</f>
        <v>Ene.-Ago.</v>
      </c>
      <c r="FE39" s="487" t="str">
        <f>FD39</f>
        <v>Ene.-Ago.</v>
      </c>
      <c r="FF39" s="487" t="str">
        <f>FD39</f>
        <v>Ene.-Ago.</v>
      </c>
      <c r="FH39" s="795"/>
    </row>
    <row r="40" spans="1:164" ht="15" customHeight="1" x14ac:dyDescent="0.25">
      <c r="A40" s="138"/>
      <c r="B40" s="883"/>
      <c r="C40" s="883"/>
      <c r="D40" s="883"/>
      <c r="E40" s="883"/>
      <c r="F40" s="883"/>
      <c r="G40" s="883"/>
      <c r="H40" s="883"/>
      <c r="I40" s="883"/>
      <c r="J40" s="883"/>
      <c r="K40" s="883"/>
      <c r="L40" s="883"/>
      <c r="M40" s="873"/>
      <c r="N40" s="874"/>
      <c r="O40" s="883"/>
      <c r="P40" s="883"/>
      <c r="Q40" s="883"/>
      <c r="R40" s="883"/>
      <c r="S40" s="883"/>
      <c r="T40" s="883"/>
      <c r="U40" s="883"/>
      <c r="V40" s="883"/>
      <c r="W40" s="883"/>
      <c r="X40" s="883"/>
      <c r="Y40" s="883"/>
      <c r="Z40" s="873"/>
      <c r="AA40" s="874"/>
      <c r="AB40" s="883"/>
      <c r="AC40" s="883"/>
      <c r="AD40" s="883"/>
      <c r="AE40" s="883"/>
      <c r="AF40" s="883"/>
      <c r="AG40" s="883"/>
      <c r="AH40" s="883"/>
      <c r="AI40" s="883"/>
      <c r="AJ40" s="883"/>
      <c r="AK40" s="883"/>
      <c r="AL40" s="883"/>
      <c r="AM40" s="873"/>
      <c r="AN40" s="874"/>
      <c r="AO40" s="883"/>
      <c r="AP40" s="883"/>
      <c r="AQ40" s="883"/>
      <c r="AR40" s="883"/>
      <c r="AS40" s="883"/>
      <c r="AT40" s="883"/>
      <c r="AU40" s="883"/>
      <c r="AV40" s="883"/>
      <c r="AW40" s="883"/>
      <c r="AX40" s="883"/>
      <c r="AY40" s="883"/>
      <c r="AZ40" s="873"/>
      <c r="BA40" s="874"/>
      <c r="BB40" s="883"/>
      <c r="BC40" s="883"/>
      <c r="BD40" s="883"/>
      <c r="BE40" s="883"/>
      <c r="BF40" s="883"/>
      <c r="BG40" s="883"/>
      <c r="BH40" s="883"/>
      <c r="BI40" s="883"/>
      <c r="BJ40" s="883"/>
      <c r="BK40" s="883"/>
      <c r="BL40" s="883"/>
      <c r="BM40" s="873"/>
      <c r="BN40" s="874"/>
      <c r="BO40" s="883"/>
      <c r="BP40" s="883"/>
      <c r="BQ40" s="883"/>
      <c r="BR40" s="883"/>
      <c r="BS40" s="883"/>
      <c r="BT40" s="883"/>
      <c r="BU40" s="883"/>
      <c r="BV40" s="883"/>
      <c r="BW40" s="883"/>
      <c r="BX40" s="883"/>
      <c r="BY40" s="883"/>
      <c r="BZ40" s="873"/>
      <c r="CA40" s="874"/>
      <c r="CB40" s="883"/>
      <c r="CC40" s="883"/>
      <c r="CD40" s="883"/>
      <c r="CE40" s="883"/>
      <c r="CF40" s="883"/>
      <c r="CG40" s="883"/>
      <c r="CH40" s="883"/>
      <c r="CI40" s="883"/>
      <c r="CJ40" s="883"/>
      <c r="CK40" s="883"/>
      <c r="CL40" s="883"/>
      <c r="CM40" s="873"/>
      <c r="CN40" s="874"/>
      <c r="CO40" s="883"/>
      <c r="CP40" s="883"/>
      <c r="CQ40" s="883"/>
      <c r="CR40" s="883"/>
      <c r="CS40" s="883"/>
      <c r="CT40" s="883"/>
      <c r="CU40" s="883"/>
      <c r="CV40" s="883"/>
      <c r="CW40" s="883"/>
      <c r="CX40" s="883"/>
      <c r="CY40" s="883"/>
      <c r="CZ40" s="873"/>
      <c r="DA40" s="874"/>
      <c r="DB40" s="883"/>
      <c r="DC40" s="883"/>
      <c r="DD40" s="883"/>
      <c r="DE40" s="883"/>
      <c r="DF40" s="883"/>
      <c r="DG40" s="883"/>
      <c r="DH40" s="883"/>
      <c r="DI40" s="883"/>
      <c r="DJ40" s="883"/>
      <c r="DK40" s="883"/>
      <c r="DL40" s="883"/>
      <c r="DM40" s="873"/>
      <c r="DN40" s="874"/>
      <c r="DO40" s="883"/>
      <c r="DP40" s="883"/>
      <c r="DQ40" s="883"/>
      <c r="DR40" s="883"/>
      <c r="DS40" s="883"/>
      <c r="DT40" s="883"/>
      <c r="DU40" s="883"/>
      <c r="DV40" s="883"/>
      <c r="DW40" s="883"/>
      <c r="DX40" s="883"/>
      <c r="DY40" s="883"/>
      <c r="DZ40" s="873"/>
      <c r="EA40" s="874"/>
      <c r="EB40" s="883"/>
      <c r="EC40" s="883"/>
      <c r="ED40" s="883"/>
      <c r="EE40" s="883"/>
      <c r="EF40" s="883"/>
      <c r="EG40" s="883"/>
      <c r="EH40" s="883"/>
      <c r="EI40" s="883"/>
      <c r="EJ40" s="883"/>
      <c r="EK40" s="883"/>
      <c r="EL40" s="883"/>
      <c r="EM40" s="873"/>
      <c r="EN40" s="874"/>
      <c r="EO40" s="883"/>
      <c r="EP40" s="883"/>
      <c r="EQ40" s="883"/>
      <c r="ER40" s="883"/>
      <c r="ES40" s="883"/>
      <c r="ET40" s="883"/>
      <c r="EU40" s="883"/>
      <c r="EV40" s="973"/>
      <c r="EW40" s="883"/>
      <c r="EX40" s="883"/>
      <c r="EY40" s="883"/>
      <c r="EZ40" s="873"/>
      <c r="FA40" s="874"/>
      <c r="FC40" s="839"/>
      <c r="FD40" s="840"/>
      <c r="FE40" s="454"/>
      <c r="FF40" s="455"/>
    </row>
    <row r="41" spans="1:164" s="753" customFormat="1" ht="15" customHeight="1" x14ac:dyDescent="0.25">
      <c r="A41" s="822" t="s">
        <v>211</v>
      </c>
      <c r="B41" s="884">
        <f t="shared" ref="B41:B55" si="123">B7/$B$35</f>
        <v>24871.000634495329</v>
      </c>
      <c r="C41" s="884">
        <f t="shared" ref="C41:C55" si="124">C7/$C$35</f>
        <v>39549.054578173142</v>
      </c>
      <c r="D41" s="884">
        <f t="shared" ref="D41:D55" si="125">D7/$D$35</f>
        <v>34682.964855726503</v>
      </c>
      <c r="E41" s="884">
        <f t="shared" ref="E41:E55" si="126">E7/$E$35</f>
        <v>29856.434893246678</v>
      </c>
      <c r="F41" s="884">
        <f t="shared" ref="F41:F55" si="127">F7/$F$35</f>
        <v>26072.874433955789</v>
      </c>
      <c r="G41" s="884">
        <f t="shared" ref="G41:G55" si="128">G7/$G$35</f>
        <v>38911.577084611185</v>
      </c>
      <c r="H41" s="884">
        <f t="shared" ref="H41:H55" si="129">H7/$H$35</f>
        <v>32105.255945323766</v>
      </c>
      <c r="I41" s="884">
        <f t="shared" ref="I41:I55" si="130">I7/$I$35</f>
        <v>33514.184971846313</v>
      </c>
      <c r="J41" s="884">
        <f t="shared" ref="J41:J55" si="131">J7/$J$35</f>
        <v>54833.66528453194</v>
      </c>
      <c r="K41" s="884">
        <f t="shared" ref="K41:K55" si="132">K7/$K$35</f>
        <v>42818.342474759367</v>
      </c>
      <c r="L41" s="884">
        <f t="shared" ref="L41:L55" si="133">L7/$L$35</f>
        <v>41757.36554920108</v>
      </c>
      <c r="M41" s="875">
        <f t="shared" ref="M41:M55" si="134">M7/$M$35</f>
        <v>141346.25726829754</v>
      </c>
      <c r="N41" s="876">
        <f>SUM(B41:M41)</f>
        <v>540318.97797416872</v>
      </c>
      <c r="O41" s="884">
        <f t="shared" ref="O41:O55" si="135">O7/$O$35</f>
        <v>24278.730729654228</v>
      </c>
      <c r="P41" s="884">
        <f t="shared" ref="P41:P55" si="136">P7/$P$35</f>
        <v>40951.459068690143</v>
      </c>
      <c r="Q41" s="884">
        <f t="shared" ref="Q41:Q55" si="137">Q7/$Q$35</f>
        <v>39864.64783938873</v>
      </c>
      <c r="R41" s="884">
        <f t="shared" ref="R41:R55" si="138">R7/$R$35</f>
        <v>56414.347867604149</v>
      </c>
      <c r="S41" s="884">
        <f t="shared" ref="S41:S55" si="139">S7/$S$35</f>
        <v>40358.192541433113</v>
      </c>
      <c r="T41" s="884">
        <f t="shared" ref="T41:T55" si="140">T7/$T$35</f>
        <v>50862.921532612396</v>
      </c>
      <c r="U41" s="884">
        <f t="shared" ref="U41:U55" si="141">U7/$U$35</f>
        <v>53560.845826062672</v>
      </c>
      <c r="V41" s="884">
        <f t="shared" ref="V41:V55" si="142">V7/$V$35</f>
        <v>72717.828433514034</v>
      </c>
      <c r="W41" s="884">
        <f t="shared" ref="W41:W55" si="143">W7/$W$35</f>
        <v>50313.131562404407</v>
      </c>
      <c r="X41" s="884">
        <f t="shared" ref="X41:X55" si="144">X7/$X$35</f>
        <v>48633.739848900077</v>
      </c>
      <c r="Y41" s="884">
        <f t="shared" ref="Y41:Y55" si="145">Y7/$Y$35</f>
        <v>62300.114739474448</v>
      </c>
      <c r="Z41" s="875">
        <f t="shared" ref="Z41:Z55" si="146">Z7/$Z$35</f>
        <v>84518.061563616022</v>
      </c>
      <c r="AA41" s="876">
        <f>SUM(O41:Z41)</f>
        <v>624774.02155335445</v>
      </c>
      <c r="AB41" s="884">
        <f t="shared" ref="AB41:AB55" si="147">AB7/$AB$35</f>
        <v>26087.774251821378</v>
      </c>
      <c r="AC41" s="884">
        <f t="shared" ref="AC41:AC55" si="148">AC7/$AC$35</f>
        <v>58921.291551407121</v>
      </c>
      <c r="AD41" s="884">
        <f t="shared" ref="AD41:AD55" si="149">AD7/$AD$35</f>
        <v>46340.62259688256</v>
      </c>
      <c r="AE41" s="884">
        <f t="shared" ref="AE41:AE55" si="150">AE7/$AE$35</f>
        <v>38673.149580758945</v>
      </c>
      <c r="AF41" s="884">
        <f t="shared" ref="AF41:AF55" si="151">AF7/$AF$35</f>
        <v>44024.587744562457</v>
      </c>
      <c r="AG41" s="884">
        <f t="shared" ref="AG41:AG55" si="152">AG7/$AG$35</f>
        <v>58010.708931954134</v>
      </c>
      <c r="AH41" s="884">
        <f t="shared" ref="AH41:AH55" si="153">AH7/$AH$35</f>
        <v>58567.65419912387</v>
      </c>
      <c r="AI41" s="884">
        <f t="shared" ref="AI41:AI55" si="154">AI7/$AI$35</f>
        <v>49527.796171821916</v>
      </c>
      <c r="AJ41" s="884">
        <f t="shared" ref="AJ41:AJ55" si="155">AJ7/$AJ$35</f>
        <v>45054.030551349046</v>
      </c>
      <c r="AK41" s="884">
        <f t="shared" ref="AK41:AK55" si="156">AK7/$AK$35</f>
        <v>51491.570754711887</v>
      </c>
      <c r="AL41" s="884">
        <f t="shared" ref="AL41:AL55" si="157">AL7/$AL$35</f>
        <v>53183.135532120294</v>
      </c>
      <c r="AM41" s="875">
        <f t="shared" ref="AM41:AM55" si="158">AM7/$AM$35</f>
        <v>62628.343487502978</v>
      </c>
      <c r="AN41" s="876">
        <f>SUM(AB41:AM41)</f>
        <v>592510.66535401647</v>
      </c>
      <c r="AO41" s="884">
        <f t="shared" ref="AO41:AO55" si="159">AO7/$AO$35</f>
        <v>34023.892392192283</v>
      </c>
      <c r="AP41" s="884">
        <f t="shared" ref="AP41:AP55" si="160">AP7/$AP$35</f>
        <v>35318.523114269949</v>
      </c>
      <c r="AQ41" s="884">
        <f t="shared" ref="AQ41:AQ55" si="161">AQ7/$AQ$35</f>
        <v>27158.476865102042</v>
      </c>
      <c r="AR41" s="884">
        <f t="shared" ref="AR41:AR55" si="162">AR7/$AR$35</f>
        <v>36281.15217272273</v>
      </c>
      <c r="AS41" s="884">
        <f t="shared" ref="AS41:AS55" si="163">AS7/$AS$35</f>
        <v>41928.189525370472</v>
      </c>
      <c r="AT41" s="884">
        <f t="shared" ref="AT41:AT55" si="164">AT7/$AT$35</f>
        <v>34199.957597179666</v>
      </c>
      <c r="AU41" s="884">
        <f t="shared" ref="AU41:AU55" si="165">AU7/$AU$35</f>
        <v>41790.500828221033</v>
      </c>
      <c r="AV41" s="884">
        <f t="shared" ref="AV41:AV55" si="166">AV7/$AV$35</f>
        <v>38572.644100524907</v>
      </c>
      <c r="AW41" s="884">
        <f t="shared" ref="AW41:AW55" si="167">AW7/$AW$35</f>
        <v>36868.646620177875</v>
      </c>
      <c r="AX41" s="884">
        <f t="shared" ref="AX41:AX55" si="168">AX7/$AX$35</f>
        <v>36738.699655919001</v>
      </c>
      <c r="AY41" s="884">
        <f t="shared" ref="AY41:AY55" si="169">AY7/$AY$35</f>
        <v>32117.196928941601</v>
      </c>
      <c r="AZ41" s="875">
        <f t="shared" ref="AZ41:AZ55" si="170">AZ7/$AZ$35</f>
        <v>76639.429156605082</v>
      </c>
      <c r="BA41" s="876">
        <f>SUM(AO41:AZ41)</f>
        <v>471637.30895722663</v>
      </c>
      <c r="BB41" s="884">
        <f t="shared" ref="BB41:BB55" si="171">BB7/$BB$35</f>
        <v>31490.717230146314</v>
      </c>
      <c r="BC41" s="884">
        <f t="shared" ref="BC41:BC55" si="172">BC7/$BC$35</f>
        <v>30876.737224936369</v>
      </c>
      <c r="BD41" s="884">
        <f t="shared" ref="BD41:BD55" si="173">BD7/$BD$35</f>
        <v>28244.403035415315</v>
      </c>
      <c r="BE41" s="884">
        <f t="shared" ref="BE41:BE55" si="174">BE7/$BE$35</f>
        <v>36428.891885161363</v>
      </c>
      <c r="BF41" s="884">
        <f t="shared" ref="BF41:BF55" si="175">BF7/$BF$35</f>
        <v>37787.541104199619</v>
      </c>
      <c r="BG41" s="884">
        <f t="shared" ref="BG41:BG55" si="176">BG7/$BG$35</f>
        <v>35553.10831253256</v>
      </c>
      <c r="BH41" s="884">
        <f t="shared" ref="BH41:BH55" si="177">BH7/$BH$35</f>
        <v>46435.209641014197</v>
      </c>
      <c r="BI41" s="884">
        <f t="shared" ref="BI41:BI55" si="178">BI7/$BI$35</f>
        <v>30435.755453719961</v>
      </c>
      <c r="BJ41" s="884">
        <f t="shared" ref="BJ41:BJ55" si="179">BJ7/$BJ$35</f>
        <v>35072.845626393158</v>
      </c>
      <c r="BK41" s="884">
        <f t="shared" ref="BK41:BK55" si="180">BK7/$BK$35</f>
        <v>38470.650817352762</v>
      </c>
      <c r="BL41" s="884">
        <f t="shared" ref="BL41:BL55" si="181">BL7/$BL$35</f>
        <v>57190.258616950116</v>
      </c>
      <c r="BM41" s="875">
        <f t="shared" ref="BM41:BM55" si="182">BM7/$BM$35</f>
        <v>68730.388778550914</v>
      </c>
      <c r="BN41" s="876">
        <f>SUM(BB41:BM41)</f>
        <v>476716.50772637269</v>
      </c>
      <c r="BO41" s="884">
        <f t="shared" ref="BO41:BO55" si="183">BO7/$BO$35</f>
        <v>30329.991847401376</v>
      </c>
      <c r="BP41" s="884">
        <f t="shared" ref="BP41:BP55" si="184">BP7/$BP$35</f>
        <v>36710.072724407211</v>
      </c>
      <c r="BQ41" s="884">
        <f t="shared" ref="BQ41:BQ55" si="185">BQ7/$BQ$35</f>
        <v>40548.055502680261</v>
      </c>
      <c r="BR41" s="884">
        <f t="shared" ref="BR41:BR55" si="186">BR7/$BR$35</f>
        <v>51104.045431208469</v>
      </c>
      <c r="BS41" s="884">
        <f t="shared" ref="BS41:BS55" si="187">BS7/$BS$35</f>
        <v>49670.113004743624</v>
      </c>
      <c r="BT41" s="884">
        <f t="shared" ref="BT41:BT55" si="188">BT7/$BT$35</f>
        <v>22606.628670128859</v>
      </c>
      <c r="BU41" s="884">
        <f t="shared" ref="BU41:BU55" si="189">BU7/$BU$35</f>
        <v>34129.723421954448</v>
      </c>
      <c r="BV41" s="884">
        <f t="shared" ref="BV41:BV55" si="190">BV7/$BV$35</f>
        <v>63281.910352262355</v>
      </c>
      <c r="BW41" s="884">
        <f t="shared" ref="BW41:BW55" si="191">BW7/$BW$35</f>
        <v>38280.076510141247</v>
      </c>
      <c r="BX41" s="884">
        <f t="shared" ref="BX41:BX55" si="192">BX7/$BX$35</f>
        <v>83174.287691155099</v>
      </c>
      <c r="BY41" s="884">
        <f t="shared" ref="BY41:BY55" si="193">BY7/$BY$35</f>
        <v>60751.585002917192</v>
      </c>
      <c r="BZ41" s="875">
        <f t="shared" ref="BZ41:BZ55" si="194">BZ7/$BZ$35</f>
        <v>82507.810956091926</v>
      </c>
      <c r="CA41" s="876">
        <f>SUM(BO41:BZ41)</f>
        <v>593094.30111509212</v>
      </c>
      <c r="CB41" s="884">
        <f t="shared" ref="CB41:CB55" si="195">CB7/$CB$35</f>
        <v>20238.202274699463</v>
      </c>
      <c r="CC41" s="884">
        <f t="shared" ref="CC41:CC55" si="196">CC7/$CC$35</f>
        <v>35572.447402050675</v>
      </c>
      <c r="CD41" s="884">
        <f t="shared" ref="CD41:CD55" si="197">CD7/$CD$35</f>
        <v>32644.789642582036</v>
      </c>
      <c r="CE41" s="884">
        <f t="shared" ref="CE41:CE55" si="198">CE7/$CE$35</f>
        <v>38819.606383769002</v>
      </c>
      <c r="CF41" s="884">
        <f t="shared" ref="CF41:CF55" si="199">CF7/$CF$35</f>
        <v>31569.32159026746</v>
      </c>
      <c r="CG41" s="884">
        <f t="shared" ref="CG41:CG55" si="200">CG7/$CG$35</f>
        <v>40327.88536841773</v>
      </c>
      <c r="CH41" s="884">
        <f t="shared" ref="CH41:CH55" si="201">CH7/$CH$35</f>
        <v>36510.410795918753</v>
      </c>
      <c r="CI41" s="884">
        <f t="shared" ref="CI41:CI55" si="202">CI7/$CI$35</f>
        <v>33216.758410164439</v>
      </c>
      <c r="CJ41" s="884">
        <f t="shared" ref="CJ41:CJ55" si="203">CJ7/$CJ$35</f>
        <v>49214.519843642993</v>
      </c>
      <c r="CK41" s="884">
        <f t="shared" ref="CK41:CK55" si="204">CK7/$CK$35</f>
        <v>50240.582468314889</v>
      </c>
      <c r="CL41" s="884">
        <f t="shared" ref="CL41:CL55" si="205">CL7/$CL$35</f>
        <v>45966.784910073809</v>
      </c>
      <c r="CM41" s="875">
        <f t="shared" ref="CM41:CM55" si="206">CM7/$CM$35</f>
        <v>70818.770444820548</v>
      </c>
      <c r="CN41" s="876">
        <f>SUM(CB41:CM41)</f>
        <v>485140.07953472179</v>
      </c>
      <c r="CO41" s="884">
        <f t="shared" ref="CO41:CO55" si="207">CO7/$CO$35</f>
        <v>22060.15948691939</v>
      </c>
      <c r="CP41" s="884">
        <f t="shared" ref="CP41:CP55" si="208">CP7/$CP$35</f>
        <v>27738.626933087406</v>
      </c>
      <c r="CQ41" s="884">
        <f t="shared" ref="CQ41:CQ55" si="209">CQ7/$CQ$35</f>
        <v>38295.154217063391</v>
      </c>
      <c r="CR41" s="884">
        <f t="shared" ref="CR41:CR55" si="210">CR7/$CR$35</f>
        <v>32878.925243456288</v>
      </c>
      <c r="CS41" s="884">
        <f t="shared" ref="CS41:CS55" si="211">CS7/$CS$35</f>
        <v>35320.393162844048</v>
      </c>
      <c r="CT41" s="884">
        <f t="shared" ref="CT41:CT55" si="212">CT7/$CT$35</f>
        <v>36080.965735944032</v>
      </c>
      <c r="CU41" s="884">
        <f t="shared" ref="CU41:CU55" si="213">CU7/$CU$35</f>
        <v>33157.774318578551</v>
      </c>
      <c r="CV41" s="884">
        <f t="shared" ref="CV41:CV55" si="214">CV7/$CV$35</f>
        <v>38000.688062343317</v>
      </c>
      <c r="CW41" s="884">
        <f t="shared" ref="CW41:CW55" si="215">CW7/$CW$35</f>
        <v>30041.980830159842</v>
      </c>
      <c r="CX41" s="884">
        <f t="shared" ref="CX41:CX55" si="216">CX7/$CX$35</f>
        <v>42752.870850797444</v>
      </c>
      <c r="CY41" s="884">
        <f t="shared" ref="CY41:CY55" si="217">CY7/$CY$35</f>
        <v>38408.791955101246</v>
      </c>
      <c r="CZ41" s="875">
        <f t="shared" ref="CZ41:CZ55" si="218">CZ7/$CZ$35</f>
        <v>63011.919713375297</v>
      </c>
      <c r="DA41" s="876">
        <f>SUM(CO41:CZ41)</f>
        <v>437748.2505096703</v>
      </c>
      <c r="DB41" s="884">
        <f t="shared" ref="DB41:DB55" si="219">DB7/$DB$35</f>
        <v>30565.069819182365</v>
      </c>
      <c r="DC41" s="884">
        <f t="shared" ref="DC41:DC55" si="220">DC7/$DC$35</f>
        <v>33079.61188166339</v>
      </c>
      <c r="DD41" s="884">
        <f t="shared" ref="DD41:DD55" si="221">DD7/$DD$35</f>
        <v>29399.36013503321</v>
      </c>
      <c r="DE41" s="884">
        <f t="shared" ref="DE41:DE55" si="222">DE7/$DE$35</f>
        <v>32432.381710757367</v>
      </c>
      <c r="DF41" s="884">
        <f t="shared" ref="DF41:DF55" si="223">DF7/$DF$35</f>
        <v>31827.629929745992</v>
      </c>
      <c r="DG41" s="884">
        <f t="shared" ref="DG41:DG55" si="224">DG7/$DG$35</f>
        <v>33197.418485708971</v>
      </c>
      <c r="DH41" s="884">
        <f t="shared" ref="DH41:DH55" si="225">DH7/$DH$35</f>
        <v>29801.500214389729</v>
      </c>
      <c r="DI41" s="884">
        <f t="shared" ref="DI41:DI55" si="226">DI7/$DI$35</f>
        <v>33814.420600669873</v>
      </c>
      <c r="DJ41" s="884">
        <f t="shared" ref="DJ41:DJ55" si="227">DJ7/$DJ$35</f>
        <v>27683.479162768108</v>
      </c>
      <c r="DK41" s="884">
        <f t="shared" ref="DK41:DK55" si="228">DK7/$DK$35</f>
        <v>35823.077142000511</v>
      </c>
      <c r="DL41" s="884">
        <f t="shared" ref="DL41:DL55" si="229">DL7/$DL$35</f>
        <v>35218.670079262047</v>
      </c>
      <c r="DM41" s="875">
        <f t="shared" ref="DM41:DM55" si="230">DM7/$DM$35</f>
        <v>56588.623193930311</v>
      </c>
      <c r="DN41" s="876">
        <f>SUM(DB41:DM41)</f>
        <v>409431.24235511187</v>
      </c>
      <c r="DO41" s="884">
        <f t="shared" ref="DO41:DO55" si="231">DO7/$DO$35</f>
        <v>24688.176181284642</v>
      </c>
      <c r="DP41" s="884">
        <f t="shared" ref="DP41:DP55" si="232">DP7/$DP$35</f>
        <v>44204.386369853048</v>
      </c>
      <c r="DQ41" s="884">
        <f t="shared" ref="DQ41:DQ55" si="233">DQ7/$DQ$35</f>
        <v>27758.718348462593</v>
      </c>
      <c r="DR41" s="884">
        <f t="shared" ref="DR41:DR55" si="234">DR7/$DR$35</f>
        <v>35600.883113510856</v>
      </c>
      <c r="DS41" s="884">
        <f t="shared" ref="DS41:DS55" si="235">DS7/$DS$35</f>
        <v>32729.377253286773</v>
      </c>
      <c r="DT41" s="884">
        <f t="shared" ref="DT41:DT55" si="236">DT7/$DT$35</f>
        <v>38670.929847959371</v>
      </c>
      <c r="DU41" s="884">
        <f t="shared" ref="DU41:DU55" si="237">DU7/$DU$35</f>
        <v>40469.437015199335</v>
      </c>
      <c r="DV41" s="884">
        <f t="shared" ref="DV41:DV55" si="238">DV7/$DV$35</f>
        <v>40656.607157449274</v>
      </c>
      <c r="DW41" s="884">
        <f t="shared" ref="DW41:DW55" si="239">DW7/$DW$35</f>
        <v>36725.395864319791</v>
      </c>
      <c r="DX41" s="884">
        <f t="shared" ref="DX41:DX55" si="240">DX7/$DX$35</f>
        <v>50641.009282208855</v>
      </c>
      <c r="DY41" s="884">
        <f t="shared" ref="DY41:DY55" si="241">DY7/$DY$35</f>
        <v>45341.074220807168</v>
      </c>
      <c r="DZ41" s="875">
        <f t="shared" ref="DZ41:DZ55" si="242">DZ7/$DZ$35</f>
        <v>63976.808074776694</v>
      </c>
      <c r="EA41" s="876">
        <f>SUM(DO41:DZ41)</f>
        <v>481462.80272911838</v>
      </c>
      <c r="EB41" s="884">
        <f>EB7/$EB$35</f>
        <v>32670.324067302634</v>
      </c>
      <c r="EC41" s="884">
        <f>EC7/$EC$35</f>
        <v>34087.344936137983</v>
      </c>
      <c r="ED41" s="884">
        <f>ED7/$ED$35</f>
        <v>35693.549863500477</v>
      </c>
      <c r="EE41" s="884">
        <f>EE7/$EE$35</f>
        <v>37875.96010189403</v>
      </c>
      <c r="EF41" s="884">
        <f>EF7/$EF$35</f>
        <v>43264.83797006066</v>
      </c>
      <c r="EG41" s="884">
        <f>EG7/$EG$35</f>
        <v>46131.450212736432</v>
      </c>
      <c r="EH41" s="884">
        <f>EH7/$EH$35</f>
        <v>42261.651812108605</v>
      </c>
      <c r="EI41" s="884">
        <f>EI7/$EI$35</f>
        <v>34443.013254666774</v>
      </c>
      <c r="EJ41" s="884">
        <f>EJ7/$EJ$35</f>
        <v>54732.315403914108</v>
      </c>
      <c r="EK41" s="884">
        <f>EK7/$EK$35</f>
        <v>44040.439866347842</v>
      </c>
      <c r="EL41" s="884">
        <f>EL7/$EL$35</f>
        <v>41937.541602159588</v>
      </c>
      <c r="EM41" s="875">
        <f>EM7/$EM$35</f>
        <v>84502.02553533137</v>
      </c>
      <c r="EN41" s="876">
        <f>SUM(EB41:EM41)</f>
        <v>531640.45462616044</v>
      </c>
      <c r="EO41" s="884">
        <f>EO7/$EO$35</f>
        <v>48255.756157230469</v>
      </c>
      <c r="EP41" s="884">
        <f>EP7/$EP$35</f>
        <v>32212.337241504134</v>
      </c>
      <c r="EQ41" s="884">
        <f>EQ7/$EQ$35</f>
        <v>39813.27412994139</v>
      </c>
      <c r="ER41" s="884">
        <f>ER7/$ER$35</f>
        <v>39949.554369330719</v>
      </c>
      <c r="ES41" s="884">
        <f>ES7/$ES$35</f>
        <v>41095.613000154975</v>
      </c>
      <c r="ET41" s="884">
        <f>ET7/$ET$35</f>
        <v>43347.590027704471</v>
      </c>
      <c r="EU41" s="884">
        <f>EU7/$EU$35</f>
        <v>43679.570625444314</v>
      </c>
      <c r="EV41" s="971">
        <f>EV7/$EV$35</f>
        <v>36790.239914631326</v>
      </c>
      <c r="EW41" s="884"/>
      <c r="EX41" s="884"/>
      <c r="EY41" s="884"/>
      <c r="EZ41" s="875"/>
      <c r="FA41" s="876">
        <f>SUM(EO41:EZ41)</f>
        <v>325143.93546594179</v>
      </c>
      <c r="FB41" s="757"/>
      <c r="FC41" s="841">
        <f>IFERROR(((
_xlfn.XLOOKUP((DATE(YEAR($FC$5),MONTH($FC$5),1)),UCA.GGN.DATE,$B41:$FA41) /
_xlfn.XLOOKUP((DATE(YEAR($FC$5)-1,MONTH($FC$5),1)),UCA.GGN.DATE,$B41:$FA41)
)-1)*100,"")</f>
        <v>6.8148121728185851</v>
      </c>
      <c r="FD41" s="842">
        <f>IFERROR(((FF41/FE41)-1)*100,"")</f>
        <v>6.1077300938526369</v>
      </c>
      <c r="FE41" s="702">
        <f>SUMIFS($B41:$FA41,UCA.GGN.DATE,"&gt;="&amp;DATE(YEAR($FC$5)-1,1,1),UCA.GGN.DATE,"&lt;="&amp;DATE(YEAR($FC$5)-1,MONTH($FC$5),1))</f>
        <v>306428.13221840758</v>
      </c>
      <c r="FF41" s="703">
        <f t="shared" ref="FF41:FF64" si="243">SUMIFS($B41:$FA41,UCA.GGN.DATE,"&gt;="&amp;DATE(YEAR($FC$5),1,1),UCA.GGN.DATE,"&lt;="&amp;$FC$5)</f>
        <v>325143.93546594179</v>
      </c>
      <c r="FG41" s="757"/>
      <c r="FH41" s="838">
        <f>EV41-EI41</f>
        <v>2347.2266599645518</v>
      </c>
    </row>
    <row r="42" spans="1:164" s="110" customFormat="1" ht="15" customHeight="1" x14ac:dyDescent="0.25">
      <c r="A42" s="401" t="s">
        <v>370</v>
      </c>
      <c r="B42" s="885">
        <f t="shared" si="123"/>
        <v>19283.336258369258</v>
      </c>
      <c r="C42" s="885">
        <f t="shared" si="124"/>
        <v>26595.612868686101</v>
      </c>
      <c r="D42" s="885">
        <f t="shared" si="125"/>
        <v>29722.478929072855</v>
      </c>
      <c r="E42" s="885">
        <f t="shared" si="126"/>
        <v>22994.970066441492</v>
      </c>
      <c r="F42" s="885">
        <f t="shared" si="127"/>
        <v>21675.272208020619</v>
      </c>
      <c r="G42" s="885">
        <f t="shared" si="128"/>
        <v>22235.844984896197</v>
      </c>
      <c r="H42" s="885">
        <f t="shared" si="129"/>
        <v>22762.974230773299</v>
      </c>
      <c r="I42" s="885">
        <f t="shared" si="130"/>
        <v>25309.0536017085</v>
      </c>
      <c r="J42" s="885">
        <f t="shared" si="131"/>
        <v>29449.2315304566</v>
      </c>
      <c r="K42" s="885">
        <f t="shared" si="132"/>
        <v>23206.127772269283</v>
      </c>
      <c r="L42" s="885">
        <f t="shared" si="133"/>
        <v>22538.11401197876</v>
      </c>
      <c r="M42" s="877">
        <f t="shared" si="134"/>
        <v>54642.231788952304</v>
      </c>
      <c r="N42" s="878">
        <f t="shared" ref="N42:N55" si="244">SUM(B42:M42)</f>
        <v>320415.24825162528</v>
      </c>
      <c r="O42" s="885">
        <f t="shared" si="135"/>
        <v>22488.933236523615</v>
      </c>
      <c r="P42" s="885">
        <f t="shared" si="136"/>
        <v>25724.993383169003</v>
      </c>
      <c r="Q42" s="885">
        <f t="shared" si="137"/>
        <v>23870.024152370781</v>
      </c>
      <c r="R42" s="885">
        <f t="shared" si="138"/>
        <v>31429.860424051705</v>
      </c>
      <c r="S42" s="885">
        <f t="shared" si="139"/>
        <v>24352.55522658657</v>
      </c>
      <c r="T42" s="885">
        <f t="shared" si="140"/>
        <v>29576.424821673489</v>
      </c>
      <c r="U42" s="885">
        <f t="shared" si="141"/>
        <v>30193.443033688905</v>
      </c>
      <c r="V42" s="885">
        <f t="shared" si="142"/>
        <v>26082.612106911391</v>
      </c>
      <c r="W42" s="885">
        <f t="shared" si="143"/>
        <v>22942.480921510705</v>
      </c>
      <c r="X42" s="885">
        <f t="shared" si="144"/>
        <v>26801.633826277266</v>
      </c>
      <c r="Y42" s="885">
        <f t="shared" si="145"/>
        <v>25530.79109064259</v>
      </c>
      <c r="Z42" s="877">
        <f t="shared" si="146"/>
        <v>40420.474538238603</v>
      </c>
      <c r="AA42" s="878">
        <f t="shared" ref="AA42:AA55" si="245">SUM(O42:Z42)</f>
        <v>329414.22676164459</v>
      </c>
      <c r="AB42" s="885">
        <f t="shared" si="147"/>
        <v>16603.961255852897</v>
      </c>
      <c r="AC42" s="885">
        <f t="shared" si="148"/>
        <v>23738.523799638424</v>
      </c>
      <c r="AD42" s="885">
        <f t="shared" si="149"/>
        <v>35408.300769320289</v>
      </c>
      <c r="AE42" s="885">
        <f t="shared" si="150"/>
        <v>27033.525314949846</v>
      </c>
      <c r="AF42" s="885">
        <f t="shared" si="151"/>
        <v>27890.59125503929</v>
      </c>
      <c r="AG42" s="885">
        <f t="shared" si="152"/>
        <v>34402.700276251831</v>
      </c>
      <c r="AH42" s="885">
        <f t="shared" si="153"/>
        <v>26631.503983000472</v>
      </c>
      <c r="AI42" s="885">
        <f t="shared" si="154"/>
        <v>25422.476164576445</v>
      </c>
      <c r="AJ42" s="885">
        <f t="shared" si="155"/>
        <v>21997.393933774722</v>
      </c>
      <c r="AK42" s="885">
        <f t="shared" si="156"/>
        <v>29374.448867332838</v>
      </c>
      <c r="AL42" s="885">
        <f t="shared" si="157"/>
        <v>34696.613508554001</v>
      </c>
      <c r="AM42" s="877">
        <f t="shared" si="158"/>
        <v>45651.948594667985</v>
      </c>
      <c r="AN42" s="878">
        <f t="shared" ref="AN42:AN55" si="246">SUM(AB42:AM42)</f>
        <v>348851.98772295908</v>
      </c>
      <c r="AO42" s="885">
        <f t="shared" si="159"/>
        <v>28041.527156292028</v>
      </c>
      <c r="AP42" s="885">
        <f t="shared" si="160"/>
        <v>31368.949539488323</v>
      </c>
      <c r="AQ42" s="885">
        <f t="shared" si="161"/>
        <v>23691.224404913246</v>
      </c>
      <c r="AR42" s="885">
        <f t="shared" si="162"/>
        <v>30898.374526899839</v>
      </c>
      <c r="AS42" s="885">
        <f t="shared" si="163"/>
        <v>38301.515247533112</v>
      </c>
      <c r="AT42" s="885">
        <f t="shared" si="164"/>
        <v>29488.451522312254</v>
      </c>
      <c r="AU42" s="885">
        <f t="shared" si="165"/>
        <v>36792.775786121711</v>
      </c>
      <c r="AV42" s="885">
        <f t="shared" si="166"/>
        <v>30695.926702028992</v>
      </c>
      <c r="AW42" s="885">
        <f t="shared" si="167"/>
        <v>30642.67202958545</v>
      </c>
      <c r="AX42" s="885">
        <f t="shared" si="168"/>
        <v>32698.447450008262</v>
      </c>
      <c r="AY42" s="885">
        <f t="shared" si="169"/>
        <v>27785.668708510682</v>
      </c>
      <c r="AZ42" s="877">
        <f t="shared" si="170"/>
        <v>42566.565252309447</v>
      </c>
      <c r="BA42" s="878">
        <f t="shared" ref="BA42:BA55" si="247">SUM(AO42:AZ42)</f>
        <v>382972.0983260033</v>
      </c>
      <c r="BB42" s="885">
        <f t="shared" si="171"/>
        <v>31012.7520122811</v>
      </c>
      <c r="BC42" s="885">
        <f t="shared" si="172"/>
        <v>30031.879402291266</v>
      </c>
      <c r="BD42" s="885">
        <f t="shared" si="173"/>
        <v>26847.210220077646</v>
      </c>
      <c r="BE42" s="885">
        <f t="shared" si="174"/>
        <v>31317.239776275361</v>
      </c>
      <c r="BF42" s="885">
        <f t="shared" si="175"/>
        <v>33527.710285751149</v>
      </c>
      <c r="BG42" s="885">
        <f t="shared" si="176"/>
        <v>29458.767779028774</v>
      </c>
      <c r="BH42" s="885">
        <f t="shared" si="177"/>
        <v>42148.743448837027</v>
      </c>
      <c r="BI42" s="885">
        <f t="shared" si="178"/>
        <v>27176.76829728239</v>
      </c>
      <c r="BJ42" s="885">
        <f t="shared" si="179"/>
        <v>28978.238229157258</v>
      </c>
      <c r="BK42" s="885">
        <f t="shared" si="180"/>
        <v>31122.932912027416</v>
      </c>
      <c r="BL42" s="885">
        <f t="shared" si="181"/>
        <v>36734.295349103486</v>
      </c>
      <c r="BM42" s="877">
        <f t="shared" si="182"/>
        <v>38867.747204646781</v>
      </c>
      <c r="BN42" s="878">
        <f t="shared" ref="BN42:BN55" si="248">SUM(BB42:BM42)</f>
        <v>387224.28491675964</v>
      </c>
      <c r="BO42" s="885">
        <f t="shared" si="183"/>
        <v>24497.034981188081</v>
      </c>
      <c r="BP42" s="885">
        <f t="shared" si="184"/>
        <v>34201.883901173227</v>
      </c>
      <c r="BQ42" s="885">
        <f t="shared" si="185"/>
        <v>38893.593236338784</v>
      </c>
      <c r="BR42" s="885">
        <f t="shared" si="186"/>
        <v>50411.374248032771</v>
      </c>
      <c r="BS42" s="885">
        <f t="shared" si="187"/>
        <v>46969.980776498982</v>
      </c>
      <c r="BT42" s="885">
        <f t="shared" si="188"/>
        <v>22079.552446125857</v>
      </c>
      <c r="BU42" s="885">
        <f t="shared" si="189"/>
        <v>31422.381523173342</v>
      </c>
      <c r="BV42" s="885">
        <f t="shared" si="190"/>
        <v>49028.605546777653</v>
      </c>
      <c r="BW42" s="885">
        <f t="shared" si="191"/>
        <v>32444.944689073887</v>
      </c>
      <c r="BX42" s="885">
        <f t="shared" si="192"/>
        <v>72986.016134073026</v>
      </c>
      <c r="BY42" s="885">
        <f t="shared" si="193"/>
        <v>51895.10638416576</v>
      </c>
      <c r="BZ42" s="877">
        <f t="shared" si="194"/>
        <v>63240.10114467251</v>
      </c>
      <c r="CA42" s="878">
        <f t="shared" ref="CA42:CA55" si="249">SUM(BO42:BZ42)</f>
        <v>518070.57501129387</v>
      </c>
      <c r="CB42" s="885">
        <f t="shared" si="195"/>
        <v>19449.000674124251</v>
      </c>
      <c r="CC42" s="885">
        <f t="shared" si="196"/>
        <v>32579.565110621716</v>
      </c>
      <c r="CD42" s="885">
        <f t="shared" si="197"/>
        <v>26035.660216983131</v>
      </c>
      <c r="CE42" s="885">
        <f t="shared" si="198"/>
        <v>34056.752175165071</v>
      </c>
      <c r="CF42" s="885">
        <f t="shared" si="199"/>
        <v>24478.349834244713</v>
      </c>
      <c r="CG42" s="885">
        <f t="shared" si="200"/>
        <v>26549.623204657091</v>
      </c>
      <c r="CH42" s="885">
        <f t="shared" si="201"/>
        <v>30333.993377308052</v>
      </c>
      <c r="CI42" s="885">
        <f t="shared" si="202"/>
        <v>27962.336113888276</v>
      </c>
      <c r="CJ42" s="885">
        <f t="shared" si="203"/>
        <v>42819.981073474541</v>
      </c>
      <c r="CK42" s="885">
        <f t="shared" si="204"/>
        <v>46045.80161723843</v>
      </c>
      <c r="CL42" s="885">
        <f t="shared" si="205"/>
        <v>40471.601881520757</v>
      </c>
      <c r="CM42" s="877">
        <f t="shared" si="206"/>
        <v>59769.28658686173</v>
      </c>
      <c r="CN42" s="878">
        <f t="shared" ref="CN42:CN62" si="250">SUM(CB42:CM42)</f>
        <v>410551.95186608774</v>
      </c>
      <c r="CO42" s="885">
        <f t="shared" si="207"/>
        <v>21501.529136543839</v>
      </c>
      <c r="CP42" s="885">
        <f t="shared" si="208"/>
        <v>26456.367851107316</v>
      </c>
      <c r="CQ42" s="885">
        <f t="shared" si="209"/>
        <v>35641.493604214047</v>
      </c>
      <c r="CR42" s="885">
        <f t="shared" si="210"/>
        <v>30864.169633403024</v>
      </c>
      <c r="CS42" s="885">
        <f t="shared" si="211"/>
        <v>23379.616552706339</v>
      </c>
      <c r="CT42" s="885">
        <f t="shared" si="212"/>
        <v>34294.755120139132</v>
      </c>
      <c r="CU42" s="885">
        <f t="shared" si="213"/>
        <v>29162.91279022547</v>
      </c>
      <c r="CV42" s="885">
        <f t="shared" si="214"/>
        <v>33179.965453156277</v>
      </c>
      <c r="CW42" s="885">
        <f t="shared" si="215"/>
        <v>27204.220811066647</v>
      </c>
      <c r="CX42" s="885">
        <f t="shared" si="216"/>
        <v>40145.516069133322</v>
      </c>
      <c r="CY42" s="885">
        <f t="shared" si="217"/>
        <v>33667.5001151904</v>
      </c>
      <c r="CZ42" s="877">
        <f t="shared" si="218"/>
        <v>43031.870563034507</v>
      </c>
      <c r="DA42" s="878">
        <f>SUM(CO42:CZ42)</f>
        <v>378529.9176999203</v>
      </c>
      <c r="DB42" s="885">
        <f t="shared" si="219"/>
        <v>29436.486308001724</v>
      </c>
      <c r="DC42" s="885">
        <f t="shared" si="220"/>
        <v>31909.232180217616</v>
      </c>
      <c r="DD42" s="885">
        <f t="shared" si="221"/>
        <v>26726.270693459526</v>
      </c>
      <c r="DE42" s="885">
        <f t="shared" si="222"/>
        <v>29943.728486217158</v>
      </c>
      <c r="DF42" s="885">
        <f t="shared" si="223"/>
        <v>27262.656115435304</v>
      </c>
      <c r="DG42" s="885">
        <f t="shared" si="224"/>
        <v>31136.995903141633</v>
      </c>
      <c r="DH42" s="885">
        <f t="shared" si="225"/>
        <v>27562.7583874601</v>
      </c>
      <c r="DI42" s="885">
        <f t="shared" si="226"/>
        <v>28819.807252702674</v>
      </c>
      <c r="DJ42" s="885">
        <f t="shared" si="227"/>
        <v>25135.43777406669</v>
      </c>
      <c r="DK42" s="885">
        <f t="shared" si="228"/>
        <v>31624.957670786425</v>
      </c>
      <c r="DL42" s="885">
        <f t="shared" si="229"/>
        <v>28046.233760862393</v>
      </c>
      <c r="DM42" s="877">
        <f t="shared" si="230"/>
        <v>42654.952939736511</v>
      </c>
      <c r="DN42" s="878">
        <f t="shared" ref="DN42:DN64" si="251">SUM(DB42:DM42)</f>
        <v>360259.51747208775</v>
      </c>
      <c r="DO42" s="885">
        <f t="shared" si="231"/>
        <v>22475.433033951766</v>
      </c>
      <c r="DP42" s="885">
        <f t="shared" si="232"/>
        <v>41204.790872137062</v>
      </c>
      <c r="DQ42" s="885">
        <f t="shared" si="233"/>
        <v>24918.082712601339</v>
      </c>
      <c r="DR42" s="885">
        <f t="shared" si="234"/>
        <v>32421.100805447702</v>
      </c>
      <c r="DS42" s="885">
        <f t="shared" si="235"/>
        <v>31006.098726139899</v>
      </c>
      <c r="DT42" s="885">
        <f t="shared" si="236"/>
        <v>30192.17480907073</v>
      </c>
      <c r="DU42" s="885">
        <f t="shared" si="237"/>
        <v>35703.653344134415</v>
      </c>
      <c r="DV42" s="885">
        <f t="shared" si="238"/>
        <v>33850.377560719156</v>
      </c>
      <c r="DW42" s="885">
        <f t="shared" si="239"/>
        <v>30967.652885865609</v>
      </c>
      <c r="DX42" s="885">
        <f t="shared" si="240"/>
        <v>30806.90319940179</v>
      </c>
      <c r="DY42" s="885">
        <f t="shared" si="241"/>
        <v>29457.073173020111</v>
      </c>
      <c r="DZ42" s="877">
        <f t="shared" si="242"/>
        <v>44433.708299441474</v>
      </c>
      <c r="EA42" s="878">
        <f t="shared" ref="EA42:EA64" si="252">SUM(DO42:DZ42)</f>
        <v>387437.04942193109</v>
      </c>
      <c r="EB42" s="885">
        <f t="shared" ref="EB42:EB62" si="253">EB8/$EB$35</f>
        <v>31898.676589032697</v>
      </c>
      <c r="EC42" s="885">
        <f t="shared" ref="EC42:EC62" si="254">EC8/$EC$35</f>
        <v>29269.229297948823</v>
      </c>
      <c r="ED42" s="885">
        <f t="shared" ref="ED42:ED62" si="255">ED8/$ED$35</f>
        <v>30411.460318300815</v>
      </c>
      <c r="EE42" s="885">
        <f t="shared" ref="EE42:EE62" si="256">EE8/$EE$35</f>
        <v>30467.317674410166</v>
      </c>
      <c r="EF42" s="885">
        <f t="shared" ref="EF42:EF62" si="257">EF8/$EF$35</f>
        <v>35778.859202956919</v>
      </c>
      <c r="EG42" s="885">
        <f t="shared" ref="EG42:EG62" si="258">EG8/$EG$35</f>
        <v>37322.842477738595</v>
      </c>
      <c r="EH42" s="885">
        <f t="shared" ref="EH42:EH62" si="259">EH8/$EH$35</f>
        <v>38558.784817856598</v>
      </c>
      <c r="EI42" s="885">
        <f t="shared" ref="EI42:EI62" si="260">EI8/$EI$35</f>
        <v>31550.460098080424</v>
      </c>
      <c r="EJ42" s="885">
        <f t="shared" ref="EJ42:EJ62" si="261">EJ8/$EJ$35</f>
        <v>34933.38391382304</v>
      </c>
      <c r="EK42" s="885">
        <f t="shared" ref="EK42:EK62" si="262">EK8/$EK$35</f>
        <v>33974.763711793174</v>
      </c>
      <c r="EL42" s="885">
        <f t="shared" ref="EL42:EL62" si="263">EL8/$EL$35</f>
        <v>34163.075223270498</v>
      </c>
      <c r="EM42" s="877">
        <f t="shared" ref="EM42:EM62" si="264">EM8/$EM$35</f>
        <v>49118.013162389587</v>
      </c>
      <c r="EN42" s="878">
        <f t="shared" ref="EN42:EN55" si="265">SUM(EB42:EM42)</f>
        <v>417446.86648760136</v>
      </c>
      <c r="EO42" s="885">
        <f t="shared" ref="EO42:EO62" si="266">EO8/$EO$35</f>
        <v>41015.138459778515</v>
      </c>
      <c r="EP42" s="885">
        <f t="shared" ref="EP42:EP62" si="267">EP8/$EP$35</f>
        <v>28087.982963985854</v>
      </c>
      <c r="EQ42" s="885">
        <f t="shared" ref="EQ42:EQ62" si="268">EQ8/$EQ$35</f>
        <v>35138.363917084222</v>
      </c>
      <c r="ER42" s="885">
        <f t="shared" ref="ER42:ER62" si="269">ER8/$ER$35</f>
        <v>31441.882074397079</v>
      </c>
      <c r="ES42" s="885">
        <f t="shared" ref="ES42:ES62" si="270">ES8/$ES$35</f>
        <v>36411.923766506108</v>
      </c>
      <c r="ET42" s="885">
        <f t="shared" ref="ET42:ET62" si="271">ET8/$ET$35</f>
        <v>35795.484577506373</v>
      </c>
      <c r="EU42" s="885">
        <f t="shared" ref="EU42:EU62" si="272">EU8/$EU$35</f>
        <v>40400.576023618953</v>
      </c>
      <c r="EV42" s="972">
        <f t="shared" ref="EV42:EV62" si="273">EV8/$EV$35</f>
        <v>32903.318179125577</v>
      </c>
      <c r="EW42" s="885"/>
      <c r="EX42" s="885"/>
      <c r="EY42" s="885"/>
      <c r="EZ42" s="877"/>
      <c r="FA42" s="878">
        <f t="shared" ref="FA42:FA63" si="274">SUM(EO42:EZ42)</f>
        <v>281194.66996200266</v>
      </c>
      <c r="FC42" s="851">
        <f t="shared" ref="FC42:FC64" si="275">IFERROR(((
_xlfn.XLOOKUP((DATE(YEAR($FC$5),MONTH($FC$5),1)),UCA.GGN.DATE,$B42:$FA42) /
_xlfn.XLOOKUP((DATE(YEAR($FC$5)-1,MONTH($FC$5),1)),UCA.GGN.DATE,$B42:$FA42)
)-1)*100,"")</f>
        <v>4.2879187081251491</v>
      </c>
      <c r="FD42" s="852">
        <f t="shared" ref="FD42:FD64" si="276">IFERROR(((FF42/FE42)-1)*100,"")</f>
        <v>6.0081361116961496</v>
      </c>
      <c r="FE42" s="853">
        <f>SUMIFS($B42:$FA42,UCA.GGN.DATE,"&gt;="&amp;DATE(YEAR($FC$5)-1,1,1),UCA.GGN.DATE,"&lt;="&amp;DATE(YEAR($FC$5)-1,MONTH($FC$5),1))</f>
        <v>265257.63047632505</v>
      </c>
      <c r="FF42" s="854">
        <f t="shared" si="243"/>
        <v>281194.66996200266</v>
      </c>
      <c r="FH42" s="236">
        <f t="shared" ref="FH42:FH52" si="277">EV42-EI42</f>
        <v>1352.8580810451531</v>
      </c>
    </row>
    <row r="43" spans="1:164" ht="15" customHeight="1" x14ac:dyDescent="0.25">
      <c r="A43" s="403" t="s">
        <v>371</v>
      </c>
      <c r="B43" s="883">
        <f t="shared" si="123"/>
        <v>9696.2873519892364</v>
      </c>
      <c r="C43" s="883">
        <f t="shared" si="124"/>
        <v>11253.948903542363</v>
      </c>
      <c r="D43" s="883">
        <f t="shared" si="125"/>
        <v>12100.66178157351</v>
      </c>
      <c r="E43" s="883">
        <f t="shared" si="126"/>
        <v>11442.487968115398</v>
      </c>
      <c r="F43" s="883">
        <f t="shared" si="127"/>
        <v>11223.167705705975</v>
      </c>
      <c r="G43" s="883">
        <f t="shared" si="128"/>
        <v>11847.293831984434</v>
      </c>
      <c r="H43" s="883">
        <f t="shared" si="129"/>
        <v>12451.534926919878</v>
      </c>
      <c r="I43" s="883">
        <f t="shared" si="130"/>
        <v>10492.456410588258</v>
      </c>
      <c r="J43" s="883">
        <f t="shared" si="131"/>
        <v>10800.639634658</v>
      </c>
      <c r="K43" s="883">
        <f t="shared" si="132"/>
        <v>10543.05716536326</v>
      </c>
      <c r="L43" s="883">
        <f t="shared" si="133"/>
        <v>10848.990984018952</v>
      </c>
      <c r="M43" s="873">
        <f t="shared" si="134"/>
        <v>13425.635717930396</v>
      </c>
      <c r="N43" s="879">
        <f t="shared" si="244"/>
        <v>136126.16238238968</v>
      </c>
      <c r="O43" s="883">
        <f t="shared" si="135"/>
        <v>11849.331010356746</v>
      </c>
      <c r="P43" s="883">
        <f t="shared" si="136"/>
        <v>11286.89241686963</v>
      </c>
      <c r="Q43" s="883">
        <f t="shared" si="137"/>
        <v>11297.1210424693</v>
      </c>
      <c r="R43" s="883">
        <f t="shared" si="138"/>
        <v>11509.221827642237</v>
      </c>
      <c r="S43" s="883">
        <f t="shared" si="139"/>
        <v>12778.172308952229</v>
      </c>
      <c r="T43" s="883">
        <f t="shared" si="140"/>
        <v>12792.255082508331</v>
      </c>
      <c r="U43" s="883">
        <f t="shared" si="141"/>
        <v>13310.592879475858</v>
      </c>
      <c r="V43" s="883">
        <f t="shared" si="142"/>
        <v>11027.468911540655</v>
      </c>
      <c r="W43" s="883">
        <f t="shared" si="143"/>
        <v>10340.023575448729</v>
      </c>
      <c r="X43" s="883">
        <f t="shared" si="144"/>
        <v>10526.430269308908</v>
      </c>
      <c r="Y43" s="883">
        <f t="shared" si="145"/>
        <v>12159.928033381279</v>
      </c>
      <c r="Z43" s="873">
        <f t="shared" si="146"/>
        <v>12810.349761472673</v>
      </c>
      <c r="AA43" s="879">
        <f t="shared" si="245"/>
        <v>141687.78711942659</v>
      </c>
      <c r="AB43" s="883">
        <f t="shared" si="147"/>
        <v>12973.552976347903</v>
      </c>
      <c r="AC43" s="883">
        <f t="shared" si="148"/>
        <v>13046.96120444105</v>
      </c>
      <c r="AD43" s="883">
        <f t="shared" si="149"/>
        <v>13929.512204612896</v>
      </c>
      <c r="AE43" s="883">
        <f t="shared" si="150"/>
        <v>12795.17354579645</v>
      </c>
      <c r="AF43" s="883">
        <f t="shared" si="151"/>
        <v>12192.024201275979</v>
      </c>
      <c r="AG43" s="883">
        <f t="shared" si="152"/>
        <v>14441.380742881896</v>
      </c>
      <c r="AH43" s="883">
        <f t="shared" si="153"/>
        <v>12951.594415692573</v>
      </c>
      <c r="AI43" s="883">
        <f t="shared" si="154"/>
        <v>10587.440293494354</v>
      </c>
      <c r="AJ43" s="883">
        <f t="shared" si="155"/>
        <v>11385.603823969206</v>
      </c>
      <c r="AK43" s="883">
        <f t="shared" si="156"/>
        <v>11977.615804981328</v>
      </c>
      <c r="AL43" s="883">
        <f t="shared" si="157"/>
        <v>12487.517473915352</v>
      </c>
      <c r="AM43" s="873">
        <f t="shared" si="158"/>
        <v>14965.984916353451</v>
      </c>
      <c r="AN43" s="879">
        <f t="shared" si="246"/>
        <v>153734.36160376243</v>
      </c>
      <c r="AO43" s="883">
        <f t="shared" si="159"/>
        <v>13722.005266124521</v>
      </c>
      <c r="AP43" s="883">
        <f t="shared" si="160"/>
        <v>13424.241528539585</v>
      </c>
      <c r="AQ43" s="883">
        <f t="shared" si="161"/>
        <v>14414.25172598272</v>
      </c>
      <c r="AR43" s="883">
        <f t="shared" si="162"/>
        <v>13383.952447464166</v>
      </c>
      <c r="AS43" s="883">
        <f t="shared" si="163"/>
        <v>13645.281480945781</v>
      </c>
      <c r="AT43" s="883">
        <f t="shared" si="164"/>
        <v>13382.189042070802</v>
      </c>
      <c r="AU43" s="883">
        <f t="shared" si="165"/>
        <v>14255.060510982956</v>
      </c>
      <c r="AV43" s="883">
        <f t="shared" si="166"/>
        <v>12953.801680934828</v>
      </c>
      <c r="AW43" s="883">
        <f t="shared" si="167"/>
        <v>11941.379608867153</v>
      </c>
      <c r="AX43" s="883">
        <f t="shared" si="168"/>
        <v>11858.953935387744</v>
      </c>
      <c r="AY43" s="883">
        <f t="shared" si="169"/>
        <v>12394.573654742608</v>
      </c>
      <c r="AZ43" s="873">
        <f t="shared" si="170"/>
        <v>15072.087151188973</v>
      </c>
      <c r="BA43" s="879">
        <f t="shared" si="247"/>
        <v>160447.77803323188</v>
      </c>
      <c r="BB43" s="883">
        <f t="shared" si="171"/>
        <v>12831.744683750239</v>
      </c>
      <c r="BC43" s="883">
        <f t="shared" si="172"/>
        <v>13685.288630479596</v>
      </c>
      <c r="BD43" s="883">
        <f t="shared" si="173"/>
        <v>13513.419655697098</v>
      </c>
      <c r="BE43" s="883">
        <f t="shared" si="174"/>
        <v>13391.57985622181</v>
      </c>
      <c r="BF43" s="883">
        <f t="shared" si="175"/>
        <v>14341.058952232506</v>
      </c>
      <c r="BG43" s="883">
        <f t="shared" si="176"/>
        <v>13845.767254165949</v>
      </c>
      <c r="BH43" s="883">
        <f t="shared" si="177"/>
        <v>15990.237379452657</v>
      </c>
      <c r="BI43" s="883">
        <f t="shared" si="178"/>
        <v>13448.971533990942</v>
      </c>
      <c r="BJ43" s="883">
        <f t="shared" si="179"/>
        <v>13547.048270036688</v>
      </c>
      <c r="BK43" s="883">
        <f t="shared" si="180"/>
        <v>13721.064523205374</v>
      </c>
      <c r="BL43" s="883">
        <f t="shared" si="181"/>
        <v>14406.653412804655</v>
      </c>
      <c r="BM43" s="873">
        <f t="shared" si="182"/>
        <v>17463.314471180329</v>
      </c>
      <c r="BN43" s="879">
        <f t="shared" si="248"/>
        <v>170186.1486232178</v>
      </c>
      <c r="BO43" s="883">
        <f t="shared" si="183"/>
        <v>13136.953625376706</v>
      </c>
      <c r="BP43" s="883">
        <f t="shared" si="184"/>
        <v>12173.352806538918</v>
      </c>
      <c r="BQ43" s="883">
        <f t="shared" si="185"/>
        <v>12027.460127096558</v>
      </c>
      <c r="BR43" s="883">
        <f t="shared" si="186"/>
        <v>12049.735335046606</v>
      </c>
      <c r="BS43" s="883">
        <f t="shared" si="187"/>
        <v>13053.719101921874</v>
      </c>
      <c r="BT43" s="883">
        <f t="shared" si="188"/>
        <v>12063.731595735431</v>
      </c>
      <c r="BU43" s="883">
        <f t="shared" si="189"/>
        <v>14752.724780261942</v>
      </c>
      <c r="BV43" s="883">
        <f t="shared" si="190"/>
        <v>11934.860235138121</v>
      </c>
      <c r="BW43" s="883">
        <f t="shared" si="191"/>
        <v>11978.274462745845</v>
      </c>
      <c r="BX43" s="883">
        <f t="shared" si="192"/>
        <v>12167.067279381114</v>
      </c>
      <c r="BY43" s="883">
        <f t="shared" si="193"/>
        <v>13195.052705111719</v>
      </c>
      <c r="BZ43" s="873">
        <f t="shared" si="194"/>
        <v>16756.980367724111</v>
      </c>
      <c r="CA43" s="879">
        <f t="shared" si="249"/>
        <v>155289.91242207895</v>
      </c>
      <c r="CB43" s="883">
        <f t="shared" si="195"/>
        <v>11515.199442722536</v>
      </c>
      <c r="CC43" s="883">
        <f t="shared" si="196"/>
        <v>11288.598640591576</v>
      </c>
      <c r="CD43" s="883">
        <f t="shared" si="197"/>
        <v>11472.956143425235</v>
      </c>
      <c r="CE43" s="883">
        <f t="shared" si="198"/>
        <v>11723.588116002438</v>
      </c>
      <c r="CF43" s="883">
        <f t="shared" si="199"/>
        <v>12760.94323646038</v>
      </c>
      <c r="CG43" s="883">
        <f t="shared" si="200"/>
        <v>11353.059393244861</v>
      </c>
      <c r="CH43" s="883">
        <f t="shared" si="201"/>
        <v>14035.936547757914</v>
      </c>
      <c r="CI43" s="883">
        <f t="shared" si="202"/>
        <v>11453.650188980942</v>
      </c>
      <c r="CJ43" s="883">
        <f t="shared" si="203"/>
        <v>11650.092912137823</v>
      </c>
      <c r="CK43" s="883">
        <f t="shared" si="204"/>
        <v>11294.484543492124</v>
      </c>
      <c r="CL43" s="883">
        <f t="shared" si="205"/>
        <v>12330.889821530256</v>
      </c>
      <c r="CM43" s="873">
        <f t="shared" si="206"/>
        <v>15374.859178799501</v>
      </c>
      <c r="CN43" s="879">
        <f t="shared" si="250"/>
        <v>146254.25816514561</v>
      </c>
      <c r="CO43" s="883">
        <f t="shared" si="207"/>
        <v>11694.250416879941</v>
      </c>
      <c r="CP43" s="883">
        <f t="shared" si="208"/>
        <v>11907.145565437333</v>
      </c>
      <c r="CQ43" s="883">
        <f t="shared" si="209"/>
        <v>11709.058195176376</v>
      </c>
      <c r="CR43" s="883">
        <f t="shared" si="210"/>
        <v>11499.681466312664</v>
      </c>
      <c r="CS43" s="883">
        <f t="shared" si="211"/>
        <v>12107.676733590477</v>
      </c>
      <c r="CT43" s="883">
        <f t="shared" si="212"/>
        <v>11416.109435075885</v>
      </c>
      <c r="CU43" s="883">
        <f t="shared" si="213"/>
        <v>13601.653211594536</v>
      </c>
      <c r="CV43" s="883">
        <f t="shared" si="214"/>
        <v>10999.471452836417</v>
      </c>
      <c r="CW43" s="883">
        <f t="shared" si="215"/>
        <v>10650.122322447125</v>
      </c>
      <c r="CX43" s="883">
        <f t="shared" si="216"/>
        <v>10551.592322140161</v>
      </c>
      <c r="CY43" s="883">
        <f t="shared" si="217"/>
        <v>11656.688616292016</v>
      </c>
      <c r="CZ43" s="873">
        <f t="shared" si="218"/>
        <v>14095.917028487791</v>
      </c>
      <c r="DA43" s="879">
        <f t="shared" ref="DA43:DA61" si="278">SUM(CO43:CZ43)</f>
        <v>141889.36676627072</v>
      </c>
      <c r="DB43" s="883">
        <f t="shared" si="219"/>
        <v>11154.372445917435</v>
      </c>
      <c r="DC43" s="883">
        <f t="shared" si="220"/>
        <v>10628.218068829085</v>
      </c>
      <c r="DD43" s="883">
        <f t="shared" si="221"/>
        <v>10463.483513567564</v>
      </c>
      <c r="DE43" s="883">
        <f t="shared" si="222"/>
        <v>10511.542453490962</v>
      </c>
      <c r="DF43" s="883">
        <f t="shared" si="223"/>
        <v>11635.870754097654</v>
      </c>
      <c r="DG43" s="883">
        <f t="shared" si="224"/>
        <v>10763.427242099875</v>
      </c>
      <c r="DH43" s="883">
        <f t="shared" si="225"/>
        <v>13485.604648048131</v>
      </c>
      <c r="DI43" s="883">
        <f t="shared" si="226"/>
        <v>10648.570318477268</v>
      </c>
      <c r="DJ43" s="883">
        <f t="shared" si="227"/>
        <v>10635.05568000892</v>
      </c>
      <c r="DK43" s="883">
        <f t="shared" si="228"/>
        <v>10884.49993223632</v>
      </c>
      <c r="DL43" s="883">
        <f t="shared" si="229"/>
        <v>12405.185934853922</v>
      </c>
      <c r="DM43" s="873">
        <f t="shared" si="230"/>
        <v>16312.631249390392</v>
      </c>
      <c r="DN43" s="879">
        <f t="shared" si="251"/>
        <v>139528.46224101752</v>
      </c>
      <c r="DO43" s="883">
        <f t="shared" si="231"/>
        <v>14114.282608508622</v>
      </c>
      <c r="DP43" s="883">
        <f t="shared" si="232"/>
        <v>13272.19057741289</v>
      </c>
      <c r="DQ43" s="883">
        <f t="shared" si="233"/>
        <v>13082.84853057932</v>
      </c>
      <c r="DR43" s="883">
        <f t="shared" si="234"/>
        <v>13461.340240292046</v>
      </c>
      <c r="DS43" s="883">
        <f t="shared" si="235"/>
        <v>14300.572671676975</v>
      </c>
      <c r="DT43" s="883">
        <f t="shared" si="236"/>
        <v>13181.385082616736</v>
      </c>
      <c r="DU43" s="883">
        <f t="shared" si="237"/>
        <v>16617.019843933809</v>
      </c>
      <c r="DV43" s="883">
        <f t="shared" si="238"/>
        <v>13730.74107513142</v>
      </c>
      <c r="DW43" s="883">
        <f t="shared" si="239"/>
        <v>13464.561651897464</v>
      </c>
      <c r="DX43" s="883">
        <f t="shared" si="240"/>
        <v>13941.867410769722</v>
      </c>
      <c r="DY43" s="883">
        <f t="shared" si="241"/>
        <v>15911.40557760437</v>
      </c>
      <c r="DZ43" s="873">
        <f t="shared" si="242"/>
        <v>18494.491969083309</v>
      </c>
      <c r="EA43" s="879">
        <f t="shared" si="252"/>
        <v>173572.70723950668</v>
      </c>
      <c r="EB43" s="883">
        <f t="shared" si="253"/>
        <v>15131.559717002014</v>
      </c>
      <c r="EC43" s="883">
        <f t="shared" si="254"/>
        <v>15467.306474779836</v>
      </c>
      <c r="ED43" s="883">
        <f t="shared" si="255"/>
        <v>14456.128519468995</v>
      </c>
      <c r="EE43" s="883">
        <f t="shared" si="256"/>
        <v>14413.879446067111</v>
      </c>
      <c r="EF43" s="883">
        <f t="shared" si="257"/>
        <v>15981.352620603118</v>
      </c>
      <c r="EG43" s="883">
        <f t="shared" si="258"/>
        <v>14619.983701404099</v>
      </c>
      <c r="EH43" s="883">
        <f t="shared" si="259"/>
        <v>18615.022142128997</v>
      </c>
      <c r="EI43" s="883">
        <f t="shared" si="260"/>
        <v>14966.562240765261</v>
      </c>
      <c r="EJ43" s="883">
        <f t="shared" si="261"/>
        <v>15639.853751480367</v>
      </c>
      <c r="EK43" s="883">
        <f t="shared" si="262"/>
        <v>15244.045406960957</v>
      </c>
      <c r="EL43" s="883">
        <f t="shared" si="263"/>
        <v>17016.437765431096</v>
      </c>
      <c r="EM43" s="873">
        <f t="shared" si="264"/>
        <v>21648.360465341837</v>
      </c>
      <c r="EN43" s="879">
        <f t="shared" si="265"/>
        <v>193200.49225143369</v>
      </c>
      <c r="EO43" s="883">
        <f t="shared" si="266"/>
        <v>16017.99038498502</v>
      </c>
      <c r="EP43" s="883">
        <f t="shared" si="267"/>
        <v>16368.002048008788</v>
      </c>
      <c r="EQ43" s="883">
        <f t="shared" si="268"/>
        <v>15911.228918420431</v>
      </c>
      <c r="ER43" s="883">
        <f>ER9/$ER$35</f>
        <v>16176.993446921346</v>
      </c>
      <c r="ES43" s="883">
        <f t="shared" si="270"/>
        <v>17298.241332808</v>
      </c>
      <c r="ET43" s="883">
        <f t="shared" si="271"/>
        <v>16484.937053054749</v>
      </c>
      <c r="EU43" s="883">
        <f>EU9/$EU$35</f>
        <v>20083.709761293114</v>
      </c>
      <c r="EV43" s="973">
        <f t="shared" si="273"/>
        <v>16275.196963742628</v>
      </c>
      <c r="EW43" s="883"/>
      <c r="EX43" s="883"/>
      <c r="EY43" s="883"/>
      <c r="EZ43" s="873"/>
      <c r="FA43" s="879">
        <f t="shared" si="274"/>
        <v>134616.29990923408</v>
      </c>
      <c r="FC43" s="843">
        <f t="shared" si="275"/>
        <v>8.7437228531543898</v>
      </c>
      <c r="FD43" s="844">
        <f t="shared" si="276"/>
        <v>8.867242937502029</v>
      </c>
      <c r="FE43" s="845">
        <f t="shared" ref="FE43:FE64" si="279">SUMIFS($B43:$FA43,UCA.GGN.DATE,"&gt;="&amp;DATE(YEAR($FC$5)-1,1,1),UCA.GGN.DATE,"&lt;="&amp;DATE(YEAR($FC$5)-1,MONTH($FC$5),1))</f>
        <v>123651.79486221942</v>
      </c>
      <c r="FF43" s="846">
        <f t="shared" si="243"/>
        <v>134616.29990923408</v>
      </c>
      <c r="FH43" s="127">
        <f t="shared" si="277"/>
        <v>1308.6347229773673</v>
      </c>
    </row>
    <row r="44" spans="1:164" ht="15" customHeight="1" x14ac:dyDescent="0.25">
      <c r="A44" s="403" t="s">
        <v>372</v>
      </c>
      <c r="B44" s="883">
        <f t="shared" si="123"/>
        <v>495.895389779965</v>
      </c>
      <c r="C44" s="883">
        <f t="shared" si="124"/>
        <v>684.81176228476124</v>
      </c>
      <c r="D44" s="883">
        <f t="shared" si="125"/>
        <v>618.99150299675568</v>
      </c>
      <c r="E44" s="883">
        <f t="shared" si="126"/>
        <v>843.54653379892147</v>
      </c>
      <c r="F44" s="883">
        <f t="shared" si="127"/>
        <v>644.73516607247086</v>
      </c>
      <c r="G44" s="883">
        <f t="shared" si="128"/>
        <v>642.61453809675152</v>
      </c>
      <c r="H44" s="883">
        <f t="shared" si="129"/>
        <v>1112.085404129177</v>
      </c>
      <c r="I44" s="883">
        <f t="shared" si="130"/>
        <v>637.31393437317649</v>
      </c>
      <c r="J44" s="883">
        <f t="shared" si="131"/>
        <v>698.77984245655398</v>
      </c>
      <c r="K44" s="883">
        <f t="shared" si="132"/>
        <v>873.39384881055412</v>
      </c>
      <c r="L44" s="883">
        <f t="shared" si="133"/>
        <v>639.37912090719885</v>
      </c>
      <c r="M44" s="873">
        <f t="shared" si="134"/>
        <v>1125.967538864739</v>
      </c>
      <c r="N44" s="879">
        <f t="shared" si="244"/>
        <v>9017.514582571026</v>
      </c>
      <c r="O44" s="883">
        <f t="shared" si="135"/>
        <v>716.06927411984645</v>
      </c>
      <c r="P44" s="883">
        <f t="shared" si="136"/>
        <v>647.34419856173929</v>
      </c>
      <c r="Q44" s="883">
        <f t="shared" si="137"/>
        <v>662.12418227923831</v>
      </c>
      <c r="R44" s="883">
        <f t="shared" si="138"/>
        <v>879.01616472048966</v>
      </c>
      <c r="S44" s="883">
        <f t="shared" si="139"/>
        <v>744.74238609963209</v>
      </c>
      <c r="T44" s="883">
        <f t="shared" si="140"/>
        <v>693.18004367407787</v>
      </c>
      <c r="U44" s="883">
        <f t="shared" si="141"/>
        <v>1259.7923098979661</v>
      </c>
      <c r="V44" s="883">
        <f t="shared" si="142"/>
        <v>684.96352375145204</v>
      </c>
      <c r="W44" s="883">
        <f t="shared" si="143"/>
        <v>702.72004881690395</v>
      </c>
      <c r="X44" s="883">
        <f t="shared" si="144"/>
        <v>410.20658497621139</v>
      </c>
      <c r="Y44" s="883">
        <f t="shared" si="145"/>
        <v>173.72372921281348</v>
      </c>
      <c r="Z44" s="873">
        <f t="shared" si="146"/>
        <v>1233.2537012299458</v>
      </c>
      <c r="AA44" s="879">
        <f t="shared" si="245"/>
        <v>8807.1361473403158</v>
      </c>
      <c r="AB44" s="883">
        <f t="shared" si="147"/>
        <v>795.17675826941365</v>
      </c>
      <c r="AC44" s="883">
        <f t="shared" si="148"/>
        <v>715.62851021129484</v>
      </c>
      <c r="AD44" s="883">
        <f t="shared" si="149"/>
        <v>678.4738206963134</v>
      </c>
      <c r="AE44" s="883">
        <f t="shared" si="150"/>
        <v>900.27859274683351</v>
      </c>
      <c r="AF44" s="883">
        <f t="shared" si="151"/>
        <v>704.77467545873935</v>
      </c>
      <c r="AG44" s="883">
        <f t="shared" si="152"/>
        <v>149.71532096842552</v>
      </c>
      <c r="AH44" s="883">
        <f t="shared" si="153"/>
        <v>1156.3536896806277</v>
      </c>
      <c r="AI44" s="883">
        <f t="shared" si="154"/>
        <v>87.475803589754236</v>
      </c>
      <c r="AJ44" s="883">
        <f t="shared" si="155"/>
        <v>119.04826371749108</v>
      </c>
      <c r="AK44" s="883">
        <f t="shared" si="156"/>
        <v>672.98882042065577</v>
      </c>
      <c r="AL44" s="883">
        <f t="shared" si="157"/>
        <v>237.53429977556374</v>
      </c>
      <c r="AM44" s="873">
        <f t="shared" si="158"/>
        <v>524.04734775979955</v>
      </c>
      <c r="AN44" s="879">
        <f t="shared" si="246"/>
        <v>6741.4959032949109</v>
      </c>
      <c r="AO44" s="883">
        <f t="shared" si="159"/>
        <v>999.94047083820158</v>
      </c>
      <c r="AP44" s="883">
        <f t="shared" si="160"/>
        <v>753.29139635380477</v>
      </c>
      <c r="AQ44" s="883">
        <f t="shared" si="161"/>
        <v>800.35506088447005</v>
      </c>
      <c r="AR44" s="883">
        <f t="shared" si="162"/>
        <v>922.41430277395648</v>
      </c>
      <c r="AS44" s="883">
        <f t="shared" si="163"/>
        <v>781.28394385448792</v>
      </c>
      <c r="AT44" s="883">
        <f t="shared" si="164"/>
        <v>756.60783191074927</v>
      </c>
      <c r="AU44" s="883">
        <f t="shared" si="165"/>
        <v>1444.9712488457756</v>
      </c>
      <c r="AV44" s="883">
        <f t="shared" si="166"/>
        <v>1460.1228973252205</v>
      </c>
      <c r="AW44" s="883">
        <f t="shared" si="167"/>
        <v>1484.9714190710088</v>
      </c>
      <c r="AX44" s="883">
        <f t="shared" si="168"/>
        <v>844.13675685665748</v>
      </c>
      <c r="AY44" s="883">
        <f t="shared" si="169"/>
        <v>1362.569164462524</v>
      </c>
      <c r="AZ44" s="873">
        <f t="shared" si="170"/>
        <v>1411.6193021076122</v>
      </c>
      <c r="BA44" s="879">
        <f t="shared" si="247"/>
        <v>13022.283795284467</v>
      </c>
      <c r="BB44" s="883">
        <f t="shared" si="171"/>
        <v>874.85963918987193</v>
      </c>
      <c r="BC44" s="883">
        <f t="shared" si="172"/>
        <v>758.25989582398006</v>
      </c>
      <c r="BD44" s="883">
        <f t="shared" si="173"/>
        <v>893.95178129908902</v>
      </c>
      <c r="BE44" s="883">
        <f t="shared" si="174"/>
        <v>919.37192678926692</v>
      </c>
      <c r="BF44" s="883">
        <f t="shared" si="175"/>
        <v>791.92734476388341</v>
      </c>
      <c r="BG44" s="883">
        <f t="shared" si="176"/>
        <v>819.13179213760588</v>
      </c>
      <c r="BH44" s="883">
        <f t="shared" si="177"/>
        <v>4624.5967828926514</v>
      </c>
      <c r="BI44" s="883">
        <f t="shared" si="178"/>
        <v>785.0216555617709</v>
      </c>
      <c r="BJ44" s="883">
        <f t="shared" si="179"/>
        <v>125.84119768420018</v>
      </c>
      <c r="BK44" s="883">
        <f t="shared" si="180"/>
        <v>206.26391473361321</v>
      </c>
      <c r="BL44" s="883">
        <f t="shared" si="181"/>
        <v>129.72717235009731</v>
      </c>
      <c r="BM44" s="873">
        <f t="shared" si="182"/>
        <v>1542.3874035435572</v>
      </c>
      <c r="BN44" s="879">
        <f t="shared" si="248"/>
        <v>12471.340506769589</v>
      </c>
      <c r="BO44" s="883">
        <f t="shared" si="183"/>
        <v>774.95986834625035</v>
      </c>
      <c r="BP44" s="883">
        <f t="shared" si="184"/>
        <v>981.85573493539584</v>
      </c>
      <c r="BQ44" s="883">
        <f t="shared" si="185"/>
        <v>1041.4187792697192</v>
      </c>
      <c r="BR44" s="883">
        <f t="shared" si="186"/>
        <v>1058.895353290379</v>
      </c>
      <c r="BS44" s="883">
        <f t="shared" si="187"/>
        <v>3621.3940734201256</v>
      </c>
      <c r="BT44" s="883">
        <f t="shared" si="188"/>
        <v>3641.4927663540902</v>
      </c>
      <c r="BU44" s="883">
        <f t="shared" si="189"/>
        <v>295.1228110707645</v>
      </c>
      <c r="BV44" s="883">
        <f t="shared" si="190"/>
        <v>105.32167074730793</v>
      </c>
      <c r="BW44" s="883">
        <f t="shared" si="191"/>
        <v>124.29704955925331</v>
      </c>
      <c r="BX44" s="883">
        <f t="shared" si="192"/>
        <v>1066.5558724054829</v>
      </c>
      <c r="BY44" s="883">
        <f t="shared" si="193"/>
        <v>950.99478955760128</v>
      </c>
      <c r="BZ44" s="873">
        <f t="shared" si="194"/>
        <v>2403.4565253329829</v>
      </c>
      <c r="CA44" s="879">
        <f t="shared" si="249"/>
        <v>16065.765294289351</v>
      </c>
      <c r="CB44" s="883">
        <f t="shared" si="195"/>
        <v>898.38235146606235</v>
      </c>
      <c r="CC44" s="883">
        <f t="shared" si="196"/>
        <v>850.28899373179013</v>
      </c>
      <c r="CD44" s="883">
        <f t="shared" si="197"/>
        <v>846.55211860901329</v>
      </c>
      <c r="CE44" s="883">
        <f t="shared" si="198"/>
        <v>850.07904229513133</v>
      </c>
      <c r="CF44" s="883">
        <f t="shared" si="199"/>
        <v>890.54695221201428</v>
      </c>
      <c r="CG44" s="883">
        <f t="shared" si="200"/>
        <v>784.25301978860409</v>
      </c>
      <c r="CH44" s="883">
        <f t="shared" si="201"/>
        <v>1777.8502040147143</v>
      </c>
      <c r="CI44" s="883">
        <f t="shared" si="202"/>
        <v>831.42892485718971</v>
      </c>
      <c r="CJ44" s="883">
        <f t="shared" si="203"/>
        <v>940.39243661565968</v>
      </c>
      <c r="CK44" s="883">
        <f t="shared" si="204"/>
        <v>913.03105741781053</v>
      </c>
      <c r="CL44" s="883">
        <f t="shared" si="205"/>
        <v>705.94488889098602</v>
      </c>
      <c r="CM44" s="873">
        <f t="shared" si="206"/>
        <v>1827.7581554879905</v>
      </c>
      <c r="CN44" s="879">
        <f t="shared" si="250"/>
        <v>12116.508145386966</v>
      </c>
      <c r="CO44" s="883">
        <f t="shared" si="207"/>
        <v>807.33564335096537</v>
      </c>
      <c r="CP44" s="883">
        <f t="shared" si="208"/>
        <v>852.50839312607911</v>
      </c>
      <c r="CQ44" s="883">
        <f t="shared" si="209"/>
        <v>766.78012042672322</v>
      </c>
      <c r="CR44" s="883">
        <f t="shared" si="210"/>
        <v>843.25619774018833</v>
      </c>
      <c r="CS44" s="883">
        <f t="shared" si="211"/>
        <v>716.43423363615477</v>
      </c>
      <c r="CT44" s="883">
        <f t="shared" si="212"/>
        <v>872.33541702099546</v>
      </c>
      <c r="CU44" s="883">
        <f t="shared" si="213"/>
        <v>1589.8350605943867</v>
      </c>
      <c r="CV44" s="883">
        <f t="shared" si="214"/>
        <v>878.29850754735776</v>
      </c>
      <c r="CW44" s="883">
        <f t="shared" si="215"/>
        <v>571.73837265607881</v>
      </c>
      <c r="CX44" s="883">
        <f t="shared" si="216"/>
        <v>606.09824296055035</v>
      </c>
      <c r="CY44" s="883">
        <f t="shared" si="217"/>
        <v>908.89088290400593</v>
      </c>
      <c r="CZ44" s="873">
        <f t="shared" si="218"/>
        <v>1879.4163880156279</v>
      </c>
      <c r="DA44" s="879">
        <f t="shared" si="278"/>
        <v>11292.927459979115</v>
      </c>
      <c r="DB44" s="883">
        <f t="shared" si="219"/>
        <v>588.64756199385386</v>
      </c>
      <c r="DC44" s="883">
        <f t="shared" si="220"/>
        <v>682.33136594288692</v>
      </c>
      <c r="DD44" s="883">
        <f t="shared" si="221"/>
        <v>968.66981709783681</v>
      </c>
      <c r="DE44" s="883">
        <f t="shared" si="222"/>
        <v>675.90212287743293</v>
      </c>
      <c r="DF44" s="883">
        <f t="shared" si="223"/>
        <v>957.33825849813786</v>
      </c>
      <c r="DG44" s="883">
        <f t="shared" si="224"/>
        <v>783.20156647296392</v>
      </c>
      <c r="DH44" s="883">
        <f t="shared" si="225"/>
        <v>1007.6338628738654</v>
      </c>
      <c r="DI44" s="883">
        <f t="shared" si="226"/>
        <v>872.29225365774653</v>
      </c>
      <c r="DJ44" s="883">
        <f t="shared" si="227"/>
        <v>968.32403980811341</v>
      </c>
      <c r="DK44" s="883">
        <f t="shared" si="228"/>
        <v>944.02006338142814</v>
      </c>
      <c r="DL44" s="883">
        <f t="shared" si="229"/>
        <v>441.59190029544095</v>
      </c>
      <c r="DM44" s="873">
        <f t="shared" si="230"/>
        <v>1675.412903944723</v>
      </c>
      <c r="DN44" s="879">
        <f t="shared" si="251"/>
        <v>10565.36571684443</v>
      </c>
      <c r="DO44" s="883">
        <f t="shared" si="231"/>
        <v>960.27926548345647</v>
      </c>
      <c r="DP44" s="883">
        <f t="shared" si="232"/>
        <v>943.60387069388787</v>
      </c>
      <c r="DQ44" s="883">
        <f t="shared" si="233"/>
        <v>985.19479119783409</v>
      </c>
      <c r="DR44" s="883">
        <f t="shared" si="234"/>
        <v>965.49141710950664</v>
      </c>
      <c r="DS44" s="883">
        <f t="shared" si="235"/>
        <v>911.89453505589006</v>
      </c>
      <c r="DT44" s="883">
        <f t="shared" si="236"/>
        <v>979.22385883711956</v>
      </c>
      <c r="DU44" s="883">
        <f t="shared" si="237"/>
        <v>1758.4947262452513</v>
      </c>
      <c r="DV44" s="883">
        <f t="shared" si="238"/>
        <v>1009.8594614379468</v>
      </c>
      <c r="DW44" s="883">
        <f t="shared" si="239"/>
        <v>982.64734464730407</v>
      </c>
      <c r="DX44" s="883">
        <f t="shared" si="240"/>
        <v>991.36943646001691</v>
      </c>
      <c r="DY44" s="883">
        <f t="shared" si="241"/>
        <v>1007.8155659347302</v>
      </c>
      <c r="DZ44" s="873">
        <f t="shared" si="242"/>
        <v>1868.7230217968183</v>
      </c>
      <c r="EA44" s="879">
        <f t="shared" si="252"/>
        <v>13364.597294899762</v>
      </c>
      <c r="EB44" s="883">
        <f t="shared" si="253"/>
        <v>1120.0071731700614</v>
      </c>
      <c r="EC44" s="883">
        <f t="shared" si="254"/>
        <v>1088.8617641731782</v>
      </c>
      <c r="ED44" s="883">
        <f t="shared" si="255"/>
        <v>1047.449263129417</v>
      </c>
      <c r="EE44" s="883">
        <f t="shared" si="256"/>
        <v>1140.6825994494704</v>
      </c>
      <c r="EF44" s="883">
        <f t="shared" si="257"/>
        <v>1202.1078244438183</v>
      </c>
      <c r="EG44" s="883">
        <f t="shared" si="258"/>
        <v>1117.8268251950551</v>
      </c>
      <c r="EH44" s="883">
        <f t="shared" si="259"/>
        <v>1946.6186367999408</v>
      </c>
      <c r="EI44" s="883">
        <f t="shared" si="260"/>
        <v>1206.7939247337547</v>
      </c>
      <c r="EJ44" s="883">
        <f t="shared" si="261"/>
        <v>1093.0131334820646</v>
      </c>
      <c r="EK44" s="883">
        <f t="shared" si="262"/>
        <v>1080.852029325843</v>
      </c>
      <c r="EL44" s="883">
        <f t="shared" si="263"/>
        <v>1116.6278704847796</v>
      </c>
      <c r="EM44" s="873">
        <f t="shared" si="264"/>
        <v>2046.2857632109865</v>
      </c>
      <c r="EN44" s="879">
        <f t="shared" si="265"/>
        <v>15207.12680759837</v>
      </c>
      <c r="EO44" s="883">
        <f t="shared" si="266"/>
        <v>1073.2542900316055</v>
      </c>
      <c r="EP44" s="883">
        <f t="shared" si="267"/>
        <v>1190.9462040602891</v>
      </c>
      <c r="EQ44" s="883">
        <f>EQ10/$EQ$35</f>
        <v>1143.5262403155473</v>
      </c>
      <c r="ER44" s="883">
        <f t="shared" si="269"/>
        <v>1108.4275554519381</v>
      </c>
      <c r="ES44" s="883">
        <f t="shared" si="270"/>
        <v>1142.0910204370148</v>
      </c>
      <c r="ET44" s="883">
        <f t="shared" si="271"/>
        <v>1118.7911605643462</v>
      </c>
      <c r="EU44" s="883">
        <f t="shared" si="272"/>
        <v>2065.1004377184536</v>
      </c>
      <c r="EV44" s="973">
        <f>EV10/$EV$35</f>
        <v>1097.3408243367453</v>
      </c>
      <c r="EW44" s="883"/>
      <c r="EX44" s="883"/>
      <c r="EY44" s="883"/>
      <c r="EZ44" s="873"/>
      <c r="FA44" s="879">
        <f t="shared" si="274"/>
        <v>9939.4777329159406</v>
      </c>
      <c r="FC44" s="843">
        <f t="shared" si="275"/>
        <v>-9.0697424103421085</v>
      </c>
      <c r="FD44" s="844">
        <f>IFERROR(((FF44/FE44)-1)*100,"")</f>
        <v>0.7003777551058965</v>
      </c>
      <c r="FE44" s="845">
        <f t="shared" si="279"/>
        <v>9870.3480110946966</v>
      </c>
      <c r="FF44" s="846">
        <f t="shared" si="243"/>
        <v>9939.4777329159406</v>
      </c>
      <c r="FH44" s="127">
        <f t="shared" si="277"/>
        <v>-109.45310039700939</v>
      </c>
    </row>
    <row r="45" spans="1:164" ht="15" customHeight="1" x14ac:dyDescent="0.25">
      <c r="A45" s="403" t="s">
        <v>373</v>
      </c>
      <c r="B45" s="883">
        <f t="shared" si="123"/>
        <v>4935.3772548624092</v>
      </c>
      <c r="C45" s="883">
        <f t="shared" si="124"/>
        <v>4369.0050188785226</v>
      </c>
      <c r="D45" s="883">
        <f t="shared" si="125"/>
        <v>5364.8522351439915</v>
      </c>
      <c r="E45" s="883">
        <f t="shared" si="126"/>
        <v>5780.1140819169441</v>
      </c>
      <c r="F45" s="883">
        <f t="shared" si="127"/>
        <v>7351.6755376292267</v>
      </c>
      <c r="G45" s="883">
        <f t="shared" si="128"/>
        <v>5835.7384755954699</v>
      </c>
      <c r="H45" s="883">
        <f t="shared" si="129"/>
        <v>5563.4843001074087</v>
      </c>
      <c r="I45" s="883">
        <f t="shared" si="130"/>
        <v>7936.3478350915402</v>
      </c>
      <c r="J45" s="883">
        <f t="shared" si="131"/>
        <v>14533.555045776671</v>
      </c>
      <c r="K45" s="883">
        <f t="shared" si="132"/>
        <v>6280.2262653375092</v>
      </c>
      <c r="L45" s="883">
        <f t="shared" si="133"/>
        <v>7071.0482399855382</v>
      </c>
      <c r="M45" s="873">
        <f t="shared" si="134"/>
        <v>30775.189121536103</v>
      </c>
      <c r="N45" s="879">
        <f t="shared" si="244"/>
        <v>105796.61341186133</v>
      </c>
      <c r="O45" s="883">
        <f t="shared" si="135"/>
        <v>5469.3265963466547</v>
      </c>
      <c r="P45" s="883">
        <f t="shared" si="136"/>
        <v>6801.239685236721</v>
      </c>
      <c r="Q45" s="883">
        <f t="shared" si="137"/>
        <v>7209.5481063715706</v>
      </c>
      <c r="R45" s="883">
        <f t="shared" si="138"/>
        <v>13388.035004144047</v>
      </c>
      <c r="S45" s="883">
        <f t="shared" si="139"/>
        <v>8749.4210394921811</v>
      </c>
      <c r="T45" s="883">
        <f t="shared" si="140"/>
        <v>10259.510421324052</v>
      </c>
      <c r="U45" s="883">
        <f t="shared" si="141"/>
        <v>11067.910163976887</v>
      </c>
      <c r="V45" s="883">
        <f t="shared" si="142"/>
        <v>7977.6799175587576</v>
      </c>
      <c r="W45" s="883">
        <f t="shared" si="143"/>
        <v>9353.8534229073612</v>
      </c>
      <c r="X45" s="883">
        <f t="shared" si="144"/>
        <v>7647.6328019848161</v>
      </c>
      <c r="Y45" s="883">
        <f t="shared" si="145"/>
        <v>7997.1556359147471</v>
      </c>
      <c r="Z45" s="873">
        <f t="shared" si="146"/>
        <v>19135.889184013475</v>
      </c>
      <c r="AA45" s="879">
        <f t="shared" si="245"/>
        <v>115057.20197927127</v>
      </c>
      <c r="AB45" s="883">
        <f t="shared" si="147"/>
        <v>2656.6629549880959</v>
      </c>
      <c r="AC45" s="883">
        <f t="shared" si="148"/>
        <v>5865.2476781073947</v>
      </c>
      <c r="AD45" s="883">
        <f t="shared" si="149"/>
        <v>10045.85920348125</v>
      </c>
      <c r="AE45" s="883">
        <f t="shared" si="150"/>
        <v>5847.496418703874</v>
      </c>
      <c r="AF45" s="883">
        <f t="shared" si="151"/>
        <v>9224.1718281864105</v>
      </c>
      <c r="AG45" s="883">
        <f t="shared" si="152"/>
        <v>7444.5400904734488</v>
      </c>
      <c r="AH45" s="883">
        <f t="shared" si="153"/>
        <v>8580.2598684354689</v>
      </c>
      <c r="AI45" s="883">
        <f t="shared" si="154"/>
        <v>7899.3518700682171</v>
      </c>
      <c r="AJ45" s="883">
        <f t="shared" si="155"/>
        <v>7395.3355147877592</v>
      </c>
      <c r="AK45" s="883">
        <f t="shared" si="156"/>
        <v>9065.1738219617455</v>
      </c>
      <c r="AL45" s="883">
        <f t="shared" si="157"/>
        <v>10406.745887431538</v>
      </c>
      <c r="AM45" s="873">
        <f t="shared" si="158"/>
        <v>19578.610746222719</v>
      </c>
      <c r="AN45" s="879">
        <f t="shared" si="246"/>
        <v>104009.45588284792</v>
      </c>
      <c r="AO45" s="883">
        <f t="shared" si="159"/>
        <v>3618.2151234217431</v>
      </c>
      <c r="AP45" s="883">
        <f t="shared" si="160"/>
        <v>8556.9306758359744</v>
      </c>
      <c r="AQ45" s="883">
        <f t="shared" si="161"/>
        <v>7541.2026406373334</v>
      </c>
      <c r="AR45" s="883">
        <f t="shared" si="162"/>
        <v>8392.6105065422507</v>
      </c>
      <c r="AS45" s="883">
        <f t="shared" si="163"/>
        <v>7727.6995215863772</v>
      </c>
      <c r="AT45" s="883">
        <f t="shared" si="164"/>
        <v>7680.8887441193974</v>
      </c>
      <c r="AU45" s="883">
        <f t="shared" si="165"/>
        <v>9399.4172042666942</v>
      </c>
      <c r="AV45" s="883">
        <f t="shared" si="166"/>
        <v>7581.5710791143374</v>
      </c>
      <c r="AW45" s="883">
        <f t="shared" si="167"/>
        <v>7343.4208944999336</v>
      </c>
      <c r="AX45" s="883">
        <f t="shared" si="168"/>
        <v>9015.9183200901334</v>
      </c>
      <c r="AY45" s="883">
        <f t="shared" si="169"/>
        <v>8574.7155977301882</v>
      </c>
      <c r="AZ45" s="873">
        <f t="shared" si="170"/>
        <v>16242.440185769947</v>
      </c>
      <c r="BA45" s="879">
        <f t="shared" si="247"/>
        <v>101675.03049361431</v>
      </c>
      <c r="BB45" s="883">
        <f t="shared" si="171"/>
        <v>3387.3493684990608</v>
      </c>
      <c r="BC45" s="883">
        <f t="shared" si="172"/>
        <v>10495.950349994331</v>
      </c>
      <c r="BD45" s="883">
        <f t="shared" si="173"/>
        <v>8702.5751594643934</v>
      </c>
      <c r="BE45" s="883">
        <f t="shared" si="174"/>
        <v>7810.4760730344624</v>
      </c>
      <c r="BF45" s="883">
        <f t="shared" si="175"/>
        <v>7924.8454957990016</v>
      </c>
      <c r="BG45" s="883">
        <f t="shared" si="176"/>
        <v>7002.0082725362663</v>
      </c>
      <c r="BH45" s="883">
        <f t="shared" si="177"/>
        <v>11898.578935012807</v>
      </c>
      <c r="BI45" s="883">
        <f t="shared" si="178"/>
        <v>8542.7600179202109</v>
      </c>
      <c r="BJ45" s="883">
        <f t="shared" si="179"/>
        <v>8016.9881242901229</v>
      </c>
      <c r="BK45" s="883">
        <f t="shared" si="180"/>
        <v>9333.9630101675466</v>
      </c>
      <c r="BL45" s="883">
        <f t="shared" si="181"/>
        <v>9866.2023805512508</v>
      </c>
      <c r="BM45" s="873">
        <f t="shared" si="182"/>
        <v>14566.838305818461</v>
      </c>
      <c r="BN45" s="879">
        <f t="shared" si="248"/>
        <v>107548.53549308791</v>
      </c>
      <c r="BO45" s="883">
        <f t="shared" si="183"/>
        <v>9583.9010146999226</v>
      </c>
      <c r="BP45" s="883">
        <f t="shared" si="184"/>
        <v>5533.2165554979947</v>
      </c>
      <c r="BQ45" s="883">
        <f t="shared" si="185"/>
        <v>6011.670566951173</v>
      </c>
      <c r="BR45" s="883">
        <f t="shared" si="186"/>
        <v>5797.1777340437648</v>
      </c>
      <c r="BS45" s="883">
        <f t="shared" si="187"/>
        <v>4381.1270958159566</v>
      </c>
      <c r="BT45" s="883">
        <f t="shared" si="188"/>
        <v>5032.6171231953531</v>
      </c>
      <c r="BU45" s="883">
        <f t="shared" si="189"/>
        <v>6650.5105689210468</v>
      </c>
      <c r="BV45" s="883">
        <f t="shared" si="190"/>
        <v>5378.9281845946552</v>
      </c>
      <c r="BW45" s="883">
        <f t="shared" si="191"/>
        <v>7812.2744500455974</v>
      </c>
      <c r="BX45" s="883">
        <f t="shared" si="192"/>
        <v>7898.7953469824743</v>
      </c>
      <c r="BY45" s="883">
        <f t="shared" si="193"/>
        <v>7681.3207716552542</v>
      </c>
      <c r="BZ45" s="873">
        <f t="shared" si="194"/>
        <v>16876.474251469477</v>
      </c>
      <c r="CA45" s="879">
        <f t="shared" si="249"/>
        <v>88638.013663872669</v>
      </c>
      <c r="CB45" s="883">
        <f t="shared" si="195"/>
        <v>6143.7760809937163</v>
      </c>
      <c r="CC45" s="883">
        <f t="shared" si="196"/>
        <v>5432.4019043975477</v>
      </c>
      <c r="CD45" s="883">
        <f t="shared" si="197"/>
        <v>7219.4500043905418</v>
      </c>
      <c r="CE45" s="883">
        <f t="shared" si="198"/>
        <v>8085.4641769127147</v>
      </c>
      <c r="CF45" s="883">
        <f t="shared" si="199"/>
        <v>7123.03946322918</v>
      </c>
      <c r="CG45" s="883">
        <f t="shared" si="200"/>
        <v>8148.255951362954</v>
      </c>
      <c r="CH45" s="883">
        <f t="shared" si="201"/>
        <v>7580.5374539058193</v>
      </c>
      <c r="CI45" s="883">
        <f t="shared" si="202"/>
        <v>9302.7513794561892</v>
      </c>
      <c r="CJ45" s="883">
        <f t="shared" si="203"/>
        <v>6890.3702550368935</v>
      </c>
      <c r="CK45" s="883">
        <f t="shared" si="204"/>
        <v>7645.5865719743024</v>
      </c>
      <c r="CL45" s="883">
        <f t="shared" si="205"/>
        <v>9809.2906828868618</v>
      </c>
      <c r="CM45" s="873">
        <f t="shared" si="206"/>
        <v>15767.843131253465</v>
      </c>
      <c r="CN45" s="879">
        <f t="shared" si="250"/>
        <v>99148.767055800185</v>
      </c>
      <c r="CO45" s="883">
        <f t="shared" si="207"/>
        <v>5042.3403886067008</v>
      </c>
      <c r="CP45" s="883">
        <f t="shared" si="208"/>
        <v>6872.1966664376705</v>
      </c>
      <c r="CQ45" s="883">
        <f t="shared" si="209"/>
        <v>7632.719760849016</v>
      </c>
      <c r="CR45" s="883">
        <f t="shared" si="210"/>
        <v>6110.0395725883991</v>
      </c>
      <c r="CS45" s="883">
        <f t="shared" si="211"/>
        <v>6557.9385544831457</v>
      </c>
      <c r="CT45" s="883">
        <f t="shared" si="212"/>
        <v>7907.8305135411665</v>
      </c>
      <c r="CU45" s="883">
        <f t="shared" si="213"/>
        <v>7712.5458744632151</v>
      </c>
      <c r="CV45" s="883">
        <f t="shared" si="214"/>
        <v>7325.1658552118788</v>
      </c>
      <c r="CW45" s="883">
        <f t="shared" si="215"/>
        <v>9144.8236990419464</v>
      </c>
      <c r="CX45" s="883">
        <f t="shared" si="216"/>
        <v>9336.416002182872</v>
      </c>
      <c r="CY45" s="883">
        <f t="shared" si="217"/>
        <v>10542.067050825915</v>
      </c>
      <c r="CZ45" s="873">
        <f t="shared" si="218"/>
        <v>16205.333982298132</v>
      </c>
      <c r="DA45" s="879">
        <f t="shared" si="278"/>
        <v>100389.41792053006</v>
      </c>
      <c r="DB45" s="883">
        <f t="shared" si="219"/>
        <v>7692.9135021091097</v>
      </c>
      <c r="DC45" s="883">
        <f t="shared" si="220"/>
        <v>6991.2631465863387</v>
      </c>
      <c r="DD45" s="883">
        <f t="shared" si="221"/>
        <v>7655.1501953823672</v>
      </c>
      <c r="DE45" s="883">
        <f t="shared" si="222"/>
        <v>7400.4385494641383</v>
      </c>
      <c r="DF45" s="883">
        <f t="shared" si="223"/>
        <v>9183.8014863705266</v>
      </c>
      <c r="DG45" s="883">
        <f t="shared" si="224"/>
        <v>9898.7497617520676</v>
      </c>
      <c r="DH45" s="883">
        <f t="shared" si="225"/>
        <v>8385.708471971273</v>
      </c>
      <c r="DI45" s="883">
        <f t="shared" si="226"/>
        <v>8311.8291898797543</v>
      </c>
      <c r="DJ45" s="883">
        <f t="shared" si="227"/>
        <v>9115.1114199926578</v>
      </c>
      <c r="DK45" s="883">
        <f t="shared" si="228"/>
        <v>8508.173565793415</v>
      </c>
      <c r="DL45" s="883">
        <f t="shared" si="229"/>
        <v>11122.166981016262</v>
      </c>
      <c r="DM45" s="873">
        <f t="shared" si="230"/>
        <v>13865.878980623786</v>
      </c>
      <c r="DN45" s="879">
        <f t="shared" si="251"/>
        <v>108131.18525094171</v>
      </c>
      <c r="DO45" s="883">
        <f t="shared" si="231"/>
        <v>5722.3759076585329</v>
      </c>
      <c r="DP45" s="883">
        <f t="shared" si="232"/>
        <v>6311.2712671920726</v>
      </c>
      <c r="DQ45" s="883">
        <f t="shared" si="233"/>
        <v>6847.5804155423739</v>
      </c>
      <c r="DR45" s="883">
        <f t="shared" si="234"/>
        <v>7317.2019484946513</v>
      </c>
      <c r="DS45" s="883">
        <f t="shared" si="235"/>
        <v>7829.7151458247108</v>
      </c>
      <c r="DT45" s="883">
        <f t="shared" si="236"/>
        <v>6066.0282114446072</v>
      </c>
      <c r="DU45" s="883">
        <f t="shared" si="237"/>
        <v>9832.5759844206314</v>
      </c>
      <c r="DV45" s="883">
        <f t="shared" si="238"/>
        <v>8227.2859769966653</v>
      </c>
      <c r="DW45" s="883">
        <f t="shared" si="239"/>
        <v>6862.8716938913303</v>
      </c>
      <c r="DX45" s="883">
        <f t="shared" si="240"/>
        <v>6541.5828540213197</v>
      </c>
      <c r="DY45" s="883">
        <f t="shared" si="241"/>
        <v>7688.9280801724035</v>
      </c>
      <c r="DZ45" s="873">
        <f t="shared" si="242"/>
        <v>12608.43344661656</v>
      </c>
      <c r="EA45" s="879">
        <f t="shared" si="252"/>
        <v>91855.850932275862</v>
      </c>
      <c r="EB45" s="883">
        <f t="shared" si="253"/>
        <v>2682.3137342470218</v>
      </c>
      <c r="EC45" s="883">
        <f t="shared" si="254"/>
        <v>7605.8473204264847</v>
      </c>
      <c r="ED45" s="883">
        <f t="shared" si="255"/>
        <v>7567.9870121454178</v>
      </c>
      <c r="EE45" s="883">
        <f t="shared" si="256"/>
        <v>7771.2106267283225</v>
      </c>
      <c r="EF45" s="883">
        <f t="shared" si="257"/>
        <v>8784.7190533195699</v>
      </c>
      <c r="EG45" s="883">
        <f t="shared" si="258"/>
        <v>9224.4150493525831</v>
      </c>
      <c r="EH45" s="883">
        <f t="shared" si="259"/>
        <v>7735.3056570860281</v>
      </c>
      <c r="EI45" s="883">
        <f t="shared" si="260"/>
        <v>7186.6868201794332</v>
      </c>
      <c r="EJ45" s="883">
        <f t="shared" si="261"/>
        <v>8783.8309364131601</v>
      </c>
      <c r="EK45" s="883">
        <f t="shared" si="262"/>
        <v>8045.3610174703908</v>
      </c>
      <c r="EL45" s="883">
        <f t="shared" si="263"/>
        <v>8919.7823171926466</v>
      </c>
      <c r="EM45" s="873">
        <f t="shared" si="264"/>
        <v>15383.467823429341</v>
      </c>
      <c r="EN45" s="879">
        <f t="shared" si="265"/>
        <v>99690.9273679904</v>
      </c>
      <c r="EO45" s="883">
        <f t="shared" si="266"/>
        <v>3698.108788295378</v>
      </c>
      <c r="EP45" s="883">
        <f>EP11/$EP$35</f>
        <v>4803.6468395774245</v>
      </c>
      <c r="EQ45" s="883">
        <f t="shared" si="268"/>
        <v>10103.993048758268</v>
      </c>
      <c r="ER45" s="883">
        <f t="shared" si="269"/>
        <v>9107.7831447259541</v>
      </c>
      <c r="ES45" s="883">
        <f t="shared" si="270"/>
        <v>8836.9890590166033</v>
      </c>
      <c r="ET45" s="883">
        <f t="shared" si="271"/>
        <v>6059.500181483103</v>
      </c>
      <c r="EU45" s="883">
        <f t="shared" si="272"/>
        <v>7138.5013082628166</v>
      </c>
      <c r="EV45" s="973">
        <f t="shared" si="273"/>
        <v>7940.2673321891889</v>
      </c>
      <c r="EW45" s="883"/>
      <c r="EX45" s="883"/>
      <c r="EY45" s="883"/>
      <c r="EZ45" s="873"/>
      <c r="FA45" s="879">
        <f>SUM(EO45:EZ45)</f>
        <v>57688.789702308728</v>
      </c>
      <c r="FC45" s="843">
        <f t="shared" si="275"/>
        <v>10.485784769329086</v>
      </c>
      <c r="FD45" s="844">
        <f t="shared" si="276"/>
        <v>-1.4851742956027758</v>
      </c>
      <c r="FE45" s="845">
        <f t="shared" si="279"/>
        <v>58558.485273484861</v>
      </c>
      <c r="FF45" s="846">
        <f t="shared" si="243"/>
        <v>57688.789702308728</v>
      </c>
      <c r="FH45" s="127">
        <f t="shared" si="277"/>
        <v>753.58051200975569</v>
      </c>
    </row>
    <row r="46" spans="1:164" ht="15" customHeight="1" x14ac:dyDescent="0.25">
      <c r="A46" s="403" t="s">
        <v>374</v>
      </c>
      <c r="B46" s="883">
        <f t="shared" si="123"/>
        <v>3929.4404895401349</v>
      </c>
      <c r="C46" s="883">
        <f t="shared" si="124"/>
        <v>7292.3833770987103</v>
      </c>
      <c r="D46" s="883">
        <f t="shared" si="125"/>
        <v>7210.1623313893442</v>
      </c>
      <c r="E46" s="883">
        <f t="shared" si="126"/>
        <v>838.89889449424425</v>
      </c>
      <c r="F46" s="883">
        <f t="shared" si="127"/>
        <v>972.10965302683189</v>
      </c>
      <c r="G46" s="883">
        <f t="shared" si="128"/>
        <v>1011.9067636935704</v>
      </c>
      <c r="H46" s="883">
        <f t="shared" si="129"/>
        <v>1433.8640674545265</v>
      </c>
      <c r="I46" s="883">
        <f t="shared" si="130"/>
        <v>775.13212089831984</v>
      </c>
      <c r="J46" s="883">
        <f t="shared" si="131"/>
        <v>361.56909059571149</v>
      </c>
      <c r="K46" s="883">
        <f t="shared" si="132"/>
        <v>768.49537088552665</v>
      </c>
      <c r="L46" s="883">
        <f t="shared" si="133"/>
        <v>312.87153665245631</v>
      </c>
      <c r="M46" s="873">
        <f t="shared" si="134"/>
        <v>2189.3394275447667</v>
      </c>
      <c r="N46" s="879">
        <f t="shared" si="244"/>
        <v>27096.173123274148</v>
      </c>
      <c r="O46" s="883">
        <f t="shared" si="135"/>
        <v>3741.1426189325448</v>
      </c>
      <c r="P46" s="883">
        <f t="shared" si="136"/>
        <v>2592.377230856745</v>
      </c>
      <c r="Q46" s="883">
        <f t="shared" si="137"/>
        <v>1932.6868023285874</v>
      </c>
      <c r="R46" s="883">
        <f t="shared" si="138"/>
        <v>334.75679216242565</v>
      </c>
      <c r="S46" s="883">
        <f t="shared" si="139"/>
        <v>12.647972591102643</v>
      </c>
      <c r="T46" s="883">
        <f t="shared" si="140"/>
        <v>1062.430292019219</v>
      </c>
      <c r="U46" s="883">
        <f t="shared" si="141"/>
        <v>162.57779367569509</v>
      </c>
      <c r="V46" s="883">
        <f t="shared" si="142"/>
        <v>189.36356596152453</v>
      </c>
      <c r="W46" s="883">
        <f t="shared" si="143"/>
        <v>5.9052104942596975</v>
      </c>
      <c r="X46" s="883">
        <f t="shared" si="144"/>
        <v>0</v>
      </c>
      <c r="Y46" s="883">
        <f t="shared" si="145"/>
        <v>1553.984413211665</v>
      </c>
      <c r="Z46" s="873">
        <f t="shared" si="146"/>
        <v>625.39405702182091</v>
      </c>
      <c r="AA46" s="879">
        <f t="shared" si="245"/>
        <v>12213.266749255588</v>
      </c>
      <c r="AB46" s="883">
        <f t="shared" si="147"/>
        <v>0</v>
      </c>
      <c r="AC46" s="883">
        <f t="shared" si="148"/>
        <v>2214.4524864203318</v>
      </c>
      <c r="AD46" s="883">
        <f t="shared" si="149"/>
        <v>6994.1614158884231</v>
      </c>
      <c r="AE46" s="883">
        <f t="shared" si="150"/>
        <v>1472.6601900523283</v>
      </c>
      <c r="AF46" s="883">
        <f t="shared" si="151"/>
        <v>53.435784819617531</v>
      </c>
      <c r="AG46" s="883">
        <f t="shared" si="152"/>
        <v>2467.7713775085408</v>
      </c>
      <c r="AH46" s="883">
        <f t="shared" si="153"/>
        <v>125.5964681675588</v>
      </c>
      <c r="AI46" s="883">
        <f t="shared" si="154"/>
        <v>1925.9017085416383</v>
      </c>
      <c r="AJ46" s="883">
        <f t="shared" si="155"/>
        <v>0</v>
      </c>
      <c r="AK46" s="883">
        <f t="shared" si="156"/>
        <v>85.024283522095686</v>
      </c>
      <c r="AL46" s="883">
        <f t="shared" si="157"/>
        <v>3324.036219351658</v>
      </c>
      <c r="AM46" s="873">
        <f t="shared" si="158"/>
        <v>518.28066442819238</v>
      </c>
      <c r="AN46" s="879">
        <f t="shared" si="246"/>
        <v>19181.320598700386</v>
      </c>
      <c r="AO46" s="883">
        <f t="shared" si="159"/>
        <v>1062.5717314306592</v>
      </c>
      <c r="AP46" s="883">
        <f t="shared" si="160"/>
        <v>5089.2050771777067</v>
      </c>
      <c r="AQ46" s="883">
        <f t="shared" si="161"/>
        <v>0</v>
      </c>
      <c r="AR46" s="883">
        <f t="shared" si="162"/>
        <v>635.45686645715546</v>
      </c>
      <c r="AS46" s="883">
        <f t="shared" si="163"/>
        <v>5093.3703262821427</v>
      </c>
      <c r="AT46" s="883">
        <f t="shared" si="164"/>
        <v>8.5572987586512639</v>
      </c>
      <c r="AU46" s="883">
        <f t="shared" si="165"/>
        <v>7917.5047042213209</v>
      </c>
      <c r="AV46" s="883">
        <f t="shared" si="166"/>
        <v>555.52780787446432</v>
      </c>
      <c r="AW46" s="883">
        <f t="shared" si="167"/>
        <v>5626.1792677726107</v>
      </c>
      <c r="AX46" s="883">
        <f t="shared" si="168"/>
        <v>2138.9986722361068</v>
      </c>
      <c r="AY46" s="883">
        <f t="shared" si="169"/>
        <v>587.28992513918956</v>
      </c>
      <c r="AZ46" s="873">
        <f t="shared" si="170"/>
        <v>2933.2898841396559</v>
      </c>
      <c r="BA46" s="879">
        <f t="shared" si="247"/>
        <v>31647.951561489663</v>
      </c>
      <c r="BB46" s="883">
        <f t="shared" si="171"/>
        <v>13379.501282985157</v>
      </c>
      <c r="BC46" s="883">
        <f t="shared" si="172"/>
        <v>19.009301009514818</v>
      </c>
      <c r="BD46" s="883">
        <f t="shared" si="173"/>
        <v>28.656781104974709</v>
      </c>
      <c r="BE46" s="883">
        <f t="shared" si="174"/>
        <v>46.735902196419488</v>
      </c>
      <c r="BF46" s="883">
        <f t="shared" si="175"/>
        <v>405.36650365222528</v>
      </c>
      <c r="BG46" s="883">
        <f t="shared" si="176"/>
        <v>170.79769282869228</v>
      </c>
      <c r="BH46" s="883">
        <f t="shared" si="177"/>
        <v>3950.4228273302956</v>
      </c>
      <c r="BI46" s="883">
        <f t="shared" si="178"/>
        <v>-457.52369296691347</v>
      </c>
      <c r="BJ46" s="883">
        <f t="shared" si="179"/>
        <v>1376.6053669321345</v>
      </c>
      <c r="BK46" s="883">
        <f t="shared" si="180"/>
        <v>365.30242138006918</v>
      </c>
      <c r="BL46" s="883">
        <f t="shared" si="181"/>
        <v>1653.1542872207585</v>
      </c>
      <c r="BM46" s="873">
        <f t="shared" si="182"/>
        <v>553.12726006790945</v>
      </c>
      <c r="BN46" s="879">
        <f t="shared" si="248"/>
        <v>21491.15593374124</v>
      </c>
      <c r="BO46" s="883">
        <f t="shared" si="183"/>
        <v>0</v>
      </c>
      <c r="BP46" s="883">
        <f t="shared" si="184"/>
        <v>9852.4144436620754</v>
      </c>
      <c r="BQ46" s="883">
        <f t="shared" si="185"/>
        <v>119.45080263212334</v>
      </c>
      <c r="BR46" s="883">
        <f t="shared" si="186"/>
        <v>4109.3918114740618</v>
      </c>
      <c r="BS46" s="883">
        <f t="shared" si="187"/>
        <v>88.97774136167385</v>
      </c>
      <c r="BT46" s="883">
        <f t="shared" si="188"/>
        <v>0</v>
      </c>
      <c r="BU46" s="883">
        <f t="shared" si="189"/>
        <v>3285.2907371280239</v>
      </c>
      <c r="BV46" s="883">
        <f t="shared" si="190"/>
        <v>627.14267581351544</v>
      </c>
      <c r="BW46" s="883">
        <f t="shared" si="191"/>
        <v>4188.5373898181351</v>
      </c>
      <c r="BX46" s="883">
        <f t="shared" si="192"/>
        <v>82.620525327185291</v>
      </c>
      <c r="BY46" s="883">
        <f t="shared" si="193"/>
        <v>1576.6135046879947</v>
      </c>
      <c r="BZ46" s="873">
        <f t="shared" si="194"/>
        <v>2053.8011268735236</v>
      </c>
      <c r="CA46" s="879">
        <f t="shared" si="249"/>
        <v>25984.240758778313</v>
      </c>
      <c r="CB46" s="883">
        <f t="shared" si="195"/>
        <v>0</v>
      </c>
      <c r="CC46" s="883">
        <f t="shared" si="196"/>
        <v>9147.3550079638208</v>
      </c>
      <c r="CD46" s="883">
        <f t="shared" si="197"/>
        <v>1391.2900036269871</v>
      </c>
      <c r="CE46" s="883">
        <f t="shared" si="198"/>
        <v>748.92700495347265</v>
      </c>
      <c r="CF46" s="883">
        <f t="shared" si="199"/>
        <v>355.41708820464487</v>
      </c>
      <c r="CG46" s="883">
        <f t="shared" si="200"/>
        <v>368.20014657871752</v>
      </c>
      <c r="CH46" s="883">
        <f t="shared" si="201"/>
        <v>2261.4623061430693</v>
      </c>
      <c r="CI46" s="883">
        <f t="shared" si="202"/>
        <v>510.84661213795988</v>
      </c>
      <c r="CJ46" s="883">
        <f t="shared" si="203"/>
        <v>4149.6682123675137</v>
      </c>
      <c r="CK46" s="883">
        <f t="shared" si="204"/>
        <v>496.19850399596913</v>
      </c>
      <c r="CL46" s="883">
        <f t="shared" si="205"/>
        <v>3247.4750763099914</v>
      </c>
      <c r="CM46" s="873">
        <f t="shared" si="206"/>
        <v>749.60413008669775</v>
      </c>
      <c r="CN46" s="879">
        <f t="shared" si="250"/>
        <v>23426.444092368845</v>
      </c>
      <c r="CO46" s="883">
        <f t="shared" si="207"/>
        <v>0</v>
      </c>
      <c r="CP46" s="883">
        <f t="shared" si="208"/>
        <v>703.74853929199821</v>
      </c>
      <c r="CQ46" s="883">
        <f t="shared" si="209"/>
        <v>11828.084521059609</v>
      </c>
      <c r="CR46" s="883">
        <f t="shared" si="210"/>
        <v>-2.4819902803243217</v>
      </c>
      <c r="CS46" s="883">
        <f t="shared" si="211"/>
        <v>401.17844489203145</v>
      </c>
      <c r="CT46" s="883">
        <f t="shared" si="212"/>
        <v>2990.864286929127</v>
      </c>
      <c r="CU46" s="883">
        <f t="shared" si="213"/>
        <v>749.22565855190362</v>
      </c>
      <c r="CV46" s="883">
        <f t="shared" si="214"/>
        <v>4508.7192379227818</v>
      </c>
      <c r="CW46" s="883">
        <f t="shared" si="215"/>
        <v>3993.7958709176719</v>
      </c>
      <c r="CX46" s="883">
        <f t="shared" si="216"/>
        <v>674.03845898562679</v>
      </c>
      <c r="CY46" s="883">
        <f t="shared" si="217"/>
        <v>3363.4298621750982</v>
      </c>
      <c r="CZ46" s="873">
        <f t="shared" si="218"/>
        <v>568.82492870457349</v>
      </c>
      <c r="DA46" s="879">
        <f t="shared" si="278"/>
        <v>29779.427819150093</v>
      </c>
      <c r="DB46" s="883">
        <f t="shared" si="219"/>
        <v>4536.6357469715758</v>
      </c>
      <c r="DC46" s="883">
        <f t="shared" si="220"/>
        <v>7452.9779388066963</v>
      </c>
      <c r="DD46" s="883">
        <f t="shared" si="221"/>
        <v>1054.2086792281946</v>
      </c>
      <c r="DE46" s="883">
        <f t="shared" si="222"/>
        <v>1688.0310670842011</v>
      </c>
      <c r="DF46" s="883">
        <f t="shared" si="223"/>
        <v>1348.0651838696101</v>
      </c>
      <c r="DG46" s="883">
        <f t="shared" si="224"/>
        <v>193.93562598378153</v>
      </c>
      <c r="DH46" s="883">
        <f t="shared" si="225"/>
        <v>916.18666034418959</v>
      </c>
      <c r="DI46" s="883">
        <f t="shared" si="226"/>
        <v>2725.6286019971494</v>
      </c>
      <c r="DJ46" s="883">
        <f t="shared" si="227"/>
        <v>-36.433120839341129</v>
      </c>
      <c r="DK46" s="883">
        <f t="shared" si="228"/>
        <v>325.52415978669933</v>
      </c>
      <c r="DL46" s="883">
        <f t="shared" si="229"/>
        <v>1876.7655762556242</v>
      </c>
      <c r="DM46" s="873">
        <f t="shared" si="230"/>
        <v>1375.7640812738885</v>
      </c>
      <c r="DN46" s="879">
        <f t="shared" si="251"/>
        <v>23457.290200762272</v>
      </c>
      <c r="DO46" s="883">
        <f t="shared" si="231"/>
        <v>0</v>
      </c>
      <c r="DP46" s="883">
        <f t="shared" si="232"/>
        <v>14336.435279113861</v>
      </c>
      <c r="DQ46" s="883">
        <f t="shared" si="233"/>
        <v>1262.1932128550509</v>
      </c>
      <c r="DR46" s="883">
        <f t="shared" si="234"/>
        <v>3115.8276180280068</v>
      </c>
      <c r="DS46" s="883">
        <f t="shared" si="235"/>
        <v>439.66343654480414</v>
      </c>
      <c r="DT46" s="883">
        <f t="shared" si="236"/>
        <v>336.50304427392422</v>
      </c>
      <c r="DU46" s="883">
        <f t="shared" si="237"/>
        <v>224.91723829162936</v>
      </c>
      <c r="DV46" s="883">
        <f t="shared" si="238"/>
        <v>88.71141125338869</v>
      </c>
      <c r="DW46" s="883">
        <f t="shared" si="239"/>
        <v>1829.9499781934996</v>
      </c>
      <c r="DX46" s="883">
        <f t="shared" si="240"/>
        <v>583.84998431834981</v>
      </c>
      <c r="DY46" s="883">
        <f t="shared" si="241"/>
        <v>12.863350730576467</v>
      </c>
      <c r="DZ46" s="873">
        <f t="shared" si="242"/>
        <v>456.42651982301959</v>
      </c>
      <c r="EA46" s="879">
        <f t="shared" si="252"/>
        <v>22687.341073426109</v>
      </c>
      <c r="EB46" s="883">
        <f t="shared" si="253"/>
        <v>8693.3357570019689</v>
      </c>
      <c r="EC46" s="883">
        <f t="shared" si="254"/>
        <v>217.66073194645796</v>
      </c>
      <c r="ED46" s="883">
        <f t="shared" si="255"/>
        <v>1763.8336957348429</v>
      </c>
      <c r="EE46" s="883">
        <f t="shared" si="256"/>
        <v>0</v>
      </c>
      <c r="EF46" s="883">
        <f t="shared" si="257"/>
        <v>-2.208741983360254</v>
      </c>
      <c r="EG46" s="883">
        <f t="shared" si="258"/>
        <v>3503.4799311614138</v>
      </c>
      <c r="EH46" s="883">
        <f t="shared" si="259"/>
        <v>0</v>
      </c>
      <c r="EI46" s="883">
        <f t="shared" si="260"/>
        <v>369.70824397421836</v>
      </c>
      <c r="EJ46" s="883">
        <f t="shared" si="261"/>
        <v>597.5432728728299</v>
      </c>
      <c r="EK46" s="883">
        <f t="shared" si="262"/>
        <v>-19.882817095416634</v>
      </c>
      <c r="EL46" s="883">
        <f t="shared" si="263"/>
        <v>260.95107842850825</v>
      </c>
      <c r="EM46" s="873">
        <f t="shared" si="264"/>
        <v>861.88367541377215</v>
      </c>
      <c r="EN46" s="879">
        <f t="shared" si="265"/>
        <v>16246.304827455235</v>
      </c>
      <c r="EO46" s="883">
        <f>EO12/$EO$35</f>
        <v>14530.169632512927</v>
      </c>
      <c r="EP46" s="883">
        <f t="shared" si="267"/>
        <v>0</v>
      </c>
      <c r="EQ46" s="883">
        <f t="shared" si="268"/>
        <v>986.18471004824949</v>
      </c>
      <c r="ER46" s="883">
        <f t="shared" si="269"/>
        <v>410.15533765646154</v>
      </c>
      <c r="ES46" s="883">
        <f t="shared" si="270"/>
        <v>0</v>
      </c>
      <c r="ET46" s="883">
        <f t="shared" si="271"/>
        <v>584.31652082554956</v>
      </c>
      <c r="EU46" s="883">
        <f t="shared" si="272"/>
        <v>5.2869954882704908</v>
      </c>
      <c r="EV46" s="973">
        <f t="shared" si="273"/>
        <v>1037.1112364819601</v>
      </c>
      <c r="EW46" s="883"/>
      <c r="EX46" s="883"/>
      <c r="EY46" s="883"/>
      <c r="EZ46" s="873"/>
      <c r="FA46" s="879">
        <f t="shared" si="274"/>
        <v>17553.224433013416</v>
      </c>
      <c r="FC46" s="843">
        <f t="shared" si="275"/>
        <v>180.52153377306976</v>
      </c>
      <c r="FD46" s="844">
        <f>IFERROR(((FF46/FE46)-1)*100,"")</f>
        <v>20.675472140720807</v>
      </c>
      <c r="FE46" s="845">
        <f t="shared" si="279"/>
        <v>14545.809617835541</v>
      </c>
      <c r="FF46" s="846">
        <f t="shared" si="243"/>
        <v>17553.224433013416</v>
      </c>
      <c r="FH46" s="127">
        <f t="shared" si="277"/>
        <v>667.40299250774171</v>
      </c>
    </row>
    <row r="47" spans="1:164" ht="15" customHeight="1" x14ac:dyDescent="0.25">
      <c r="A47" s="403" t="s">
        <v>286</v>
      </c>
      <c r="B47" s="883">
        <f t="shared" si="123"/>
        <v>226.33577219751177</v>
      </c>
      <c r="C47" s="883">
        <f t="shared" si="124"/>
        <v>2995.4638068817417</v>
      </c>
      <c r="D47" s="883">
        <f t="shared" si="125"/>
        <v>4427.8110779692543</v>
      </c>
      <c r="E47" s="883">
        <f t="shared" si="126"/>
        <v>4089.9225881159832</v>
      </c>
      <c r="F47" s="883">
        <f t="shared" si="127"/>
        <v>1483.5841455861159</v>
      </c>
      <c r="G47" s="883">
        <f t="shared" si="128"/>
        <v>2898.2913755259701</v>
      </c>
      <c r="H47" s="883">
        <f t="shared" si="129"/>
        <v>2202.0055321623086</v>
      </c>
      <c r="I47" s="883">
        <f t="shared" si="130"/>
        <v>5467.8033007572049</v>
      </c>
      <c r="J47" s="883">
        <f t="shared" si="131"/>
        <v>3054.6879169696635</v>
      </c>
      <c r="K47" s="883">
        <f t="shared" si="132"/>
        <v>4740.9551218724337</v>
      </c>
      <c r="L47" s="883">
        <f t="shared" si="133"/>
        <v>3665.8241304146154</v>
      </c>
      <c r="M47" s="873">
        <f t="shared" si="134"/>
        <v>7126.0999830763012</v>
      </c>
      <c r="N47" s="879">
        <f t="shared" si="244"/>
        <v>42378.784751529107</v>
      </c>
      <c r="O47" s="883">
        <f t="shared" si="135"/>
        <v>713.06373676782187</v>
      </c>
      <c r="P47" s="883">
        <f t="shared" si="136"/>
        <v>4397.1398516441668</v>
      </c>
      <c r="Q47" s="883">
        <f t="shared" si="137"/>
        <v>2768.5440189220853</v>
      </c>
      <c r="R47" s="883">
        <f t="shared" si="138"/>
        <v>5318.8306353825046</v>
      </c>
      <c r="S47" s="883">
        <f t="shared" si="139"/>
        <v>2067.5715194514264</v>
      </c>
      <c r="T47" s="883">
        <f t="shared" si="140"/>
        <v>4769.0489821478086</v>
      </c>
      <c r="U47" s="883">
        <f t="shared" si="141"/>
        <v>4392.5698866625016</v>
      </c>
      <c r="V47" s="883">
        <f t="shared" si="142"/>
        <v>6203.1361880990025</v>
      </c>
      <c r="W47" s="883">
        <f t="shared" si="143"/>
        <v>2539.9786638434525</v>
      </c>
      <c r="X47" s="883">
        <f t="shared" si="144"/>
        <v>8217.3641700073313</v>
      </c>
      <c r="Y47" s="883">
        <f t="shared" si="145"/>
        <v>3645.9992789220855</v>
      </c>
      <c r="Z47" s="873">
        <f t="shared" si="146"/>
        <v>6615.5878345006877</v>
      </c>
      <c r="AA47" s="879">
        <f t="shared" si="245"/>
        <v>51648.834766350868</v>
      </c>
      <c r="AB47" s="883">
        <f t="shared" si="147"/>
        <v>178.56856624748519</v>
      </c>
      <c r="AC47" s="883">
        <f t="shared" si="148"/>
        <v>1896.233920458355</v>
      </c>
      <c r="AD47" s="883">
        <f t="shared" si="149"/>
        <v>3760.2941246414071</v>
      </c>
      <c r="AE47" s="883">
        <f t="shared" si="150"/>
        <v>6017.916567650359</v>
      </c>
      <c r="AF47" s="883">
        <f t="shared" si="151"/>
        <v>5716.1847652985452</v>
      </c>
      <c r="AG47" s="883">
        <f t="shared" si="152"/>
        <v>9899.2927444195175</v>
      </c>
      <c r="AH47" s="883">
        <f t="shared" si="153"/>
        <v>3817.6995410242444</v>
      </c>
      <c r="AI47" s="883">
        <f t="shared" si="154"/>
        <v>4922.306488882482</v>
      </c>
      <c r="AJ47" s="883">
        <f t="shared" si="155"/>
        <v>3097.4063313002648</v>
      </c>
      <c r="AK47" s="883">
        <f t="shared" si="156"/>
        <v>7573.6461364470151</v>
      </c>
      <c r="AL47" s="883">
        <f t="shared" si="157"/>
        <v>8240.7796280798921</v>
      </c>
      <c r="AM47" s="873">
        <f t="shared" si="158"/>
        <v>10065.024919903826</v>
      </c>
      <c r="AN47" s="879">
        <f t="shared" si="246"/>
        <v>65185.353734353397</v>
      </c>
      <c r="AO47" s="883">
        <f t="shared" si="159"/>
        <v>8638.7945644769043</v>
      </c>
      <c r="AP47" s="883">
        <f t="shared" si="160"/>
        <v>3545.2808615812523</v>
      </c>
      <c r="AQ47" s="883">
        <f t="shared" si="161"/>
        <v>935.41497740872444</v>
      </c>
      <c r="AR47" s="883">
        <f t="shared" si="162"/>
        <v>7563.9404036623118</v>
      </c>
      <c r="AS47" s="883">
        <f t="shared" si="163"/>
        <v>11053.879974864321</v>
      </c>
      <c r="AT47" s="883">
        <f t="shared" si="164"/>
        <v>7660.2086054526562</v>
      </c>
      <c r="AU47" s="883">
        <f t="shared" si="165"/>
        <v>3775.8221178049639</v>
      </c>
      <c r="AV47" s="883">
        <f t="shared" si="166"/>
        <v>8144.903236780141</v>
      </c>
      <c r="AW47" s="883">
        <f t="shared" si="167"/>
        <v>4246.7208393747442</v>
      </c>
      <c r="AX47" s="883">
        <f t="shared" si="168"/>
        <v>8840.4397654376189</v>
      </c>
      <c r="AY47" s="883">
        <f t="shared" si="169"/>
        <v>4866.5203664361725</v>
      </c>
      <c r="AZ47" s="873">
        <f t="shared" si="170"/>
        <v>6907.128729103264</v>
      </c>
      <c r="BA47" s="879">
        <f t="shared" si="247"/>
        <v>76179.054442383072</v>
      </c>
      <c r="BB47" s="883">
        <f t="shared" si="171"/>
        <v>539.29703785677032</v>
      </c>
      <c r="BC47" s="883">
        <f t="shared" si="172"/>
        <v>5073.3712249838436</v>
      </c>
      <c r="BD47" s="883">
        <f t="shared" si="173"/>
        <v>3708.606842512093</v>
      </c>
      <c r="BE47" s="883">
        <f t="shared" si="174"/>
        <v>9149.0760180334019</v>
      </c>
      <c r="BF47" s="883">
        <f t="shared" si="175"/>
        <v>10064.511989303532</v>
      </c>
      <c r="BG47" s="883">
        <f t="shared" si="176"/>
        <v>7621.0627673602612</v>
      </c>
      <c r="BH47" s="883">
        <f t="shared" si="177"/>
        <v>5684.9075241486171</v>
      </c>
      <c r="BI47" s="883">
        <f t="shared" si="178"/>
        <v>4857.5387827763789</v>
      </c>
      <c r="BJ47" s="883">
        <f t="shared" si="179"/>
        <v>5911.7552702141111</v>
      </c>
      <c r="BK47" s="883">
        <f t="shared" si="180"/>
        <v>7496.3390425408115</v>
      </c>
      <c r="BL47" s="883">
        <f t="shared" si="181"/>
        <v>10678.558096176726</v>
      </c>
      <c r="BM47" s="873">
        <f t="shared" si="182"/>
        <v>4742.0797640365199</v>
      </c>
      <c r="BN47" s="879">
        <f t="shared" si="248"/>
        <v>75527.104359943056</v>
      </c>
      <c r="BO47" s="883">
        <f t="shared" si="183"/>
        <v>1001.2204727652003</v>
      </c>
      <c r="BP47" s="883">
        <f t="shared" si="184"/>
        <v>5661.0443605388446</v>
      </c>
      <c r="BQ47" s="883">
        <f t="shared" si="185"/>
        <v>19693.592960389211</v>
      </c>
      <c r="BR47" s="883">
        <f t="shared" si="186"/>
        <v>27396.174014177959</v>
      </c>
      <c r="BS47" s="883">
        <f t="shared" si="187"/>
        <v>25824.762763979354</v>
      </c>
      <c r="BT47" s="883">
        <f t="shared" si="188"/>
        <v>1341.7109608409812</v>
      </c>
      <c r="BU47" s="883">
        <f t="shared" si="189"/>
        <v>6438.7326257915629</v>
      </c>
      <c r="BV47" s="883">
        <f t="shared" si="190"/>
        <v>30982.352780484052</v>
      </c>
      <c r="BW47" s="883">
        <f t="shared" si="191"/>
        <v>8341.5613369050552</v>
      </c>
      <c r="BX47" s="883">
        <f t="shared" si="192"/>
        <v>51770.977109976768</v>
      </c>
      <c r="BY47" s="883">
        <f t="shared" si="193"/>
        <v>28491.124613153195</v>
      </c>
      <c r="BZ47" s="873">
        <f t="shared" si="194"/>
        <v>25149.388873272415</v>
      </c>
      <c r="CA47" s="879">
        <f t="shared" si="249"/>
        <v>232092.64287227462</v>
      </c>
      <c r="CB47" s="883">
        <f t="shared" si="195"/>
        <v>891.64279894193578</v>
      </c>
      <c r="CC47" s="883">
        <f t="shared" si="196"/>
        <v>5860.920563936982</v>
      </c>
      <c r="CD47" s="883">
        <f t="shared" si="197"/>
        <v>5105.4119469313537</v>
      </c>
      <c r="CE47" s="883">
        <f t="shared" si="198"/>
        <v>12648.693835001315</v>
      </c>
      <c r="CF47" s="883">
        <f t="shared" si="199"/>
        <v>3348.4030941384963</v>
      </c>
      <c r="CG47" s="883">
        <f t="shared" si="200"/>
        <v>5895.8546936819548</v>
      </c>
      <c r="CH47" s="883">
        <f t="shared" si="201"/>
        <v>4678.2068654865352</v>
      </c>
      <c r="CI47" s="883">
        <f t="shared" si="202"/>
        <v>5863.6590084559957</v>
      </c>
      <c r="CJ47" s="883">
        <f t="shared" si="203"/>
        <v>19189.457257316648</v>
      </c>
      <c r="CK47" s="883">
        <f t="shared" si="204"/>
        <v>25696.500940358226</v>
      </c>
      <c r="CL47" s="883">
        <f t="shared" si="205"/>
        <v>14378.00141190266</v>
      </c>
      <c r="CM47" s="873">
        <f t="shared" si="206"/>
        <v>26049.221991234077</v>
      </c>
      <c r="CN47" s="879">
        <f t="shared" si="250"/>
        <v>129605.97440738618</v>
      </c>
      <c r="CO47" s="883">
        <f t="shared" si="207"/>
        <v>3957.6026877062332</v>
      </c>
      <c r="CP47" s="883">
        <f t="shared" si="208"/>
        <v>6120.7686868142355</v>
      </c>
      <c r="CQ47" s="883">
        <f t="shared" si="209"/>
        <v>3704.8510067023212</v>
      </c>
      <c r="CR47" s="883">
        <f t="shared" si="210"/>
        <v>12413.674387042096</v>
      </c>
      <c r="CS47" s="883">
        <f t="shared" si="211"/>
        <v>3596.3885861045283</v>
      </c>
      <c r="CT47" s="883">
        <f t="shared" si="212"/>
        <v>11107.615467571961</v>
      </c>
      <c r="CU47" s="883">
        <f t="shared" si="213"/>
        <v>5509.6529850214301</v>
      </c>
      <c r="CV47" s="883">
        <f t="shared" si="214"/>
        <v>9468.3103996378413</v>
      </c>
      <c r="CW47" s="883">
        <f t="shared" si="215"/>
        <v>2843.7405460038231</v>
      </c>
      <c r="CX47" s="883">
        <f t="shared" si="216"/>
        <v>18977.371042864113</v>
      </c>
      <c r="CY47" s="883">
        <f t="shared" si="217"/>
        <v>7196.423702993362</v>
      </c>
      <c r="CZ47" s="873">
        <f t="shared" si="218"/>
        <v>10282.378235528382</v>
      </c>
      <c r="DA47" s="879">
        <f t="shared" si="278"/>
        <v>95178.777733990311</v>
      </c>
      <c r="DB47" s="883">
        <f t="shared" si="219"/>
        <v>5463.9170510097501</v>
      </c>
      <c r="DC47" s="883">
        <f t="shared" si="220"/>
        <v>6154.4416600526092</v>
      </c>
      <c r="DD47" s="883">
        <f t="shared" si="221"/>
        <v>6584.7584881835646</v>
      </c>
      <c r="DE47" s="883">
        <f t="shared" si="222"/>
        <v>9667.8142933004237</v>
      </c>
      <c r="DF47" s="883">
        <f t="shared" si="223"/>
        <v>4137.5804325993731</v>
      </c>
      <c r="DG47" s="883">
        <f t="shared" si="224"/>
        <v>9497.6817068329456</v>
      </c>
      <c r="DH47" s="883">
        <f t="shared" si="225"/>
        <v>3767.6247442226436</v>
      </c>
      <c r="DI47" s="883">
        <f t="shared" si="226"/>
        <v>6261.4868886907561</v>
      </c>
      <c r="DJ47" s="883">
        <f t="shared" si="227"/>
        <v>4453.3797550963382</v>
      </c>
      <c r="DK47" s="883">
        <f t="shared" si="228"/>
        <v>10962.739949588562</v>
      </c>
      <c r="DL47" s="883">
        <f t="shared" si="229"/>
        <v>2200.5233684411419</v>
      </c>
      <c r="DM47" s="873">
        <f t="shared" si="230"/>
        <v>9425.2657245037208</v>
      </c>
      <c r="DN47" s="879">
        <f t="shared" si="251"/>
        <v>78577.214062521831</v>
      </c>
      <c r="DO47" s="883">
        <f t="shared" si="231"/>
        <v>1678.4952523011543</v>
      </c>
      <c r="DP47" s="883">
        <f t="shared" si="232"/>
        <v>6341.2898777243508</v>
      </c>
      <c r="DQ47" s="883">
        <f t="shared" si="233"/>
        <v>2740.265762426759</v>
      </c>
      <c r="DR47" s="883">
        <f t="shared" si="234"/>
        <v>7561.2395815234922</v>
      </c>
      <c r="DS47" s="883">
        <f t="shared" si="235"/>
        <v>7524.2529370375169</v>
      </c>
      <c r="DT47" s="883">
        <f t="shared" si="236"/>
        <v>9629.0346118983416</v>
      </c>
      <c r="DU47" s="883">
        <f t="shared" si="237"/>
        <v>7270.645551243093</v>
      </c>
      <c r="DV47" s="883">
        <f t="shared" si="238"/>
        <v>10793.779635899735</v>
      </c>
      <c r="DW47" s="883">
        <f t="shared" si="239"/>
        <v>7827.6222172360085</v>
      </c>
      <c r="DX47" s="883">
        <f t="shared" si="240"/>
        <v>8748.2335138323797</v>
      </c>
      <c r="DY47" s="883">
        <f t="shared" si="241"/>
        <v>4836.0605985780312</v>
      </c>
      <c r="DZ47" s="873">
        <f t="shared" si="242"/>
        <v>11005.63334212177</v>
      </c>
      <c r="EA47" s="879">
        <f t="shared" si="252"/>
        <v>85956.55288182263</v>
      </c>
      <c r="EB47" s="883">
        <f t="shared" si="253"/>
        <v>4271.4602076116325</v>
      </c>
      <c r="EC47" s="883">
        <f t="shared" si="254"/>
        <v>4889.5530066228675</v>
      </c>
      <c r="ED47" s="883">
        <f t="shared" si="255"/>
        <v>5576.06182782214</v>
      </c>
      <c r="EE47" s="883">
        <f t="shared" si="256"/>
        <v>7141.5450021652623</v>
      </c>
      <c r="EF47" s="883">
        <f t="shared" si="257"/>
        <v>9812.8884465737683</v>
      </c>
      <c r="EG47" s="883">
        <f t="shared" si="258"/>
        <v>8857.1369706254463</v>
      </c>
      <c r="EH47" s="883">
        <f t="shared" si="259"/>
        <v>10261.838381841633</v>
      </c>
      <c r="EI47" s="883">
        <f t="shared" si="260"/>
        <v>7820.7088684277569</v>
      </c>
      <c r="EJ47" s="883">
        <f t="shared" si="261"/>
        <v>8819.1428195746194</v>
      </c>
      <c r="EK47" s="883">
        <f t="shared" si="262"/>
        <v>9624.3880751313955</v>
      </c>
      <c r="EL47" s="883">
        <f t="shared" si="263"/>
        <v>6849.2761917334674</v>
      </c>
      <c r="EM47" s="873">
        <f t="shared" si="264"/>
        <v>9178.0154349936565</v>
      </c>
      <c r="EN47" s="879">
        <f t="shared" si="265"/>
        <v>93102.015233123646</v>
      </c>
      <c r="EO47" s="883">
        <f t="shared" si="266"/>
        <v>5695.615363953586</v>
      </c>
      <c r="EP47" s="883">
        <f t="shared" si="267"/>
        <v>5725.3878723393536</v>
      </c>
      <c r="EQ47" s="883">
        <f t="shared" si="268"/>
        <v>6993.4309995417234</v>
      </c>
      <c r="ER47" s="883">
        <f>ER13/$ER$35</f>
        <v>4638.5225896413804</v>
      </c>
      <c r="ES47" s="883">
        <f t="shared" si="270"/>
        <v>9134.6023542444909</v>
      </c>
      <c r="ET47" s="883">
        <f t="shared" si="271"/>
        <v>11547.939661578623</v>
      </c>
      <c r="EU47" s="883">
        <f t="shared" si="272"/>
        <v>11107.977520856301</v>
      </c>
      <c r="EV47" s="973">
        <f t="shared" si="273"/>
        <v>6553.4018223750545</v>
      </c>
      <c r="EW47" s="883"/>
      <c r="EX47" s="883"/>
      <c r="EY47" s="883"/>
      <c r="EZ47" s="873"/>
      <c r="FA47" s="879">
        <f t="shared" si="274"/>
        <v>61396.878184530513</v>
      </c>
      <c r="FC47" s="843">
        <f>IFERROR(((
_xlfn.XLOOKUP((DATE(YEAR($FC$5),MONTH($FC$5),1)),UCA.GGN.DATE,$B47:$FA47) /
_xlfn.XLOOKUP((DATE(YEAR($FC$5)-1,MONTH($FC$5),1)),UCA.GGN.DATE,$B47:$FA47)
)-1)*100,"")</f>
        <v>-16.204503547866711</v>
      </c>
      <c r="FD47" s="844">
        <f t="shared" si="276"/>
        <v>4.717088882090148</v>
      </c>
      <c r="FE47" s="845">
        <f t="shared" si="279"/>
        <v>58631.192711690506</v>
      </c>
      <c r="FF47" s="846">
        <f t="shared" si="243"/>
        <v>61396.878184530513</v>
      </c>
      <c r="FH47" s="127">
        <f t="shared" si="277"/>
        <v>-1267.3070460527024</v>
      </c>
    </row>
    <row r="48" spans="1:164" s="110" customFormat="1" ht="15" customHeight="1" x14ac:dyDescent="0.25">
      <c r="A48" s="401" t="s">
        <v>375</v>
      </c>
      <c r="B48" s="885">
        <f t="shared" si="123"/>
        <v>5587.6643761260721</v>
      </c>
      <c r="C48" s="885">
        <f t="shared" si="124"/>
        <v>12953.44170948704</v>
      </c>
      <c r="D48" s="885">
        <f t="shared" si="125"/>
        <v>4960.4859266536487</v>
      </c>
      <c r="E48" s="885">
        <f t="shared" si="126"/>
        <v>6861.4648268051851</v>
      </c>
      <c r="F48" s="885">
        <f t="shared" si="127"/>
        <v>4397.6022259351694</v>
      </c>
      <c r="G48" s="885">
        <f t="shared" si="128"/>
        <v>16675.732099714984</v>
      </c>
      <c r="H48" s="885">
        <f t="shared" si="129"/>
        <v>9342.2817145504669</v>
      </c>
      <c r="I48" s="885">
        <f t="shared" si="130"/>
        <v>8205.1313701378149</v>
      </c>
      <c r="J48" s="885">
        <f t="shared" si="131"/>
        <v>25384.43375407534</v>
      </c>
      <c r="K48" s="885">
        <f t="shared" si="132"/>
        <v>19612.214702490084</v>
      </c>
      <c r="L48" s="885">
        <f t="shared" si="133"/>
        <v>19219.251537222317</v>
      </c>
      <c r="M48" s="877">
        <f t="shared" si="134"/>
        <v>86704.025479345233</v>
      </c>
      <c r="N48" s="878">
        <f t="shared" si="244"/>
        <v>219903.72972254336</v>
      </c>
      <c r="O48" s="885">
        <f t="shared" si="135"/>
        <v>1789.797493130613</v>
      </c>
      <c r="P48" s="885">
        <f t="shared" si="136"/>
        <v>15226.465685521141</v>
      </c>
      <c r="Q48" s="885">
        <f t="shared" si="137"/>
        <v>15994.623687017951</v>
      </c>
      <c r="R48" s="885">
        <f t="shared" si="138"/>
        <v>24984.48744355244</v>
      </c>
      <c r="S48" s="885">
        <f t="shared" si="139"/>
        <v>16005.637314846539</v>
      </c>
      <c r="T48" s="885">
        <f t="shared" si="140"/>
        <v>21286.496710938911</v>
      </c>
      <c r="U48" s="885">
        <f t="shared" si="141"/>
        <v>23367.402792373763</v>
      </c>
      <c r="V48" s="885">
        <f t="shared" si="142"/>
        <v>46635.21632660264</v>
      </c>
      <c r="W48" s="885">
        <f t="shared" si="143"/>
        <v>27370.650640893698</v>
      </c>
      <c r="X48" s="885">
        <f t="shared" si="144"/>
        <v>21832.106022622807</v>
      </c>
      <c r="Y48" s="885">
        <f t="shared" si="145"/>
        <v>36769.323648831858</v>
      </c>
      <c r="Z48" s="877">
        <f t="shared" si="146"/>
        <v>44097.587025377412</v>
      </c>
      <c r="AA48" s="878">
        <f t="shared" si="245"/>
        <v>295359.79479170981</v>
      </c>
      <c r="AB48" s="885">
        <f t="shared" si="147"/>
        <v>9483.8129959684793</v>
      </c>
      <c r="AC48" s="885">
        <f t="shared" si="148"/>
        <v>35182.767751768697</v>
      </c>
      <c r="AD48" s="885">
        <f t="shared" si="149"/>
        <v>10932.321827562268</v>
      </c>
      <c r="AE48" s="885">
        <f t="shared" si="150"/>
        <v>11639.6242658091</v>
      </c>
      <c r="AF48" s="885">
        <f t="shared" si="151"/>
        <v>16133.99648952317</v>
      </c>
      <c r="AG48" s="885">
        <f t="shared" si="152"/>
        <v>23608.008655702306</v>
      </c>
      <c r="AH48" s="885">
        <f t="shared" si="153"/>
        <v>31936.150216123398</v>
      </c>
      <c r="AI48" s="885">
        <f t="shared" si="154"/>
        <v>24105.320007245475</v>
      </c>
      <c r="AJ48" s="885">
        <f t="shared" si="155"/>
        <v>23056.636617574328</v>
      </c>
      <c r="AK48" s="885">
        <f t="shared" si="156"/>
        <v>22117.121887379046</v>
      </c>
      <c r="AL48" s="885">
        <f t="shared" si="157"/>
        <v>18486.522023566289</v>
      </c>
      <c r="AM48" s="877">
        <f t="shared" si="158"/>
        <v>16976.394892834993</v>
      </c>
      <c r="AN48" s="878">
        <f t="shared" si="246"/>
        <v>243658.67763105754</v>
      </c>
      <c r="AO48" s="885">
        <f t="shared" si="159"/>
        <v>5982.3652359002554</v>
      </c>
      <c r="AP48" s="885">
        <f t="shared" si="160"/>
        <v>3949.5735747816261</v>
      </c>
      <c r="AQ48" s="885">
        <f t="shared" si="161"/>
        <v>3467.2524601887935</v>
      </c>
      <c r="AR48" s="885">
        <f t="shared" si="162"/>
        <v>5382.7776458228864</v>
      </c>
      <c r="AS48" s="885">
        <f t="shared" si="163"/>
        <v>3626.6742778373618</v>
      </c>
      <c r="AT48" s="885">
        <f t="shared" si="164"/>
        <v>4711.5060748674086</v>
      </c>
      <c r="AU48" s="885">
        <f t="shared" si="165"/>
        <v>4997.7250420993269</v>
      </c>
      <c r="AV48" s="885">
        <f t="shared" si="166"/>
        <v>7876.7173984959172</v>
      </c>
      <c r="AW48" s="885">
        <f t="shared" si="167"/>
        <v>6225.9745905924219</v>
      </c>
      <c r="AX48" s="885">
        <f t="shared" si="168"/>
        <v>4040.2522059107414</v>
      </c>
      <c r="AY48" s="885">
        <f t="shared" si="169"/>
        <v>4331.5282204309178</v>
      </c>
      <c r="AZ48" s="877">
        <f t="shared" si="170"/>
        <v>34072.863904295635</v>
      </c>
      <c r="BA48" s="878">
        <f t="shared" si="247"/>
        <v>88665.210631223294</v>
      </c>
      <c r="BB48" s="885">
        <f t="shared" si="171"/>
        <v>477.96521786521606</v>
      </c>
      <c r="BC48" s="885">
        <f t="shared" si="172"/>
        <v>844.85782264510306</v>
      </c>
      <c r="BD48" s="885">
        <f t="shared" si="173"/>
        <v>1397.1928153376693</v>
      </c>
      <c r="BE48" s="885">
        <f t="shared" si="174"/>
        <v>5111.652108886</v>
      </c>
      <c r="BF48" s="885">
        <f t="shared" si="175"/>
        <v>4259.8308184484704</v>
      </c>
      <c r="BG48" s="885">
        <f t="shared" si="176"/>
        <v>6094.3405335037878</v>
      </c>
      <c r="BH48" s="885">
        <f t="shared" si="177"/>
        <v>4286.4661921771667</v>
      </c>
      <c r="BI48" s="885">
        <f t="shared" si="178"/>
        <v>3258.9871564375735</v>
      </c>
      <c r="BJ48" s="885">
        <f t="shared" si="179"/>
        <v>6094.6073972359045</v>
      </c>
      <c r="BK48" s="885">
        <f t="shared" si="180"/>
        <v>7347.7179053253458</v>
      </c>
      <c r="BL48" s="885">
        <f t="shared" si="181"/>
        <v>20455.963267846626</v>
      </c>
      <c r="BM48" s="877">
        <f t="shared" si="182"/>
        <v>29862.64157390414</v>
      </c>
      <c r="BN48" s="878">
        <f t="shared" si="248"/>
        <v>89492.222809612998</v>
      </c>
      <c r="BO48" s="885">
        <f t="shared" si="183"/>
        <v>5832.9568662132951</v>
      </c>
      <c r="BP48" s="885">
        <f t="shared" si="184"/>
        <v>2508.1888232339811</v>
      </c>
      <c r="BQ48" s="885">
        <f t="shared" si="185"/>
        <v>1654.4622663414784</v>
      </c>
      <c r="BR48" s="885">
        <f t="shared" si="186"/>
        <v>692.67118317570123</v>
      </c>
      <c r="BS48" s="885">
        <f t="shared" si="187"/>
        <v>2700.1322282446408</v>
      </c>
      <c r="BT48" s="885">
        <f t="shared" si="188"/>
        <v>527.07622400300443</v>
      </c>
      <c r="BU48" s="885">
        <f t="shared" si="189"/>
        <v>2707.3418987811101</v>
      </c>
      <c r="BV48" s="885">
        <f t="shared" si="190"/>
        <v>14253.304805484706</v>
      </c>
      <c r="BW48" s="885">
        <f t="shared" si="191"/>
        <v>5835.1318210673644</v>
      </c>
      <c r="BX48" s="885">
        <f t="shared" si="192"/>
        <v>10188.27155708208</v>
      </c>
      <c r="BY48" s="885">
        <f t="shared" si="193"/>
        <v>8856.4786187514328</v>
      </c>
      <c r="BZ48" s="877">
        <f t="shared" si="194"/>
        <v>19267.709811419412</v>
      </c>
      <c r="CA48" s="878">
        <f t="shared" si="249"/>
        <v>75023.72610379821</v>
      </c>
      <c r="CB48" s="885">
        <f t="shared" si="195"/>
        <v>789.20160057521298</v>
      </c>
      <c r="CC48" s="885">
        <f t="shared" si="196"/>
        <v>2992.8822914289594</v>
      </c>
      <c r="CD48" s="885">
        <f t="shared" si="197"/>
        <v>6609.1294255989051</v>
      </c>
      <c r="CE48" s="885">
        <f t="shared" si="198"/>
        <v>4762.854208603927</v>
      </c>
      <c r="CF48" s="885">
        <f t="shared" si="199"/>
        <v>7090.9717560227455</v>
      </c>
      <c r="CG48" s="885">
        <f t="shared" si="200"/>
        <v>13778.262163760637</v>
      </c>
      <c r="CH48" s="885">
        <f t="shared" si="201"/>
        <v>6176.4174186107039</v>
      </c>
      <c r="CI48" s="885">
        <f t="shared" si="202"/>
        <v>5254.4222962761587</v>
      </c>
      <c r="CJ48" s="885">
        <f t="shared" si="203"/>
        <v>6394.5387701684567</v>
      </c>
      <c r="CK48" s="885">
        <f t="shared" si="204"/>
        <v>4194.7808510764571</v>
      </c>
      <c r="CL48" s="885">
        <f t="shared" si="205"/>
        <v>5495.1830285530577</v>
      </c>
      <c r="CM48" s="877">
        <f t="shared" si="206"/>
        <v>11049.483857958812</v>
      </c>
      <c r="CN48" s="878">
        <f t="shared" si="250"/>
        <v>74588.127668634042</v>
      </c>
      <c r="CO48" s="885">
        <f t="shared" si="207"/>
        <v>558.63035037554948</v>
      </c>
      <c r="CP48" s="885">
        <f t="shared" si="208"/>
        <v>1282.2590819800907</v>
      </c>
      <c r="CQ48" s="885">
        <f t="shared" si="209"/>
        <v>2653.6606128493459</v>
      </c>
      <c r="CR48" s="885">
        <f t="shared" si="210"/>
        <v>2014.7556100532681</v>
      </c>
      <c r="CS48" s="885">
        <f t="shared" si="211"/>
        <v>11940.776610137707</v>
      </c>
      <c r="CT48" s="885">
        <f t="shared" si="212"/>
        <v>1786.2106158048955</v>
      </c>
      <c r="CU48" s="885">
        <f t="shared" si="213"/>
        <v>3994.8615283530821</v>
      </c>
      <c r="CV48" s="885">
        <f t="shared" si="214"/>
        <v>4820.722609187038</v>
      </c>
      <c r="CW48" s="885">
        <f t="shared" si="215"/>
        <v>2837.7600190931944</v>
      </c>
      <c r="CX48" s="885">
        <f t="shared" si="216"/>
        <v>2607.3547816641176</v>
      </c>
      <c r="CY48" s="885">
        <f t="shared" si="217"/>
        <v>4741.2918399108512</v>
      </c>
      <c r="CZ48" s="877">
        <f t="shared" si="218"/>
        <v>19980.04915034079</v>
      </c>
      <c r="DA48" s="878">
        <f t="shared" si="278"/>
        <v>59218.332809749932</v>
      </c>
      <c r="DB48" s="885">
        <f t="shared" si="219"/>
        <v>1128.5835111806391</v>
      </c>
      <c r="DC48" s="885">
        <f t="shared" si="220"/>
        <v>1170.3797014457753</v>
      </c>
      <c r="DD48" s="885">
        <f t="shared" si="221"/>
        <v>2673.0894415736843</v>
      </c>
      <c r="DE48" s="885">
        <f t="shared" si="222"/>
        <v>2488.6532245402082</v>
      </c>
      <c r="DF48" s="885">
        <f t="shared" si="223"/>
        <v>4564.9738143106897</v>
      </c>
      <c r="DG48" s="885">
        <f t="shared" si="224"/>
        <v>2060.4225825673357</v>
      </c>
      <c r="DH48" s="885">
        <f t="shared" si="225"/>
        <v>2238.7418269296263</v>
      </c>
      <c r="DI48" s="885">
        <f t="shared" si="226"/>
        <v>4994.6133479672017</v>
      </c>
      <c r="DJ48" s="885">
        <f t="shared" si="227"/>
        <v>2548.0413887014201</v>
      </c>
      <c r="DK48" s="885">
        <f t="shared" si="228"/>
        <v>4198.1194712140823</v>
      </c>
      <c r="DL48" s="885">
        <f t="shared" si="229"/>
        <v>7172.4363183996556</v>
      </c>
      <c r="DM48" s="877">
        <f t="shared" si="230"/>
        <v>13933.670254193803</v>
      </c>
      <c r="DN48" s="878">
        <f t="shared" si="251"/>
        <v>49171.72488302413</v>
      </c>
      <c r="DO48" s="885">
        <f t="shared" si="231"/>
        <v>2212.7431473328757</v>
      </c>
      <c r="DP48" s="885">
        <f t="shared" si="232"/>
        <v>2999.5954977159845</v>
      </c>
      <c r="DQ48" s="885">
        <f t="shared" si="233"/>
        <v>2840.6356358612566</v>
      </c>
      <c r="DR48" s="885">
        <f t="shared" si="234"/>
        <v>3179.7823080631515</v>
      </c>
      <c r="DS48" s="885">
        <f t="shared" si="235"/>
        <v>1723.2785271468761</v>
      </c>
      <c r="DT48" s="885">
        <f t="shared" si="236"/>
        <v>8478.7550388886448</v>
      </c>
      <c r="DU48" s="885">
        <f t="shared" si="237"/>
        <v>4765.7836710649226</v>
      </c>
      <c r="DV48" s="885">
        <f t="shared" si="238"/>
        <v>6806.2295967301179</v>
      </c>
      <c r="DW48" s="885">
        <f t="shared" si="239"/>
        <v>5757.742978454181</v>
      </c>
      <c r="DX48" s="885">
        <f t="shared" si="240"/>
        <v>19834.106082807069</v>
      </c>
      <c r="DY48" s="885">
        <f t="shared" si="241"/>
        <v>15884.001047787055</v>
      </c>
      <c r="DZ48" s="877">
        <f t="shared" si="242"/>
        <v>19543.099775335217</v>
      </c>
      <c r="EA48" s="878">
        <f t="shared" si="252"/>
        <v>94025.753307187348</v>
      </c>
      <c r="EB48" s="885">
        <f t="shared" si="253"/>
        <v>771.64747826993744</v>
      </c>
      <c r="EC48" s="885">
        <f t="shared" si="254"/>
        <v>4818.1156381891578</v>
      </c>
      <c r="ED48" s="885">
        <f t="shared" si="255"/>
        <v>5282.0895451996657</v>
      </c>
      <c r="EE48" s="885">
        <f t="shared" si="256"/>
        <v>7408.642427483861</v>
      </c>
      <c r="EF48" s="885">
        <f t="shared" si="257"/>
        <v>7485.9787671037411</v>
      </c>
      <c r="EG48" s="885">
        <f t="shared" si="258"/>
        <v>8808.6077349978368</v>
      </c>
      <c r="EH48" s="885">
        <f t="shared" si="259"/>
        <v>3702.8669942520073</v>
      </c>
      <c r="EI48" s="885">
        <f t="shared" si="260"/>
        <v>2892.5531565863475</v>
      </c>
      <c r="EJ48" s="885">
        <f t="shared" si="261"/>
        <v>19798.931490091069</v>
      </c>
      <c r="EK48" s="885">
        <f t="shared" si="262"/>
        <v>10065.676154554671</v>
      </c>
      <c r="EL48" s="885">
        <f t="shared" si="263"/>
        <v>7774.4663788890875</v>
      </c>
      <c r="EM48" s="877">
        <f t="shared" si="264"/>
        <v>35384.012372941783</v>
      </c>
      <c r="EN48" s="878">
        <f t="shared" si="265"/>
        <v>114193.58813855916</v>
      </c>
      <c r="EO48" s="885">
        <f t="shared" si="266"/>
        <v>7240.6176974519522</v>
      </c>
      <c r="EP48" s="885">
        <f t="shared" si="267"/>
        <v>4124.3542775182777</v>
      </c>
      <c r="EQ48" s="885">
        <f t="shared" si="268"/>
        <v>4674.9102128571694</v>
      </c>
      <c r="ER48" s="885">
        <f t="shared" si="269"/>
        <v>8507.6722949336418</v>
      </c>
      <c r="ES48" s="885">
        <f t="shared" si="270"/>
        <v>4683.6892336488654</v>
      </c>
      <c r="ET48" s="885">
        <f t="shared" si="271"/>
        <v>7552.1054501980962</v>
      </c>
      <c r="EU48" s="885">
        <f t="shared" si="272"/>
        <v>3278.9946018253581</v>
      </c>
      <c r="EV48" s="972">
        <f t="shared" si="273"/>
        <v>3886.9217355057463</v>
      </c>
      <c r="EW48" s="885"/>
      <c r="EX48" s="885"/>
      <c r="EY48" s="885"/>
      <c r="EZ48" s="877"/>
      <c r="FA48" s="878">
        <f t="shared" si="274"/>
        <v>43949.265503939117</v>
      </c>
      <c r="FC48" s="851">
        <f t="shared" si="275"/>
        <v>34.376847203489412</v>
      </c>
      <c r="FD48" s="852">
        <f t="shared" si="276"/>
        <v>6.7494046569178456</v>
      </c>
      <c r="FE48" s="853">
        <f t="shared" si="279"/>
        <v>41170.501742082553</v>
      </c>
      <c r="FF48" s="854">
        <f t="shared" si="243"/>
        <v>43949.265503939117</v>
      </c>
      <c r="FH48" s="236">
        <f t="shared" si="277"/>
        <v>994.36857891939871</v>
      </c>
    </row>
    <row r="49" spans="1:164" ht="15" customHeight="1" x14ac:dyDescent="0.25">
      <c r="A49" s="403" t="s">
        <v>376</v>
      </c>
      <c r="B49" s="883">
        <f t="shared" si="123"/>
        <v>0</v>
      </c>
      <c r="C49" s="883">
        <f t="shared" si="124"/>
        <v>7198.3588788445095</v>
      </c>
      <c r="D49" s="883">
        <f t="shared" si="125"/>
        <v>0</v>
      </c>
      <c r="E49" s="883">
        <f t="shared" si="126"/>
        <v>0</v>
      </c>
      <c r="F49" s="883">
        <f t="shared" si="127"/>
        <v>1307.9573619964822</v>
      </c>
      <c r="G49" s="883">
        <f t="shared" si="128"/>
        <v>0</v>
      </c>
      <c r="H49" s="883">
        <f t="shared" si="129"/>
        <v>157.44989226846079</v>
      </c>
      <c r="I49" s="883">
        <f t="shared" si="130"/>
        <v>224.6208012426369</v>
      </c>
      <c r="J49" s="883">
        <f t="shared" si="131"/>
        <v>962.15438002732481</v>
      </c>
      <c r="K49" s="883">
        <f t="shared" si="132"/>
        <v>375.50614561567772</v>
      </c>
      <c r="L49" s="883">
        <f t="shared" si="133"/>
        <v>-698.46866051710583</v>
      </c>
      <c r="M49" s="873">
        <f t="shared" si="134"/>
        <v>11795.886319747744</v>
      </c>
      <c r="N49" s="879">
        <f t="shared" si="244"/>
        <v>21323.46511922573</v>
      </c>
      <c r="O49" s="883">
        <f t="shared" si="135"/>
        <v>0</v>
      </c>
      <c r="P49" s="883">
        <f t="shared" si="136"/>
        <v>126.01833761109177</v>
      </c>
      <c r="Q49" s="883">
        <f t="shared" si="137"/>
        <v>345.9747979477101</v>
      </c>
      <c r="R49" s="883">
        <f t="shared" si="138"/>
        <v>2467.0606353351145</v>
      </c>
      <c r="S49" s="883">
        <f t="shared" si="139"/>
        <v>3.719991938559601</v>
      </c>
      <c r="T49" s="883">
        <f t="shared" si="140"/>
        <v>1460.6559119648841</v>
      </c>
      <c r="U49" s="883">
        <f t="shared" si="141"/>
        <v>0</v>
      </c>
      <c r="V49" s="883">
        <f t="shared" si="142"/>
        <v>713.07217807386576</v>
      </c>
      <c r="W49" s="883">
        <f t="shared" si="143"/>
        <v>0</v>
      </c>
      <c r="X49" s="883">
        <f t="shared" si="144"/>
        <v>1446.0149689035982</v>
      </c>
      <c r="Y49" s="883">
        <f t="shared" si="145"/>
        <v>1496.0765034740605</v>
      </c>
      <c r="Z49" s="873">
        <f t="shared" si="146"/>
        <v>1915.6345998962786</v>
      </c>
      <c r="AA49" s="879">
        <f t="shared" si="245"/>
        <v>9974.2279251451637</v>
      </c>
      <c r="AB49" s="883">
        <f t="shared" si="147"/>
        <v>0</v>
      </c>
      <c r="AC49" s="883">
        <f t="shared" si="148"/>
        <v>1045.4714986741658</v>
      </c>
      <c r="AD49" s="883">
        <f t="shared" si="149"/>
        <v>1007.6698922603809</v>
      </c>
      <c r="AE49" s="883">
        <f t="shared" si="150"/>
        <v>0</v>
      </c>
      <c r="AF49" s="883">
        <f t="shared" si="151"/>
        <v>469.36838017231617</v>
      </c>
      <c r="AG49" s="883">
        <f t="shared" si="152"/>
        <v>0</v>
      </c>
      <c r="AH49" s="883">
        <f t="shared" si="153"/>
        <v>0</v>
      </c>
      <c r="AI49" s="883">
        <f t="shared" si="154"/>
        <v>421.60469271127454</v>
      </c>
      <c r="AJ49" s="883">
        <f t="shared" si="155"/>
        <v>0</v>
      </c>
      <c r="AK49" s="883">
        <f t="shared" si="156"/>
        <v>0</v>
      </c>
      <c r="AL49" s="883">
        <f t="shared" si="157"/>
        <v>444.74507192020445</v>
      </c>
      <c r="AM49" s="873">
        <f t="shared" si="158"/>
        <v>1820.1094265385061</v>
      </c>
      <c r="AN49" s="879">
        <f t="shared" si="246"/>
        <v>5208.9689622768483</v>
      </c>
      <c r="AO49" s="883">
        <f t="shared" si="159"/>
        <v>0</v>
      </c>
      <c r="AP49" s="883">
        <f t="shared" si="160"/>
        <v>0</v>
      </c>
      <c r="AQ49" s="883">
        <f t="shared" si="161"/>
        <v>0</v>
      </c>
      <c r="AR49" s="883">
        <f t="shared" si="162"/>
        <v>1289.5194519772456</v>
      </c>
      <c r="AS49" s="883">
        <f t="shared" si="163"/>
        <v>0</v>
      </c>
      <c r="AT49" s="883">
        <f t="shared" si="164"/>
        <v>350.84924910470181</v>
      </c>
      <c r="AU49" s="883">
        <f t="shared" si="165"/>
        <v>0</v>
      </c>
      <c r="AV49" s="883">
        <f t="shared" si="166"/>
        <v>0</v>
      </c>
      <c r="AW49" s="883">
        <f t="shared" si="167"/>
        <v>0</v>
      </c>
      <c r="AX49" s="883">
        <f t="shared" si="168"/>
        <v>0</v>
      </c>
      <c r="AY49" s="883">
        <f t="shared" si="169"/>
        <v>730.04872763993114</v>
      </c>
      <c r="AZ49" s="873">
        <f t="shared" si="170"/>
        <v>20719.269816542015</v>
      </c>
      <c r="BA49" s="879">
        <f t="shared" si="247"/>
        <v>23089.687245263893</v>
      </c>
      <c r="BB49" s="883">
        <f t="shared" si="171"/>
        <v>0</v>
      </c>
      <c r="BC49" s="883">
        <f t="shared" si="172"/>
        <v>0</v>
      </c>
      <c r="BD49" s="883">
        <f t="shared" si="173"/>
        <v>0</v>
      </c>
      <c r="BE49" s="883">
        <f t="shared" si="174"/>
        <v>53.711409986929858</v>
      </c>
      <c r="BF49" s="883">
        <f t="shared" si="175"/>
        <v>0</v>
      </c>
      <c r="BG49" s="883">
        <f t="shared" si="176"/>
        <v>1383.8098786324661</v>
      </c>
      <c r="BH49" s="883">
        <f t="shared" si="177"/>
        <v>0</v>
      </c>
      <c r="BI49" s="883">
        <f t="shared" si="178"/>
        <v>27.81299045391571</v>
      </c>
      <c r="BJ49" s="883">
        <f t="shared" si="179"/>
        <v>0</v>
      </c>
      <c r="BK49" s="883">
        <f t="shared" si="180"/>
        <v>651.43283508461002</v>
      </c>
      <c r="BL49" s="883">
        <f t="shared" si="181"/>
        <v>0</v>
      </c>
      <c r="BM49" s="873">
        <f t="shared" si="182"/>
        <v>0</v>
      </c>
      <c r="BN49" s="879">
        <f t="shared" si="248"/>
        <v>2116.7671141579217</v>
      </c>
      <c r="BO49" s="883">
        <f t="shared" si="183"/>
        <v>3653.3822364894659</v>
      </c>
      <c r="BP49" s="883">
        <f t="shared" si="184"/>
        <v>0</v>
      </c>
      <c r="BQ49" s="883">
        <f t="shared" si="185"/>
        <v>0</v>
      </c>
      <c r="BR49" s="883">
        <f t="shared" si="186"/>
        <v>0</v>
      </c>
      <c r="BS49" s="883">
        <f t="shared" si="187"/>
        <v>1819.25258876407</v>
      </c>
      <c r="BT49" s="883">
        <f t="shared" si="188"/>
        <v>0</v>
      </c>
      <c r="BU49" s="883">
        <f t="shared" si="189"/>
        <v>1123.7894078967768</v>
      </c>
      <c r="BV49" s="883">
        <f t="shared" si="190"/>
        <v>0</v>
      </c>
      <c r="BW49" s="883">
        <f t="shared" si="191"/>
        <v>0</v>
      </c>
      <c r="BX49" s="883">
        <f t="shared" si="192"/>
        <v>0</v>
      </c>
      <c r="BY49" s="883">
        <f t="shared" si="193"/>
        <v>0</v>
      </c>
      <c r="BZ49" s="873">
        <f t="shared" si="194"/>
        <v>6236.7660004827057</v>
      </c>
      <c r="CA49" s="879">
        <f t="shared" si="249"/>
        <v>12833.190233633017</v>
      </c>
      <c r="CB49" s="883">
        <f t="shared" si="195"/>
        <v>0</v>
      </c>
      <c r="CC49" s="883">
        <f t="shared" si="196"/>
        <v>0</v>
      </c>
      <c r="CD49" s="883">
        <f t="shared" si="197"/>
        <v>0</v>
      </c>
      <c r="CE49" s="883">
        <f t="shared" si="198"/>
        <v>0</v>
      </c>
      <c r="CF49" s="883">
        <f t="shared" si="199"/>
        <v>0</v>
      </c>
      <c r="CG49" s="883">
        <f t="shared" si="200"/>
        <v>6888.7987712787126</v>
      </c>
      <c r="CH49" s="883">
        <f t="shared" si="201"/>
        <v>159.2301070953223</v>
      </c>
      <c r="CI49" s="883">
        <f t="shared" si="202"/>
        <v>0</v>
      </c>
      <c r="CJ49" s="883">
        <f t="shared" si="203"/>
        <v>0</v>
      </c>
      <c r="CK49" s="883">
        <f t="shared" si="204"/>
        <v>0</v>
      </c>
      <c r="CL49" s="883">
        <f t="shared" si="205"/>
        <v>0</v>
      </c>
      <c r="CM49" s="873">
        <f t="shared" si="206"/>
        <v>0</v>
      </c>
      <c r="CN49" s="879">
        <f t="shared" si="250"/>
        <v>7048.0288783740352</v>
      </c>
      <c r="CO49" s="883">
        <f t="shared" si="207"/>
        <v>0</v>
      </c>
      <c r="CP49" s="883">
        <f t="shared" si="208"/>
        <v>0</v>
      </c>
      <c r="CQ49" s="883">
        <f t="shared" si="209"/>
        <v>0</v>
      </c>
      <c r="CR49" s="883">
        <f t="shared" si="210"/>
        <v>0</v>
      </c>
      <c r="CS49" s="883">
        <f t="shared" si="211"/>
        <v>10430.021418587437</v>
      </c>
      <c r="CT49" s="883">
        <f t="shared" si="212"/>
        <v>0</v>
      </c>
      <c r="CU49" s="883">
        <f t="shared" si="213"/>
        <v>718.36095048554898</v>
      </c>
      <c r="CV49" s="883">
        <f t="shared" si="214"/>
        <v>1537.1726788491403</v>
      </c>
      <c r="CW49" s="883">
        <f t="shared" si="215"/>
        <v>0</v>
      </c>
      <c r="CX49" s="883">
        <f t="shared" si="216"/>
        <v>595.96680723751263</v>
      </c>
      <c r="CY49" s="883">
        <f t="shared" si="217"/>
        <v>1415.213657855096</v>
      </c>
      <c r="CZ49" s="873">
        <f t="shared" si="218"/>
        <v>10394.731453090504</v>
      </c>
      <c r="DA49" s="879">
        <f t="shared" si="278"/>
        <v>25091.466966105239</v>
      </c>
      <c r="DB49" s="883">
        <f t="shared" si="219"/>
        <v>0</v>
      </c>
      <c r="DC49" s="883">
        <f t="shared" si="220"/>
        <v>0</v>
      </c>
      <c r="DD49" s="883">
        <f t="shared" si="221"/>
        <v>135.82184189617641</v>
      </c>
      <c r="DE49" s="883">
        <f t="shared" si="222"/>
        <v>110.92611370352428</v>
      </c>
      <c r="DF49" s="883">
        <f t="shared" si="223"/>
        <v>83.072440144961092</v>
      </c>
      <c r="DG49" s="883">
        <f t="shared" si="224"/>
        <v>122.21387081226469</v>
      </c>
      <c r="DH49" s="883">
        <f t="shared" si="225"/>
        <v>0</v>
      </c>
      <c r="DI49" s="883">
        <f t="shared" si="226"/>
        <v>0</v>
      </c>
      <c r="DJ49" s="883">
        <f t="shared" si="227"/>
        <v>0</v>
      </c>
      <c r="DK49" s="883">
        <f t="shared" si="228"/>
        <v>60.536071819982688</v>
      </c>
      <c r="DL49" s="883">
        <f t="shared" si="229"/>
        <v>1882.4856785910572</v>
      </c>
      <c r="DM49" s="873">
        <f t="shared" si="230"/>
        <v>12.532840491936044</v>
      </c>
      <c r="DN49" s="879">
        <f t="shared" si="251"/>
        <v>2407.5888574599026</v>
      </c>
      <c r="DO49" s="883">
        <f t="shared" si="231"/>
        <v>52.399580322940686</v>
      </c>
      <c r="DP49" s="883">
        <f t="shared" si="232"/>
        <v>0</v>
      </c>
      <c r="DQ49" s="883">
        <f t="shared" si="233"/>
        <v>0</v>
      </c>
      <c r="DR49" s="883">
        <f t="shared" si="234"/>
        <v>0</v>
      </c>
      <c r="DS49" s="883">
        <f t="shared" si="235"/>
        <v>15.722319569929139</v>
      </c>
      <c r="DT49" s="883">
        <f t="shared" si="236"/>
        <v>0</v>
      </c>
      <c r="DU49" s="883">
        <f t="shared" si="237"/>
        <v>0</v>
      </c>
      <c r="DV49" s="883">
        <f t="shared" si="238"/>
        <v>0</v>
      </c>
      <c r="DW49" s="883">
        <f t="shared" si="239"/>
        <v>0</v>
      </c>
      <c r="DX49" s="883">
        <f t="shared" si="240"/>
        <v>0</v>
      </c>
      <c r="DY49" s="883">
        <f t="shared" si="241"/>
        <v>238.251626575025</v>
      </c>
      <c r="DZ49" s="873">
        <f t="shared" si="242"/>
        <v>2928.504059868138</v>
      </c>
      <c r="EA49" s="879">
        <f t="shared" si="252"/>
        <v>3234.8775863360329</v>
      </c>
      <c r="EB49" s="883">
        <f t="shared" si="253"/>
        <v>0</v>
      </c>
      <c r="EC49" s="883">
        <f t="shared" si="254"/>
        <v>60.275279615942203</v>
      </c>
      <c r="ED49" s="883">
        <f t="shared" si="255"/>
        <v>0</v>
      </c>
      <c r="EE49" s="883">
        <f t="shared" si="256"/>
        <v>0</v>
      </c>
      <c r="EF49" s="883">
        <f t="shared" si="257"/>
        <v>632.80457823271274</v>
      </c>
      <c r="EG49" s="883">
        <f t="shared" si="258"/>
        <v>0</v>
      </c>
      <c r="EH49" s="883">
        <f t="shared" si="259"/>
        <v>0</v>
      </c>
      <c r="EI49" s="883">
        <f t="shared" si="260"/>
        <v>0</v>
      </c>
      <c r="EJ49" s="883">
        <f t="shared" si="261"/>
        <v>0</v>
      </c>
      <c r="EK49" s="883">
        <f t="shared" si="262"/>
        <v>2223.5617118374266</v>
      </c>
      <c r="EL49" s="883">
        <f t="shared" si="263"/>
        <v>2499.1720619051639</v>
      </c>
      <c r="EM49" s="873">
        <f t="shared" si="264"/>
        <v>4693.5785337986263</v>
      </c>
      <c r="EN49" s="879">
        <f t="shared" si="265"/>
        <v>10109.392165389872</v>
      </c>
      <c r="EO49" s="883">
        <f t="shared" si="266"/>
        <v>0</v>
      </c>
      <c r="EP49" s="883">
        <f t="shared" si="267"/>
        <v>0</v>
      </c>
      <c r="EQ49" s="883">
        <f t="shared" si="268"/>
        <v>0</v>
      </c>
      <c r="ER49" s="883">
        <f t="shared" si="269"/>
        <v>3822.9873322313138</v>
      </c>
      <c r="ES49" s="883">
        <f t="shared" si="270"/>
        <v>0</v>
      </c>
      <c r="ET49" s="883">
        <f t="shared" si="271"/>
        <v>0</v>
      </c>
      <c r="EU49" s="883">
        <f t="shared" si="272"/>
        <v>0</v>
      </c>
      <c r="EV49" s="973">
        <f t="shared" si="273"/>
        <v>1776.2445119981403</v>
      </c>
      <c r="EW49" s="883"/>
      <c r="EX49" s="883"/>
      <c r="EY49" s="883"/>
      <c r="EZ49" s="873"/>
      <c r="FA49" s="879">
        <f t="shared" si="274"/>
        <v>5599.2318442294545</v>
      </c>
      <c r="FC49" s="843" t="str">
        <f t="shared" si="275"/>
        <v/>
      </c>
      <c r="FD49" s="844">
        <f t="shared" si="276"/>
        <v>707.87686740885431</v>
      </c>
      <c r="FE49" s="845">
        <f t="shared" si="279"/>
        <v>693.07985784865491</v>
      </c>
      <c r="FF49" s="846">
        <f t="shared" si="243"/>
        <v>5599.2318442294545</v>
      </c>
      <c r="FH49" s="127">
        <f t="shared" si="277"/>
        <v>1776.2445119981403</v>
      </c>
    </row>
    <row r="50" spans="1:164" ht="15" customHeight="1" x14ac:dyDescent="0.25">
      <c r="A50" s="404" t="s">
        <v>377</v>
      </c>
      <c r="B50" s="883">
        <f t="shared" si="123"/>
        <v>0</v>
      </c>
      <c r="C50" s="883">
        <f t="shared" si="124"/>
        <v>0</v>
      </c>
      <c r="D50" s="883">
        <f t="shared" si="125"/>
        <v>0</v>
      </c>
      <c r="E50" s="883">
        <f t="shared" si="126"/>
        <v>951.21684435727786</v>
      </c>
      <c r="F50" s="883">
        <f t="shared" si="127"/>
        <v>26.189958956348878</v>
      </c>
      <c r="G50" s="883">
        <f t="shared" si="128"/>
        <v>0</v>
      </c>
      <c r="H50" s="883">
        <f t="shared" si="129"/>
        <v>2775.2454311979668</v>
      </c>
      <c r="I50" s="883">
        <f t="shared" si="130"/>
        <v>39.59417513429532</v>
      </c>
      <c r="J50" s="883">
        <f t="shared" si="131"/>
        <v>45.671885127879342</v>
      </c>
      <c r="K50" s="883">
        <f t="shared" si="132"/>
        <v>77.533657596759369</v>
      </c>
      <c r="L50" s="883">
        <f t="shared" si="133"/>
        <v>20.454071403429349</v>
      </c>
      <c r="M50" s="873">
        <f t="shared" si="134"/>
        <v>0</v>
      </c>
      <c r="N50" s="879">
        <f t="shared" si="244"/>
        <v>3935.9060237739568</v>
      </c>
      <c r="O50" s="883">
        <f t="shared" si="135"/>
        <v>0</v>
      </c>
      <c r="P50" s="883">
        <f t="shared" si="136"/>
        <v>0</v>
      </c>
      <c r="Q50" s="883">
        <f t="shared" si="137"/>
        <v>0</v>
      </c>
      <c r="R50" s="883">
        <f t="shared" si="138"/>
        <v>0</v>
      </c>
      <c r="S50" s="883">
        <f t="shared" si="139"/>
        <v>3719.2479401718888</v>
      </c>
      <c r="T50" s="883">
        <f t="shared" si="140"/>
        <v>0</v>
      </c>
      <c r="U50" s="883">
        <f t="shared" si="141"/>
        <v>2013.2921299017582</v>
      </c>
      <c r="V50" s="883">
        <f t="shared" si="142"/>
        <v>0</v>
      </c>
      <c r="W50" s="883">
        <f t="shared" si="143"/>
        <v>0</v>
      </c>
      <c r="X50" s="883">
        <f t="shared" si="144"/>
        <v>51.459607434291755</v>
      </c>
      <c r="Y50" s="883">
        <f t="shared" si="145"/>
        <v>0</v>
      </c>
      <c r="Z50" s="873">
        <f t="shared" si="146"/>
        <v>77.443656593823619</v>
      </c>
      <c r="AA50" s="879">
        <f t="shared" si="245"/>
        <v>5861.443334101763</v>
      </c>
      <c r="AB50" s="883">
        <f t="shared" si="147"/>
        <v>0</v>
      </c>
      <c r="AC50" s="883">
        <f t="shared" si="148"/>
        <v>0</v>
      </c>
      <c r="AD50" s="883">
        <f t="shared" si="149"/>
        <v>0</v>
      </c>
      <c r="AE50" s="883">
        <f t="shared" si="150"/>
        <v>0</v>
      </c>
      <c r="AF50" s="883">
        <f t="shared" si="151"/>
        <v>0</v>
      </c>
      <c r="AG50" s="883">
        <f t="shared" si="152"/>
        <v>0</v>
      </c>
      <c r="AH50" s="883">
        <f t="shared" si="153"/>
        <v>0.72181878257217702</v>
      </c>
      <c r="AI50" s="883">
        <f t="shared" si="154"/>
        <v>0</v>
      </c>
      <c r="AJ50" s="883">
        <f t="shared" si="155"/>
        <v>0</v>
      </c>
      <c r="AK50" s="883">
        <f t="shared" si="156"/>
        <v>0</v>
      </c>
      <c r="AL50" s="883">
        <f t="shared" si="157"/>
        <v>67.144954039900995</v>
      </c>
      <c r="AM50" s="873">
        <f t="shared" si="158"/>
        <v>849.14412057915251</v>
      </c>
      <c r="AN50" s="879">
        <f t="shared" si="246"/>
        <v>917.01089340162571</v>
      </c>
      <c r="AO50" s="883">
        <f t="shared" si="159"/>
        <v>0</v>
      </c>
      <c r="AP50" s="883">
        <f t="shared" si="160"/>
        <v>0</v>
      </c>
      <c r="AQ50" s="883">
        <f t="shared" si="161"/>
        <v>0</v>
      </c>
      <c r="AR50" s="883">
        <f t="shared" si="162"/>
        <v>0</v>
      </c>
      <c r="AS50" s="883">
        <f t="shared" si="163"/>
        <v>0</v>
      </c>
      <c r="AT50" s="883">
        <f t="shared" si="164"/>
        <v>1071.8016695210708</v>
      </c>
      <c r="AU50" s="883">
        <f t="shared" si="165"/>
        <v>0</v>
      </c>
      <c r="AV50" s="883">
        <f t="shared" si="166"/>
        <v>0</v>
      </c>
      <c r="AW50" s="883">
        <f t="shared" si="167"/>
        <v>38.947748235052686</v>
      </c>
      <c r="AX50" s="883">
        <f t="shared" si="168"/>
        <v>225.7163666699696</v>
      </c>
      <c r="AY50" s="883">
        <f t="shared" si="169"/>
        <v>0</v>
      </c>
      <c r="AZ50" s="873">
        <f t="shared" si="170"/>
        <v>0</v>
      </c>
      <c r="BA50" s="879">
        <f t="shared" si="247"/>
        <v>1336.465784426093</v>
      </c>
      <c r="BB50" s="883">
        <f t="shared" si="171"/>
        <v>0</v>
      </c>
      <c r="BC50" s="883">
        <f t="shared" si="172"/>
        <v>0</v>
      </c>
      <c r="BD50" s="883">
        <f t="shared" si="173"/>
        <v>0</v>
      </c>
      <c r="BE50" s="883">
        <f t="shared" si="174"/>
        <v>1655.287998688111</v>
      </c>
      <c r="BF50" s="883">
        <f t="shared" si="175"/>
        <v>2361.1554078712093</v>
      </c>
      <c r="BG50" s="883">
        <f t="shared" si="176"/>
        <v>692.9506394764087</v>
      </c>
      <c r="BH50" s="883">
        <f t="shared" si="177"/>
        <v>663.0420842630806</v>
      </c>
      <c r="BI50" s="883">
        <f t="shared" si="178"/>
        <v>0</v>
      </c>
      <c r="BJ50" s="883">
        <f t="shared" si="179"/>
        <v>0</v>
      </c>
      <c r="BK50" s="883">
        <f t="shared" si="180"/>
        <v>0</v>
      </c>
      <c r="BL50" s="883">
        <f t="shared" si="181"/>
        <v>0</v>
      </c>
      <c r="BM50" s="873">
        <f t="shared" si="182"/>
        <v>82.380655754795029</v>
      </c>
      <c r="BN50" s="879">
        <f t="shared" si="248"/>
        <v>5454.8167860536041</v>
      </c>
      <c r="BO50" s="883">
        <f t="shared" si="183"/>
        <v>0</v>
      </c>
      <c r="BP50" s="883">
        <f t="shared" si="184"/>
        <v>0</v>
      </c>
      <c r="BQ50" s="883">
        <f t="shared" si="185"/>
        <v>0</v>
      </c>
      <c r="BR50" s="883">
        <f t="shared" si="186"/>
        <v>0</v>
      </c>
      <c r="BS50" s="883">
        <f t="shared" si="187"/>
        <v>0</v>
      </c>
      <c r="BT50" s="883">
        <f t="shared" si="188"/>
        <v>0</v>
      </c>
      <c r="BU50" s="883">
        <f t="shared" si="189"/>
        <v>370.95297780422482</v>
      </c>
      <c r="BV50" s="883">
        <f t="shared" si="190"/>
        <v>0</v>
      </c>
      <c r="BW50" s="883">
        <f t="shared" si="191"/>
        <v>0</v>
      </c>
      <c r="BX50" s="883">
        <f t="shared" si="192"/>
        <v>434.95268292080192</v>
      </c>
      <c r="BY50" s="883">
        <f t="shared" si="193"/>
        <v>0</v>
      </c>
      <c r="BZ50" s="873">
        <f t="shared" si="194"/>
        <v>342.1870307253738</v>
      </c>
      <c r="CA50" s="879">
        <f t="shared" si="249"/>
        <v>1148.0926914504007</v>
      </c>
      <c r="CB50" s="883">
        <f t="shared" si="195"/>
        <v>0</v>
      </c>
      <c r="CC50" s="883">
        <f t="shared" si="196"/>
        <v>0</v>
      </c>
      <c r="CD50" s="883">
        <f t="shared" si="197"/>
        <v>362.71244923801203</v>
      </c>
      <c r="CE50" s="883">
        <f t="shared" si="198"/>
        <v>0</v>
      </c>
      <c r="CF50" s="883">
        <f t="shared" si="199"/>
        <v>0</v>
      </c>
      <c r="CG50" s="883">
        <f t="shared" si="200"/>
        <v>0</v>
      </c>
      <c r="CH50" s="883">
        <f t="shared" si="201"/>
        <v>0</v>
      </c>
      <c r="CI50" s="883">
        <f t="shared" si="202"/>
        <v>0</v>
      </c>
      <c r="CJ50" s="883">
        <f t="shared" si="203"/>
        <v>0</v>
      </c>
      <c r="CK50" s="883">
        <f t="shared" si="204"/>
        <v>0</v>
      </c>
      <c r="CL50" s="883">
        <f t="shared" si="205"/>
        <v>0</v>
      </c>
      <c r="CM50" s="873">
        <f t="shared" si="206"/>
        <v>0</v>
      </c>
      <c r="CN50" s="879">
        <f t="shared" si="250"/>
        <v>362.71244923801203</v>
      </c>
      <c r="CO50" s="883">
        <f t="shared" si="207"/>
        <v>0</v>
      </c>
      <c r="CP50" s="883">
        <f t="shared" si="208"/>
        <v>0</v>
      </c>
      <c r="CQ50" s="883">
        <f t="shared" si="209"/>
        <v>0</v>
      </c>
      <c r="CR50" s="883">
        <f t="shared" si="210"/>
        <v>0</v>
      </c>
      <c r="CS50" s="883">
        <f t="shared" si="211"/>
        <v>0</v>
      </c>
      <c r="CT50" s="883">
        <f t="shared" si="212"/>
        <v>0</v>
      </c>
      <c r="CU50" s="883">
        <f t="shared" si="213"/>
        <v>0</v>
      </c>
      <c r="CV50" s="883">
        <f t="shared" si="214"/>
        <v>0</v>
      </c>
      <c r="CW50" s="883">
        <f t="shared" si="215"/>
        <v>0</v>
      </c>
      <c r="CX50" s="883">
        <f t="shared" si="216"/>
        <v>0</v>
      </c>
      <c r="CY50" s="883">
        <f t="shared" si="217"/>
        <v>0</v>
      </c>
      <c r="CZ50" s="873">
        <f t="shared" si="218"/>
        <v>0</v>
      </c>
      <c r="DA50" s="879">
        <f t="shared" si="278"/>
        <v>0</v>
      </c>
      <c r="DB50" s="883">
        <f t="shared" si="219"/>
        <v>0</v>
      </c>
      <c r="DC50" s="883">
        <f t="shared" si="220"/>
        <v>0</v>
      </c>
      <c r="DD50" s="883">
        <f t="shared" si="221"/>
        <v>0</v>
      </c>
      <c r="DE50" s="883">
        <f t="shared" si="222"/>
        <v>0</v>
      </c>
      <c r="DF50" s="883">
        <f t="shared" si="223"/>
        <v>0</v>
      </c>
      <c r="DG50" s="883">
        <f t="shared" si="224"/>
        <v>25.819831861746064</v>
      </c>
      <c r="DH50" s="883">
        <f t="shared" si="225"/>
        <v>1.7146350474314216</v>
      </c>
      <c r="DI50" s="883">
        <f t="shared" si="226"/>
        <v>0</v>
      </c>
      <c r="DJ50" s="883">
        <f t="shared" si="227"/>
        <v>0</v>
      </c>
      <c r="DK50" s="883">
        <f t="shared" si="228"/>
        <v>-2.2843800686785918</v>
      </c>
      <c r="DL50" s="883">
        <f t="shared" si="229"/>
        <v>24.596440042362644</v>
      </c>
      <c r="DM50" s="873">
        <f t="shared" si="230"/>
        <v>3.9877219747069228</v>
      </c>
      <c r="DN50" s="879">
        <f t="shared" si="251"/>
        <v>53.834248857568461</v>
      </c>
      <c r="DO50" s="883">
        <f t="shared" si="231"/>
        <v>0</v>
      </c>
      <c r="DP50" s="883">
        <f t="shared" si="232"/>
        <v>0</v>
      </c>
      <c r="DQ50" s="883">
        <f t="shared" si="233"/>
        <v>0</v>
      </c>
      <c r="DR50" s="883">
        <f t="shared" si="234"/>
        <v>59.466641611625626</v>
      </c>
      <c r="DS50" s="883">
        <f t="shared" si="235"/>
        <v>78.050086436433944</v>
      </c>
      <c r="DT50" s="883">
        <f t="shared" si="236"/>
        <v>0</v>
      </c>
      <c r="DU50" s="883">
        <f t="shared" si="237"/>
        <v>27.415285264402581</v>
      </c>
      <c r="DV50" s="883">
        <f t="shared" si="238"/>
        <v>27.896670205468144</v>
      </c>
      <c r="DW50" s="883">
        <f t="shared" si="239"/>
        <v>33.556539942423591</v>
      </c>
      <c r="DX50" s="883">
        <f t="shared" si="240"/>
        <v>31.347650164743616</v>
      </c>
      <c r="DY50" s="883">
        <f t="shared" si="241"/>
        <v>1445.1694907743301</v>
      </c>
      <c r="DZ50" s="873">
        <f t="shared" si="242"/>
        <v>218.99534366049409</v>
      </c>
      <c r="EA50" s="879">
        <f t="shared" si="252"/>
        <v>1921.8977080599216</v>
      </c>
      <c r="EB50" s="883">
        <f t="shared" si="253"/>
        <v>0</v>
      </c>
      <c r="EC50" s="883">
        <f t="shared" si="254"/>
        <v>0</v>
      </c>
      <c r="ED50" s="883">
        <f t="shared" si="255"/>
        <v>0</v>
      </c>
      <c r="EE50" s="883">
        <f t="shared" si="256"/>
        <v>0</v>
      </c>
      <c r="EF50" s="883">
        <f t="shared" si="257"/>
        <v>0</v>
      </c>
      <c r="EG50" s="883">
        <f t="shared" si="258"/>
        <v>0</v>
      </c>
      <c r="EH50" s="883">
        <f t="shared" si="259"/>
        <v>0</v>
      </c>
      <c r="EI50" s="883">
        <f t="shared" si="260"/>
        <v>0</v>
      </c>
      <c r="EJ50" s="883">
        <f t="shared" si="261"/>
        <v>31.449645940675257</v>
      </c>
      <c r="EK50" s="883">
        <f t="shared" si="262"/>
        <v>1197.3874295239793</v>
      </c>
      <c r="EL50" s="883">
        <f t="shared" si="263"/>
        <v>4.9652425070963515</v>
      </c>
      <c r="EM50" s="873">
        <f t="shared" si="264"/>
        <v>6.6044726085346523</v>
      </c>
      <c r="EN50" s="879">
        <f t="shared" si="265"/>
        <v>1240.4067905802856</v>
      </c>
      <c r="EO50" s="883">
        <f t="shared" si="266"/>
        <v>0</v>
      </c>
      <c r="EP50" s="883">
        <f t="shared" si="267"/>
        <v>0</v>
      </c>
      <c r="EQ50" s="883">
        <f t="shared" si="268"/>
        <v>0</v>
      </c>
      <c r="ER50" s="883">
        <f t="shared" si="269"/>
        <v>287.58627814980878</v>
      </c>
      <c r="ES50" s="883">
        <f t="shared" si="270"/>
        <v>15.94356938720821</v>
      </c>
      <c r="ET50" s="883">
        <f t="shared" si="271"/>
        <v>1708.9402419426008</v>
      </c>
      <c r="EU50" s="883">
        <f t="shared" si="272"/>
        <v>0</v>
      </c>
      <c r="EV50" s="973">
        <f t="shared" si="273"/>
        <v>0</v>
      </c>
      <c r="EW50" s="883"/>
      <c r="EX50" s="883"/>
      <c r="EY50" s="883"/>
      <c r="EZ50" s="873"/>
      <c r="FA50" s="879">
        <f t="shared" si="274"/>
        <v>2012.4700894796179</v>
      </c>
      <c r="FC50" s="843" t="str">
        <f t="shared" si="275"/>
        <v/>
      </c>
      <c r="FD50" s="844" t="str">
        <f t="shared" si="276"/>
        <v/>
      </c>
      <c r="FE50" s="845">
        <f t="shared" si="279"/>
        <v>0</v>
      </c>
      <c r="FF50" s="846">
        <f t="shared" si="243"/>
        <v>2012.4700894796179</v>
      </c>
      <c r="FH50" s="127">
        <f t="shared" si="277"/>
        <v>0</v>
      </c>
    </row>
    <row r="51" spans="1:164" ht="15" customHeight="1" x14ac:dyDescent="0.25">
      <c r="A51" s="403" t="s">
        <v>378</v>
      </c>
      <c r="B51" s="883">
        <f t="shared" si="123"/>
        <v>5587.6643761260721</v>
      </c>
      <c r="C51" s="883">
        <f t="shared" si="124"/>
        <v>5755.0828306425301</v>
      </c>
      <c r="D51" s="883">
        <f t="shared" si="125"/>
        <v>4960.4859266536487</v>
      </c>
      <c r="E51" s="883">
        <f t="shared" si="126"/>
        <v>5910.2479824479078</v>
      </c>
      <c r="F51" s="883">
        <f t="shared" si="127"/>
        <v>3063.4549049823381</v>
      </c>
      <c r="G51" s="883">
        <f t="shared" si="128"/>
        <v>16664.215710143359</v>
      </c>
      <c r="H51" s="883">
        <f t="shared" si="129"/>
        <v>6409.5863910840399</v>
      </c>
      <c r="I51" s="883">
        <f t="shared" si="130"/>
        <v>7940.9163937608819</v>
      </c>
      <c r="J51" s="883">
        <f t="shared" si="131"/>
        <v>24376.607488920134</v>
      </c>
      <c r="K51" s="883">
        <f t="shared" si="132"/>
        <v>19159.174899277645</v>
      </c>
      <c r="L51" s="883">
        <f t="shared" si="133"/>
        <v>19897.266126335995</v>
      </c>
      <c r="M51" s="873">
        <f t="shared" si="134"/>
        <v>74908.1391595975</v>
      </c>
      <c r="N51" s="879">
        <f t="shared" si="244"/>
        <v>194632.84218997206</v>
      </c>
      <c r="O51" s="883">
        <f t="shared" si="135"/>
        <v>1789.797493130613</v>
      </c>
      <c r="P51" s="883">
        <f t="shared" si="136"/>
        <v>15100.447347910051</v>
      </c>
      <c r="Q51" s="883">
        <f t="shared" si="137"/>
        <v>15648.64888907024</v>
      </c>
      <c r="R51" s="883">
        <f t="shared" si="138"/>
        <v>22517.426808217326</v>
      </c>
      <c r="S51" s="883">
        <f t="shared" si="139"/>
        <v>12282.66938273609</v>
      </c>
      <c r="T51" s="883">
        <f t="shared" si="140"/>
        <v>19825.840798974026</v>
      </c>
      <c r="U51" s="883">
        <f t="shared" si="141"/>
        <v>21354.110662472005</v>
      </c>
      <c r="V51" s="883">
        <f t="shared" si="142"/>
        <v>45922.144148528772</v>
      </c>
      <c r="W51" s="883">
        <f t="shared" si="143"/>
        <v>27370.650640893698</v>
      </c>
      <c r="X51" s="883">
        <f t="shared" si="144"/>
        <v>20334.631446284915</v>
      </c>
      <c r="Y51" s="883">
        <f t="shared" si="145"/>
        <v>35273.247145357796</v>
      </c>
      <c r="Z51" s="873">
        <f t="shared" si="146"/>
        <v>42104.50876888731</v>
      </c>
      <c r="AA51" s="879">
        <f t="shared" si="245"/>
        <v>279524.12353246287</v>
      </c>
      <c r="AB51" s="883">
        <f t="shared" si="147"/>
        <v>9483.8129959684793</v>
      </c>
      <c r="AC51" s="883">
        <f t="shared" si="148"/>
        <v>34137.29625309453</v>
      </c>
      <c r="AD51" s="883">
        <f t="shared" si="149"/>
        <v>9924.6519353018866</v>
      </c>
      <c r="AE51" s="883">
        <f t="shared" si="150"/>
        <v>11639.6242658091</v>
      </c>
      <c r="AF51" s="883">
        <f t="shared" si="151"/>
        <v>15664.628109350853</v>
      </c>
      <c r="AG51" s="883">
        <f t="shared" si="152"/>
        <v>23608.008655702306</v>
      </c>
      <c r="AH51" s="883">
        <f t="shared" si="153"/>
        <v>31926.76657194996</v>
      </c>
      <c r="AI51" s="883">
        <f t="shared" si="154"/>
        <v>23680.847255400109</v>
      </c>
      <c r="AJ51" s="883">
        <f t="shared" si="155"/>
        <v>23056.636617574328</v>
      </c>
      <c r="AK51" s="883">
        <f t="shared" si="156"/>
        <v>22057.316671003333</v>
      </c>
      <c r="AL51" s="883">
        <f t="shared" si="157"/>
        <v>17974.631997606186</v>
      </c>
      <c r="AM51" s="873">
        <f t="shared" si="158"/>
        <v>14291.282966555415</v>
      </c>
      <c r="AN51" s="879">
        <f t="shared" si="246"/>
        <v>237445.5042953165</v>
      </c>
      <c r="AO51" s="883">
        <f t="shared" si="159"/>
        <v>5982.3652359002554</v>
      </c>
      <c r="AP51" s="883">
        <f t="shared" si="160"/>
        <v>3949.5735747816261</v>
      </c>
      <c r="AQ51" s="883">
        <f t="shared" si="161"/>
        <v>3467.2524601887935</v>
      </c>
      <c r="AR51" s="883">
        <f t="shared" si="162"/>
        <v>4093.258193845641</v>
      </c>
      <c r="AS51" s="883">
        <f t="shared" si="163"/>
        <v>3598.0558183555127</v>
      </c>
      <c r="AT51" s="883">
        <f t="shared" si="164"/>
        <v>3288.855156241636</v>
      </c>
      <c r="AU51" s="883">
        <f t="shared" si="165"/>
        <v>4979.9648251764438</v>
      </c>
      <c r="AV51" s="883">
        <f t="shared" si="166"/>
        <v>7876.7173984959172</v>
      </c>
      <c r="AW51" s="883">
        <f t="shared" si="167"/>
        <v>6187.0268423573689</v>
      </c>
      <c r="AX51" s="883">
        <f t="shared" si="168"/>
        <v>3772.0813502119372</v>
      </c>
      <c r="AY51" s="883">
        <f t="shared" si="169"/>
        <v>3583.104597419604</v>
      </c>
      <c r="AZ51" s="873">
        <f t="shared" si="170"/>
        <v>13333.135836998435</v>
      </c>
      <c r="BA51" s="879">
        <f t="shared" si="247"/>
        <v>64111.391289973173</v>
      </c>
      <c r="BB51" s="883">
        <f t="shared" si="171"/>
        <v>477.96521786521606</v>
      </c>
      <c r="BC51" s="883">
        <f t="shared" si="172"/>
        <v>844.85782264510306</v>
      </c>
      <c r="BD51" s="883">
        <f t="shared" si="173"/>
        <v>1397.1928153376693</v>
      </c>
      <c r="BE51" s="883">
        <f t="shared" si="174"/>
        <v>3387.306583071836</v>
      </c>
      <c r="BF51" s="883">
        <f t="shared" si="175"/>
        <v>1897.2823985372193</v>
      </c>
      <c r="BG51" s="883">
        <f t="shared" si="176"/>
        <v>3995.9688787512823</v>
      </c>
      <c r="BH51" s="883">
        <f t="shared" si="177"/>
        <v>3623.4241079140861</v>
      </c>
      <c r="BI51" s="883">
        <f t="shared" si="178"/>
        <v>3231.1741659836575</v>
      </c>
      <c r="BJ51" s="883">
        <f t="shared" si="179"/>
        <v>6094.6073972359045</v>
      </c>
      <c r="BK51" s="883">
        <f t="shared" si="180"/>
        <v>6696.2850702407359</v>
      </c>
      <c r="BL51" s="883">
        <f t="shared" si="181"/>
        <v>20455.963267846626</v>
      </c>
      <c r="BM51" s="873">
        <f t="shared" si="182"/>
        <v>29729.03261120939</v>
      </c>
      <c r="BN51" s="879">
        <f t="shared" si="248"/>
        <v>81831.060336638722</v>
      </c>
      <c r="BO51" s="883">
        <f t="shared" si="183"/>
        <v>2179.5746297238293</v>
      </c>
      <c r="BP51" s="883">
        <f t="shared" si="184"/>
        <v>2486.7690288757844</v>
      </c>
      <c r="BQ51" s="883">
        <f t="shared" si="185"/>
        <v>1654.4622663414784</v>
      </c>
      <c r="BR51" s="883">
        <f t="shared" si="186"/>
        <v>685.81305264920923</v>
      </c>
      <c r="BS51" s="883">
        <f t="shared" si="187"/>
        <v>880.87963948057109</v>
      </c>
      <c r="BT51" s="883">
        <f t="shared" si="188"/>
        <v>503.74212033620472</v>
      </c>
      <c r="BU51" s="883">
        <f t="shared" si="189"/>
        <v>1198.9364199749807</v>
      </c>
      <c r="BV51" s="883">
        <f t="shared" si="190"/>
        <v>14253.304805484706</v>
      </c>
      <c r="BW51" s="883">
        <f t="shared" si="191"/>
        <v>5835.1318210673644</v>
      </c>
      <c r="BX51" s="883">
        <f t="shared" si="192"/>
        <v>9753.3188741612776</v>
      </c>
      <c r="BY51" s="883">
        <f t="shared" si="193"/>
        <v>8857.8371827365154</v>
      </c>
      <c r="BZ51" s="873">
        <f t="shared" si="194"/>
        <v>12688.756780211332</v>
      </c>
      <c r="CA51" s="879">
        <f t="shared" si="249"/>
        <v>60978.52662104326</v>
      </c>
      <c r="CB51" s="883">
        <f t="shared" si="195"/>
        <v>789.20160057521298</v>
      </c>
      <c r="CC51" s="883">
        <f t="shared" si="196"/>
        <v>2992.8822914289594</v>
      </c>
      <c r="CD51" s="883">
        <f t="shared" si="197"/>
        <v>6246.4169763608934</v>
      </c>
      <c r="CE51" s="883">
        <f t="shared" si="198"/>
        <v>4762.854208603927</v>
      </c>
      <c r="CF51" s="883">
        <f t="shared" si="199"/>
        <v>7090.9717560227455</v>
      </c>
      <c r="CG51" s="883">
        <f t="shared" si="200"/>
        <v>6889.4633924819236</v>
      </c>
      <c r="CH51" s="883">
        <f t="shared" si="201"/>
        <v>5968.4971134779689</v>
      </c>
      <c r="CI51" s="883">
        <f t="shared" si="202"/>
        <v>5246.6032154781287</v>
      </c>
      <c r="CJ51" s="883">
        <f t="shared" si="203"/>
        <v>6394.5387701684567</v>
      </c>
      <c r="CK51" s="883">
        <f t="shared" si="204"/>
        <v>4139.2892108376363</v>
      </c>
      <c r="CL51" s="883">
        <f t="shared" si="205"/>
        <v>5459.1785533455031</v>
      </c>
      <c r="CM51" s="873">
        <f t="shared" si="206"/>
        <v>10933.374962915595</v>
      </c>
      <c r="CN51" s="879">
        <f t="shared" si="250"/>
        <v>66913.272051696957</v>
      </c>
      <c r="CO51" s="883">
        <f t="shared" si="207"/>
        <v>558.63035037554948</v>
      </c>
      <c r="CP51" s="883">
        <f t="shared" si="208"/>
        <v>1282.2590819800907</v>
      </c>
      <c r="CQ51" s="883">
        <f t="shared" si="209"/>
        <v>2619.8320781246375</v>
      </c>
      <c r="CR51" s="883">
        <f t="shared" si="210"/>
        <v>2006.0686440721331</v>
      </c>
      <c r="CS51" s="883">
        <f t="shared" si="211"/>
        <v>1481.7022070973796</v>
      </c>
      <c r="CT51" s="883">
        <f t="shared" si="212"/>
        <v>1743.4490757548467</v>
      </c>
      <c r="CU51" s="883">
        <f t="shared" si="213"/>
        <v>3262.5811997199617</v>
      </c>
      <c r="CV51" s="883">
        <f t="shared" si="214"/>
        <v>3266.7173785163191</v>
      </c>
      <c r="CW51" s="883">
        <f t="shared" si="215"/>
        <v>2821.6125964344978</v>
      </c>
      <c r="CX51" s="883">
        <f t="shared" si="216"/>
        <v>2011.3879744266051</v>
      </c>
      <c r="CY51" s="883">
        <f t="shared" si="217"/>
        <v>3285.1691990679037</v>
      </c>
      <c r="CZ51" s="873">
        <f t="shared" si="218"/>
        <v>9579.4353298386541</v>
      </c>
      <c r="DA51" s="879">
        <f t="shared" si="278"/>
        <v>33918.845115408578</v>
      </c>
      <c r="DB51" s="883">
        <f t="shared" si="219"/>
        <v>1120.3670945625793</v>
      </c>
      <c r="DC51" s="883">
        <f t="shared" si="220"/>
        <v>1121.8089438357756</v>
      </c>
      <c r="DD51" s="883">
        <f t="shared" si="221"/>
        <v>2528.5981204075392</v>
      </c>
      <c r="DE51" s="883">
        <f t="shared" si="222"/>
        <v>2376.0028707273027</v>
      </c>
      <c r="DF51" s="883">
        <f t="shared" si="223"/>
        <v>4464.1410593761166</v>
      </c>
      <c r="DG51" s="883">
        <f t="shared" si="224"/>
        <v>1911.2413318105807</v>
      </c>
      <c r="DH51" s="883">
        <f t="shared" si="225"/>
        <v>2232.454831755711</v>
      </c>
      <c r="DI51" s="883">
        <f t="shared" si="226"/>
        <v>4962.1586100700133</v>
      </c>
      <c r="DJ51" s="883">
        <f t="shared" si="227"/>
        <v>2524.7014206637173</v>
      </c>
      <c r="DK51" s="883">
        <f t="shared" si="228"/>
        <v>4123.8771189820282</v>
      </c>
      <c r="DL51" s="883">
        <f t="shared" si="229"/>
        <v>5251.6259541611962</v>
      </c>
      <c r="DM51" s="873">
        <f t="shared" si="230"/>
        <v>13909.174247777748</v>
      </c>
      <c r="DN51" s="879">
        <f t="shared" si="251"/>
        <v>46526.151604130311</v>
      </c>
      <c r="DO51" s="883">
        <f t="shared" si="231"/>
        <v>2155.7870817644621</v>
      </c>
      <c r="DP51" s="883">
        <f t="shared" si="232"/>
        <v>2988.2677201566344</v>
      </c>
      <c r="DQ51" s="883">
        <f t="shared" si="233"/>
        <v>2833.9069292622958</v>
      </c>
      <c r="DR51" s="883">
        <f t="shared" si="234"/>
        <v>3107.4125272339088</v>
      </c>
      <c r="DS51" s="883">
        <f t="shared" si="235"/>
        <v>1614.3453129837956</v>
      </c>
      <c r="DT51" s="883">
        <f t="shared" si="236"/>
        <v>8431.6446126902956</v>
      </c>
      <c r="DU51" s="883">
        <f t="shared" si="237"/>
        <v>4715.429065477244</v>
      </c>
      <c r="DV51" s="883">
        <f t="shared" si="238"/>
        <v>6767.1742584424619</v>
      </c>
      <c r="DW51" s="883">
        <f t="shared" si="239"/>
        <v>5688.3927959065049</v>
      </c>
      <c r="DX51" s="883">
        <f t="shared" si="240"/>
        <v>19802.758432642324</v>
      </c>
      <c r="DY51" s="883">
        <f t="shared" si="241"/>
        <v>14183.242370757358</v>
      </c>
      <c r="DZ51" s="873">
        <f t="shared" si="242"/>
        <v>16348.672798165049</v>
      </c>
      <c r="EA51" s="879">
        <f t="shared" si="252"/>
        <v>88637.033905482327</v>
      </c>
      <c r="EB51" s="883">
        <f t="shared" si="253"/>
        <v>771.64747826993744</v>
      </c>
      <c r="EC51" s="883">
        <f t="shared" si="254"/>
        <v>4738.8648075830115</v>
      </c>
      <c r="ED51" s="883">
        <f t="shared" si="255"/>
        <v>5277.6605842562012</v>
      </c>
      <c r="EE51" s="883">
        <f t="shared" si="256"/>
        <v>7385.4645517330737</v>
      </c>
      <c r="EF51" s="883">
        <f t="shared" si="257"/>
        <v>6815.6255751539038</v>
      </c>
      <c r="EG51" s="883">
        <f t="shared" si="258"/>
        <v>8786.5489915307426</v>
      </c>
      <c r="EH51" s="883">
        <f t="shared" si="259"/>
        <v>3689.1119162644441</v>
      </c>
      <c r="EI51" s="883">
        <f t="shared" si="260"/>
        <v>2873.7918427130289</v>
      </c>
      <c r="EJ51" s="883">
        <f t="shared" si="261"/>
        <v>19767.481844150396</v>
      </c>
      <c r="EK51" s="883">
        <f t="shared" si="262"/>
        <v>6644.7270131932637</v>
      </c>
      <c r="EL51" s="883">
        <f t="shared" si="263"/>
        <v>5255.4333469555386</v>
      </c>
      <c r="EM51" s="873">
        <f t="shared" si="264"/>
        <v>30674.473030339195</v>
      </c>
      <c r="EN51" s="879">
        <f t="shared" si="265"/>
        <v>102680.83098214274</v>
      </c>
      <c r="EO51" s="883">
        <f t="shared" si="266"/>
        <v>7240.6176974519522</v>
      </c>
      <c r="EP51" s="883">
        <f t="shared" si="267"/>
        <v>4100.3278524936777</v>
      </c>
      <c r="EQ51" s="883">
        <f t="shared" si="268"/>
        <v>4657.8426570315642</v>
      </c>
      <c r="ER51" s="883">
        <f t="shared" si="269"/>
        <v>4341.3854756858582</v>
      </c>
      <c r="ES51" s="883">
        <f t="shared" si="270"/>
        <v>4630.0125500452641</v>
      </c>
      <c r="ET51" s="883">
        <f t="shared" si="271"/>
        <v>5837.8628804803084</v>
      </c>
      <c r="EU51" s="883">
        <f t="shared" si="272"/>
        <v>3263.1336153605466</v>
      </c>
      <c r="EV51" s="973">
        <f t="shared" si="273"/>
        <v>2099.0539697110685</v>
      </c>
      <c r="EW51" s="883"/>
      <c r="EX51" s="883"/>
      <c r="EY51" s="883"/>
      <c r="EZ51" s="873"/>
      <c r="FA51" s="879">
        <f t="shared" si="274"/>
        <v>36170.236698260233</v>
      </c>
      <c r="FC51" s="843">
        <f t="shared" si="275"/>
        <v>-26.958733109582578</v>
      </c>
      <c r="FD51" s="844">
        <f t="shared" si="276"/>
        <v>-10.333693009307076</v>
      </c>
      <c r="FE51" s="845">
        <f t="shared" si="279"/>
        <v>40338.715747504342</v>
      </c>
      <c r="FF51" s="846">
        <f t="shared" si="243"/>
        <v>36170.236698260233</v>
      </c>
      <c r="FH51" s="127">
        <f t="shared" si="277"/>
        <v>-774.73787300196045</v>
      </c>
    </row>
    <row r="52" spans="1:164" ht="15" customHeight="1" x14ac:dyDescent="0.25">
      <c r="A52" s="404" t="s">
        <v>379</v>
      </c>
      <c r="B52" s="883">
        <f t="shared" si="123"/>
        <v>0</v>
      </c>
      <c r="C52" s="883">
        <f t="shared" si="124"/>
        <v>0</v>
      </c>
      <c r="D52" s="883">
        <f t="shared" si="125"/>
        <v>0</v>
      </c>
      <c r="E52" s="883">
        <f t="shared" si="126"/>
        <v>0</v>
      </c>
      <c r="F52" s="883">
        <f t="shared" si="127"/>
        <v>0</v>
      </c>
      <c r="G52" s="883">
        <f t="shared" si="128"/>
        <v>11.516389571626371</v>
      </c>
      <c r="H52" s="883">
        <f t="shared" si="129"/>
        <v>0</v>
      </c>
      <c r="I52" s="883">
        <f t="shared" si="130"/>
        <v>0</v>
      </c>
      <c r="J52" s="883">
        <f t="shared" si="131"/>
        <v>0</v>
      </c>
      <c r="K52" s="883">
        <f t="shared" si="132"/>
        <v>0</v>
      </c>
      <c r="L52" s="883">
        <f t="shared" si="133"/>
        <v>0</v>
      </c>
      <c r="M52" s="873">
        <f t="shared" si="134"/>
        <v>0</v>
      </c>
      <c r="N52" s="879">
        <f t="shared" si="244"/>
        <v>11.516389571626371</v>
      </c>
      <c r="O52" s="883">
        <f t="shared" si="135"/>
        <v>0</v>
      </c>
      <c r="P52" s="883">
        <f t="shared" si="136"/>
        <v>0</v>
      </c>
      <c r="Q52" s="883">
        <f t="shared" si="137"/>
        <v>0</v>
      </c>
      <c r="R52" s="883">
        <f t="shared" si="138"/>
        <v>0</v>
      </c>
      <c r="S52" s="883">
        <f t="shared" si="139"/>
        <v>0</v>
      </c>
      <c r="T52" s="883">
        <f t="shared" si="140"/>
        <v>0</v>
      </c>
      <c r="U52" s="883">
        <f t="shared" si="141"/>
        <v>0</v>
      </c>
      <c r="V52" s="883">
        <f t="shared" si="142"/>
        <v>0</v>
      </c>
      <c r="W52" s="883">
        <f t="shared" si="143"/>
        <v>0</v>
      </c>
      <c r="X52" s="883">
        <f t="shared" si="144"/>
        <v>0</v>
      </c>
      <c r="Y52" s="883">
        <f t="shared" si="145"/>
        <v>0</v>
      </c>
      <c r="Z52" s="873">
        <f t="shared" si="146"/>
        <v>0</v>
      </c>
      <c r="AA52" s="879">
        <f t="shared" si="245"/>
        <v>0</v>
      </c>
      <c r="AB52" s="883">
        <f t="shared" si="147"/>
        <v>0</v>
      </c>
      <c r="AC52" s="883">
        <f t="shared" si="148"/>
        <v>0</v>
      </c>
      <c r="AD52" s="883">
        <f t="shared" si="149"/>
        <v>0</v>
      </c>
      <c r="AE52" s="883">
        <f t="shared" si="150"/>
        <v>0</v>
      </c>
      <c r="AF52" s="883">
        <f t="shared" si="151"/>
        <v>0</v>
      </c>
      <c r="AG52" s="883">
        <f t="shared" si="152"/>
        <v>0</v>
      </c>
      <c r="AH52" s="883">
        <f t="shared" si="153"/>
        <v>8.6618253908661238</v>
      </c>
      <c r="AI52" s="883">
        <f t="shared" si="154"/>
        <v>2.868059134090303</v>
      </c>
      <c r="AJ52" s="883">
        <f t="shared" si="155"/>
        <v>0</v>
      </c>
      <c r="AK52" s="883">
        <f t="shared" si="156"/>
        <v>59.805216375711375</v>
      </c>
      <c r="AL52" s="883">
        <f t="shared" si="157"/>
        <v>0</v>
      </c>
      <c r="AM52" s="873">
        <f t="shared" si="158"/>
        <v>15.858379161919657</v>
      </c>
      <c r="AN52" s="879">
        <f t="shared" si="246"/>
        <v>87.193480062587454</v>
      </c>
      <c r="AO52" s="883">
        <f t="shared" si="159"/>
        <v>0</v>
      </c>
      <c r="AP52" s="883">
        <f t="shared" si="160"/>
        <v>0</v>
      </c>
      <c r="AQ52" s="883">
        <f t="shared" si="161"/>
        <v>0</v>
      </c>
      <c r="AR52" s="883">
        <f t="shared" si="162"/>
        <v>0</v>
      </c>
      <c r="AS52" s="883">
        <f t="shared" si="163"/>
        <v>28.618459481849374</v>
      </c>
      <c r="AT52" s="883">
        <f t="shared" si="164"/>
        <v>0</v>
      </c>
      <c r="AU52" s="883">
        <f t="shared" si="165"/>
        <v>17.760216922883178</v>
      </c>
      <c r="AV52" s="883">
        <f t="shared" si="166"/>
        <v>0</v>
      </c>
      <c r="AW52" s="883">
        <f t="shared" si="167"/>
        <v>0</v>
      </c>
      <c r="AX52" s="883">
        <f t="shared" si="168"/>
        <v>42.454489028834409</v>
      </c>
      <c r="AY52" s="883">
        <f t="shared" si="169"/>
        <v>18.374895371382586</v>
      </c>
      <c r="AZ52" s="873">
        <f t="shared" si="170"/>
        <v>20.458250755182785</v>
      </c>
      <c r="BA52" s="879">
        <f t="shared" si="247"/>
        <v>127.66631156013234</v>
      </c>
      <c r="BB52" s="883">
        <f t="shared" si="171"/>
        <v>0</v>
      </c>
      <c r="BC52" s="883">
        <f t="shared" si="172"/>
        <v>0</v>
      </c>
      <c r="BD52" s="883">
        <f t="shared" si="173"/>
        <v>0</v>
      </c>
      <c r="BE52" s="883">
        <f t="shared" si="174"/>
        <v>15.346117139122816</v>
      </c>
      <c r="BF52" s="883">
        <f t="shared" si="175"/>
        <v>1.3930120400420112</v>
      </c>
      <c r="BG52" s="883">
        <f t="shared" si="176"/>
        <v>21.611136643630452</v>
      </c>
      <c r="BH52" s="883">
        <f t="shared" si="177"/>
        <v>0</v>
      </c>
      <c r="BI52" s="883">
        <f t="shared" si="178"/>
        <v>0</v>
      </c>
      <c r="BJ52" s="883">
        <f t="shared" si="179"/>
        <v>0</v>
      </c>
      <c r="BK52" s="883">
        <f t="shared" si="180"/>
        <v>0</v>
      </c>
      <c r="BL52" s="883">
        <f t="shared" si="181"/>
        <v>0</v>
      </c>
      <c r="BM52" s="873">
        <f t="shared" si="182"/>
        <v>51.228306939956568</v>
      </c>
      <c r="BN52" s="879">
        <f t="shared" si="248"/>
        <v>89.578572762751847</v>
      </c>
      <c r="BO52" s="883">
        <f t="shared" si="183"/>
        <v>0</v>
      </c>
      <c r="BP52" s="883">
        <f t="shared" si="184"/>
        <v>21.419794358196533</v>
      </c>
      <c r="BQ52" s="883">
        <f t="shared" si="185"/>
        <v>0</v>
      </c>
      <c r="BR52" s="883">
        <f t="shared" si="186"/>
        <v>6.8581305264920918</v>
      </c>
      <c r="BS52" s="883">
        <f t="shared" si="187"/>
        <v>0</v>
      </c>
      <c r="BT52" s="883">
        <f t="shared" si="188"/>
        <v>23.334103666799674</v>
      </c>
      <c r="BU52" s="883">
        <f t="shared" si="189"/>
        <v>13.663093105127986</v>
      </c>
      <c r="BV52" s="883">
        <f t="shared" si="190"/>
        <v>0</v>
      </c>
      <c r="BW52" s="883">
        <f t="shared" si="191"/>
        <v>0</v>
      </c>
      <c r="BX52" s="883">
        <f t="shared" si="192"/>
        <v>0</v>
      </c>
      <c r="BY52" s="883">
        <f t="shared" si="193"/>
        <v>-1.3585639850822875</v>
      </c>
      <c r="BZ52" s="873">
        <f t="shared" si="194"/>
        <v>0</v>
      </c>
      <c r="CA52" s="879">
        <f t="shared" si="249"/>
        <v>63.916557671533994</v>
      </c>
      <c r="CB52" s="883">
        <f t="shared" si="195"/>
        <v>0</v>
      </c>
      <c r="CC52" s="883">
        <f t="shared" si="196"/>
        <v>0</v>
      </c>
      <c r="CD52" s="883">
        <f t="shared" si="197"/>
        <v>0</v>
      </c>
      <c r="CE52" s="883">
        <f t="shared" si="198"/>
        <v>0</v>
      </c>
      <c r="CF52" s="883">
        <f t="shared" si="199"/>
        <v>0</v>
      </c>
      <c r="CG52" s="883">
        <f t="shared" si="200"/>
        <v>0</v>
      </c>
      <c r="CH52" s="883">
        <f t="shared" si="201"/>
        <v>48.6901980374126</v>
      </c>
      <c r="CI52" s="883">
        <f t="shared" si="202"/>
        <v>7.8190807980299981</v>
      </c>
      <c r="CJ52" s="883">
        <f t="shared" si="203"/>
        <v>0</v>
      </c>
      <c r="CK52" s="883">
        <f t="shared" si="204"/>
        <v>55.491640238820999</v>
      </c>
      <c r="CL52" s="883">
        <f t="shared" si="205"/>
        <v>36.00447520755484</v>
      </c>
      <c r="CM52" s="873">
        <f t="shared" si="206"/>
        <v>116.10889504321615</v>
      </c>
      <c r="CN52" s="879">
        <f t="shared" si="250"/>
        <v>264.11428932503458</v>
      </c>
      <c r="CO52" s="883">
        <f t="shared" si="207"/>
        <v>0</v>
      </c>
      <c r="CP52" s="883">
        <f t="shared" si="208"/>
        <v>0</v>
      </c>
      <c r="CQ52" s="883">
        <f t="shared" si="209"/>
        <v>33.828534724708376</v>
      </c>
      <c r="CR52" s="883">
        <f t="shared" si="210"/>
        <v>8.6869659811351259</v>
      </c>
      <c r="CS52" s="883">
        <f t="shared" si="211"/>
        <v>29.052984452889795</v>
      </c>
      <c r="CT52" s="883">
        <f t="shared" si="212"/>
        <v>42.761540050048794</v>
      </c>
      <c r="CU52" s="883">
        <f t="shared" si="213"/>
        <v>13.919378147571715</v>
      </c>
      <c r="CV52" s="883">
        <f t="shared" si="214"/>
        <v>16.832551821578384</v>
      </c>
      <c r="CW52" s="883">
        <f t="shared" si="215"/>
        <v>16.147422658696787</v>
      </c>
      <c r="CX52" s="883">
        <f t="shared" si="216"/>
        <v>0</v>
      </c>
      <c r="CY52" s="883">
        <f t="shared" si="217"/>
        <v>40.908982987851537</v>
      </c>
      <c r="CZ52" s="873">
        <f t="shared" si="218"/>
        <v>5.8823674116295086</v>
      </c>
      <c r="DA52" s="879">
        <f t="shared" si="278"/>
        <v>208.02072823611005</v>
      </c>
      <c r="DB52" s="883">
        <f t="shared" si="219"/>
        <v>8.2164166180597746</v>
      </c>
      <c r="DC52" s="883">
        <f t="shared" si="220"/>
        <v>48.570757609999674</v>
      </c>
      <c r="DD52" s="883">
        <f t="shared" si="221"/>
        <v>8.669479269968706</v>
      </c>
      <c r="DE52" s="883">
        <f t="shared" si="222"/>
        <v>1.7242401093812065</v>
      </c>
      <c r="DF52" s="883">
        <f t="shared" si="223"/>
        <v>17.760314789612373</v>
      </c>
      <c r="DG52" s="883">
        <f t="shared" si="224"/>
        <v>1.1475480827442694</v>
      </c>
      <c r="DH52" s="883">
        <f t="shared" si="225"/>
        <v>4.5723601264837912</v>
      </c>
      <c r="DI52" s="883">
        <f t="shared" si="226"/>
        <v>32.454737897187698</v>
      </c>
      <c r="DJ52" s="883">
        <f t="shared" si="227"/>
        <v>23.33996803770291</v>
      </c>
      <c r="DK52" s="883">
        <f t="shared" si="228"/>
        <v>15.990660480750144</v>
      </c>
      <c r="DL52" s="883">
        <f t="shared" si="229"/>
        <v>13.728245605039616</v>
      </c>
      <c r="DM52" s="873">
        <f t="shared" si="230"/>
        <v>7.9754439494138456</v>
      </c>
      <c r="DN52" s="879">
        <f t="shared" si="251"/>
        <v>184.150172576344</v>
      </c>
      <c r="DO52" s="883">
        <f t="shared" si="231"/>
        <v>4.5564852454731026</v>
      </c>
      <c r="DP52" s="883">
        <f t="shared" si="232"/>
        <v>11.327777559350395</v>
      </c>
      <c r="DQ52" s="883">
        <f t="shared" si="233"/>
        <v>6.7287065989607342</v>
      </c>
      <c r="DR52" s="883">
        <f t="shared" si="234"/>
        <v>12.90313921761688</v>
      </c>
      <c r="DS52" s="883">
        <f t="shared" si="235"/>
        <v>15.160808156717383</v>
      </c>
      <c r="DT52" s="883">
        <f t="shared" si="236"/>
        <v>47.110426198349394</v>
      </c>
      <c r="DU52" s="883">
        <f t="shared" si="237"/>
        <v>22.939320323275631</v>
      </c>
      <c r="DV52" s="883">
        <f t="shared" si="238"/>
        <v>11.158668082187257</v>
      </c>
      <c r="DW52" s="883">
        <f t="shared" si="239"/>
        <v>35.793642605251826</v>
      </c>
      <c r="DX52" s="883">
        <f t="shared" si="240"/>
        <v>0</v>
      </c>
      <c r="DY52" s="883">
        <f t="shared" si="241"/>
        <v>17.337559680342196</v>
      </c>
      <c r="DZ52" s="873">
        <f t="shared" si="242"/>
        <v>46.927573641534451</v>
      </c>
      <c r="EA52" s="879">
        <f t="shared" si="252"/>
        <v>231.94410730905926</v>
      </c>
      <c r="EB52" s="883">
        <f t="shared" si="253"/>
        <v>0</v>
      </c>
      <c r="EC52" s="883">
        <f t="shared" si="254"/>
        <v>18.975550990204027</v>
      </c>
      <c r="ED52" s="883">
        <f t="shared" si="255"/>
        <v>4.4289609434647659</v>
      </c>
      <c r="EE52" s="883">
        <f t="shared" si="256"/>
        <v>23.1778757507875</v>
      </c>
      <c r="EF52" s="883">
        <f t="shared" si="257"/>
        <v>37.548613717124319</v>
      </c>
      <c r="EG52" s="883">
        <f t="shared" si="258"/>
        <v>22.058743467095315</v>
      </c>
      <c r="EH52" s="883">
        <f t="shared" si="259"/>
        <v>13.755077987563178</v>
      </c>
      <c r="EI52" s="883">
        <f t="shared" si="260"/>
        <v>18.761313873318546</v>
      </c>
      <c r="EJ52" s="883">
        <f t="shared" si="261"/>
        <v>0</v>
      </c>
      <c r="EK52" s="883">
        <f t="shared" si="262"/>
        <v>0</v>
      </c>
      <c r="EL52" s="883">
        <f t="shared" si="263"/>
        <v>14.895727521289055</v>
      </c>
      <c r="EM52" s="873">
        <f t="shared" si="264"/>
        <v>9.3563361954240918</v>
      </c>
      <c r="EN52" s="879">
        <f t="shared" si="265"/>
        <v>162.95820044627081</v>
      </c>
      <c r="EO52" s="883">
        <f t="shared" si="266"/>
        <v>0</v>
      </c>
      <c r="EP52" s="883">
        <f t="shared" si="267"/>
        <v>24.026425024600055</v>
      </c>
      <c r="EQ52" s="883">
        <f>EQ18/$EQ$35</f>
        <v>17.067555825605183</v>
      </c>
      <c r="ER52" s="883">
        <f t="shared" si="269"/>
        <v>55.713208866660366</v>
      </c>
      <c r="ES52" s="883">
        <f t="shared" si="270"/>
        <v>37.733114216392764</v>
      </c>
      <c r="ET52" s="883">
        <f t="shared" si="271"/>
        <v>5.302327775186475</v>
      </c>
      <c r="EU52" s="883">
        <f t="shared" si="272"/>
        <v>15.860986464811472</v>
      </c>
      <c r="EV52" s="973">
        <f t="shared" si="273"/>
        <v>11.623253796537504</v>
      </c>
      <c r="EW52" s="883"/>
      <c r="EX52" s="883"/>
      <c r="EY52" s="883"/>
      <c r="EZ52" s="873"/>
      <c r="FA52" s="879">
        <f t="shared" si="274"/>
        <v>167.32687196979384</v>
      </c>
      <c r="FC52" s="843">
        <f t="shared" si="275"/>
        <v>-38.046696116163027</v>
      </c>
      <c r="FD52" s="844">
        <f t="shared" si="276"/>
        <v>20.634080016257283</v>
      </c>
      <c r="FE52" s="845">
        <f t="shared" si="279"/>
        <v>138.70613672955767</v>
      </c>
      <c r="FF52" s="846">
        <f t="shared" si="243"/>
        <v>167.32687196979384</v>
      </c>
      <c r="FH52" s="127">
        <f t="shared" si="277"/>
        <v>-7.1380600767810414</v>
      </c>
    </row>
    <row r="53" spans="1:164" s="110" customFormat="1" ht="15" customHeight="1" x14ac:dyDescent="0.25">
      <c r="A53" s="401" t="s">
        <v>380</v>
      </c>
      <c r="B53" s="885">
        <f t="shared" si="123"/>
        <v>0</v>
      </c>
      <c r="C53" s="885">
        <f t="shared" si="124"/>
        <v>0</v>
      </c>
      <c r="D53" s="885">
        <f t="shared" si="125"/>
        <v>0</v>
      </c>
      <c r="E53" s="885">
        <f t="shared" si="126"/>
        <v>0</v>
      </c>
      <c r="F53" s="885">
        <f t="shared" si="127"/>
        <v>0</v>
      </c>
      <c r="G53" s="885">
        <f t="shared" si="128"/>
        <v>0</v>
      </c>
      <c r="H53" s="885">
        <f t="shared" si="129"/>
        <v>0</v>
      </c>
      <c r="I53" s="885">
        <f t="shared" si="130"/>
        <v>0</v>
      </c>
      <c r="J53" s="885">
        <f t="shared" si="131"/>
        <v>0</v>
      </c>
      <c r="K53" s="885">
        <f t="shared" si="132"/>
        <v>0</v>
      </c>
      <c r="L53" s="885">
        <f t="shared" si="133"/>
        <v>0</v>
      </c>
      <c r="M53" s="877">
        <f t="shared" si="134"/>
        <v>0</v>
      </c>
      <c r="N53" s="878">
        <f t="shared" si="244"/>
        <v>0</v>
      </c>
      <c r="O53" s="885">
        <f t="shared" si="135"/>
        <v>0</v>
      </c>
      <c r="P53" s="885">
        <f t="shared" si="136"/>
        <v>0</v>
      </c>
      <c r="Q53" s="885">
        <f t="shared" si="137"/>
        <v>0</v>
      </c>
      <c r="R53" s="885">
        <f t="shared" si="138"/>
        <v>0</v>
      </c>
      <c r="S53" s="885">
        <f t="shared" si="139"/>
        <v>0</v>
      </c>
      <c r="T53" s="885">
        <f t="shared" si="140"/>
        <v>0</v>
      </c>
      <c r="U53" s="885">
        <f t="shared" si="141"/>
        <v>0</v>
      </c>
      <c r="V53" s="885">
        <f t="shared" si="142"/>
        <v>0</v>
      </c>
      <c r="W53" s="885">
        <f t="shared" si="143"/>
        <v>0</v>
      </c>
      <c r="X53" s="885">
        <f t="shared" si="144"/>
        <v>0</v>
      </c>
      <c r="Y53" s="885">
        <f t="shared" si="145"/>
        <v>0</v>
      </c>
      <c r="Z53" s="877">
        <f t="shared" si="146"/>
        <v>0</v>
      </c>
      <c r="AA53" s="878">
        <f t="shared" si="245"/>
        <v>0</v>
      </c>
      <c r="AB53" s="885">
        <f t="shared" si="147"/>
        <v>0</v>
      </c>
      <c r="AC53" s="885">
        <f t="shared" si="148"/>
        <v>0</v>
      </c>
      <c r="AD53" s="885">
        <f t="shared" si="149"/>
        <v>0</v>
      </c>
      <c r="AE53" s="885">
        <f t="shared" si="150"/>
        <v>0</v>
      </c>
      <c r="AF53" s="885">
        <f t="shared" si="151"/>
        <v>0</v>
      </c>
      <c r="AG53" s="885">
        <f t="shared" si="152"/>
        <v>0</v>
      </c>
      <c r="AH53" s="885">
        <f t="shared" si="153"/>
        <v>0</v>
      </c>
      <c r="AI53" s="885">
        <f t="shared" si="154"/>
        <v>0</v>
      </c>
      <c r="AJ53" s="885">
        <f t="shared" si="155"/>
        <v>0</v>
      </c>
      <c r="AK53" s="885">
        <f t="shared" si="156"/>
        <v>0</v>
      </c>
      <c r="AL53" s="885">
        <f t="shared" si="157"/>
        <v>0</v>
      </c>
      <c r="AM53" s="877">
        <f t="shared" si="158"/>
        <v>0</v>
      </c>
      <c r="AN53" s="878">
        <f t="shared" si="246"/>
        <v>0</v>
      </c>
      <c r="AO53" s="885">
        <f t="shared" si="159"/>
        <v>0</v>
      </c>
      <c r="AP53" s="885">
        <f t="shared" si="160"/>
        <v>0</v>
      </c>
      <c r="AQ53" s="885">
        <f t="shared" si="161"/>
        <v>0</v>
      </c>
      <c r="AR53" s="885">
        <f t="shared" si="162"/>
        <v>0</v>
      </c>
      <c r="AS53" s="885">
        <f t="shared" si="163"/>
        <v>0</v>
      </c>
      <c r="AT53" s="885">
        <f t="shared" si="164"/>
        <v>0</v>
      </c>
      <c r="AU53" s="885">
        <f t="shared" si="165"/>
        <v>0</v>
      </c>
      <c r="AV53" s="885">
        <f t="shared" si="166"/>
        <v>0</v>
      </c>
      <c r="AW53" s="885">
        <f t="shared" si="167"/>
        <v>0</v>
      </c>
      <c r="AX53" s="885">
        <f t="shared" si="168"/>
        <v>0</v>
      </c>
      <c r="AY53" s="885">
        <f t="shared" si="169"/>
        <v>0</v>
      </c>
      <c r="AZ53" s="877">
        <f t="shared" si="170"/>
        <v>0</v>
      </c>
      <c r="BA53" s="878">
        <f t="shared" si="247"/>
        <v>0</v>
      </c>
      <c r="BB53" s="885">
        <f t="shared" si="171"/>
        <v>0</v>
      </c>
      <c r="BC53" s="885">
        <f t="shared" si="172"/>
        <v>0</v>
      </c>
      <c r="BD53" s="885">
        <f t="shared" si="173"/>
        <v>0</v>
      </c>
      <c r="BE53" s="885">
        <f t="shared" si="174"/>
        <v>0</v>
      </c>
      <c r="BF53" s="885">
        <f t="shared" si="175"/>
        <v>0</v>
      </c>
      <c r="BG53" s="885">
        <f t="shared" si="176"/>
        <v>0</v>
      </c>
      <c r="BH53" s="885">
        <f t="shared" si="177"/>
        <v>0</v>
      </c>
      <c r="BI53" s="885">
        <f t="shared" si="178"/>
        <v>0</v>
      </c>
      <c r="BJ53" s="885">
        <f t="shared" si="179"/>
        <v>0</v>
      </c>
      <c r="BK53" s="885">
        <f t="shared" si="180"/>
        <v>0</v>
      </c>
      <c r="BL53" s="885">
        <f t="shared" si="181"/>
        <v>0</v>
      </c>
      <c r="BM53" s="877">
        <f t="shared" si="182"/>
        <v>0</v>
      </c>
      <c r="BN53" s="878">
        <f t="shared" si="248"/>
        <v>0</v>
      </c>
      <c r="BO53" s="885">
        <f t="shared" si="183"/>
        <v>0</v>
      </c>
      <c r="BP53" s="885">
        <f t="shared" si="184"/>
        <v>0</v>
      </c>
      <c r="BQ53" s="885">
        <f t="shared" si="185"/>
        <v>0</v>
      </c>
      <c r="BR53" s="885">
        <f t="shared" si="186"/>
        <v>0</v>
      </c>
      <c r="BS53" s="885">
        <f t="shared" si="187"/>
        <v>0</v>
      </c>
      <c r="BT53" s="885">
        <f t="shared" si="188"/>
        <v>0</v>
      </c>
      <c r="BU53" s="885">
        <f t="shared" si="189"/>
        <v>0</v>
      </c>
      <c r="BV53" s="885">
        <f t="shared" si="190"/>
        <v>0</v>
      </c>
      <c r="BW53" s="885">
        <f t="shared" si="191"/>
        <v>0</v>
      </c>
      <c r="BX53" s="885">
        <f t="shared" si="192"/>
        <v>0</v>
      </c>
      <c r="BY53" s="885">
        <f t="shared" si="193"/>
        <v>0</v>
      </c>
      <c r="BZ53" s="877">
        <f t="shared" si="194"/>
        <v>0</v>
      </c>
      <c r="CA53" s="878">
        <f t="shared" si="249"/>
        <v>0</v>
      </c>
      <c r="CB53" s="885">
        <f t="shared" si="195"/>
        <v>0</v>
      </c>
      <c r="CC53" s="885">
        <f t="shared" si="196"/>
        <v>0</v>
      </c>
      <c r="CD53" s="885">
        <f t="shared" si="197"/>
        <v>0</v>
      </c>
      <c r="CE53" s="885">
        <f t="shared" si="198"/>
        <v>0</v>
      </c>
      <c r="CF53" s="885">
        <f t="shared" si="199"/>
        <v>0</v>
      </c>
      <c r="CG53" s="885">
        <f t="shared" si="200"/>
        <v>0</v>
      </c>
      <c r="CH53" s="885">
        <f t="shared" si="201"/>
        <v>0</v>
      </c>
      <c r="CI53" s="885">
        <f t="shared" si="202"/>
        <v>0</v>
      </c>
      <c r="CJ53" s="885">
        <f t="shared" si="203"/>
        <v>0</v>
      </c>
      <c r="CK53" s="885">
        <f t="shared" si="204"/>
        <v>0</v>
      </c>
      <c r="CL53" s="885">
        <f t="shared" si="205"/>
        <v>0</v>
      </c>
      <c r="CM53" s="877">
        <f t="shared" si="206"/>
        <v>0</v>
      </c>
      <c r="CN53" s="878">
        <f t="shared" si="250"/>
        <v>0</v>
      </c>
      <c r="CO53" s="885">
        <f t="shared" si="207"/>
        <v>0</v>
      </c>
      <c r="CP53" s="885">
        <f t="shared" si="208"/>
        <v>0</v>
      </c>
      <c r="CQ53" s="885">
        <f t="shared" si="209"/>
        <v>0</v>
      </c>
      <c r="CR53" s="885">
        <f t="shared" si="210"/>
        <v>0</v>
      </c>
      <c r="CS53" s="885">
        <f t="shared" si="211"/>
        <v>0</v>
      </c>
      <c r="CT53" s="885">
        <f t="shared" si="212"/>
        <v>0</v>
      </c>
      <c r="CU53" s="885">
        <f t="shared" si="213"/>
        <v>0</v>
      </c>
      <c r="CV53" s="885">
        <f t="shared" si="214"/>
        <v>0</v>
      </c>
      <c r="CW53" s="885">
        <f t="shared" si="215"/>
        <v>0</v>
      </c>
      <c r="CX53" s="885">
        <f t="shared" si="216"/>
        <v>0</v>
      </c>
      <c r="CY53" s="885">
        <f t="shared" si="217"/>
        <v>0</v>
      </c>
      <c r="CZ53" s="877">
        <f t="shared" si="218"/>
        <v>0</v>
      </c>
      <c r="DA53" s="878">
        <f t="shared" si="278"/>
        <v>0</v>
      </c>
      <c r="DB53" s="885">
        <f t="shared" si="219"/>
        <v>0</v>
      </c>
      <c r="DC53" s="885">
        <f t="shared" si="220"/>
        <v>0</v>
      </c>
      <c r="DD53" s="885">
        <f t="shared" si="221"/>
        <v>0</v>
      </c>
      <c r="DE53" s="885">
        <f t="shared" si="222"/>
        <v>0</v>
      </c>
      <c r="DF53" s="885">
        <f t="shared" si="223"/>
        <v>0</v>
      </c>
      <c r="DG53" s="885">
        <f t="shared" si="224"/>
        <v>0</v>
      </c>
      <c r="DH53" s="885">
        <f t="shared" si="225"/>
        <v>0</v>
      </c>
      <c r="DI53" s="885">
        <f t="shared" si="226"/>
        <v>0</v>
      </c>
      <c r="DJ53" s="885">
        <f t="shared" si="227"/>
        <v>0</v>
      </c>
      <c r="DK53" s="885">
        <f t="shared" si="228"/>
        <v>0</v>
      </c>
      <c r="DL53" s="885">
        <f t="shared" si="229"/>
        <v>0</v>
      </c>
      <c r="DM53" s="877">
        <f t="shared" si="230"/>
        <v>0</v>
      </c>
      <c r="DN53" s="878">
        <f t="shared" si="251"/>
        <v>0</v>
      </c>
      <c r="DO53" s="885">
        <f t="shared" si="231"/>
        <v>0</v>
      </c>
      <c r="DP53" s="885">
        <f t="shared" si="232"/>
        <v>0</v>
      </c>
      <c r="DQ53" s="885">
        <f t="shared" si="233"/>
        <v>0</v>
      </c>
      <c r="DR53" s="885">
        <f t="shared" si="234"/>
        <v>0</v>
      </c>
      <c r="DS53" s="885">
        <f t="shared" si="235"/>
        <v>0</v>
      </c>
      <c r="DT53" s="885">
        <f t="shared" si="236"/>
        <v>0</v>
      </c>
      <c r="DU53" s="885">
        <f t="shared" si="237"/>
        <v>0</v>
      </c>
      <c r="DV53" s="885">
        <f t="shared" si="238"/>
        <v>0</v>
      </c>
      <c r="DW53" s="885">
        <f t="shared" si="239"/>
        <v>0</v>
      </c>
      <c r="DX53" s="885">
        <f t="shared" si="240"/>
        <v>0</v>
      </c>
      <c r="DY53" s="885">
        <f t="shared" si="241"/>
        <v>0</v>
      </c>
      <c r="DZ53" s="877">
        <f t="shared" si="242"/>
        <v>0</v>
      </c>
      <c r="EA53" s="878">
        <f t="shared" si="252"/>
        <v>0</v>
      </c>
      <c r="EB53" s="885">
        <f t="shared" si="253"/>
        <v>0</v>
      </c>
      <c r="EC53" s="885">
        <f t="shared" si="254"/>
        <v>0</v>
      </c>
      <c r="ED53" s="885">
        <f t="shared" si="255"/>
        <v>0</v>
      </c>
      <c r="EE53" s="885">
        <f t="shared" si="256"/>
        <v>0</v>
      </c>
      <c r="EF53" s="885">
        <f t="shared" si="257"/>
        <v>0</v>
      </c>
      <c r="EG53" s="885">
        <f t="shared" si="258"/>
        <v>0</v>
      </c>
      <c r="EH53" s="885">
        <f t="shared" si="259"/>
        <v>0</v>
      </c>
      <c r="EI53" s="885">
        <f t="shared" si="260"/>
        <v>0</v>
      </c>
      <c r="EJ53" s="885">
        <f t="shared" si="261"/>
        <v>0</v>
      </c>
      <c r="EK53" s="885">
        <f t="shared" si="262"/>
        <v>0</v>
      </c>
      <c r="EL53" s="885">
        <f t="shared" si="263"/>
        <v>0</v>
      </c>
      <c r="EM53" s="877">
        <f t="shared" si="264"/>
        <v>0</v>
      </c>
      <c r="EN53" s="878">
        <f t="shared" si="265"/>
        <v>0</v>
      </c>
      <c r="EO53" s="885">
        <f t="shared" si="266"/>
        <v>0</v>
      </c>
      <c r="EP53" s="885">
        <f t="shared" si="267"/>
        <v>0</v>
      </c>
      <c r="EQ53" s="885">
        <f t="shared" si="268"/>
        <v>0</v>
      </c>
      <c r="ER53" s="885">
        <f>ER19/$ER$35</f>
        <v>0</v>
      </c>
      <c r="ES53" s="885">
        <f t="shared" si="270"/>
        <v>0</v>
      </c>
      <c r="ET53" s="885">
        <f t="shared" si="271"/>
        <v>0</v>
      </c>
      <c r="EU53" s="885">
        <f t="shared" si="272"/>
        <v>0</v>
      </c>
      <c r="EV53" s="972">
        <f t="shared" si="273"/>
        <v>0</v>
      </c>
      <c r="EW53" s="885"/>
      <c r="EX53" s="885"/>
      <c r="EY53" s="885"/>
      <c r="EZ53" s="877"/>
      <c r="FA53" s="878">
        <f t="shared" si="274"/>
        <v>0</v>
      </c>
      <c r="FC53" s="851" t="str">
        <f t="shared" si="275"/>
        <v/>
      </c>
      <c r="FD53" s="852" t="str">
        <f t="shared" si="276"/>
        <v/>
      </c>
      <c r="FE53" s="853">
        <f t="shared" si="279"/>
        <v>0</v>
      </c>
      <c r="FF53" s="854">
        <f t="shared" si="243"/>
        <v>0</v>
      </c>
      <c r="FH53" s="236"/>
    </row>
    <row r="54" spans="1:164" ht="15" customHeight="1" x14ac:dyDescent="0.25">
      <c r="A54" s="403" t="s">
        <v>381</v>
      </c>
      <c r="B54" s="883">
        <f t="shared" si="123"/>
        <v>0</v>
      </c>
      <c r="C54" s="883">
        <f t="shared" si="124"/>
        <v>0</v>
      </c>
      <c r="D54" s="883">
        <f t="shared" si="125"/>
        <v>0</v>
      </c>
      <c r="E54" s="883">
        <f t="shared" si="126"/>
        <v>0</v>
      </c>
      <c r="F54" s="883">
        <f t="shared" si="127"/>
        <v>0</v>
      </c>
      <c r="G54" s="883">
        <f t="shared" si="128"/>
        <v>0</v>
      </c>
      <c r="H54" s="883">
        <f t="shared" si="129"/>
        <v>0</v>
      </c>
      <c r="I54" s="883">
        <f t="shared" si="130"/>
        <v>0</v>
      </c>
      <c r="J54" s="883">
        <f t="shared" si="131"/>
        <v>0</v>
      </c>
      <c r="K54" s="883">
        <f t="shared" si="132"/>
        <v>0</v>
      </c>
      <c r="L54" s="883">
        <f t="shared" si="133"/>
        <v>0</v>
      </c>
      <c r="M54" s="873">
        <f t="shared" si="134"/>
        <v>0</v>
      </c>
      <c r="N54" s="879">
        <f t="shared" si="244"/>
        <v>0</v>
      </c>
      <c r="O54" s="883">
        <f t="shared" si="135"/>
        <v>0</v>
      </c>
      <c r="P54" s="883">
        <f t="shared" si="136"/>
        <v>0</v>
      </c>
      <c r="Q54" s="883">
        <f t="shared" si="137"/>
        <v>0</v>
      </c>
      <c r="R54" s="883">
        <f t="shared" si="138"/>
        <v>0</v>
      </c>
      <c r="S54" s="883">
        <f t="shared" si="139"/>
        <v>0</v>
      </c>
      <c r="T54" s="883">
        <f t="shared" si="140"/>
        <v>0</v>
      </c>
      <c r="U54" s="883">
        <f t="shared" si="141"/>
        <v>0</v>
      </c>
      <c r="V54" s="883">
        <f t="shared" si="142"/>
        <v>0</v>
      </c>
      <c r="W54" s="883">
        <f t="shared" si="143"/>
        <v>0</v>
      </c>
      <c r="X54" s="883">
        <f t="shared" si="144"/>
        <v>0</v>
      </c>
      <c r="Y54" s="883">
        <f t="shared" si="145"/>
        <v>0</v>
      </c>
      <c r="Z54" s="873">
        <f t="shared" si="146"/>
        <v>0</v>
      </c>
      <c r="AA54" s="879">
        <f t="shared" si="245"/>
        <v>0</v>
      </c>
      <c r="AB54" s="883">
        <f t="shared" si="147"/>
        <v>0</v>
      </c>
      <c r="AC54" s="883">
        <f t="shared" si="148"/>
        <v>0</v>
      </c>
      <c r="AD54" s="883">
        <f t="shared" si="149"/>
        <v>0</v>
      </c>
      <c r="AE54" s="883">
        <f t="shared" si="150"/>
        <v>0</v>
      </c>
      <c r="AF54" s="883">
        <f t="shared" si="151"/>
        <v>0</v>
      </c>
      <c r="AG54" s="883">
        <f t="shared" si="152"/>
        <v>0</v>
      </c>
      <c r="AH54" s="883">
        <f t="shared" si="153"/>
        <v>0</v>
      </c>
      <c r="AI54" s="883">
        <f t="shared" si="154"/>
        <v>0</v>
      </c>
      <c r="AJ54" s="883">
        <f t="shared" si="155"/>
        <v>0</v>
      </c>
      <c r="AK54" s="883">
        <f t="shared" si="156"/>
        <v>0</v>
      </c>
      <c r="AL54" s="883">
        <f t="shared" si="157"/>
        <v>0</v>
      </c>
      <c r="AM54" s="873">
        <f t="shared" si="158"/>
        <v>0</v>
      </c>
      <c r="AN54" s="879">
        <f t="shared" si="246"/>
        <v>0</v>
      </c>
      <c r="AO54" s="883">
        <f t="shared" si="159"/>
        <v>0</v>
      </c>
      <c r="AP54" s="883">
        <f t="shared" si="160"/>
        <v>0</v>
      </c>
      <c r="AQ54" s="883">
        <f t="shared" si="161"/>
        <v>0</v>
      </c>
      <c r="AR54" s="883">
        <f t="shared" si="162"/>
        <v>0</v>
      </c>
      <c r="AS54" s="883">
        <f t="shared" si="163"/>
        <v>0</v>
      </c>
      <c r="AT54" s="883">
        <f t="shared" si="164"/>
        <v>0</v>
      </c>
      <c r="AU54" s="883">
        <f t="shared" si="165"/>
        <v>0</v>
      </c>
      <c r="AV54" s="883">
        <f t="shared" si="166"/>
        <v>0</v>
      </c>
      <c r="AW54" s="883">
        <f t="shared" si="167"/>
        <v>0</v>
      </c>
      <c r="AX54" s="883">
        <f t="shared" si="168"/>
        <v>0</v>
      </c>
      <c r="AY54" s="883">
        <f t="shared" si="169"/>
        <v>0</v>
      </c>
      <c r="AZ54" s="873">
        <f t="shared" si="170"/>
        <v>0</v>
      </c>
      <c r="BA54" s="879">
        <f t="shared" si="247"/>
        <v>0</v>
      </c>
      <c r="BB54" s="883">
        <f t="shared" si="171"/>
        <v>0</v>
      </c>
      <c r="BC54" s="883">
        <f t="shared" si="172"/>
        <v>0</v>
      </c>
      <c r="BD54" s="883">
        <f t="shared" si="173"/>
        <v>0</v>
      </c>
      <c r="BE54" s="883">
        <f t="shared" si="174"/>
        <v>0</v>
      </c>
      <c r="BF54" s="883">
        <f t="shared" si="175"/>
        <v>0</v>
      </c>
      <c r="BG54" s="883">
        <f t="shared" si="176"/>
        <v>0</v>
      </c>
      <c r="BH54" s="883">
        <f t="shared" si="177"/>
        <v>0</v>
      </c>
      <c r="BI54" s="883">
        <f t="shared" si="178"/>
        <v>0</v>
      </c>
      <c r="BJ54" s="883">
        <f t="shared" si="179"/>
        <v>0</v>
      </c>
      <c r="BK54" s="883">
        <f t="shared" si="180"/>
        <v>0</v>
      </c>
      <c r="BL54" s="883">
        <f t="shared" si="181"/>
        <v>0</v>
      </c>
      <c r="BM54" s="873">
        <f t="shared" si="182"/>
        <v>0</v>
      </c>
      <c r="BN54" s="879">
        <f t="shared" si="248"/>
        <v>0</v>
      </c>
      <c r="BO54" s="883">
        <f t="shared" si="183"/>
        <v>0</v>
      </c>
      <c r="BP54" s="883">
        <f t="shared" si="184"/>
        <v>0</v>
      </c>
      <c r="BQ54" s="883">
        <f t="shared" si="185"/>
        <v>0</v>
      </c>
      <c r="BR54" s="883">
        <f t="shared" si="186"/>
        <v>0</v>
      </c>
      <c r="BS54" s="883">
        <f t="shared" si="187"/>
        <v>0</v>
      </c>
      <c r="BT54" s="883">
        <f t="shared" si="188"/>
        <v>0</v>
      </c>
      <c r="BU54" s="883">
        <f t="shared" si="189"/>
        <v>0</v>
      </c>
      <c r="BV54" s="883">
        <f t="shared" si="190"/>
        <v>0</v>
      </c>
      <c r="BW54" s="883">
        <f t="shared" si="191"/>
        <v>0</v>
      </c>
      <c r="BX54" s="883">
        <f t="shared" si="192"/>
        <v>0</v>
      </c>
      <c r="BY54" s="883">
        <f t="shared" si="193"/>
        <v>0</v>
      </c>
      <c r="BZ54" s="873">
        <f t="shared" si="194"/>
        <v>0</v>
      </c>
      <c r="CA54" s="879">
        <f t="shared" si="249"/>
        <v>0</v>
      </c>
      <c r="CB54" s="883">
        <f t="shared" si="195"/>
        <v>0</v>
      </c>
      <c r="CC54" s="883">
        <f t="shared" si="196"/>
        <v>0</v>
      </c>
      <c r="CD54" s="883">
        <f t="shared" si="197"/>
        <v>0</v>
      </c>
      <c r="CE54" s="883">
        <f t="shared" si="198"/>
        <v>0</v>
      </c>
      <c r="CF54" s="883">
        <f t="shared" si="199"/>
        <v>0</v>
      </c>
      <c r="CG54" s="883">
        <f t="shared" si="200"/>
        <v>0</v>
      </c>
      <c r="CH54" s="883">
        <f t="shared" si="201"/>
        <v>0</v>
      </c>
      <c r="CI54" s="883">
        <f t="shared" si="202"/>
        <v>0</v>
      </c>
      <c r="CJ54" s="883">
        <f t="shared" si="203"/>
        <v>0</v>
      </c>
      <c r="CK54" s="883">
        <f t="shared" si="204"/>
        <v>0</v>
      </c>
      <c r="CL54" s="883">
        <f t="shared" si="205"/>
        <v>0</v>
      </c>
      <c r="CM54" s="873">
        <f t="shared" si="206"/>
        <v>0</v>
      </c>
      <c r="CN54" s="879">
        <f t="shared" si="250"/>
        <v>0</v>
      </c>
      <c r="CO54" s="883">
        <f t="shared" si="207"/>
        <v>0</v>
      </c>
      <c r="CP54" s="883">
        <f t="shared" si="208"/>
        <v>0</v>
      </c>
      <c r="CQ54" s="883">
        <f t="shared" si="209"/>
        <v>0</v>
      </c>
      <c r="CR54" s="883">
        <f t="shared" si="210"/>
        <v>0</v>
      </c>
      <c r="CS54" s="883">
        <f t="shared" si="211"/>
        <v>0</v>
      </c>
      <c r="CT54" s="883">
        <f t="shared" si="212"/>
        <v>0</v>
      </c>
      <c r="CU54" s="883">
        <f t="shared" si="213"/>
        <v>0</v>
      </c>
      <c r="CV54" s="883">
        <f t="shared" si="214"/>
        <v>0</v>
      </c>
      <c r="CW54" s="883">
        <f t="shared" si="215"/>
        <v>0</v>
      </c>
      <c r="CX54" s="883">
        <f t="shared" si="216"/>
        <v>0</v>
      </c>
      <c r="CY54" s="883">
        <f t="shared" si="217"/>
        <v>0</v>
      </c>
      <c r="CZ54" s="873">
        <f t="shared" si="218"/>
        <v>0</v>
      </c>
      <c r="DA54" s="879">
        <f t="shared" si="278"/>
        <v>0</v>
      </c>
      <c r="DB54" s="883">
        <f t="shared" si="219"/>
        <v>0</v>
      </c>
      <c r="DC54" s="883">
        <f t="shared" si="220"/>
        <v>0</v>
      </c>
      <c r="DD54" s="883">
        <f t="shared" si="221"/>
        <v>0</v>
      </c>
      <c r="DE54" s="883">
        <f t="shared" si="222"/>
        <v>0</v>
      </c>
      <c r="DF54" s="883">
        <f t="shared" si="223"/>
        <v>0</v>
      </c>
      <c r="DG54" s="883">
        <f t="shared" si="224"/>
        <v>0</v>
      </c>
      <c r="DH54" s="883">
        <f t="shared" si="225"/>
        <v>0</v>
      </c>
      <c r="DI54" s="883">
        <f t="shared" si="226"/>
        <v>0</v>
      </c>
      <c r="DJ54" s="883">
        <f t="shared" si="227"/>
        <v>0</v>
      </c>
      <c r="DK54" s="883">
        <f t="shared" si="228"/>
        <v>0</v>
      </c>
      <c r="DL54" s="883">
        <f t="shared" si="229"/>
        <v>0</v>
      </c>
      <c r="DM54" s="873">
        <f t="shared" si="230"/>
        <v>0</v>
      </c>
      <c r="DN54" s="879">
        <f t="shared" si="251"/>
        <v>0</v>
      </c>
      <c r="DO54" s="883">
        <f t="shared" si="231"/>
        <v>0</v>
      </c>
      <c r="DP54" s="883">
        <f t="shared" si="232"/>
        <v>0</v>
      </c>
      <c r="DQ54" s="883">
        <f t="shared" si="233"/>
        <v>0</v>
      </c>
      <c r="DR54" s="883">
        <f t="shared" si="234"/>
        <v>0</v>
      </c>
      <c r="DS54" s="883">
        <f t="shared" si="235"/>
        <v>0</v>
      </c>
      <c r="DT54" s="883">
        <f t="shared" si="236"/>
        <v>0</v>
      </c>
      <c r="DU54" s="883">
        <f t="shared" si="237"/>
        <v>0</v>
      </c>
      <c r="DV54" s="883">
        <f t="shared" si="238"/>
        <v>0</v>
      </c>
      <c r="DW54" s="883">
        <f t="shared" si="239"/>
        <v>0</v>
      </c>
      <c r="DX54" s="883">
        <f t="shared" si="240"/>
        <v>0</v>
      </c>
      <c r="DY54" s="883">
        <f t="shared" si="241"/>
        <v>0</v>
      </c>
      <c r="DZ54" s="873">
        <f t="shared" si="242"/>
        <v>0</v>
      </c>
      <c r="EA54" s="879">
        <f t="shared" si="252"/>
        <v>0</v>
      </c>
      <c r="EB54" s="883">
        <f t="shared" si="253"/>
        <v>0</v>
      </c>
      <c r="EC54" s="883">
        <f t="shared" si="254"/>
        <v>0</v>
      </c>
      <c r="ED54" s="883">
        <f t="shared" si="255"/>
        <v>0</v>
      </c>
      <c r="EE54" s="883">
        <f t="shared" si="256"/>
        <v>0</v>
      </c>
      <c r="EF54" s="883">
        <f t="shared" si="257"/>
        <v>0</v>
      </c>
      <c r="EG54" s="883">
        <f t="shared" si="258"/>
        <v>0</v>
      </c>
      <c r="EH54" s="883">
        <f t="shared" si="259"/>
        <v>0</v>
      </c>
      <c r="EI54" s="883">
        <f t="shared" si="260"/>
        <v>0</v>
      </c>
      <c r="EJ54" s="883">
        <f t="shared" si="261"/>
        <v>0</v>
      </c>
      <c r="EK54" s="883">
        <f t="shared" si="262"/>
        <v>0</v>
      </c>
      <c r="EL54" s="883">
        <f t="shared" si="263"/>
        <v>0</v>
      </c>
      <c r="EM54" s="873">
        <f t="shared" si="264"/>
        <v>0</v>
      </c>
      <c r="EN54" s="879">
        <f t="shared" si="265"/>
        <v>0</v>
      </c>
      <c r="EO54" s="883">
        <f t="shared" si="266"/>
        <v>0</v>
      </c>
      <c r="EP54" s="883">
        <f t="shared" si="267"/>
        <v>0</v>
      </c>
      <c r="EQ54" s="883">
        <f t="shared" si="268"/>
        <v>0</v>
      </c>
      <c r="ER54" s="883">
        <f t="shared" si="269"/>
        <v>0</v>
      </c>
      <c r="ES54" s="883">
        <f t="shared" si="270"/>
        <v>0</v>
      </c>
      <c r="ET54" s="883">
        <f t="shared" si="271"/>
        <v>0</v>
      </c>
      <c r="EU54" s="883">
        <f t="shared" si="272"/>
        <v>0</v>
      </c>
      <c r="EV54" s="973">
        <f t="shared" si="273"/>
        <v>0</v>
      </c>
      <c r="EW54" s="883"/>
      <c r="EX54" s="883"/>
      <c r="EY54" s="883"/>
      <c r="EZ54" s="873"/>
      <c r="FA54" s="879">
        <f t="shared" si="274"/>
        <v>0</v>
      </c>
      <c r="FC54" s="843" t="str">
        <f t="shared" si="275"/>
        <v/>
      </c>
      <c r="FD54" s="844" t="str">
        <f t="shared" si="276"/>
        <v/>
      </c>
      <c r="FE54" s="845">
        <f t="shared" si="279"/>
        <v>0</v>
      </c>
      <c r="FF54" s="846">
        <f t="shared" si="243"/>
        <v>0</v>
      </c>
      <c r="FH54" s="127"/>
    </row>
    <row r="55" spans="1:164" ht="15" customHeight="1" x14ac:dyDescent="0.25">
      <c r="A55" s="403" t="s">
        <v>382</v>
      </c>
      <c r="B55" s="883">
        <f t="shared" si="123"/>
        <v>0</v>
      </c>
      <c r="C55" s="883">
        <f t="shared" si="124"/>
        <v>0</v>
      </c>
      <c r="D55" s="883">
        <f t="shared" si="125"/>
        <v>0</v>
      </c>
      <c r="E55" s="883">
        <f t="shared" si="126"/>
        <v>0</v>
      </c>
      <c r="F55" s="883">
        <f t="shared" si="127"/>
        <v>0</v>
      </c>
      <c r="G55" s="883">
        <f t="shared" si="128"/>
        <v>0</v>
      </c>
      <c r="H55" s="883">
        <f t="shared" si="129"/>
        <v>0</v>
      </c>
      <c r="I55" s="883">
        <f t="shared" si="130"/>
        <v>0</v>
      </c>
      <c r="J55" s="883">
        <f t="shared" si="131"/>
        <v>0</v>
      </c>
      <c r="K55" s="883">
        <f t="shared" si="132"/>
        <v>0</v>
      </c>
      <c r="L55" s="883">
        <f t="shared" si="133"/>
        <v>0</v>
      </c>
      <c r="M55" s="873">
        <f t="shared" si="134"/>
        <v>0</v>
      </c>
      <c r="N55" s="879">
        <f t="shared" si="244"/>
        <v>0</v>
      </c>
      <c r="O55" s="883">
        <f t="shared" si="135"/>
        <v>0</v>
      </c>
      <c r="P55" s="883">
        <f t="shared" si="136"/>
        <v>0</v>
      </c>
      <c r="Q55" s="883">
        <f t="shared" si="137"/>
        <v>0</v>
      </c>
      <c r="R55" s="883">
        <f t="shared" si="138"/>
        <v>0</v>
      </c>
      <c r="S55" s="883">
        <f t="shared" si="139"/>
        <v>0</v>
      </c>
      <c r="T55" s="883">
        <f t="shared" si="140"/>
        <v>0</v>
      </c>
      <c r="U55" s="883">
        <f t="shared" si="141"/>
        <v>0</v>
      </c>
      <c r="V55" s="883">
        <f t="shared" si="142"/>
        <v>0</v>
      </c>
      <c r="W55" s="883">
        <f t="shared" si="143"/>
        <v>0</v>
      </c>
      <c r="X55" s="883">
        <f t="shared" si="144"/>
        <v>0</v>
      </c>
      <c r="Y55" s="883">
        <f t="shared" si="145"/>
        <v>0</v>
      </c>
      <c r="Z55" s="873">
        <f t="shared" si="146"/>
        <v>0</v>
      </c>
      <c r="AA55" s="879">
        <f t="shared" si="245"/>
        <v>0</v>
      </c>
      <c r="AB55" s="883">
        <f t="shared" si="147"/>
        <v>0</v>
      </c>
      <c r="AC55" s="883">
        <f t="shared" si="148"/>
        <v>0</v>
      </c>
      <c r="AD55" s="883">
        <f t="shared" si="149"/>
        <v>0</v>
      </c>
      <c r="AE55" s="883">
        <f t="shared" si="150"/>
        <v>0</v>
      </c>
      <c r="AF55" s="883">
        <f t="shared" si="151"/>
        <v>0</v>
      </c>
      <c r="AG55" s="883">
        <f t="shared" si="152"/>
        <v>0</v>
      </c>
      <c r="AH55" s="883">
        <f t="shared" si="153"/>
        <v>0</v>
      </c>
      <c r="AI55" s="883">
        <f t="shared" si="154"/>
        <v>0</v>
      </c>
      <c r="AJ55" s="883">
        <f t="shared" si="155"/>
        <v>0</v>
      </c>
      <c r="AK55" s="883">
        <f t="shared" si="156"/>
        <v>0</v>
      </c>
      <c r="AL55" s="883">
        <f t="shared" si="157"/>
        <v>0</v>
      </c>
      <c r="AM55" s="873">
        <f t="shared" si="158"/>
        <v>0</v>
      </c>
      <c r="AN55" s="879">
        <f t="shared" si="246"/>
        <v>0</v>
      </c>
      <c r="AO55" s="883">
        <f t="shared" si="159"/>
        <v>0</v>
      </c>
      <c r="AP55" s="883">
        <f t="shared" si="160"/>
        <v>0</v>
      </c>
      <c r="AQ55" s="883">
        <f t="shared" si="161"/>
        <v>0</v>
      </c>
      <c r="AR55" s="883">
        <f t="shared" si="162"/>
        <v>0</v>
      </c>
      <c r="AS55" s="883">
        <f t="shared" si="163"/>
        <v>0</v>
      </c>
      <c r="AT55" s="883">
        <f t="shared" si="164"/>
        <v>0</v>
      </c>
      <c r="AU55" s="883">
        <f t="shared" si="165"/>
        <v>0</v>
      </c>
      <c r="AV55" s="883">
        <f t="shared" si="166"/>
        <v>0</v>
      </c>
      <c r="AW55" s="883">
        <f t="shared" si="167"/>
        <v>0</v>
      </c>
      <c r="AX55" s="883">
        <f t="shared" si="168"/>
        <v>0</v>
      </c>
      <c r="AY55" s="883">
        <f t="shared" si="169"/>
        <v>0</v>
      </c>
      <c r="AZ55" s="873">
        <f t="shared" si="170"/>
        <v>0</v>
      </c>
      <c r="BA55" s="879">
        <f t="shared" si="247"/>
        <v>0</v>
      </c>
      <c r="BB55" s="883">
        <f t="shared" si="171"/>
        <v>0</v>
      </c>
      <c r="BC55" s="883">
        <f t="shared" si="172"/>
        <v>0</v>
      </c>
      <c r="BD55" s="883">
        <f t="shared" si="173"/>
        <v>0</v>
      </c>
      <c r="BE55" s="883">
        <f t="shared" si="174"/>
        <v>0</v>
      </c>
      <c r="BF55" s="883">
        <f t="shared" si="175"/>
        <v>0</v>
      </c>
      <c r="BG55" s="883">
        <f t="shared" si="176"/>
        <v>0</v>
      </c>
      <c r="BH55" s="883">
        <f t="shared" si="177"/>
        <v>0</v>
      </c>
      <c r="BI55" s="883">
        <f t="shared" si="178"/>
        <v>0</v>
      </c>
      <c r="BJ55" s="883">
        <f t="shared" si="179"/>
        <v>0</v>
      </c>
      <c r="BK55" s="883">
        <f t="shared" si="180"/>
        <v>0</v>
      </c>
      <c r="BL55" s="883">
        <f t="shared" si="181"/>
        <v>0</v>
      </c>
      <c r="BM55" s="873">
        <f t="shared" si="182"/>
        <v>0</v>
      </c>
      <c r="BN55" s="879">
        <f t="shared" si="248"/>
        <v>0</v>
      </c>
      <c r="BO55" s="883">
        <f t="shared" si="183"/>
        <v>0</v>
      </c>
      <c r="BP55" s="883">
        <f t="shared" si="184"/>
        <v>0</v>
      </c>
      <c r="BQ55" s="883">
        <f t="shared" si="185"/>
        <v>0</v>
      </c>
      <c r="BR55" s="883">
        <f t="shared" si="186"/>
        <v>0</v>
      </c>
      <c r="BS55" s="883">
        <f t="shared" si="187"/>
        <v>0</v>
      </c>
      <c r="BT55" s="883">
        <f t="shared" si="188"/>
        <v>0</v>
      </c>
      <c r="BU55" s="883">
        <f t="shared" si="189"/>
        <v>0</v>
      </c>
      <c r="BV55" s="883">
        <f t="shared" si="190"/>
        <v>0</v>
      </c>
      <c r="BW55" s="883">
        <f t="shared" si="191"/>
        <v>0</v>
      </c>
      <c r="BX55" s="883">
        <f t="shared" si="192"/>
        <v>0</v>
      </c>
      <c r="BY55" s="883">
        <f t="shared" si="193"/>
        <v>0</v>
      </c>
      <c r="BZ55" s="873">
        <f t="shared" si="194"/>
        <v>0</v>
      </c>
      <c r="CA55" s="879">
        <f t="shared" si="249"/>
        <v>0</v>
      </c>
      <c r="CB55" s="883">
        <f t="shared" si="195"/>
        <v>0</v>
      </c>
      <c r="CC55" s="883">
        <f t="shared" si="196"/>
        <v>0</v>
      </c>
      <c r="CD55" s="883">
        <f t="shared" si="197"/>
        <v>0</v>
      </c>
      <c r="CE55" s="883">
        <f t="shared" si="198"/>
        <v>0</v>
      </c>
      <c r="CF55" s="883">
        <f t="shared" si="199"/>
        <v>0</v>
      </c>
      <c r="CG55" s="883">
        <f t="shared" si="200"/>
        <v>0</v>
      </c>
      <c r="CH55" s="883">
        <f t="shared" si="201"/>
        <v>0</v>
      </c>
      <c r="CI55" s="883">
        <f t="shared" si="202"/>
        <v>0</v>
      </c>
      <c r="CJ55" s="883">
        <f t="shared" si="203"/>
        <v>0</v>
      </c>
      <c r="CK55" s="883">
        <f t="shared" si="204"/>
        <v>0</v>
      </c>
      <c r="CL55" s="883">
        <f t="shared" si="205"/>
        <v>0</v>
      </c>
      <c r="CM55" s="873">
        <f t="shared" si="206"/>
        <v>0</v>
      </c>
      <c r="CN55" s="879">
        <f t="shared" si="250"/>
        <v>0</v>
      </c>
      <c r="CO55" s="883">
        <f t="shared" si="207"/>
        <v>0</v>
      </c>
      <c r="CP55" s="883">
        <f t="shared" si="208"/>
        <v>0</v>
      </c>
      <c r="CQ55" s="883">
        <f t="shared" si="209"/>
        <v>0</v>
      </c>
      <c r="CR55" s="883">
        <f t="shared" si="210"/>
        <v>0</v>
      </c>
      <c r="CS55" s="883">
        <f t="shared" si="211"/>
        <v>0</v>
      </c>
      <c r="CT55" s="883">
        <f t="shared" si="212"/>
        <v>0</v>
      </c>
      <c r="CU55" s="883">
        <f t="shared" si="213"/>
        <v>0</v>
      </c>
      <c r="CV55" s="883">
        <f t="shared" si="214"/>
        <v>0</v>
      </c>
      <c r="CW55" s="883">
        <f t="shared" si="215"/>
        <v>0</v>
      </c>
      <c r="CX55" s="883">
        <f t="shared" si="216"/>
        <v>0</v>
      </c>
      <c r="CY55" s="883">
        <f t="shared" si="217"/>
        <v>0</v>
      </c>
      <c r="CZ55" s="873">
        <f t="shared" si="218"/>
        <v>0</v>
      </c>
      <c r="DA55" s="879">
        <f t="shared" si="278"/>
        <v>0</v>
      </c>
      <c r="DB55" s="883">
        <f t="shared" si="219"/>
        <v>0</v>
      </c>
      <c r="DC55" s="883">
        <f t="shared" si="220"/>
        <v>0</v>
      </c>
      <c r="DD55" s="883">
        <f t="shared" si="221"/>
        <v>0</v>
      </c>
      <c r="DE55" s="883">
        <f t="shared" si="222"/>
        <v>0</v>
      </c>
      <c r="DF55" s="883">
        <f t="shared" si="223"/>
        <v>0</v>
      </c>
      <c r="DG55" s="883">
        <f t="shared" si="224"/>
        <v>0</v>
      </c>
      <c r="DH55" s="883">
        <f t="shared" si="225"/>
        <v>0</v>
      </c>
      <c r="DI55" s="883">
        <f t="shared" si="226"/>
        <v>0</v>
      </c>
      <c r="DJ55" s="883">
        <f t="shared" si="227"/>
        <v>0</v>
      </c>
      <c r="DK55" s="883">
        <f t="shared" si="228"/>
        <v>0</v>
      </c>
      <c r="DL55" s="883">
        <f t="shared" si="229"/>
        <v>0</v>
      </c>
      <c r="DM55" s="873">
        <f t="shared" si="230"/>
        <v>0</v>
      </c>
      <c r="DN55" s="879">
        <f t="shared" si="251"/>
        <v>0</v>
      </c>
      <c r="DO55" s="883">
        <f t="shared" si="231"/>
        <v>0</v>
      </c>
      <c r="DP55" s="883">
        <f t="shared" si="232"/>
        <v>0</v>
      </c>
      <c r="DQ55" s="883">
        <f t="shared" si="233"/>
        <v>0</v>
      </c>
      <c r="DR55" s="883">
        <f t="shared" si="234"/>
        <v>0</v>
      </c>
      <c r="DS55" s="883">
        <f t="shared" si="235"/>
        <v>0</v>
      </c>
      <c r="DT55" s="883">
        <f t="shared" si="236"/>
        <v>0</v>
      </c>
      <c r="DU55" s="883">
        <f t="shared" si="237"/>
        <v>0</v>
      </c>
      <c r="DV55" s="883">
        <f t="shared" si="238"/>
        <v>0</v>
      </c>
      <c r="DW55" s="883">
        <f t="shared" si="239"/>
        <v>0</v>
      </c>
      <c r="DX55" s="883">
        <f t="shared" si="240"/>
        <v>0</v>
      </c>
      <c r="DY55" s="883">
        <f t="shared" si="241"/>
        <v>0</v>
      </c>
      <c r="DZ55" s="873">
        <f t="shared" si="242"/>
        <v>0</v>
      </c>
      <c r="EA55" s="879">
        <f t="shared" si="252"/>
        <v>0</v>
      </c>
      <c r="EB55" s="883">
        <f t="shared" si="253"/>
        <v>0</v>
      </c>
      <c r="EC55" s="883">
        <f t="shared" si="254"/>
        <v>0</v>
      </c>
      <c r="ED55" s="883">
        <f t="shared" si="255"/>
        <v>0</v>
      </c>
      <c r="EE55" s="883">
        <f t="shared" si="256"/>
        <v>0</v>
      </c>
      <c r="EF55" s="883">
        <f t="shared" si="257"/>
        <v>0</v>
      </c>
      <c r="EG55" s="883">
        <f t="shared" si="258"/>
        <v>0</v>
      </c>
      <c r="EH55" s="883">
        <f t="shared" si="259"/>
        <v>0</v>
      </c>
      <c r="EI55" s="883">
        <f t="shared" si="260"/>
        <v>0</v>
      </c>
      <c r="EJ55" s="883">
        <f t="shared" si="261"/>
        <v>0</v>
      </c>
      <c r="EK55" s="883">
        <f t="shared" si="262"/>
        <v>0</v>
      </c>
      <c r="EL55" s="883">
        <f t="shared" si="263"/>
        <v>0</v>
      </c>
      <c r="EM55" s="873">
        <f t="shared" si="264"/>
        <v>0</v>
      </c>
      <c r="EN55" s="879">
        <f t="shared" si="265"/>
        <v>0</v>
      </c>
      <c r="EO55" s="883">
        <f t="shared" si="266"/>
        <v>0</v>
      </c>
      <c r="EP55" s="883">
        <f t="shared" si="267"/>
        <v>0</v>
      </c>
      <c r="EQ55" s="883">
        <f t="shared" si="268"/>
        <v>0</v>
      </c>
      <c r="ER55" s="883">
        <f t="shared" si="269"/>
        <v>0</v>
      </c>
      <c r="ES55" s="883">
        <f t="shared" si="270"/>
        <v>0</v>
      </c>
      <c r="ET55" s="883">
        <f t="shared" si="271"/>
        <v>0</v>
      </c>
      <c r="EU55" s="883">
        <f t="shared" si="272"/>
        <v>0</v>
      </c>
      <c r="EV55" s="973">
        <f t="shared" si="273"/>
        <v>0</v>
      </c>
      <c r="EW55" s="883"/>
      <c r="EX55" s="883"/>
      <c r="EY55" s="883"/>
      <c r="EZ55" s="873"/>
      <c r="FA55" s="879">
        <f t="shared" si="274"/>
        <v>0</v>
      </c>
      <c r="FC55" s="843" t="str">
        <f t="shared" si="275"/>
        <v/>
      </c>
      <c r="FD55" s="844" t="str">
        <f t="shared" si="276"/>
        <v/>
      </c>
      <c r="FE55" s="845">
        <f t="shared" si="279"/>
        <v>0</v>
      </c>
      <c r="FF55" s="846">
        <f t="shared" si="243"/>
        <v>0</v>
      </c>
      <c r="FH55" s="127"/>
    </row>
    <row r="56" spans="1:164" ht="15" customHeight="1" x14ac:dyDescent="0.25">
      <c r="A56" s="138"/>
      <c r="B56" s="883"/>
      <c r="C56" s="883"/>
      <c r="D56" s="883"/>
      <c r="E56" s="883"/>
      <c r="F56" s="883"/>
      <c r="G56" s="883"/>
      <c r="H56" s="883"/>
      <c r="I56" s="883"/>
      <c r="J56" s="883"/>
      <c r="K56" s="883"/>
      <c r="L56" s="883"/>
      <c r="M56" s="873"/>
      <c r="N56" s="879"/>
      <c r="O56" s="883"/>
      <c r="P56" s="883"/>
      <c r="Q56" s="883"/>
      <c r="R56" s="883"/>
      <c r="S56" s="883"/>
      <c r="T56" s="883"/>
      <c r="U56" s="883"/>
      <c r="V56" s="883"/>
      <c r="W56" s="883"/>
      <c r="X56" s="883"/>
      <c r="Y56" s="883"/>
      <c r="Z56" s="873"/>
      <c r="AA56" s="879"/>
      <c r="AB56" s="883"/>
      <c r="AC56" s="883"/>
      <c r="AD56" s="883"/>
      <c r="AE56" s="883"/>
      <c r="AF56" s="883"/>
      <c r="AG56" s="883"/>
      <c r="AH56" s="883"/>
      <c r="AI56" s="883"/>
      <c r="AJ56" s="883"/>
      <c r="AK56" s="883"/>
      <c r="AL56" s="883"/>
      <c r="AM56" s="873"/>
      <c r="AN56" s="879"/>
      <c r="AO56" s="883"/>
      <c r="AP56" s="883"/>
      <c r="AQ56" s="883"/>
      <c r="AR56" s="883"/>
      <c r="AS56" s="883"/>
      <c r="AT56" s="883"/>
      <c r="AU56" s="883"/>
      <c r="AV56" s="883"/>
      <c r="AW56" s="883"/>
      <c r="AX56" s="883"/>
      <c r="AY56" s="883"/>
      <c r="AZ56" s="873"/>
      <c r="BA56" s="879"/>
      <c r="BB56" s="883"/>
      <c r="BC56" s="883"/>
      <c r="BD56" s="883"/>
      <c r="BE56" s="883"/>
      <c r="BF56" s="883"/>
      <c r="BG56" s="883"/>
      <c r="BH56" s="883"/>
      <c r="BI56" s="883"/>
      <c r="BJ56" s="883"/>
      <c r="BK56" s="883"/>
      <c r="BL56" s="883"/>
      <c r="BM56" s="873"/>
      <c r="BN56" s="879"/>
      <c r="BO56" s="883"/>
      <c r="BP56" s="883"/>
      <c r="BQ56" s="883"/>
      <c r="BR56" s="883"/>
      <c r="BS56" s="883"/>
      <c r="BT56" s="883"/>
      <c r="BU56" s="883"/>
      <c r="BV56" s="883"/>
      <c r="BW56" s="883"/>
      <c r="BX56" s="883"/>
      <c r="BY56" s="883"/>
      <c r="BZ56" s="873"/>
      <c r="CA56" s="879"/>
      <c r="CB56" s="883"/>
      <c r="CC56" s="883"/>
      <c r="CD56" s="883"/>
      <c r="CE56" s="883"/>
      <c r="CF56" s="883"/>
      <c r="CG56" s="883"/>
      <c r="CH56" s="883"/>
      <c r="CI56" s="883"/>
      <c r="CJ56" s="883"/>
      <c r="CK56" s="883"/>
      <c r="CL56" s="883"/>
      <c r="CM56" s="873"/>
      <c r="CN56" s="879"/>
      <c r="CO56" s="883"/>
      <c r="CP56" s="883"/>
      <c r="CQ56" s="883"/>
      <c r="CR56" s="883"/>
      <c r="CS56" s="883"/>
      <c r="CT56" s="883"/>
      <c r="CU56" s="883"/>
      <c r="CV56" s="883"/>
      <c r="CW56" s="883"/>
      <c r="CX56" s="883"/>
      <c r="CY56" s="883"/>
      <c r="CZ56" s="873"/>
      <c r="DA56" s="879"/>
      <c r="DB56" s="883"/>
      <c r="DC56" s="883"/>
      <c r="DD56" s="883"/>
      <c r="DE56" s="883"/>
      <c r="DF56" s="883"/>
      <c r="DG56" s="883"/>
      <c r="DH56" s="883"/>
      <c r="DI56" s="883"/>
      <c r="DJ56" s="883"/>
      <c r="DK56" s="883"/>
      <c r="DL56" s="883"/>
      <c r="DM56" s="873"/>
      <c r="DN56" s="879"/>
      <c r="DO56" s="883"/>
      <c r="DP56" s="883"/>
      <c r="DQ56" s="883"/>
      <c r="DR56" s="883"/>
      <c r="DS56" s="883"/>
      <c r="DT56" s="883"/>
      <c r="DU56" s="883"/>
      <c r="DV56" s="883"/>
      <c r="DW56" s="883"/>
      <c r="DX56" s="883"/>
      <c r="DY56" s="883"/>
      <c r="DZ56" s="873"/>
      <c r="EA56" s="879"/>
      <c r="EB56" s="883"/>
      <c r="EC56" s="883"/>
      <c r="ED56" s="883"/>
      <c r="EE56" s="883"/>
      <c r="EF56" s="883"/>
      <c r="EG56" s="883"/>
      <c r="EH56" s="883"/>
      <c r="EI56" s="883"/>
      <c r="EJ56" s="883"/>
      <c r="EK56" s="883"/>
      <c r="EL56" s="883"/>
      <c r="EM56" s="873"/>
      <c r="EN56" s="879"/>
      <c r="EO56" s="883"/>
      <c r="EP56" s="883"/>
      <c r="EQ56" s="883"/>
      <c r="ER56" s="883"/>
      <c r="ES56" s="883"/>
      <c r="ET56" s="883"/>
      <c r="EU56" s="883"/>
      <c r="EV56" s="973"/>
      <c r="EW56" s="883"/>
      <c r="EX56" s="883"/>
      <c r="EY56" s="883"/>
      <c r="EZ56" s="873"/>
      <c r="FA56" s="879"/>
      <c r="FC56" s="843" t="str">
        <f t="shared" si="275"/>
        <v/>
      </c>
      <c r="FD56" s="844" t="str">
        <f t="shared" si="276"/>
        <v/>
      </c>
      <c r="FE56" s="845"/>
      <c r="FF56" s="846"/>
    </row>
    <row r="57" spans="1:164" s="757" customFormat="1" ht="15" customHeight="1" x14ac:dyDescent="0.25">
      <c r="A57" s="822" t="s">
        <v>383</v>
      </c>
      <c r="B57" s="884">
        <f t="shared" ref="B57:B62" si="280">B23/$B$35</f>
        <v>24871.000634495329</v>
      </c>
      <c r="C57" s="884">
        <f t="shared" ref="C57:C62" si="281">C23/$C$35</f>
        <v>39549.054578173142</v>
      </c>
      <c r="D57" s="884">
        <f t="shared" ref="D57:D62" si="282">D23/$D$35</f>
        <v>34682.964855726503</v>
      </c>
      <c r="E57" s="884">
        <f t="shared" ref="E57:E62" si="283">E23/$E$35</f>
        <v>29856.434893246678</v>
      </c>
      <c r="F57" s="884">
        <f t="shared" ref="F57:F62" si="284">F23/$F$35</f>
        <v>26072.874433955789</v>
      </c>
      <c r="G57" s="884">
        <f t="shared" ref="G57:G62" si="285">G23/$G$35</f>
        <v>38911.577084611185</v>
      </c>
      <c r="H57" s="884">
        <f t="shared" ref="H57:H62" si="286">H23/$H$35</f>
        <v>32105.255945323766</v>
      </c>
      <c r="I57" s="884">
        <f t="shared" ref="I57:I62" si="287">I23/$I$35</f>
        <v>33514.184971846313</v>
      </c>
      <c r="J57" s="884">
        <f t="shared" ref="J57:J62" si="288">J23/$J$35</f>
        <v>54833.66528453194</v>
      </c>
      <c r="K57" s="884">
        <f t="shared" ref="K57:K62" si="289">K23/$K$35</f>
        <v>42818.342474759367</v>
      </c>
      <c r="L57" s="884">
        <f t="shared" ref="L57:L62" si="290">L23/$L$35</f>
        <v>41757.36554920108</v>
      </c>
      <c r="M57" s="875">
        <f t="shared" ref="M57:M62" si="291">M23/$M$35</f>
        <v>141346.25726829754</v>
      </c>
      <c r="N57" s="876">
        <f t="shared" ref="N57:N62" si="292">SUM(B57:M57)</f>
        <v>540318.97797416872</v>
      </c>
      <c r="O57" s="884">
        <f t="shared" ref="O57:O62" si="293">O23/$O$35</f>
        <v>24278.730729654228</v>
      </c>
      <c r="P57" s="884">
        <f t="shared" ref="P57:P62" si="294">P23/$P$35</f>
        <v>40951.459068690143</v>
      </c>
      <c r="Q57" s="884">
        <f t="shared" ref="Q57:Q62" si="295">Q23/$Q$35</f>
        <v>39864.64783938873</v>
      </c>
      <c r="R57" s="884">
        <f t="shared" ref="R57:R62" si="296">R23/$R$35</f>
        <v>56414.347867604149</v>
      </c>
      <c r="S57" s="884">
        <f t="shared" ref="S57:S62" si="297">S23/$S$35</f>
        <v>40358.192541433113</v>
      </c>
      <c r="T57" s="884">
        <f t="shared" ref="T57:T62" si="298">T23/$T$35</f>
        <v>50862.921532612396</v>
      </c>
      <c r="U57" s="884">
        <f t="shared" ref="U57:U62" si="299">U23/$U$35</f>
        <v>53560.845826062672</v>
      </c>
      <c r="V57" s="884">
        <f t="shared" ref="V57:V62" si="300">V23/$V$35</f>
        <v>72717.828433514034</v>
      </c>
      <c r="W57" s="884">
        <f t="shared" ref="W57:W62" si="301">W23/$W$35</f>
        <v>50313.131562404407</v>
      </c>
      <c r="X57" s="884">
        <f t="shared" ref="X57:X62" si="302">X23/$X$35</f>
        <v>48633.739848900077</v>
      </c>
      <c r="Y57" s="884">
        <f t="shared" ref="Y57:Y62" si="303">Y23/$Y$35</f>
        <v>62300.114739474448</v>
      </c>
      <c r="Z57" s="875">
        <f t="shared" ref="Z57:Z62" si="304">Z23/$Z$35</f>
        <v>84518.061563616022</v>
      </c>
      <c r="AA57" s="876">
        <f t="shared" ref="AA57:AA62" si="305">SUM(O57:Z57)</f>
        <v>624774.02155335445</v>
      </c>
      <c r="AB57" s="884">
        <f t="shared" ref="AB57:AB62" si="306">AB23/$AB$35</f>
        <v>26087.774251821378</v>
      </c>
      <c r="AC57" s="884">
        <f t="shared" ref="AC57:AC62" si="307">AC23/$AC$35</f>
        <v>58921.291551407121</v>
      </c>
      <c r="AD57" s="884">
        <f t="shared" ref="AD57:AD62" si="308">AD23/$AD$35</f>
        <v>46340.62259688256</v>
      </c>
      <c r="AE57" s="884">
        <f t="shared" ref="AE57:AE62" si="309">AE23/$AE$35</f>
        <v>38673.149580758945</v>
      </c>
      <c r="AF57" s="884">
        <f t="shared" ref="AF57:AF62" si="310">AF23/$AF$35</f>
        <v>44024.587744562457</v>
      </c>
      <c r="AG57" s="884">
        <f t="shared" ref="AG57:AG62" si="311">AG23/$AG$35</f>
        <v>58010.708931954134</v>
      </c>
      <c r="AH57" s="884">
        <f t="shared" ref="AH57:AH62" si="312">AH23/$AH$35</f>
        <v>58567.65419912387</v>
      </c>
      <c r="AI57" s="884">
        <f t="shared" ref="AI57:AI62" si="313">AI23/$AI$35</f>
        <v>49527.796171821916</v>
      </c>
      <c r="AJ57" s="884">
        <f t="shared" ref="AJ57:AJ62" si="314">AJ23/$AJ$35</f>
        <v>45054.030551349046</v>
      </c>
      <c r="AK57" s="884">
        <f t="shared" ref="AK57:AK62" si="315">AK23/$AK$35</f>
        <v>51491.570754711887</v>
      </c>
      <c r="AL57" s="884">
        <f t="shared" ref="AL57:AL62" si="316">AL23/$AL$35</f>
        <v>53183.135532120294</v>
      </c>
      <c r="AM57" s="875">
        <f t="shared" ref="AM57:AM62" si="317">AM23/$AM$35</f>
        <v>62628.343487502978</v>
      </c>
      <c r="AN57" s="876">
        <f t="shared" ref="AN57:AN62" si="318">SUM(AB57:AM57)</f>
        <v>592510.66535401647</v>
      </c>
      <c r="AO57" s="884">
        <f t="shared" ref="AO57:AO62" si="319">AO23/$AO$35</f>
        <v>34023.892392192283</v>
      </c>
      <c r="AP57" s="884">
        <f t="shared" ref="AP57:AP62" si="320">AP23/$AP$35</f>
        <v>35318.523114269949</v>
      </c>
      <c r="AQ57" s="884">
        <f t="shared" ref="AQ57:AQ62" si="321">AQ23/$AQ$35</f>
        <v>27158.476865102042</v>
      </c>
      <c r="AR57" s="884">
        <f t="shared" ref="AR57:AR62" si="322">AR23/$AR$35</f>
        <v>36281.15217272273</v>
      </c>
      <c r="AS57" s="884">
        <f t="shared" ref="AS57:AS62" si="323">AS23/$AS$35</f>
        <v>41928.189525370472</v>
      </c>
      <c r="AT57" s="884">
        <f t="shared" ref="AT57:AT62" si="324">AT23/$AT$35</f>
        <v>34199.957597179666</v>
      </c>
      <c r="AU57" s="884">
        <f t="shared" ref="AU57:AU62" si="325">AU23/$AU$35</f>
        <v>41790.500828221033</v>
      </c>
      <c r="AV57" s="884">
        <f t="shared" ref="AV57:AV62" si="326">AV23/$AV$35</f>
        <v>38572.644100524907</v>
      </c>
      <c r="AW57" s="884">
        <f t="shared" ref="AW57:AW62" si="327">AW23/$AW$35</f>
        <v>36868.646620177875</v>
      </c>
      <c r="AX57" s="884">
        <f t="shared" ref="AX57:AX62" si="328">AX23/$AX$35</f>
        <v>36738.699655919001</v>
      </c>
      <c r="AY57" s="884">
        <f t="shared" ref="AY57:AY62" si="329">AY23/$AY$35</f>
        <v>32117.196928941601</v>
      </c>
      <c r="AZ57" s="875">
        <f t="shared" ref="AZ57:AZ62" si="330">AZ23/$AZ$35</f>
        <v>76639.429156605082</v>
      </c>
      <c r="BA57" s="876">
        <f t="shared" ref="BA57:BA62" si="331">SUM(AO57:AZ57)</f>
        <v>471637.30895722663</v>
      </c>
      <c r="BB57" s="884">
        <f t="shared" ref="BB57:BB62" si="332">BB23/$BB$35</f>
        <v>31490.717230146314</v>
      </c>
      <c r="BC57" s="884">
        <f t="shared" ref="BC57:BC62" si="333">BC23/$BC$35</f>
        <v>30876.737224936369</v>
      </c>
      <c r="BD57" s="884">
        <f t="shared" ref="BD57:BD62" si="334">BD23/$BD$35</f>
        <v>28244.403035415315</v>
      </c>
      <c r="BE57" s="884">
        <f t="shared" ref="BE57:BE62" si="335">BE23/$BE$35</f>
        <v>36428.891885161363</v>
      </c>
      <c r="BF57" s="884">
        <f t="shared" ref="BF57:BF62" si="336">BF23/$BF$35</f>
        <v>37787.541104199619</v>
      </c>
      <c r="BG57" s="884">
        <f t="shared" ref="BG57:BG62" si="337">BG23/$BG$35</f>
        <v>35553.10831253256</v>
      </c>
      <c r="BH57" s="884">
        <f t="shared" ref="BH57:BH62" si="338">BH23/$BH$35</f>
        <v>46435.209641014197</v>
      </c>
      <c r="BI57" s="884">
        <f t="shared" ref="BI57:BI62" si="339">BI23/$BI$35</f>
        <v>30435.755453719961</v>
      </c>
      <c r="BJ57" s="884">
        <f t="shared" ref="BJ57:BJ62" si="340">BJ23/$BJ$35</f>
        <v>35072.845626393158</v>
      </c>
      <c r="BK57" s="884">
        <f t="shared" ref="BK57:BK62" si="341">BK23/$BK$35</f>
        <v>38470.650817352762</v>
      </c>
      <c r="BL57" s="884">
        <f t="shared" ref="BL57:BL62" si="342">BL23/$BL$35</f>
        <v>57190.258616950116</v>
      </c>
      <c r="BM57" s="875">
        <f t="shared" ref="BM57:BM62" si="343">BM23/$BM$35</f>
        <v>68730.388778550914</v>
      </c>
      <c r="BN57" s="876">
        <f t="shared" ref="BN57:BN62" si="344">SUM(BB57:BM57)</f>
        <v>476716.50772637269</v>
      </c>
      <c r="BO57" s="884">
        <f t="shared" ref="BO57:BO62" si="345">BO23/$BO$35</f>
        <v>30329.991847401376</v>
      </c>
      <c r="BP57" s="884">
        <f t="shared" ref="BP57:BP62" si="346">BP23/$BP$35</f>
        <v>36710.072724407211</v>
      </c>
      <c r="BQ57" s="884">
        <f t="shared" ref="BQ57:BQ62" si="347">BQ23/$BQ$35</f>
        <v>40548.055502680261</v>
      </c>
      <c r="BR57" s="884">
        <f t="shared" ref="BR57:BR62" si="348">BR23/$BR$35</f>
        <v>51104.045431208469</v>
      </c>
      <c r="BS57" s="884">
        <f t="shared" ref="BS57:BS62" si="349">BS23/$BS$35</f>
        <v>49670.113004743624</v>
      </c>
      <c r="BT57" s="884">
        <f t="shared" ref="BT57:BT62" si="350">BT23/$BT$35</f>
        <v>22606.628670128859</v>
      </c>
      <c r="BU57" s="884">
        <f t="shared" ref="BU57:BU62" si="351">BU23/$BU$35</f>
        <v>34129.723421954448</v>
      </c>
      <c r="BV57" s="884">
        <f t="shared" ref="BV57:BV62" si="352">BV23/$BV$35</f>
        <v>63281.910352262355</v>
      </c>
      <c r="BW57" s="884">
        <f t="shared" ref="BW57:BW62" si="353">BW23/$BW$35</f>
        <v>38280.076510141247</v>
      </c>
      <c r="BX57" s="884">
        <f t="shared" ref="BX57:BX62" si="354">BX23/$BX$35</f>
        <v>83174.287691155099</v>
      </c>
      <c r="BY57" s="884">
        <f t="shared" ref="BY57:BY62" si="355">BY23/$BY$35</f>
        <v>60751.585002917192</v>
      </c>
      <c r="BZ57" s="875">
        <f t="shared" ref="BZ57:BZ62" si="356">BZ23/$BZ$35</f>
        <v>82507.810956091926</v>
      </c>
      <c r="CA57" s="876">
        <f t="shared" ref="CA57:CA62" si="357">SUM(BO57:BZ57)</f>
        <v>593094.30111509212</v>
      </c>
      <c r="CB57" s="884">
        <f t="shared" ref="CB57:CB62" si="358">CB23/$CB$35</f>
        <v>20238.202274699463</v>
      </c>
      <c r="CC57" s="884">
        <f t="shared" ref="CC57:CC62" si="359">CC23/$CC$35</f>
        <v>35572.447402050675</v>
      </c>
      <c r="CD57" s="884">
        <f t="shared" ref="CD57:CD62" si="360">CD23/$CD$35</f>
        <v>32644.789642582036</v>
      </c>
      <c r="CE57" s="884">
        <f t="shared" ref="CE57:CE62" si="361">CE23/$CE$35</f>
        <v>38819.606383769002</v>
      </c>
      <c r="CF57" s="884">
        <f t="shared" ref="CF57:CF62" si="362">CF23/$CF$35</f>
        <v>31569.32159026746</v>
      </c>
      <c r="CG57" s="884">
        <f t="shared" ref="CG57:CG62" si="363">CG23/$CG$35</f>
        <v>40327.88536841773</v>
      </c>
      <c r="CH57" s="884">
        <f t="shared" ref="CH57:CH62" si="364">CH23/$CH$35</f>
        <v>36510.410795918753</v>
      </c>
      <c r="CI57" s="884">
        <f t="shared" ref="CI57:CI62" si="365">CI23/$CI$35</f>
        <v>33216.758410164439</v>
      </c>
      <c r="CJ57" s="884">
        <f t="shared" ref="CJ57:CJ62" si="366">CJ23/$CJ$35</f>
        <v>49214.519843642993</v>
      </c>
      <c r="CK57" s="884">
        <f t="shared" ref="CK57:CK62" si="367">CK23/$CK$35</f>
        <v>50240.582468314889</v>
      </c>
      <c r="CL57" s="884">
        <f t="shared" ref="CL57:CL62" si="368">CL23/$CL$35</f>
        <v>45966.784910073809</v>
      </c>
      <c r="CM57" s="875">
        <f t="shared" ref="CM57:CM62" si="369">CM23/$CM$35</f>
        <v>70818.770444820548</v>
      </c>
      <c r="CN57" s="876">
        <f t="shared" si="250"/>
        <v>485140.07953472179</v>
      </c>
      <c r="CO57" s="884">
        <f t="shared" ref="CO57:CO62" si="370">CO23/$CO$35</f>
        <v>22060.15948691939</v>
      </c>
      <c r="CP57" s="884">
        <f t="shared" ref="CP57:CP62" si="371">CP23/$CP$35</f>
        <v>27738.626933087406</v>
      </c>
      <c r="CQ57" s="884">
        <f t="shared" ref="CQ57:CQ62" si="372">CQ23/$CQ$35</f>
        <v>38295.154217063391</v>
      </c>
      <c r="CR57" s="884">
        <f t="shared" ref="CR57:CR62" si="373">CR23/$CR$35</f>
        <v>32878.925243456288</v>
      </c>
      <c r="CS57" s="884">
        <f t="shared" ref="CS57:CS64" si="374">CS23/$CS$35</f>
        <v>35320.393162844048</v>
      </c>
      <c r="CT57" s="884">
        <f t="shared" ref="CT57:CT62" si="375">CT23/$CT$35</f>
        <v>36080.965735944032</v>
      </c>
      <c r="CU57" s="884">
        <f t="shared" ref="CU57:CU62" si="376">CU23/$CU$35</f>
        <v>33157.774318578551</v>
      </c>
      <c r="CV57" s="884">
        <f t="shared" ref="CV57:CV62" si="377">CV23/$CV$35</f>
        <v>38000.688062343317</v>
      </c>
      <c r="CW57" s="884">
        <f t="shared" ref="CW57:CW62" si="378">CW23/$CW$35</f>
        <v>30041.980830159842</v>
      </c>
      <c r="CX57" s="884">
        <f t="shared" ref="CX57:CX62" si="379">CX23/$CX$35</f>
        <v>42752.870850797444</v>
      </c>
      <c r="CY57" s="884">
        <f t="shared" ref="CY57:CY62" si="380">CY23/$CY$35</f>
        <v>38408.791955101246</v>
      </c>
      <c r="CZ57" s="875">
        <f t="shared" ref="CZ57:CZ62" si="381">CZ23/$CZ$35</f>
        <v>63011.919713375297</v>
      </c>
      <c r="DA57" s="876">
        <f t="shared" si="278"/>
        <v>437748.2505096703</v>
      </c>
      <c r="DB57" s="884">
        <f t="shared" ref="DB57:DB62" si="382">DB23/$DB$35</f>
        <v>30565.069819182365</v>
      </c>
      <c r="DC57" s="884">
        <f t="shared" ref="DC57:DC62" si="383">DC23/$DC$35</f>
        <v>33079.61188166339</v>
      </c>
      <c r="DD57" s="884">
        <f t="shared" ref="DD57:DD62" si="384">DD23/$DD$35</f>
        <v>29399.36013503321</v>
      </c>
      <c r="DE57" s="884">
        <f t="shared" ref="DE57:DE62" si="385">DE23/$DE$35</f>
        <v>32432.381710757367</v>
      </c>
      <c r="DF57" s="884">
        <f t="shared" ref="DF57:DF62" si="386">DF23/$DF$35</f>
        <v>31827.629929745992</v>
      </c>
      <c r="DG57" s="884">
        <f t="shared" ref="DG57:DG62" si="387">DG23/$DG$35</f>
        <v>33197.418485708971</v>
      </c>
      <c r="DH57" s="884">
        <f t="shared" ref="DH57:DH62" si="388">DH23/$DH$35</f>
        <v>29801.500214389729</v>
      </c>
      <c r="DI57" s="884">
        <f t="shared" ref="DI57:DI62" si="389">DI23/$DI$35</f>
        <v>33814.420600669873</v>
      </c>
      <c r="DJ57" s="884">
        <f t="shared" ref="DJ57:DJ64" si="390">DJ23/$DJ$35</f>
        <v>27683.479162768108</v>
      </c>
      <c r="DK57" s="884">
        <f t="shared" ref="DK57:DK62" si="391">DK23/$DK$35</f>
        <v>35823.077142000511</v>
      </c>
      <c r="DL57" s="884">
        <f t="shared" ref="DL57:DL62" si="392">DL23/$DL$35</f>
        <v>35218.670079262047</v>
      </c>
      <c r="DM57" s="875">
        <f t="shared" ref="DM57:DM62" si="393">DM23/$DM$35</f>
        <v>56588.623193930311</v>
      </c>
      <c r="DN57" s="876">
        <f t="shared" si="251"/>
        <v>409431.24235511187</v>
      </c>
      <c r="DO57" s="884">
        <f t="shared" ref="DO57:DO62" si="394">DO23/$DO$35</f>
        <v>24688.176181284642</v>
      </c>
      <c r="DP57" s="884">
        <f t="shared" ref="DP57:DP62" si="395">DP23/$DP$35</f>
        <v>44204.386369853048</v>
      </c>
      <c r="DQ57" s="884">
        <f t="shared" ref="DQ57:DQ64" si="396">DQ23/$DQ$35</f>
        <v>27758.718348462593</v>
      </c>
      <c r="DR57" s="884">
        <f t="shared" ref="DR57:DR62" si="397">DR23/$DR$35</f>
        <v>35600.883113510856</v>
      </c>
      <c r="DS57" s="884">
        <f t="shared" ref="DS57:DS62" si="398">DS23/$DS$35</f>
        <v>32729.377253286773</v>
      </c>
      <c r="DT57" s="884">
        <f t="shared" ref="DT57:DT62" si="399">DT23/$DT$35</f>
        <v>38670.929847959371</v>
      </c>
      <c r="DU57" s="884">
        <f t="shared" ref="DU57:DU62" si="400">DU23/$DU$35</f>
        <v>40469.437015199335</v>
      </c>
      <c r="DV57" s="884">
        <f t="shared" ref="DV57:DV62" si="401">DV23/$DV$35</f>
        <v>40656.607157449274</v>
      </c>
      <c r="DW57" s="884">
        <f t="shared" ref="DW57:DW64" si="402">DW23/$DW$35</f>
        <v>36725.395864319791</v>
      </c>
      <c r="DX57" s="884">
        <f t="shared" ref="DX57:DX62" si="403">DX23/$DX$35</f>
        <v>50641.009282208855</v>
      </c>
      <c r="DY57" s="884">
        <f t="shared" ref="DY57:DY62" si="404">DY23/$DY$35</f>
        <v>45341.074220807168</v>
      </c>
      <c r="DZ57" s="875">
        <f t="shared" ref="DZ57:DZ62" si="405">DZ23/$DZ$35</f>
        <v>63976.808074776694</v>
      </c>
      <c r="EA57" s="876">
        <f t="shared" si="252"/>
        <v>481462.80272911838</v>
      </c>
      <c r="EB57" s="884">
        <f t="shared" si="253"/>
        <v>32670.324067302634</v>
      </c>
      <c r="EC57" s="884">
        <f t="shared" si="254"/>
        <v>34087.344936137983</v>
      </c>
      <c r="ED57" s="884">
        <f t="shared" si="255"/>
        <v>35693.549863500477</v>
      </c>
      <c r="EE57" s="884">
        <f t="shared" si="256"/>
        <v>37875.96010189403</v>
      </c>
      <c r="EF57" s="884">
        <f t="shared" si="257"/>
        <v>43264.83797006066</v>
      </c>
      <c r="EG57" s="884">
        <f t="shared" si="258"/>
        <v>46131.450212736432</v>
      </c>
      <c r="EH57" s="884">
        <f t="shared" si="259"/>
        <v>42261.651812108605</v>
      </c>
      <c r="EI57" s="884">
        <f t="shared" si="260"/>
        <v>34443.013254666774</v>
      </c>
      <c r="EJ57" s="884">
        <f t="shared" si="261"/>
        <v>54732.315403914108</v>
      </c>
      <c r="EK57" s="884">
        <f t="shared" si="262"/>
        <v>44040.439866347842</v>
      </c>
      <c r="EL57" s="884">
        <f t="shared" si="263"/>
        <v>41937.541602159588</v>
      </c>
      <c r="EM57" s="875">
        <f t="shared" si="264"/>
        <v>84502.02553533137</v>
      </c>
      <c r="EN57" s="876">
        <f t="shared" ref="EN57:EN63" si="406">SUM(EB57:EM57)</f>
        <v>531640.45462616044</v>
      </c>
      <c r="EO57" s="884">
        <f t="shared" si="266"/>
        <v>48255.756157230469</v>
      </c>
      <c r="EP57" s="884">
        <f t="shared" si="267"/>
        <v>32212.337241504134</v>
      </c>
      <c r="EQ57" s="884">
        <f t="shared" si="268"/>
        <v>39813.27412994139</v>
      </c>
      <c r="ER57" s="884">
        <f t="shared" si="269"/>
        <v>39949.554369330719</v>
      </c>
      <c r="ES57" s="884">
        <f t="shared" si="270"/>
        <v>41095.613000154975</v>
      </c>
      <c r="ET57" s="884">
        <f>ET23/$ET$35</f>
        <v>43347.590027704471</v>
      </c>
      <c r="EU57" s="884">
        <f t="shared" si="272"/>
        <v>43679.570625444314</v>
      </c>
      <c r="EV57" s="971">
        <f t="shared" si="273"/>
        <v>36790.239914631326</v>
      </c>
      <c r="EW57" s="884"/>
      <c r="EX57" s="884"/>
      <c r="EY57" s="884"/>
      <c r="EZ57" s="875"/>
      <c r="FA57" s="876">
        <f t="shared" si="274"/>
        <v>325143.93546594179</v>
      </c>
      <c r="FC57" s="847">
        <f t="shared" si="275"/>
        <v>6.8148121728185851</v>
      </c>
      <c r="FD57" s="848">
        <f t="shared" si="276"/>
        <v>6.1077300938526369</v>
      </c>
      <c r="FE57" s="849">
        <f t="shared" si="279"/>
        <v>306428.13221840758</v>
      </c>
      <c r="FF57" s="850">
        <f t="shared" si="243"/>
        <v>325143.93546594179</v>
      </c>
      <c r="FH57" s="793"/>
    </row>
    <row r="58" spans="1:164" ht="15" customHeight="1" x14ac:dyDescent="0.25">
      <c r="A58" s="402" t="s">
        <v>384</v>
      </c>
      <c r="B58" s="883">
        <f t="shared" si="280"/>
        <v>23751.11009497639</v>
      </c>
      <c r="C58" s="883">
        <f t="shared" si="281"/>
        <v>36695.411056158147</v>
      </c>
      <c r="D58" s="883">
        <f t="shared" si="282"/>
        <v>32899.087333271033</v>
      </c>
      <c r="E58" s="883">
        <f t="shared" si="283"/>
        <v>27089.540293862152</v>
      </c>
      <c r="F58" s="883">
        <f t="shared" si="284"/>
        <v>22960.891075613159</v>
      </c>
      <c r="G58" s="883">
        <f t="shared" si="285"/>
        <v>36650.525932048535</v>
      </c>
      <c r="H58" s="883">
        <f t="shared" si="286"/>
        <v>28580.97704605254</v>
      </c>
      <c r="I58" s="883">
        <f t="shared" si="287"/>
        <v>29495.37619571534</v>
      </c>
      <c r="J58" s="883">
        <f t="shared" si="288"/>
        <v>50483.418226101428</v>
      </c>
      <c r="K58" s="883">
        <f t="shared" si="289"/>
        <v>38104.752173215202</v>
      </c>
      <c r="L58" s="883">
        <f t="shared" si="290"/>
        <v>36264.311040080109</v>
      </c>
      <c r="M58" s="873">
        <f t="shared" si="291"/>
        <v>122561.52889720383</v>
      </c>
      <c r="N58" s="879">
        <f t="shared" si="292"/>
        <v>485536.92936429789</v>
      </c>
      <c r="O58" s="883">
        <f t="shared" si="293"/>
        <v>22694.812545137294</v>
      </c>
      <c r="P58" s="883">
        <f t="shared" si="294"/>
        <v>37254.921165431449</v>
      </c>
      <c r="Q58" s="883">
        <f t="shared" si="295"/>
        <v>35241.708728880541</v>
      </c>
      <c r="R58" s="883">
        <f t="shared" si="296"/>
        <v>51607.717491053685</v>
      </c>
      <c r="S58" s="883">
        <f t="shared" si="297"/>
        <v>28347.826568599583</v>
      </c>
      <c r="T58" s="883">
        <f t="shared" si="298"/>
        <v>37372.285698706823</v>
      </c>
      <c r="U58" s="883">
        <f t="shared" si="299"/>
        <v>39953.307204713397</v>
      </c>
      <c r="V58" s="883">
        <f t="shared" si="300"/>
        <v>58334.334136163074</v>
      </c>
      <c r="W58" s="883">
        <f t="shared" si="301"/>
        <v>39294.746931427595</v>
      </c>
      <c r="X58" s="883">
        <f t="shared" si="302"/>
        <v>44343.478863378266</v>
      </c>
      <c r="Y58" s="883">
        <f t="shared" si="303"/>
        <v>58076.502386207649</v>
      </c>
      <c r="Z58" s="873">
        <f t="shared" si="304"/>
        <v>75494.414369367762</v>
      </c>
      <c r="AA58" s="879">
        <f t="shared" si="305"/>
        <v>528016.05608906713</v>
      </c>
      <c r="AB58" s="883">
        <f t="shared" si="306"/>
        <v>24893.915837481047</v>
      </c>
      <c r="AC58" s="883">
        <f t="shared" si="307"/>
        <v>57123.138695800058</v>
      </c>
      <c r="AD58" s="883">
        <f t="shared" si="308"/>
        <v>43719.963674235274</v>
      </c>
      <c r="AE58" s="883">
        <f t="shared" si="309"/>
        <v>36511.618071336437</v>
      </c>
      <c r="AF58" s="883">
        <f t="shared" si="310"/>
        <v>39439.941828079332</v>
      </c>
      <c r="AG58" s="883">
        <f t="shared" si="311"/>
        <v>55400.454857678546</v>
      </c>
      <c r="AH58" s="883">
        <f t="shared" si="312"/>
        <v>54273.554261601988</v>
      </c>
      <c r="AI58" s="883">
        <f t="shared" si="313"/>
        <v>47188.893947971279</v>
      </c>
      <c r="AJ58" s="883">
        <f t="shared" si="314"/>
        <v>42672.348118784059</v>
      </c>
      <c r="AK58" s="883">
        <f t="shared" si="315"/>
        <v>48174.182607798932</v>
      </c>
      <c r="AL58" s="883">
        <f t="shared" si="316"/>
        <v>48846.149092145184</v>
      </c>
      <c r="AM58" s="873">
        <f t="shared" si="317"/>
        <v>56630.271987215092</v>
      </c>
      <c r="AN58" s="879">
        <f t="shared" si="318"/>
        <v>554874.4329801274</v>
      </c>
      <c r="AO58" s="883">
        <f t="shared" si="319"/>
        <v>32424.275598669978</v>
      </c>
      <c r="AP58" s="883">
        <f t="shared" si="320"/>
        <v>33297.777652554403</v>
      </c>
      <c r="AQ58" s="883">
        <f t="shared" si="321"/>
        <v>24904.619845432739</v>
      </c>
      <c r="AR58" s="883">
        <f t="shared" si="322"/>
        <v>33429.467924038305</v>
      </c>
      <c r="AS58" s="883">
        <f t="shared" si="323"/>
        <v>39155.776263066313</v>
      </c>
      <c r="AT58" s="883">
        <f t="shared" si="324"/>
        <v>31542.203224388559</v>
      </c>
      <c r="AU58" s="883">
        <f t="shared" si="325"/>
        <v>35963.018451484604</v>
      </c>
      <c r="AV58" s="883">
        <f t="shared" si="326"/>
        <v>35031.597754290618</v>
      </c>
      <c r="AW58" s="883">
        <f t="shared" si="327"/>
        <v>30193.710713566841</v>
      </c>
      <c r="AX58" s="883">
        <f t="shared" si="328"/>
        <v>32476.268957424028</v>
      </c>
      <c r="AY58" s="883">
        <f t="shared" si="329"/>
        <v>28495.929087289125</v>
      </c>
      <c r="AZ58" s="873">
        <f t="shared" si="330"/>
        <v>45186.632262818035</v>
      </c>
      <c r="BA58" s="879">
        <f t="shared" si="331"/>
        <v>402101.27773502358</v>
      </c>
      <c r="BB58" s="883">
        <f t="shared" si="332"/>
        <v>29805.85458899902</v>
      </c>
      <c r="BC58" s="883">
        <f t="shared" si="333"/>
        <v>29252.498060901158</v>
      </c>
      <c r="BD58" s="883">
        <f t="shared" si="334"/>
        <v>26072.079238482111</v>
      </c>
      <c r="BE58" s="883">
        <f t="shared" si="335"/>
        <v>33792.149940348441</v>
      </c>
      <c r="BF58" s="883">
        <f t="shared" si="336"/>
        <v>34981.318349534988</v>
      </c>
      <c r="BG58" s="883">
        <f t="shared" si="337"/>
        <v>32135.760189078483</v>
      </c>
      <c r="BH58" s="883">
        <f t="shared" si="338"/>
        <v>42379.034036340789</v>
      </c>
      <c r="BI58" s="883">
        <f t="shared" si="339"/>
        <v>26448.067947389798</v>
      </c>
      <c r="BJ58" s="883">
        <f t="shared" si="340"/>
        <v>31179.416305777024</v>
      </c>
      <c r="BK58" s="883">
        <f t="shared" si="341"/>
        <v>33999.515857571612</v>
      </c>
      <c r="BL58" s="883">
        <f t="shared" si="342"/>
        <v>49514.156146074034</v>
      </c>
      <c r="BM58" s="873">
        <f t="shared" si="343"/>
        <v>60085.958119642302</v>
      </c>
      <c r="BN58" s="879">
        <f t="shared" si="344"/>
        <v>429645.80878013972</v>
      </c>
      <c r="BO58" s="883">
        <f t="shared" si="345"/>
        <v>25486.492670237309</v>
      </c>
      <c r="BP58" s="883">
        <f t="shared" si="346"/>
        <v>34834.804276402523</v>
      </c>
      <c r="BQ58" s="883">
        <f t="shared" si="347"/>
        <v>38866.13328171071</v>
      </c>
      <c r="BR58" s="883">
        <f t="shared" si="348"/>
        <v>49809.230387806761</v>
      </c>
      <c r="BS58" s="883">
        <f t="shared" si="349"/>
        <v>46657.189793404483</v>
      </c>
      <c r="BT58" s="883">
        <f t="shared" si="350"/>
        <v>21330.115940121585</v>
      </c>
      <c r="BU58" s="883">
        <f t="shared" si="351"/>
        <v>31103.348299168603</v>
      </c>
      <c r="BV58" s="883">
        <f t="shared" si="352"/>
        <v>43047.83924362695</v>
      </c>
      <c r="BW58" s="883">
        <f t="shared" si="353"/>
        <v>33583.423708938033</v>
      </c>
      <c r="BX58" s="883">
        <f t="shared" si="354"/>
        <v>31520.754633709541</v>
      </c>
      <c r="BY58" s="883">
        <f t="shared" si="355"/>
        <v>33556.530431532505</v>
      </c>
      <c r="BZ58" s="873">
        <f t="shared" si="356"/>
        <v>46783.213371354381</v>
      </c>
      <c r="CA58" s="879">
        <f t="shared" si="357"/>
        <v>436579.07603801345</v>
      </c>
      <c r="CB58" s="883">
        <f t="shared" si="358"/>
        <v>17956.863745282644</v>
      </c>
      <c r="CC58" s="883">
        <f t="shared" si="359"/>
        <v>31088.185208917545</v>
      </c>
      <c r="CD58" s="883">
        <f t="shared" si="360"/>
        <v>24250.87405071417</v>
      </c>
      <c r="CE58" s="883">
        <f t="shared" si="361"/>
        <v>31779.826513414755</v>
      </c>
      <c r="CF58" s="883">
        <f t="shared" si="362"/>
        <v>22758.719035299684</v>
      </c>
      <c r="CG58" s="883">
        <f t="shared" si="363"/>
        <v>25236.331707112786</v>
      </c>
      <c r="CH58" s="883">
        <f t="shared" si="364"/>
        <v>27195.449530842401</v>
      </c>
      <c r="CI58" s="883">
        <f t="shared" si="365"/>
        <v>24676.367408516169</v>
      </c>
      <c r="CJ58" s="883">
        <f t="shared" si="366"/>
        <v>24544.30749507773</v>
      </c>
      <c r="CK58" s="883">
        <f t="shared" si="367"/>
        <v>25808.774724097235</v>
      </c>
      <c r="CL58" s="883">
        <f t="shared" si="368"/>
        <v>28143.926745276887</v>
      </c>
      <c r="CM58" s="873">
        <f t="shared" si="369"/>
        <v>35022.142918612291</v>
      </c>
      <c r="CN58" s="879">
        <f t="shared" si="250"/>
        <v>318461.76908316428</v>
      </c>
      <c r="CO58" s="883">
        <f t="shared" si="370"/>
        <v>21065.338315017725</v>
      </c>
      <c r="CP58" s="883">
        <f t="shared" si="371"/>
        <v>25642.638736117471</v>
      </c>
      <c r="CQ58" s="883">
        <f t="shared" si="372"/>
        <v>36268.574405314655</v>
      </c>
      <c r="CR58" s="883">
        <f t="shared" si="373"/>
        <v>31224.67872162013</v>
      </c>
      <c r="CS58" s="883">
        <f t="shared" si="374"/>
        <v>22812.156132966917</v>
      </c>
      <c r="CT58" s="883">
        <f t="shared" si="375"/>
        <v>33691.206526289876</v>
      </c>
      <c r="CU58" s="883">
        <f t="shared" si="376"/>
        <v>28545.618628898377</v>
      </c>
      <c r="CV58" s="883">
        <f t="shared" si="377"/>
        <v>32183.83908285787</v>
      </c>
      <c r="CW58" s="883">
        <f t="shared" si="378"/>
        <v>27640.799275542522</v>
      </c>
      <c r="CX58" s="883">
        <f t="shared" si="379"/>
        <v>39244.414256590208</v>
      </c>
      <c r="CY58" s="883">
        <f t="shared" si="380"/>
        <v>34530.146060803789</v>
      </c>
      <c r="CZ58" s="873">
        <f t="shared" si="381"/>
        <v>44054.226019175716</v>
      </c>
      <c r="DA58" s="879">
        <f t="shared" si="278"/>
        <v>376903.63616119523</v>
      </c>
      <c r="DB58" s="883">
        <f t="shared" si="382"/>
        <v>29413.010831950127</v>
      </c>
      <c r="DC58" s="883">
        <f t="shared" si="383"/>
        <v>31445.176628594367</v>
      </c>
      <c r="DD58" s="883">
        <f t="shared" si="384"/>
        <v>27314.639353248069</v>
      </c>
      <c r="DE58" s="883">
        <f t="shared" si="385"/>
        <v>30675.381039297918</v>
      </c>
      <c r="DF58" s="883">
        <f t="shared" si="386"/>
        <v>28610.148385924604</v>
      </c>
      <c r="DG58" s="883">
        <f t="shared" si="387"/>
        <v>31285.603379857017</v>
      </c>
      <c r="DH58" s="883">
        <f t="shared" si="388"/>
        <v>26954.062945621947</v>
      </c>
      <c r="DI58" s="883">
        <f t="shared" si="389"/>
        <v>30024.618224464943</v>
      </c>
      <c r="DJ58" s="883">
        <f t="shared" si="390"/>
        <v>25155.362137025702</v>
      </c>
      <c r="DK58" s="883">
        <f t="shared" si="391"/>
        <v>32923.056644813034</v>
      </c>
      <c r="DL58" s="883">
        <f t="shared" si="392"/>
        <v>30616.847750406061</v>
      </c>
      <c r="DM58" s="873">
        <f t="shared" si="393"/>
        <v>48321.505865795043</v>
      </c>
      <c r="DN58" s="879">
        <f t="shared" si="251"/>
        <v>372739.41318699881</v>
      </c>
      <c r="DO58" s="883">
        <f t="shared" si="394"/>
        <v>21595.461820919772</v>
      </c>
      <c r="DP58" s="883">
        <f t="shared" si="395"/>
        <v>40513.230052138722</v>
      </c>
      <c r="DQ58" s="883">
        <f t="shared" si="396"/>
        <v>24691.549590436327</v>
      </c>
      <c r="DR58" s="883">
        <f t="shared" si="397"/>
        <v>32649.991275047167</v>
      </c>
      <c r="DS58" s="883">
        <f t="shared" si="398"/>
        <v>30363.168158012439</v>
      </c>
      <c r="DT58" s="883">
        <f t="shared" si="399"/>
        <v>36013.677475009616</v>
      </c>
      <c r="DU58" s="883">
        <f t="shared" si="400"/>
        <v>34423.527370972108</v>
      </c>
      <c r="DV58" s="883">
        <f t="shared" si="401"/>
        <v>36643.950115094733</v>
      </c>
      <c r="DW58" s="883">
        <f t="shared" si="402"/>
        <v>33816.043851311661</v>
      </c>
      <c r="DX58" s="883">
        <f t="shared" si="403"/>
        <v>45543.657453634652</v>
      </c>
      <c r="DY58" s="883">
        <f t="shared" si="404"/>
        <v>37535.816707940852</v>
      </c>
      <c r="DZ58" s="873">
        <f t="shared" si="405"/>
        <v>55105.820671753769</v>
      </c>
      <c r="EA58" s="879">
        <f t="shared" si="252"/>
        <v>428895.8945422718</v>
      </c>
      <c r="EB58" s="883">
        <f t="shared" si="253"/>
        <v>30638.3190411918</v>
      </c>
      <c r="EC58" s="883">
        <f t="shared" si="254"/>
        <v>30807.923241478016</v>
      </c>
      <c r="ED58" s="883">
        <f t="shared" si="255"/>
        <v>32602.135124962071</v>
      </c>
      <c r="EE58" s="883">
        <f t="shared" si="256"/>
        <v>32439.644529965273</v>
      </c>
      <c r="EF58" s="883">
        <f t="shared" si="257"/>
        <v>39119.581452789302</v>
      </c>
      <c r="EG58" s="883">
        <f t="shared" si="258"/>
        <v>40681.83763919054</v>
      </c>
      <c r="EH58" s="883">
        <f t="shared" si="259"/>
        <v>38310.09300784146</v>
      </c>
      <c r="EI58" s="883">
        <f t="shared" si="260"/>
        <v>31398.162373697014</v>
      </c>
      <c r="EJ58" s="883">
        <f t="shared" si="261"/>
        <v>50710.071212554067</v>
      </c>
      <c r="EK58" s="883">
        <f t="shared" si="262"/>
        <v>38463.309671083472</v>
      </c>
      <c r="EL58" s="883">
        <f t="shared" si="263"/>
        <v>38042.033008536549</v>
      </c>
      <c r="EM58" s="873">
        <f t="shared" si="264"/>
        <v>71481.858160322678</v>
      </c>
      <c r="EN58" s="879">
        <f t="shared" si="406"/>
        <v>474694.96846361225</v>
      </c>
      <c r="EO58" s="883">
        <f t="shared" si="266"/>
        <v>45788.151006788954</v>
      </c>
      <c r="EP58" s="883">
        <f t="shared" si="267"/>
        <v>29099.823090590035</v>
      </c>
      <c r="EQ58" s="883">
        <f>EQ24/$EQ$35</f>
        <v>35928.271735138012</v>
      </c>
      <c r="ER58" s="883">
        <f t="shared" si="269"/>
        <v>34615.943173829102</v>
      </c>
      <c r="ES58" s="883">
        <f t="shared" si="270"/>
        <v>37157.551361514546</v>
      </c>
      <c r="ET58" s="883">
        <f t="shared" si="271"/>
        <v>39751.551330572998</v>
      </c>
      <c r="EU58" s="883">
        <f t="shared" si="272"/>
        <v>38839.854955481504</v>
      </c>
      <c r="EV58" s="973">
        <f t="shared" si="273"/>
        <v>32035.272452411435</v>
      </c>
      <c r="EW58" s="883"/>
      <c r="EX58" s="883"/>
      <c r="EY58" s="883"/>
      <c r="EZ58" s="873"/>
      <c r="FA58" s="879">
        <f t="shared" si="274"/>
        <v>293216.41910632659</v>
      </c>
      <c r="FC58" s="843">
        <f t="shared" si="275"/>
        <v>2.0291317406783804</v>
      </c>
      <c r="FD58" s="844">
        <f t="shared" si="276"/>
        <v>6.2387197136467121</v>
      </c>
      <c r="FE58" s="845">
        <f t="shared" si="279"/>
        <v>275997.69641111552</v>
      </c>
      <c r="FF58" s="846">
        <f t="shared" si="243"/>
        <v>293216.41910632659</v>
      </c>
    </row>
    <row r="59" spans="1:164" ht="15" customHeight="1" x14ac:dyDescent="0.25">
      <c r="A59" s="402" t="s">
        <v>385</v>
      </c>
      <c r="B59" s="883">
        <f t="shared" si="280"/>
        <v>1025.5839677699753</v>
      </c>
      <c r="C59" s="883">
        <f t="shared" si="281"/>
        <v>1122.8092166522458</v>
      </c>
      <c r="D59" s="883">
        <f t="shared" si="282"/>
        <v>1347.6284857957005</v>
      </c>
      <c r="E59" s="883">
        <f t="shared" si="283"/>
        <v>1893.9130166559808</v>
      </c>
      <c r="F59" s="883">
        <f t="shared" si="284"/>
        <v>2486.5055150321818</v>
      </c>
      <c r="G59" s="883">
        <f t="shared" si="285"/>
        <v>1380.4312299856142</v>
      </c>
      <c r="H59" s="883">
        <f t="shared" si="286"/>
        <v>1698.3187408763101</v>
      </c>
      <c r="I59" s="883">
        <f t="shared" si="287"/>
        <v>1708.6409423338209</v>
      </c>
      <c r="J59" s="883">
        <f t="shared" si="288"/>
        <v>1737.0540310303443</v>
      </c>
      <c r="K59" s="883">
        <f t="shared" si="289"/>
        <v>1850.9260416481281</v>
      </c>
      <c r="L59" s="883">
        <f t="shared" si="290"/>
        <v>3183.2595569337082</v>
      </c>
      <c r="M59" s="873">
        <f t="shared" si="291"/>
        <v>12396.95539441298</v>
      </c>
      <c r="N59" s="879">
        <f t="shared" si="292"/>
        <v>31832.026139126989</v>
      </c>
      <c r="O59" s="883">
        <f t="shared" si="293"/>
        <v>817.50615975067467</v>
      </c>
      <c r="P59" s="883">
        <f t="shared" si="294"/>
        <v>1344.1956011849788</v>
      </c>
      <c r="Q59" s="883">
        <f t="shared" si="295"/>
        <v>1825.3153133103326</v>
      </c>
      <c r="R59" s="883">
        <f t="shared" si="296"/>
        <v>1488.1393255149255</v>
      </c>
      <c r="S59" s="883">
        <f t="shared" si="297"/>
        <v>2269.9390809090683</v>
      </c>
      <c r="T59" s="883">
        <f t="shared" si="298"/>
        <v>2028.2760120366906</v>
      </c>
      <c r="U59" s="883">
        <f t="shared" si="299"/>
        <v>2495.0865960913752</v>
      </c>
      <c r="V59" s="883">
        <f t="shared" si="300"/>
        <v>1781.2010423255902</v>
      </c>
      <c r="W59" s="883">
        <f t="shared" si="301"/>
        <v>2128.0902318688386</v>
      </c>
      <c r="X59" s="883">
        <f t="shared" si="302"/>
        <v>1485.7123803529091</v>
      </c>
      <c r="Y59" s="883">
        <f t="shared" si="303"/>
        <v>2217.359834889286</v>
      </c>
      <c r="Z59" s="873">
        <f t="shared" si="304"/>
        <v>4670.7292132482489</v>
      </c>
      <c r="AA59" s="879">
        <f t="shared" si="305"/>
        <v>24551.550791482914</v>
      </c>
      <c r="AB59" s="883">
        <f t="shared" si="306"/>
        <v>789.34594794296515</v>
      </c>
      <c r="AC59" s="883">
        <f t="shared" si="307"/>
        <v>1341.1677460406602</v>
      </c>
      <c r="AD59" s="883">
        <f t="shared" si="308"/>
        <v>2211.8533435807935</v>
      </c>
      <c r="AE59" s="883">
        <f t="shared" si="309"/>
        <v>1584.1164056080465</v>
      </c>
      <c r="AF59" s="883">
        <f t="shared" si="310"/>
        <v>3549.1470593029753</v>
      </c>
      <c r="AG59" s="883">
        <f t="shared" si="311"/>
        <v>2017.9021521831266</v>
      </c>
      <c r="AH59" s="883">
        <f t="shared" si="312"/>
        <v>3259.7336220959514</v>
      </c>
      <c r="AI59" s="883">
        <f t="shared" si="313"/>
        <v>1817.6324762297295</v>
      </c>
      <c r="AJ59" s="883">
        <f t="shared" si="314"/>
        <v>1330.3284891322046</v>
      </c>
      <c r="AK59" s="883">
        <f t="shared" si="315"/>
        <v>1924.5750956569289</v>
      </c>
      <c r="AL59" s="883">
        <f t="shared" si="316"/>
        <v>2103.8752265835647</v>
      </c>
      <c r="AM59" s="873">
        <f t="shared" si="317"/>
        <v>3300.7053719286414</v>
      </c>
      <c r="AN59" s="879">
        <f t="shared" si="318"/>
        <v>25230.382936285587</v>
      </c>
      <c r="AO59" s="883">
        <f t="shared" si="319"/>
        <v>1231.7481249849984</v>
      </c>
      <c r="AP59" s="883">
        <f t="shared" si="320"/>
        <v>1376.6059168829777</v>
      </c>
      <c r="AQ59" s="883">
        <f t="shared" si="321"/>
        <v>1412.0550002747436</v>
      </c>
      <c r="AR59" s="883">
        <f t="shared" si="322"/>
        <v>2377.2384125795838</v>
      </c>
      <c r="AS59" s="883">
        <f t="shared" si="323"/>
        <v>2434.7154404183357</v>
      </c>
      <c r="AT59" s="883">
        <f t="shared" si="324"/>
        <v>2142.8902308122542</v>
      </c>
      <c r="AU59" s="883">
        <f t="shared" si="325"/>
        <v>4653.8872424723086</v>
      </c>
      <c r="AV59" s="883">
        <f t="shared" si="326"/>
        <v>3065.6904953072294</v>
      </c>
      <c r="AW59" s="883">
        <f t="shared" si="327"/>
        <v>6096.3848101012463</v>
      </c>
      <c r="AX59" s="883">
        <f t="shared" si="328"/>
        <v>2719.9175971139912</v>
      </c>
      <c r="AY59" s="883">
        <f t="shared" si="329"/>
        <v>2728.6719626503141</v>
      </c>
      <c r="AZ59" s="873">
        <f t="shared" si="330"/>
        <v>4026.7481141580461</v>
      </c>
      <c r="BA59" s="879">
        <f t="shared" si="331"/>
        <v>34266.553347756031</v>
      </c>
      <c r="BB59" s="883">
        <f t="shared" si="332"/>
        <v>1447.2899591110452</v>
      </c>
      <c r="BC59" s="883">
        <f t="shared" si="333"/>
        <v>1464.4202259181786</v>
      </c>
      <c r="BD59" s="883">
        <f t="shared" si="334"/>
        <v>1648.1143864763503</v>
      </c>
      <c r="BE59" s="883">
        <f t="shared" si="335"/>
        <v>2211.9335203708388</v>
      </c>
      <c r="BF59" s="883">
        <f t="shared" si="336"/>
        <v>2159.1686620651176</v>
      </c>
      <c r="BG59" s="883">
        <f t="shared" si="337"/>
        <v>1898.2943574388942</v>
      </c>
      <c r="BH59" s="883">
        <f t="shared" si="338"/>
        <v>2423.9649754171805</v>
      </c>
      <c r="BI59" s="883">
        <f t="shared" si="339"/>
        <v>2178.452477302948</v>
      </c>
      <c r="BJ59" s="883">
        <f t="shared" si="340"/>
        <v>1931.4190451199343</v>
      </c>
      <c r="BK59" s="883">
        <f t="shared" si="341"/>
        <v>2798.7999204594653</v>
      </c>
      <c r="BL59" s="883">
        <f t="shared" si="342"/>
        <v>4488.421417674489</v>
      </c>
      <c r="BM59" s="873">
        <f t="shared" si="343"/>
        <v>6299.0049303603355</v>
      </c>
      <c r="BN59" s="879">
        <f t="shared" si="344"/>
        <v>30949.283877714777</v>
      </c>
      <c r="BO59" s="883">
        <f t="shared" si="345"/>
        <v>4712.7246993806348</v>
      </c>
      <c r="BP59" s="883">
        <f t="shared" si="346"/>
        <v>1464.1465885489822</v>
      </c>
      <c r="BQ59" s="883">
        <f t="shared" si="347"/>
        <v>1002.974842790415</v>
      </c>
      <c r="BR59" s="883">
        <f t="shared" si="348"/>
        <v>822.97566317905103</v>
      </c>
      <c r="BS59" s="883">
        <f t="shared" si="349"/>
        <v>2745.9899872541191</v>
      </c>
      <c r="BT59" s="883">
        <f t="shared" si="350"/>
        <v>1040.4265046725973</v>
      </c>
      <c r="BU59" s="883">
        <f t="shared" si="351"/>
        <v>1311.6569380922865</v>
      </c>
      <c r="BV59" s="883">
        <f t="shared" si="352"/>
        <v>1111.34879846997</v>
      </c>
      <c r="BW59" s="883">
        <f t="shared" si="353"/>
        <v>1249.1170529883204</v>
      </c>
      <c r="BX59" s="883">
        <f t="shared" si="354"/>
        <v>1405.9145590799546</v>
      </c>
      <c r="BY59" s="883">
        <f t="shared" si="355"/>
        <v>1628.9182181136628</v>
      </c>
      <c r="BZ59" s="873">
        <f t="shared" si="356"/>
        <v>3917.4983477885057</v>
      </c>
      <c r="CA59" s="879">
        <f t="shared" si="357"/>
        <v>22413.692200358502</v>
      </c>
      <c r="CB59" s="883">
        <f t="shared" si="358"/>
        <v>686.76040220849029</v>
      </c>
      <c r="CC59" s="883">
        <f t="shared" si="359"/>
        <v>1033.8434431723035</v>
      </c>
      <c r="CD59" s="883">
        <f t="shared" si="360"/>
        <v>1230.0101138366533</v>
      </c>
      <c r="CE59" s="883">
        <f t="shared" si="361"/>
        <v>1239.2799276958181</v>
      </c>
      <c r="CF59" s="883">
        <f t="shared" si="362"/>
        <v>1239.2832680819854</v>
      </c>
      <c r="CG59" s="883">
        <f t="shared" si="363"/>
        <v>1285.3774070094578</v>
      </c>
      <c r="CH59" s="883">
        <f t="shared" si="364"/>
        <v>1787.0618631028733</v>
      </c>
      <c r="CI59" s="883">
        <f t="shared" si="365"/>
        <v>2289.0359036232817</v>
      </c>
      <c r="CJ59" s="883">
        <f t="shared" si="366"/>
        <v>1927.5124477215384</v>
      </c>
      <c r="CK59" s="883">
        <f t="shared" si="367"/>
        <v>1375.6764766182134</v>
      </c>
      <c r="CL59" s="883">
        <f t="shared" si="368"/>
        <v>1989.8901922746829</v>
      </c>
      <c r="CM59" s="873">
        <f t="shared" si="369"/>
        <v>3771.6252060191973</v>
      </c>
      <c r="CN59" s="879">
        <f t="shared" si="250"/>
        <v>19855.356651364495</v>
      </c>
      <c r="CO59" s="883">
        <f t="shared" si="370"/>
        <v>719.96993786985774</v>
      </c>
      <c r="CP59" s="883">
        <f t="shared" si="371"/>
        <v>1382.7037696116497</v>
      </c>
      <c r="CQ59" s="883">
        <f t="shared" si="372"/>
        <v>1282.3520478051491</v>
      </c>
      <c r="CR59" s="883">
        <f t="shared" si="373"/>
        <v>1176.4633928737285</v>
      </c>
      <c r="CS59" s="883">
        <f t="shared" si="374"/>
        <v>12003.209619281151</v>
      </c>
      <c r="CT59" s="883">
        <f t="shared" si="375"/>
        <v>1364.7040067401288</v>
      </c>
      <c r="CU59" s="883">
        <f t="shared" si="376"/>
        <v>2349.3489551684088</v>
      </c>
      <c r="CV59" s="883">
        <f t="shared" si="377"/>
        <v>3118.8313875124518</v>
      </c>
      <c r="CW59" s="883">
        <f t="shared" si="378"/>
        <v>1650.0273746423866</v>
      </c>
      <c r="CX59" s="883">
        <f t="shared" si="379"/>
        <v>2287.916572984811</v>
      </c>
      <c r="CY59" s="883">
        <f t="shared" si="380"/>
        <v>2185.9626126986755</v>
      </c>
      <c r="CZ59" s="873">
        <f t="shared" si="381"/>
        <v>4723.5410315384952</v>
      </c>
      <c r="DA59" s="879">
        <f t="shared" si="278"/>
        <v>34245.030708726896</v>
      </c>
      <c r="DB59" s="883">
        <f t="shared" si="382"/>
        <v>261.16467107404287</v>
      </c>
      <c r="DC59" s="883">
        <f t="shared" si="383"/>
        <v>379.78821311915408</v>
      </c>
      <c r="DD59" s="883">
        <f t="shared" si="384"/>
        <v>779.09720372785443</v>
      </c>
      <c r="DE59" s="883">
        <f t="shared" si="385"/>
        <v>631.64662673664861</v>
      </c>
      <c r="DF59" s="883">
        <f t="shared" si="386"/>
        <v>927.54676272201391</v>
      </c>
      <c r="DG59" s="883">
        <f t="shared" si="387"/>
        <v>628.85634934385962</v>
      </c>
      <c r="DH59" s="883">
        <f t="shared" si="388"/>
        <v>859.03215876314221</v>
      </c>
      <c r="DI59" s="883">
        <f t="shared" si="389"/>
        <v>2036.107767023565</v>
      </c>
      <c r="DJ59" s="883">
        <f t="shared" si="390"/>
        <v>532.26512476224923</v>
      </c>
      <c r="DK59" s="883">
        <f t="shared" si="391"/>
        <v>372.92504621178011</v>
      </c>
      <c r="DL59" s="883">
        <f t="shared" si="392"/>
        <v>1440.321768062073</v>
      </c>
      <c r="DM59" s="873">
        <f t="shared" si="393"/>
        <v>2087.8572910429816</v>
      </c>
      <c r="DN59" s="879">
        <f t="shared" si="251"/>
        <v>10936.608982589363</v>
      </c>
      <c r="DO59" s="883">
        <f t="shared" si="394"/>
        <v>186.81589506439724</v>
      </c>
      <c r="DP59" s="883">
        <f t="shared" si="395"/>
        <v>350.59471546189474</v>
      </c>
      <c r="DQ59" s="883">
        <f t="shared" si="396"/>
        <v>500.16719052274789</v>
      </c>
      <c r="DR59" s="883">
        <f t="shared" si="397"/>
        <v>677.1343058984163</v>
      </c>
      <c r="DS59" s="883">
        <f t="shared" si="398"/>
        <v>651.35323932563574</v>
      </c>
      <c r="DT59" s="883">
        <f t="shared" si="399"/>
        <v>555.79086145909821</v>
      </c>
      <c r="DU59" s="883">
        <f t="shared" si="400"/>
        <v>816.30410613802792</v>
      </c>
      <c r="DV59" s="883">
        <f t="shared" si="401"/>
        <v>680.12081960931334</v>
      </c>
      <c r="DW59" s="883">
        <f t="shared" si="402"/>
        <v>673.92717717700702</v>
      </c>
      <c r="DX59" s="883">
        <f t="shared" si="403"/>
        <v>539.62740640737229</v>
      </c>
      <c r="DY59" s="883">
        <f t="shared" si="404"/>
        <v>479.2996337436536</v>
      </c>
      <c r="DZ59" s="873">
        <f t="shared" si="405"/>
        <v>1033.5239432956992</v>
      </c>
      <c r="EA59" s="879">
        <f t="shared" si="252"/>
        <v>7144.6592941032632</v>
      </c>
      <c r="EB59" s="883">
        <f t="shared" si="253"/>
        <v>475.2901134271354</v>
      </c>
      <c r="EC59" s="883">
        <f t="shared" si="254"/>
        <v>579.87051408299953</v>
      </c>
      <c r="ED59" s="883">
        <f t="shared" si="255"/>
        <v>1118.3126382248533</v>
      </c>
      <c r="EE59" s="883">
        <f t="shared" si="256"/>
        <v>1454.1357762696443</v>
      </c>
      <c r="EF59" s="883">
        <f t="shared" si="257"/>
        <v>902.82328569850381</v>
      </c>
      <c r="EG59" s="883">
        <f t="shared" si="258"/>
        <v>744.48259201446695</v>
      </c>
      <c r="EH59" s="883">
        <f t="shared" si="259"/>
        <v>863.81889761896753</v>
      </c>
      <c r="EI59" s="883">
        <f t="shared" si="260"/>
        <v>797.35583961603811</v>
      </c>
      <c r="EJ59" s="883">
        <f t="shared" si="261"/>
        <v>748.72227265783033</v>
      </c>
      <c r="EK59" s="883">
        <f t="shared" si="262"/>
        <v>900.80207451734793</v>
      </c>
      <c r="EL59" s="883">
        <f t="shared" si="263"/>
        <v>1085.1813346065026</v>
      </c>
      <c r="EM59" s="873">
        <f t="shared" si="264"/>
        <v>1688.5434969153596</v>
      </c>
      <c r="EN59" s="879">
        <f>SUM(EB59:EM59)</f>
        <v>11359.338835649649</v>
      </c>
      <c r="EO59" s="883">
        <f t="shared" si="266"/>
        <v>194.08748175264174</v>
      </c>
      <c r="EP59" s="883">
        <f t="shared" si="267"/>
        <v>479.98244537780567</v>
      </c>
      <c r="EQ59" s="883">
        <f t="shared" si="268"/>
        <v>1036.8540164055148</v>
      </c>
      <c r="ER59" s="883">
        <f t="shared" si="269"/>
        <v>1317.4847391992162</v>
      </c>
      <c r="ES59" s="883">
        <f t="shared" si="270"/>
        <v>716.92917011146255</v>
      </c>
      <c r="ET59" s="883">
        <f t="shared" si="271"/>
        <v>516.44672530316268</v>
      </c>
      <c r="EU59" s="883">
        <f t="shared" si="272"/>
        <v>796.22152053353591</v>
      </c>
      <c r="EV59" s="973">
        <f t="shared" si="273"/>
        <v>786.68295013837928</v>
      </c>
      <c r="EW59" s="883"/>
      <c r="EX59" s="883"/>
      <c r="EY59" s="883"/>
      <c r="EZ59" s="873"/>
      <c r="FA59" s="879">
        <f t="shared" si="274"/>
        <v>5844.6890488217186</v>
      </c>
      <c r="FC59" s="843">
        <f t="shared" si="275"/>
        <v>-1.3385353122638777</v>
      </c>
      <c r="FD59" s="844">
        <f t="shared" si="276"/>
        <v>-15.73509948846884</v>
      </c>
      <c r="FE59" s="845">
        <f t="shared" si="279"/>
        <v>6936.0896569526085</v>
      </c>
      <c r="FF59" s="846">
        <f t="shared" si="243"/>
        <v>5844.6890488217186</v>
      </c>
    </row>
    <row r="60" spans="1:164" ht="15" customHeight="1" x14ac:dyDescent="0.25">
      <c r="A60" s="402" t="s">
        <v>386</v>
      </c>
      <c r="B60" s="883">
        <f t="shared" si="280"/>
        <v>3.1435523916321078</v>
      </c>
      <c r="C60" s="883">
        <f t="shared" si="281"/>
        <v>3.9176874272583597</v>
      </c>
      <c r="D60" s="883">
        <f t="shared" si="282"/>
        <v>4.6657650979654948</v>
      </c>
      <c r="E60" s="883">
        <f t="shared" si="283"/>
        <v>34.857294785079404</v>
      </c>
      <c r="F60" s="883">
        <f t="shared" si="284"/>
        <v>8.4732220152893429</v>
      </c>
      <c r="G60" s="883">
        <f t="shared" si="285"/>
        <v>526.68288307571265</v>
      </c>
      <c r="H60" s="883">
        <f t="shared" si="286"/>
        <v>334.00778117144353</v>
      </c>
      <c r="I60" s="883">
        <f t="shared" si="287"/>
        <v>938.07738010484286</v>
      </c>
      <c r="J60" s="883">
        <f t="shared" si="288"/>
        <v>1364.066969152663</v>
      </c>
      <c r="K60" s="883">
        <f t="shared" si="289"/>
        <v>1780.2335891334358</v>
      </c>
      <c r="L60" s="883">
        <f t="shared" si="290"/>
        <v>1998.4385319350599</v>
      </c>
      <c r="M60" s="873">
        <f t="shared" si="291"/>
        <v>2674.2671753612622</v>
      </c>
      <c r="N60" s="879">
        <f t="shared" si="292"/>
        <v>9670.8318316516452</v>
      </c>
      <c r="O60" s="883">
        <f t="shared" si="293"/>
        <v>332.11187739871156</v>
      </c>
      <c r="P60" s="883">
        <f t="shared" si="294"/>
        <v>1619.4856601330187</v>
      </c>
      <c r="Q60" s="883">
        <f t="shared" si="295"/>
        <v>2215.2825963419109</v>
      </c>
      <c r="R60" s="883">
        <f t="shared" si="296"/>
        <v>1440.4234353180543</v>
      </c>
      <c r="S60" s="883">
        <f t="shared" si="297"/>
        <v>4453.5743488435546</v>
      </c>
      <c r="T60" s="883">
        <f t="shared" si="298"/>
        <v>10060.39761135122</v>
      </c>
      <c r="U60" s="883">
        <f t="shared" si="299"/>
        <v>9017.4998163409509</v>
      </c>
      <c r="V60" s="883">
        <f t="shared" si="300"/>
        <v>10457.159109367469</v>
      </c>
      <c r="W60" s="883">
        <f t="shared" si="301"/>
        <v>7150.4717572367108</v>
      </c>
      <c r="X60" s="883">
        <f t="shared" si="302"/>
        <v>508.71497635042704</v>
      </c>
      <c r="Y60" s="883">
        <f t="shared" si="303"/>
        <v>527.76829127943336</v>
      </c>
      <c r="Z60" s="873">
        <f t="shared" si="304"/>
        <v>1184.3034654583782</v>
      </c>
      <c r="AA60" s="879">
        <f t="shared" si="305"/>
        <v>48967.192945419833</v>
      </c>
      <c r="AB60" s="883">
        <f t="shared" si="306"/>
        <v>0</v>
      </c>
      <c r="AC60" s="883">
        <f t="shared" si="307"/>
        <v>0</v>
      </c>
      <c r="AD60" s="883">
        <f t="shared" si="308"/>
        <v>0</v>
      </c>
      <c r="AE60" s="883">
        <f t="shared" si="309"/>
        <v>46.020630939135259</v>
      </c>
      <c r="AF60" s="883">
        <f t="shared" si="310"/>
        <v>27.439997610073867</v>
      </c>
      <c r="AG60" s="883">
        <f t="shared" si="311"/>
        <v>109.93588786087285</v>
      </c>
      <c r="AH60" s="883">
        <f t="shared" si="312"/>
        <v>181.17651442561643</v>
      </c>
      <c r="AI60" s="883">
        <f t="shared" si="313"/>
        <v>3.5850739176128785</v>
      </c>
      <c r="AJ60" s="883">
        <f t="shared" si="314"/>
        <v>11.474531442649742</v>
      </c>
      <c r="AK60" s="883">
        <f t="shared" si="315"/>
        <v>167.16638794174747</v>
      </c>
      <c r="AL60" s="883">
        <f t="shared" si="316"/>
        <v>6.4978987780549353</v>
      </c>
      <c r="AM60" s="873">
        <f t="shared" si="317"/>
        <v>98.033616637321515</v>
      </c>
      <c r="AN60" s="879">
        <f t="shared" si="318"/>
        <v>651.33053955308503</v>
      </c>
      <c r="AO60" s="883">
        <f t="shared" si="319"/>
        <v>0</v>
      </c>
      <c r="AP60" s="883">
        <f t="shared" si="320"/>
        <v>5.0267300042675247</v>
      </c>
      <c r="AQ60" s="883">
        <f t="shared" si="321"/>
        <v>62.170437765132945</v>
      </c>
      <c r="AR60" s="883">
        <f t="shared" si="322"/>
        <v>70.12924877567707</v>
      </c>
      <c r="AS60" s="883">
        <f t="shared" si="323"/>
        <v>74.40799465280837</v>
      </c>
      <c r="AT60" s="883">
        <f t="shared" si="324"/>
        <v>96.982719264714333</v>
      </c>
      <c r="AU60" s="883">
        <f t="shared" si="325"/>
        <v>402.09131113407517</v>
      </c>
      <c r="AV60" s="883">
        <f t="shared" si="326"/>
        <v>180.20953154548397</v>
      </c>
      <c r="AW60" s="883">
        <f t="shared" si="327"/>
        <v>284.67263255438507</v>
      </c>
      <c r="AX60" s="883">
        <f t="shared" si="328"/>
        <v>488.2266238315957</v>
      </c>
      <c r="AY60" s="883">
        <f t="shared" si="329"/>
        <v>527.21815180966962</v>
      </c>
      <c r="AZ60" s="873">
        <f t="shared" si="330"/>
        <v>4387.9420585254111</v>
      </c>
      <c r="BA60" s="879">
        <f t="shared" si="331"/>
        <v>6579.0774398632202</v>
      </c>
      <c r="BB60" s="883">
        <f t="shared" si="332"/>
        <v>19.738976549005972</v>
      </c>
      <c r="BC60" s="883">
        <f t="shared" si="333"/>
        <v>51.395517544243774</v>
      </c>
      <c r="BD60" s="883">
        <f t="shared" si="334"/>
        <v>74.787209225177904</v>
      </c>
      <c r="BE60" s="883">
        <f t="shared" si="335"/>
        <v>184.15340566947378</v>
      </c>
      <c r="BF60" s="883">
        <f t="shared" si="336"/>
        <v>171.34048092516738</v>
      </c>
      <c r="BG60" s="883">
        <f t="shared" si="337"/>
        <v>801.00632269456094</v>
      </c>
      <c r="BH60" s="883">
        <f t="shared" si="338"/>
        <v>983.08338411724344</v>
      </c>
      <c r="BI60" s="883">
        <f t="shared" si="339"/>
        <v>302.46627118633336</v>
      </c>
      <c r="BJ60" s="883">
        <f t="shared" si="340"/>
        <v>816.9249020935647</v>
      </c>
      <c r="BK60" s="883">
        <f t="shared" si="341"/>
        <v>437.52951610160375</v>
      </c>
      <c r="BL60" s="883">
        <f t="shared" si="342"/>
        <v>2007.6493945517732</v>
      </c>
      <c r="BM60" s="873">
        <f t="shared" si="343"/>
        <v>340.59901370890043</v>
      </c>
      <c r="BN60" s="879">
        <f t="shared" si="344"/>
        <v>6190.6743943670481</v>
      </c>
      <c r="BO60" s="883">
        <f t="shared" si="345"/>
        <v>0.69192845388058066</v>
      </c>
      <c r="BP60" s="883">
        <f t="shared" si="346"/>
        <v>20.728833249867613</v>
      </c>
      <c r="BQ60" s="883">
        <f t="shared" si="347"/>
        <v>13.729977314037166</v>
      </c>
      <c r="BR60" s="883">
        <f t="shared" si="348"/>
        <v>50.064352843392271</v>
      </c>
      <c r="BS60" s="883">
        <f t="shared" si="349"/>
        <v>16.426659943693632</v>
      </c>
      <c r="BT60" s="883">
        <f t="shared" si="350"/>
        <v>8.2355660000469442</v>
      </c>
      <c r="BU60" s="883">
        <f t="shared" si="351"/>
        <v>890.15051579908823</v>
      </c>
      <c r="BV60" s="883">
        <f t="shared" si="352"/>
        <v>18942.170874598622</v>
      </c>
      <c r="BW60" s="883">
        <f t="shared" si="353"/>
        <v>2854.0514841105473</v>
      </c>
      <c r="BX60" s="883">
        <f t="shared" si="354"/>
        <v>48180.739736668169</v>
      </c>
      <c r="BY60" s="883">
        <f t="shared" si="355"/>
        <v>23876.082755828662</v>
      </c>
      <c r="BZ60" s="873">
        <f t="shared" si="356"/>
        <v>23019.546184015475</v>
      </c>
      <c r="CA60" s="879">
        <f t="shared" si="357"/>
        <v>117872.61886882548</v>
      </c>
      <c r="CB60" s="883">
        <f t="shared" si="358"/>
        <v>745.39450916839075</v>
      </c>
      <c r="CC60" s="883">
        <f t="shared" si="359"/>
        <v>2449.6421009892047</v>
      </c>
      <c r="CD60" s="883">
        <f t="shared" si="360"/>
        <v>6097.8520986287185</v>
      </c>
      <c r="CE60" s="883">
        <f t="shared" si="361"/>
        <v>4648.3045504223137</v>
      </c>
      <c r="CF60" s="883">
        <f t="shared" si="362"/>
        <v>6011.3589467394631</v>
      </c>
      <c r="CG60" s="883">
        <f t="shared" si="363"/>
        <v>6038.748252372251</v>
      </c>
      <c r="CH60" s="883">
        <f t="shared" si="364"/>
        <v>5320.3910990610584</v>
      </c>
      <c r="CI60" s="883">
        <f t="shared" si="365"/>
        <v>4292.0237680519667</v>
      </c>
      <c r="CJ60" s="883">
        <f t="shared" si="366"/>
        <v>20505.617272124487</v>
      </c>
      <c r="CK60" s="883">
        <f t="shared" si="367"/>
        <v>21007.457340177851</v>
      </c>
      <c r="CL60" s="883">
        <f t="shared" si="368"/>
        <v>13974.879876989502</v>
      </c>
      <c r="CM60" s="873">
        <f t="shared" si="369"/>
        <v>28617.014862382126</v>
      </c>
      <c r="CN60" s="879">
        <f t="shared" si="250"/>
        <v>119708.68467710735</v>
      </c>
      <c r="CO60" s="883">
        <f t="shared" si="370"/>
        <v>5.101647035393146</v>
      </c>
      <c r="CP60" s="883">
        <f t="shared" si="371"/>
        <v>7.6287104530297913</v>
      </c>
      <c r="CQ60" s="883">
        <f t="shared" si="372"/>
        <v>34.454989071462236</v>
      </c>
      <c r="CR60" s="883">
        <f t="shared" si="373"/>
        <v>44.67582504583779</v>
      </c>
      <c r="CS60" s="883">
        <f t="shared" si="374"/>
        <v>69.232643802631003</v>
      </c>
      <c r="CT60" s="883">
        <f t="shared" si="375"/>
        <v>73.916376372227205</v>
      </c>
      <c r="CU60" s="883">
        <f t="shared" si="376"/>
        <v>541.04017669257018</v>
      </c>
      <c r="CV60" s="883">
        <f t="shared" si="377"/>
        <v>52.301143159904264</v>
      </c>
      <c r="CW60" s="883">
        <f t="shared" si="378"/>
        <v>61.599427179472926</v>
      </c>
      <c r="CX60" s="883">
        <f t="shared" si="379"/>
        <v>66.748282410601419</v>
      </c>
      <c r="CY60" s="883">
        <f t="shared" si="380"/>
        <v>214.62393973336603</v>
      </c>
      <c r="CZ60" s="873">
        <f t="shared" si="381"/>
        <v>385.2950654617328</v>
      </c>
      <c r="DA60" s="879">
        <f t="shared" si="278"/>
        <v>1556.6182264182289</v>
      </c>
      <c r="DB60" s="883">
        <f t="shared" si="382"/>
        <v>59.275577030288375</v>
      </c>
      <c r="DC60" s="883">
        <f t="shared" si="383"/>
        <v>77.830250146144053</v>
      </c>
      <c r="DD60" s="883">
        <f t="shared" si="384"/>
        <v>69.933799444414234</v>
      </c>
      <c r="DE60" s="883">
        <f t="shared" si="385"/>
        <v>295.41980540731339</v>
      </c>
      <c r="DF60" s="883">
        <f t="shared" si="386"/>
        <v>204.53007677069732</v>
      </c>
      <c r="DG60" s="883">
        <f t="shared" si="387"/>
        <v>41.885505020165837</v>
      </c>
      <c r="DH60" s="883">
        <f t="shared" si="388"/>
        <v>40.579696122543645</v>
      </c>
      <c r="DI60" s="883">
        <f t="shared" si="389"/>
        <v>159.99616401946918</v>
      </c>
      <c r="DJ60" s="883">
        <f t="shared" si="390"/>
        <v>29.601910681964664</v>
      </c>
      <c r="DK60" s="883">
        <f t="shared" si="391"/>
        <v>35.978986081687822</v>
      </c>
      <c r="DL60" s="883">
        <f t="shared" si="392"/>
        <v>31.460562844882453</v>
      </c>
      <c r="DM60" s="873">
        <f t="shared" si="393"/>
        <v>1613.8880506206733</v>
      </c>
      <c r="DN60" s="879">
        <f t="shared" si="251"/>
        <v>2660.3803841902445</v>
      </c>
      <c r="DO60" s="883">
        <f t="shared" si="394"/>
        <v>826.43251139768404</v>
      </c>
      <c r="DP60" s="883">
        <f t="shared" si="395"/>
        <v>312.6466606380709</v>
      </c>
      <c r="DQ60" s="883">
        <f t="shared" si="396"/>
        <v>279.24132385687045</v>
      </c>
      <c r="DR60" s="883">
        <f t="shared" si="397"/>
        <v>168.30181588195933</v>
      </c>
      <c r="DS60" s="883">
        <f t="shared" si="398"/>
        <v>41.551844577669868</v>
      </c>
      <c r="DT60" s="883">
        <f t="shared" si="399"/>
        <v>81.882407439988228</v>
      </c>
      <c r="DU60" s="883">
        <f t="shared" si="400"/>
        <v>2352.6790721798543</v>
      </c>
      <c r="DV60" s="883">
        <f t="shared" si="401"/>
        <v>456.38952456145881</v>
      </c>
      <c r="DW60" s="883">
        <f t="shared" si="402"/>
        <v>165.54559704928971</v>
      </c>
      <c r="DX60" s="883">
        <f t="shared" si="403"/>
        <v>2537.4803249425504</v>
      </c>
      <c r="DY60" s="883">
        <f t="shared" si="404"/>
        <v>5033.4850684864441</v>
      </c>
      <c r="DZ60" s="873">
        <f t="shared" si="405"/>
        <v>1349.7264037850862</v>
      </c>
      <c r="EA60" s="879">
        <f t="shared" si="252"/>
        <v>13605.362554796926</v>
      </c>
      <c r="EB60" s="883">
        <f t="shared" si="253"/>
        <v>217.51512249783019</v>
      </c>
      <c r="EC60" s="883">
        <f t="shared" si="254"/>
        <v>964.96257829596368</v>
      </c>
      <c r="ED60" s="883">
        <f t="shared" si="255"/>
        <v>132.31520818600987</v>
      </c>
      <c r="EE60" s="883">
        <f t="shared" si="256"/>
        <v>1474.0025269131763</v>
      </c>
      <c r="EF60" s="883">
        <f t="shared" si="257"/>
        <v>809.50393690153317</v>
      </c>
      <c r="EG60" s="883">
        <f t="shared" si="258"/>
        <v>1149.8120032223433</v>
      </c>
      <c r="EH60" s="883">
        <f t="shared" si="259"/>
        <v>272.35054415375089</v>
      </c>
      <c r="EI60" s="883">
        <f t="shared" si="260"/>
        <v>384.60693440303015</v>
      </c>
      <c r="EJ60" s="883">
        <f t="shared" si="261"/>
        <v>1444.4767205734706</v>
      </c>
      <c r="EK60" s="883">
        <f t="shared" si="262"/>
        <v>1752.449406771027</v>
      </c>
      <c r="EL60" s="883">
        <f t="shared" si="263"/>
        <v>135.16493491540069</v>
      </c>
      <c r="EM60" s="873">
        <f t="shared" si="264"/>
        <v>5101.4047173756417</v>
      </c>
      <c r="EN60" s="879">
        <f t="shared" si="406"/>
        <v>13838.564634209179</v>
      </c>
      <c r="EO60" s="883">
        <f t="shared" si="266"/>
        <v>200.6853564864426</v>
      </c>
      <c r="EP60" s="883">
        <f t="shared" si="267"/>
        <v>1100.3010551038435</v>
      </c>
      <c r="EQ60" s="883">
        <f t="shared" si="268"/>
        <v>599.49789837438198</v>
      </c>
      <c r="ER60" s="883">
        <f t="shared" si="269"/>
        <v>480.19480023169172</v>
      </c>
      <c r="ES60" s="883">
        <f t="shared" si="270"/>
        <v>401.24649624473994</v>
      </c>
      <c r="ET60" s="883">
        <f t="shared" si="271"/>
        <v>567.34907194495281</v>
      </c>
      <c r="EU60" s="883">
        <f t="shared" si="272"/>
        <v>366.91748688597204</v>
      </c>
      <c r="EV60" s="973">
        <f t="shared" si="273"/>
        <v>2238.5330152695183</v>
      </c>
      <c r="EW60" s="883"/>
      <c r="EX60" s="883"/>
      <c r="EY60" s="883"/>
      <c r="EZ60" s="873"/>
      <c r="FA60" s="879">
        <f t="shared" si="274"/>
        <v>5954.7251805415435</v>
      </c>
      <c r="FC60" s="843">
        <f t="shared" si="275"/>
        <v>482.03137152065915</v>
      </c>
      <c r="FD60" s="844">
        <f t="shared" si="276"/>
        <v>10.169275188840565</v>
      </c>
      <c r="FE60" s="845">
        <f t="shared" si="279"/>
        <v>5405.0688545736375</v>
      </c>
      <c r="FF60" s="846">
        <f t="shared" si="243"/>
        <v>5954.7251805415435</v>
      </c>
    </row>
    <row r="61" spans="1:164" ht="15" customHeight="1" x14ac:dyDescent="0.25">
      <c r="A61" s="402" t="s">
        <v>299</v>
      </c>
      <c r="B61" s="883">
        <f t="shared" si="280"/>
        <v>0</v>
      </c>
      <c r="C61" s="883">
        <f t="shared" si="281"/>
        <v>119.8812352741058</v>
      </c>
      <c r="D61" s="883">
        <f t="shared" si="282"/>
        <v>16.33017784287923</v>
      </c>
      <c r="E61" s="883">
        <f t="shared" si="283"/>
        <v>44.152573394433908</v>
      </c>
      <c r="F61" s="883">
        <f t="shared" si="284"/>
        <v>51.609625002216909</v>
      </c>
      <c r="G61" s="883">
        <f t="shared" si="285"/>
        <v>0.76775930477509136</v>
      </c>
      <c r="H61" s="883">
        <f t="shared" si="286"/>
        <v>82.546545461134784</v>
      </c>
      <c r="I61" s="883">
        <f t="shared" si="287"/>
        <v>249.7478739240166</v>
      </c>
      <c r="J61" s="883">
        <f t="shared" si="288"/>
        <v>73.836214290071609</v>
      </c>
      <c r="K61" s="883">
        <f t="shared" si="289"/>
        <v>336.73931681729806</v>
      </c>
      <c r="L61" s="883">
        <f t="shared" si="290"/>
        <v>-165.90524582781583</v>
      </c>
      <c r="M61" s="873">
        <f t="shared" si="291"/>
        <v>800.16849212021964</v>
      </c>
      <c r="N61" s="879">
        <f t="shared" si="292"/>
        <v>1609.8745676033359</v>
      </c>
      <c r="O61" s="883">
        <f t="shared" si="293"/>
        <v>3.0055373520245392</v>
      </c>
      <c r="P61" s="883">
        <f t="shared" si="294"/>
        <v>20.25294711606832</v>
      </c>
      <c r="Q61" s="883">
        <f t="shared" si="295"/>
        <v>64.87027461519564</v>
      </c>
      <c r="R61" s="883">
        <f t="shared" si="296"/>
        <v>182.66239215989819</v>
      </c>
      <c r="S61" s="883">
        <f t="shared" si="297"/>
        <v>533.44684398944673</v>
      </c>
      <c r="T61" s="883">
        <f t="shared" si="298"/>
        <v>343.98966797545341</v>
      </c>
      <c r="U61" s="883">
        <f t="shared" si="299"/>
        <v>383.06000701670621</v>
      </c>
      <c r="V61" s="883">
        <f t="shared" si="300"/>
        <v>390.56235479564435</v>
      </c>
      <c r="W61" s="883">
        <f t="shared" si="301"/>
        <v>130.65278218549579</v>
      </c>
      <c r="X61" s="883">
        <f t="shared" si="302"/>
        <v>411.67685947433404</v>
      </c>
      <c r="Y61" s="883">
        <f t="shared" si="303"/>
        <v>71.102117019590324</v>
      </c>
      <c r="Z61" s="873">
        <f t="shared" si="304"/>
        <v>482.19635237663761</v>
      </c>
      <c r="AA61" s="879">
        <f t="shared" si="305"/>
        <v>3017.478136076495</v>
      </c>
      <c r="AB61" s="883">
        <f t="shared" si="306"/>
        <v>5.1019590356424338</v>
      </c>
      <c r="AC61" s="883">
        <f t="shared" si="307"/>
        <v>26.881477033317676</v>
      </c>
      <c r="AD61" s="883">
        <f t="shared" si="308"/>
        <v>81.04391304300573</v>
      </c>
      <c r="AE61" s="883">
        <f t="shared" si="309"/>
        <v>113.61343263099018</v>
      </c>
      <c r="AF61" s="883">
        <f t="shared" si="310"/>
        <v>228.18524328377217</v>
      </c>
      <c r="AG61" s="883">
        <f t="shared" si="311"/>
        <v>167.07361905172124</v>
      </c>
      <c r="AH61" s="883">
        <f t="shared" si="312"/>
        <v>321.20935824461878</v>
      </c>
      <c r="AI61" s="883">
        <f t="shared" si="313"/>
        <v>68.116404434644693</v>
      </c>
      <c r="AJ61" s="883">
        <f t="shared" si="314"/>
        <v>442.48661875718068</v>
      </c>
      <c r="AK61" s="883">
        <f t="shared" si="315"/>
        <v>631.91776821082988</v>
      </c>
      <c r="AL61" s="883">
        <f t="shared" si="316"/>
        <v>864.94252623442355</v>
      </c>
      <c r="AM61" s="873">
        <f t="shared" si="317"/>
        <v>780.66475601631771</v>
      </c>
      <c r="AN61" s="879">
        <f t="shared" si="318"/>
        <v>3731.2370759764649</v>
      </c>
      <c r="AO61" s="883">
        <f t="shared" si="319"/>
        <v>0</v>
      </c>
      <c r="AP61" s="883">
        <f t="shared" si="320"/>
        <v>0</v>
      </c>
      <c r="AQ61" s="883">
        <f t="shared" si="321"/>
        <v>279.40966857663199</v>
      </c>
      <c r="AR61" s="883">
        <f t="shared" si="322"/>
        <v>30.05539233243303</v>
      </c>
      <c r="AS61" s="883">
        <f t="shared" si="323"/>
        <v>37.203997326404185</v>
      </c>
      <c r="AT61" s="883">
        <f t="shared" si="324"/>
        <v>27.811220965616609</v>
      </c>
      <c r="AU61" s="883">
        <f t="shared" si="325"/>
        <v>19.181034276713834</v>
      </c>
      <c r="AV61" s="883">
        <f t="shared" si="326"/>
        <v>39.731235301366546</v>
      </c>
      <c r="AW61" s="883">
        <f t="shared" si="327"/>
        <v>36.115184727048856</v>
      </c>
      <c r="AX61" s="883">
        <f t="shared" si="328"/>
        <v>45.992363114570608</v>
      </c>
      <c r="AY61" s="883">
        <f t="shared" si="329"/>
        <v>67.845767525104932</v>
      </c>
      <c r="AZ61" s="873">
        <f t="shared" si="330"/>
        <v>450.08151661402127</v>
      </c>
      <c r="BA61" s="879">
        <f t="shared" si="331"/>
        <v>1033.427380759912</v>
      </c>
      <c r="BB61" s="883">
        <f t="shared" si="332"/>
        <v>2.114890344536354</v>
      </c>
      <c r="BC61" s="883">
        <f t="shared" si="333"/>
        <v>2.8161927421503434</v>
      </c>
      <c r="BD61" s="883">
        <f t="shared" si="334"/>
        <v>64.303021016040816</v>
      </c>
      <c r="BE61" s="883">
        <f t="shared" si="335"/>
        <v>32.087335836347705</v>
      </c>
      <c r="BF61" s="883">
        <f t="shared" si="336"/>
        <v>294.6220464688854</v>
      </c>
      <c r="BG61" s="883">
        <f t="shared" si="337"/>
        <v>508.90741128549126</v>
      </c>
      <c r="BH61" s="883">
        <f t="shared" si="338"/>
        <v>497.45549868636164</v>
      </c>
      <c r="BI61" s="883">
        <f t="shared" si="339"/>
        <v>525.66551957900697</v>
      </c>
      <c r="BJ61" s="883">
        <f t="shared" si="340"/>
        <v>792.59096883971381</v>
      </c>
      <c r="BK61" s="883">
        <f t="shared" si="341"/>
        <v>845.89039779643394</v>
      </c>
      <c r="BL61" s="883">
        <f t="shared" si="342"/>
        <v>466.87907482147318</v>
      </c>
      <c r="BM61" s="873">
        <f t="shared" si="343"/>
        <v>1126.3304782609371</v>
      </c>
      <c r="BN61" s="879">
        <f t="shared" si="344"/>
        <v>5159.6628356773781</v>
      </c>
      <c r="BO61" s="883">
        <f t="shared" si="345"/>
        <v>2.0757853616417421</v>
      </c>
      <c r="BP61" s="883">
        <f t="shared" si="346"/>
        <v>20.728833249867613</v>
      </c>
      <c r="BQ61" s="883">
        <f t="shared" si="347"/>
        <v>104.34782758668246</v>
      </c>
      <c r="BR61" s="883">
        <f t="shared" si="348"/>
        <v>96.013827370889288</v>
      </c>
      <c r="BS61" s="883">
        <f t="shared" si="349"/>
        <v>32.853319887387265</v>
      </c>
      <c r="BT61" s="883">
        <f t="shared" si="350"/>
        <v>48.040801666940503</v>
      </c>
      <c r="BU61" s="883">
        <f t="shared" si="351"/>
        <v>63.533382938845129</v>
      </c>
      <c r="BV61" s="883">
        <f t="shared" si="352"/>
        <v>67.706788337555096</v>
      </c>
      <c r="BW61" s="883">
        <f t="shared" si="353"/>
        <v>305.27901732410015</v>
      </c>
      <c r="BX61" s="883">
        <f t="shared" si="354"/>
        <v>658.91575984077519</v>
      </c>
      <c r="BY61" s="883">
        <f t="shared" si="355"/>
        <v>682.6784025038495</v>
      </c>
      <c r="BZ61" s="873">
        <f t="shared" si="356"/>
        <v>1205.1229752728939</v>
      </c>
      <c r="CA61" s="879">
        <f t="shared" si="357"/>
        <v>3287.2967213414277</v>
      </c>
      <c r="CB61" s="883">
        <f t="shared" si="358"/>
        <v>8.0874630289517988</v>
      </c>
      <c r="CC61" s="883">
        <f t="shared" si="359"/>
        <v>155.88631551749486</v>
      </c>
      <c r="CD61" s="883">
        <f t="shared" si="360"/>
        <v>164.62594559511246</v>
      </c>
      <c r="CE61" s="883">
        <f t="shared" si="361"/>
        <v>379.15266977072054</v>
      </c>
      <c r="CF61" s="883">
        <f t="shared" si="362"/>
        <v>652.71145709762789</v>
      </c>
      <c r="CG61" s="883">
        <f t="shared" si="363"/>
        <v>203.37408818246851</v>
      </c>
      <c r="CH61" s="883">
        <f t="shared" si="364"/>
        <v>339.51543496357976</v>
      </c>
      <c r="CI61" s="883">
        <f t="shared" si="365"/>
        <v>907.66496263798228</v>
      </c>
      <c r="CJ61" s="883">
        <f t="shared" si="366"/>
        <v>1107.8329118722781</v>
      </c>
      <c r="CK61" s="883">
        <f t="shared" si="367"/>
        <v>764.62318236049862</v>
      </c>
      <c r="CL61" s="883">
        <f t="shared" si="368"/>
        <v>743.23523821309641</v>
      </c>
      <c r="CM61" s="873">
        <f t="shared" si="369"/>
        <v>736.84491085117941</v>
      </c>
      <c r="CN61" s="879">
        <f t="shared" si="250"/>
        <v>6163.5545800909913</v>
      </c>
      <c r="CO61" s="883">
        <f t="shared" si="370"/>
        <v>15.30494110617944</v>
      </c>
      <c r="CP61" s="883">
        <f t="shared" si="371"/>
        <v>378.89261916714628</v>
      </c>
      <c r="CQ61" s="883">
        <f t="shared" si="372"/>
        <v>481.74339265371748</v>
      </c>
      <c r="CR61" s="883">
        <f t="shared" si="373"/>
        <v>161.94986579116198</v>
      </c>
      <c r="CS61" s="883">
        <f t="shared" si="374"/>
        <v>205.22533698637048</v>
      </c>
      <c r="CT61" s="883">
        <f t="shared" si="375"/>
        <v>353.08814498468865</v>
      </c>
      <c r="CU61" s="883">
        <f t="shared" si="376"/>
        <v>579.77235936407408</v>
      </c>
      <c r="CV61" s="883">
        <f t="shared" si="377"/>
        <v>353.48358825314608</v>
      </c>
      <c r="CW61" s="883">
        <f t="shared" si="378"/>
        <v>297.23218745823345</v>
      </c>
      <c r="CX61" s="883">
        <f t="shared" si="379"/>
        <v>979.7694310984707</v>
      </c>
      <c r="CY61" s="883">
        <f t="shared" si="380"/>
        <v>652.76507637137013</v>
      </c>
      <c r="CZ61" s="873">
        <f t="shared" si="381"/>
        <v>1788.2396931353705</v>
      </c>
      <c r="DA61" s="879">
        <f t="shared" si="278"/>
        <v>6247.4666363699289</v>
      </c>
      <c r="DB61" s="883">
        <f t="shared" si="382"/>
        <v>297.55165895402183</v>
      </c>
      <c r="DC61" s="883">
        <f t="shared" si="383"/>
        <v>569.38972475336971</v>
      </c>
      <c r="DD61" s="883">
        <f t="shared" si="384"/>
        <v>303.43177444890472</v>
      </c>
      <c r="DE61" s="883">
        <f t="shared" si="385"/>
        <v>132.19174171922583</v>
      </c>
      <c r="DF61" s="883">
        <f t="shared" si="386"/>
        <v>922.96345567953335</v>
      </c>
      <c r="DG61" s="883">
        <f t="shared" si="387"/>
        <v>302.37891980311497</v>
      </c>
      <c r="DH61" s="883">
        <f t="shared" si="388"/>
        <v>517.81978432428934</v>
      </c>
      <c r="DI61" s="883">
        <f t="shared" si="389"/>
        <v>581.33837531629194</v>
      </c>
      <c r="DJ61" s="883">
        <f t="shared" si="390"/>
        <v>666.04299034420501</v>
      </c>
      <c r="DK61" s="883">
        <f t="shared" si="391"/>
        <v>1200.4417260906</v>
      </c>
      <c r="DL61" s="883">
        <f t="shared" si="392"/>
        <v>1090.2515051335629</v>
      </c>
      <c r="DM61" s="873">
        <f t="shared" si="393"/>
        <v>1033.9593405847236</v>
      </c>
      <c r="DN61" s="879">
        <f t="shared" si="251"/>
        <v>7617.7609971518432</v>
      </c>
      <c r="DO61" s="883">
        <f t="shared" si="394"/>
        <v>313.25836062627582</v>
      </c>
      <c r="DP61" s="883">
        <f t="shared" si="395"/>
        <v>417.99499194002959</v>
      </c>
      <c r="DQ61" s="883">
        <f t="shared" si="396"/>
        <v>470.44873637733798</v>
      </c>
      <c r="DR61" s="883">
        <f t="shared" si="397"/>
        <v>611.49659770445214</v>
      </c>
      <c r="DS61" s="883">
        <f t="shared" si="398"/>
        <v>657.52986487096507</v>
      </c>
      <c r="DT61" s="883">
        <f t="shared" si="399"/>
        <v>735.81999014564769</v>
      </c>
      <c r="DU61" s="883">
        <f t="shared" si="400"/>
        <v>946.66658504835038</v>
      </c>
      <c r="DV61" s="883">
        <f t="shared" si="401"/>
        <v>1817.7470305883041</v>
      </c>
      <c r="DW61" s="883">
        <f t="shared" si="402"/>
        <v>897.63744345983093</v>
      </c>
      <c r="DX61" s="883">
        <f t="shared" si="403"/>
        <v>822.31603735729232</v>
      </c>
      <c r="DY61" s="883">
        <f t="shared" si="404"/>
        <v>986.56307342334298</v>
      </c>
      <c r="DZ61" s="873">
        <f t="shared" si="405"/>
        <v>1868.1643602058475</v>
      </c>
      <c r="EA61" s="879">
        <f t="shared" si="252"/>
        <v>10545.643071747676</v>
      </c>
      <c r="EB61" s="883">
        <f t="shared" si="253"/>
        <v>237.08589187424167</v>
      </c>
      <c r="EC61" s="883">
        <f t="shared" si="254"/>
        <v>572.05705191056256</v>
      </c>
      <c r="ED61" s="883">
        <f t="shared" si="255"/>
        <v>256.32611460302331</v>
      </c>
      <c r="EE61" s="883">
        <f t="shared" si="256"/>
        <v>394.57574194793006</v>
      </c>
      <c r="EF61" s="883">
        <f t="shared" si="257"/>
        <v>615.13464236583081</v>
      </c>
      <c r="EG61" s="883">
        <f t="shared" si="258"/>
        <v>1820.9492732087183</v>
      </c>
      <c r="EH61" s="883">
        <f t="shared" si="259"/>
        <v>607.97444705029238</v>
      </c>
      <c r="EI61" s="883">
        <f t="shared" si="260"/>
        <v>552.35515256446661</v>
      </c>
      <c r="EJ61" s="883">
        <f t="shared" si="261"/>
        <v>609.12998453518401</v>
      </c>
      <c r="EK61" s="883">
        <f t="shared" si="262"/>
        <v>1650.2738189195804</v>
      </c>
      <c r="EL61" s="883">
        <f t="shared" si="263"/>
        <v>1194.4166697626224</v>
      </c>
      <c r="EM61" s="873">
        <f t="shared" si="264"/>
        <v>3668.2341613236217</v>
      </c>
      <c r="EN61" s="879">
        <f t="shared" si="406"/>
        <v>12178.512950066075</v>
      </c>
      <c r="EO61" s="883">
        <f t="shared" si="266"/>
        <v>119.86139099738216</v>
      </c>
      <c r="EP61" s="883">
        <f t="shared" si="267"/>
        <v>1222.6174006836256</v>
      </c>
      <c r="EQ61" s="883">
        <f t="shared" si="268"/>
        <v>873.11215270361515</v>
      </c>
      <c r="ER61" s="883">
        <f t="shared" si="269"/>
        <v>418.64496948376217</v>
      </c>
      <c r="ES61" s="883">
        <f t="shared" si="270"/>
        <v>782.29780459901622</v>
      </c>
      <c r="ET61" s="883">
        <f t="shared" si="271"/>
        <v>620.90258247433621</v>
      </c>
      <c r="EU61" s="883">
        <f t="shared" si="272"/>
        <v>638.66905498307528</v>
      </c>
      <c r="EV61" s="973">
        <f t="shared" si="273"/>
        <v>528.32971802443205</v>
      </c>
      <c r="EW61" s="883"/>
      <c r="EX61" s="883"/>
      <c r="EY61" s="883"/>
      <c r="EZ61" s="873"/>
      <c r="FA61" s="879">
        <f t="shared" si="274"/>
        <v>5204.4350739492447</v>
      </c>
      <c r="FC61" s="843">
        <f t="shared" si="275"/>
        <v>-4.3496352715258642</v>
      </c>
      <c r="FD61" s="844">
        <f t="shared" si="276"/>
        <v>2.9264902267628568</v>
      </c>
      <c r="FE61" s="845">
        <f t="shared" si="279"/>
        <v>5056.4583155250657</v>
      </c>
      <c r="FF61" s="846">
        <f t="shared" si="243"/>
        <v>5204.4350739492447</v>
      </c>
    </row>
    <row r="62" spans="1:164" ht="15" customHeight="1" x14ac:dyDescent="0.25">
      <c r="A62" s="402" t="s">
        <v>387</v>
      </c>
      <c r="B62" s="883">
        <f t="shared" si="280"/>
        <v>91.163019357331123</v>
      </c>
      <c r="C62" s="883">
        <f t="shared" si="281"/>
        <v>1607.0353826613791</v>
      </c>
      <c r="D62" s="883">
        <f t="shared" si="282"/>
        <v>415.25309371892905</v>
      </c>
      <c r="E62" s="883">
        <f t="shared" si="283"/>
        <v>793.97171454903082</v>
      </c>
      <c r="F62" s="883">
        <f t="shared" si="284"/>
        <v>565.39499629294346</v>
      </c>
      <c r="G62" s="883">
        <f t="shared" si="285"/>
        <v>353.16928019654205</v>
      </c>
      <c r="H62" s="883">
        <f t="shared" si="286"/>
        <v>1409.4058317623385</v>
      </c>
      <c r="I62" s="883">
        <f t="shared" si="287"/>
        <v>1122.3425797682942</v>
      </c>
      <c r="J62" s="883">
        <f t="shared" si="288"/>
        <v>1175.2898439574285</v>
      </c>
      <c r="K62" s="883">
        <f t="shared" si="289"/>
        <v>745.69135394530338</v>
      </c>
      <c r="L62" s="883">
        <f t="shared" si="290"/>
        <v>477.26166608001813</v>
      </c>
      <c r="M62" s="873">
        <f t="shared" si="291"/>
        <v>2913.3373091992544</v>
      </c>
      <c r="N62" s="879">
        <f t="shared" si="292"/>
        <v>11669.316071488791</v>
      </c>
      <c r="O62" s="883">
        <f t="shared" si="293"/>
        <v>431.29461001552136</v>
      </c>
      <c r="P62" s="883">
        <f t="shared" si="294"/>
        <v>712.60369482462613</v>
      </c>
      <c r="Q62" s="883">
        <f t="shared" si="295"/>
        <v>517.47092624075606</v>
      </c>
      <c r="R62" s="883">
        <f t="shared" si="296"/>
        <v>1695.4052235575855</v>
      </c>
      <c r="S62" s="883">
        <f t="shared" si="297"/>
        <v>4753.4056990914578</v>
      </c>
      <c r="T62" s="883">
        <f t="shared" si="298"/>
        <v>1057.9725425422153</v>
      </c>
      <c r="U62" s="883">
        <f t="shared" si="299"/>
        <v>1711.8922019002414</v>
      </c>
      <c r="V62" s="883">
        <f t="shared" si="300"/>
        <v>1754.5717908622507</v>
      </c>
      <c r="W62" s="883">
        <f t="shared" si="301"/>
        <v>1609.1698596857675</v>
      </c>
      <c r="X62" s="883">
        <f t="shared" si="302"/>
        <v>1884.1567693441395</v>
      </c>
      <c r="Y62" s="883">
        <f t="shared" si="303"/>
        <v>1407.3821100784889</v>
      </c>
      <c r="Z62" s="873">
        <f t="shared" si="304"/>
        <v>2686.4181631649949</v>
      </c>
      <c r="AA62" s="879">
        <f t="shared" si="305"/>
        <v>20221.743591308044</v>
      </c>
      <c r="AB62" s="883">
        <f t="shared" si="306"/>
        <v>399.41050736172195</v>
      </c>
      <c r="AC62" s="883">
        <f t="shared" si="307"/>
        <v>430.10363253308282</v>
      </c>
      <c r="AD62" s="883">
        <f t="shared" si="308"/>
        <v>327.76166602348331</v>
      </c>
      <c r="AE62" s="883">
        <f t="shared" si="309"/>
        <v>417.78104024433725</v>
      </c>
      <c r="AF62" s="883">
        <f t="shared" si="310"/>
        <v>779.87361628630993</v>
      </c>
      <c r="AG62" s="883">
        <f t="shared" si="311"/>
        <v>315.34241517987215</v>
      </c>
      <c r="AH62" s="883">
        <f t="shared" si="312"/>
        <v>531.98044275569441</v>
      </c>
      <c r="AI62" s="883">
        <f t="shared" si="313"/>
        <v>449.568269268655</v>
      </c>
      <c r="AJ62" s="883">
        <f t="shared" si="314"/>
        <v>597.39279323295227</v>
      </c>
      <c r="AK62" s="883">
        <f t="shared" si="315"/>
        <v>593.72889510344783</v>
      </c>
      <c r="AL62" s="883">
        <f t="shared" si="316"/>
        <v>1361.6707883790675</v>
      </c>
      <c r="AM62" s="873">
        <f t="shared" si="317"/>
        <v>1818.6677557056043</v>
      </c>
      <c r="AN62" s="879">
        <f t="shared" si="318"/>
        <v>8023.2818220742292</v>
      </c>
      <c r="AO62" s="883">
        <f t="shared" si="319"/>
        <v>367.86866853730817</v>
      </c>
      <c r="AP62" s="883">
        <f t="shared" si="320"/>
        <v>639.11281482829952</v>
      </c>
      <c r="AQ62" s="883">
        <f t="shared" si="321"/>
        <v>500.22191305279381</v>
      </c>
      <c r="AR62" s="883">
        <f t="shared" si="322"/>
        <v>374.26119499672558</v>
      </c>
      <c r="AS62" s="883">
        <f t="shared" si="323"/>
        <v>226.08582990661006</v>
      </c>
      <c r="AT62" s="883">
        <f t="shared" si="324"/>
        <v>390.07020174852011</v>
      </c>
      <c r="AU62" s="883">
        <f t="shared" si="325"/>
        <v>752.32278885333142</v>
      </c>
      <c r="AV62" s="883">
        <f t="shared" si="326"/>
        <v>255.41508408021349</v>
      </c>
      <c r="AW62" s="883">
        <f t="shared" si="327"/>
        <v>257.76327922834867</v>
      </c>
      <c r="AX62" s="883">
        <f t="shared" si="328"/>
        <v>1008.2941144348172</v>
      </c>
      <c r="AY62" s="883">
        <f t="shared" si="329"/>
        <v>297.53195966738724</v>
      </c>
      <c r="AZ62" s="873">
        <f t="shared" si="330"/>
        <v>22588.025204489571</v>
      </c>
      <c r="BA62" s="879">
        <f t="shared" si="331"/>
        <v>27656.973053823927</v>
      </c>
      <c r="BB62" s="883">
        <f t="shared" si="332"/>
        <v>215.71881514270814</v>
      </c>
      <c r="BC62" s="883">
        <f t="shared" si="333"/>
        <v>105.60722783063788</v>
      </c>
      <c r="BD62" s="883">
        <f t="shared" si="334"/>
        <v>385.11918021563571</v>
      </c>
      <c r="BE62" s="883">
        <f t="shared" si="335"/>
        <v>208.5676829362601</v>
      </c>
      <c r="BF62" s="883">
        <f t="shared" si="336"/>
        <v>181.09156520546145</v>
      </c>
      <c r="BG62" s="883">
        <f t="shared" si="337"/>
        <v>209.1400320351334</v>
      </c>
      <c r="BH62" s="883">
        <f t="shared" si="338"/>
        <v>151.67174645262494</v>
      </c>
      <c r="BI62" s="883">
        <f t="shared" si="339"/>
        <v>981.10323826187675</v>
      </c>
      <c r="BJ62" s="883">
        <f t="shared" si="340"/>
        <v>352.49440456292535</v>
      </c>
      <c r="BK62" s="883">
        <f t="shared" si="341"/>
        <v>388.91512542364779</v>
      </c>
      <c r="BL62" s="883">
        <f t="shared" si="342"/>
        <v>713.15258382834236</v>
      </c>
      <c r="BM62" s="873">
        <f t="shared" si="343"/>
        <v>878.49623657844438</v>
      </c>
      <c r="BN62" s="879">
        <f t="shared" si="344"/>
        <v>4771.0778384736977</v>
      </c>
      <c r="BO62" s="883">
        <f t="shared" si="345"/>
        <v>128.00676396790743</v>
      </c>
      <c r="BP62" s="883">
        <f t="shared" si="346"/>
        <v>369.6641929559724</v>
      </c>
      <c r="BQ62" s="883">
        <f t="shared" si="347"/>
        <v>560.86957327841822</v>
      </c>
      <c r="BR62" s="883">
        <f t="shared" si="348"/>
        <v>325.76120000837437</v>
      </c>
      <c r="BS62" s="883">
        <f t="shared" si="349"/>
        <v>217.65324425394064</v>
      </c>
      <c r="BT62" s="883">
        <f t="shared" si="350"/>
        <v>179.8098576676916</v>
      </c>
      <c r="BU62" s="883">
        <f t="shared" si="351"/>
        <v>761.03428595562877</v>
      </c>
      <c r="BV62" s="883">
        <f t="shared" si="352"/>
        <v>112.8446472292585</v>
      </c>
      <c r="BW62" s="883">
        <f t="shared" si="353"/>
        <v>288.20524678024668</v>
      </c>
      <c r="BX62" s="883">
        <f t="shared" si="354"/>
        <v>1407.9630018566618</v>
      </c>
      <c r="BY62" s="883">
        <f t="shared" si="355"/>
        <v>1007.3751949385163</v>
      </c>
      <c r="BZ62" s="873">
        <f t="shared" si="356"/>
        <v>7582.4300776606642</v>
      </c>
      <c r="CA62" s="879">
        <f t="shared" si="357"/>
        <v>12941.617286553281</v>
      </c>
      <c r="CB62" s="883">
        <f t="shared" si="358"/>
        <v>841.0961550109871</v>
      </c>
      <c r="CC62" s="883">
        <f t="shared" si="359"/>
        <v>844.89033345412793</v>
      </c>
      <c r="CD62" s="883">
        <f t="shared" si="360"/>
        <v>901.42743380738409</v>
      </c>
      <c r="CE62" s="883">
        <f t="shared" si="361"/>
        <v>773.04272246539131</v>
      </c>
      <c r="CF62" s="883">
        <f t="shared" si="362"/>
        <v>907.24888304869876</v>
      </c>
      <c r="CG62" s="883">
        <f t="shared" si="363"/>
        <v>7564.053913740765</v>
      </c>
      <c r="CH62" s="883">
        <f t="shared" si="364"/>
        <v>1867.992867948843</v>
      </c>
      <c r="CI62" s="883">
        <f t="shared" si="365"/>
        <v>1051.6663673350347</v>
      </c>
      <c r="CJ62" s="883">
        <f t="shared" si="366"/>
        <v>1129.249716846962</v>
      </c>
      <c r="CK62" s="883">
        <f t="shared" si="367"/>
        <v>1284.0507450610905</v>
      </c>
      <c r="CL62" s="883">
        <f t="shared" si="368"/>
        <v>1114.8528573196445</v>
      </c>
      <c r="CM62" s="873">
        <f t="shared" si="369"/>
        <v>2671.1425469557475</v>
      </c>
      <c r="CN62" s="879">
        <f t="shared" si="250"/>
        <v>20950.714542994676</v>
      </c>
      <c r="CO62" s="883">
        <f t="shared" si="370"/>
        <v>254.44464589023318</v>
      </c>
      <c r="CP62" s="883">
        <f t="shared" si="371"/>
        <v>326.76309773810937</v>
      </c>
      <c r="CQ62" s="883">
        <f t="shared" si="372"/>
        <v>228.02938221840461</v>
      </c>
      <c r="CR62" s="883">
        <f t="shared" si="373"/>
        <v>271.15743812543218</v>
      </c>
      <c r="CS62" s="883">
        <f t="shared" si="374"/>
        <v>230.56942980697647</v>
      </c>
      <c r="CT62" s="883">
        <f t="shared" si="375"/>
        <v>598.05068155711103</v>
      </c>
      <c r="CU62" s="883">
        <f t="shared" si="376"/>
        <v>1141.9941984551228</v>
      </c>
      <c r="CV62" s="883">
        <f t="shared" si="377"/>
        <v>2292.2328605599419</v>
      </c>
      <c r="CW62" s="883">
        <f t="shared" si="378"/>
        <v>392.32256533722563</v>
      </c>
      <c r="CX62" s="883">
        <f t="shared" si="379"/>
        <v>174.02230771335368</v>
      </c>
      <c r="CY62" s="883">
        <f t="shared" si="380"/>
        <v>825.29426549404843</v>
      </c>
      <c r="CZ62" s="873">
        <f t="shared" si="381"/>
        <v>12060.617904063982</v>
      </c>
      <c r="DA62" s="879">
        <f>SUM(CO62:CZ62)</f>
        <v>18795.498776959939</v>
      </c>
      <c r="DB62" s="883">
        <f t="shared" si="382"/>
        <v>534.06708017388542</v>
      </c>
      <c r="DC62" s="883">
        <f t="shared" si="383"/>
        <v>607.42706505035733</v>
      </c>
      <c r="DD62" s="883">
        <f t="shared" si="384"/>
        <v>932.25800416396817</v>
      </c>
      <c r="DE62" s="883">
        <f t="shared" si="385"/>
        <v>697.7424975962615</v>
      </c>
      <c r="DF62" s="883">
        <f t="shared" si="386"/>
        <v>1162.4412486491453</v>
      </c>
      <c r="DG62" s="883">
        <f t="shared" si="387"/>
        <v>938.69433168481237</v>
      </c>
      <c r="DH62" s="883">
        <f t="shared" si="388"/>
        <v>1430.0056295578056</v>
      </c>
      <c r="DI62" s="883">
        <f t="shared" si="389"/>
        <v>1012.3600698456092</v>
      </c>
      <c r="DJ62" s="883">
        <f t="shared" si="390"/>
        <v>1300.2069999539865</v>
      </c>
      <c r="DK62" s="883">
        <f t="shared" si="391"/>
        <v>1290.6747388034044</v>
      </c>
      <c r="DL62" s="883">
        <f t="shared" si="392"/>
        <v>2039.7884928154695</v>
      </c>
      <c r="DM62" s="873">
        <f t="shared" si="393"/>
        <v>3531.4126458868877</v>
      </c>
      <c r="DN62" s="879">
        <f t="shared" si="251"/>
        <v>15477.07880418159</v>
      </c>
      <c r="DO62" s="883">
        <f t="shared" si="394"/>
        <v>1766.2075932765115</v>
      </c>
      <c r="DP62" s="883">
        <f t="shared" si="395"/>
        <v>2609.9199496743308</v>
      </c>
      <c r="DQ62" s="883">
        <f t="shared" si="396"/>
        <v>1817.3115072693115</v>
      </c>
      <c r="DR62" s="883">
        <f t="shared" si="397"/>
        <v>1493.9591189788589</v>
      </c>
      <c r="DS62" s="883">
        <f t="shared" si="398"/>
        <v>1015.7741465000647</v>
      </c>
      <c r="DT62" s="883">
        <f t="shared" si="399"/>
        <v>1283.759113905021</v>
      </c>
      <c r="DU62" s="883">
        <f t="shared" si="400"/>
        <v>1930.2598808609982</v>
      </c>
      <c r="DV62" s="883">
        <f t="shared" si="401"/>
        <v>1058.3996675954613</v>
      </c>
      <c r="DW62" s="883">
        <f t="shared" si="402"/>
        <v>1172.2417953219974</v>
      </c>
      <c r="DX62" s="883">
        <f t="shared" si="403"/>
        <v>1197.9280598669882</v>
      </c>
      <c r="DY62" s="883">
        <f t="shared" si="404"/>
        <v>1305.9097372128717</v>
      </c>
      <c r="DZ62" s="873">
        <f t="shared" si="405"/>
        <v>4619.5726957362904</v>
      </c>
      <c r="EA62" s="879">
        <f t="shared" si="252"/>
        <v>21271.243266198704</v>
      </c>
      <c r="EB62" s="883">
        <f t="shared" si="253"/>
        <v>1102.1138983116282</v>
      </c>
      <c r="EC62" s="883">
        <f t="shared" si="254"/>
        <v>1162.531550370441</v>
      </c>
      <c r="ED62" s="883">
        <f t="shared" si="255"/>
        <v>1584.4607775245199</v>
      </c>
      <c r="EE62" s="883">
        <f t="shared" si="256"/>
        <v>2113.6015267980029</v>
      </c>
      <c r="EF62" s="883">
        <f t="shared" si="257"/>
        <v>1817.7946523054891</v>
      </c>
      <c r="EG62" s="883">
        <f t="shared" si="258"/>
        <v>1734.3687051003692</v>
      </c>
      <c r="EH62" s="883">
        <f t="shared" si="259"/>
        <v>2207.4149154441388</v>
      </c>
      <c r="EI62" s="883">
        <f t="shared" si="260"/>
        <v>1310.5329543862219</v>
      </c>
      <c r="EJ62" s="883">
        <f t="shared" si="261"/>
        <v>1219.9152135935612</v>
      </c>
      <c r="EK62" s="883">
        <f t="shared" si="262"/>
        <v>1273.6048950564098</v>
      </c>
      <c r="EL62" s="883">
        <f t="shared" si="263"/>
        <v>1480.7456543385119</v>
      </c>
      <c r="EM62" s="873">
        <f t="shared" si="264"/>
        <v>2561.9849993940675</v>
      </c>
      <c r="EN62" s="879">
        <f t="shared" si="406"/>
        <v>19569.06974262336</v>
      </c>
      <c r="EO62" s="883">
        <f t="shared" si="266"/>
        <v>1952.9709212050525</v>
      </c>
      <c r="EP62" s="883">
        <f t="shared" si="267"/>
        <v>309.61324974882342</v>
      </c>
      <c r="EQ62" s="883">
        <f t="shared" si="268"/>
        <v>1375.5383273198677</v>
      </c>
      <c r="ER62" s="883">
        <f t="shared" si="269"/>
        <v>3117.2866865869491</v>
      </c>
      <c r="ES62" s="883">
        <f t="shared" si="270"/>
        <v>2037.5881676852093</v>
      </c>
      <c r="ET62" s="883">
        <f t="shared" si="271"/>
        <v>1891.3403174090156</v>
      </c>
      <c r="EU62" s="883">
        <f t="shared" si="272"/>
        <v>3037.9076075602238</v>
      </c>
      <c r="EV62" s="973">
        <f t="shared" si="273"/>
        <v>1201.4217787875584</v>
      </c>
      <c r="EW62" s="883"/>
      <c r="EX62" s="883"/>
      <c r="EY62" s="883"/>
      <c r="EZ62" s="873"/>
      <c r="FA62" s="879">
        <f t="shared" si="274"/>
        <v>14923.667056302702</v>
      </c>
      <c r="FC62" s="843">
        <f t="shared" si="275"/>
        <v>-8.3257101802346476</v>
      </c>
      <c r="FD62" s="844">
        <f t="shared" si="276"/>
        <v>14.508358313950541</v>
      </c>
      <c r="FE62" s="845">
        <f t="shared" si="279"/>
        <v>13032.818980240811</v>
      </c>
      <c r="FF62" s="846">
        <f t="shared" si="243"/>
        <v>14923.667056302702</v>
      </c>
    </row>
    <row r="63" spans="1:164" ht="15" customHeight="1" x14ac:dyDescent="0.25">
      <c r="A63" s="402" t="s">
        <v>388</v>
      </c>
      <c r="B63" s="883"/>
      <c r="C63" s="883"/>
      <c r="D63" s="883"/>
      <c r="E63" s="883"/>
      <c r="F63" s="883"/>
      <c r="G63" s="883"/>
      <c r="H63" s="883"/>
      <c r="I63" s="883"/>
      <c r="J63" s="883"/>
      <c r="K63" s="883"/>
      <c r="L63" s="883"/>
      <c r="M63" s="873"/>
      <c r="N63" s="879"/>
      <c r="O63" s="883"/>
      <c r="P63" s="883"/>
      <c r="Q63" s="883"/>
      <c r="R63" s="883"/>
      <c r="S63" s="883"/>
      <c r="T63" s="883"/>
      <c r="U63" s="883"/>
      <c r="V63" s="883"/>
      <c r="W63" s="883"/>
      <c r="X63" s="883"/>
      <c r="Y63" s="883"/>
      <c r="Z63" s="873"/>
      <c r="AA63" s="879"/>
      <c r="AB63" s="883"/>
      <c r="AC63" s="883"/>
      <c r="AD63" s="883"/>
      <c r="AE63" s="883"/>
      <c r="AF63" s="883"/>
      <c r="AG63" s="883"/>
      <c r="AH63" s="883"/>
      <c r="AI63" s="883"/>
      <c r="AJ63" s="883"/>
      <c r="AK63" s="883"/>
      <c r="AL63" s="883"/>
      <c r="AM63" s="873"/>
      <c r="AN63" s="879"/>
      <c r="AO63" s="883"/>
      <c r="AP63" s="883"/>
      <c r="AQ63" s="883"/>
      <c r="AR63" s="883"/>
      <c r="AS63" s="883"/>
      <c r="AT63" s="883"/>
      <c r="AU63" s="883"/>
      <c r="AV63" s="883"/>
      <c r="AW63" s="883"/>
      <c r="AX63" s="883"/>
      <c r="AY63" s="883"/>
      <c r="AZ63" s="873"/>
      <c r="BA63" s="879"/>
      <c r="BB63" s="883"/>
      <c r="BC63" s="883"/>
      <c r="BD63" s="883"/>
      <c r="BE63" s="883"/>
      <c r="BF63" s="883"/>
      <c r="BG63" s="883"/>
      <c r="BH63" s="883"/>
      <c r="BI63" s="883"/>
      <c r="BJ63" s="883"/>
      <c r="BK63" s="883"/>
      <c r="BL63" s="883"/>
      <c r="BM63" s="873"/>
      <c r="BN63" s="879"/>
      <c r="BO63" s="883"/>
      <c r="BP63" s="883"/>
      <c r="BQ63" s="883"/>
      <c r="BR63" s="883"/>
      <c r="BS63" s="883"/>
      <c r="BT63" s="883"/>
      <c r="BU63" s="883"/>
      <c r="BV63" s="883"/>
      <c r="BW63" s="883"/>
      <c r="BX63" s="883"/>
      <c r="BY63" s="883"/>
      <c r="BZ63" s="873"/>
      <c r="CA63" s="879"/>
      <c r="CB63" s="883"/>
      <c r="CC63" s="883"/>
      <c r="CD63" s="883"/>
      <c r="CE63" s="883"/>
      <c r="CF63" s="883"/>
      <c r="CG63" s="883"/>
      <c r="CH63" s="883"/>
      <c r="CI63" s="883"/>
      <c r="CJ63" s="883"/>
      <c r="CK63" s="883"/>
      <c r="CL63" s="883"/>
      <c r="CM63" s="873"/>
      <c r="CN63" s="879"/>
      <c r="CO63" s="883"/>
      <c r="CP63" s="883"/>
      <c r="CQ63" s="883"/>
      <c r="CR63" s="883"/>
      <c r="CS63" s="883">
        <f t="shared" si="374"/>
        <v>0</v>
      </c>
      <c r="CT63" s="883"/>
      <c r="CU63" s="883"/>
      <c r="CV63" s="883"/>
      <c r="CW63" s="883"/>
      <c r="CX63" s="883"/>
      <c r="CY63" s="883"/>
      <c r="CZ63" s="873"/>
      <c r="DA63" s="879"/>
      <c r="DB63" s="883"/>
      <c r="DC63" s="883"/>
      <c r="DD63" s="883"/>
      <c r="DE63" s="883"/>
      <c r="DF63" s="883"/>
      <c r="DG63" s="883"/>
      <c r="DH63" s="883"/>
      <c r="DI63" s="883"/>
      <c r="DJ63" s="883">
        <f t="shared" si="390"/>
        <v>0</v>
      </c>
      <c r="DK63" s="883"/>
      <c r="DL63" s="883"/>
      <c r="DM63" s="873"/>
      <c r="DN63" s="879">
        <f t="shared" si="251"/>
        <v>0</v>
      </c>
      <c r="DO63" s="883"/>
      <c r="DP63" s="883"/>
      <c r="DQ63" s="883">
        <f t="shared" si="396"/>
        <v>0</v>
      </c>
      <c r="DR63" s="883"/>
      <c r="DS63" s="883"/>
      <c r="DT63" s="883"/>
      <c r="DU63" s="883"/>
      <c r="DV63" s="883"/>
      <c r="DW63" s="883">
        <f t="shared" si="402"/>
        <v>0</v>
      </c>
      <c r="DX63" s="883"/>
      <c r="DY63" s="883"/>
      <c r="DZ63" s="873"/>
      <c r="EA63" s="879">
        <f t="shared" si="252"/>
        <v>0</v>
      </c>
      <c r="EB63" s="883"/>
      <c r="EC63" s="883"/>
      <c r="ED63" s="883"/>
      <c r="EE63" s="883"/>
      <c r="EF63" s="883"/>
      <c r="EG63" s="883"/>
      <c r="EH63" s="883"/>
      <c r="EI63" s="883"/>
      <c r="EJ63" s="883"/>
      <c r="EK63" s="883"/>
      <c r="EL63" s="883"/>
      <c r="EM63" s="873"/>
      <c r="EN63" s="879">
        <f t="shared" si="406"/>
        <v>0</v>
      </c>
      <c r="EO63" s="883"/>
      <c r="EP63" s="883"/>
      <c r="EQ63" s="883"/>
      <c r="ER63" s="883"/>
      <c r="ES63" s="883"/>
      <c r="ET63" s="883"/>
      <c r="EU63" s="883"/>
      <c r="EV63" s="973"/>
      <c r="EW63" s="883"/>
      <c r="EX63" s="883"/>
      <c r="EY63" s="883"/>
      <c r="EZ63" s="873"/>
      <c r="FA63" s="879">
        <f t="shared" si="274"/>
        <v>0</v>
      </c>
      <c r="FC63" s="843" t="str">
        <f t="shared" si="275"/>
        <v/>
      </c>
      <c r="FD63" s="844" t="str">
        <f t="shared" si="276"/>
        <v/>
      </c>
      <c r="FE63" s="845">
        <f t="shared" si="279"/>
        <v>0</v>
      </c>
      <c r="FF63" s="846">
        <f t="shared" si="243"/>
        <v>0</v>
      </c>
    </row>
    <row r="64" spans="1:164" ht="15" customHeight="1" x14ac:dyDescent="0.25">
      <c r="A64" s="402" t="s">
        <v>389</v>
      </c>
      <c r="B64" s="883"/>
      <c r="C64" s="883"/>
      <c r="D64" s="883"/>
      <c r="E64" s="883"/>
      <c r="F64" s="883"/>
      <c r="G64" s="883"/>
      <c r="H64" s="883"/>
      <c r="I64" s="883"/>
      <c r="J64" s="883"/>
      <c r="K64" s="883"/>
      <c r="L64" s="883"/>
      <c r="M64" s="873"/>
      <c r="N64" s="879"/>
      <c r="O64" s="883"/>
      <c r="P64" s="883"/>
      <c r="Q64" s="883"/>
      <c r="R64" s="883"/>
      <c r="S64" s="883"/>
      <c r="T64" s="883"/>
      <c r="U64" s="883"/>
      <c r="V64" s="883"/>
      <c r="W64" s="883"/>
      <c r="X64" s="883"/>
      <c r="Y64" s="883"/>
      <c r="Z64" s="873"/>
      <c r="AA64" s="879"/>
      <c r="AB64" s="883"/>
      <c r="AC64" s="883"/>
      <c r="AD64" s="883"/>
      <c r="AE64" s="883"/>
      <c r="AF64" s="883"/>
      <c r="AG64" s="883"/>
      <c r="AH64" s="883"/>
      <c r="AI64" s="883"/>
      <c r="AJ64" s="883"/>
      <c r="AK64" s="883"/>
      <c r="AL64" s="883"/>
      <c r="AM64" s="873"/>
      <c r="AN64" s="879"/>
      <c r="AO64" s="883"/>
      <c r="AP64" s="883"/>
      <c r="AQ64" s="883"/>
      <c r="AR64" s="883"/>
      <c r="AS64" s="883"/>
      <c r="AT64" s="883"/>
      <c r="AU64" s="883"/>
      <c r="AV64" s="883"/>
      <c r="AW64" s="883"/>
      <c r="AX64" s="883"/>
      <c r="AY64" s="883"/>
      <c r="AZ64" s="873"/>
      <c r="BA64" s="879"/>
      <c r="BB64" s="883"/>
      <c r="BC64" s="883"/>
      <c r="BD64" s="883"/>
      <c r="BE64" s="883"/>
      <c r="BF64" s="883"/>
      <c r="BG64" s="883"/>
      <c r="BH64" s="883"/>
      <c r="BI64" s="883"/>
      <c r="BJ64" s="883"/>
      <c r="BK64" s="883"/>
      <c r="BL64" s="883"/>
      <c r="BM64" s="873"/>
      <c r="BN64" s="879"/>
      <c r="BO64" s="883"/>
      <c r="BP64" s="883"/>
      <c r="BQ64" s="883"/>
      <c r="BR64" s="883"/>
      <c r="BS64" s="883"/>
      <c r="BT64" s="883"/>
      <c r="BU64" s="883"/>
      <c r="BV64" s="883"/>
      <c r="BW64" s="883"/>
      <c r="BX64" s="883"/>
      <c r="BY64" s="883"/>
      <c r="BZ64" s="873"/>
      <c r="CA64" s="879"/>
      <c r="CB64" s="883"/>
      <c r="CC64" s="883"/>
      <c r="CD64" s="883"/>
      <c r="CE64" s="883"/>
      <c r="CF64" s="883"/>
      <c r="CG64" s="883"/>
      <c r="CH64" s="883"/>
      <c r="CI64" s="883"/>
      <c r="CJ64" s="883"/>
      <c r="CK64" s="883"/>
      <c r="CL64" s="883"/>
      <c r="CM64" s="873"/>
      <c r="CN64" s="879"/>
      <c r="CO64" s="883"/>
      <c r="CP64" s="883"/>
      <c r="CQ64" s="883"/>
      <c r="CR64" s="883"/>
      <c r="CS64" s="883">
        <f t="shared" si="374"/>
        <v>0</v>
      </c>
      <c r="CT64" s="883"/>
      <c r="CU64" s="883"/>
      <c r="CV64" s="883"/>
      <c r="CW64" s="883"/>
      <c r="CX64" s="883"/>
      <c r="CY64" s="883">
        <f>CY30/$CY$35</f>
        <v>0</v>
      </c>
      <c r="CZ64" s="873"/>
      <c r="DA64" s="879"/>
      <c r="DB64" s="883"/>
      <c r="DC64" s="883"/>
      <c r="DD64" s="883"/>
      <c r="DE64" s="883"/>
      <c r="DF64" s="883"/>
      <c r="DG64" s="883"/>
      <c r="DH64" s="883"/>
      <c r="DI64" s="883"/>
      <c r="DJ64" s="883">
        <f t="shared" si="390"/>
        <v>0</v>
      </c>
      <c r="DK64" s="883"/>
      <c r="DL64" s="883"/>
      <c r="DM64" s="873"/>
      <c r="DN64" s="879">
        <f t="shared" si="251"/>
        <v>0</v>
      </c>
      <c r="DO64" s="883"/>
      <c r="DP64" s="883"/>
      <c r="DQ64" s="883">
        <f t="shared" si="396"/>
        <v>0</v>
      </c>
      <c r="DR64" s="883"/>
      <c r="DS64" s="883"/>
      <c r="DT64" s="883"/>
      <c r="DU64" s="883"/>
      <c r="DV64" s="883"/>
      <c r="DW64" s="883">
        <f t="shared" si="402"/>
        <v>0</v>
      </c>
      <c r="DX64" s="883"/>
      <c r="DY64" s="883"/>
      <c r="DZ64" s="873"/>
      <c r="EA64" s="879">
        <f t="shared" si="252"/>
        <v>0</v>
      </c>
      <c r="EB64" s="883"/>
      <c r="EC64" s="883"/>
      <c r="ED64" s="883"/>
      <c r="EE64" s="883"/>
      <c r="EF64" s="883"/>
      <c r="EG64" s="883"/>
      <c r="EH64" s="883"/>
      <c r="EI64" s="883"/>
      <c r="EJ64" s="883"/>
      <c r="EK64" s="883"/>
      <c r="EL64" s="883"/>
      <c r="EM64" s="873"/>
      <c r="EN64" s="879">
        <f>SUM(EB64:EM64)</f>
        <v>0</v>
      </c>
      <c r="EO64" s="883"/>
      <c r="EP64" s="883"/>
      <c r="EQ64" s="883"/>
      <c r="ER64" s="883"/>
      <c r="ES64" s="883"/>
      <c r="ET64" s="883"/>
      <c r="EU64" s="883"/>
      <c r="EV64" s="973"/>
      <c r="EW64" s="883"/>
      <c r="EX64" s="883"/>
      <c r="EY64" s="883"/>
      <c r="EZ64" s="873"/>
      <c r="FA64" s="879">
        <f>SUM(EO64:EZ64)</f>
        <v>0</v>
      </c>
      <c r="FC64" s="843" t="str">
        <f t="shared" si="275"/>
        <v/>
      </c>
      <c r="FD64" s="844" t="str">
        <f t="shared" si="276"/>
        <v/>
      </c>
      <c r="FE64" s="845">
        <f t="shared" si="279"/>
        <v>0</v>
      </c>
      <c r="FF64" s="846">
        <f t="shared" si="243"/>
        <v>0</v>
      </c>
    </row>
    <row r="65" spans="1:164" ht="15" customHeight="1" x14ac:dyDescent="0.25">
      <c r="A65" s="133"/>
      <c r="B65" s="880"/>
      <c r="C65" s="880"/>
      <c r="D65" s="880"/>
      <c r="E65" s="880"/>
      <c r="F65" s="880"/>
      <c r="G65" s="880"/>
      <c r="H65" s="880"/>
      <c r="I65" s="880"/>
      <c r="J65" s="880"/>
      <c r="K65" s="880"/>
      <c r="L65" s="880"/>
      <c r="M65" s="881"/>
      <c r="N65" s="882"/>
      <c r="O65" s="880"/>
      <c r="P65" s="880"/>
      <c r="Q65" s="880"/>
      <c r="R65" s="880"/>
      <c r="S65" s="880"/>
      <c r="T65" s="880"/>
      <c r="U65" s="880"/>
      <c r="V65" s="880"/>
      <c r="W65" s="880"/>
      <c r="X65" s="880"/>
      <c r="Y65" s="880"/>
      <c r="Z65" s="881"/>
      <c r="AA65" s="882"/>
      <c r="AB65" s="880"/>
      <c r="AC65" s="880"/>
      <c r="AD65" s="880"/>
      <c r="AE65" s="880"/>
      <c r="AF65" s="880"/>
      <c r="AG65" s="880"/>
      <c r="AH65" s="880"/>
      <c r="AI65" s="880"/>
      <c r="AJ65" s="880"/>
      <c r="AK65" s="880"/>
      <c r="AL65" s="880"/>
      <c r="AM65" s="881"/>
      <c r="AN65" s="882"/>
      <c r="AO65" s="880"/>
      <c r="AP65" s="880"/>
      <c r="AQ65" s="880"/>
      <c r="AR65" s="880"/>
      <c r="AS65" s="880"/>
      <c r="AT65" s="880"/>
      <c r="AU65" s="880"/>
      <c r="AV65" s="880"/>
      <c r="AW65" s="880"/>
      <c r="AX65" s="880"/>
      <c r="AY65" s="880"/>
      <c r="AZ65" s="881"/>
      <c r="BA65" s="882"/>
      <c r="BB65" s="880"/>
      <c r="BC65" s="880"/>
      <c r="BD65" s="880"/>
      <c r="BE65" s="880"/>
      <c r="BF65" s="880"/>
      <c r="BG65" s="880"/>
      <c r="BH65" s="880"/>
      <c r="BI65" s="880"/>
      <c r="BJ65" s="880"/>
      <c r="BK65" s="880"/>
      <c r="BL65" s="880"/>
      <c r="BM65" s="881"/>
      <c r="BN65" s="882"/>
      <c r="BO65" s="880"/>
      <c r="BP65" s="880"/>
      <c r="BQ65" s="880"/>
      <c r="BR65" s="880"/>
      <c r="BS65" s="880"/>
      <c r="BT65" s="880"/>
      <c r="BU65" s="880"/>
      <c r="BV65" s="880"/>
      <c r="BW65" s="880"/>
      <c r="BX65" s="880"/>
      <c r="BY65" s="880"/>
      <c r="BZ65" s="881"/>
      <c r="CA65" s="882"/>
      <c r="CB65" s="880"/>
      <c r="CC65" s="880"/>
      <c r="CD65" s="880"/>
      <c r="CE65" s="880"/>
      <c r="CF65" s="880"/>
      <c r="CG65" s="880"/>
      <c r="CH65" s="880"/>
      <c r="CI65" s="880"/>
      <c r="CJ65" s="880"/>
      <c r="CK65" s="880"/>
      <c r="CL65" s="880"/>
      <c r="CM65" s="881"/>
      <c r="CN65" s="882"/>
      <c r="CO65" s="880"/>
      <c r="CP65" s="880"/>
      <c r="CQ65" s="880"/>
      <c r="CR65" s="880"/>
      <c r="CS65" s="880"/>
      <c r="CT65" s="880"/>
      <c r="CU65" s="880"/>
      <c r="CV65" s="880"/>
      <c r="CW65" s="880"/>
      <c r="CX65" s="880"/>
      <c r="CY65" s="880"/>
      <c r="CZ65" s="881"/>
      <c r="DA65" s="882"/>
      <c r="DB65" s="880"/>
      <c r="DC65" s="880"/>
      <c r="DD65" s="880"/>
      <c r="DE65" s="880"/>
      <c r="DF65" s="880"/>
      <c r="DG65" s="880"/>
      <c r="DH65" s="880"/>
      <c r="DI65" s="880"/>
      <c r="DJ65" s="880"/>
      <c r="DK65" s="880"/>
      <c r="DL65" s="880"/>
      <c r="DM65" s="881"/>
      <c r="DN65" s="882"/>
      <c r="DO65" s="880"/>
      <c r="DP65" s="880"/>
      <c r="DQ65" s="880"/>
      <c r="DR65" s="880"/>
      <c r="DS65" s="880"/>
      <c r="DT65" s="880"/>
      <c r="DU65" s="880"/>
      <c r="DV65" s="880"/>
      <c r="DW65" s="880"/>
      <c r="DX65" s="880"/>
      <c r="DY65" s="880"/>
      <c r="DZ65" s="881"/>
      <c r="EA65" s="882"/>
      <c r="EB65" s="880"/>
      <c r="EC65" s="880"/>
      <c r="ED65" s="880"/>
      <c r="EE65" s="880"/>
      <c r="EF65" s="880"/>
      <c r="EG65" s="880"/>
      <c r="EH65" s="880"/>
      <c r="EI65" s="880"/>
      <c r="EJ65" s="880"/>
      <c r="EK65" s="880"/>
      <c r="EL65" s="880"/>
      <c r="EM65" s="881"/>
      <c r="EN65" s="882"/>
      <c r="EO65" s="880"/>
      <c r="EP65" s="880"/>
      <c r="EQ65" s="880"/>
      <c r="ER65" s="880"/>
      <c r="ES65" s="880"/>
      <c r="ET65" s="880"/>
      <c r="EU65" s="880"/>
      <c r="EV65" s="978"/>
      <c r="EW65" s="880"/>
      <c r="EX65" s="880"/>
      <c r="EY65" s="880"/>
      <c r="EZ65" s="881"/>
      <c r="FA65" s="882"/>
      <c r="FC65" s="340"/>
      <c r="FD65" s="228"/>
      <c r="FE65" s="305"/>
      <c r="FF65" s="218"/>
    </row>
    <row r="66" spans="1:164" ht="15" customHeight="1" x14ac:dyDescent="0.25">
      <c r="A66" s="131" t="s">
        <v>244</v>
      </c>
      <c r="FC66" s="205"/>
      <c r="FD66" s="205"/>
    </row>
    <row r="67" spans="1:164" ht="15" customHeight="1" x14ac:dyDescent="0.25">
      <c r="A67" s="175" t="s">
        <v>145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FC67" s="205"/>
      <c r="FD67" s="205"/>
    </row>
    <row r="68" spans="1:164" ht="15" customHeight="1" x14ac:dyDescent="0.25">
      <c r="A68" s="175"/>
      <c r="B68" s="886"/>
      <c r="C68" s="886">
        <f t="shared" ref="C68:M68" si="407">((C70/B70)-1)*100</f>
        <v>0.34999999999998366</v>
      </c>
      <c r="D68" s="886">
        <f t="shared" si="407"/>
        <v>0.69000000000001283</v>
      </c>
      <c r="E68" s="886">
        <f t="shared" si="407"/>
        <v>-4.9999999999983391E-2</v>
      </c>
      <c r="F68" s="886">
        <f t="shared" si="407"/>
        <v>0.37999999999998035</v>
      </c>
      <c r="G68" s="886">
        <f t="shared" si="407"/>
        <v>0.25999999999968271</v>
      </c>
      <c r="H68" s="886">
        <f t="shared" si="407"/>
        <v>-4.2299536598511267E-2</v>
      </c>
      <c r="I68" s="886">
        <f t="shared" si="407"/>
        <v>0.23926474866931002</v>
      </c>
      <c r="J68" s="886">
        <f t="shared" si="407"/>
        <v>0.21634954674387696</v>
      </c>
      <c r="K68" s="886">
        <f t="shared" si="407"/>
        <v>1.9530980943471832E-2</v>
      </c>
      <c r="L68" s="886">
        <f t="shared" si="407"/>
        <v>0.71619945035819033</v>
      </c>
      <c r="M68" s="886">
        <f t="shared" si="407"/>
        <v>8.1921521308725431E-2</v>
      </c>
      <c r="N68" s="886"/>
      <c r="O68" s="886">
        <f>((O70/M70)-1)*100</f>
        <v>3.053448358329991E-2</v>
      </c>
      <c r="P68" s="886">
        <f t="shared" ref="P68:Z68" si="408">((P70/O70)-1)*100</f>
        <v>0.23219235243348013</v>
      </c>
      <c r="Q68" s="886">
        <f t="shared" si="408"/>
        <v>-0.28672930868928193</v>
      </c>
      <c r="R68" s="886">
        <f t="shared" si="408"/>
        <v>-0.66892865715068028</v>
      </c>
      <c r="S68" s="886">
        <f t="shared" si="408"/>
        <v>-7.8050303420562628E-2</v>
      </c>
      <c r="T68" s="886">
        <f t="shared" si="408"/>
        <v>0.55896268753112821</v>
      </c>
      <c r="U68" s="886">
        <f t="shared" si="408"/>
        <v>-0.30043095942747788</v>
      </c>
      <c r="V68" s="886">
        <f t="shared" si="408"/>
        <v>0.43162471284821091</v>
      </c>
      <c r="W68" s="886">
        <f t="shared" si="408"/>
        <v>0.78869387074389508</v>
      </c>
      <c r="X68" s="886">
        <f t="shared" si="408"/>
        <v>0.45930640210378737</v>
      </c>
      <c r="Y68" s="886">
        <f t="shared" si="408"/>
        <v>0.22347258548029991</v>
      </c>
      <c r="Z68" s="886">
        <f t="shared" si="408"/>
        <v>0.53272555389278775</v>
      </c>
      <c r="AA68" s="886"/>
      <c r="AB68" s="886">
        <f>((AB70/Z70)-1)*100</f>
        <v>3.1737347613192135E-2</v>
      </c>
      <c r="AC68" s="886">
        <f t="shared" ref="AC68:AM68" si="409">((AC70/AB70)-1)*100</f>
        <v>-0.61843213831460631</v>
      </c>
      <c r="AD68" s="886">
        <f t="shared" si="409"/>
        <v>0.39649345792385216</v>
      </c>
      <c r="AE68" s="886">
        <f t="shared" si="409"/>
        <v>-0.25290356996410246</v>
      </c>
      <c r="AF68" s="886">
        <f t="shared" si="409"/>
        <v>-0.13312826441995718</v>
      </c>
      <c r="AG68" s="886">
        <f t="shared" si="409"/>
        <v>-0.12688342585249757</v>
      </c>
      <c r="AH68" s="886">
        <f t="shared" si="409"/>
        <v>-0.10704403257981721</v>
      </c>
      <c r="AI68" s="886">
        <f t="shared" si="409"/>
        <v>0.18869062535811221</v>
      </c>
      <c r="AJ68" s="886">
        <f t="shared" si="409"/>
        <v>0.21102217153214919</v>
      </c>
      <c r="AK68" s="886">
        <f t="shared" si="409"/>
        <v>-7.3444432088221046E-2</v>
      </c>
      <c r="AL68" s="886">
        <f t="shared" si="409"/>
        <v>-0.16134807921912575</v>
      </c>
      <c r="AM68" s="886">
        <f t="shared" si="409"/>
        <v>6.1335741311441261E-2</v>
      </c>
      <c r="AN68" s="886"/>
      <c r="AO68" s="886">
        <f>((AO70/AM70)-1)*100</f>
        <v>0.26357487057231399</v>
      </c>
      <c r="AP68" s="886">
        <f t="shared" ref="AP68:AZ68" si="410">((AP70/AO70)-1)*100</f>
        <v>0.38205279946403881</v>
      </c>
      <c r="AQ68" s="886">
        <f t="shared" si="410"/>
        <v>9.0167422404063835E-2</v>
      </c>
      <c r="AR68" s="886">
        <f t="shared" si="410"/>
        <v>-9.3202373189993359E-2</v>
      </c>
      <c r="AS68" s="886">
        <f t="shared" si="410"/>
        <v>0.70330936786742182</v>
      </c>
      <c r="AT68" s="886">
        <f t="shared" si="410"/>
        <v>0.28221574746070122</v>
      </c>
      <c r="AU68" s="886">
        <f t="shared" si="410"/>
        <v>7.206102002381698E-2</v>
      </c>
      <c r="AV68" s="886">
        <f t="shared" si="410"/>
        <v>0.13031818425595088</v>
      </c>
      <c r="AW68" s="886">
        <f t="shared" si="410"/>
        <v>0.63274317403616553</v>
      </c>
      <c r="AX68" s="886">
        <f t="shared" si="410"/>
        <v>0.39157518161896387</v>
      </c>
      <c r="AY68" s="886">
        <f t="shared" si="410"/>
        <v>0.47741438947532799</v>
      </c>
      <c r="AZ68" s="886">
        <f t="shared" si="410"/>
        <v>-0.13144839318965928</v>
      </c>
      <c r="BA68" s="886"/>
      <c r="BB68" s="886">
        <f>((BB70/AZ70)-1)*100</f>
        <v>-0.33058723767540599</v>
      </c>
      <c r="BC68" s="886">
        <f t="shared" ref="BC68:BM68" si="411">((BC70/BB70)-1)*100</f>
        <v>-0.45074289343741691</v>
      </c>
      <c r="BD68" s="886">
        <f t="shared" si="411"/>
        <v>3.241163410994119E-2</v>
      </c>
      <c r="BE68" s="886">
        <f t="shared" si="411"/>
        <v>0.27101016981727621</v>
      </c>
      <c r="BF68" s="886">
        <f t="shared" si="411"/>
        <v>0.1812326186129587</v>
      </c>
      <c r="BG68" s="886">
        <f t="shared" si="411"/>
        <v>-8.2237010864039117E-2</v>
      </c>
      <c r="BH68" s="886">
        <f t="shared" si="411"/>
        <v>4.2854836252903539E-2</v>
      </c>
      <c r="BI68" s="886">
        <f t="shared" si="411"/>
        <v>0.30860030910426772</v>
      </c>
      <c r="BJ68" s="886">
        <f t="shared" si="411"/>
        <v>-1.1282458968542297E-2</v>
      </c>
      <c r="BK68" s="886">
        <f t="shared" si="411"/>
        <v>0.12230891474160899</v>
      </c>
      <c r="BL68" s="886">
        <f t="shared" si="411"/>
        <v>-0.1368932842300552</v>
      </c>
      <c r="BM68" s="886">
        <f t="shared" si="411"/>
        <v>-3.833217719069193E-2</v>
      </c>
      <c r="BN68" s="886"/>
      <c r="BO68" s="886">
        <f>((BO70/BM70)-1)*100</f>
        <v>-0.34848401419980135</v>
      </c>
      <c r="BP68" s="886">
        <f t="shared" ref="BP68:BZ68" si="412">((BP70/BO70)-1)*100</f>
        <v>-0.14000000000000679</v>
      </c>
      <c r="BQ68" s="886">
        <f t="shared" si="412"/>
        <v>0.27999999999999137</v>
      </c>
      <c r="BR68" s="886">
        <f t="shared" si="412"/>
        <v>-0.23000000000000798</v>
      </c>
      <c r="BS68" s="886">
        <f t="shared" si="412"/>
        <v>-0.12000000000000899</v>
      </c>
      <c r="BT68" s="886">
        <f t="shared" si="412"/>
        <v>-0.15000000000000568</v>
      </c>
      <c r="BU68" s="886">
        <f t="shared" si="412"/>
        <v>0.53000000000000824</v>
      </c>
      <c r="BV68" s="886">
        <f t="shared" si="412"/>
        <v>0.34000000000034003</v>
      </c>
      <c r="BW68" s="886">
        <f t="shared" si="412"/>
        <v>0.11999999999927624</v>
      </c>
      <c r="BX68" s="886">
        <f t="shared" si="412"/>
        <v>0.25000000000037215</v>
      </c>
      <c r="BY68" s="886">
        <f t="shared" si="412"/>
        <v>0.36000000000002697</v>
      </c>
      <c r="BZ68" s="886">
        <f t="shared" si="412"/>
        <v>0.64999999999977298</v>
      </c>
      <c r="CA68" s="886"/>
      <c r="CB68" s="886">
        <f>((CB70/BZ70)-1)*100</f>
        <v>1.0700000000002374</v>
      </c>
      <c r="CC68" s="886">
        <f t="shared" ref="CC68:CM68" si="413">((CC70/CB70)-1)*100</f>
        <v>1.0699999999999932</v>
      </c>
      <c r="CD68" s="886">
        <f t="shared" si="413"/>
        <v>1.6100000000000003</v>
      </c>
      <c r="CE68" s="886">
        <f t="shared" si="413"/>
        <v>-9.9999999999988987E-3</v>
      </c>
      <c r="CF68" s="886">
        <f t="shared" si="413"/>
        <v>1.089999999999991</v>
      </c>
      <c r="CG68" s="886">
        <f t="shared" si="413"/>
        <v>1.8299999999996874</v>
      </c>
      <c r="CH68" s="886">
        <f t="shared" si="413"/>
        <v>1.5100000000002778</v>
      </c>
      <c r="CI68" s="886">
        <f t="shared" si="413"/>
        <v>1.8499999999999961</v>
      </c>
      <c r="CJ68" s="886">
        <f t="shared" si="413"/>
        <v>1.1600000000000055</v>
      </c>
      <c r="CK68" s="886">
        <f t="shared" si="413"/>
        <v>0.9100000000000108</v>
      </c>
      <c r="CL68" s="886">
        <f t="shared" si="413"/>
        <v>0.37000000000000366</v>
      </c>
      <c r="CM68" s="886">
        <f t="shared" si="413"/>
        <v>0.36000000000000476</v>
      </c>
      <c r="CN68" s="886"/>
      <c r="CO68" s="886">
        <f>((CO70/CM70)-1)*100</f>
        <v>-0.26000000000001577</v>
      </c>
      <c r="CP68" s="886">
        <f t="shared" ref="CP68:CZ68" si="414">((CP70/CO70)-1)*100</f>
        <v>0.45999999999999375</v>
      </c>
      <c r="CQ68" s="886">
        <f t="shared" si="414"/>
        <v>1.7700000000000049</v>
      </c>
      <c r="CR68" s="886">
        <f t="shared" si="414"/>
        <v>1.2999999999999901</v>
      </c>
      <c r="CS68" s="886">
        <f t="shared" si="414"/>
        <v>1.6899999999999915</v>
      </c>
      <c r="CT68" s="886">
        <f t="shared" si="414"/>
        <v>0.38000000000000256</v>
      </c>
      <c r="CU68" s="886">
        <f t="shared" si="414"/>
        <v>1.9600000000000062</v>
      </c>
      <c r="CV68" s="886">
        <f t="shared" si="414"/>
        <v>-0.27000000000001467</v>
      </c>
      <c r="CW68" s="886">
        <f t="shared" si="414"/>
        <v>0.17000000000000348</v>
      </c>
      <c r="CX68" s="886">
        <f t="shared" si="414"/>
        <v>0.81999999999999851</v>
      </c>
      <c r="CY68" s="886">
        <f t="shared" si="414"/>
        <v>-4.9999999999983391E-2</v>
      </c>
      <c r="CZ68" s="886">
        <f t="shared" si="414"/>
        <v>-1.1099999999999999</v>
      </c>
      <c r="DA68" s="886"/>
      <c r="DB68" s="886">
        <f>((DB70/CZ70)-1)*100</f>
        <v>0.39000000000013468</v>
      </c>
      <c r="DC68" s="886">
        <f t="shared" ref="DC68:DM68" si="415">((DC70/DB70)-1)*100</f>
        <v>0.81999999999986528</v>
      </c>
      <c r="DD68" s="886">
        <f t="shared" si="415"/>
        <v>-0.51000000000001044</v>
      </c>
      <c r="DE68" s="886">
        <f t="shared" si="415"/>
        <v>-8.0000000000002292E-2</v>
      </c>
      <c r="DF68" s="886">
        <f t="shared" si="415"/>
        <v>-0.8399999999999852</v>
      </c>
      <c r="DG68" s="886">
        <f t="shared" si="415"/>
        <v>-0.74999999999999512</v>
      </c>
      <c r="DH68" s="886">
        <f t="shared" si="415"/>
        <v>-0.32999999999999696</v>
      </c>
      <c r="DI68" s="886">
        <f t="shared" si="415"/>
        <v>1.3100000000000112</v>
      </c>
      <c r="DJ68" s="886">
        <f t="shared" si="415"/>
        <v>0.13000000000000789</v>
      </c>
      <c r="DK68" s="886">
        <f t="shared" si="415"/>
        <v>0.48999999999999044</v>
      </c>
      <c r="DL68" s="886">
        <f t="shared" si="415"/>
        <v>-0.9299999999999975</v>
      </c>
      <c r="DM68" s="886">
        <f t="shared" si="415"/>
        <v>-0.71999999999999842</v>
      </c>
      <c r="DN68" s="886"/>
      <c r="DO68" s="886">
        <f>((DO70/DM70)-1)*100</f>
        <v>-0.72999999999999732</v>
      </c>
      <c r="DP68" s="886">
        <f t="shared" ref="DP68:DZ68" si="416">((DP70/DO70)-1)*100</f>
        <v>0.33000000000000806</v>
      </c>
      <c r="DQ68" s="886">
        <f t="shared" si="416"/>
        <v>-0.40999999999998815</v>
      </c>
      <c r="DR68" s="886">
        <f t="shared" si="416"/>
        <v>-0.12999999999999678</v>
      </c>
      <c r="DS68" s="886">
        <f t="shared" si="416"/>
        <v>-0.20999999999999908</v>
      </c>
      <c r="DT68" s="886">
        <f t="shared" si="416"/>
        <v>-9.9999999999988987E-3</v>
      </c>
      <c r="DU68" s="886">
        <f t="shared" si="416"/>
        <v>0.62999999999999723</v>
      </c>
      <c r="DV68" s="886">
        <f t="shared" si="416"/>
        <v>-0.29999999999998916</v>
      </c>
      <c r="DW68" s="886">
        <f t="shared" si="416"/>
        <v>-0.39000000000001256</v>
      </c>
      <c r="DX68" s="886">
        <f t="shared" si="416"/>
        <v>-0.18000000000000238</v>
      </c>
      <c r="DY68" s="886">
        <f t="shared" si="416"/>
        <v>0.32000000000000917</v>
      </c>
      <c r="DZ68" s="886">
        <f t="shared" si="416"/>
        <v>-0.29000000000000137</v>
      </c>
      <c r="EA68" s="886"/>
      <c r="EB68" s="886">
        <f>((EB70/DM70)-1)*100</f>
        <v>-1.2705628285732185</v>
      </c>
      <c r="EC68" s="886">
        <f t="shared" ref="EC68:EM68" si="417">((EC70/EB70)-1)*100</f>
        <v>-0.35999999999997145</v>
      </c>
      <c r="ED68" s="886">
        <f t="shared" si="417"/>
        <v>-0.15000000000000568</v>
      </c>
      <c r="EE68" s="886">
        <f t="shared" si="417"/>
        <v>0.19000000000000128</v>
      </c>
      <c r="EF68" s="886">
        <f t="shared" si="417"/>
        <v>-0.40000000000000036</v>
      </c>
      <c r="EG68" s="886">
        <f t="shared" si="417"/>
        <v>-0.33999999999999586</v>
      </c>
      <c r="EH68" s="886">
        <f t="shared" si="417"/>
        <v>-0.74000000000000732</v>
      </c>
      <c r="EI68" s="886">
        <f t="shared" si="417"/>
        <v>-0.75999999999999401</v>
      </c>
      <c r="EJ68" s="886">
        <f t="shared" si="417"/>
        <v>-0.35000000000000586</v>
      </c>
      <c r="EK68" s="886">
        <f t="shared" si="417"/>
        <v>-0.63000000000000833</v>
      </c>
      <c r="EL68" s="886">
        <f t="shared" si="417"/>
        <v>-0.39000000000000146</v>
      </c>
      <c r="EM68" s="886">
        <f t="shared" si="417"/>
        <v>-6.9999999999992291E-2</v>
      </c>
      <c r="EN68" s="886"/>
      <c r="EO68" s="886">
        <f>((EO70/EM70)-1)*100</f>
        <v>6.9999999999859064E-2</v>
      </c>
      <c r="EP68" s="886">
        <f t="shared" ref="EP68:EV68" si="418">((EP70/EO70)-1)*100</f>
        <v>0.38000000000015799</v>
      </c>
      <c r="EQ68" s="886">
        <f t="shared" si="418"/>
        <v>3.1099999999999905</v>
      </c>
      <c r="ER68" s="886">
        <f t="shared" si="418"/>
        <v>1.419999999999999</v>
      </c>
      <c r="ES68" s="886">
        <f t="shared" si="418"/>
        <v>-0.43999999999999595</v>
      </c>
      <c r="ET68" s="886">
        <f t="shared" si="418"/>
        <v>-0.96000000000000529</v>
      </c>
      <c r="EU68" s="886">
        <f t="shared" si="418"/>
        <v>0.55000000000000604</v>
      </c>
      <c r="EV68" s="974">
        <f t="shared" si="418"/>
        <v>1.2199999999999989</v>
      </c>
      <c r="EW68" s="886"/>
      <c r="EX68" s="886"/>
      <c r="EY68" s="886"/>
      <c r="EZ68" s="886"/>
      <c r="FA68" s="886"/>
      <c r="FC68"/>
      <c r="FD68"/>
      <c r="FE68"/>
      <c r="FF68"/>
    </row>
    <row r="69" spans="1:164" ht="15" customHeight="1" x14ac:dyDescent="0.25">
      <c r="FC69"/>
      <c r="FD69"/>
      <c r="FE69"/>
      <c r="FF69"/>
    </row>
    <row r="70" spans="1:164" s="757" customFormat="1" ht="15" customHeight="1" x14ac:dyDescent="0.25">
      <c r="A70" s="887" t="s">
        <v>223</v>
      </c>
      <c r="B70" s="888">
        <v>120.77306385079554</v>
      </c>
      <c r="C70" s="888">
        <v>121.19576957427331</v>
      </c>
      <c r="D70" s="888">
        <v>122.03202038433581</v>
      </c>
      <c r="E70" s="888">
        <v>121.97100437414366</v>
      </c>
      <c r="F70" s="888">
        <v>122.43449419076539</v>
      </c>
      <c r="G70" s="888">
        <v>122.75282387566099</v>
      </c>
      <c r="H70" s="888">
        <v>122.7009</v>
      </c>
      <c r="I70" s="888">
        <v>122.99448</v>
      </c>
      <c r="J70" s="888">
        <v>123.260578</v>
      </c>
      <c r="K70" s="888">
        <v>123.28465199999999</v>
      </c>
      <c r="L70" s="888">
        <v>124.16761600000001</v>
      </c>
      <c r="M70" s="889">
        <v>124.269336</v>
      </c>
      <c r="N70" s="890"/>
      <c r="O70" s="888">
        <v>124.307281</v>
      </c>
      <c r="P70" s="888">
        <v>124.595913</v>
      </c>
      <c r="Q70" s="888">
        <v>124.23866</v>
      </c>
      <c r="R70" s="888">
        <v>123.40759199999999</v>
      </c>
      <c r="S70" s="888">
        <v>123.31127199999999</v>
      </c>
      <c r="T70" s="888">
        <v>124.00053600000001</v>
      </c>
      <c r="U70" s="888">
        <v>123.628</v>
      </c>
      <c r="V70" s="888">
        <v>124.161609</v>
      </c>
      <c r="W70" s="888">
        <v>125.14086399999999</v>
      </c>
      <c r="X70" s="888">
        <v>125.715644</v>
      </c>
      <c r="Y70" s="888">
        <v>125.996584</v>
      </c>
      <c r="Z70" s="889">
        <v>126.6678</v>
      </c>
      <c r="AA70" s="890"/>
      <c r="AB70" s="888">
        <v>126.708001</v>
      </c>
      <c r="AC70" s="888">
        <v>125.924398</v>
      </c>
      <c r="AD70" s="888">
        <v>126.42368</v>
      </c>
      <c r="AE70" s="888">
        <v>126.10395000000001</v>
      </c>
      <c r="AF70" s="888">
        <v>125.93607</v>
      </c>
      <c r="AG70" s="888">
        <v>125.776278</v>
      </c>
      <c r="AH70" s="888">
        <v>125.641642</v>
      </c>
      <c r="AI70" s="888">
        <v>125.878716</v>
      </c>
      <c r="AJ70" s="888">
        <v>126.14434799999999</v>
      </c>
      <c r="AK70" s="888">
        <v>126.05170200000001</v>
      </c>
      <c r="AL70" s="888">
        <v>125.84831999999999</v>
      </c>
      <c r="AM70" s="889">
        <v>125.92550999999999</v>
      </c>
      <c r="AN70" s="890"/>
      <c r="AO70" s="888">
        <v>126.257418</v>
      </c>
      <c r="AP70" s="888">
        <v>126.739788</v>
      </c>
      <c r="AQ70" s="888">
        <v>126.85406599999999</v>
      </c>
      <c r="AR70" s="888">
        <v>126.73583499999999</v>
      </c>
      <c r="AS70" s="888">
        <v>127.62718</v>
      </c>
      <c r="AT70" s="888">
        <v>127.987364</v>
      </c>
      <c r="AU70" s="888">
        <v>128.07959299999999</v>
      </c>
      <c r="AV70" s="888">
        <v>128.24650399999999</v>
      </c>
      <c r="AW70" s="888">
        <v>129.057975</v>
      </c>
      <c r="AX70" s="888">
        <v>129.563334</v>
      </c>
      <c r="AY70" s="888">
        <v>130.18188799999999</v>
      </c>
      <c r="AZ70" s="889">
        <v>130.01076600000002</v>
      </c>
      <c r="BA70" s="890"/>
      <c r="BB70" s="888">
        <v>129.58096699999999</v>
      </c>
      <c r="BC70" s="888">
        <v>128.99689000000001</v>
      </c>
      <c r="BD70" s="888">
        <v>129.03870000000001</v>
      </c>
      <c r="BE70" s="888">
        <v>129.388408</v>
      </c>
      <c r="BF70" s="888">
        <v>129.62290200000001</v>
      </c>
      <c r="BG70" s="888">
        <v>129.51630399999999</v>
      </c>
      <c r="BH70" s="888">
        <v>129.571808</v>
      </c>
      <c r="BI70" s="888">
        <v>129.971667</v>
      </c>
      <c r="BJ70" s="888">
        <v>129.95700299999999</v>
      </c>
      <c r="BK70" s="888">
        <v>130.11595199999999</v>
      </c>
      <c r="BL70" s="888">
        <v>129.93783199999999</v>
      </c>
      <c r="BM70" s="889">
        <v>129.888024</v>
      </c>
      <c r="BN70" s="890"/>
      <c r="BO70" s="888">
        <v>129.435385</v>
      </c>
      <c r="BP70" s="888">
        <v>129.25417546099999</v>
      </c>
      <c r="BQ70" s="888">
        <v>129.61608715229079</v>
      </c>
      <c r="BR70" s="888">
        <v>129.31797015184051</v>
      </c>
      <c r="BS70" s="888">
        <v>129.1627885876583</v>
      </c>
      <c r="BT70" s="888">
        <v>128.96904440477681</v>
      </c>
      <c r="BU70" s="888">
        <v>129.65258034012214</v>
      </c>
      <c r="BV70" s="888">
        <v>130.09339911327899</v>
      </c>
      <c r="BW70" s="888">
        <v>130.24951119221399</v>
      </c>
      <c r="BX70" s="888">
        <v>130.57513497019499</v>
      </c>
      <c r="BY70" s="888">
        <v>131.04520545608773</v>
      </c>
      <c r="BZ70" s="889">
        <v>131.89699929155199</v>
      </c>
      <c r="CA70" s="890"/>
      <c r="CB70" s="888">
        <v>133.30829718397192</v>
      </c>
      <c r="CC70" s="888">
        <v>134.73469596384041</v>
      </c>
      <c r="CD70" s="888">
        <v>136.90392456885823</v>
      </c>
      <c r="CE70" s="888">
        <v>136.89023417640135</v>
      </c>
      <c r="CF70" s="888">
        <v>138.38233772892411</v>
      </c>
      <c r="CG70" s="888">
        <v>140.914734509363</v>
      </c>
      <c r="CH70" s="888">
        <v>143.04254700045479</v>
      </c>
      <c r="CI70" s="888">
        <v>145.68883411996319</v>
      </c>
      <c r="CJ70" s="888">
        <v>147.37882459575476</v>
      </c>
      <c r="CK70" s="888">
        <v>148.71997189957614</v>
      </c>
      <c r="CL70" s="888">
        <v>149.27023579560458</v>
      </c>
      <c r="CM70" s="889">
        <v>149.80760864446876</v>
      </c>
      <c r="CN70" s="890" t="s">
        <v>83</v>
      </c>
      <c r="CO70" s="888">
        <v>149.41810886199312</v>
      </c>
      <c r="CP70" s="888">
        <v>150.10543216275829</v>
      </c>
      <c r="CQ70" s="888">
        <v>152.76229831203912</v>
      </c>
      <c r="CR70" s="888">
        <v>154.74820819009562</v>
      </c>
      <c r="CS70" s="888">
        <v>157.36345290850824</v>
      </c>
      <c r="CT70" s="888">
        <v>157.96143402956056</v>
      </c>
      <c r="CU70" s="888">
        <v>161.05747813653997</v>
      </c>
      <c r="CV70" s="888">
        <v>160.62262294557129</v>
      </c>
      <c r="CW70" s="888">
        <v>160.89568140457877</v>
      </c>
      <c r="CX70" s="888">
        <v>162.21502599209632</v>
      </c>
      <c r="CY70" s="888">
        <v>162.13391847910029</v>
      </c>
      <c r="CZ70" s="889">
        <v>160.33423198398228</v>
      </c>
      <c r="DA70" s="890" t="s">
        <v>83</v>
      </c>
      <c r="DB70" s="888">
        <v>160.95953548872001</v>
      </c>
      <c r="DC70" s="888">
        <v>162.2794036797273</v>
      </c>
      <c r="DD70" s="888">
        <v>161.45177872096068</v>
      </c>
      <c r="DE70" s="888">
        <v>161.3226172979839</v>
      </c>
      <c r="DF70" s="888">
        <v>159.96750731268085</v>
      </c>
      <c r="DG70" s="888">
        <v>158.76775100783576</v>
      </c>
      <c r="DH70" s="888">
        <v>158.2438174295099</v>
      </c>
      <c r="DI70" s="888">
        <v>160.31681143783649</v>
      </c>
      <c r="DJ70" s="888">
        <v>160.5252232927057</v>
      </c>
      <c r="DK70" s="888">
        <v>161.31179688683994</v>
      </c>
      <c r="DL70" s="888">
        <v>159.81159717579234</v>
      </c>
      <c r="DM70" s="889">
        <v>158.66095367612664</v>
      </c>
      <c r="DN70" s="890" t="s">
        <v>83</v>
      </c>
      <c r="DO70" s="888">
        <v>157.50272871429092</v>
      </c>
      <c r="DP70" s="888">
        <v>158.02248771904809</v>
      </c>
      <c r="DQ70" s="888">
        <v>157.3745955194</v>
      </c>
      <c r="DR70" s="888">
        <v>157.17000854522479</v>
      </c>
      <c r="DS70" s="888">
        <v>156.83995152727982</v>
      </c>
      <c r="DT70" s="888">
        <v>156.8242675321271</v>
      </c>
      <c r="DU70" s="888">
        <v>157.81226041757949</v>
      </c>
      <c r="DV70" s="888">
        <v>157.33882363632677</v>
      </c>
      <c r="DW70" s="888">
        <v>156.72520222414508</v>
      </c>
      <c r="DX70" s="888">
        <v>156.44309686014162</v>
      </c>
      <c r="DY70" s="888">
        <v>156.94371477009409</v>
      </c>
      <c r="DZ70" s="889">
        <v>156.48857799726082</v>
      </c>
      <c r="EA70" s="890" t="s">
        <v>83</v>
      </c>
      <c r="EB70" s="888">
        <v>156.645066575258</v>
      </c>
      <c r="EC70" s="888">
        <v>156.08114433558711</v>
      </c>
      <c r="ED70" s="888">
        <v>155.84702261908373</v>
      </c>
      <c r="EE70" s="888">
        <v>156.14313196205998</v>
      </c>
      <c r="EF70" s="888">
        <v>155.51855943421174</v>
      </c>
      <c r="EG70" s="888">
        <v>154.98979633213543</v>
      </c>
      <c r="EH70" s="888">
        <v>153.84287183927762</v>
      </c>
      <c r="EI70" s="888">
        <v>152.67366601329911</v>
      </c>
      <c r="EJ70" s="888">
        <v>152.13930818225256</v>
      </c>
      <c r="EK70" s="888">
        <v>151.18083054070436</v>
      </c>
      <c r="EL70" s="888">
        <v>150.59122530159561</v>
      </c>
      <c r="EM70" s="889">
        <v>150.4858114438845</v>
      </c>
      <c r="EN70" s="890" t="s">
        <v>83</v>
      </c>
      <c r="EO70" s="888">
        <v>150.59115151189499</v>
      </c>
      <c r="EP70" s="888">
        <v>151.16339788764043</v>
      </c>
      <c r="EQ70" s="888">
        <v>155.86457956194604</v>
      </c>
      <c r="ER70" s="888">
        <v>158.07785659172566</v>
      </c>
      <c r="ES70" s="888">
        <v>157.38231402272208</v>
      </c>
      <c r="ET70" s="888">
        <v>155.87144380810395</v>
      </c>
      <c r="EU70" s="888">
        <v>156.72873674904852</v>
      </c>
      <c r="EV70" s="979">
        <v>158.64082733738692</v>
      </c>
      <c r="EW70" s="888"/>
      <c r="EX70" s="888"/>
      <c r="EY70" s="888"/>
      <c r="EZ70" s="889"/>
      <c r="FA70" s="890"/>
      <c r="FC70" s="891">
        <f>IFERROR(((
_xlfn.XLOOKUP((DATE(YEAR($FC$5),MONTH($FC$5),1)),UCA.GGN.DATE,$B70:$FA70) /
_xlfn.XLOOKUP((DATE(YEAR($FC$5)-1,MONTH($FC$5),1)),UCA.GGN.DATE,$B70:$FA70)
)-1)*100,"")</f>
        <v>3.908441763341175</v>
      </c>
      <c r="FD70" s="892">
        <f>IFERROR(((FF70/FE70)-1)*100,"")</f>
        <v>0.20769611548563383</v>
      </c>
      <c r="FE70" s="893">
        <f>SUMIFS($B70:$FA70,UCA.GGN.DATE,"&gt;="&amp;DATE(YEAR($FC$5)-1,1,1),UCA.GGN.DATE,"&lt;="&amp;DATE(YEAR($FC$5)-1,MONTH($FC$5),1))</f>
        <v>1241.7412591109128</v>
      </c>
      <c r="FF70" s="894">
        <f>SUMIFS($B70:$FA70,UCA.GGN.DATE,"&gt;="&amp;DATE(YEAR($FC$5),1,1),UCA.GGN.DATE,"&lt;="&amp;$FC$5)</f>
        <v>1244.3203074704686</v>
      </c>
      <c r="FH70" s="793"/>
    </row>
    <row r="71" spans="1:164" ht="15" customHeight="1" x14ac:dyDescent="0.25">
      <c r="A71" s="414" t="s">
        <v>391</v>
      </c>
      <c r="B71" s="880">
        <f t="shared" ref="B71:M71" si="419">B11/B70*100</f>
        <v>5199.8349630000166</v>
      </c>
      <c r="C71" s="880">
        <f t="shared" si="419"/>
        <v>4600.8206553635664</v>
      </c>
      <c r="D71" s="880">
        <f t="shared" si="419"/>
        <v>5653.4342201922318</v>
      </c>
      <c r="E71" s="880">
        <f t="shared" si="419"/>
        <v>6117.8474657062434</v>
      </c>
      <c r="F71" s="880">
        <f t="shared" si="419"/>
        <v>7795.1888175643362</v>
      </c>
      <c r="G71" s="880">
        <f t="shared" si="419"/>
        <v>6192.1182421833482</v>
      </c>
      <c r="H71" s="880">
        <f t="shared" si="419"/>
        <v>5932.3118249336385</v>
      </c>
      <c r="I71" s="880">
        <f t="shared" si="419"/>
        <v>8474.3640527607422</v>
      </c>
      <c r="J71" s="880">
        <f t="shared" si="419"/>
        <v>15489.948456999773</v>
      </c>
      <c r="K71" s="880">
        <f t="shared" si="419"/>
        <v>6701.5641168375123</v>
      </c>
      <c r="L71" s="880">
        <f t="shared" si="419"/>
        <v>7517.2579620116085</v>
      </c>
      <c r="M71" s="881">
        <f t="shared" si="419"/>
        <v>32837.545699930357</v>
      </c>
      <c r="N71" s="882">
        <f>SUM(B71:M71)</f>
        <v>112512.23647748337</v>
      </c>
      <c r="O71" s="880">
        <f t="shared" ref="O71:Z71" si="420">O11/O70*100</f>
        <v>5855.650563220026</v>
      </c>
      <c r="P71" s="880">
        <f t="shared" si="420"/>
        <v>7277.1247320126786</v>
      </c>
      <c r="Q71" s="880">
        <f t="shared" si="420"/>
        <v>7782.6016475065016</v>
      </c>
      <c r="R71" s="880">
        <f t="shared" si="420"/>
        <v>14550.968630844041</v>
      </c>
      <c r="S71" s="880">
        <f t="shared" si="420"/>
        <v>9536.8410440206972</v>
      </c>
      <c r="T71" s="880">
        <f t="shared" si="420"/>
        <v>11136.242185275714</v>
      </c>
      <c r="U71" s="880">
        <f t="shared" si="420"/>
        <v>12059.565794156662</v>
      </c>
      <c r="V71" s="880">
        <f t="shared" si="420"/>
        <v>8686.2598567001496</v>
      </c>
      <c r="W71" s="880">
        <f t="shared" si="420"/>
        <v>10126.188676466227</v>
      </c>
      <c r="X71" s="880">
        <f t="shared" si="420"/>
        <v>8275.0242284882224</v>
      </c>
      <c r="Y71" s="880">
        <f t="shared" si="420"/>
        <v>8658.9649128900201</v>
      </c>
      <c r="Z71" s="881">
        <f t="shared" si="420"/>
        <v>20677.709725755085</v>
      </c>
      <c r="AA71" s="882">
        <f>SUM(O71:Z71)</f>
        <v>124623.14199733603</v>
      </c>
      <c r="AB71" s="880">
        <f t="shared" ref="AB71:AM71" si="421">AB11/AB70*100</f>
        <v>2876.6928459395394</v>
      </c>
      <c r="AC71" s="880">
        <f t="shared" si="421"/>
        <v>6410.9895526361779</v>
      </c>
      <c r="AD71" s="880">
        <f t="shared" si="421"/>
        <v>11079.411705148908</v>
      </c>
      <c r="AE71" s="880">
        <f t="shared" si="421"/>
        <v>6448.6481192698566</v>
      </c>
      <c r="AF71" s="880">
        <f t="shared" si="421"/>
        <v>10143.241725742275</v>
      </c>
      <c r="AG71" s="880">
        <f t="shared" si="421"/>
        <v>8183.5781465881819</v>
      </c>
      <c r="AH71" s="880">
        <f t="shared" si="421"/>
        <v>9461.0352195174273</v>
      </c>
      <c r="AI71" s="880">
        <f t="shared" si="421"/>
        <v>8752.0752912668722</v>
      </c>
      <c r="AJ71" s="880">
        <f t="shared" si="421"/>
        <v>8174.7618212747839</v>
      </c>
      <c r="AK71" s="880">
        <f t="shared" si="421"/>
        <v>9980.8251696593506</v>
      </c>
      <c r="AL71" s="880">
        <f t="shared" si="421"/>
        <v>11453.470336354114</v>
      </c>
      <c r="AM71" s="881">
        <f t="shared" si="421"/>
        <v>21569.100653235397</v>
      </c>
      <c r="AN71" s="882">
        <f>SUM(AB71:AM71)</f>
        <v>114533.83058663289</v>
      </c>
      <c r="AO71" s="880">
        <f t="shared" ref="AO71:AZ71" si="422">AO11/AO70*100</f>
        <v>3980.7562039641903</v>
      </c>
      <c r="AP71" s="880">
        <f t="shared" si="422"/>
        <v>9401.9409279744104</v>
      </c>
      <c r="AQ71" s="880">
        <f t="shared" si="422"/>
        <v>8319.0080797252485</v>
      </c>
      <c r="AR71" s="880">
        <f t="shared" si="422"/>
        <v>9253.8941334153824</v>
      </c>
      <c r="AS71" s="880">
        <f t="shared" si="422"/>
        <v>8462.9308584582068</v>
      </c>
      <c r="AT71" s="880">
        <f t="shared" si="422"/>
        <v>8415.6745348704881</v>
      </c>
      <c r="AU71" s="880">
        <f t="shared" si="422"/>
        <v>10330.295162633754</v>
      </c>
      <c r="AV71" s="880">
        <f t="shared" si="422"/>
        <v>8332.390877493237</v>
      </c>
      <c r="AW71" s="880">
        <f t="shared" si="422"/>
        <v>8035.1485446753686</v>
      </c>
      <c r="AX71" s="880">
        <f t="shared" si="422"/>
        <v>9834.5724879231657</v>
      </c>
      <c r="AY71" s="880">
        <f t="shared" si="422"/>
        <v>9320.0369009857968</v>
      </c>
      <c r="AZ71" s="881">
        <f t="shared" si="422"/>
        <v>17709.302628060814</v>
      </c>
      <c r="BA71" s="882">
        <f>SUM(AO71:AZ71)</f>
        <v>111395.95134018007</v>
      </c>
      <c r="BB71" s="880">
        <f t="shared" ref="BB71:BM71" si="423">BB11/BB70*100</f>
        <v>3708.1062992839065</v>
      </c>
      <c r="BC71" s="880">
        <f t="shared" si="423"/>
        <v>11556.867766346924</v>
      </c>
      <c r="BD71" s="880">
        <f t="shared" si="423"/>
        <v>9649.043271514669</v>
      </c>
      <c r="BE71" s="880">
        <f t="shared" si="423"/>
        <v>8653.7891400595945</v>
      </c>
      <c r="BF71" s="880">
        <f t="shared" si="423"/>
        <v>8777.7698419373446</v>
      </c>
      <c r="BG71" s="880">
        <f t="shared" si="423"/>
        <v>7755.0082034459547</v>
      </c>
      <c r="BH71" s="880">
        <f t="shared" si="423"/>
        <v>13198.858813485105</v>
      </c>
      <c r="BI71" s="880">
        <f t="shared" si="423"/>
        <v>9452.8294385883364</v>
      </c>
      <c r="BJ71" s="880">
        <f t="shared" si="423"/>
        <v>8872.9346890217221</v>
      </c>
      <c r="BK71" s="880">
        <f t="shared" si="423"/>
        <v>10329.248484459462</v>
      </c>
      <c r="BL71" s="880">
        <f t="shared" si="423"/>
        <v>10945.234179372796</v>
      </c>
      <c r="BM71" s="881">
        <f t="shared" si="423"/>
        <v>16200.107871376964</v>
      </c>
      <c r="BN71" s="882">
        <f>SUM(BB71:BM71)</f>
        <v>119099.7979988928</v>
      </c>
      <c r="BO71" s="880">
        <f t="shared" ref="BO71:BZ71" si="424">BO11/BO70*100</f>
        <v>10701.092286317224</v>
      </c>
      <c r="BP71" s="880">
        <f t="shared" si="424"/>
        <v>6195.5445318795628</v>
      </c>
      <c r="BQ71" s="880">
        <f t="shared" si="424"/>
        <v>6756.1058140191135</v>
      </c>
      <c r="BR71" s="880">
        <f t="shared" si="424"/>
        <v>6536.6012086910987</v>
      </c>
      <c r="BS71" s="880">
        <f t="shared" si="424"/>
        <v>4955.7616942095237</v>
      </c>
      <c r="BT71" s="880">
        <f t="shared" si="424"/>
        <v>5685.8605364128734</v>
      </c>
      <c r="BU71" s="880">
        <f t="shared" si="424"/>
        <v>7508.5277704939117</v>
      </c>
      <c r="BV71" s="880">
        <f t="shared" si="424"/>
        <v>6045.6564695888537</v>
      </c>
      <c r="BW71" s="880">
        <f t="shared" si="424"/>
        <v>8782.3746095438673</v>
      </c>
      <c r="BX71" s="880">
        <f t="shared" si="424"/>
        <v>8859.2671205283496</v>
      </c>
      <c r="BY71" s="880">
        <f t="shared" si="424"/>
        <v>8629.0833461963066</v>
      </c>
      <c r="BZ71" s="881">
        <f t="shared" si="424"/>
        <v>18845.766115614802</v>
      </c>
      <c r="CA71" s="882">
        <f>SUM(BO71:BZ71)</f>
        <v>99501.641503495484</v>
      </c>
      <c r="CB71" s="880">
        <f t="shared" ref="CB71:CM71" si="425">CB11/CB70*100</f>
        <v>6838.2840322530537</v>
      </c>
      <c r="CC71" s="880">
        <f t="shared" si="425"/>
        <v>5974.7045424442331</v>
      </c>
      <c r="CD71" s="880">
        <f t="shared" si="425"/>
        <v>7879.9786302502871</v>
      </c>
      <c r="CE71" s="880">
        <f t="shared" si="425"/>
        <v>8817.2834772465885</v>
      </c>
      <c r="CF71" s="880">
        <f t="shared" si="425"/>
        <v>7704.7404856577105</v>
      </c>
      <c r="CG71" s="880">
        <f t="shared" si="425"/>
        <v>8700.2967026030838</v>
      </c>
      <c r="CH71" s="880">
        <f t="shared" si="425"/>
        <v>8054.2469646904219</v>
      </c>
      <c r="CI71" s="880">
        <f t="shared" si="425"/>
        <v>9799.6528603173683</v>
      </c>
      <c r="CJ71" s="880">
        <f t="shared" si="425"/>
        <v>7203.8842955365935</v>
      </c>
      <c r="CK71" s="880">
        <f t="shared" si="425"/>
        <v>7967.3226458118843</v>
      </c>
      <c r="CL71" s="880">
        <f t="shared" si="425"/>
        <v>10221.059756944029</v>
      </c>
      <c r="CM71" s="881">
        <f t="shared" si="425"/>
        <v>16498.494451411545</v>
      </c>
      <c r="CN71" s="882">
        <f>SUM(CB71:CM71)</f>
        <v>105659.94884516681</v>
      </c>
      <c r="CO71" s="880">
        <f t="shared" ref="CO71:CZ71" si="426">CO11/CO70*100</f>
        <v>5291.8619170204684</v>
      </c>
      <c r="CP71" s="880">
        <f t="shared" si="426"/>
        <v>7201.6047948743062</v>
      </c>
      <c r="CQ71" s="880">
        <f t="shared" si="426"/>
        <v>7975.7899263288227</v>
      </c>
      <c r="CR71" s="880">
        <f t="shared" si="426"/>
        <v>6363.2400757130308</v>
      </c>
      <c r="CS71" s="880">
        <f t="shared" si="426"/>
        <v>6741.7178537434083</v>
      </c>
      <c r="CT71" s="880">
        <f t="shared" si="426"/>
        <v>8195.0382886353764</v>
      </c>
      <c r="CU71" s="880">
        <f t="shared" si="426"/>
        <v>7912.7030594605476</v>
      </c>
      <c r="CV71" s="880">
        <f t="shared" si="426"/>
        <v>7586.1044830086103</v>
      </c>
      <c r="CW71" s="880">
        <f t="shared" si="426"/>
        <v>9503.6733531400114</v>
      </c>
      <c r="CX71" s="880">
        <f t="shared" si="426"/>
        <v>9657.5516997810682</v>
      </c>
      <c r="CY71" s="880">
        <f t="shared" si="426"/>
        <v>10966.860091210367</v>
      </c>
      <c r="CZ71" s="881">
        <f t="shared" si="426"/>
        <v>17182.232177812286</v>
      </c>
      <c r="DA71" s="882">
        <f>SUM(CO71:CZ71)</f>
        <v>104578.3777207283</v>
      </c>
      <c r="DB71" s="880">
        <f t="shared" ref="DB71:DM71" si="427">DB11/DB70*100</f>
        <v>8143.6616726062839</v>
      </c>
      <c r="DC71" s="880">
        <f t="shared" si="427"/>
        <v>7361.9940233317948</v>
      </c>
      <c r="DD71" s="880">
        <f t="shared" si="427"/>
        <v>8203.6878781568066</v>
      </c>
      <c r="DE71" s="880">
        <f t="shared" si="427"/>
        <v>7981.5218818427365</v>
      </c>
      <c r="DF71" s="880">
        <f t="shared" si="427"/>
        <v>10020.785013963445</v>
      </c>
      <c r="DG71" s="880">
        <f t="shared" si="427"/>
        <v>10866.186546377767</v>
      </c>
      <c r="DH71" s="880">
        <f t="shared" si="427"/>
        <v>9271.7682360864928</v>
      </c>
      <c r="DI71" s="880">
        <f t="shared" si="427"/>
        <v>9105.7200234177781</v>
      </c>
      <c r="DJ71" s="880">
        <f t="shared" si="427"/>
        <v>9974.7564099651299</v>
      </c>
      <c r="DK71" s="880">
        <f t="shared" si="427"/>
        <v>9235.5303750357016</v>
      </c>
      <c r="DL71" s="880">
        <f t="shared" si="427"/>
        <v>12166.826653144359</v>
      </c>
      <c r="DM71" s="881">
        <f t="shared" si="427"/>
        <v>15340.888502211485</v>
      </c>
      <c r="DN71" s="882">
        <f>SUM(DB71:DM71)</f>
        <v>117673.32721613979</v>
      </c>
      <c r="DO71" s="880">
        <f t="shared" ref="DO71:DZ71" si="428">DO11/DO70*100</f>
        <v>6378.9371028772475</v>
      </c>
      <c r="DP71" s="880">
        <f t="shared" si="428"/>
        <v>7051.5280203735329</v>
      </c>
      <c r="DQ71" s="880">
        <f t="shared" si="428"/>
        <v>7759.8293166031308</v>
      </c>
      <c r="DR71" s="880">
        <f t="shared" si="428"/>
        <v>8298.6570534205639</v>
      </c>
      <c r="DS71" s="880">
        <f t="shared" si="428"/>
        <v>8890.5918831367799</v>
      </c>
      <c r="DT71" s="880">
        <f t="shared" si="428"/>
        <v>6896.8917694987667</v>
      </c>
      <c r="DU71" s="880">
        <f t="shared" si="428"/>
        <v>11136.016906099865</v>
      </c>
      <c r="DV71" s="880">
        <f t="shared" si="428"/>
        <v>9372.1305773099793</v>
      </c>
      <c r="DW71" s="880">
        <f t="shared" si="428"/>
        <v>7829.6277981190769</v>
      </c>
      <c r="DX71" s="880">
        <f t="shared" si="428"/>
        <v>7469.8086617699428</v>
      </c>
      <c r="DY71" s="880">
        <f t="shared" si="428"/>
        <v>8759.8283372732476</v>
      </c>
      <c r="DZ71" s="881">
        <f t="shared" si="428"/>
        <v>14422.138847983555</v>
      </c>
      <c r="EA71" s="882">
        <f>SUM(DO71:DZ71)</f>
        <v>104265.98627446569</v>
      </c>
      <c r="EB71" s="880">
        <f t="shared" ref="EB71:EM71" si="429">EB11/EB70*100</f>
        <v>3062.3371069878835</v>
      </c>
      <c r="EC71" s="880">
        <f t="shared" si="429"/>
        <v>8731.3557688292549</v>
      </c>
      <c r="ED71" s="880">
        <f t="shared" si="429"/>
        <v>8771.4219818056918</v>
      </c>
      <c r="EE71" s="880">
        <f t="shared" si="429"/>
        <v>9018.6483536283085</v>
      </c>
      <c r="EF71" s="880">
        <f t="shared" si="429"/>
        <v>10229.647225307477</v>
      </c>
      <c r="EG71" s="880">
        <f t="shared" si="429"/>
        <v>10792.323363116673</v>
      </c>
      <c r="EH71" s="880">
        <f t="shared" si="429"/>
        <v>9138.5449529879334</v>
      </c>
      <c r="EI71" s="880">
        <f t="shared" si="429"/>
        <v>8530.6132616645918</v>
      </c>
      <c r="EJ71" s="880">
        <f t="shared" si="429"/>
        <v>10464.093855960566</v>
      </c>
      <c r="EK71" s="880">
        <f t="shared" si="429"/>
        <v>9635.4808661260395</v>
      </c>
      <c r="EL71" s="880">
        <f t="shared" si="429"/>
        <v>10736.349324218354</v>
      </c>
      <c r="EM71" s="881">
        <f t="shared" si="429"/>
        <v>18573.84409321726</v>
      </c>
      <c r="EN71" s="882">
        <f>SUM(EB71:EM71)</f>
        <v>117684.66015385001</v>
      </c>
      <c r="EO71" s="880">
        <f t="shared" ref="EO71:EU71" si="430">EO11/EO70*100</f>
        <v>4466.3978809330783</v>
      </c>
      <c r="EP71" s="880">
        <f t="shared" si="430"/>
        <v>5819.5304702920212</v>
      </c>
      <c r="EQ71" s="880">
        <f t="shared" si="430"/>
        <v>12154.140506612659</v>
      </c>
      <c r="ER71" s="880">
        <f t="shared" si="430"/>
        <v>10858.573344863074</v>
      </c>
      <c r="ES71" s="880">
        <f t="shared" si="430"/>
        <v>10565.354883268099</v>
      </c>
      <c r="ET71" s="880">
        <f t="shared" si="430"/>
        <v>7331.6829053493666</v>
      </c>
      <c r="EU71" s="880">
        <f t="shared" si="430"/>
        <v>8614.8847238009585</v>
      </c>
      <c r="EV71" s="978">
        <f t="shared" ref="EV71" si="431">EV11/EV70*100</f>
        <v>9473.6016271759017</v>
      </c>
      <c r="EW71" s="880"/>
      <c r="EX71" s="880"/>
      <c r="EY71" s="880"/>
      <c r="EZ71" s="881"/>
      <c r="FA71" s="882"/>
      <c r="FC71" s="895">
        <f>IFERROR(((
_xlfn.XLOOKUP((DATE(YEAR($FC$5),MONTH($FC$5),1)),UCA.GGN.DATE,$B71:$FA71) /
_xlfn.XLOOKUP((DATE(YEAR($FC$5)-1,MONTH($FC$5),1)),UCA.GGN.DATE,$B71:$FA71)
)-1)*100,"")</f>
        <v>11.054168517391005</v>
      </c>
      <c r="FD71" s="896">
        <f>IFERROR(((FF71/FE71)-1)*100,"")</f>
        <v>1.4782510791163883</v>
      </c>
      <c r="FE71" s="897">
        <f>SUMIFS($B71:$FA71,UCA.GGN.DATE,"&gt;="&amp;DATE(YEAR($FC$5)-1,1,1),UCA.GGN.DATE,"&lt;="&amp;DATE(YEAR($FC$5)-1,MONTH($FC$5),1))</f>
        <v>68274.892014327808</v>
      </c>
      <c r="FF71" s="898">
        <f>SUMIFS($B71:$FA71,UCA.GGN.DATE,"&gt;="&amp;DATE(YEAR($FC$5),1,1),UCA.GGN.DATE,"&lt;="&amp;$FC$5)</f>
        <v>69284.166342295153</v>
      </c>
    </row>
    <row r="72" spans="1:164" ht="15" customHeight="1" x14ac:dyDescent="0.25">
      <c r="A72" s="175" t="s">
        <v>654</v>
      </c>
      <c r="BY72" s="205"/>
      <c r="BZ72" s="205"/>
    </row>
  </sheetData>
  <mergeCells count="2">
    <mergeCell ref="FC4:FD4"/>
    <mergeCell ref="FC38:FD38"/>
  </mergeCells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0.59999389629810485"/>
    <pageSetUpPr fitToPage="1"/>
  </sheetPr>
  <dimension ref="A1:FH95"/>
  <sheetViews>
    <sheetView showGridLines="0" view="pageBreakPreview" zoomScale="80" zoomScaleSheetLayoutView="80" workbookViewId="0">
      <pane xSplit="1" topLeftCell="EB1" activePane="topRight" state="frozen"/>
      <selection activeCell="FG21" sqref="FG21"/>
      <selection pane="topRight" activeCell="EV7" sqref="EV7"/>
    </sheetView>
  </sheetViews>
  <sheetFormatPr baseColWidth="10" defaultColWidth="10.7109375" defaultRowHeight="15" customHeight="1" x14ac:dyDescent="0.25"/>
  <cols>
    <col min="1" max="1" width="30.7109375" style="126" customWidth="1"/>
    <col min="2" max="143" width="10.7109375" style="126"/>
    <col min="144" max="144" width="11.42578125" style="126" customWidth="1"/>
    <col min="145" max="145" width="8.85546875" style="126" customWidth="1"/>
    <col min="146" max="146" width="8" style="126" customWidth="1"/>
    <col min="147" max="147" width="9.140625" style="126" customWidth="1"/>
    <col min="148" max="148" width="9.28515625" style="126" customWidth="1"/>
    <col min="149" max="151" width="10.7109375" style="126"/>
    <col min="152" max="152" width="10.7109375" style="946"/>
    <col min="153" max="156" width="10.7109375" style="126"/>
    <col min="157" max="157" width="9.42578125" style="126" customWidth="1"/>
    <col min="158" max="158" width="5.85546875" customWidth="1"/>
    <col min="159" max="159" width="9.28515625" style="126" customWidth="1"/>
    <col min="160" max="162" width="10.7109375" style="126"/>
    <col min="164" max="164" width="10.7109375" style="126"/>
  </cols>
  <sheetData>
    <row r="1" spans="1:164" ht="15" customHeight="1" x14ac:dyDescent="0.25">
      <c r="A1" s="681" t="s">
        <v>167</v>
      </c>
    </row>
    <row r="2" spans="1:164" ht="15" customHeight="1" x14ac:dyDescent="0.25">
      <c r="A2" s="681" t="s">
        <v>609</v>
      </c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  <c r="FC2" s="127"/>
      <c r="FD2" s="127"/>
      <c r="FE2" s="127"/>
      <c r="FF2" s="127"/>
    </row>
    <row r="3" spans="1:164" ht="15" customHeight="1" x14ac:dyDescent="0.25">
      <c r="A3" s="775" t="s">
        <v>305</v>
      </c>
      <c r="EO3" s="883"/>
      <c r="EP3" s="883"/>
      <c r="EQ3" s="883"/>
      <c r="ER3" s="883"/>
      <c r="ES3" s="883"/>
      <c r="ET3" s="883"/>
      <c r="EU3" s="883"/>
    </row>
    <row r="4" spans="1:164" s="753" customFormat="1" ht="15" customHeight="1" x14ac:dyDescent="0.25">
      <c r="A4" s="836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976"/>
      <c r="EW4" s="474"/>
      <c r="EX4" s="474"/>
      <c r="EY4" s="474"/>
      <c r="EZ4" s="474"/>
      <c r="FA4" s="758" t="s">
        <v>83</v>
      </c>
      <c r="FC4" s="984" t="str">
        <f>CONCATENATE("Var.% ",FF4,"/",FE4)</f>
        <v>Var.% 2026/2025</v>
      </c>
      <c r="FD4" s="985"/>
      <c r="FE4" s="478">
        <f>FF4-1</f>
        <v>2025</v>
      </c>
      <c r="FF4" s="478">
        <f>YEAR(FC5)</f>
        <v>2026</v>
      </c>
      <c r="FH4" s="795"/>
    </row>
    <row r="5" spans="1:164" s="753" customFormat="1" ht="15" customHeight="1" x14ac:dyDescent="0.25">
      <c r="A5" s="837"/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977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487" t="str">
        <f>FD5</f>
        <v>Ene.-Ago.</v>
      </c>
      <c r="FH5" s="795"/>
    </row>
    <row r="6" spans="1:164" ht="15" customHeight="1" x14ac:dyDescent="0.25">
      <c r="A6" s="138"/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73"/>
      <c r="N6" s="874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73"/>
      <c r="AA6" s="874"/>
      <c r="AB6" s="883"/>
      <c r="AC6" s="883"/>
      <c r="AD6" s="883"/>
      <c r="AE6" s="883"/>
      <c r="AF6" s="883"/>
      <c r="AG6" s="883"/>
      <c r="AH6" s="883"/>
      <c r="AI6" s="883"/>
      <c r="AJ6" s="883"/>
      <c r="AK6" s="883"/>
      <c r="AL6" s="883"/>
      <c r="AM6" s="873"/>
      <c r="AN6" s="874"/>
      <c r="AO6" s="883"/>
      <c r="AP6" s="883"/>
      <c r="AQ6" s="883"/>
      <c r="AR6" s="883"/>
      <c r="AS6" s="883"/>
      <c r="AT6" s="883"/>
      <c r="AU6" s="883"/>
      <c r="AV6" s="883"/>
      <c r="AW6" s="883"/>
      <c r="AX6" s="883"/>
      <c r="AY6" s="883"/>
      <c r="AZ6" s="873"/>
      <c r="BA6" s="874"/>
      <c r="BB6" s="883"/>
      <c r="BC6" s="883"/>
      <c r="BD6" s="883"/>
      <c r="BE6" s="883"/>
      <c r="BF6" s="883"/>
      <c r="BG6" s="883"/>
      <c r="BH6" s="883"/>
      <c r="BI6" s="883"/>
      <c r="BJ6" s="883"/>
      <c r="BK6" s="883"/>
      <c r="BL6" s="883"/>
      <c r="BM6" s="873"/>
      <c r="BN6" s="874"/>
      <c r="BO6" s="883"/>
      <c r="BP6" s="883"/>
      <c r="BQ6" s="883"/>
      <c r="BR6" s="883"/>
      <c r="BS6" s="883"/>
      <c r="BT6" s="883"/>
      <c r="BU6" s="883"/>
      <c r="BV6" s="883"/>
      <c r="BW6" s="883"/>
      <c r="BX6" s="883"/>
      <c r="BY6" s="883"/>
      <c r="BZ6" s="873"/>
      <c r="CA6" s="874"/>
      <c r="CB6" s="883"/>
      <c r="CC6" s="883"/>
      <c r="CD6" s="883"/>
      <c r="CE6" s="883"/>
      <c r="CF6" s="883"/>
      <c r="CG6" s="883"/>
      <c r="CH6" s="883"/>
      <c r="CI6" s="883"/>
      <c r="CJ6" s="883"/>
      <c r="CK6" s="883"/>
      <c r="CL6" s="883"/>
      <c r="CM6" s="873"/>
      <c r="CN6" s="874"/>
      <c r="CO6" s="883"/>
      <c r="CP6" s="883"/>
      <c r="CQ6" s="883"/>
      <c r="CR6" s="883"/>
      <c r="CS6" s="883"/>
      <c r="CT6" s="883"/>
      <c r="CU6" s="883"/>
      <c r="CV6" s="883"/>
      <c r="CW6" s="883"/>
      <c r="CX6" s="883"/>
      <c r="CY6" s="883"/>
      <c r="CZ6" s="873"/>
      <c r="DA6" s="874"/>
      <c r="DB6" s="883"/>
      <c r="DC6" s="883"/>
      <c r="DD6" s="883"/>
      <c r="DE6" s="883"/>
      <c r="DF6" s="883"/>
      <c r="DG6" s="883"/>
      <c r="DH6" s="883"/>
      <c r="DI6" s="883"/>
      <c r="DJ6" s="883"/>
      <c r="DK6" s="883"/>
      <c r="DL6" s="883"/>
      <c r="DM6" s="873"/>
      <c r="DN6" s="874"/>
      <c r="DO6" s="883"/>
      <c r="DP6" s="883"/>
      <c r="DQ6" s="883"/>
      <c r="DR6" s="883"/>
      <c r="DS6" s="883"/>
      <c r="DT6" s="883"/>
      <c r="DU6" s="883"/>
      <c r="DV6" s="883"/>
      <c r="DW6" s="883"/>
      <c r="DX6" s="883"/>
      <c r="DY6" s="883"/>
      <c r="DZ6" s="873"/>
      <c r="EA6" s="874"/>
      <c r="EB6" s="883"/>
      <c r="EC6" s="883"/>
      <c r="ED6" s="883"/>
      <c r="EE6" s="883"/>
      <c r="EF6" s="883"/>
      <c r="EG6" s="883"/>
      <c r="EH6" s="883"/>
      <c r="EI6" s="883"/>
      <c r="EJ6" s="883"/>
      <c r="EK6" s="883"/>
      <c r="EL6" s="883"/>
      <c r="EM6" s="873"/>
      <c r="EN6" s="874"/>
      <c r="EO6" s="883"/>
      <c r="EP6" s="883"/>
      <c r="EQ6" s="883"/>
      <c r="ER6" s="883"/>
      <c r="ES6" s="883"/>
      <c r="ET6" s="883"/>
      <c r="EU6" s="883"/>
      <c r="EV6" s="973"/>
      <c r="EW6" s="883"/>
      <c r="EX6" s="883"/>
      <c r="EY6" s="883"/>
      <c r="EZ6" s="873"/>
      <c r="FA6" s="874"/>
      <c r="FC6" s="839"/>
      <c r="FD6" s="840"/>
      <c r="FE6" s="454"/>
      <c r="FF6" s="455"/>
    </row>
    <row r="7" spans="1:164" s="753" customFormat="1" ht="15" customHeight="1" x14ac:dyDescent="0.25">
      <c r="A7" s="822" t="s">
        <v>245</v>
      </c>
      <c r="B7" s="884">
        <f t="shared" ref="B7:M7" si="10">SUM(B8:B27)</f>
        <v>7110</v>
      </c>
      <c r="C7" s="884">
        <f t="shared" si="10"/>
        <v>7344.8729999999996</v>
      </c>
      <c r="D7" s="884">
        <f t="shared" si="10"/>
        <v>6378.8</v>
      </c>
      <c r="E7" s="884">
        <f t="shared" si="10"/>
        <v>7630</v>
      </c>
      <c r="F7" s="884">
        <f t="shared" si="10"/>
        <v>3977</v>
      </c>
      <c r="G7" s="884">
        <f t="shared" si="10"/>
        <v>21705</v>
      </c>
      <c r="H7" s="884">
        <f t="shared" si="10"/>
        <v>8386</v>
      </c>
      <c r="I7" s="884">
        <f t="shared" si="10"/>
        <v>10429</v>
      </c>
      <c r="J7" s="884">
        <f t="shared" si="10"/>
        <v>32024</v>
      </c>
      <c r="K7" s="884">
        <f t="shared" si="10"/>
        <v>25205</v>
      </c>
      <c r="L7" s="884">
        <f t="shared" si="10"/>
        <v>26265</v>
      </c>
      <c r="M7" s="875">
        <f t="shared" si="10"/>
        <v>99326</v>
      </c>
      <c r="N7" s="876">
        <f>SUM(B7:M7)</f>
        <v>255780.67300000001</v>
      </c>
      <c r="O7" s="884">
        <f t="shared" ref="O7:Z7" si="11">SUM(O8:O27)</f>
        <v>2382</v>
      </c>
      <c r="P7" s="884">
        <f t="shared" si="11"/>
        <v>20131</v>
      </c>
      <c r="Q7" s="884">
        <f t="shared" si="11"/>
        <v>20987</v>
      </c>
      <c r="R7" s="884">
        <f t="shared" si="11"/>
        <v>30202</v>
      </c>
      <c r="S7" s="884">
        <f t="shared" si="11"/>
        <v>16509</v>
      </c>
      <c r="T7" s="884">
        <f t="shared" si="11"/>
        <v>26685</v>
      </c>
      <c r="U7" s="884">
        <f t="shared" si="11"/>
        <v>28765</v>
      </c>
      <c r="V7" s="884">
        <f t="shared" si="11"/>
        <v>62082</v>
      </c>
      <c r="W7" s="884">
        <f t="shared" si="11"/>
        <v>37080</v>
      </c>
      <c r="X7" s="884">
        <f t="shared" si="11"/>
        <v>27661</v>
      </c>
      <c r="Y7" s="884">
        <f t="shared" si="11"/>
        <v>48121</v>
      </c>
      <c r="Z7" s="875">
        <f t="shared" si="11"/>
        <v>57630</v>
      </c>
      <c r="AA7" s="876">
        <f>SUM(O7:Z7)</f>
        <v>378235</v>
      </c>
      <c r="AB7" s="884">
        <f t="shared" ref="AB7:AM7" si="12">SUM(AB8:AB27)</f>
        <v>13012</v>
      </c>
      <c r="AC7" s="884">
        <f t="shared" si="12"/>
        <v>46987</v>
      </c>
      <c r="AD7" s="884">
        <f t="shared" si="12"/>
        <v>13838</v>
      </c>
      <c r="AE7" s="884">
        <f t="shared" si="12"/>
        <v>16187</v>
      </c>
      <c r="AF7" s="884">
        <f t="shared" si="12"/>
        <v>21693</v>
      </c>
      <c r="AG7" s="884">
        <f t="shared" si="12"/>
        <v>32641</v>
      </c>
      <c r="AH7" s="884">
        <f t="shared" si="12"/>
        <v>44231</v>
      </c>
      <c r="AI7" s="884">
        <f t="shared" si="12"/>
        <v>33027</v>
      </c>
      <c r="AJ7" s="884">
        <f t="shared" si="12"/>
        <v>32150</v>
      </c>
      <c r="AK7" s="884">
        <f t="shared" si="12"/>
        <v>30612</v>
      </c>
      <c r="AL7" s="884">
        <f t="shared" si="12"/>
        <v>24896</v>
      </c>
      <c r="AM7" s="875">
        <f t="shared" si="12"/>
        <v>19826</v>
      </c>
      <c r="AN7" s="876">
        <f>SUM(AB7:AM7)</f>
        <v>329100</v>
      </c>
      <c r="AO7" s="884">
        <f t="shared" ref="AO7:AZ7" si="13">SUM(AO8:AO27)</f>
        <v>8310</v>
      </c>
      <c r="AP7" s="884">
        <f t="shared" si="13"/>
        <v>5500</v>
      </c>
      <c r="AQ7" s="884">
        <f t="shared" si="13"/>
        <v>4852</v>
      </c>
      <c r="AR7" s="884">
        <f t="shared" si="13"/>
        <v>5720</v>
      </c>
      <c r="AS7" s="884">
        <f t="shared" si="13"/>
        <v>5029</v>
      </c>
      <c r="AT7" s="884">
        <f t="shared" si="13"/>
        <v>4612</v>
      </c>
      <c r="AU7" s="884">
        <f t="shared" si="13"/>
        <v>7010</v>
      </c>
      <c r="AV7" s="884">
        <f t="shared" si="13"/>
        <v>11102</v>
      </c>
      <c r="AW7" s="884">
        <f t="shared" si="13"/>
        <v>8737</v>
      </c>
      <c r="AX7" s="884">
        <f t="shared" si="13"/>
        <v>5331</v>
      </c>
      <c r="AY7" s="884">
        <f t="shared" si="13"/>
        <v>5070</v>
      </c>
      <c r="AZ7" s="875">
        <f t="shared" si="13"/>
        <v>18900</v>
      </c>
      <c r="BA7" s="876">
        <f>SUM(AO7:AZ7)</f>
        <v>90173</v>
      </c>
      <c r="BB7" s="884">
        <f t="shared" ref="BB7:BM7" si="14">SUM(BB8:BB27)</f>
        <v>678</v>
      </c>
      <c r="BC7" s="884">
        <f t="shared" si="14"/>
        <v>1200</v>
      </c>
      <c r="BD7" s="884">
        <f t="shared" si="14"/>
        <v>1999</v>
      </c>
      <c r="BE7" s="884">
        <f t="shared" si="14"/>
        <v>4856</v>
      </c>
      <c r="BF7" s="884">
        <f t="shared" si="14"/>
        <v>2724</v>
      </c>
      <c r="BG7" s="884">
        <f t="shared" si="14"/>
        <v>5732</v>
      </c>
      <c r="BH7" s="884">
        <f t="shared" si="14"/>
        <v>5208</v>
      </c>
      <c r="BI7" s="884">
        <f t="shared" si="14"/>
        <v>4647</v>
      </c>
      <c r="BJ7" s="884">
        <f t="shared" si="14"/>
        <v>8766</v>
      </c>
      <c r="BK7" s="884">
        <f t="shared" si="14"/>
        <v>9642</v>
      </c>
      <c r="BL7" s="884">
        <f t="shared" si="14"/>
        <v>29487</v>
      </c>
      <c r="BM7" s="875">
        <f t="shared" si="14"/>
        <v>42944</v>
      </c>
      <c r="BN7" s="876">
        <f>SUM(BB7:BM7)</f>
        <v>117883</v>
      </c>
      <c r="BO7" s="884">
        <f t="shared" ref="BO7:BZ7" si="15">SUM(BO8:BO27)</f>
        <v>3150</v>
      </c>
      <c r="BP7" s="884">
        <f t="shared" si="15"/>
        <v>3599</v>
      </c>
      <c r="BQ7" s="884">
        <f t="shared" si="15"/>
        <v>2410</v>
      </c>
      <c r="BR7" s="884">
        <f t="shared" si="15"/>
        <v>1000</v>
      </c>
      <c r="BS7" s="884">
        <f t="shared" si="15"/>
        <v>1287</v>
      </c>
      <c r="BT7" s="884">
        <f t="shared" si="15"/>
        <v>734</v>
      </c>
      <c r="BU7" s="884">
        <f t="shared" si="15"/>
        <v>1755</v>
      </c>
      <c r="BV7" s="884">
        <f t="shared" si="15"/>
        <v>20841</v>
      </c>
      <c r="BW7" s="884">
        <f t="shared" si="15"/>
        <v>8544</v>
      </c>
      <c r="BX7" s="884">
        <f t="shared" si="15"/>
        <v>14284</v>
      </c>
      <c r="BY7" s="884">
        <f t="shared" si="15"/>
        <v>13040</v>
      </c>
      <c r="BZ7" s="875">
        <f t="shared" si="15"/>
        <v>18689</v>
      </c>
      <c r="CA7" s="876">
        <f>SUM(BO7:BZ7)</f>
        <v>89333</v>
      </c>
      <c r="CB7" s="884">
        <f t="shared" ref="CB7:CM7" si="16">SUM(CB8:CB27)</f>
        <v>1171</v>
      </c>
      <c r="CC7" s="884">
        <f t="shared" si="16"/>
        <v>4435</v>
      </c>
      <c r="CD7" s="884">
        <f t="shared" si="16"/>
        <v>9334</v>
      </c>
      <c r="CE7" s="884">
        <f t="shared" si="16"/>
        <v>7110</v>
      </c>
      <c r="CF7" s="884">
        <f t="shared" si="16"/>
        <v>10614</v>
      </c>
      <c r="CG7" s="884">
        <f t="shared" si="16"/>
        <v>10366</v>
      </c>
      <c r="CH7" s="884">
        <f t="shared" si="16"/>
        <v>9071</v>
      </c>
      <c r="CI7" s="884">
        <f t="shared" si="16"/>
        <v>8052</v>
      </c>
      <c r="CJ7" s="884">
        <f t="shared" si="16"/>
        <v>9853</v>
      </c>
      <c r="CK7" s="884">
        <f t="shared" si="16"/>
        <v>6415</v>
      </c>
      <c r="CL7" s="884">
        <f t="shared" si="16"/>
        <v>8491</v>
      </c>
      <c r="CM7" s="875">
        <f t="shared" si="16"/>
        <v>17138</v>
      </c>
      <c r="CN7" s="876">
        <f>SUM(CB7:CM7)</f>
        <v>102050</v>
      </c>
      <c r="CO7" s="884">
        <f t="shared" ref="CO7:CZ7" si="17">SUM(CO8:CO27)</f>
        <v>876</v>
      </c>
      <c r="CP7" s="884">
        <f t="shared" si="17"/>
        <v>2017</v>
      </c>
      <c r="CQ7" s="884">
        <f t="shared" si="17"/>
        <v>4182</v>
      </c>
      <c r="CR7" s="884">
        <f t="shared" si="17"/>
        <v>3232</v>
      </c>
      <c r="CS7" s="884">
        <f t="shared" si="17"/>
        <v>2397</v>
      </c>
      <c r="CT7" s="884">
        <f t="shared" si="17"/>
        <v>2854</v>
      </c>
      <c r="CU7" s="884">
        <f t="shared" si="17"/>
        <v>5391</v>
      </c>
      <c r="CV7" s="884">
        <f t="shared" si="17"/>
        <v>5434</v>
      </c>
      <c r="CW7" s="884">
        <f t="shared" si="17"/>
        <v>4718</v>
      </c>
      <c r="CX7" s="884">
        <f t="shared" si="17"/>
        <v>3375</v>
      </c>
      <c r="CY7" s="884">
        <f t="shared" si="17"/>
        <v>5541</v>
      </c>
      <c r="CZ7" s="875">
        <f t="shared" si="17"/>
        <v>16285</v>
      </c>
      <c r="DA7" s="876">
        <f>SUM(CO7:CZ7)</f>
        <v>56302</v>
      </c>
      <c r="DB7" s="884">
        <f>SUM(DB8:DB27)</f>
        <v>1909</v>
      </c>
      <c r="DC7" s="884">
        <f t="shared" ref="DC7:DM7" si="18">SUM(DC8:DC27)</f>
        <v>1917</v>
      </c>
      <c r="DD7" s="884">
        <f t="shared" si="18"/>
        <v>4375</v>
      </c>
      <c r="DE7" s="884">
        <f t="shared" si="18"/>
        <v>4134</v>
      </c>
      <c r="DF7" s="884">
        <f t="shared" si="18"/>
        <v>7792</v>
      </c>
      <c r="DG7" s="884">
        <f t="shared" si="18"/>
        <v>3331</v>
      </c>
      <c r="DH7" s="884">
        <f t="shared" si="18"/>
        <v>3906</v>
      </c>
      <c r="DI7" s="884">
        <f t="shared" si="18"/>
        <v>8715</v>
      </c>
      <c r="DJ7" s="884">
        <f t="shared" si="18"/>
        <v>4435</v>
      </c>
      <c r="DK7" s="884">
        <f t="shared" si="18"/>
        <v>7221</v>
      </c>
      <c r="DL7" s="884">
        <f t="shared" si="18"/>
        <v>9181</v>
      </c>
      <c r="DM7" s="875">
        <f t="shared" si="18"/>
        <v>24416</v>
      </c>
      <c r="DN7" s="876">
        <f>SUM(DB7:DM7)</f>
        <v>81332</v>
      </c>
      <c r="DO7" s="884">
        <f t="shared" ref="DO7:DZ7" si="19">SUM(DO8:DO27)</f>
        <v>3785</v>
      </c>
      <c r="DP7" s="884">
        <f t="shared" si="19"/>
        <v>5276</v>
      </c>
      <c r="DQ7" s="884">
        <f t="shared" si="19"/>
        <v>5054</v>
      </c>
      <c r="DR7" s="884">
        <f t="shared" si="19"/>
        <v>5539</v>
      </c>
      <c r="DS7" s="884">
        <f t="shared" si="19"/>
        <v>2875</v>
      </c>
      <c r="DT7" s="884">
        <f t="shared" si="19"/>
        <v>15034</v>
      </c>
      <c r="DU7" s="884">
        <f t="shared" si="19"/>
        <v>8428</v>
      </c>
      <c r="DV7" s="884">
        <f t="shared" si="19"/>
        <v>12129</v>
      </c>
      <c r="DW7" s="884">
        <f t="shared" si="19"/>
        <v>10171</v>
      </c>
      <c r="DX7" s="884">
        <f t="shared" si="19"/>
        <v>35376</v>
      </c>
      <c r="DY7" s="884">
        <f t="shared" si="19"/>
        <v>25360</v>
      </c>
      <c r="DZ7" s="875">
        <f t="shared" si="19"/>
        <v>29264</v>
      </c>
      <c r="EA7" s="876">
        <f>SUM(DO7:DZ7)</f>
        <v>158291</v>
      </c>
      <c r="EB7" s="884">
        <f t="shared" ref="EB7:EM7" si="20">SUM(EB8:EB27)</f>
        <v>1380</v>
      </c>
      <c r="EC7" s="884">
        <f t="shared" si="20"/>
        <v>8491</v>
      </c>
      <c r="ED7" s="884">
        <f t="shared" si="20"/>
        <v>9533</v>
      </c>
      <c r="EE7" s="884">
        <f t="shared" si="20"/>
        <v>13383</v>
      </c>
      <c r="EF7" s="884">
        <f t="shared" si="20"/>
        <v>12343</v>
      </c>
      <c r="EG7" s="884">
        <f t="shared" si="20"/>
        <v>15933</v>
      </c>
      <c r="EH7" s="884">
        <f t="shared" si="20"/>
        <v>6705</v>
      </c>
      <c r="EI7" s="884">
        <f t="shared" si="20"/>
        <v>5208</v>
      </c>
      <c r="EJ7" s="884">
        <f t="shared" si="20"/>
        <v>35827</v>
      </c>
      <c r="EK7" s="884">
        <f t="shared" si="20"/>
        <v>12031</v>
      </c>
      <c r="EL7" s="884">
        <f t="shared" si="20"/>
        <v>9526</v>
      </c>
      <c r="EM7" s="875">
        <f t="shared" si="20"/>
        <v>55734</v>
      </c>
      <c r="EN7" s="876">
        <f>SUM(EB7:EM7)</f>
        <v>186094</v>
      </c>
      <c r="EO7" s="884">
        <f t="shared" ref="EO7:ES7" si="21">SUM(EO8:EO27)</f>
        <v>13169</v>
      </c>
      <c r="EP7" s="884">
        <f t="shared" si="21"/>
        <v>7509</v>
      </c>
      <c r="EQ7" s="884">
        <f t="shared" si="21"/>
        <v>8733</v>
      </c>
      <c r="ER7" s="884">
        <v>8182</v>
      </c>
      <c r="ES7" s="884">
        <f t="shared" si="21"/>
        <v>8712</v>
      </c>
      <c r="ET7" s="884">
        <f>SUM(ET8:ET27)</f>
        <v>11010</v>
      </c>
      <c r="EU7" s="884">
        <f t="shared" ref="EU7:EV7" si="22">SUM(EU8:EU27)</f>
        <v>6172</v>
      </c>
      <c r="EV7" s="971">
        <f t="shared" si="22"/>
        <v>3973</v>
      </c>
      <c r="EW7" s="884"/>
      <c r="EX7" s="884"/>
      <c r="EY7" s="884"/>
      <c r="EZ7" s="875"/>
      <c r="FA7" s="876">
        <f>SUM(EO7:EZ7)</f>
        <v>67460</v>
      </c>
      <c r="FB7" s="757"/>
      <c r="FC7" s="841">
        <f t="shared" ref="FC7:FC27" si="23">IFERROR(((
_xlfn.XLOOKUP((DATE(YEAR($FC$5),MONTH($FC$5),1)),UCA.IGN.DATE,$B7:$FA7) /
_xlfn.XLOOKUP((DATE(YEAR($FC$5)-1,MONTH($FC$5),1)),UCA.IGN.DATE,$B7:$FA7)
)-1)*100,"")</f>
        <v>-23.713517665130567</v>
      </c>
      <c r="FD7" s="842">
        <f>IFERROR(((FF7/FE7)-1)*100,"")</f>
        <v>-7.5586494189870628</v>
      </c>
      <c r="FE7" s="702">
        <f t="shared" ref="FE7:FE27" si="24">SUMIFS($B7:$FA7,UCA.IGN.DATE,"&gt;="&amp;DATE(YEAR($FC$5)-1,1,1),UCA.IGN.DATE,"&lt;="&amp;DATE(YEAR($FC$5)-1,MONTH($FC$5),1))</f>
        <v>72976</v>
      </c>
      <c r="FF7" s="703">
        <f t="shared" ref="FF7:FF27" si="25">SUMIFS($B7:$FA7,UCA.IGN.DATE,"&gt;="&amp;DATE(YEAR($FC$5),1,1),UCA.IGN.DATE,"&lt;="&amp;$FC$5)</f>
        <v>67460</v>
      </c>
      <c r="FG7" s="757"/>
      <c r="FH7" s="838">
        <f>EV7-EI7</f>
        <v>-1235</v>
      </c>
    </row>
    <row r="8" spans="1:164" ht="15" customHeight="1" x14ac:dyDescent="0.25">
      <c r="A8" s="403" t="s">
        <v>392</v>
      </c>
      <c r="B8" s="883"/>
      <c r="C8" s="883">
        <v>60</v>
      </c>
      <c r="D8" s="883">
        <v>1</v>
      </c>
      <c r="E8" s="883"/>
      <c r="F8" s="883">
        <v>137</v>
      </c>
      <c r="G8" s="883">
        <v>111</v>
      </c>
      <c r="H8" s="883">
        <v>12</v>
      </c>
      <c r="I8" s="883">
        <v>1</v>
      </c>
      <c r="J8" s="883"/>
      <c r="K8" s="883">
        <v>11</v>
      </c>
      <c r="L8" s="883">
        <v>176</v>
      </c>
      <c r="M8" s="873">
        <v>177</v>
      </c>
      <c r="N8" s="879">
        <f t="shared" ref="N8:N27" si="26">SUM(B8:M8)</f>
        <v>686</v>
      </c>
      <c r="O8" s="883"/>
      <c r="P8" s="883">
        <v>8</v>
      </c>
      <c r="Q8" s="883">
        <v>7</v>
      </c>
      <c r="R8" s="883">
        <v>60</v>
      </c>
      <c r="S8" s="883">
        <v>4</v>
      </c>
      <c r="T8" s="883">
        <v>50</v>
      </c>
      <c r="U8" s="883">
        <v>45</v>
      </c>
      <c r="V8" s="883">
        <v>4</v>
      </c>
      <c r="W8" s="883">
        <v>129</v>
      </c>
      <c r="X8" s="883">
        <v>39</v>
      </c>
      <c r="Y8" s="883">
        <v>86</v>
      </c>
      <c r="Z8" s="873">
        <v>233</v>
      </c>
      <c r="AA8" s="879">
        <f t="shared" ref="AA8:AA27" si="27">SUM(O8:Z8)</f>
        <v>665</v>
      </c>
      <c r="AB8" s="883"/>
      <c r="AC8" s="883"/>
      <c r="AD8" s="883">
        <v>4</v>
      </c>
      <c r="AE8" s="883">
        <v>13</v>
      </c>
      <c r="AF8" s="883">
        <v>20</v>
      </c>
      <c r="AG8" s="883">
        <v>18</v>
      </c>
      <c r="AH8" s="883">
        <v>10</v>
      </c>
      <c r="AI8" s="883">
        <v>56</v>
      </c>
      <c r="AJ8" s="883">
        <v>83</v>
      </c>
      <c r="AK8" s="883">
        <v>57</v>
      </c>
      <c r="AL8" s="883">
        <v>94</v>
      </c>
      <c r="AM8" s="873">
        <v>285</v>
      </c>
      <c r="AN8" s="879">
        <f t="shared" ref="AN8:AN27" si="28">SUM(AB8:AM8)</f>
        <v>640</v>
      </c>
      <c r="AO8" s="883"/>
      <c r="AP8" s="883">
        <v>4</v>
      </c>
      <c r="AQ8" s="883">
        <v>78</v>
      </c>
      <c r="AR8" s="883">
        <v>90</v>
      </c>
      <c r="AS8" s="883">
        <v>131</v>
      </c>
      <c r="AT8" s="883">
        <v>49</v>
      </c>
      <c r="AU8" s="883">
        <v>41</v>
      </c>
      <c r="AV8" s="883">
        <v>61</v>
      </c>
      <c r="AW8" s="883">
        <v>63</v>
      </c>
      <c r="AX8" s="883">
        <v>390</v>
      </c>
      <c r="AY8" s="883">
        <v>150</v>
      </c>
      <c r="AZ8" s="873">
        <v>416</v>
      </c>
      <c r="BA8" s="879">
        <f t="shared" ref="BA8:BA27" si="29">SUM(AO8:AZ8)</f>
        <v>1473</v>
      </c>
      <c r="BB8" s="883"/>
      <c r="BC8" s="883">
        <v>49</v>
      </c>
      <c r="BD8" s="883"/>
      <c r="BE8" s="883">
        <v>140</v>
      </c>
      <c r="BF8" s="883">
        <v>129</v>
      </c>
      <c r="BG8" s="883">
        <v>93</v>
      </c>
      <c r="BH8" s="883">
        <v>163</v>
      </c>
      <c r="BI8" s="883">
        <v>303</v>
      </c>
      <c r="BJ8" s="883">
        <v>80</v>
      </c>
      <c r="BK8" s="883">
        <v>91</v>
      </c>
      <c r="BL8" s="883">
        <v>177</v>
      </c>
      <c r="BM8" s="873">
        <v>135</v>
      </c>
      <c r="BN8" s="879">
        <f t="shared" ref="BN8:BN27" si="30">SUM(BB8:BM8)</f>
        <v>1360</v>
      </c>
      <c r="BO8" s="883"/>
      <c r="BP8" s="883"/>
      <c r="BQ8" s="883">
        <v>57</v>
      </c>
      <c r="BR8" s="883">
        <v>3</v>
      </c>
      <c r="BS8" s="883">
        <v>18</v>
      </c>
      <c r="BT8" s="883">
        <v>1</v>
      </c>
      <c r="BU8" s="883">
        <v>15</v>
      </c>
      <c r="BV8" s="883">
        <v>2</v>
      </c>
      <c r="BW8" s="883">
        <v>21</v>
      </c>
      <c r="BX8" s="883">
        <v>2</v>
      </c>
      <c r="BY8" s="883">
        <v>65</v>
      </c>
      <c r="BZ8" s="873">
        <v>210</v>
      </c>
      <c r="CA8" s="879">
        <f t="shared" ref="CA8:CA27" si="31">SUM(BO8:BZ8)</f>
        <v>394</v>
      </c>
      <c r="CB8" s="883"/>
      <c r="CC8" s="883">
        <v>2</v>
      </c>
      <c r="CD8" s="883">
        <v>12</v>
      </c>
      <c r="CE8" s="883">
        <v>79</v>
      </c>
      <c r="CF8" s="883">
        <v>18</v>
      </c>
      <c r="CG8" s="883">
        <v>127</v>
      </c>
      <c r="CH8" s="883">
        <v>494</v>
      </c>
      <c r="CI8" s="883">
        <v>138</v>
      </c>
      <c r="CJ8" s="883">
        <v>2009</v>
      </c>
      <c r="CK8" s="883">
        <v>312</v>
      </c>
      <c r="CL8" s="883">
        <v>263</v>
      </c>
      <c r="CM8" s="873">
        <v>1365</v>
      </c>
      <c r="CN8" s="879">
        <f t="shared" ref="CN8:CN34" si="32">SUM(CB8:CM8)</f>
        <v>4819</v>
      </c>
      <c r="CO8" s="883"/>
      <c r="CP8" s="883"/>
      <c r="CQ8" s="883">
        <v>7</v>
      </c>
      <c r="CR8" s="883">
        <v>6</v>
      </c>
      <c r="CS8" s="883">
        <v>26</v>
      </c>
      <c r="CT8" s="883">
        <v>47</v>
      </c>
      <c r="CU8" s="883">
        <v>57</v>
      </c>
      <c r="CV8" s="883">
        <v>60</v>
      </c>
      <c r="CW8" s="883"/>
      <c r="CX8" s="883">
        <v>131</v>
      </c>
      <c r="CY8" s="883">
        <v>536</v>
      </c>
      <c r="CZ8" s="873">
        <v>831</v>
      </c>
      <c r="DA8" s="879">
        <f>SUM(CO8:CZ8)</f>
        <v>1701</v>
      </c>
      <c r="DB8" s="883"/>
      <c r="DC8" s="883">
        <v>74</v>
      </c>
      <c r="DD8" s="883">
        <v>85</v>
      </c>
      <c r="DE8" s="883">
        <v>146</v>
      </c>
      <c r="DF8" s="883">
        <v>212</v>
      </c>
      <c r="DG8" s="883">
        <v>9</v>
      </c>
      <c r="DH8" s="883">
        <v>81</v>
      </c>
      <c r="DI8" s="883">
        <v>38</v>
      </c>
      <c r="DJ8" s="883">
        <v>218</v>
      </c>
      <c r="DK8" s="883">
        <v>339</v>
      </c>
      <c r="DL8" s="883">
        <v>377</v>
      </c>
      <c r="DM8" s="873">
        <v>120</v>
      </c>
      <c r="DN8" s="879">
        <f t="shared" ref="DN8:DN34" si="33">SUM(DB8:DM8)</f>
        <v>1699</v>
      </c>
      <c r="DO8" s="883"/>
      <c r="DP8" s="883">
        <v>27</v>
      </c>
      <c r="DQ8" s="883">
        <v>22</v>
      </c>
      <c r="DR8" s="883"/>
      <c r="DS8" s="883">
        <v>52</v>
      </c>
      <c r="DT8" s="883">
        <v>143</v>
      </c>
      <c r="DU8" s="883">
        <v>246</v>
      </c>
      <c r="DV8" s="883">
        <v>51</v>
      </c>
      <c r="DW8" s="883">
        <v>158</v>
      </c>
      <c r="DX8" s="883">
        <v>302</v>
      </c>
      <c r="DY8" s="883">
        <v>184</v>
      </c>
      <c r="DZ8" s="873">
        <v>1877</v>
      </c>
      <c r="EA8" s="879">
        <f t="shared" ref="EA8:EA34" si="34">SUM(DO8:DZ8)</f>
        <v>3062</v>
      </c>
      <c r="EB8" s="883">
        <v>22</v>
      </c>
      <c r="EC8" s="883">
        <v>46</v>
      </c>
      <c r="ED8" s="883">
        <v>64</v>
      </c>
      <c r="EE8" s="883">
        <v>148</v>
      </c>
      <c r="EF8" s="883">
        <v>87</v>
      </c>
      <c r="EG8" s="883">
        <v>123</v>
      </c>
      <c r="EH8" s="883">
        <v>179</v>
      </c>
      <c r="EI8" s="883">
        <v>148</v>
      </c>
      <c r="EJ8" s="883">
        <v>248</v>
      </c>
      <c r="EK8" s="883">
        <v>285</v>
      </c>
      <c r="EL8" s="883">
        <v>551</v>
      </c>
      <c r="EM8" s="873">
        <v>695</v>
      </c>
      <c r="EN8" s="879">
        <f t="shared" ref="EN8:EN10" si="35">SUM(EB8:EM8)</f>
        <v>2596</v>
      </c>
      <c r="EO8" s="883">
        <v>365</v>
      </c>
      <c r="EP8" s="883">
        <v>423</v>
      </c>
      <c r="EQ8" s="883">
        <v>228</v>
      </c>
      <c r="ER8" s="883">
        <v>75</v>
      </c>
      <c r="ES8" s="883">
        <v>226</v>
      </c>
      <c r="ET8" s="883">
        <v>20</v>
      </c>
      <c r="EU8" s="883">
        <v>76</v>
      </c>
      <c r="EV8" s="973">
        <v>23</v>
      </c>
      <c r="EW8" s="883"/>
      <c r="EX8" s="883"/>
      <c r="EY8" s="883"/>
      <c r="EZ8" s="873"/>
      <c r="FA8" s="879">
        <f t="shared" ref="FA8:FA32" si="36">SUM(EO8:EZ8)</f>
        <v>1436</v>
      </c>
      <c r="FC8" s="843">
        <f t="shared" si="23"/>
        <v>-84.459459459459467</v>
      </c>
      <c r="FD8" s="844">
        <f>IFERROR(((FF8/FE8)-1)*100,"")</f>
        <v>75.764993880048962</v>
      </c>
      <c r="FE8" s="845">
        <f t="shared" si="24"/>
        <v>817</v>
      </c>
      <c r="FF8" s="846">
        <f t="shared" si="25"/>
        <v>1436</v>
      </c>
      <c r="FH8" s="127">
        <f t="shared" ref="FH8:FH27" si="37">EV8-EI8</f>
        <v>-125</v>
      </c>
    </row>
    <row r="9" spans="1:164" ht="15" customHeight="1" x14ac:dyDescent="0.25">
      <c r="A9" s="403" t="s">
        <v>393</v>
      </c>
      <c r="B9" s="883">
        <v>1281</v>
      </c>
      <c r="C9" s="883">
        <v>757</v>
      </c>
      <c r="D9" s="883">
        <v>1892</v>
      </c>
      <c r="E9" s="883">
        <v>3019</v>
      </c>
      <c r="F9" s="883">
        <v>2202</v>
      </c>
      <c r="G9" s="883">
        <v>946</v>
      </c>
      <c r="H9" s="883">
        <v>2128</v>
      </c>
      <c r="I9" s="883">
        <v>1481</v>
      </c>
      <c r="J9" s="883">
        <v>449</v>
      </c>
      <c r="K9" s="883">
        <v>473</v>
      </c>
      <c r="L9" s="883">
        <v>3177</v>
      </c>
      <c r="M9" s="873">
        <v>3430</v>
      </c>
      <c r="N9" s="879">
        <f t="shared" si="26"/>
        <v>21235</v>
      </c>
      <c r="O9" s="883">
        <v>647</v>
      </c>
      <c r="P9" s="883">
        <v>578</v>
      </c>
      <c r="Q9" s="883">
        <v>261</v>
      </c>
      <c r="R9" s="883">
        <v>286</v>
      </c>
      <c r="S9" s="883">
        <v>1103</v>
      </c>
      <c r="T9" s="883">
        <v>1306</v>
      </c>
      <c r="U9" s="883">
        <v>750</v>
      </c>
      <c r="V9" s="883">
        <v>557</v>
      </c>
      <c r="W9" s="883">
        <v>143</v>
      </c>
      <c r="X9" s="883">
        <v>236</v>
      </c>
      <c r="Y9" s="883">
        <v>302</v>
      </c>
      <c r="Z9" s="873">
        <v>1220</v>
      </c>
      <c r="AA9" s="879">
        <f t="shared" si="27"/>
        <v>7389</v>
      </c>
      <c r="AB9" s="883"/>
      <c r="AC9" s="883">
        <v>382</v>
      </c>
      <c r="AD9" s="883">
        <v>230</v>
      </c>
      <c r="AE9" s="883">
        <v>138</v>
      </c>
      <c r="AF9" s="883">
        <v>117</v>
      </c>
      <c r="AG9" s="883">
        <v>91</v>
      </c>
      <c r="AH9" s="883">
        <v>416</v>
      </c>
      <c r="AI9" s="883">
        <v>112</v>
      </c>
      <c r="AJ9" s="883">
        <v>311</v>
      </c>
      <c r="AK9" s="883">
        <v>214</v>
      </c>
      <c r="AL9" s="883">
        <v>371</v>
      </c>
      <c r="AM9" s="873">
        <v>652</v>
      </c>
      <c r="AN9" s="879">
        <f t="shared" si="28"/>
        <v>3034</v>
      </c>
      <c r="AO9" s="883">
        <v>1</v>
      </c>
      <c r="AP9" s="883">
        <v>17</v>
      </c>
      <c r="AQ9" s="883">
        <v>81</v>
      </c>
      <c r="AR9" s="883">
        <v>60</v>
      </c>
      <c r="AS9" s="883">
        <v>87</v>
      </c>
      <c r="AT9" s="883">
        <v>56</v>
      </c>
      <c r="AU9" s="883">
        <v>289</v>
      </c>
      <c r="AV9" s="883">
        <v>181</v>
      </c>
      <c r="AW9" s="883">
        <v>116</v>
      </c>
      <c r="AX9" s="883">
        <v>207</v>
      </c>
      <c r="AY9" s="883">
        <v>200</v>
      </c>
      <c r="AZ9" s="873">
        <v>216</v>
      </c>
      <c r="BA9" s="879">
        <f t="shared" si="29"/>
        <v>1511</v>
      </c>
      <c r="BB9" s="883"/>
      <c r="BC9" s="883">
        <v>158</v>
      </c>
      <c r="BD9" s="883">
        <v>89</v>
      </c>
      <c r="BE9" s="883">
        <v>67</v>
      </c>
      <c r="BF9" s="883">
        <v>273</v>
      </c>
      <c r="BG9" s="883">
        <v>95</v>
      </c>
      <c r="BH9" s="883">
        <v>111</v>
      </c>
      <c r="BI9" s="883">
        <v>132</v>
      </c>
      <c r="BJ9" s="883">
        <v>269</v>
      </c>
      <c r="BK9" s="883">
        <v>125</v>
      </c>
      <c r="BL9" s="883">
        <v>13134</v>
      </c>
      <c r="BM9" s="873">
        <v>25809</v>
      </c>
      <c r="BN9" s="879">
        <f t="shared" si="30"/>
        <v>40262</v>
      </c>
      <c r="BO9" s="883">
        <v>565</v>
      </c>
      <c r="BP9" s="883">
        <v>1323</v>
      </c>
      <c r="BQ9" s="883">
        <v>918</v>
      </c>
      <c r="BR9" s="883">
        <v>5</v>
      </c>
      <c r="BS9" s="883">
        <v>200</v>
      </c>
      <c r="BT9" s="883"/>
      <c r="BU9" s="883">
        <v>39</v>
      </c>
      <c r="BV9" s="883">
        <v>660</v>
      </c>
      <c r="BW9" s="883">
        <v>3731</v>
      </c>
      <c r="BX9" s="883">
        <v>4344</v>
      </c>
      <c r="BY9" s="883">
        <v>2780</v>
      </c>
      <c r="BZ9" s="873">
        <v>4573</v>
      </c>
      <c r="CA9" s="879">
        <f t="shared" si="31"/>
        <v>19138</v>
      </c>
      <c r="CB9" s="883">
        <v>867</v>
      </c>
      <c r="CC9" s="883">
        <v>258</v>
      </c>
      <c r="CD9" s="883">
        <v>4879</v>
      </c>
      <c r="CE9" s="883">
        <v>3279</v>
      </c>
      <c r="CF9" s="883">
        <v>3052</v>
      </c>
      <c r="CG9" s="883">
        <v>4628</v>
      </c>
      <c r="CH9" s="883">
        <v>4683</v>
      </c>
      <c r="CI9" s="883">
        <v>3935</v>
      </c>
      <c r="CJ9" s="883">
        <v>3167</v>
      </c>
      <c r="CK9" s="883">
        <v>3875</v>
      </c>
      <c r="CL9" s="883">
        <v>1807</v>
      </c>
      <c r="CM9" s="873">
        <v>4743</v>
      </c>
      <c r="CN9" s="879">
        <f t="shared" si="32"/>
        <v>39173</v>
      </c>
      <c r="CO9" s="883">
        <v>713</v>
      </c>
      <c r="CP9" s="883">
        <v>997</v>
      </c>
      <c r="CQ9" s="883">
        <v>853</v>
      </c>
      <c r="CR9" s="883">
        <v>1535</v>
      </c>
      <c r="CS9" s="883">
        <v>766</v>
      </c>
      <c r="CT9" s="883">
        <v>90</v>
      </c>
      <c r="CU9" s="883">
        <v>313</v>
      </c>
      <c r="CV9" s="883">
        <v>188</v>
      </c>
      <c r="CW9" s="883">
        <v>223</v>
      </c>
      <c r="CX9" s="883">
        <v>135</v>
      </c>
      <c r="CY9" s="883">
        <v>179</v>
      </c>
      <c r="CZ9" s="873">
        <v>350</v>
      </c>
      <c r="DA9" s="879">
        <f t="shared" ref="DA9:DA33" si="38">SUM(CO9:CZ9)</f>
        <v>6342</v>
      </c>
      <c r="DB9" s="883">
        <v>1</v>
      </c>
      <c r="DC9" s="883">
        <v>49</v>
      </c>
      <c r="DD9" s="883">
        <v>288</v>
      </c>
      <c r="DE9" s="883">
        <v>187</v>
      </c>
      <c r="DF9" s="883">
        <v>462</v>
      </c>
      <c r="DG9" s="883">
        <v>480</v>
      </c>
      <c r="DH9" s="883">
        <v>499</v>
      </c>
      <c r="DI9" s="883">
        <v>647</v>
      </c>
      <c r="DJ9" s="883">
        <v>288</v>
      </c>
      <c r="DK9" s="883">
        <v>487</v>
      </c>
      <c r="DL9" s="883">
        <v>1120</v>
      </c>
      <c r="DM9" s="873">
        <v>1116</v>
      </c>
      <c r="DN9" s="879">
        <f t="shared" si="33"/>
        <v>5624</v>
      </c>
      <c r="DO9" s="883">
        <v>76</v>
      </c>
      <c r="DP9" s="883">
        <v>86</v>
      </c>
      <c r="DQ9" s="883">
        <v>59</v>
      </c>
      <c r="DR9" s="883">
        <v>77</v>
      </c>
      <c r="DS9" s="883">
        <v>81</v>
      </c>
      <c r="DT9" s="883">
        <v>242</v>
      </c>
      <c r="DU9" s="883">
        <v>276</v>
      </c>
      <c r="DV9" s="883">
        <v>371</v>
      </c>
      <c r="DW9" s="883">
        <v>452</v>
      </c>
      <c r="DX9" s="883">
        <v>625</v>
      </c>
      <c r="DY9" s="883">
        <v>589</v>
      </c>
      <c r="DZ9" s="873">
        <v>1620</v>
      </c>
      <c r="EA9" s="879">
        <f t="shared" si="34"/>
        <v>4554</v>
      </c>
      <c r="EB9" s="883">
        <v>15</v>
      </c>
      <c r="EC9" s="883">
        <v>8</v>
      </c>
      <c r="ED9" s="883">
        <v>30</v>
      </c>
      <c r="EE9" s="883">
        <v>41</v>
      </c>
      <c r="EF9" s="883">
        <v>64</v>
      </c>
      <c r="EG9" s="883">
        <v>50</v>
      </c>
      <c r="EH9" s="883">
        <v>69</v>
      </c>
      <c r="EI9" s="883">
        <v>101</v>
      </c>
      <c r="EJ9" s="883">
        <v>103</v>
      </c>
      <c r="EK9" s="883">
        <v>335</v>
      </c>
      <c r="EL9" s="883">
        <v>194</v>
      </c>
      <c r="EM9" s="873">
        <v>38189</v>
      </c>
      <c r="EN9" s="879">
        <f t="shared" si="35"/>
        <v>39199</v>
      </c>
      <c r="EO9" s="883">
        <v>0</v>
      </c>
      <c r="EP9" s="883">
        <v>0</v>
      </c>
      <c r="EQ9" s="883">
        <v>181</v>
      </c>
      <c r="ER9" s="883">
        <v>65</v>
      </c>
      <c r="ES9" s="883">
        <v>1611</v>
      </c>
      <c r="ET9" s="883">
        <v>373</v>
      </c>
      <c r="EU9" s="883">
        <v>590</v>
      </c>
      <c r="EV9" s="973">
        <v>815</v>
      </c>
      <c r="EW9" s="883"/>
      <c r="EX9" s="883"/>
      <c r="EY9" s="883"/>
      <c r="EZ9" s="873"/>
      <c r="FA9" s="879">
        <f t="shared" si="36"/>
        <v>3635</v>
      </c>
      <c r="FC9" s="843">
        <f t="shared" si="23"/>
        <v>706.93069306930681</v>
      </c>
      <c r="FD9" s="844">
        <f t="shared" ref="FD9:FD27" si="39">IFERROR(((FF9/FE9)-1)*100,"")</f>
        <v>861.64021164021176</v>
      </c>
      <c r="FE9" s="845">
        <f t="shared" si="24"/>
        <v>378</v>
      </c>
      <c r="FF9" s="846">
        <f t="shared" si="25"/>
        <v>3635</v>
      </c>
      <c r="FH9" s="127">
        <f t="shared" si="37"/>
        <v>714</v>
      </c>
    </row>
    <row r="10" spans="1:164" ht="15" customHeight="1" x14ac:dyDescent="0.25">
      <c r="A10" s="403" t="s">
        <v>394</v>
      </c>
      <c r="B10" s="883"/>
      <c r="C10" s="883">
        <v>0.873</v>
      </c>
      <c r="D10" s="883">
        <v>0.8</v>
      </c>
      <c r="E10" s="883">
        <v>22</v>
      </c>
      <c r="F10" s="883">
        <v>94</v>
      </c>
      <c r="G10" s="883">
        <v>78</v>
      </c>
      <c r="H10" s="883">
        <v>174</v>
      </c>
      <c r="I10" s="883">
        <v>440</v>
      </c>
      <c r="J10" s="883">
        <v>205</v>
      </c>
      <c r="K10" s="883">
        <v>132</v>
      </c>
      <c r="L10" s="883">
        <v>108</v>
      </c>
      <c r="M10" s="873">
        <v>169</v>
      </c>
      <c r="N10" s="879">
        <f t="shared" si="26"/>
        <v>1423.673</v>
      </c>
      <c r="O10" s="883"/>
      <c r="P10" s="883">
        <v>27</v>
      </c>
      <c r="Q10" s="883">
        <v>104</v>
      </c>
      <c r="R10" s="883">
        <v>80</v>
      </c>
      <c r="S10" s="883">
        <v>124</v>
      </c>
      <c r="T10" s="883">
        <v>99</v>
      </c>
      <c r="U10" s="883">
        <v>39</v>
      </c>
      <c r="V10" s="883">
        <v>183</v>
      </c>
      <c r="W10" s="883">
        <v>184</v>
      </c>
      <c r="X10" s="883">
        <v>65</v>
      </c>
      <c r="Y10" s="883">
        <v>192</v>
      </c>
      <c r="Z10" s="873">
        <v>2050</v>
      </c>
      <c r="AA10" s="879">
        <f t="shared" si="27"/>
        <v>3147</v>
      </c>
      <c r="AB10" s="883"/>
      <c r="AC10" s="883">
        <v>1</v>
      </c>
      <c r="AD10" s="883">
        <v>52</v>
      </c>
      <c r="AE10" s="883">
        <v>81</v>
      </c>
      <c r="AF10" s="883">
        <v>91</v>
      </c>
      <c r="AG10" s="883">
        <v>231</v>
      </c>
      <c r="AH10" s="883">
        <v>425</v>
      </c>
      <c r="AI10" s="883">
        <v>93</v>
      </c>
      <c r="AJ10" s="883">
        <v>184</v>
      </c>
      <c r="AK10" s="883">
        <v>485</v>
      </c>
      <c r="AL10" s="883">
        <v>326</v>
      </c>
      <c r="AM10" s="873">
        <v>763</v>
      </c>
      <c r="AN10" s="879">
        <f t="shared" si="28"/>
        <v>2732</v>
      </c>
      <c r="AO10" s="883">
        <v>70</v>
      </c>
      <c r="AP10" s="883">
        <v>64</v>
      </c>
      <c r="AQ10" s="883">
        <v>134</v>
      </c>
      <c r="AR10" s="883">
        <v>109</v>
      </c>
      <c r="AS10" s="883">
        <v>201</v>
      </c>
      <c r="AT10" s="883">
        <v>363</v>
      </c>
      <c r="AU10" s="883">
        <v>456</v>
      </c>
      <c r="AV10" s="883">
        <v>549</v>
      </c>
      <c r="AW10" s="883">
        <v>475</v>
      </c>
      <c r="AX10" s="883">
        <v>626</v>
      </c>
      <c r="AY10" s="883">
        <v>573</v>
      </c>
      <c r="AZ10" s="873">
        <v>2836</v>
      </c>
      <c r="BA10" s="879">
        <f t="shared" si="29"/>
        <v>6456</v>
      </c>
      <c r="BB10" s="883">
        <v>33</v>
      </c>
      <c r="BC10" s="883">
        <v>111</v>
      </c>
      <c r="BD10" s="883">
        <v>153</v>
      </c>
      <c r="BE10" s="883">
        <v>443</v>
      </c>
      <c r="BF10" s="883">
        <v>754</v>
      </c>
      <c r="BG10" s="883">
        <v>633</v>
      </c>
      <c r="BH10" s="883">
        <v>447</v>
      </c>
      <c r="BI10" s="883">
        <v>1082</v>
      </c>
      <c r="BJ10" s="883">
        <v>877</v>
      </c>
      <c r="BK10" s="883">
        <v>1063</v>
      </c>
      <c r="BL10" s="883">
        <v>819</v>
      </c>
      <c r="BM10" s="873">
        <v>1636</v>
      </c>
      <c r="BN10" s="879">
        <f t="shared" si="30"/>
        <v>8051</v>
      </c>
      <c r="BO10" s="883">
        <v>97</v>
      </c>
      <c r="BP10" s="883">
        <v>185</v>
      </c>
      <c r="BQ10" s="883">
        <v>121</v>
      </c>
      <c r="BR10" s="883">
        <v>173</v>
      </c>
      <c r="BS10" s="883">
        <v>191</v>
      </c>
      <c r="BT10" s="883">
        <v>112</v>
      </c>
      <c r="BU10" s="883">
        <v>216</v>
      </c>
      <c r="BV10" s="883">
        <v>367</v>
      </c>
      <c r="BW10" s="883">
        <v>313</v>
      </c>
      <c r="BX10" s="883">
        <v>670</v>
      </c>
      <c r="BY10" s="883">
        <v>663</v>
      </c>
      <c r="BZ10" s="873">
        <v>1065</v>
      </c>
      <c r="CA10" s="879">
        <f t="shared" si="31"/>
        <v>4173</v>
      </c>
      <c r="CB10" s="883">
        <v>31</v>
      </c>
      <c r="CC10" s="883">
        <v>73</v>
      </c>
      <c r="CD10" s="883">
        <v>136</v>
      </c>
      <c r="CE10" s="883">
        <v>99</v>
      </c>
      <c r="CF10" s="883">
        <v>178</v>
      </c>
      <c r="CG10" s="883">
        <v>132</v>
      </c>
      <c r="CH10" s="883">
        <v>95</v>
      </c>
      <c r="CI10" s="883">
        <v>110</v>
      </c>
      <c r="CJ10" s="883">
        <v>145</v>
      </c>
      <c r="CK10" s="883">
        <v>109</v>
      </c>
      <c r="CL10" s="883">
        <v>218</v>
      </c>
      <c r="CM10" s="873">
        <v>203</v>
      </c>
      <c r="CN10" s="879">
        <f t="shared" si="32"/>
        <v>1529</v>
      </c>
      <c r="CO10" s="883">
        <v>30</v>
      </c>
      <c r="CP10" s="883">
        <v>19</v>
      </c>
      <c r="CQ10" s="883">
        <v>25</v>
      </c>
      <c r="CR10" s="883">
        <v>36</v>
      </c>
      <c r="CS10" s="883">
        <v>30</v>
      </c>
      <c r="CT10" s="883">
        <v>52</v>
      </c>
      <c r="CU10" s="883">
        <v>118</v>
      </c>
      <c r="CV10" s="883">
        <v>50</v>
      </c>
      <c r="CW10" s="883">
        <v>260</v>
      </c>
      <c r="CX10" s="883">
        <v>181</v>
      </c>
      <c r="CY10" s="883">
        <v>72</v>
      </c>
      <c r="CZ10" s="873">
        <v>97</v>
      </c>
      <c r="DA10" s="879">
        <f t="shared" si="38"/>
        <v>970</v>
      </c>
      <c r="DB10" s="883">
        <v>128</v>
      </c>
      <c r="DC10" s="883">
        <v>472</v>
      </c>
      <c r="DD10" s="883">
        <v>808</v>
      </c>
      <c r="DE10" s="883">
        <v>804</v>
      </c>
      <c r="DF10" s="883">
        <v>1007</v>
      </c>
      <c r="DG10" s="883">
        <v>759</v>
      </c>
      <c r="DH10" s="883">
        <v>957</v>
      </c>
      <c r="DI10" s="883">
        <v>1235</v>
      </c>
      <c r="DJ10" s="883">
        <v>1236</v>
      </c>
      <c r="DK10" s="883">
        <v>2026</v>
      </c>
      <c r="DL10" s="883">
        <v>1766</v>
      </c>
      <c r="DM10" s="873">
        <v>2113</v>
      </c>
      <c r="DN10" s="879">
        <f t="shared" si="33"/>
        <v>13311</v>
      </c>
      <c r="DO10" s="883">
        <v>435</v>
      </c>
      <c r="DP10" s="883">
        <v>1208</v>
      </c>
      <c r="DQ10" s="883">
        <v>1511</v>
      </c>
      <c r="DR10" s="883">
        <v>1274</v>
      </c>
      <c r="DS10" s="883">
        <v>601</v>
      </c>
      <c r="DT10" s="883">
        <v>532</v>
      </c>
      <c r="DU10" s="883">
        <v>656</v>
      </c>
      <c r="DV10" s="883">
        <v>586</v>
      </c>
      <c r="DW10" s="883">
        <v>603</v>
      </c>
      <c r="DX10" s="883">
        <v>4822</v>
      </c>
      <c r="DY10" s="883">
        <v>2282</v>
      </c>
      <c r="DZ10" s="873">
        <v>1192</v>
      </c>
      <c r="EA10" s="879">
        <f t="shared" si="34"/>
        <v>15702</v>
      </c>
      <c r="EB10" s="883">
        <v>607</v>
      </c>
      <c r="EC10" s="883">
        <v>1727</v>
      </c>
      <c r="ED10" s="883">
        <v>1466</v>
      </c>
      <c r="EE10" s="883">
        <v>887</v>
      </c>
      <c r="EF10" s="883">
        <v>2072</v>
      </c>
      <c r="EG10" s="883">
        <v>2790</v>
      </c>
      <c r="EH10" s="883">
        <v>2141</v>
      </c>
      <c r="EI10" s="883">
        <v>2015</v>
      </c>
      <c r="EJ10" s="883">
        <v>2641</v>
      </c>
      <c r="EK10" s="883">
        <v>2464</v>
      </c>
      <c r="EL10" s="883">
        <v>3375</v>
      </c>
      <c r="EM10" s="873">
        <v>2740</v>
      </c>
      <c r="EN10" s="879">
        <f t="shared" si="35"/>
        <v>24925</v>
      </c>
      <c r="EO10" s="883">
        <v>855</v>
      </c>
      <c r="EP10" s="883">
        <v>2437</v>
      </c>
      <c r="EQ10" s="883">
        <v>3011</v>
      </c>
      <c r="ER10" s="883">
        <v>1184</v>
      </c>
      <c r="ES10" s="883">
        <v>1762</v>
      </c>
      <c r="ET10" s="883">
        <v>1364</v>
      </c>
      <c r="EU10" s="883">
        <v>1675</v>
      </c>
      <c r="EV10" s="973">
        <v>1514</v>
      </c>
      <c r="EW10" s="883"/>
      <c r="EX10" s="883"/>
      <c r="EY10" s="883"/>
      <c r="EZ10" s="873"/>
      <c r="FA10" s="879">
        <f t="shared" si="36"/>
        <v>13802</v>
      </c>
      <c r="FC10" s="843">
        <f>IFERROR(((
_xlfn.XLOOKUP((DATE(YEAR($FC$5),MONTH($FC$5),1)),UCA.IGN.DATE,$B10:$FA10) /
_xlfn.XLOOKUP((DATE(YEAR($FC$5)-1,MONTH($FC$5),1)),UCA.IGN.DATE,$B10:$FA10)
)-1)*100,"")</f>
        <v>-24.863523573200997</v>
      </c>
      <c r="FD10" s="844">
        <f t="shared" si="39"/>
        <v>0.70777088653775078</v>
      </c>
      <c r="FE10" s="845">
        <f t="shared" si="24"/>
        <v>13705</v>
      </c>
      <c r="FF10" s="846">
        <f t="shared" si="25"/>
        <v>13802</v>
      </c>
      <c r="FH10" s="954">
        <f t="shared" si="37"/>
        <v>-501</v>
      </c>
    </row>
    <row r="11" spans="1:164" ht="15" customHeight="1" x14ac:dyDescent="0.25">
      <c r="A11" s="403" t="s">
        <v>661</v>
      </c>
      <c r="B11" s="883"/>
      <c r="C11" s="883"/>
      <c r="D11" s="883"/>
      <c r="E11" s="883"/>
      <c r="F11" s="883"/>
      <c r="G11" s="883"/>
      <c r="H11" s="883"/>
      <c r="I11" s="883"/>
      <c r="J11" s="883"/>
      <c r="K11" s="883"/>
      <c r="L11" s="883">
        <v>7</v>
      </c>
      <c r="M11" s="873">
        <v>10</v>
      </c>
      <c r="N11" s="879">
        <f t="shared" si="26"/>
        <v>17</v>
      </c>
      <c r="O11" s="883"/>
      <c r="P11" s="883"/>
      <c r="Q11" s="883"/>
      <c r="R11" s="883"/>
      <c r="S11" s="883"/>
      <c r="T11" s="883"/>
      <c r="U11" s="883">
        <v>4</v>
      </c>
      <c r="V11" s="883"/>
      <c r="W11" s="883"/>
      <c r="X11" s="883"/>
      <c r="Y11" s="883"/>
      <c r="Z11" s="873"/>
      <c r="AA11" s="879">
        <f t="shared" si="27"/>
        <v>4</v>
      </c>
      <c r="AB11" s="883"/>
      <c r="AC11" s="883"/>
      <c r="AD11" s="883"/>
      <c r="AE11" s="883"/>
      <c r="AF11" s="883"/>
      <c r="AG11" s="883"/>
      <c r="AH11" s="883"/>
      <c r="AI11" s="883"/>
      <c r="AJ11" s="883"/>
      <c r="AK11" s="883"/>
      <c r="AL11" s="883">
        <v>13</v>
      </c>
      <c r="AM11" s="873">
        <v>3</v>
      </c>
      <c r="AN11" s="879">
        <f t="shared" si="28"/>
        <v>16</v>
      </c>
      <c r="AO11" s="883"/>
      <c r="AP11" s="883"/>
      <c r="AQ11" s="883"/>
      <c r="AR11" s="883"/>
      <c r="AS11" s="883"/>
      <c r="AT11" s="883"/>
      <c r="AU11" s="883"/>
      <c r="AV11" s="883">
        <v>3</v>
      </c>
      <c r="AW11" s="883"/>
      <c r="AX11" s="883"/>
      <c r="AY11" s="883">
        <v>8</v>
      </c>
      <c r="AZ11" s="873">
        <v>4</v>
      </c>
      <c r="BA11" s="879">
        <f t="shared" si="29"/>
        <v>15</v>
      </c>
      <c r="BB11" s="883"/>
      <c r="BC11" s="883">
        <v>10</v>
      </c>
      <c r="BD11" s="883">
        <v>14</v>
      </c>
      <c r="BE11" s="883"/>
      <c r="BF11" s="883"/>
      <c r="BG11" s="883"/>
      <c r="BH11" s="883">
        <v>22</v>
      </c>
      <c r="BI11" s="883"/>
      <c r="BJ11" s="883"/>
      <c r="BK11" s="883">
        <v>2</v>
      </c>
      <c r="BL11" s="883">
        <v>41</v>
      </c>
      <c r="BM11" s="873">
        <v>335</v>
      </c>
      <c r="BN11" s="879">
        <f t="shared" si="30"/>
        <v>424</v>
      </c>
      <c r="BO11" s="883"/>
      <c r="BP11" s="883"/>
      <c r="BQ11" s="883"/>
      <c r="BR11" s="883"/>
      <c r="BS11" s="883"/>
      <c r="BT11" s="883"/>
      <c r="BU11" s="883">
        <v>5</v>
      </c>
      <c r="BV11" s="883"/>
      <c r="BW11" s="883">
        <v>6</v>
      </c>
      <c r="BX11" s="883"/>
      <c r="BY11" s="883">
        <v>17</v>
      </c>
      <c r="BZ11" s="873">
        <v>101</v>
      </c>
      <c r="CA11" s="879">
        <f t="shared" si="31"/>
        <v>129</v>
      </c>
      <c r="CB11" s="883"/>
      <c r="CC11" s="883"/>
      <c r="CD11" s="883"/>
      <c r="CE11" s="883"/>
      <c r="CF11" s="883"/>
      <c r="CG11" s="883">
        <v>7</v>
      </c>
      <c r="CH11" s="883">
        <v>3</v>
      </c>
      <c r="CI11" s="883">
        <v>57</v>
      </c>
      <c r="CJ11" s="883">
        <v>9</v>
      </c>
      <c r="CK11" s="883">
        <v>1</v>
      </c>
      <c r="CL11" s="883">
        <v>50</v>
      </c>
      <c r="CM11" s="873">
        <v>20</v>
      </c>
      <c r="CN11" s="879">
        <f t="shared" si="32"/>
        <v>147</v>
      </c>
      <c r="CO11" s="883"/>
      <c r="CP11" s="883"/>
      <c r="CQ11" s="883"/>
      <c r="CR11" s="883"/>
      <c r="CS11" s="883">
        <v>1</v>
      </c>
      <c r="CT11" s="883"/>
      <c r="CU11" s="883">
        <v>3</v>
      </c>
      <c r="CV11" s="883"/>
      <c r="CW11" s="883">
        <v>5</v>
      </c>
      <c r="CX11" s="883">
        <v>17</v>
      </c>
      <c r="CY11" s="883"/>
      <c r="CZ11" s="873">
        <v>7</v>
      </c>
      <c r="DA11" s="879">
        <f t="shared" si="38"/>
        <v>33</v>
      </c>
      <c r="DB11" s="883"/>
      <c r="DC11" s="883">
        <v>40</v>
      </c>
      <c r="DD11" s="883"/>
      <c r="DE11" s="883">
        <v>8</v>
      </c>
      <c r="DF11" s="883"/>
      <c r="DG11" s="883"/>
      <c r="DH11" s="883"/>
      <c r="DI11" s="883"/>
      <c r="DJ11" s="883">
        <v>6</v>
      </c>
      <c r="DK11" s="883">
        <v>4</v>
      </c>
      <c r="DL11" s="883">
        <v>8</v>
      </c>
      <c r="DM11" s="873">
        <v>46</v>
      </c>
      <c r="DN11" s="879">
        <f t="shared" si="33"/>
        <v>112</v>
      </c>
      <c r="DO11" s="883"/>
      <c r="DP11" s="883">
        <v>1</v>
      </c>
      <c r="DQ11" s="883"/>
      <c r="DR11" s="883">
        <v>3</v>
      </c>
      <c r="DS11" s="883">
        <v>3</v>
      </c>
      <c r="DT11" s="883">
        <v>222</v>
      </c>
      <c r="DU11" s="883"/>
      <c r="DV11" s="883">
        <v>15</v>
      </c>
      <c r="DW11" s="883">
        <v>19</v>
      </c>
      <c r="DX11" s="883">
        <v>47</v>
      </c>
      <c r="DY11" s="883">
        <v>21</v>
      </c>
      <c r="DZ11" s="873">
        <v>68</v>
      </c>
      <c r="EA11" s="879">
        <f t="shared" si="34"/>
        <v>399</v>
      </c>
      <c r="EB11" s="883">
        <v>0</v>
      </c>
      <c r="EC11" s="883">
        <v>0</v>
      </c>
      <c r="ED11" s="883">
        <v>0</v>
      </c>
      <c r="EE11" s="883">
        <v>0</v>
      </c>
      <c r="EF11" s="883">
        <v>0</v>
      </c>
      <c r="EG11" s="883">
        <v>0</v>
      </c>
      <c r="EH11" s="883">
        <v>0</v>
      </c>
      <c r="EI11" s="883">
        <v>0</v>
      </c>
      <c r="EJ11" s="883">
        <v>0</v>
      </c>
      <c r="EK11" s="883">
        <v>8</v>
      </c>
      <c r="EL11" s="883">
        <v>215</v>
      </c>
      <c r="EM11" s="873">
        <v>43</v>
      </c>
      <c r="EN11" s="879">
        <f>SUM(EB11:EM11)</f>
        <v>266</v>
      </c>
      <c r="EO11" s="883">
        <v>0</v>
      </c>
      <c r="EP11" s="883">
        <v>0</v>
      </c>
      <c r="EQ11" s="883">
        <v>0</v>
      </c>
      <c r="ER11" s="883">
        <v>7</v>
      </c>
      <c r="ES11" s="883">
        <v>42</v>
      </c>
      <c r="ET11" s="883">
        <v>13</v>
      </c>
      <c r="EU11" s="883">
        <v>1</v>
      </c>
      <c r="EV11" s="973">
        <v>0</v>
      </c>
      <c r="EW11" s="883"/>
      <c r="EX11" s="883"/>
      <c r="EY11" s="883"/>
      <c r="EZ11" s="873"/>
      <c r="FA11" s="879">
        <f>SUM(EO11:EZ11)</f>
        <v>63</v>
      </c>
      <c r="FC11" s="843" t="str">
        <f t="shared" si="23"/>
        <v/>
      </c>
      <c r="FD11" s="844" t="str">
        <f t="shared" si="39"/>
        <v/>
      </c>
      <c r="FE11" s="845">
        <f t="shared" si="24"/>
        <v>0</v>
      </c>
      <c r="FF11" s="846">
        <f t="shared" si="25"/>
        <v>63</v>
      </c>
      <c r="FH11" s="127">
        <f t="shared" si="37"/>
        <v>0</v>
      </c>
    </row>
    <row r="12" spans="1:164" ht="15" customHeight="1" x14ac:dyDescent="0.25">
      <c r="A12" s="403" t="s">
        <v>395</v>
      </c>
      <c r="B12" s="883"/>
      <c r="C12" s="883"/>
      <c r="D12" s="883"/>
      <c r="E12" s="883"/>
      <c r="F12" s="883"/>
      <c r="G12" s="883"/>
      <c r="H12" s="883"/>
      <c r="I12" s="883"/>
      <c r="J12" s="883">
        <v>14</v>
      </c>
      <c r="K12" s="883"/>
      <c r="L12" s="883"/>
      <c r="M12" s="873"/>
      <c r="N12" s="879">
        <f t="shared" si="26"/>
        <v>14</v>
      </c>
      <c r="O12" s="883"/>
      <c r="P12" s="883"/>
      <c r="Q12" s="883"/>
      <c r="R12" s="883"/>
      <c r="S12" s="883"/>
      <c r="T12" s="883"/>
      <c r="U12" s="883"/>
      <c r="V12" s="883"/>
      <c r="W12" s="883"/>
      <c r="X12" s="883"/>
      <c r="Y12" s="883"/>
      <c r="Z12" s="873"/>
      <c r="AA12" s="879">
        <f t="shared" si="27"/>
        <v>0</v>
      </c>
      <c r="AB12" s="883"/>
      <c r="AC12" s="883"/>
      <c r="AD12" s="883"/>
      <c r="AE12" s="883"/>
      <c r="AF12" s="883"/>
      <c r="AG12" s="883"/>
      <c r="AH12" s="883"/>
      <c r="AI12" s="883"/>
      <c r="AJ12" s="883"/>
      <c r="AK12" s="883"/>
      <c r="AL12" s="883"/>
      <c r="AM12" s="873">
        <v>1</v>
      </c>
      <c r="AN12" s="879">
        <f t="shared" si="28"/>
        <v>1</v>
      </c>
      <c r="AO12" s="883"/>
      <c r="AP12" s="883"/>
      <c r="AQ12" s="883"/>
      <c r="AR12" s="883">
        <v>14</v>
      </c>
      <c r="AS12" s="883">
        <v>3</v>
      </c>
      <c r="AT12" s="883">
        <v>4</v>
      </c>
      <c r="AU12" s="883"/>
      <c r="AV12" s="883">
        <v>17</v>
      </c>
      <c r="AW12" s="883">
        <v>25</v>
      </c>
      <c r="AX12" s="883"/>
      <c r="AY12" s="883"/>
      <c r="AZ12" s="873">
        <v>42</v>
      </c>
      <c r="BA12" s="879">
        <f t="shared" si="29"/>
        <v>105</v>
      </c>
      <c r="BB12" s="883"/>
      <c r="BC12" s="883"/>
      <c r="BD12" s="883"/>
      <c r="BE12" s="883"/>
      <c r="BF12" s="883"/>
      <c r="BG12" s="883"/>
      <c r="BH12" s="883"/>
      <c r="BI12" s="883"/>
      <c r="BJ12" s="883"/>
      <c r="BK12" s="883"/>
      <c r="BL12" s="883"/>
      <c r="BM12" s="873"/>
      <c r="BN12" s="879">
        <f t="shared" si="30"/>
        <v>0</v>
      </c>
      <c r="BO12" s="883"/>
      <c r="BP12" s="883"/>
      <c r="BQ12" s="883"/>
      <c r="BR12" s="883"/>
      <c r="BS12" s="883"/>
      <c r="BT12" s="883"/>
      <c r="BU12" s="883"/>
      <c r="BV12" s="883"/>
      <c r="BW12" s="883"/>
      <c r="BX12" s="883">
        <v>1</v>
      </c>
      <c r="BY12" s="883">
        <v>13</v>
      </c>
      <c r="BZ12" s="873">
        <v>220</v>
      </c>
      <c r="CA12" s="879">
        <f t="shared" si="31"/>
        <v>234</v>
      </c>
      <c r="CB12" s="883"/>
      <c r="CC12" s="883"/>
      <c r="CD12" s="883"/>
      <c r="CE12" s="883"/>
      <c r="CF12" s="883"/>
      <c r="CG12" s="883"/>
      <c r="CH12" s="883"/>
      <c r="CI12" s="883"/>
      <c r="CJ12" s="883"/>
      <c r="CK12" s="883"/>
      <c r="CL12" s="883"/>
      <c r="CM12" s="873">
        <v>5</v>
      </c>
      <c r="CN12" s="879">
        <f t="shared" si="32"/>
        <v>5</v>
      </c>
      <c r="CO12" s="883"/>
      <c r="CP12" s="883"/>
      <c r="CQ12" s="883"/>
      <c r="CR12" s="883"/>
      <c r="CS12" s="883"/>
      <c r="CT12" s="883"/>
      <c r="CU12" s="883"/>
      <c r="CV12" s="883"/>
      <c r="CW12" s="883"/>
      <c r="CX12" s="883"/>
      <c r="CY12" s="883"/>
      <c r="CZ12" s="873">
        <v>8</v>
      </c>
      <c r="DA12" s="879">
        <f t="shared" si="38"/>
        <v>8</v>
      </c>
      <c r="DB12" s="883"/>
      <c r="DC12" s="883"/>
      <c r="DD12" s="883"/>
      <c r="DE12" s="883"/>
      <c r="DF12" s="883"/>
      <c r="DG12" s="883"/>
      <c r="DH12" s="883"/>
      <c r="DI12" s="883">
        <v>12</v>
      </c>
      <c r="DJ12" s="883"/>
      <c r="DK12" s="883"/>
      <c r="DL12" s="883"/>
      <c r="DM12" s="873"/>
      <c r="DN12" s="879">
        <f t="shared" si="33"/>
        <v>12</v>
      </c>
      <c r="DO12" s="883"/>
      <c r="DP12" s="883"/>
      <c r="DQ12" s="883"/>
      <c r="DR12" s="883"/>
      <c r="DS12" s="883"/>
      <c r="DT12" s="883"/>
      <c r="DU12" s="883"/>
      <c r="DV12" s="883">
        <v>2</v>
      </c>
      <c r="DW12" s="883">
        <v>2</v>
      </c>
      <c r="DX12" s="883">
        <v>2</v>
      </c>
      <c r="DY12" s="883"/>
      <c r="DZ12" s="873">
        <v>16</v>
      </c>
      <c r="EA12" s="879">
        <f t="shared" si="34"/>
        <v>22</v>
      </c>
      <c r="EB12" s="883">
        <v>0</v>
      </c>
      <c r="EC12" s="883">
        <v>0</v>
      </c>
      <c r="ED12" s="883">
        <v>0</v>
      </c>
      <c r="EE12" s="883">
        <v>0</v>
      </c>
      <c r="EF12" s="883">
        <v>0</v>
      </c>
      <c r="EG12" s="883">
        <v>0</v>
      </c>
      <c r="EH12" s="883">
        <v>0</v>
      </c>
      <c r="EI12" s="883">
        <v>0</v>
      </c>
      <c r="EJ12" s="883">
        <v>0</v>
      </c>
      <c r="EK12" s="883">
        <v>0</v>
      </c>
      <c r="EL12" s="883">
        <v>0</v>
      </c>
      <c r="EM12" s="873">
        <v>0</v>
      </c>
      <c r="EN12" s="879">
        <f t="shared" ref="EN12:EN26" si="40">SUM(EB12:EM12)</f>
        <v>0</v>
      </c>
      <c r="EO12" s="883">
        <v>0</v>
      </c>
      <c r="EP12" s="883">
        <v>0</v>
      </c>
      <c r="EQ12" s="883">
        <v>0</v>
      </c>
      <c r="ER12" s="883">
        <v>0</v>
      </c>
      <c r="ES12" s="883">
        <v>0</v>
      </c>
      <c r="ET12" s="883">
        <v>0</v>
      </c>
      <c r="EU12" s="883">
        <v>0</v>
      </c>
      <c r="EV12" s="973">
        <v>0</v>
      </c>
      <c r="EW12" s="883"/>
      <c r="EX12" s="883"/>
      <c r="EY12" s="883"/>
      <c r="EZ12" s="873"/>
      <c r="FA12" s="879">
        <f t="shared" si="36"/>
        <v>0</v>
      </c>
      <c r="FC12" s="843" t="str">
        <f t="shared" si="23"/>
        <v/>
      </c>
      <c r="FD12" s="844" t="str">
        <f t="shared" si="39"/>
        <v/>
      </c>
      <c r="FE12" s="845">
        <f t="shared" si="24"/>
        <v>0</v>
      </c>
      <c r="FF12" s="846">
        <f t="shared" si="25"/>
        <v>0</v>
      </c>
      <c r="FH12" s="127">
        <f t="shared" si="37"/>
        <v>0</v>
      </c>
    </row>
    <row r="13" spans="1:164" ht="15" customHeight="1" x14ac:dyDescent="0.25">
      <c r="A13" s="403" t="s">
        <v>396</v>
      </c>
      <c r="B13" s="883"/>
      <c r="C13" s="883"/>
      <c r="D13" s="883"/>
      <c r="E13" s="883"/>
      <c r="F13" s="883"/>
      <c r="G13" s="883"/>
      <c r="H13" s="883"/>
      <c r="I13" s="883">
        <v>155</v>
      </c>
      <c r="J13" s="883"/>
      <c r="K13" s="883">
        <v>15</v>
      </c>
      <c r="L13" s="883">
        <v>1</v>
      </c>
      <c r="M13" s="873">
        <v>620</v>
      </c>
      <c r="N13" s="879">
        <f t="shared" si="26"/>
        <v>791</v>
      </c>
      <c r="O13" s="883"/>
      <c r="P13" s="883">
        <v>644</v>
      </c>
      <c r="Q13" s="883">
        <v>1316</v>
      </c>
      <c r="R13" s="883">
        <v>206</v>
      </c>
      <c r="S13" s="883">
        <v>437</v>
      </c>
      <c r="T13" s="883">
        <v>380</v>
      </c>
      <c r="U13" s="883">
        <v>215</v>
      </c>
      <c r="V13" s="883">
        <v>250</v>
      </c>
      <c r="W13" s="883">
        <v>39</v>
      </c>
      <c r="X13" s="883">
        <v>34</v>
      </c>
      <c r="Y13" s="883">
        <v>27</v>
      </c>
      <c r="Z13" s="873">
        <v>104</v>
      </c>
      <c r="AA13" s="879">
        <f t="shared" si="27"/>
        <v>3652</v>
      </c>
      <c r="AB13" s="883"/>
      <c r="AC13" s="883">
        <v>11</v>
      </c>
      <c r="AD13" s="883">
        <v>52</v>
      </c>
      <c r="AE13" s="883">
        <v>65</v>
      </c>
      <c r="AF13" s="883">
        <v>81</v>
      </c>
      <c r="AG13" s="883">
        <v>96</v>
      </c>
      <c r="AH13" s="883">
        <v>352</v>
      </c>
      <c r="AI13" s="883">
        <v>161</v>
      </c>
      <c r="AJ13" s="883">
        <v>16</v>
      </c>
      <c r="AK13" s="883">
        <v>17</v>
      </c>
      <c r="AL13" s="883">
        <v>87</v>
      </c>
      <c r="AM13" s="873">
        <v>309</v>
      </c>
      <c r="AN13" s="879">
        <f t="shared" si="28"/>
        <v>1247</v>
      </c>
      <c r="AO13" s="883"/>
      <c r="AP13" s="883"/>
      <c r="AQ13" s="883">
        <v>10</v>
      </c>
      <c r="AR13" s="883">
        <v>10</v>
      </c>
      <c r="AS13" s="883">
        <v>27</v>
      </c>
      <c r="AT13" s="883">
        <v>61</v>
      </c>
      <c r="AU13" s="883">
        <v>97</v>
      </c>
      <c r="AV13" s="883">
        <v>13</v>
      </c>
      <c r="AW13" s="883">
        <v>108</v>
      </c>
      <c r="AX13" s="883">
        <v>164</v>
      </c>
      <c r="AY13" s="883">
        <v>15</v>
      </c>
      <c r="AZ13" s="873">
        <v>-57</v>
      </c>
      <c r="BA13" s="879">
        <f t="shared" si="29"/>
        <v>448</v>
      </c>
      <c r="BB13" s="883"/>
      <c r="BC13" s="883">
        <v>140</v>
      </c>
      <c r="BD13" s="883">
        <v>7</v>
      </c>
      <c r="BE13" s="883">
        <v>10</v>
      </c>
      <c r="BF13" s="883">
        <v>5</v>
      </c>
      <c r="BG13" s="883"/>
      <c r="BH13" s="883"/>
      <c r="BI13" s="883"/>
      <c r="BJ13" s="883">
        <v>8</v>
      </c>
      <c r="BK13" s="883">
        <v>9</v>
      </c>
      <c r="BL13" s="883">
        <v>63</v>
      </c>
      <c r="BM13" s="873">
        <v>32</v>
      </c>
      <c r="BN13" s="879">
        <f t="shared" si="30"/>
        <v>274</v>
      </c>
      <c r="BO13" s="883"/>
      <c r="BP13" s="883"/>
      <c r="BQ13" s="883"/>
      <c r="BR13" s="883"/>
      <c r="BS13" s="883"/>
      <c r="BT13" s="883"/>
      <c r="BU13" s="883">
        <v>25</v>
      </c>
      <c r="BV13" s="883">
        <v>27</v>
      </c>
      <c r="BW13" s="883">
        <v>28</v>
      </c>
      <c r="BX13" s="883">
        <v>212</v>
      </c>
      <c r="BY13" s="883">
        <v>7</v>
      </c>
      <c r="BZ13" s="873">
        <v>710</v>
      </c>
      <c r="CA13" s="879">
        <f t="shared" si="31"/>
        <v>1009</v>
      </c>
      <c r="CB13" s="883"/>
      <c r="CC13" s="883">
        <v>1035</v>
      </c>
      <c r="CD13" s="883"/>
      <c r="CE13" s="883">
        <v>923</v>
      </c>
      <c r="CF13" s="883">
        <v>310</v>
      </c>
      <c r="CG13" s="883">
        <v>279</v>
      </c>
      <c r="CH13" s="883">
        <v>265</v>
      </c>
      <c r="CI13" s="883">
        <v>131</v>
      </c>
      <c r="CJ13" s="883">
        <v>482</v>
      </c>
      <c r="CK13" s="883">
        <v>100</v>
      </c>
      <c r="CL13" s="883">
        <v>552</v>
      </c>
      <c r="CM13" s="873">
        <v>345</v>
      </c>
      <c r="CN13" s="879">
        <f t="shared" si="32"/>
        <v>4422</v>
      </c>
      <c r="CO13" s="883"/>
      <c r="CP13" s="883"/>
      <c r="CQ13" s="883">
        <v>15</v>
      </c>
      <c r="CR13" s="883">
        <v>11</v>
      </c>
      <c r="CS13" s="883">
        <v>14</v>
      </c>
      <c r="CT13" s="883">
        <v>28</v>
      </c>
      <c r="CU13" s="883">
        <v>10</v>
      </c>
      <c r="CV13" s="883">
        <v>48</v>
      </c>
      <c r="CW13" s="883">
        <v>16</v>
      </c>
      <c r="CX13" s="883">
        <v>16</v>
      </c>
      <c r="CY13" s="883">
        <v>27</v>
      </c>
      <c r="CZ13" s="873">
        <v>166</v>
      </c>
      <c r="DA13" s="879">
        <f t="shared" si="38"/>
        <v>351</v>
      </c>
      <c r="DB13" s="883"/>
      <c r="DC13" s="883"/>
      <c r="DD13" s="883">
        <v>362</v>
      </c>
      <c r="DE13" s="883">
        <v>588</v>
      </c>
      <c r="DF13" s="883">
        <v>144</v>
      </c>
      <c r="DG13" s="883"/>
      <c r="DH13" s="883"/>
      <c r="DI13" s="883">
        <v>17</v>
      </c>
      <c r="DJ13" s="883">
        <v>14</v>
      </c>
      <c r="DK13" s="883">
        <v>355</v>
      </c>
      <c r="DL13" s="883">
        <v>28</v>
      </c>
      <c r="DM13" s="873">
        <v>78</v>
      </c>
      <c r="DN13" s="879">
        <f t="shared" si="33"/>
        <v>1586</v>
      </c>
      <c r="DO13" s="883"/>
      <c r="DP13" s="883"/>
      <c r="DQ13" s="883">
        <v>92</v>
      </c>
      <c r="DR13" s="883"/>
      <c r="DS13" s="883"/>
      <c r="DT13" s="883"/>
      <c r="DU13" s="883">
        <v>3</v>
      </c>
      <c r="DV13" s="883"/>
      <c r="DW13" s="883">
        <v>37</v>
      </c>
      <c r="DX13" s="883">
        <v>11</v>
      </c>
      <c r="DY13" s="883">
        <v>7</v>
      </c>
      <c r="DZ13" s="873">
        <v>132</v>
      </c>
      <c r="EA13" s="879">
        <f t="shared" si="34"/>
        <v>282</v>
      </c>
      <c r="EB13" s="883">
        <v>0</v>
      </c>
      <c r="EC13" s="883">
        <v>0</v>
      </c>
      <c r="ED13" s="883">
        <v>0</v>
      </c>
      <c r="EE13" s="883">
        <v>2</v>
      </c>
      <c r="EF13" s="883">
        <v>0</v>
      </c>
      <c r="EG13" s="883">
        <v>5</v>
      </c>
      <c r="EH13" s="883">
        <v>3</v>
      </c>
      <c r="EI13" s="883">
        <v>9</v>
      </c>
      <c r="EJ13" s="883">
        <v>1097</v>
      </c>
      <c r="EK13" s="883">
        <v>1196</v>
      </c>
      <c r="EL13" s="883">
        <v>423</v>
      </c>
      <c r="EM13" s="873">
        <v>545</v>
      </c>
      <c r="EN13" s="879">
        <f t="shared" si="40"/>
        <v>3280</v>
      </c>
      <c r="EO13" s="883">
        <v>570</v>
      </c>
      <c r="EP13" s="883">
        <v>739</v>
      </c>
      <c r="EQ13" s="883">
        <v>1026</v>
      </c>
      <c r="ER13" s="883">
        <v>954</v>
      </c>
      <c r="ES13" s="883">
        <v>1575</v>
      </c>
      <c r="ET13" s="883">
        <v>3823</v>
      </c>
      <c r="EU13" s="883">
        <v>143</v>
      </c>
      <c r="EV13" s="973">
        <v>2</v>
      </c>
      <c r="EW13" s="883"/>
      <c r="EX13" s="883"/>
      <c r="EY13" s="883"/>
      <c r="EZ13" s="873"/>
      <c r="FA13" s="879">
        <f t="shared" si="36"/>
        <v>8832</v>
      </c>
      <c r="FC13" s="843">
        <f t="shared" si="23"/>
        <v>-77.777777777777786</v>
      </c>
      <c r="FD13" s="844">
        <f t="shared" si="39"/>
        <v>46384.210526315794</v>
      </c>
      <c r="FE13" s="845">
        <f t="shared" si="24"/>
        <v>19</v>
      </c>
      <c r="FF13" s="846">
        <f t="shared" si="25"/>
        <v>8832</v>
      </c>
      <c r="FH13" s="127">
        <f t="shared" si="37"/>
        <v>-7</v>
      </c>
    </row>
    <row r="14" spans="1:164" ht="15" customHeight="1" x14ac:dyDescent="0.25">
      <c r="A14" s="403" t="s">
        <v>662</v>
      </c>
      <c r="B14" s="883"/>
      <c r="C14" s="883"/>
      <c r="D14" s="883"/>
      <c r="E14" s="883"/>
      <c r="F14" s="883"/>
      <c r="G14" s="883"/>
      <c r="H14" s="883"/>
      <c r="I14" s="883">
        <v>27</v>
      </c>
      <c r="J14" s="883">
        <v>11</v>
      </c>
      <c r="K14" s="883">
        <v>15</v>
      </c>
      <c r="L14" s="883"/>
      <c r="M14" s="873"/>
      <c r="N14" s="879">
        <f t="shared" si="26"/>
        <v>53</v>
      </c>
      <c r="O14" s="883"/>
      <c r="P14" s="883"/>
      <c r="Q14" s="883"/>
      <c r="R14" s="883"/>
      <c r="S14" s="883"/>
      <c r="T14" s="883"/>
      <c r="U14" s="883"/>
      <c r="V14" s="883"/>
      <c r="W14" s="883"/>
      <c r="X14" s="883"/>
      <c r="Y14" s="883"/>
      <c r="Z14" s="873"/>
      <c r="AA14" s="879">
        <f t="shared" si="27"/>
        <v>0</v>
      </c>
      <c r="AB14" s="883"/>
      <c r="AC14" s="883"/>
      <c r="AD14" s="883"/>
      <c r="AE14" s="883"/>
      <c r="AF14" s="883"/>
      <c r="AG14" s="883"/>
      <c r="AH14" s="883"/>
      <c r="AI14" s="883"/>
      <c r="AJ14" s="883"/>
      <c r="AK14" s="883"/>
      <c r="AL14" s="883"/>
      <c r="AM14" s="873"/>
      <c r="AN14" s="879">
        <f t="shared" si="28"/>
        <v>0</v>
      </c>
      <c r="AO14" s="883"/>
      <c r="AP14" s="883"/>
      <c r="AQ14" s="883"/>
      <c r="AR14" s="883"/>
      <c r="AS14" s="883"/>
      <c r="AT14" s="883"/>
      <c r="AU14" s="883"/>
      <c r="AV14" s="883"/>
      <c r="AW14" s="883"/>
      <c r="AX14" s="883"/>
      <c r="AY14" s="883">
        <v>301</v>
      </c>
      <c r="AZ14" s="873">
        <v>80</v>
      </c>
      <c r="BA14" s="879">
        <f t="shared" si="29"/>
        <v>381</v>
      </c>
      <c r="BB14" s="883"/>
      <c r="BC14" s="883"/>
      <c r="BD14" s="883"/>
      <c r="BE14" s="883"/>
      <c r="BF14" s="883"/>
      <c r="BG14" s="883"/>
      <c r="BH14" s="883"/>
      <c r="BI14" s="883"/>
      <c r="BJ14" s="883"/>
      <c r="BK14" s="883"/>
      <c r="BL14" s="883"/>
      <c r="BM14" s="873"/>
      <c r="BN14" s="879">
        <f t="shared" si="30"/>
        <v>0</v>
      </c>
      <c r="BO14" s="883"/>
      <c r="BP14" s="883"/>
      <c r="BQ14" s="883"/>
      <c r="BR14" s="883"/>
      <c r="BS14" s="883"/>
      <c r="BT14" s="883"/>
      <c r="BU14" s="883"/>
      <c r="BV14" s="883"/>
      <c r="BW14" s="883"/>
      <c r="BX14" s="883"/>
      <c r="BY14" s="883"/>
      <c r="BZ14" s="873"/>
      <c r="CA14" s="879">
        <f t="shared" si="31"/>
        <v>0</v>
      </c>
      <c r="CB14" s="883"/>
      <c r="CC14" s="883"/>
      <c r="CD14" s="883"/>
      <c r="CE14" s="883"/>
      <c r="CF14" s="883"/>
      <c r="CG14" s="883"/>
      <c r="CH14" s="883"/>
      <c r="CI14" s="883"/>
      <c r="CJ14" s="883"/>
      <c r="CK14" s="883"/>
      <c r="CL14" s="883"/>
      <c r="CM14" s="873"/>
      <c r="CN14" s="879">
        <f t="shared" si="32"/>
        <v>0</v>
      </c>
      <c r="CO14" s="883"/>
      <c r="CP14" s="883"/>
      <c r="CQ14" s="883"/>
      <c r="CR14" s="883"/>
      <c r="CS14" s="883"/>
      <c r="CT14" s="883"/>
      <c r="CU14" s="883"/>
      <c r="CV14" s="883"/>
      <c r="CW14" s="883"/>
      <c r="CX14" s="883"/>
      <c r="CY14" s="883"/>
      <c r="CZ14" s="873"/>
      <c r="DA14" s="879">
        <f t="shared" si="38"/>
        <v>0</v>
      </c>
      <c r="DB14" s="883"/>
      <c r="DC14" s="883"/>
      <c r="DD14" s="883"/>
      <c r="DE14" s="883"/>
      <c r="DF14" s="883"/>
      <c r="DG14" s="883"/>
      <c r="DH14" s="883"/>
      <c r="DI14" s="883"/>
      <c r="DJ14" s="883"/>
      <c r="DK14" s="883"/>
      <c r="DL14" s="883"/>
      <c r="DM14" s="873"/>
      <c r="DN14" s="879">
        <f t="shared" si="33"/>
        <v>0</v>
      </c>
      <c r="DO14" s="883"/>
      <c r="DP14" s="883"/>
      <c r="DQ14" s="883"/>
      <c r="DR14" s="883"/>
      <c r="DS14" s="883"/>
      <c r="DT14" s="883"/>
      <c r="DU14" s="883"/>
      <c r="DV14" s="883"/>
      <c r="DW14" s="883"/>
      <c r="DX14" s="883"/>
      <c r="DY14" s="883"/>
      <c r="DZ14" s="873"/>
      <c r="EA14" s="879">
        <f t="shared" si="34"/>
        <v>0</v>
      </c>
      <c r="EB14" s="883">
        <v>0</v>
      </c>
      <c r="EC14" s="883">
        <v>0</v>
      </c>
      <c r="ED14" s="883">
        <v>0</v>
      </c>
      <c r="EE14" s="883">
        <v>0</v>
      </c>
      <c r="EF14" s="883">
        <v>0</v>
      </c>
      <c r="EG14" s="883">
        <v>0</v>
      </c>
      <c r="EH14" s="883">
        <v>57</v>
      </c>
      <c r="EI14" s="883">
        <v>0</v>
      </c>
      <c r="EJ14" s="883">
        <v>0</v>
      </c>
      <c r="EK14" s="883">
        <v>0</v>
      </c>
      <c r="EL14" s="883">
        <v>0</v>
      </c>
      <c r="EM14" s="873">
        <v>0</v>
      </c>
      <c r="EN14" s="879">
        <f t="shared" si="40"/>
        <v>57</v>
      </c>
      <c r="EO14" s="883">
        <v>0</v>
      </c>
      <c r="EP14" s="883">
        <v>0</v>
      </c>
      <c r="EQ14" s="883">
        <v>0</v>
      </c>
      <c r="ER14" s="883">
        <v>0</v>
      </c>
      <c r="ES14" s="883">
        <v>0</v>
      </c>
      <c r="ET14" s="883">
        <v>27</v>
      </c>
      <c r="EU14" s="883">
        <v>0</v>
      </c>
      <c r="EV14" s="973">
        <v>0</v>
      </c>
      <c r="EW14" s="883"/>
      <c r="EX14" s="883"/>
      <c r="EY14" s="883"/>
      <c r="EZ14" s="873"/>
      <c r="FA14" s="879">
        <f t="shared" si="36"/>
        <v>27</v>
      </c>
      <c r="FC14" s="843" t="str">
        <f t="shared" si="23"/>
        <v/>
      </c>
      <c r="FD14" s="844">
        <f t="shared" si="39"/>
        <v>-52.631578947368432</v>
      </c>
      <c r="FE14" s="845">
        <f t="shared" si="24"/>
        <v>57</v>
      </c>
      <c r="FF14" s="846">
        <f t="shared" si="25"/>
        <v>27</v>
      </c>
      <c r="FH14" s="127">
        <f t="shared" si="37"/>
        <v>0</v>
      </c>
    </row>
    <row r="15" spans="1:164" ht="15" customHeight="1" x14ac:dyDescent="0.25">
      <c r="A15" s="403" t="s">
        <v>397</v>
      </c>
      <c r="B15" s="883">
        <v>1808</v>
      </c>
      <c r="C15" s="883">
        <v>1604</v>
      </c>
      <c r="D15" s="883">
        <v>2234</v>
      </c>
      <c r="E15" s="883">
        <v>2652</v>
      </c>
      <c r="F15" s="883">
        <v>1022</v>
      </c>
      <c r="G15" s="883">
        <v>1137</v>
      </c>
      <c r="H15" s="883">
        <v>2287</v>
      </c>
      <c r="I15" s="883">
        <v>2807</v>
      </c>
      <c r="J15" s="883">
        <v>3910</v>
      </c>
      <c r="K15" s="883">
        <v>4515</v>
      </c>
      <c r="L15" s="883">
        <v>3531</v>
      </c>
      <c r="M15" s="873">
        <v>9546</v>
      </c>
      <c r="N15" s="879">
        <f t="shared" si="26"/>
        <v>37053</v>
      </c>
      <c r="O15" s="883">
        <v>454</v>
      </c>
      <c r="P15" s="883">
        <v>2214</v>
      </c>
      <c r="Q15" s="883">
        <v>3111</v>
      </c>
      <c r="R15" s="883">
        <v>3815</v>
      </c>
      <c r="S15" s="883">
        <v>3287</v>
      </c>
      <c r="T15" s="883">
        <v>3870</v>
      </c>
      <c r="U15" s="883">
        <v>2239</v>
      </c>
      <c r="V15" s="883">
        <v>3913</v>
      </c>
      <c r="W15" s="883">
        <v>2242</v>
      </c>
      <c r="X15" s="883">
        <v>2368</v>
      </c>
      <c r="Y15" s="883">
        <v>2498</v>
      </c>
      <c r="Z15" s="873">
        <v>3719</v>
      </c>
      <c r="AA15" s="879">
        <f t="shared" si="27"/>
        <v>33730</v>
      </c>
      <c r="AB15" s="883">
        <v>54</v>
      </c>
      <c r="AC15" s="883">
        <v>136</v>
      </c>
      <c r="AD15" s="883">
        <v>282</v>
      </c>
      <c r="AE15" s="883">
        <v>1106</v>
      </c>
      <c r="AF15" s="883">
        <v>963</v>
      </c>
      <c r="AG15" s="883">
        <v>2725</v>
      </c>
      <c r="AH15" s="883">
        <v>1119</v>
      </c>
      <c r="AI15" s="883">
        <v>2999</v>
      </c>
      <c r="AJ15" s="883">
        <v>407</v>
      </c>
      <c r="AK15" s="883">
        <v>2090</v>
      </c>
      <c r="AL15" s="883">
        <v>3498</v>
      </c>
      <c r="AM15" s="873">
        <v>7251</v>
      </c>
      <c r="AN15" s="879">
        <f t="shared" si="28"/>
        <v>22630</v>
      </c>
      <c r="AO15" s="883">
        <v>2439</v>
      </c>
      <c r="AP15" s="883">
        <v>1697</v>
      </c>
      <c r="AQ15" s="883">
        <v>2218</v>
      </c>
      <c r="AR15" s="883">
        <v>1645</v>
      </c>
      <c r="AS15" s="883">
        <v>819</v>
      </c>
      <c r="AT15" s="883">
        <v>1210</v>
      </c>
      <c r="AU15" s="883">
        <v>1072</v>
      </c>
      <c r="AV15" s="883">
        <v>845</v>
      </c>
      <c r="AW15" s="883">
        <v>809</v>
      </c>
      <c r="AX15" s="883">
        <v>2509</v>
      </c>
      <c r="AY15" s="883">
        <v>1705</v>
      </c>
      <c r="AZ15" s="873">
        <v>9304</v>
      </c>
      <c r="BA15" s="879">
        <f t="shared" si="29"/>
        <v>26272</v>
      </c>
      <c r="BB15" s="883"/>
      <c r="BC15" s="883">
        <v>17</v>
      </c>
      <c r="BD15" s="883">
        <v>121</v>
      </c>
      <c r="BE15" s="883">
        <v>25</v>
      </c>
      <c r="BF15" s="883">
        <v>100</v>
      </c>
      <c r="BG15" s="883">
        <v>276</v>
      </c>
      <c r="BH15" s="883">
        <v>1042</v>
      </c>
      <c r="BI15" s="883">
        <v>1135</v>
      </c>
      <c r="BJ15" s="883">
        <v>1410</v>
      </c>
      <c r="BK15" s="883">
        <v>3468</v>
      </c>
      <c r="BL15" s="883">
        <v>8792</v>
      </c>
      <c r="BM15" s="873">
        <v>7874</v>
      </c>
      <c r="BN15" s="879">
        <f t="shared" si="30"/>
        <v>24260</v>
      </c>
      <c r="BO15" s="883">
        <v>39</v>
      </c>
      <c r="BP15" s="883">
        <v>144</v>
      </c>
      <c r="BQ15" s="883">
        <v>137</v>
      </c>
      <c r="BR15" s="883">
        <v>19</v>
      </c>
      <c r="BS15" s="883">
        <v>111</v>
      </c>
      <c r="BT15" s="883">
        <v>133</v>
      </c>
      <c r="BU15" s="883">
        <v>98</v>
      </c>
      <c r="BV15" s="883">
        <v>793</v>
      </c>
      <c r="BW15" s="883">
        <v>1823</v>
      </c>
      <c r="BX15" s="883">
        <v>2025</v>
      </c>
      <c r="BY15" s="883">
        <v>1257</v>
      </c>
      <c r="BZ15" s="873">
        <v>2859</v>
      </c>
      <c r="CA15" s="879">
        <f t="shared" si="31"/>
        <v>9438</v>
      </c>
      <c r="CB15" s="883">
        <v>50</v>
      </c>
      <c r="CC15" s="883">
        <v>185</v>
      </c>
      <c r="CD15" s="883">
        <v>343</v>
      </c>
      <c r="CE15" s="883">
        <v>261</v>
      </c>
      <c r="CF15" s="883">
        <v>2214</v>
      </c>
      <c r="CG15" s="883">
        <v>309</v>
      </c>
      <c r="CH15" s="883">
        <v>864</v>
      </c>
      <c r="CI15" s="883">
        <v>796</v>
      </c>
      <c r="CJ15" s="883">
        <v>701</v>
      </c>
      <c r="CK15" s="883">
        <v>834</v>
      </c>
      <c r="CL15" s="883">
        <v>3247</v>
      </c>
      <c r="CM15" s="873">
        <v>5459</v>
      </c>
      <c r="CN15" s="879">
        <f t="shared" si="32"/>
        <v>15263</v>
      </c>
      <c r="CO15" s="883"/>
      <c r="CP15" s="883">
        <v>128</v>
      </c>
      <c r="CQ15" s="883">
        <v>2260</v>
      </c>
      <c r="CR15" s="883">
        <v>669</v>
      </c>
      <c r="CS15" s="883">
        <v>772</v>
      </c>
      <c r="CT15" s="883">
        <v>1337</v>
      </c>
      <c r="CU15" s="883">
        <v>1426</v>
      </c>
      <c r="CV15" s="883">
        <v>1280</v>
      </c>
      <c r="CW15" s="883">
        <v>2596</v>
      </c>
      <c r="CX15" s="883">
        <v>515</v>
      </c>
      <c r="CY15" s="883">
        <v>2386</v>
      </c>
      <c r="CZ15" s="873">
        <v>9626</v>
      </c>
      <c r="DA15" s="879">
        <f t="shared" si="38"/>
        <v>22995</v>
      </c>
      <c r="DB15" s="883">
        <v>556</v>
      </c>
      <c r="DC15" s="883">
        <v>28</v>
      </c>
      <c r="DD15" s="883">
        <v>1759</v>
      </c>
      <c r="DE15" s="883">
        <v>1001</v>
      </c>
      <c r="DF15" s="883">
        <v>4248</v>
      </c>
      <c r="DG15" s="883">
        <v>718</v>
      </c>
      <c r="DH15" s="883">
        <v>1190</v>
      </c>
      <c r="DI15" s="883">
        <v>3799</v>
      </c>
      <c r="DJ15" s="883">
        <v>882</v>
      </c>
      <c r="DK15" s="883">
        <v>1756</v>
      </c>
      <c r="DL15" s="883">
        <v>3030</v>
      </c>
      <c r="DM15" s="873">
        <v>12594</v>
      </c>
      <c r="DN15" s="879">
        <f t="shared" si="33"/>
        <v>31561</v>
      </c>
      <c r="DO15" s="883">
        <v>364</v>
      </c>
      <c r="DP15" s="883">
        <v>532</v>
      </c>
      <c r="DQ15" s="883">
        <v>1557</v>
      </c>
      <c r="DR15" s="883">
        <v>2348</v>
      </c>
      <c r="DS15" s="883">
        <v>1558</v>
      </c>
      <c r="DT15" s="883">
        <v>12384</v>
      </c>
      <c r="DU15" s="883">
        <v>2245</v>
      </c>
      <c r="DV15" s="883">
        <v>2815</v>
      </c>
      <c r="DW15" s="883">
        <v>7337</v>
      </c>
      <c r="DX15" s="883">
        <v>22258</v>
      </c>
      <c r="DY15" s="883">
        <v>14450</v>
      </c>
      <c r="DZ15" s="873">
        <v>18958</v>
      </c>
      <c r="EA15" s="879">
        <f t="shared" si="34"/>
        <v>86806</v>
      </c>
      <c r="EB15" s="883">
        <v>95</v>
      </c>
      <c r="EC15" s="883">
        <v>4773</v>
      </c>
      <c r="ED15" s="883">
        <v>7371</v>
      </c>
      <c r="EE15" s="883">
        <v>8029</v>
      </c>
      <c r="EF15" s="883">
        <v>5126</v>
      </c>
      <c r="EG15" s="883">
        <v>8571</v>
      </c>
      <c r="EH15" s="883">
        <v>2781</v>
      </c>
      <c r="EI15" s="883">
        <v>1556</v>
      </c>
      <c r="EJ15" s="883">
        <v>605</v>
      </c>
      <c r="EK15" s="883">
        <v>3946</v>
      </c>
      <c r="EL15" s="883">
        <v>2167</v>
      </c>
      <c r="EM15" s="873">
        <v>10043</v>
      </c>
      <c r="EN15" s="879">
        <f t="shared" si="40"/>
        <v>55063</v>
      </c>
      <c r="EO15" s="883">
        <v>0</v>
      </c>
      <c r="EP15" s="883">
        <v>3147</v>
      </c>
      <c r="EQ15" s="883">
        <v>2968</v>
      </c>
      <c r="ER15" s="883">
        <v>2786</v>
      </c>
      <c r="ES15" s="883">
        <v>1898</v>
      </c>
      <c r="ET15" s="883">
        <v>1325</v>
      </c>
      <c r="EU15" s="883">
        <v>2066</v>
      </c>
      <c r="EV15" s="973">
        <v>215</v>
      </c>
      <c r="EW15" s="883"/>
      <c r="EX15" s="883"/>
      <c r="EY15" s="883"/>
      <c r="EZ15" s="873"/>
      <c r="FA15" s="879">
        <f t="shared" si="36"/>
        <v>14405</v>
      </c>
      <c r="FC15" s="843">
        <f t="shared" si="23"/>
        <v>-86.182519280205668</v>
      </c>
      <c r="FD15" s="844">
        <f t="shared" si="39"/>
        <v>-62.390997859119636</v>
      </c>
      <c r="FE15" s="845">
        <f t="shared" si="24"/>
        <v>38302</v>
      </c>
      <c r="FF15" s="846">
        <f t="shared" si="25"/>
        <v>14405</v>
      </c>
      <c r="FH15" s="954">
        <f t="shared" si="37"/>
        <v>-1341</v>
      </c>
    </row>
    <row r="16" spans="1:164" ht="15" customHeight="1" x14ac:dyDescent="0.25">
      <c r="A16" s="403" t="s">
        <v>663</v>
      </c>
      <c r="B16" s="883"/>
      <c r="C16" s="883"/>
      <c r="D16" s="883"/>
      <c r="E16" s="883"/>
      <c r="F16" s="883"/>
      <c r="G16" s="883">
        <v>12</v>
      </c>
      <c r="H16" s="883"/>
      <c r="I16" s="883"/>
      <c r="J16" s="883"/>
      <c r="K16" s="883"/>
      <c r="L16" s="883"/>
      <c r="M16" s="873">
        <v>23</v>
      </c>
      <c r="N16" s="879">
        <f t="shared" si="26"/>
        <v>35</v>
      </c>
      <c r="O16" s="883"/>
      <c r="P16" s="883"/>
      <c r="Q16" s="883"/>
      <c r="R16" s="883"/>
      <c r="S16" s="883"/>
      <c r="T16" s="883"/>
      <c r="U16" s="883"/>
      <c r="V16" s="883"/>
      <c r="W16" s="883"/>
      <c r="X16" s="883"/>
      <c r="Y16" s="883"/>
      <c r="Z16" s="873">
        <v>14</v>
      </c>
      <c r="AA16" s="879">
        <f t="shared" si="27"/>
        <v>14</v>
      </c>
      <c r="AB16" s="883"/>
      <c r="AC16" s="883"/>
      <c r="AD16" s="883"/>
      <c r="AE16" s="883"/>
      <c r="AF16" s="883"/>
      <c r="AG16" s="883"/>
      <c r="AH16" s="883">
        <v>3</v>
      </c>
      <c r="AI16" s="883"/>
      <c r="AJ16" s="883"/>
      <c r="AK16" s="883"/>
      <c r="AL16" s="883"/>
      <c r="AM16" s="873">
        <v>79</v>
      </c>
      <c r="AN16" s="879">
        <f t="shared" si="28"/>
        <v>82</v>
      </c>
      <c r="AO16" s="883"/>
      <c r="AP16" s="883"/>
      <c r="AQ16" s="883"/>
      <c r="AR16" s="883"/>
      <c r="AS16" s="883"/>
      <c r="AT16" s="883"/>
      <c r="AU16" s="883"/>
      <c r="AV16" s="883">
        <v>3</v>
      </c>
      <c r="AW16" s="883"/>
      <c r="AX16" s="883"/>
      <c r="AY16" s="883"/>
      <c r="AZ16" s="873"/>
      <c r="BA16" s="879">
        <f t="shared" si="29"/>
        <v>3</v>
      </c>
      <c r="BB16" s="883"/>
      <c r="BC16" s="883"/>
      <c r="BD16" s="883"/>
      <c r="BE16" s="883"/>
      <c r="BF16" s="883"/>
      <c r="BG16" s="883"/>
      <c r="BH16" s="883"/>
      <c r="BI16" s="883"/>
      <c r="BJ16" s="883">
        <v>14</v>
      </c>
      <c r="BK16" s="883">
        <v>54</v>
      </c>
      <c r="BL16" s="883">
        <v>2</v>
      </c>
      <c r="BM16" s="873">
        <v>56</v>
      </c>
      <c r="BN16" s="879">
        <f t="shared" si="30"/>
        <v>126</v>
      </c>
      <c r="BO16" s="883"/>
      <c r="BP16" s="883"/>
      <c r="BQ16" s="883"/>
      <c r="BR16" s="883"/>
      <c r="BS16" s="883"/>
      <c r="BT16" s="883"/>
      <c r="BU16" s="883"/>
      <c r="BV16" s="883"/>
      <c r="BW16" s="883"/>
      <c r="BX16" s="883"/>
      <c r="BY16" s="883"/>
      <c r="BZ16" s="873"/>
      <c r="CA16" s="879">
        <f t="shared" si="31"/>
        <v>0</v>
      </c>
      <c r="CB16" s="883"/>
      <c r="CC16" s="883"/>
      <c r="CD16" s="883"/>
      <c r="CE16" s="883"/>
      <c r="CF16" s="883"/>
      <c r="CG16" s="883"/>
      <c r="CH16" s="883"/>
      <c r="CI16" s="883"/>
      <c r="CJ16" s="883">
        <v>2</v>
      </c>
      <c r="CK16" s="883"/>
      <c r="CL16" s="883"/>
      <c r="CM16" s="873">
        <v>14</v>
      </c>
      <c r="CN16" s="879">
        <f t="shared" si="32"/>
        <v>16</v>
      </c>
      <c r="CO16" s="883"/>
      <c r="CP16" s="883"/>
      <c r="CQ16" s="883"/>
      <c r="CR16" s="883"/>
      <c r="CS16" s="883"/>
      <c r="CT16" s="883"/>
      <c r="CU16" s="883"/>
      <c r="CV16" s="883"/>
      <c r="CW16" s="883"/>
      <c r="CX16" s="883">
        <v>2</v>
      </c>
      <c r="CY16" s="883">
        <v>5</v>
      </c>
      <c r="CZ16" s="873">
        <v>38</v>
      </c>
      <c r="DA16" s="879">
        <f t="shared" si="38"/>
        <v>45</v>
      </c>
      <c r="DB16" s="883"/>
      <c r="DC16" s="883"/>
      <c r="DD16" s="883"/>
      <c r="DE16" s="883">
        <v>3</v>
      </c>
      <c r="DF16" s="883">
        <v>92</v>
      </c>
      <c r="DG16" s="883"/>
      <c r="DH16" s="883">
        <v>1</v>
      </c>
      <c r="DI16" s="883"/>
      <c r="DJ16" s="883"/>
      <c r="DK16" s="883"/>
      <c r="DL16" s="883">
        <v>16</v>
      </c>
      <c r="DM16" s="873">
        <v>3</v>
      </c>
      <c r="DN16" s="879">
        <f t="shared" si="33"/>
        <v>115</v>
      </c>
      <c r="DO16" s="883"/>
      <c r="DP16" s="883"/>
      <c r="DQ16" s="883"/>
      <c r="DR16" s="883">
        <v>5</v>
      </c>
      <c r="DS16" s="883"/>
      <c r="DT16" s="883"/>
      <c r="DU16" s="883"/>
      <c r="DV16" s="883">
        <v>2</v>
      </c>
      <c r="DW16" s="883"/>
      <c r="DX16" s="883"/>
      <c r="DY16" s="883"/>
      <c r="DZ16" s="873">
        <v>2</v>
      </c>
      <c r="EA16" s="879">
        <f t="shared" si="34"/>
        <v>9</v>
      </c>
      <c r="EB16" s="883">
        <v>0</v>
      </c>
      <c r="EC16" s="883">
        <v>0</v>
      </c>
      <c r="ED16" s="883">
        <v>0</v>
      </c>
      <c r="EE16" s="883">
        <v>0</v>
      </c>
      <c r="EF16" s="883">
        <v>0</v>
      </c>
      <c r="EG16" s="883">
        <v>0</v>
      </c>
      <c r="EH16" s="883">
        <v>0</v>
      </c>
      <c r="EI16" s="883">
        <v>5</v>
      </c>
      <c r="EJ16" s="883">
        <v>0</v>
      </c>
      <c r="EK16" s="883">
        <v>0</v>
      </c>
      <c r="EL16" s="883">
        <v>0</v>
      </c>
      <c r="EM16" s="873">
        <v>0</v>
      </c>
      <c r="EN16" s="879">
        <f t="shared" si="40"/>
        <v>5</v>
      </c>
      <c r="EO16" s="883">
        <v>0</v>
      </c>
      <c r="EP16" s="883">
        <v>0</v>
      </c>
      <c r="EQ16" s="883">
        <v>0</v>
      </c>
      <c r="ER16" s="883">
        <v>0</v>
      </c>
      <c r="ES16" s="883">
        <v>8</v>
      </c>
      <c r="ET16" s="883">
        <v>0</v>
      </c>
      <c r="EU16" s="883">
        <v>0</v>
      </c>
      <c r="EV16" s="973">
        <v>0</v>
      </c>
      <c r="EW16" s="883"/>
      <c r="EX16" s="883"/>
      <c r="EY16" s="883"/>
      <c r="EZ16" s="873"/>
      <c r="FA16" s="879">
        <f t="shared" si="36"/>
        <v>8</v>
      </c>
      <c r="FC16" s="843">
        <f t="shared" si="23"/>
        <v>-100</v>
      </c>
      <c r="FD16" s="844">
        <f t="shared" si="39"/>
        <v>60.000000000000007</v>
      </c>
      <c r="FE16" s="845">
        <f t="shared" si="24"/>
        <v>5</v>
      </c>
      <c r="FF16" s="846">
        <f t="shared" si="25"/>
        <v>8</v>
      </c>
      <c r="FH16" s="127">
        <f t="shared" si="37"/>
        <v>-5</v>
      </c>
    </row>
    <row r="17" spans="1:164" ht="15" customHeight="1" x14ac:dyDescent="0.25">
      <c r="A17" s="403" t="s">
        <v>398</v>
      </c>
      <c r="B17" s="883">
        <v>449</v>
      </c>
      <c r="C17" s="883"/>
      <c r="D17" s="883">
        <v>145</v>
      </c>
      <c r="E17" s="883">
        <v>13</v>
      </c>
      <c r="F17" s="883">
        <v>31</v>
      </c>
      <c r="G17" s="883"/>
      <c r="H17" s="883"/>
      <c r="I17" s="883">
        <v>7</v>
      </c>
      <c r="J17" s="883">
        <v>6</v>
      </c>
      <c r="K17" s="883"/>
      <c r="L17" s="883"/>
      <c r="M17" s="873"/>
      <c r="N17" s="879">
        <f t="shared" si="26"/>
        <v>651</v>
      </c>
      <c r="O17" s="883"/>
      <c r="P17" s="883"/>
      <c r="Q17" s="883">
        <v>210</v>
      </c>
      <c r="R17" s="883">
        <v>280</v>
      </c>
      <c r="S17" s="883">
        <v>402</v>
      </c>
      <c r="T17" s="883"/>
      <c r="U17" s="883"/>
      <c r="V17" s="883"/>
      <c r="W17" s="883">
        <v>139</v>
      </c>
      <c r="X17" s="883">
        <v>125</v>
      </c>
      <c r="Y17" s="883"/>
      <c r="Z17" s="873">
        <v>10</v>
      </c>
      <c r="AA17" s="879">
        <f t="shared" si="27"/>
        <v>1166</v>
      </c>
      <c r="AB17" s="883"/>
      <c r="AC17" s="883">
        <v>136</v>
      </c>
      <c r="AD17" s="883">
        <v>833</v>
      </c>
      <c r="AE17" s="883">
        <v>18</v>
      </c>
      <c r="AF17" s="883">
        <v>835</v>
      </c>
      <c r="AG17" s="883">
        <v>83</v>
      </c>
      <c r="AH17" s="883">
        <v>1726</v>
      </c>
      <c r="AI17" s="883">
        <v>324</v>
      </c>
      <c r="AJ17" s="883">
        <v>391</v>
      </c>
      <c r="AK17" s="883">
        <v>299</v>
      </c>
      <c r="AL17" s="883">
        <v>834</v>
      </c>
      <c r="AM17" s="873">
        <v>887</v>
      </c>
      <c r="AN17" s="879">
        <f t="shared" si="28"/>
        <v>6366</v>
      </c>
      <c r="AO17" s="883">
        <v>517</v>
      </c>
      <c r="AP17" s="883">
        <v>618</v>
      </c>
      <c r="AQ17" s="883"/>
      <c r="AR17" s="883">
        <v>1130</v>
      </c>
      <c r="AS17" s="883">
        <v>721</v>
      </c>
      <c r="AT17" s="883">
        <v>752</v>
      </c>
      <c r="AU17" s="883">
        <v>325</v>
      </c>
      <c r="AV17" s="883">
        <v>15</v>
      </c>
      <c r="AW17" s="883">
        <v>51</v>
      </c>
      <c r="AX17" s="883">
        <v>5</v>
      </c>
      <c r="AY17" s="883"/>
      <c r="AZ17" s="873">
        <v>688</v>
      </c>
      <c r="BA17" s="879">
        <f t="shared" si="29"/>
        <v>4822</v>
      </c>
      <c r="BB17" s="883"/>
      <c r="BC17" s="883">
        <v>43</v>
      </c>
      <c r="BD17" s="883"/>
      <c r="BE17" s="883"/>
      <c r="BF17" s="883"/>
      <c r="BG17" s="883"/>
      <c r="BH17" s="883"/>
      <c r="BI17" s="883">
        <v>119</v>
      </c>
      <c r="BJ17" s="883">
        <v>386</v>
      </c>
      <c r="BK17" s="883">
        <v>113</v>
      </c>
      <c r="BL17" s="883">
        <v>160</v>
      </c>
      <c r="BM17" s="873">
        <v>135</v>
      </c>
      <c r="BN17" s="879">
        <f t="shared" si="30"/>
        <v>956</v>
      </c>
      <c r="BO17" s="883"/>
      <c r="BP17" s="883"/>
      <c r="BQ17" s="883"/>
      <c r="BR17" s="883"/>
      <c r="BS17" s="883"/>
      <c r="BT17" s="883"/>
      <c r="BU17" s="883"/>
      <c r="BV17" s="883"/>
      <c r="BW17" s="883"/>
      <c r="BX17" s="883"/>
      <c r="BY17" s="883"/>
      <c r="BZ17" s="873"/>
      <c r="CA17" s="879">
        <f t="shared" si="31"/>
        <v>0</v>
      </c>
      <c r="CB17" s="883"/>
      <c r="CC17" s="883"/>
      <c r="CD17" s="883"/>
      <c r="CE17" s="883"/>
      <c r="CF17" s="883"/>
      <c r="CG17" s="883"/>
      <c r="CH17" s="883"/>
      <c r="CI17" s="883"/>
      <c r="CJ17" s="883"/>
      <c r="CK17" s="883"/>
      <c r="CL17" s="883"/>
      <c r="CM17" s="873"/>
      <c r="CN17" s="879">
        <f t="shared" si="32"/>
        <v>0</v>
      </c>
      <c r="CO17" s="883"/>
      <c r="CP17" s="883"/>
      <c r="CQ17" s="883"/>
      <c r="CR17" s="883"/>
      <c r="CS17" s="883"/>
      <c r="CT17" s="883"/>
      <c r="CU17" s="883">
        <v>1241</v>
      </c>
      <c r="CV17" s="883">
        <v>2481</v>
      </c>
      <c r="CW17" s="883"/>
      <c r="CX17" s="883"/>
      <c r="CY17" s="883">
        <v>414</v>
      </c>
      <c r="CZ17" s="873"/>
      <c r="DA17" s="879">
        <f t="shared" si="38"/>
        <v>4136</v>
      </c>
      <c r="DB17" s="883"/>
      <c r="DC17" s="883"/>
      <c r="DD17" s="883">
        <v>90</v>
      </c>
      <c r="DE17" s="883">
        <v>13</v>
      </c>
      <c r="DF17" s="883">
        <v>114</v>
      </c>
      <c r="DG17" s="883">
        <v>202</v>
      </c>
      <c r="DH17" s="883">
        <v>340</v>
      </c>
      <c r="DI17" s="883">
        <v>123</v>
      </c>
      <c r="DJ17" s="883">
        <v>360</v>
      </c>
      <c r="DK17" s="883">
        <v>248</v>
      </c>
      <c r="DL17" s="883">
        <v>955</v>
      </c>
      <c r="DM17" s="873">
        <v>84</v>
      </c>
      <c r="DN17" s="879">
        <f t="shared" si="33"/>
        <v>2529</v>
      </c>
      <c r="DO17" s="883">
        <v>1490</v>
      </c>
      <c r="DP17" s="883">
        <v>3095</v>
      </c>
      <c r="DQ17" s="883">
        <v>1294</v>
      </c>
      <c r="DR17" s="883">
        <v>1000</v>
      </c>
      <c r="DS17" s="883">
        <v>152</v>
      </c>
      <c r="DT17" s="883">
        <v>295</v>
      </c>
      <c r="DU17" s="883">
        <v>143</v>
      </c>
      <c r="DV17" s="883"/>
      <c r="DW17" s="883"/>
      <c r="DX17" s="883"/>
      <c r="DY17" s="883">
        <v>64</v>
      </c>
      <c r="DZ17" s="873">
        <v>123</v>
      </c>
      <c r="EA17" s="879">
        <f t="shared" si="34"/>
        <v>7656</v>
      </c>
      <c r="EB17" s="883">
        <v>140</v>
      </c>
      <c r="EC17" s="883">
        <v>199</v>
      </c>
      <c r="ED17" s="883">
        <v>0</v>
      </c>
      <c r="EE17" s="883">
        <v>2</v>
      </c>
      <c r="EF17" s="883">
        <v>0</v>
      </c>
      <c r="EG17" s="883">
        <v>187</v>
      </c>
      <c r="EH17" s="883">
        <v>0</v>
      </c>
      <c r="EI17" s="883">
        <v>0</v>
      </c>
      <c r="EJ17" s="883">
        <v>0</v>
      </c>
      <c r="EK17" s="883">
        <v>54</v>
      </c>
      <c r="EL17" s="883">
        <v>77</v>
      </c>
      <c r="EM17" s="873">
        <v>191</v>
      </c>
      <c r="EN17" s="879">
        <f t="shared" si="40"/>
        <v>850</v>
      </c>
      <c r="EO17" s="883">
        <v>0</v>
      </c>
      <c r="EP17" s="883">
        <v>0</v>
      </c>
      <c r="EQ17" s="883">
        <v>0</v>
      </c>
      <c r="ER17" s="883">
        <v>0</v>
      </c>
      <c r="ES17" s="883">
        <v>66</v>
      </c>
      <c r="ET17" s="883">
        <v>3</v>
      </c>
      <c r="EU17" s="883">
        <v>77</v>
      </c>
      <c r="EV17" s="973">
        <v>2</v>
      </c>
      <c r="EW17" s="883"/>
      <c r="EX17" s="883"/>
      <c r="EY17" s="883"/>
      <c r="EZ17" s="873"/>
      <c r="FA17" s="879">
        <f t="shared" si="36"/>
        <v>148</v>
      </c>
      <c r="FC17" s="843" t="str">
        <f t="shared" si="23"/>
        <v/>
      </c>
      <c r="FD17" s="844">
        <f t="shared" si="39"/>
        <v>-71.969696969696969</v>
      </c>
      <c r="FE17" s="845">
        <f t="shared" si="24"/>
        <v>528</v>
      </c>
      <c r="FF17" s="846">
        <f t="shared" si="25"/>
        <v>148</v>
      </c>
      <c r="FH17" s="127">
        <f t="shared" si="37"/>
        <v>2</v>
      </c>
    </row>
    <row r="18" spans="1:164" ht="15" customHeight="1" x14ac:dyDescent="0.25">
      <c r="A18" s="403" t="s">
        <v>399</v>
      </c>
      <c r="B18" s="883"/>
      <c r="C18" s="883"/>
      <c r="D18" s="883"/>
      <c r="E18" s="883"/>
      <c r="F18" s="883"/>
      <c r="G18" s="883"/>
      <c r="H18" s="883"/>
      <c r="I18" s="883"/>
      <c r="J18" s="883"/>
      <c r="K18" s="883"/>
      <c r="L18" s="883"/>
      <c r="M18" s="873"/>
      <c r="N18" s="879">
        <f t="shared" si="26"/>
        <v>0</v>
      </c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73"/>
      <c r="AA18" s="879">
        <f t="shared" si="27"/>
        <v>0</v>
      </c>
      <c r="AB18" s="883"/>
      <c r="AC18" s="883"/>
      <c r="AD18" s="883"/>
      <c r="AE18" s="883"/>
      <c r="AF18" s="883"/>
      <c r="AG18" s="883"/>
      <c r="AH18" s="883"/>
      <c r="AI18" s="883"/>
      <c r="AJ18" s="883"/>
      <c r="AK18" s="883"/>
      <c r="AL18" s="883"/>
      <c r="AM18" s="873"/>
      <c r="AN18" s="879">
        <f t="shared" si="28"/>
        <v>0</v>
      </c>
      <c r="AO18" s="883"/>
      <c r="AP18" s="883"/>
      <c r="AQ18" s="883"/>
      <c r="AR18" s="883"/>
      <c r="AS18" s="883"/>
      <c r="AT18" s="883"/>
      <c r="AU18" s="883"/>
      <c r="AV18" s="883"/>
      <c r="AW18" s="883"/>
      <c r="AX18" s="883"/>
      <c r="AY18" s="883"/>
      <c r="AZ18" s="873"/>
      <c r="BA18" s="879">
        <f t="shared" si="29"/>
        <v>0</v>
      </c>
      <c r="BB18" s="883"/>
      <c r="BC18" s="883"/>
      <c r="BD18" s="883"/>
      <c r="BE18" s="883"/>
      <c r="BF18" s="883"/>
      <c r="BG18" s="883"/>
      <c r="BH18" s="883"/>
      <c r="BI18" s="883"/>
      <c r="BJ18" s="883"/>
      <c r="BK18" s="883"/>
      <c r="BL18" s="883"/>
      <c r="BM18" s="873"/>
      <c r="BN18" s="879">
        <f t="shared" si="30"/>
        <v>0</v>
      </c>
      <c r="BO18" s="883"/>
      <c r="BP18" s="883"/>
      <c r="BQ18" s="883"/>
      <c r="BR18" s="883"/>
      <c r="BS18" s="883"/>
      <c r="BT18" s="883"/>
      <c r="BU18" s="883"/>
      <c r="BV18" s="883"/>
      <c r="BW18" s="883"/>
      <c r="BX18" s="883"/>
      <c r="BY18" s="883"/>
      <c r="BZ18" s="873"/>
      <c r="CA18" s="879">
        <f t="shared" si="31"/>
        <v>0</v>
      </c>
      <c r="CB18" s="883"/>
      <c r="CC18" s="883"/>
      <c r="CD18" s="883"/>
      <c r="CE18" s="883"/>
      <c r="CF18" s="883">
        <v>12</v>
      </c>
      <c r="CG18" s="883">
        <v>12</v>
      </c>
      <c r="CH18" s="883">
        <v>1</v>
      </c>
      <c r="CI18" s="883">
        <v>2</v>
      </c>
      <c r="CJ18" s="883">
        <v>4</v>
      </c>
      <c r="CK18" s="883">
        <v>2</v>
      </c>
      <c r="CL18" s="883">
        <v>2</v>
      </c>
      <c r="CM18" s="873">
        <v>3</v>
      </c>
      <c r="CN18" s="879">
        <f t="shared" si="32"/>
        <v>38</v>
      </c>
      <c r="CO18" s="883"/>
      <c r="CP18" s="883"/>
      <c r="CQ18" s="883"/>
      <c r="CR18" s="883"/>
      <c r="CS18" s="883"/>
      <c r="CT18" s="883"/>
      <c r="CU18" s="883"/>
      <c r="CV18" s="883"/>
      <c r="CW18" s="883">
        <v>19</v>
      </c>
      <c r="CX18" s="883">
        <v>22</v>
      </c>
      <c r="CY18" s="883"/>
      <c r="CZ18" s="873"/>
      <c r="DA18" s="879">
        <f t="shared" si="38"/>
        <v>41</v>
      </c>
      <c r="DB18" s="883"/>
      <c r="DC18" s="883"/>
      <c r="DD18" s="883"/>
      <c r="DE18" s="883">
        <v>87</v>
      </c>
      <c r="DF18" s="883"/>
      <c r="DG18" s="883"/>
      <c r="DH18" s="883"/>
      <c r="DI18" s="883">
        <v>1</v>
      </c>
      <c r="DJ18" s="883"/>
      <c r="DK18" s="883"/>
      <c r="DL18" s="883"/>
      <c r="DM18" s="873"/>
      <c r="DN18" s="879">
        <f t="shared" si="33"/>
        <v>88</v>
      </c>
      <c r="DO18" s="883"/>
      <c r="DP18" s="883"/>
      <c r="DQ18" s="883"/>
      <c r="DR18" s="883"/>
      <c r="DS18" s="883"/>
      <c r="DT18" s="883"/>
      <c r="DU18" s="883"/>
      <c r="DV18" s="883"/>
      <c r="DW18" s="883"/>
      <c r="DX18" s="883"/>
      <c r="DY18" s="883"/>
      <c r="DZ18" s="873"/>
      <c r="EA18" s="879">
        <f t="shared" si="34"/>
        <v>0</v>
      </c>
      <c r="EB18" s="883">
        <v>0</v>
      </c>
      <c r="EC18" s="883">
        <v>0</v>
      </c>
      <c r="ED18" s="883">
        <v>0</v>
      </c>
      <c r="EE18" s="883">
        <v>0</v>
      </c>
      <c r="EF18" s="883">
        <v>0</v>
      </c>
      <c r="EG18" s="883">
        <v>0</v>
      </c>
      <c r="EH18" s="883">
        <v>0</v>
      </c>
      <c r="EI18" s="883">
        <v>0</v>
      </c>
      <c r="EJ18" s="883">
        <v>0</v>
      </c>
      <c r="EK18" s="883">
        <v>0</v>
      </c>
      <c r="EL18" s="883">
        <v>0</v>
      </c>
      <c r="EM18" s="873">
        <v>0</v>
      </c>
      <c r="EN18" s="879">
        <f t="shared" si="40"/>
        <v>0</v>
      </c>
      <c r="EO18" s="883">
        <v>0</v>
      </c>
      <c r="EP18" s="883">
        <v>0</v>
      </c>
      <c r="EQ18" s="883">
        <v>0</v>
      </c>
      <c r="ER18" s="883">
        <v>0</v>
      </c>
      <c r="ES18" s="883">
        <v>0</v>
      </c>
      <c r="ET18" s="883">
        <v>0</v>
      </c>
      <c r="EU18" s="883">
        <v>0</v>
      </c>
      <c r="EV18" s="973">
        <v>0</v>
      </c>
      <c r="EW18" s="883"/>
      <c r="EX18" s="883"/>
      <c r="EY18" s="883"/>
      <c r="EZ18" s="873"/>
      <c r="FA18" s="879">
        <f t="shared" si="36"/>
        <v>0</v>
      </c>
      <c r="FC18" s="843" t="str">
        <f t="shared" si="23"/>
        <v/>
      </c>
      <c r="FD18" s="844" t="str">
        <f t="shared" si="39"/>
        <v/>
      </c>
      <c r="FE18" s="845">
        <f t="shared" si="24"/>
        <v>0</v>
      </c>
      <c r="FF18" s="846">
        <f t="shared" si="25"/>
        <v>0</v>
      </c>
      <c r="FH18" s="127">
        <f t="shared" si="37"/>
        <v>0</v>
      </c>
    </row>
    <row r="19" spans="1:164" ht="15" customHeight="1" x14ac:dyDescent="0.25">
      <c r="A19" s="403" t="s">
        <v>400</v>
      </c>
      <c r="B19" s="883"/>
      <c r="C19" s="883"/>
      <c r="D19" s="883"/>
      <c r="E19" s="883"/>
      <c r="F19" s="883"/>
      <c r="G19" s="883"/>
      <c r="H19" s="883"/>
      <c r="I19" s="883"/>
      <c r="J19" s="883"/>
      <c r="K19" s="883"/>
      <c r="L19" s="883"/>
      <c r="M19" s="873"/>
      <c r="N19" s="879">
        <f t="shared" si="26"/>
        <v>0</v>
      </c>
      <c r="O19" s="883"/>
      <c r="P19" s="883"/>
      <c r="Q19" s="883"/>
      <c r="R19" s="883"/>
      <c r="S19" s="883"/>
      <c r="T19" s="883"/>
      <c r="U19" s="883"/>
      <c r="V19" s="883"/>
      <c r="W19" s="883"/>
      <c r="X19" s="883"/>
      <c r="Y19" s="883"/>
      <c r="Z19" s="873"/>
      <c r="AA19" s="879">
        <f t="shared" si="27"/>
        <v>0</v>
      </c>
      <c r="AB19" s="883"/>
      <c r="AC19" s="883"/>
      <c r="AD19" s="883"/>
      <c r="AE19" s="883"/>
      <c r="AF19" s="883"/>
      <c r="AG19" s="883"/>
      <c r="AH19" s="883"/>
      <c r="AI19" s="883"/>
      <c r="AJ19" s="883"/>
      <c r="AK19" s="883"/>
      <c r="AL19" s="883"/>
      <c r="AM19" s="873"/>
      <c r="AN19" s="879">
        <f t="shared" si="28"/>
        <v>0</v>
      </c>
      <c r="AO19" s="883"/>
      <c r="AP19" s="883"/>
      <c r="AQ19" s="883"/>
      <c r="AR19" s="883"/>
      <c r="AS19" s="883"/>
      <c r="AT19" s="883"/>
      <c r="AU19" s="883"/>
      <c r="AV19" s="883"/>
      <c r="AW19" s="883"/>
      <c r="AX19" s="883"/>
      <c r="AY19" s="883"/>
      <c r="AZ19" s="873"/>
      <c r="BA19" s="879">
        <f t="shared" si="29"/>
        <v>0</v>
      </c>
      <c r="BB19" s="883"/>
      <c r="BC19" s="883"/>
      <c r="BD19" s="883"/>
      <c r="BE19" s="883"/>
      <c r="BF19" s="883"/>
      <c r="BG19" s="883"/>
      <c r="BH19" s="883"/>
      <c r="BI19" s="883"/>
      <c r="BJ19" s="883"/>
      <c r="BK19" s="883"/>
      <c r="BL19" s="883"/>
      <c r="BM19" s="873"/>
      <c r="BN19" s="879">
        <f t="shared" si="30"/>
        <v>0</v>
      </c>
      <c r="BO19" s="883"/>
      <c r="BP19" s="883"/>
      <c r="BQ19" s="883"/>
      <c r="BR19" s="883"/>
      <c r="BS19" s="883"/>
      <c r="BT19" s="883"/>
      <c r="BU19" s="883"/>
      <c r="BV19" s="883"/>
      <c r="BW19" s="883"/>
      <c r="BX19" s="883"/>
      <c r="BY19" s="883"/>
      <c r="BZ19" s="873">
        <v>134</v>
      </c>
      <c r="CA19" s="879">
        <f t="shared" si="31"/>
        <v>134</v>
      </c>
      <c r="CB19" s="883"/>
      <c r="CC19" s="883"/>
      <c r="CD19" s="883">
        <v>19</v>
      </c>
      <c r="CE19" s="883">
        <v>7</v>
      </c>
      <c r="CF19" s="883">
        <v>8</v>
      </c>
      <c r="CG19" s="883">
        <v>16</v>
      </c>
      <c r="CH19" s="883">
        <v>23</v>
      </c>
      <c r="CI19" s="883">
        <v>13</v>
      </c>
      <c r="CJ19" s="883">
        <v>20</v>
      </c>
      <c r="CK19" s="883">
        <v>23</v>
      </c>
      <c r="CL19" s="883">
        <v>44</v>
      </c>
      <c r="CM19" s="873">
        <v>50</v>
      </c>
      <c r="CN19" s="879">
        <f t="shared" si="32"/>
        <v>223</v>
      </c>
      <c r="CO19" s="883"/>
      <c r="CP19" s="883"/>
      <c r="CQ19" s="883">
        <v>7</v>
      </c>
      <c r="CR19" s="883">
        <v>10</v>
      </c>
      <c r="CS19" s="883">
        <v>16</v>
      </c>
      <c r="CT19" s="883">
        <v>9</v>
      </c>
      <c r="CU19" s="883">
        <v>8</v>
      </c>
      <c r="CV19" s="883">
        <v>3</v>
      </c>
      <c r="CW19" s="883">
        <v>27</v>
      </c>
      <c r="CX19" s="883">
        <v>24</v>
      </c>
      <c r="CY19" s="883">
        <v>2</v>
      </c>
      <c r="CZ19" s="873">
        <v>128</v>
      </c>
      <c r="DA19" s="879">
        <f t="shared" si="38"/>
        <v>234</v>
      </c>
      <c r="DB19" s="883"/>
      <c r="DC19" s="883"/>
      <c r="DD19" s="883"/>
      <c r="DE19" s="883"/>
      <c r="DF19" s="883"/>
      <c r="DG19" s="883"/>
      <c r="DH19" s="883"/>
      <c r="DI19" s="883"/>
      <c r="DJ19" s="883"/>
      <c r="DK19" s="883"/>
      <c r="DL19" s="883"/>
      <c r="DM19" s="873"/>
      <c r="DN19" s="879">
        <f t="shared" si="33"/>
        <v>0</v>
      </c>
      <c r="DO19" s="883"/>
      <c r="DP19" s="883"/>
      <c r="DQ19" s="883"/>
      <c r="DR19" s="883"/>
      <c r="DS19" s="883"/>
      <c r="DT19" s="883"/>
      <c r="DU19" s="883"/>
      <c r="DV19" s="883"/>
      <c r="DW19" s="883"/>
      <c r="DX19" s="883"/>
      <c r="DY19" s="883"/>
      <c r="DZ19" s="873"/>
      <c r="EA19" s="879">
        <f t="shared" si="34"/>
        <v>0</v>
      </c>
      <c r="EB19" s="883">
        <v>0</v>
      </c>
      <c r="EC19" s="883">
        <v>0</v>
      </c>
      <c r="ED19" s="883">
        <v>0</v>
      </c>
      <c r="EE19" s="883">
        <v>0</v>
      </c>
      <c r="EF19" s="883">
        <v>0</v>
      </c>
      <c r="EG19" s="883">
        <v>0</v>
      </c>
      <c r="EH19" s="883">
        <v>0</v>
      </c>
      <c r="EI19" s="883">
        <v>0</v>
      </c>
      <c r="EJ19" s="883">
        <v>0</v>
      </c>
      <c r="EK19" s="883">
        <v>0</v>
      </c>
      <c r="EL19" s="883">
        <v>0</v>
      </c>
      <c r="EM19" s="873">
        <v>0</v>
      </c>
      <c r="EN19" s="879">
        <f t="shared" si="40"/>
        <v>0</v>
      </c>
      <c r="EO19" s="883">
        <v>0</v>
      </c>
      <c r="EP19" s="883">
        <v>0</v>
      </c>
      <c r="EQ19" s="883">
        <v>0</v>
      </c>
      <c r="ER19" s="883">
        <v>0</v>
      </c>
      <c r="ES19" s="883">
        <v>0</v>
      </c>
      <c r="ET19" s="883">
        <v>0</v>
      </c>
      <c r="EU19" s="883">
        <v>0</v>
      </c>
      <c r="EV19" s="973">
        <v>0</v>
      </c>
      <c r="EW19" s="883"/>
      <c r="EX19" s="883"/>
      <c r="EY19" s="883"/>
      <c r="EZ19" s="873"/>
      <c r="FA19" s="879">
        <f t="shared" si="36"/>
        <v>0</v>
      </c>
      <c r="FC19" s="843" t="str">
        <f t="shared" si="23"/>
        <v/>
      </c>
      <c r="FD19" s="844" t="str">
        <f t="shared" si="39"/>
        <v/>
      </c>
      <c r="FE19" s="845">
        <f t="shared" si="24"/>
        <v>0</v>
      </c>
      <c r="FF19" s="846">
        <f t="shared" si="25"/>
        <v>0</v>
      </c>
      <c r="FH19" s="127">
        <f t="shared" si="37"/>
        <v>0</v>
      </c>
    </row>
    <row r="20" spans="1:164" ht="15" customHeight="1" x14ac:dyDescent="0.25">
      <c r="A20" s="403" t="s">
        <v>401</v>
      </c>
      <c r="B20" s="883"/>
      <c r="C20" s="883"/>
      <c r="D20" s="883"/>
      <c r="E20" s="883"/>
      <c r="F20" s="883">
        <v>155</v>
      </c>
      <c r="G20" s="883">
        <v>41</v>
      </c>
      <c r="H20" s="883">
        <v>67</v>
      </c>
      <c r="I20" s="883"/>
      <c r="J20" s="883">
        <v>133</v>
      </c>
      <c r="K20" s="883">
        <v>10</v>
      </c>
      <c r="L20" s="883"/>
      <c r="M20" s="873">
        <v>25</v>
      </c>
      <c r="N20" s="879">
        <f t="shared" si="26"/>
        <v>431</v>
      </c>
      <c r="O20" s="883"/>
      <c r="P20" s="883">
        <v>44</v>
      </c>
      <c r="Q20" s="883">
        <v>47</v>
      </c>
      <c r="R20" s="883">
        <v>26</v>
      </c>
      <c r="S20" s="883">
        <v>10</v>
      </c>
      <c r="T20" s="883">
        <v>117</v>
      </c>
      <c r="U20" s="883">
        <v>95</v>
      </c>
      <c r="V20" s="883">
        <v>45</v>
      </c>
      <c r="W20" s="883"/>
      <c r="X20" s="883">
        <v>1</v>
      </c>
      <c r="Y20" s="883">
        <v>40</v>
      </c>
      <c r="Z20" s="873">
        <v>201</v>
      </c>
      <c r="AA20" s="879">
        <f t="shared" si="27"/>
        <v>626</v>
      </c>
      <c r="AB20" s="883"/>
      <c r="AC20" s="883">
        <v>28</v>
      </c>
      <c r="AD20" s="883">
        <v>78</v>
      </c>
      <c r="AE20" s="883">
        <v>30</v>
      </c>
      <c r="AF20" s="883">
        <v>130</v>
      </c>
      <c r="AG20" s="883">
        <v>63</v>
      </c>
      <c r="AH20" s="883">
        <v>4</v>
      </c>
      <c r="AI20" s="883">
        <v>92</v>
      </c>
      <c r="AJ20" s="883">
        <v>62</v>
      </c>
      <c r="AK20" s="883">
        <v>22</v>
      </c>
      <c r="AL20" s="883"/>
      <c r="AM20" s="873">
        <v>31</v>
      </c>
      <c r="AN20" s="879">
        <f t="shared" si="28"/>
        <v>540</v>
      </c>
      <c r="AO20" s="883"/>
      <c r="AP20" s="883"/>
      <c r="AQ20" s="883">
        <v>6</v>
      </c>
      <c r="AR20" s="883">
        <v>32</v>
      </c>
      <c r="AS20" s="883"/>
      <c r="AT20" s="883"/>
      <c r="AU20" s="883"/>
      <c r="AV20" s="883"/>
      <c r="AW20" s="883"/>
      <c r="AX20" s="883">
        <v>77</v>
      </c>
      <c r="AY20" s="883">
        <v>3</v>
      </c>
      <c r="AZ20" s="873">
        <v>369</v>
      </c>
      <c r="BA20" s="879">
        <f t="shared" si="29"/>
        <v>487</v>
      </c>
      <c r="BB20" s="883">
        <v>6</v>
      </c>
      <c r="BC20" s="883">
        <v>9</v>
      </c>
      <c r="BD20" s="883">
        <v>20</v>
      </c>
      <c r="BE20" s="883">
        <v>1055</v>
      </c>
      <c r="BF20" s="883">
        <v>10</v>
      </c>
      <c r="BG20" s="883">
        <v>39</v>
      </c>
      <c r="BH20" s="883">
        <v>8</v>
      </c>
      <c r="BI20" s="883">
        <v>41</v>
      </c>
      <c r="BJ20" s="883">
        <v>1</v>
      </c>
      <c r="BK20" s="883">
        <v>852</v>
      </c>
      <c r="BL20" s="883">
        <v>1499</v>
      </c>
      <c r="BM20" s="873">
        <v>1925</v>
      </c>
      <c r="BN20" s="879">
        <f t="shared" si="30"/>
        <v>5465</v>
      </c>
      <c r="BO20" s="883">
        <v>48</v>
      </c>
      <c r="BP20" s="883">
        <v>45</v>
      </c>
      <c r="BQ20" s="883">
        <v>36</v>
      </c>
      <c r="BR20" s="883">
        <v>92</v>
      </c>
      <c r="BS20" s="883">
        <v>12</v>
      </c>
      <c r="BT20" s="883">
        <v>11</v>
      </c>
      <c r="BU20" s="883">
        <v>283</v>
      </c>
      <c r="BV20" s="883">
        <v>1881</v>
      </c>
      <c r="BW20" s="883">
        <v>937</v>
      </c>
      <c r="BX20" s="883">
        <v>3308</v>
      </c>
      <c r="BY20" s="883">
        <v>3355</v>
      </c>
      <c r="BZ20" s="873">
        <v>5147</v>
      </c>
      <c r="CA20" s="879">
        <f t="shared" si="31"/>
        <v>15155</v>
      </c>
      <c r="CB20" s="883">
        <v>111</v>
      </c>
      <c r="CC20" s="883">
        <v>2258</v>
      </c>
      <c r="CD20" s="883">
        <v>1290</v>
      </c>
      <c r="CE20" s="883">
        <v>1167</v>
      </c>
      <c r="CF20" s="883">
        <v>2735</v>
      </c>
      <c r="CG20" s="883">
        <v>3515</v>
      </c>
      <c r="CH20" s="883">
        <v>978</v>
      </c>
      <c r="CI20" s="883">
        <v>2506</v>
      </c>
      <c r="CJ20" s="883">
        <v>1394</v>
      </c>
      <c r="CK20" s="883">
        <v>190</v>
      </c>
      <c r="CL20" s="883">
        <v>1598</v>
      </c>
      <c r="CM20" s="873">
        <v>890</v>
      </c>
      <c r="CN20" s="879">
        <f t="shared" si="32"/>
        <v>18632</v>
      </c>
      <c r="CO20" s="883">
        <v>17</v>
      </c>
      <c r="CP20" s="883">
        <v>31</v>
      </c>
      <c r="CQ20" s="883">
        <v>92</v>
      </c>
      <c r="CR20" s="883">
        <v>99</v>
      </c>
      <c r="CS20" s="883">
        <v>459</v>
      </c>
      <c r="CT20" s="883">
        <v>371</v>
      </c>
      <c r="CU20" s="883">
        <v>142</v>
      </c>
      <c r="CV20" s="883">
        <v>371</v>
      </c>
      <c r="CW20" s="883">
        <v>296</v>
      </c>
      <c r="CX20" s="883">
        <v>419</v>
      </c>
      <c r="CY20" s="883">
        <v>407</v>
      </c>
      <c r="CZ20" s="873">
        <v>287</v>
      </c>
      <c r="DA20" s="879">
        <f t="shared" si="38"/>
        <v>2991</v>
      </c>
      <c r="DB20" s="883">
        <v>3</v>
      </c>
      <c r="DC20" s="883">
        <v>59</v>
      </c>
      <c r="DD20" s="883">
        <v>70</v>
      </c>
      <c r="DE20" s="883">
        <v>56</v>
      </c>
      <c r="DF20" s="883">
        <v>32</v>
      </c>
      <c r="DG20" s="883">
        <v>68</v>
      </c>
      <c r="DH20" s="883">
        <v>51</v>
      </c>
      <c r="DI20" s="883">
        <v>252</v>
      </c>
      <c r="DJ20" s="883">
        <v>98</v>
      </c>
      <c r="DK20" s="883">
        <v>18</v>
      </c>
      <c r="DL20" s="883">
        <v>40</v>
      </c>
      <c r="DM20" s="873">
        <v>48</v>
      </c>
      <c r="DN20" s="879">
        <f t="shared" si="33"/>
        <v>795</v>
      </c>
      <c r="DO20" s="883">
        <v>8</v>
      </c>
      <c r="DP20" s="883">
        <v>49</v>
      </c>
      <c r="DQ20" s="883">
        <v>29</v>
      </c>
      <c r="DR20" s="883">
        <v>39</v>
      </c>
      <c r="DS20" s="883">
        <v>27</v>
      </c>
      <c r="DT20" s="883">
        <v>38</v>
      </c>
      <c r="DU20" s="883">
        <v>60</v>
      </c>
      <c r="DV20" s="883">
        <v>52</v>
      </c>
      <c r="DW20" s="883">
        <v>26</v>
      </c>
      <c r="DX20" s="883">
        <v>1325</v>
      </c>
      <c r="DY20" s="883">
        <v>50</v>
      </c>
      <c r="DZ20" s="873">
        <v>176</v>
      </c>
      <c r="EA20" s="879">
        <f t="shared" si="34"/>
        <v>1879</v>
      </c>
      <c r="EB20" s="883">
        <v>0</v>
      </c>
      <c r="EC20" s="883">
        <v>11</v>
      </c>
      <c r="ED20" s="883">
        <v>120</v>
      </c>
      <c r="EE20" s="883">
        <v>12</v>
      </c>
      <c r="EF20" s="883">
        <v>111</v>
      </c>
      <c r="EG20" s="883">
        <v>29</v>
      </c>
      <c r="EH20" s="883">
        <v>85</v>
      </c>
      <c r="EI20" s="883">
        <v>45</v>
      </c>
      <c r="EJ20" s="883">
        <v>46</v>
      </c>
      <c r="EK20" s="883">
        <v>40</v>
      </c>
      <c r="EL20" s="883">
        <v>820</v>
      </c>
      <c r="EM20" s="873">
        <v>93</v>
      </c>
      <c r="EN20" s="879">
        <f t="shared" si="40"/>
        <v>1412</v>
      </c>
      <c r="EO20" s="883">
        <v>2</v>
      </c>
      <c r="EP20" s="883">
        <v>32</v>
      </c>
      <c r="EQ20" s="883">
        <v>45</v>
      </c>
      <c r="ER20" s="883">
        <v>19</v>
      </c>
      <c r="ES20" s="883">
        <v>126</v>
      </c>
      <c r="ET20" s="883">
        <v>1108</v>
      </c>
      <c r="EU20" s="883">
        <v>77</v>
      </c>
      <c r="EV20" s="973">
        <v>34</v>
      </c>
      <c r="EW20" s="883"/>
      <c r="EX20" s="883"/>
      <c r="EY20" s="883"/>
      <c r="EZ20" s="873"/>
      <c r="FA20" s="879">
        <f t="shared" si="36"/>
        <v>1443</v>
      </c>
      <c r="FC20" s="843">
        <f t="shared" si="23"/>
        <v>-24.444444444444446</v>
      </c>
      <c r="FD20" s="844">
        <f t="shared" si="39"/>
        <v>249.39467312348665</v>
      </c>
      <c r="FE20" s="845">
        <f t="shared" si="24"/>
        <v>413</v>
      </c>
      <c r="FF20" s="846">
        <f t="shared" si="25"/>
        <v>1443</v>
      </c>
      <c r="FH20" s="127">
        <f t="shared" si="37"/>
        <v>-11</v>
      </c>
    </row>
    <row r="21" spans="1:164" ht="15" customHeight="1" x14ac:dyDescent="0.25">
      <c r="A21" s="403" t="s">
        <v>402</v>
      </c>
      <c r="B21" s="883">
        <v>51</v>
      </c>
      <c r="C21" s="883">
        <v>49</v>
      </c>
      <c r="D21" s="883">
        <v>85</v>
      </c>
      <c r="E21" s="883">
        <v>312</v>
      </c>
      <c r="F21" s="883">
        <v>71</v>
      </c>
      <c r="G21" s="883">
        <v>44</v>
      </c>
      <c r="H21" s="883">
        <v>90</v>
      </c>
      <c r="I21" s="883">
        <v>137</v>
      </c>
      <c r="J21" s="883">
        <v>245</v>
      </c>
      <c r="K21" s="883">
        <v>90</v>
      </c>
      <c r="L21" s="883">
        <v>97</v>
      </c>
      <c r="M21" s="873">
        <v>153</v>
      </c>
      <c r="N21" s="879">
        <f t="shared" si="26"/>
        <v>1424</v>
      </c>
      <c r="O21" s="883"/>
      <c r="P21" s="883"/>
      <c r="Q21" s="883">
        <v>192</v>
      </c>
      <c r="R21" s="883"/>
      <c r="S21" s="883"/>
      <c r="T21" s="883">
        <v>155</v>
      </c>
      <c r="U21" s="883"/>
      <c r="V21" s="883"/>
      <c r="W21" s="883"/>
      <c r="X21" s="883"/>
      <c r="Y21" s="883">
        <v>15</v>
      </c>
      <c r="Z21" s="873">
        <v>6</v>
      </c>
      <c r="AA21" s="879">
        <f t="shared" si="27"/>
        <v>368</v>
      </c>
      <c r="AB21" s="883"/>
      <c r="AC21" s="883"/>
      <c r="AD21" s="883"/>
      <c r="AE21" s="883"/>
      <c r="AF21" s="883"/>
      <c r="AG21" s="883"/>
      <c r="AH21" s="883"/>
      <c r="AI21" s="883"/>
      <c r="AJ21" s="883"/>
      <c r="AK21" s="883">
        <v>5</v>
      </c>
      <c r="AL21" s="883"/>
      <c r="AM21" s="873">
        <v>4</v>
      </c>
      <c r="AN21" s="879">
        <f t="shared" si="28"/>
        <v>9</v>
      </c>
      <c r="AO21" s="883"/>
      <c r="AP21" s="883"/>
      <c r="AQ21" s="883"/>
      <c r="AR21" s="883"/>
      <c r="AS21" s="883"/>
      <c r="AT21" s="883"/>
      <c r="AU21" s="883"/>
      <c r="AV21" s="883"/>
      <c r="AW21" s="883"/>
      <c r="AX21" s="883"/>
      <c r="AY21" s="883"/>
      <c r="AZ21" s="873">
        <v>3</v>
      </c>
      <c r="BA21" s="879">
        <f t="shared" si="29"/>
        <v>3</v>
      </c>
      <c r="BB21" s="883"/>
      <c r="BC21" s="883"/>
      <c r="BD21" s="883"/>
      <c r="BE21" s="883"/>
      <c r="BF21" s="883"/>
      <c r="BG21" s="883"/>
      <c r="BH21" s="883"/>
      <c r="BI21" s="883"/>
      <c r="BJ21" s="883"/>
      <c r="BK21" s="883"/>
      <c r="BL21" s="883"/>
      <c r="BM21" s="873"/>
      <c r="BN21" s="879">
        <f t="shared" si="30"/>
        <v>0</v>
      </c>
      <c r="BO21" s="883"/>
      <c r="BP21" s="883"/>
      <c r="BQ21" s="883"/>
      <c r="BR21" s="883"/>
      <c r="BS21" s="883"/>
      <c r="BT21" s="883"/>
      <c r="BU21" s="883"/>
      <c r="BV21" s="883"/>
      <c r="BW21" s="883"/>
      <c r="BX21" s="883"/>
      <c r="BY21" s="883">
        <v>6</v>
      </c>
      <c r="BZ21" s="873">
        <v>109</v>
      </c>
      <c r="CA21" s="879">
        <f t="shared" si="31"/>
        <v>115</v>
      </c>
      <c r="CB21" s="883"/>
      <c r="CC21" s="883"/>
      <c r="CD21" s="883"/>
      <c r="CE21" s="883"/>
      <c r="CF21" s="883">
        <v>351</v>
      </c>
      <c r="CG21" s="883">
        <v>157</v>
      </c>
      <c r="CH21" s="883">
        <v>1</v>
      </c>
      <c r="CI21" s="883">
        <v>2</v>
      </c>
      <c r="CJ21" s="883">
        <v>1230</v>
      </c>
      <c r="CK21" s="883">
        <v>2</v>
      </c>
      <c r="CL21" s="883">
        <v>264</v>
      </c>
      <c r="CM21" s="873">
        <v>133</v>
      </c>
      <c r="CN21" s="879">
        <f t="shared" si="32"/>
        <v>2140</v>
      </c>
      <c r="CO21" s="883"/>
      <c r="CP21" s="883"/>
      <c r="CQ21" s="883">
        <v>48</v>
      </c>
      <c r="CR21" s="883">
        <v>21</v>
      </c>
      <c r="CS21" s="883"/>
      <c r="CT21" s="883"/>
      <c r="CU21" s="883">
        <v>2</v>
      </c>
      <c r="CV21" s="883"/>
      <c r="CW21" s="883">
        <v>48</v>
      </c>
      <c r="CX21" s="883">
        <v>27</v>
      </c>
      <c r="CY21" s="883">
        <v>94</v>
      </c>
      <c r="CZ21" s="873"/>
      <c r="DA21" s="879">
        <f t="shared" si="38"/>
        <v>240</v>
      </c>
      <c r="DB21" s="883"/>
      <c r="DC21" s="883"/>
      <c r="DD21" s="883"/>
      <c r="DE21" s="883"/>
      <c r="DF21" s="883"/>
      <c r="DG21" s="883"/>
      <c r="DH21" s="883"/>
      <c r="DI21" s="883"/>
      <c r="DJ21" s="883"/>
      <c r="DK21" s="883">
        <v>24</v>
      </c>
      <c r="DL21" s="883"/>
      <c r="DM21" s="873">
        <v>1998</v>
      </c>
      <c r="DN21" s="879">
        <f t="shared" si="33"/>
        <v>2022</v>
      </c>
      <c r="DO21" s="883"/>
      <c r="DP21" s="883"/>
      <c r="DQ21" s="883">
        <v>31</v>
      </c>
      <c r="DR21" s="883">
        <v>101</v>
      </c>
      <c r="DS21" s="883"/>
      <c r="DT21" s="883"/>
      <c r="DU21" s="883"/>
      <c r="DV21" s="883"/>
      <c r="DW21" s="883"/>
      <c r="DX21" s="883">
        <v>3819</v>
      </c>
      <c r="DY21" s="883"/>
      <c r="DZ21" s="873">
        <v>387</v>
      </c>
      <c r="EA21" s="879">
        <f t="shared" si="34"/>
        <v>4338</v>
      </c>
      <c r="EB21" s="883">
        <v>0</v>
      </c>
      <c r="EC21" s="883">
        <v>0</v>
      </c>
      <c r="ED21" s="883">
        <v>0</v>
      </c>
      <c r="EE21" s="883">
        <v>0</v>
      </c>
      <c r="EF21" s="883">
        <v>0</v>
      </c>
      <c r="EG21" s="883">
        <v>0</v>
      </c>
      <c r="EH21" s="883">
        <v>0</v>
      </c>
      <c r="EI21" s="883">
        <v>0</v>
      </c>
      <c r="EJ21" s="883">
        <v>0</v>
      </c>
      <c r="EK21" s="883">
        <v>0</v>
      </c>
      <c r="EL21" s="883">
        <v>0</v>
      </c>
      <c r="EM21" s="873">
        <v>843</v>
      </c>
      <c r="EN21" s="879">
        <f t="shared" si="40"/>
        <v>843</v>
      </c>
      <c r="EO21" s="883">
        <v>0</v>
      </c>
      <c r="EP21" s="883">
        <v>0</v>
      </c>
      <c r="EQ21" s="883">
        <v>0</v>
      </c>
      <c r="ER21" s="883">
        <v>0</v>
      </c>
      <c r="ES21" s="883">
        <v>0</v>
      </c>
      <c r="ET21" s="883">
        <v>0</v>
      </c>
      <c r="EU21" s="883">
        <v>0</v>
      </c>
      <c r="EV21" s="973">
        <v>0</v>
      </c>
      <c r="EW21" s="883"/>
      <c r="EX21" s="883"/>
      <c r="EY21" s="883"/>
      <c r="EZ21" s="873"/>
      <c r="FA21" s="879">
        <f t="shared" si="36"/>
        <v>0</v>
      </c>
      <c r="FC21" s="843" t="str">
        <f t="shared" si="23"/>
        <v/>
      </c>
      <c r="FD21" s="844" t="str">
        <f t="shared" si="39"/>
        <v/>
      </c>
      <c r="FE21" s="845">
        <f t="shared" si="24"/>
        <v>0</v>
      </c>
      <c r="FF21" s="846">
        <f t="shared" si="25"/>
        <v>0</v>
      </c>
      <c r="FH21" s="127">
        <f t="shared" si="37"/>
        <v>0</v>
      </c>
    </row>
    <row r="22" spans="1:164" ht="15" customHeight="1" x14ac:dyDescent="0.25">
      <c r="A22" s="403" t="s">
        <v>403</v>
      </c>
      <c r="B22" s="883"/>
      <c r="C22" s="883"/>
      <c r="D22" s="883"/>
      <c r="E22" s="883"/>
      <c r="F22" s="883">
        <v>25</v>
      </c>
      <c r="G22" s="883">
        <v>73</v>
      </c>
      <c r="H22" s="883">
        <v>1</v>
      </c>
      <c r="I22" s="883"/>
      <c r="J22" s="883">
        <v>1</v>
      </c>
      <c r="K22" s="883">
        <v>24</v>
      </c>
      <c r="L22" s="883"/>
      <c r="M22" s="873">
        <v>425</v>
      </c>
      <c r="N22" s="879">
        <f t="shared" si="26"/>
        <v>549</v>
      </c>
      <c r="O22" s="883"/>
      <c r="P22" s="883"/>
      <c r="Q22" s="883">
        <v>7</v>
      </c>
      <c r="R22" s="883">
        <v>12</v>
      </c>
      <c r="S22" s="883">
        <v>265</v>
      </c>
      <c r="T22" s="883">
        <v>66</v>
      </c>
      <c r="U22" s="883">
        <v>236</v>
      </c>
      <c r="V22" s="883">
        <v>377</v>
      </c>
      <c r="W22" s="883">
        <v>75</v>
      </c>
      <c r="X22" s="883">
        <v>225</v>
      </c>
      <c r="Y22" s="883">
        <v>234</v>
      </c>
      <c r="Z22" s="873">
        <v>149</v>
      </c>
      <c r="AA22" s="879">
        <f t="shared" si="27"/>
        <v>1646</v>
      </c>
      <c r="AB22" s="883"/>
      <c r="AC22" s="883">
        <v>35</v>
      </c>
      <c r="AD22" s="883">
        <v>157</v>
      </c>
      <c r="AE22" s="883">
        <v>54</v>
      </c>
      <c r="AF22" s="883">
        <v>31</v>
      </c>
      <c r="AG22" s="883">
        <v>68</v>
      </c>
      <c r="AH22" s="883">
        <v>70</v>
      </c>
      <c r="AI22" s="883">
        <v>235</v>
      </c>
      <c r="AJ22" s="883">
        <v>62</v>
      </c>
      <c r="AK22" s="883">
        <v>3</v>
      </c>
      <c r="AL22" s="883">
        <v>4</v>
      </c>
      <c r="AM22" s="873">
        <v>34</v>
      </c>
      <c r="AN22" s="879">
        <f t="shared" si="28"/>
        <v>753</v>
      </c>
      <c r="AO22" s="883"/>
      <c r="AP22" s="883">
        <v>29</v>
      </c>
      <c r="AQ22" s="883">
        <v>52</v>
      </c>
      <c r="AR22" s="883">
        <v>5</v>
      </c>
      <c r="AS22" s="883">
        <v>112</v>
      </c>
      <c r="AT22" s="883">
        <v>160</v>
      </c>
      <c r="AU22" s="883">
        <v>16</v>
      </c>
      <c r="AV22" s="883">
        <v>159</v>
      </c>
      <c r="AW22" s="883">
        <v>19</v>
      </c>
      <c r="AX22" s="883">
        <v>50</v>
      </c>
      <c r="AY22" s="883">
        <v>8</v>
      </c>
      <c r="AZ22" s="873">
        <v>120</v>
      </c>
      <c r="BA22" s="879">
        <f t="shared" si="29"/>
        <v>730</v>
      </c>
      <c r="BB22" s="883"/>
      <c r="BC22" s="883"/>
      <c r="BD22" s="883">
        <v>48</v>
      </c>
      <c r="BE22" s="883">
        <v>32</v>
      </c>
      <c r="BF22" s="883">
        <v>40</v>
      </c>
      <c r="BG22" s="883">
        <v>109</v>
      </c>
      <c r="BH22" s="883">
        <v>98</v>
      </c>
      <c r="BI22" s="883">
        <v>63</v>
      </c>
      <c r="BJ22" s="883">
        <v>52</v>
      </c>
      <c r="BK22" s="883">
        <v>585</v>
      </c>
      <c r="BL22" s="883">
        <v>901</v>
      </c>
      <c r="BM22" s="873">
        <v>67</v>
      </c>
      <c r="BN22" s="879">
        <f t="shared" si="30"/>
        <v>1995</v>
      </c>
      <c r="BO22" s="883"/>
      <c r="BP22" s="883">
        <v>214</v>
      </c>
      <c r="BQ22" s="883">
        <v>45</v>
      </c>
      <c r="BR22" s="883">
        <v>131</v>
      </c>
      <c r="BS22" s="883">
        <v>67</v>
      </c>
      <c r="BT22" s="883">
        <v>57</v>
      </c>
      <c r="BU22" s="883">
        <v>91</v>
      </c>
      <c r="BV22" s="883">
        <v>124</v>
      </c>
      <c r="BW22" s="883">
        <v>108</v>
      </c>
      <c r="BX22" s="883">
        <v>108</v>
      </c>
      <c r="BY22" s="883">
        <v>108</v>
      </c>
      <c r="BZ22" s="873">
        <v>236</v>
      </c>
      <c r="CA22" s="879">
        <f t="shared" si="31"/>
        <v>1289</v>
      </c>
      <c r="CB22" s="883"/>
      <c r="CC22" s="883">
        <v>213</v>
      </c>
      <c r="CD22" s="883">
        <v>177</v>
      </c>
      <c r="CE22" s="883">
        <v>133</v>
      </c>
      <c r="CF22" s="883">
        <v>135</v>
      </c>
      <c r="CG22" s="883">
        <v>157</v>
      </c>
      <c r="CH22" s="883">
        <v>157</v>
      </c>
      <c r="CI22" s="883">
        <v>132</v>
      </c>
      <c r="CJ22" s="883">
        <v>559</v>
      </c>
      <c r="CK22" s="883">
        <v>223</v>
      </c>
      <c r="CL22" s="883">
        <v>298</v>
      </c>
      <c r="CM22" s="873">
        <v>645</v>
      </c>
      <c r="CN22" s="879">
        <f t="shared" si="32"/>
        <v>2829</v>
      </c>
      <c r="CO22" s="883"/>
      <c r="CP22" s="883">
        <v>550</v>
      </c>
      <c r="CQ22" s="883">
        <v>159</v>
      </c>
      <c r="CR22" s="883">
        <v>165</v>
      </c>
      <c r="CS22" s="883">
        <v>193</v>
      </c>
      <c r="CT22" s="883">
        <v>160</v>
      </c>
      <c r="CU22" s="883">
        <v>229</v>
      </c>
      <c r="CV22" s="883">
        <v>376</v>
      </c>
      <c r="CW22" s="883">
        <v>203</v>
      </c>
      <c r="CX22" s="883">
        <v>761</v>
      </c>
      <c r="CY22" s="883">
        <v>894</v>
      </c>
      <c r="CZ22" s="873">
        <v>951</v>
      </c>
      <c r="DA22" s="879">
        <f t="shared" si="38"/>
        <v>4641</v>
      </c>
      <c r="DB22" s="883">
        <v>605</v>
      </c>
      <c r="DC22" s="883">
        <v>1024</v>
      </c>
      <c r="DD22" s="883">
        <v>279</v>
      </c>
      <c r="DE22" s="883">
        <v>604</v>
      </c>
      <c r="DF22" s="883">
        <v>1126</v>
      </c>
      <c r="DG22" s="883">
        <v>215</v>
      </c>
      <c r="DH22" s="883">
        <v>605</v>
      </c>
      <c r="DI22" s="883">
        <v>1596</v>
      </c>
      <c r="DJ22" s="883">
        <v>1110</v>
      </c>
      <c r="DK22" s="883">
        <v>1701</v>
      </c>
      <c r="DL22" s="883">
        <v>1279</v>
      </c>
      <c r="DM22" s="873">
        <v>4548</v>
      </c>
      <c r="DN22" s="879">
        <f t="shared" si="33"/>
        <v>14692</v>
      </c>
      <c r="DO22" s="883">
        <v>1345</v>
      </c>
      <c r="DP22" s="883">
        <v>233</v>
      </c>
      <c r="DQ22" s="883">
        <v>320</v>
      </c>
      <c r="DR22" s="883">
        <v>452</v>
      </c>
      <c r="DS22" s="883">
        <v>306</v>
      </c>
      <c r="DT22" s="883">
        <v>383</v>
      </c>
      <c r="DU22" s="883">
        <v>4171</v>
      </c>
      <c r="DV22" s="883">
        <v>924</v>
      </c>
      <c r="DW22" s="883">
        <v>406</v>
      </c>
      <c r="DX22" s="883">
        <v>856</v>
      </c>
      <c r="DY22" s="883">
        <v>6536</v>
      </c>
      <c r="DZ22" s="873">
        <v>2594</v>
      </c>
      <c r="EA22" s="879">
        <f t="shared" si="34"/>
        <v>18526</v>
      </c>
      <c r="EB22" s="883">
        <v>495</v>
      </c>
      <c r="EC22" s="883">
        <v>1674</v>
      </c>
      <c r="ED22" s="883">
        <v>301</v>
      </c>
      <c r="EE22" s="883">
        <v>3559</v>
      </c>
      <c r="EF22" s="883">
        <v>3571</v>
      </c>
      <c r="EG22" s="883">
        <v>3466</v>
      </c>
      <c r="EH22" s="883">
        <v>821</v>
      </c>
      <c r="EI22" s="883">
        <v>913</v>
      </c>
      <c r="EJ22" s="883">
        <v>2582</v>
      </c>
      <c r="EK22" s="883">
        <v>2071</v>
      </c>
      <c r="EL22" s="883">
        <v>628</v>
      </c>
      <c r="EM22" s="873">
        <v>1765</v>
      </c>
      <c r="EN22" s="879">
        <f t="shared" si="40"/>
        <v>21846</v>
      </c>
      <c r="EO22" s="883">
        <v>34</v>
      </c>
      <c r="EP22" s="883">
        <v>517</v>
      </c>
      <c r="EQ22" s="883">
        <v>943</v>
      </c>
      <c r="ER22" s="883">
        <v>786</v>
      </c>
      <c r="ES22" s="883">
        <v>637</v>
      </c>
      <c r="ET22" s="883">
        <v>1380</v>
      </c>
      <c r="EU22" s="883">
        <v>801</v>
      </c>
      <c r="EV22" s="973">
        <v>500</v>
      </c>
      <c r="EW22" s="883"/>
      <c r="EX22" s="883"/>
      <c r="EY22" s="883"/>
      <c r="EZ22" s="873"/>
      <c r="FA22" s="879">
        <f t="shared" si="36"/>
        <v>5598</v>
      </c>
      <c r="FC22" s="843">
        <f t="shared" si="23"/>
        <v>-45.2354874041621</v>
      </c>
      <c r="FD22" s="844">
        <f t="shared" si="39"/>
        <v>-62.175675675675677</v>
      </c>
      <c r="FE22" s="845">
        <f t="shared" si="24"/>
        <v>14800</v>
      </c>
      <c r="FF22" s="846">
        <f t="shared" si="25"/>
        <v>5598</v>
      </c>
      <c r="FH22" s="954">
        <f t="shared" si="37"/>
        <v>-413</v>
      </c>
    </row>
    <row r="23" spans="1:164" ht="15" customHeight="1" x14ac:dyDescent="0.25">
      <c r="A23" s="403" t="s">
        <v>404</v>
      </c>
      <c r="B23" s="883">
        <v>3521</v>
      </c>
      <c r="C23" s="883">
        <v>4874</v>
      </c>
      <c r="D23" s="883">
        <v>2010</v>
      </c>
      <c r="E23" s="883">
        <v>1591</v>
      </c>
      <c r="F23" s="883">
        <v>205</v>
      </c>
      <c r="G23" s="883">
        <v>3407</v>
      </c>
      <c r="H23" s="883">
        <v>3568</v>
      </c>
      <c r="I23" s="883">
        <v>4329</v>
      </c>
      <c r="J23" s="883">
        <v>2454</v>
      </c>
      <c r="K23" s="883">
        <v>19186</v>
      </c>
      <c r="L23" s="883">
        <v>18049</v>
      </c>
      <c r="M23" s="873">
        <v>83648</v>
      </c>
      <c r="N23" s="879">
        <f t="shared" si="26"/>
        <v>146842</v>
      </c>
      <c r="O23" s="883">
        <v>79</v>
      </c>
      <c r="P23" s="883">
        <v>14343</v>
      </c>
      <c r="Q23" s="883">
        <v>13648</v>
      </c>
      <c r="R23" s="883">
        <v>24505</v>
      </c>
      <c r="S23" s="883">
        <v>9872</v>
      </c>
      <c r="T23" s="883">
        <v>18735</v>
      </c>
      <c r="U23" s="883">
        <v>22603</v>
      </c>
      <c r="V23" s="883">
        <v>52980</v>
      </c>
      <c r="W23" s="883">
        <v>31558</v>
      </c>
      <c r="X23" s="883">
        <v>23022</v>
      </c>
      <c r="Y23" s="883">
        <v>43850</v>
      </c>
      <c r="Z23" s="873">
        <v>48135</v>
      </c>
      <c r="AA23" s="879">
        <f t="shared" si="27"/>
        <v>303330</v>
      </c>
      <c r="AB23" s="883">
        <v>12955</v>
      </c>
      <c r="AC23" s="883">
        <v>45594</v>
      </c>
      <c r="AD23" s="883">
        <v>11438</v>
      </c>
      <c r="AE23" s="883">
        <v>14487</v>
      </c>
      <c r="AF23" s="883">
        <v>19088</v>
      </c>
      <c r="AG23" s="883">
        <v>28449</v>
      </c>
      <c r="AH23" s="883">
        <v>39135</v>
      </c>
      <c r="AI23" s="883">
        <v>28150</v>
      </c>
      <c r="AJ23" s="883">
        <v>30019</v>
      </c>
      <c r="AK23" s="883">
        <v>26832</v>
      </c>
      <c r="AL23" s="883">
        <v>19136</v>
      </c>
      <c r="AM23" s="873">
        <v>8651</v>
      </c>
      <c r="AN23" s="879">
        <f t="shared" si="28"/>
        <v>283934</v>
      </c>
      <c r="AO23" s="883">
        <v>5219</v>
      </c>
      <c r="AP23" s="883">
        <v>2961</v>
      </c>
      <c r="AQ23" s="883">
        <v>2111</v>
      </c>
      <c r="AR23" s="883">
        <v>2151</v>
      </c>
      <c r="AS23" s="883">
        <v>2781</v>
      </c>
      <c r="AT23" s="883">
        <v>1819</v>
      </c>
      <c r="AU23" s="883">
        <v>600</v>
      </c>
      <c r="AV23" s="883">
        <v>6754</v>
      </c>
      <c r="AW23" s="883">
        <v>20</v>
      </c>
      <c r="AX23" s="883">
        <v>171</v>
      </c>
      <c r="AY23" s="883">
        <v>44</v>
      </c>
      <c r="AZ23" s="873">
        <v>2354</v>
      </c>
      <c r="BA23" s="879">
        <f t="shared" si="29"/>
        <v>26985</v>
      </c>
      <c r="BB23" s="883"/>
      <c r="BC23" s="883">
        <v>70</v>
      </c>
      <c r="BD23" s="883">
        <v>954</v>
      </c>
      <c r="BE23" s="883">
        <v>2188</v>
      </c>
      <c r="BF23" s="883">
        <v>539</v>
      </c>
      <c r="BG23" s="883">
        <v>3203</v>
      </c>
      <c r="BH23" s="883">
        <v>1980</v>
      </c>
      <c r="BI23" s="883">
        <v>376</v>
      </c>
      <c r="BJ23" s="883">
        <v>1710</v>
      </c>
      <c r="BK23" s="883">
        <v>1281</v>
      </c>
      <c r="BL23" s="883">
        <v>1512</v>
      </c>
      <c r="BM23" s="873">
        <v>1595</v>
      </c>
      <c r="BN23" s="879">
        <f t="shared" si="30"/>
        <v>15408</v>
      </c>
      <c r="BO23" s="883">
        <v>629</v>
      </c>
      <c r="BP23" s="883">
        <v>90</v>
      </c>
      <c r="BQ23" s="883">
        <v>47</v>
      </c>
      <c r="BR23" s="883">
        <v>574</v>
      </c>
      <c r="BS23" s="883">
        <v>675</v>
      </c>
      <c r="BT23" s="883">
        <v>194</v>
      </c>
      <c r="BU23" s="883">
        <v>167</v>
      </c>
      <c r="BV23" s="883">
        <v>14817</v>
      </c>
      <c r="BW23" s="883">
        <v>1413</v>
      </c>
      <c r="BX23" s="883">
        <v>1318</v>
      </c>
      <c r="BY23" s="883">
        <v>2959</v>
      </c>
      <c r="BZ23" s="873">
        <v>2556</v>
      </c>
      <c r="CA23" s="879">
        <f t="shared" si="31"/>
        <v>25439</v>
      </c>
      <c r="CB23" s="883"/>
      <c r="CC23" s="883">
        <v>356</v>
      </c>
      <c r="CD23" s="883">
        <v>682</v>
      </c>
      <c r="CE23" s="883">
        <v>777</v>
      </c>
      <c r="CF23" s="883">
        <v>946</v>
      </c>
      <c r="CG23" s="883">
        <v>923</v>
      </c>
      <c r="CH23" s="883">
        <v>1304</v>
      </c>
      <c r="CI23" s="883">
        <v>63</v>
      </c>
      <c r="CJ23" s="883">
        <v>18</v>
      </c>
      <c r="CK23" s="883">
        <v>221</v>
      </c>
      <c r="CL23" s="883">
        <v>1</v>
      </c>
      <c r="CM23" s="873">
        <v>2516</v>
      </c>
      <c r="CN23" s="879">
        <f t="shared" si="32"/>
        <v>7807</v>
      </c>
      <c r="CO23" s="883">
        <v>116</v>
      </c>
      <c r="CP23" s="883">
        <v>267</v>
      </c>
      <c r="CQ23" s="883">
        <v>257</v>
      </c>
      <c r="CR23" s="883">
        <v>622</v>
      </c>
      <c r="CS23" s="883">
        <v>34</v>
      </c>
      <c r="CT23" s="883">
        <v>571</v>
      </c>
      <c r="CU23" s="883">
        <v>946</v>
      </c>
      <c r="CV23" s="883">
        <v>355</v>
      </c>
      <c r="CW23" s="883">
        <v>790</v>
      </c>
      <c r="CX23" s="883">
        <v>987</v>
      </c>
      <c r="CY23" s="883">
        <v>418</v>
      </c>
      <c r="CZ23" s="873">
        <v>883</v>
      </c>
      <c r="DA23" s="879">
        <f t="shared" si="38"/>
        <v>6246</v>
      </c>
      <c r="DB23" s="883">
        <v>612</v>
      </c>
      <c r="DC23" s="883">
        <v>105</v>
      </c>
      <c r="DD23" s="883">
        <v>491</v>
      </c>
      <c r="DE23" s="883">
        <v>471</v>
      </c>
      <c r="DF23" s="883">
        <v>13</v>
      </c>
      <c r="DG23" s="883">
        <v>821</v>
      </c>
      <c r="DH23" s="883">
        <v>28</v>
      </c>
      <c r="DI23" s="883">
        <v>724</v>
      </c>
      <c r="DJ23" s="883">
        <v>164</v>
      </c>
      <c r="DK23" s="883">
        <v>86</v>
      </c>
      <c r="DL23" s="883">
        <v>171</v>
      </c>
      <c r="DM23" s="873">
        <v>1244</v>
      </c>
      <c r="DN23" s="879">
        <f t="shared" si="33"/>
        <v>4930</v>
      </c>
      <c r="DO23" s="883"/>
      <c r="DP23" s="883">
        <v>19</v>
      </c>
      <c r="DQ23" s="883">
        <v>32</v>
      </c>
      <c r="DR23" s="883">
        <v>161</v>
      </c>
      <c r="DS23" s="883">
        <v>41</v>
      </c>
      <c r="DT23" s="883">
        <v>27</v>
      </c>
      <c r="DU23" s="883">
        <v>569</v>
      </c>
      <c r="DV23" s="883">
        <v>6971</v>
      </c>
      <c r="DW23" s="883">
        <v>36</v>
      </c>
      <c r="DX23" s="883">
        <v>53</v>
      </c>
      <c r="DY23" s="883">
        <v>98</v>
      </c>
      <c r="DZ23" s="873">
        <v>897</v>
      </c>
      <c r="EA23" s="879">
        <f t="shared" si="34"/>
        <v>8904</v>
      </c>
      <c r="EB23" s="883">
        <v>0</v>
      </c>
      <c r="EC23" s="883">
        <v>0</v>
      </c>
      <c r="ED23" s="883">
        <v>4</v>
      </c>
      <c r="EE23" s="883">
        <v>23</v>
      </c>
      <c r="EF23" s="883">
        <v>79</v>
      </c>
      <c r="EG23" s="883">
        <v>2</v>
      </c>
      <c r="EH23" s="883">
        <v>32</v>
      </c>
      <c r="EI23" s="883">
        <v>43</v>
      </c>
      <c r="EJ23" s="883">
        <v>24550</v>
      </c>
      <c r="EK23" s="883">
        <v>718</v>
      </c>
      <c r="EL23" s="883">
        <v>13</v>
      </c>
      <c r="EM23" s="873">
        <v>-752</v>
      </c>
      <c r="EN23" s="879">
        <f t="shared" si="40"/>
        <v>24712</v>
      </c>
      <c r="EO23" s="883">
        <v>0</v>
      </c>
      <c r="EP23" s="883">
        <v>3</v>
      </c>
      <c r="EQ23" s="883">
        <v>22</v>
      </c>
      <c r="ER23" s="883">
        <v>6</v>
      </c>
      <c r="ES23" s="883">
        <v>8</v>
      </c>
      <c r="ET23" s="883">
        <v>9</v>
      </c>
      <c r="EU23" s="883">
        <v>16</v>
      </c>
      <c r="EV23" s="973">
        <v>35</v>
      </c>
      <c r="EW23" s="883"/>
      <c r="EX23" s="883"/>
      <c r="EY23" s="883"/>
      <c r="EZ23" s="873"/>
      <c r="FA23" s="879">
        <f t="shared" si="36"/>
        <v>99</v>
      </c>
      <c r="FC23" s="843">
        <f t="shared" si="23"/>
        <v>-18.604651162790699</v>
      </c>
      <c r="FD23" s="844">
        <f t="shared" si="39"/>
        <v>-45.901639344262293</v>
      </c>
      <c r="FE23" s="845">
        <f t="shared" si="24"/>
        <v>183</v>
      </c>
      <c r="FF23" s="846">
        <f t="shared" si="25"/>
        <v>99</v>
      </c>
      <c r="FH23" s="127">
        <f t="shared" si="37"/>
        <v>-8</v>
      </c>
    </row>
    <row r="24" spans="1:164" ht="15" customHeight="1" x14ac:dyDescent="0.25">
      <c r="A24" s="403" t="s">
        <v>405</v>
      </c>
      <c r="B24" s="883"/>
      <c r="C24" s="883"/>
      <c r="D24" s="883"/>
      <c r="E24" s="883"/>
      <c r="F24" s="883"/>
      <c r="G24" s="883"/>
      <c r="H24" s="883"/>
      <c r="I24" s="883"/>
      <c r="J24" s="883"/>
      <c r="K24" s="883"/>
      <c r="L24" s="883"/>
      <c r="M24" s="873"/>
      <c r="N24" s="879">
        <f t="shared" si="26"/>
        <v>0</v>
      </c>
      <c r="O24" s="883"/>
      <c r="P24" s="883"/>
      <c r="Q24" s="883"/>
      <c r="R24" s="883"/>
      <c r="S24" s="883"/>
      <c r="T24" s="883"/>
      <c r="U24" s="883"/>
      <c r="V24" s="883"/>
      <c r="W24" s="883"/>
      <c r="X24" s="883"/>
      <c r="Y24" s="883"/>
      <c r="Z24" s="873"/>
      <c r="AA24" s="879">
        <f t="shared" si="27"/>
        <v>0</v>
      </c>
      <c r="AB24" s="883"/>
      <c r="AC24" s="883"/>
      <c r="AD24" s="883"/>
      <c r="AE24" s="883"/>
      <c r="AF24" s="883"/>
      <c r="AG24" s="883"/>
      <c r="AH24" s="883"/>
      <c r="AI24" s="883"/>
      <c r="AJ24" s="883"/>
      <c r="AK24" s="883"/>
      <c r="AL24" s="883"/>
      <c r="AM24" s="873"/>
      <c r="AN24" s="879">
        <f t="shared" si="28"/>
        <v>0</v>
      </c>
      <c r="AO24" s="883"/>
      <c r="AP24" s="883"/>
      <c r="AQ24" s="883"/>
      <c r="AR24" s="883"/>
      <c r="AS24" s="883"/>
      <c r="AT24" s="883"/>
      <c r="AU24" s="883"/>
      <c r="AV24" s="883"/>
      <c r="AW24" s="883"/>
      <c r="AX24" s="883"/>
      <c r="AY24" s="883"/>
      <c r="AZ24" s="873"/>
      <c r="BA24" s="879">
        <f t="shared" si="29"/>
        <v>0</v>
      </c>
      <c r="BB24" s="883"/>
      <c r="BC24" s="883"/>
      <c r="BD24" s="883"/>
      <c r="BE24" s="883"/>
      <c r="BF24" s="883"/>
      <c r="BG24" s="883"/>
      <c r="BH24" s="883"/>
      <c r="BI24" s="883"/>
      <c r="BJ24" s="883"/>
      <c r="BK24" s="883"/>
      <c r="BL24" s="883"/>
      <c r="BM24" s="873"/>
      <c r="BN24" s="879">
        <f t="shared" si="30"/>
        <v>0</v>
      </c>
      <c r="BO24" s="883"/>
      <c r="BP24" s="883"/>
      <c r="BQ24" s="883"/>
      <c r="BR24" s="883"/>
      <c r="BS24" s="883"/>
      <c r="BT24" s="883"/>
      <c r="BU24" s="883"/>
      <c r="BV24" s="883"/>
      <c r="BW24" s="883"/>
      <c r="BX24" s="883"/>
      <c r="BY24" s="883"/>
      <c r="BZ24" s="873"/>
      <c r="CA24" s="879">
        <f t="shared" si="31"/>
        <v>0</v>
      </c>
      <c r="CB24" s="883"/>
      <c r="CC24" s="883"/>
      <c r="CD24" s="883"/>
      <c r="CE24" s="883"/>
      <c r="CF24" s="883"/>
      <c r="CG24" s="883"/>
      <c r="CH24" s="883"/>
      <c r="CI24" s="883"/>
      <c r="CJ24" s="883"/>
      <c r="CK24" s="883"/>
      <c r="CL24" s="883"/>
      <c r="CM24" s="873"/>
      <c r="CN24" s="879">
        <f t="shared" si="32"/>
        <v>0</v>
      </c>
      <c r="CO24" s="883"/>
      <c r="CP24" s="883"/>
      <c r="CQ24" s="883"/>
      <c r="CR24" s="883"/>
      <c r="CS24" s="883"/>
      <c r="CT24" s="883">
        <v>123</v>
      </c>
      <c r="CU24" s="883">
        <v>238</v>
      </c>
      <c r="CV24" s="883">
        <v>60</v>
      </c>
      <c r="CW24" s="883">
        <v>7</v>
      </c>
      <c r="CX24" s="883"/>
      <c r="CY24" s="883"/>
      <c r="CZ24" s="873">
        <v>119</v>
      </c>
      <c r="DA24" s="879">
        <f t="shared" si="38"/>
        <v>547</v>
      </c>
      <c r="DB24" s="883"/>
      <c r="DC24" s="883"/>
      <c r="DD24" s="883">
        <v>5</v>
      </c>
      <c r="DE24" s="883">
        <v>42</v>
      </c>
      <c r="DF24" s="883"/>
      <c r="DG24" s="883"/>
      <c r="DH24" s="883">
        <v>13</v>
      </c>
      <c r="DI24" s="883"/>
      <c r="DJ24" s="883">
        <v>18</v>
      </c>
      <c r="DK24" s="883">
        <v>9</v>
      </c>
      <c r="DL24" s="883"/>
      <c r="DM24" s="873"/>
      <c r="DN24" s="879">
        <f t="shared" si="33"/>
        <v>87</v>
      </c>
      <c r="DO24" s="883"/>
      <c r="DP24" s="883"/>
      <c r="DQ24" s="883"/>
      <c r="DR24" s="883"/>
      <c r="DS24" s="883">
        <v>7</v>
      </c>
      <c r="DT24" s="883"/>
      <c r="DU24" s="883"/>
      <c r="DV24" s="883">
        <v>14</v>
      </c>
      <c r="DW24" s="883">
        <v>7</v>
      </c>
      <c r="DX24" s="883"/>
      <c r="DY24" s="883"/>
      <c r="DZ24" s="873">
        <v>14</v>
      </c>
      <c r="EA24" s="879">
        <f t="shared" si="34"/>
        <v>42</v>
      </c>
      <c r="EB24" s="883">
        <v>0</v>
      </c>
      <c r="EC24" s="883">
        <v>0</v>
      </c>
      <c r="ED24" s="883">
        <v>0</v>
      </c>
      <c r="EE24" s="883">
        <v>0</v>
      </c>
      <c r="EF24" s="883">
        <v>0</v>
      </c>
      <c r="EG24" s="883">
        <v>0</v>
      </c>
      <c r="EH24" s="883">
        <v>0</v>
      </c>
      <c r="EI24" s="883">
        <v>8</v>
      </c>
      <c r="EJ24" s="883">
        <v>8</v>
      </c>
      <c r="EK24" s="883">
        <v>15</v>
      </c>
      <c r="EL24" s="883">
        <v>30</v>
      </c>
      <c r="EM24" s="873">
        <v>706</v>
      </c>
      <c r="EN24" s="879">
        <f t="shared" si="40"/>
        <v>767</v>
      </c>
      <c r="EO24" s="883">
        <v>0</v>
      </c>
      <c r="EP24" s="883">
        <v>56</v>
      </c>
      <c r="EQ24" s="883">
        <v>63</v>
      </c>
      <c r="ER24" s="883">
        <v>50</v>
      </c>
      <c r="ES24" s="883">
        <v>53</v>
      </c>
      <c r="ET24" s="883">
        <v>58</v>
      </c>
      <c r="EU24" s="883">
        <v>53</v>
      </c>
      <c r="EV24" s="973">
        <v>13</v>
      </c>
      <c r="EW24" s="883"/>
      <c r="EX24" s="883"/>
      <c r="EY24" s="883"/>
      <c r="EZ24" s="873"/>
      <c r="FA24" s="879">
        <f t="shared" si="36"/>
        <v>346</v>
      </c>
      <c r="FC24" s="843">
        <f t="shared" si="23"/>
        <v>62.5</v>
      </c>
      <c r="FD24" s="844">
        <f t="shared" si="39"/>
        <v>4225</v>
      </c>
      <c r="FE24" s="845">
        <f t="shared" si="24"/>
        <v>8</v>
      </c>
      <c r="FF24" s="846">
        <f t="shared" si="25"/>
        <v>346</v>
      </c>
      <c r="FH24" s="127">
        <f t="shared" si="37"/>
        <v>5</v>
      </c>
    </row>
    <row r="25" spans="1:164" ht="15" customHeight="1" x14ac:dyDescent="0.25">
      <c r="A25" s="403" t="s">
        <v>406</v>
      </c>
      <c r="B25" s="883"/>
      <c r="C25" s="883"/>
      <c r="D25" s="883">
        <v>11</v>
      </c>
      <c r="E25" s="883">
        <v>21</v>
      </c>
      <c r="F25" s="883">
        <v>35</v>
      </c>
      <c r="G25" s="883">
        <v>15844</v>
      </c>
      <c r="H25" s="883">
        <v>59</v>
      </c>
      <c r="I25" s="883">
        <v>1037</v>
      </c>
      <c r="J25" s="883">
        <v>24583</v>
      </c>
      <c r="K25" s="883">
        <v>734</v>
      </c>
      <c r="L25" s="883">
        <v>1083</v>
      </c>
      <c r="M25" s="873">
        <v>1098</v>
      </c>
      <c r="N25" s="879">
        <f t="shared" si="26"/>
        <v>44505</v>
      </c>
      <c r="O25" s="883">
        <v>1202</v>
      </c>
      <c r="P25" s="883">
        <v>2265</v>
      </c>
      <c r="Q25" s="883">
        <v>2069</v>
      </c>
      <c r="R25" s="883">
        <v>887</v>
      </c>
      <c r="S25" s="883">
        <v>1022</v>
      </c>
      <c r="T25" s="883">
        <v>1895</v>
      </c>
      <c r="U25" s="883">
        <v>2461</v>
      </c>
      <c r="V25" s="883">
        <v>3767</v>
      </c>
      <c r="W25" s="883">
        <v>2562</v>
      </c>
      <c r="X25" s="883">
        <v>1476</v>
      </c>
      <c r="Y25" s="883">
        <v>874</v>
      </c>
      <c r="Z25" s="873">
        <v>1768</v>
      </c>
      <c r="AA25" s="879">
        <f t="shared" si="27"/>
        <v>22248</v>
      </c>
      <c r="AB25" s="883">
        <v>3</v>
      </c>
      <c r="AC25" s="883">
        <v>608</v>
      </c>
      <c r="AD25" s="883">
        <v>698</v>
      </c>
      <c r="AE25" s="883">
        <v>216</v>
      </c>
      <c r="AF25" s="883">
        <v>344</v>
      </c>
      <c r="AG25" s="883">
        <v>744</v>
      </c>
      <c r="AH25" s="883">
        <v>913</v>
      </c>
      <c r="AI25" s="883">
        <v>798</v>
      </c>
      <c r="AJ25" s="883">
        <v>549</v>
      </c>
      <c r="AK25" s="883">
        <v>548</v>
      </c>
      <c r="AL25" s="883">
        <v>517</v>
      </c>
      <c r="AM25" s="873">
        <v>769</v>
      </c>
      <c r="AN25" s="879">
        <f t="shared" si="28"/>
        <v>6707</v>
      </c>
      <c r="AO25" s="883">
        <v>64</v>
      </c>
      <c r="AP25" s="883">
        <v>107</v>
      </c>
      <c r="AQ25" s="883">
        <v>117</v>
      </c>
      <c r="AR25" s="883">
        <v>430</v>
      </c>
      <c r="AS25" s="883">
        <v>149</v>
      </c>
      <c r="AT25" s="883">
        <v>124</v>
      </c>
      <c r="AU25" s="883">
        <v>4088</v>
      </c>
      <c r="AV25" s="883">
        <v>2475</v>
      </c>
      <c r="AW25" s="883">
        <v>7037</v>
      </c>
      <c r="AX25" s="883">
        <v>1114</v>
      </c>
      <c r="AY25" s="883">
        <v>1911</v>
      </c>
      <c r="AZ25" s="873">
        <v>2310</v>
      </c>
      <c r="BA25" s="879">
        <f t="shared" si="29"/>
        <v>19926</v>
      </c>
      <c r="BB25" s="883">
        <v>639</v>
      </c>
      <c r="BC25" s="883">
        <v>586</v>
      </c>
      <c r="BD25" s="883">
        <v>577</v>
      </c>
      <c r="BE25" s="883">
        <v>870</v>
      </c>
      <c r="BF25" s="883">
        <v>786</v>
      </c>
      <c r="BG25" s="883">
        <v>1138</v>
      </c>
      <c r="BH25" s="883">
        <v>1209</v>
      </c>
      <c r="BI25" s="883">
        <v>1219</v>
      </c>
      <c r="BJ25" s="883">
        <v>3701</v>
      </c>
      <c r="BK25" s="883">
        <v>1812</v>
      </c>
      <c r="BL25" s="883">
        <v>2237</v>
      </c>
      <c r="BM25" s="873">
        <v>2597</v>
      </c>
      <c r="BN25" s="879">
        <f t="shared" si="30"/>
        <v>17371</v>
      </c>
      <c r="BO25" s="883">
        <v>1772</v>
      </c>
      <c r="BP25" s="883">
        <v>1598</v>
      </c>
      <c r="BQ25" s="883">
        <v>1049</v>
      </c>
      <c r="BR25" s="883">
        <v>3</v>
      </c>
      <c r="BS25" s="883">
        <v>13</v>
      </c>
      <c r="BT25" s="883">
        <v>226</v>
      </c>
      <c r="BU25" s="883">
        <v>816</v>
      </c>
      <c r="BV25" s="883">
        <v>2132</v>
      </c>
      <c r="BW25" s="883">
        <v>73</v>
      </c>
      <c r="BX25" s="883">
        <v>2278</v>
      </c>
      <c r="BY25" s="883">
        <v>1774</v>
      </c>
      <c r="BZ25" s="873">
        <v>346</v>
      </c>
      <c r="CA25" s="879">
        <f t="shared" si="31"/>
        <v>12080</v>
      </c>
      <c r="CB25" s="883">
        <v>112</v>
      </c>
      <c r="CC25" s="883">
        <v>24</v>
      </c>
      <c r="CD25" s="883">
        <v>1784</v>
      </c>
      <c r="CE25" s="883">
        <v>376</v>
      </c>
      <c r="CF25" s="883">
        <v>130</v>
      </c>
      <c r="CG25" s="883">
        <v>99</v>
      </c>
      <c r="CH25" s="883">
        <v>37</v>
      </c>
      <c r="CI25" s="883">
        <v>32</v>
      </c>
      <c r="CJ25" s="883">
        <v>64</v>
      </c>
      <c r="CK25" s="883">
        <v>517</v>
      </c>
      <c r="CL25" s="883">
        <v>65</v>
      </c>
      <c r="CM25" s="873">
        <v>196</v>
      </c>
      <c r="CN25" s="879">
        <f t="shared" si="32"/>
        <v>3436</v>
      </c>
      <c r="CO25" s="883"/>
      <c r="CP25" s="883">
        <v>12</v>
      </c>
      <c r="CQ25" s="883">
        <v>61</v>
      </c>
      <c r="CR25" s="883">
        <v>38</v>
      </c>
      <c r="CS25" s="883">
        <v>59</v>
      </c>
      <c r="CT25" s="883">
        <v>27</v>
      </c>
      <c r="CU25" s="883">
        <v>50</v>
      </c>
      <c r="CV25" s="883">
        <v>52</v>
      </c>
      <c r="CW25" s="883">
        <v>64</v>
      </c>
      <c r="CX25" s="883">
        <v>65</v>
      </c>
      <c r="CY25" s="883">
        <v>47</v>
      </c>
      <c r="CZ25" s="873">
        <v>112</v>
      </c>
      <c r="DA25" s="879">
        <f t="shared" si="38"/>
        <v>587</v>
      </c>
      <c r="DB25" s="883">
        <v>4</v>
      </c>
      <c r="DC25" s="883">
        <v>66</v>
      </c>
      <c r="DD25" s="883">
        <v>138</v>
      </c>
      <c r="DE25" s="883">
        <v>116</v>
      </c>
      <c r="DF25" s="883">
        <v>106</v>
      </c>
      <c r="DG25" s="883">
        <v>61</v>
      </c>
      <c r="DH25" s="883">
        <v>17</v>
      </c>
      <c r="DI25" s="883">
        <v>136</v>
      </c>
      <c r="DJ25" s="883">
        <v>34</v>
      </c>
      <c r="DK25" s="883">
        <v>68</v>
      </c>
      <c r="DL25" s="883">
        <v>56</v>
      </c>
      <c r="DM25" s="873">
        <v>321</v>
      </c>
      <c r="DN25" s="879">
        <f t="shared" si="33"/>
        <v>1123</v>
      </c>
      <c r="DO25" s="883">
        <v>17</v>
      </c>
      <c r="DP25" s="883">
        <v>16</v>
      </c>
      <c r="DQ25" s="883">
        <v>17</v>
      </c>
      <c r="DR25" s="883">
        <v>11</v>
      </c>
      <c r="DS25" s="883">
        <v>21</v>
      </c>
      <c r="DT25" s="883">
        <v>744</v>
      </c>
      <c r="DU25" s="883">
        <v>39</v>
      </c>
      <c r="DV25" s="883">
        <v>304</v>
      </c>
      <c r="DW25" s="883">
        <v>1002</v>
      </c>
      <c r="DX25" s="883">
        <v>790</v>
      </c>
      <c r="DY25" s="883">
        <v>951</v>
      </c>
      <c r="DZ25" s="873">
        <v>702</v>
      </c>
      <c r="EA25" s="879">
        <f t="shared" si="34"/>
        <v>4614</v>
      </c>
      <c r="EB25" s="883">
        <v>0</v>
      </c>
      <c r="EC25" s="883">
        <v>0</v>
      </c>
      <c r="ED25" s="883">
        <v>124</v>
      </c>
      <c r="EE25" s="883">
        <v>63</v>
      </c>
      <c r="EF25" s="883">
        <v>1187</v>
      </c>
      <c r="EG25" s="883">
        <v>661</v>
      </c>
      <c r="EH25" s="883">
        <v>477</v>
      </c>
      <c r="EI25" s="883">
        <v>311</v>
      </c>
      <c r="EJ25" s="883">
        <v>391</v>
      </c>
      <c r="EK25" s="883">
        <v>813</v>
      </c>
      <c r="EL25" s="883">
        <v>917</v>
      </c>
      <c r="EM25" s="873">
        <v>401</v>
      </c>
      <c r="EN25" s="879">
        <f t="shared" si="40"/>
        <v>5345</v>
      </c>
      <c r="EO25" s="883">
        <v>9590</v>
      </c>
      <c r="EP25" s="883">
        <v>19</v>
      </c>
      <c r="EQ25" s="883">
        <v>137</v>
      </c>
      <c r="ER25" s="883">
        <v>285</v>
      </c>
      <c r="ES25" s="883">
        <v>12</v>
      </c>
      <c r="ET25" s="883">
        <v>1119</v>
      </c>
      <c r="EU25" s="883">
        <v>442</v>
      </c>
      <c r="EV25" s="973">
        <v>736</v>
      </c>
      <c r="EW25" s="883"/>
      <c r="EX25" s="883"/>
      <c r="EY25" s="883"/>
      <c r="EZ25" s="873"/>
      <c r="FA25" s="879">
        <f t="shared" si="36"/>
        <v>12340</v>
      </c>
      <c r="FC25" s="843">
        <f t="shared" si="23"/>
        <v>136.65594855305466</v>
      </c>
      <c r="FD25" s="844">
        <f t="shared" si="39"/>
        <v>337.12362734679419</v>
      </c>
      <c r="FE25" s="845">
        <f t="shared" si="24"/>
        <v>2823</v>
      </c>
      <c r="FF25" s="846">
        <f t="shared" si="25"/>
        <v>12340</v>
      </c>
      <c r="FH25" s="127">
        <f t="shared" si="37"/>
        <v>425</v>
      </c>
    </row>
    <row r="26" spans="1:164" ht="15" customHeight="1" x14ac:dyDescent="0.25">
      <c r="A26" s="403" t="s">
        <v>664</v>
      </c>
      <c r="B26" s="883"/>
      <c r="C26" s="883"/>
      <c r="D26" s="883"/>
      <c r="E26" s="883"/>
      <c r="F26" s="883"/>
      <c r="G26" s="883"/>
      <c r="H26" s="883"/>
      <c r="I26" s="883"/>
      <c r="J26" s="883">
        <v>13</v>
      </c>
      <c r="K26" s="883"/>
      <c r="L26" s="883">
        <v>14</v>
      </c>
      <c r="M26" s="873">
        <v>-2</v>
      </c>
      <c r="N26" s="879">
        <f t="shared" si="26"/>
        <v>25</v>
      </c>
      <c r="O26" s="883"/>
      <c r="P26" s="883">
        <v>8</v>
      </c>
      <c r="Q26" s="883">
        <v>15</v>
      </c>
      <c r="R26" s="883">
        <v>14</v>
      </c>
      <c r="S26" s="883">
        <v>14</v>
      </c>
      <c r="T26" s="883">
        <v>5</v>
      </c>
      <c r="U26" s="883">
        <v>54</v>
      </c>
      <c r="V26" s="883">
        <v>9</v>
      </c>
      <c r="W26" s="883">
        <v>9</v>
      </c>
      <c r="X26" s="883">
        <v>19</v>
      </c>
      <c r="Y26" s="883">
        <v>6</v>
      </c>
      <c r="Z26" s="873">
        <v>7</v>
      </c>
      <c r="AA26" s="879">
        <f t="shared" si="27"/>
        <v>160</v>
      </c>
      <c r="AB26" s="883"/>
      <c r="AC26" s="883"/>
      <c r="AD26" s="883"/>
      <c r="AE26" s="883"/>
      <c r="AF26" s="883"/>
      <c r="AG26" s="883">
        <v>27</v>
      </c>
      <c r="AH26" s="883"/>
      <c r="AI26" s="883"/>
      <c r="AJ26" s="883">
        <v>38</v>
      </c>
      <c r="AK26" s="883"/>
      <c r="AL26" s="883"/>
      <c r="AM26" s="873"/>
      <c r="AN26" s="879">
        <f t="shared" si="28"/>
        <v>65</v>
      </c>
      <c r="AO26" s="883"/>
      <c r="AP26" s="883">
        <v>2</v>
      </c>
      <c r="AQ26" s="883">
        <v>12</v>
      </c>
      <c r="AR26" s="883">
        <v>22</v>
      </c>
      <c r="AS26" s="883">
        <v>19</v>
      </c>
      <c r="AT26" s="883">
        <v>14</v>
      </c>
      <c r="AU26" s="883">
        <v>14</v>
      </c>
      <c r="AV26" s="883">
        <v>7</v>
      </c>
      <c r="AW26" s="883">
        <v>7</v>
      </c>
      <c r="AX26" s="883">
        <v>7</v>
      </c>
      <c r="AY26" s="883">
        <v>27</v>
      </c>
      <c r="AZ26" s="873">
        <v>38</v>
      </c>
      <c r="BA26" s="879">
        <f t="shared" si="29"/>
        <v>169</v>
      </c>
      <c r="BB26" s="883"/>
      <c r="BC26" s="883"/>
      <c r="BD26" s="883"/>
      <c r="BE26" s="883"/>
      <c r="BF26" s="883"/>
      <c r="BG26" s="883"/>
      <c r="BH26" s="883"/>
      <c r="BI26" s="883"/>
      <c r="BJ26" s="883"/>
      <c r="BK26" s="883">
        <v>6</v>
      </c>
      <c r="BL26" s="883"/>
      <c r="BM26" s="873">
        <v>5</v>
      </c>
      <c r="BN26" s="879">
        <f t="shared" si="30"/>
        <v>11</v>
      </c>
      <c r="BO26" s="883"/>
      <c r="BP26" s="883"/>
      <c r="BQ26" s="883"/>
      <c r="BR26" s="883"/>
      <c r="BS26" s="883"/>
      <c r="BT26" s="883"/>
      <c r="BU26" s="883"/>
      <c r="BV26" s="883">
        <v>5</v>
      </c>
      <c r="BW26" s="883">
        <v>6</v>
      </c>
      <c r="BX26" s="883"/>
      <c r="BY26" s="883"/>
      <c r="BZ26" s="873">
        <v>20</v>
      </c>
      <c r="CA26" s="879">
        <f t="shared" si="31"/>
        <v>31</v>
      </c>
      <c r="CB26" s="883"/>
      <c r="CC26" s="883">
        <v>31</v>
      </c>
      <c r="CD26" s="883">
        <v>8</v>
      </c>
      <c r="CE26" s="883">
        <v>7</v>
      </c>
      <c r="CF26" s="883"/>
      <c r="CG26" s="883"/>
      <c r="CH26" s="883"/>
      <c r="CI26" s="883"/>
      <c r="CJ26" s="883"/>
      <c r="CK26" s="883"/>
      <c r="CL26" s="883"/>
      <c r="CM26" s="873">
        <v>43</v>
      </c>
      <c r="CN26" s="879">
        <f t="shared" si="32"/>
        <v>89</v>
      </c>
      <c r="CO26" s="883"/>
      <c r="CP26" s="883"/>
      <c r="CQ26" s="883"/>
      <c r="CR26" s="883"/>
      <c r="CS26" s="883">
        <v>7</v>
      </c>
      <c r="CT26" s="883">
        <v>14</v>
      </c>
      <c r="CU26" s="883">
        <v>7</v>
      </c>
      <c r="CV26" s="883">
        <v>7</v>
      </c>
      <c r="CW26" s="883">
        <v>41</v>
      </c>
      <c r="CX26" s="883">
        <v>7</v>
      </c>
      <c r="CY26" s="883">
        <v>7</v>
      </c>
      <c r="CZ26" s="873">
        <v>7</v>
      </c>
      <c r="DA26" s="879">
        <f t="shared" si="38"/>
        <v>97</v>
      </c>
      <c r="DB26" s="883"/>
      <c r="DC26" s="883"/>
      <c r="DD26" s="883"/>
      <c r="DE26" s="883"/>
      <c r="DF26" s="883"/>
      <c r="DG26" s="883"/>
      <c r="DH26" s="883">
        <v>8</v>
      </c>
      <c r="DI26" s="883">
        <v>9</v>
      </c>
      <c r="DJ26" s="883">
        <v>16</v>
      </c>
      <c r="DK26" s="883"/>
      <c r="DL26" s="883">
        <v>8</v>
      </c>
      <c r="DM26" s="873">
        <v>43</v>
      </c>
      <c r="DN26" s="879">
        <f t="shared" si="33"/>
        <v>84</v>
      </c>
      <c r="DO26" s="883"/>
      <c r="DP26" s="883">
        <v>2</v>
      </c>
      <c r="DQ26" s="883"/>
      <c r="DR26" s="883">
        <v>14</v>
      </c>
      <c r="DS26" s="883">
        <v>20</v>
      </c>
      <c r="DT26" s="883"/>
      <c r="DU26" s="883"/>
      <c r="DV26" s="883"/>
      <c r="DW26" s="883"/>
      <c r="DX26" s="883">
        <v>4</v>
      </c>
      <c r="DY26" s="883"/>
      <c r="DZ26" s="873">
        <v>42</v>
      </c>
      <c r="EA26" s="879">
        <f t="shared" si="34"/>
        <v>82</v>
      </c>
      <c r="EB26" s="883">
        <v>0</v>
      </c>
      <c r="EC26" s="883">
        <v>0</v>
      </c>
      <c r="ED26" s="883">
        <v>0</v>
      </c>
      <c r="EE26" s="883">
        <v>454</v>
      </c>
      <c r="EF26" s="883">
        <v>9</v>
      </c>
      <c r="EG26" s="883">
        <v>18</v>
      </c>
      <c r="EH26" s="883">
        <v>0</v>
      </c>
      <c r="EI26" s="883">
        <v>13</v>
      </c>
      <c r="EJ26" s="883">
        <v>92</v>
      </c>
      <c r="EK26" s="883">
        <v>13</v>
      </c>
      <c r="EL26" s="883">
        <v>25</v>
      </c>
      <c r="EM26" s="873">
        <v>0</v>
      </c>
      <c r="EN26" s="879">
        <f t="shared" si="40"/>
        <v>624</v>
      </c>
      <c r="EO26" s="883">
        <v>0</v>
      </c>
      <c r="EP26" s="883">
        <v>0</v>
      </c>
      <c r="EQ26" s="883">
        <v>0</v>
      </c>
      <c r="ER26" s="883">
        <v>0</v>
      </c>
      <c r="ES26" s="883">
        <v>0</v>
      </c>
      <c r="ET26" s="883">
        <v>0</v>
      </c>
      <c r="EU26" s="883">
        <v>0</v>
      </c>
      <c r="EV26" s="973">
        <v>0</v>
      </c>
      <c r="EW26" s="883"/>
      <c r="EX26" s="883"/>
      <c r="EY26" s="883"/>
      <c r="EZ26" s="873"/>
      <c r="FA26" s="879">
        <f t="shared" si="36"/>
        <v>0</v>
      </c>
      <c r="FC26" s="843">
        <f t="shared" si="23"/>
        <v>-100</v>
      </c>
      <c r="FD26" s="844">
        <f t="shared" si="39"/>
        <v>-100</v>
      </c>
      <c r="FE26" s="845">
        <f t="shared" si="24"/>
        <v>494</v>
      </c>
      <c r="FF26" s="846">
        <f t="shared" si="25"/>
        <v>0</v>
      </c>
      <c r="FH26" s="127">
        <f t="shared" si="37"/>
        <v>-13</v>
      </c>
    </row>
    <row r="27" spans="1:164" ht="15" customHeight="1" x14ac:dyDescent="0.25">
      <c r="A27" s="403" t="s">
        <v>407</v>
      </c>
      <c r="B27" s="883"/>
      <c r="C27" s="883"/>
      <c r="D27" s="883"/>
      <c r="E27" s="883"/>
      <c r="F27" s="883"/>
      <c r="G27" s="883">
        <v>12</v>
      </c>
      <c r="H27" s="883"/>
      <c r="I27" s="883">
        <v>8</v>
      </c>
      <c r="J27" s="883"/>
      <c r="K27" s="883"/>
      <c r="L27" s="883">
        <v>22</v>
      </c>
      <c r="M27" s="873">
        <v>4</v>
      </c>
      <c r="N27" s="879">
        <f t="shared" si="26"/>
        <v>46</v>
      </c>
      <c r="O27" s="883"/>
      <c r="P27" s="883"/>
      <c r="Q27" s="883"/>
      <c r="R27" s="883">
        <v>31</v>
      </c>
      <c r="S27" s="883">
        <v>-31</v>
      </c>
      <c r="T27" s="883">
        <v>7</v>
      </c>
      <c r="U27" s="883">
        <v>24</v>
      </c>
      <c r="V27" s="883">
        <v>-3</v>
      </c>
      <c r="W27" s="883"/>
      <c r="X27" s="883">
        <v>51</v>
      </c>
      <c r="Y27" s="883">
        <v>-3</v>
      </c>
      <c r="Z27" s="873">
        <v>14</v>
      </c>
      <c r="AA27" s="879">
        <f t="shared" si="27"/>
        <v>90</v>
      </c>
      <c r="AB27" s="883"/>
      <c r="AC27" s="883">
        <v>56</v>
      </c>
      <c r="AD27" s="883">
        <v>14</v>
      </c>
      <c r="AE27" s="883">
        <v>-21</v>
      </c>
      <c r="AF27" s="883">
        <v>-7</v>
      </c>
      <c r="AG27" s="883">
        <v>46</v>
      </c>
      <c r="AH27" s="883">
        <v>58</v>
      </c>
      <c r="AI27" s="883">
        <v>7</v>
      </c>
      <c r="AJ27" s="883">
        <v>28</v>
      </c>
      <c r="AK27" s="883">
        <v>40</v>
      </c>
      <c r="AL27" s="883">
        <v>16</v>
      </c>
      <c r="AM27" s="873">
        <v>107</v>
      </c>
      <c r="AN27" s="879">
        <f t="shared" si="28"/>
        <v>344</v>
      </c>
      <c r="AO27" s="883"/>
      <c r="AP27" s="883">
        <v>1</v>
      </c>
      <c r="AQ27" s="883">
        <v>33</v>
      </c>
      <c r="AR27" s="883">
        <v>22</v>
      </c>
      <c r="AS27" s="883">
        <v>-21</v>
      </c>
      <c r="AT27" s="883"/>
      <c r="AU27" s="883">
        <v>12</v>
      </c>
      <c r="AV27" s="883">
        <v>20</v>
      </c>
      <c r="AW27" s="883">
        <v>7</v>
      </c>
      <c r="AX27" s="883">
        <v>11</v>
      </c>
      <c r="AY27" s="883">
        <v>125</v>
      </c>
      <c r="AZ27" s="873">
        <v>177</v>
      </c>
      <c r="BA27" s="879">
        <f t="shared" si="29"/>
        <v>387</v>
      </c>
      <c r="BB27" s="883"/>
      <c r="BC27" s="883">
        <v>7</v>
      </c>
      <c r="BD27" s="883">
        <v>16</v>
      </c>
      <c r="BE27" s="883">
        <v>26</v>
      </c>
      <c r="BF27" s="883">
        <v>88</v>
      </c>
      <c r="BG27" s="883">
        <v>146</v>
      </c>
      <c r="BH27" s="883">
        <v>128</v>
      </c>
      <c r="BI27" s="883">
        <v>177</v>
      </c>
      <c r="BJ27" s="883">
        <v>258</v>
      </c>
      <c r="BK27" s="883">
        <v>181</v>
      </c>
      <c r="BL27" s="883">
        <v>150</v>
      </c>
      <c r="BM27" s="873">
        <v>743</v>
      </c>
      <c r="BN27" s="879">
        <f t="shared" si="30"/>
        <v>1920</v>
      </c>
      <c r="BO27" s="883"/>
      <c r="BP27" s="883"/>
      <c r="BQ27" s="883"/>
      <c r="BR27" s="883"/>
      <c r="BS27" s="883"/>
      <c r="BT27" s="883"/>
      <c r="BU27" s="883"/>
      <c r="BV27" s="883">
        <v>33</v>
      </c>
      <c r="BW27" s="883">
        <v>85</v>
      </c>
      <c r="BX27" s="883">
        <v>18</v>
      </c>
      <c r="BY27" s="883">
        <v>36</v>
      </c>
      <c r="BZ27" s="873">
        <v>403</v>
      </c>
      <c r="CA27" s="879">
        <f t="shared" si="31"/>
        <v>575</v>
      </c>
      <c r="CB27" s="883"/>
      <c r="CC27" s="883"/>
      <c r="CD27" s="883">
        <v>4</v>
      </c>
      <c r="CE27" s="883">
        <v>2</v>
      </c>
      <c r="CF27" s="883">
        <v>525</v>
      </c>
      <c r="CG27" s="883">
        <v>5</v>
      </c>
      <c r="CH27" s="883">
        <v>166</v>
      </c>
      <c r="CI27" s="883">
        <v>135</v>
      </c>
      <c r="CJ27" s="883">
        <v>49</v>
      </c>
      <c r="CK27" s="883">
        <v>6</v>
      </c>
      <c r="CL27" s="883">
        <v>82</v>
      </c>
      <c r="CM27" s="873">
        <v>508</v>
      </c>
      <c r="CN27" s="879">
        <f t="shared" si="32"/>
        <v>1482</v>
      </c>
      <c r="CO27" s="883"/>
      <c r="CP27" s="883">
        <v>13</v>
      </c>
      <c r="CQ27" s="883">
        <v>398</v>
      </c>
      <c r="CR27" s="883">
        <v>20</v>
      </c>
      <c r="CS27" s="883">
        <v>20</v>
      </c>
      <c r="CT27" s="883">
        <v>25</v>
      </c>
      <c r="CU27" s="883">
        <v>601</v>
      </c>
      <c r="CV27" s="883">
        <v>103</v>
      </c>
      <c r="CW27" s="883">
        <v>123</v>
      </c>
      <c r="CX27" s="883">
        <v>66</v>
      </c>
      <c r="CY27" s="883">
        <v>53</v>
      </c>
      <c r="CZ27" s="873">
        <v>2675</v>
      </c>
      <c r="DA27" s="879">
        <f t="shared" si="38"/>
        <v>4097</v>
      </c>
      <c r="DB27" s="883"/>
      <c r="DC27" s="883"/>
      <c r="DD27" s="883"/>
      <c r="DE27" s="883">
        <v>8</v>
      </c>
      <c r="DF27" s="883">
        <v>236</v>
      </c>
      <c r="DG27" s="883">
        <v>-2</v>
      </c>
      <c r="DH27" s="883">
        <v>116</v>
      </c>
      <c r="DI27" s="883">
        <v>126</v>
      </c>
      <c r="DJ27" s="883">
        <v>-9</v>
      </c>
      <c r="DK27" s="883">
        <v>100</v>
      </c>
      <c r="DL27" s="883">
        <v>327</v>
      </c>
      <c r="DM27" s="873">
        <v>60</v>
      </c>
      <c r="DN27" s="879">
        <f t="shared" si="33"/>
        <v>962</v>
      </c>
      <c r="DO27" s="883">
        <v>50</v>
      </c>
      <c r="DP27" s="883">
        <v>8</v>
      </c>
      <c r="DQ27" s="883">
        <v>90</v>
      </c>
      <c r="DR27" s="883">
        <v>54</v>
      </c>
      <c r="DS27" s="883">
        <v>6</v>
      </c>
      <c r="DT27" s="883">
        <v>24</v>
      </c>
      <c r="DU27" s="883">
        <v>20</v>
      </c>
      <c r="DV27" s="883">
        <v>22</v>
      </c>
      <c r="DW27" s="883">
        <v>86</v>
      </c>
      <c r="DX27" s="883">
        <v>462</v>
      </c>
      <c r="DY27" s="883">
        <v>128</v>
      </c>
      <c r="DZ27" s="873">
        <v>464</v>
      </c>
      <c r="EA27" s="879">
        <f t="shared" si="34"/>
        <v>1414</v>
      </c>
      <c r="EB27" s="883">
        <v>6</v>
      </c>
      <c r="EC27" s="883">
        <v>53</v>
      </c>
      <c r="ED27" s="883">
        <v>53</v>
      </c>
      <c r="EE27" s="883">
        <v>163</v>
      </c>
      <c r="EF27" s="883">
        <v>37</v>
      </c>
      <c r="EG27" s="883">
        <v>31</v>
      </c>
      <c r="EH27" s="883">
        <v>60</v>
      </c>
      <c r="EI27" s="883">
        <v>41</v>
      </c>
      <c r="EJ27" s="883">
        <v>3464</v>
      </c>
      <c r="EK27" s="883">
        <v>73</v>
      </c>
      <c r="EL27" s="883">
        <v>91</v>
      </c>
      <c r="EM27" s="873">
        <v>232</v>
      </c>
      <c r="EN27" s="879">
        <f>SUM(EB27:EM27)</f>
        <v>4304</v>
      </c>
      <c r="EO27" s="883">
        <v>1753</v>
      </c>
      <c r="EP27" s="883">
        <v>136</v>
      </c>
      <c r="EQ27" s="883">
        <v>109</v>
      </c>
      <c r="ER27" s="883">
        <v>1965</v>
      </c>
      <c r="ES27" s="883">
        <v>688</v>
      </c>
      <c r="ET27" s="883">
        <v>388</v>
      </c>
      <c r="EU27" s="883">
        <v>155</v>
      </c>
      <c r="EV27" s="973">
        <v>84</v>
      </c>
      <c r="EW27" s="883"/>
      <c r="EX27" s="883"/>
      <c r="EY27" s="883"/>
      <c r="EZ27" s="873"/>
      <c r="FA27" s="879">
        <f>SUM(EO27:EZ27)</f>
        <v>5278</v>
      </c>
      <c r="FC27" s="843">
        <f t="shared" si="23"/>
        <v>104.8780487804878</v>
      </c>
      <c r="FD27" s="844">
        <f t="shared" si="39"/>
        <v>1088.7387387387387</v>
      </c>
      <c r="FE27" s="845">
        <f t="shared" si="24"/>
        <v>444</v>
      </c>
      <c r="FF27" s="846">
        <f t="shared" si="25"/>
        <v>5278</v>
      </c>
      <c r="FH27" s="127">
        <f t="shared" si="37"/>
        <v>43</v>
      </c>
    </row>
    <row r="28" spans="1:164" ht="15" customHeight="1" x14ac:dyDescent="0.25">
      <c r="A28" s="403"/>
      <c r="B28" s="883"/>
      <c r="C28" s="883"/>
      <c r="D28" s="883"/>
      <c r="E28" s="883"/>
      <c r="F28" s="883"/>
      <c r="G28" s="883"/>
      <c r="H28" s="883"/>
      <c r="I28" s="883"/>
      <c r="J28" s="883"/>
      <c r="K28" s="883"/>
      <c r="L28" s="883"/>
      <c r="M28" s="873"/>
      <c r="N28" s="879"/>
      <c r="O28" s="883"/>
      <c r="P28" s="883"/>
      <c r="Q28" s="883"/>
      <c r="R28" s="883"/>
      <c r="S28" s="883"/>
      <c r="T28" s="883"/>
      <c r="U28" s="883"/>
      <c r="V28" s="883"/>
      <c r="W28" s="883"/>
      <c r="X28" s="883"/>
      <c r="Y28" s="883"/>
      <c r="Z28" s="873"/>
      <c r="AA28" s="879"/>
      <c r="AB28" s="883"/>
      <c r="AC28" s="883"/>
      <c r="AD28" s="883"/>
      <c r="AE28" s="883"/>
      <c r="AF28" s="883"/>
      <c r="AG28" s="883"/>
      <c r="AH28" s="883"/>
      <c r="AI28" s="883"/>
      <c r="AJ28" s="883"/>
      <c r="AK28" s="883"/>
      <c r="AL28" s="883"/>
      <c r="AM28" s="873"/>
      <c r="AN28" s="879"/>
      <c r="AO28" s="883"/>
      <c r="AP28" s="883"/>
      <c r="AQ28" s="883"/>
      <c r="AR28" s="883"/>
      <c r="AS28" s="883"/>
      <c r="AT28" s="883"/>
      <c r="AU28" s="883"/>
      <c r="AV28" s="883"/>
      <c r="AW28" s="883"/>
      <c r="AX28" s="883"/>
      <c r="AY28" s="883"/>
      <c r="AZ28" s="873"/>
      <c r="BA28" s="879"/>
      <c r="BB28" s="883"/>
      <c r="BC28" s="883"/>
      <c r="BD28" s="883"/>
      <c r="BE28" s="883"/>
      <c r="BF28" s="883"/>
      <c r="BG28" s="883"/>
      <c r="BH28" s="883"/>
      <c r="BI28" s="883"/>
      <c r="BJ28" s="883"/>
      <c r="BK28" s="883"/>
      <c r="BL28" s="883"/>
      <c r="BM28" s="873"/>
      <c r="BN28" s="879"/>
      <c r="BO28" s="883"/>
      <c r="BP28" s="883"/>
      <c r="BQ28" s="883"/>
      <c r="BR28" s="883"/>
      <c r="BS28" s="883"/>
      <c r="BT28" s="883"/>
      <c r="BU28" s="883"/>
      <c r="BV28" s="883"/>
      <c r="BW28" s="883"/>
      <c r="BX28" s="883"/>
      <c r="BY28" s="883"/>
      <c r="BZ28" s="873"/>
      <c r="CA28" s="879"/>
      <c r="CB28" s="883"/>
      <c r="CC28" s="883"/>
      <c r="CD28" s="883"/>
      <c r="CE28" s="883"/>
      <c r="CF28" s="883"/>
      <c r="CG28" s="883"/>
      <c r="CH28" s="883"/>
      <c r="CI28" s="883"/>
      <c r="CJ28" s="883"/>
      <c r="CK28" s="883"/>
      <c r="CL28" s="883"/>
      <c r="CM28" s="873"/>
      <c r="CN28" s="879"/>
      <c r="CO28" s="883"/>
      <c r="CP28" s="883"/>
      <c r="CQ28" s="883"/>
      <c r="CR28" s="883"/>
      <c r="CS28" s="883"/>
      <c r="CT28" s="883"/>
      <c r="CU28" s="883"/>
      <c r="CV28" s="883"/>
      <c r="CW28" s="883"/>
      <c r="CX28" s="883"/>
      <c r="CY28" s="883"/>
      <c r="CZ28" s="873"/>
      <c r="DA28" s="879"/>
      <c r="DB28" s="883"/>
      <c r="DC28" s="883"/>
      <c r="DD28" s="883"/>
      <c r="DE28" s="883"/>
      <c r="DF28" s="883"/>
      <c r="DG28" s="883"/>
      <c r="DH28" s="883"/>
      <c r="DI28" s="883"/>
      <c r="DJ28" s="883"/>
      <c r="DK28" s="883"/>
      <c r="DL28" s="883"/>
      <c r="DM28" s="873"/>
      <c r="DN28" s="879"/>
      <c r="DO28" s="883"/>
      <c r="DP28" s="883"/>
      <c r="DQ28" s="883"/>
      <c r="DR28" s="883"/>
      <c r="DS28" s="883"/>
      <c r="DT28" s="883"/>
      <c r="DU28" s="883"/>
      <c r="DV28" s="883"/>
      <c r="DW28" s="883"/>
      <c r="DX28" s="883"/>
      <c r="DY28" s="883"/>
      <c r="DZ28" s="873"/>
      <c r="EA28" s="879"/>
      <c r="EB28" s="883"/>
      <c r="EC28" s="883"/>
      <c r="ED28" s="883"/>
      <c r="EE28" s="883"/>
      <c r="EF28" s="883"/>
      <c r="EG28" s="883"/>
      <c r="EH28" s="883"/>
      <c r="EI28" s="883"/>
      <c r="EJ28" s="883"/>
      <c r="EK28" s="883"/>
      <c r="EL28" s="883"/>
      <c r="EM28" s="873"/>
      <c r="EN28" s="879"/>
      <c r="EO28" s="883"/>
      <c r="EP28" s="883"/>
      <c r="EQ28" s="883"/>
      <c r="ER28" s="883"/>
      <c r="ES28" s="883"/>
      <c r="ET28" s="883"/>
      <c r="EU28" s="883"/>
      <c r="EV28" s="973"/>
      <c r="EW28" s="883"/>
      <c r="EX28" s="883"/>
      <c r="EY28" s="883"/>
      <c r="EZ28" s="873"/>
      <c r="FA28" s="879"/>
      <c r="FC28" s="843"/>
      <c r="FD28" s="844"/>
      <c r="FE28" s="845"/>
      <c r="FF28" s="846"/>
      <c r="FH28" s="127"/>
    </row>
    <row r="29" spans="1:164" s="753" customFormat="1" ht="15" customHeight="1" x14ac:dyDescent="0.25">
      <c r="A29" s="822" t="s">
        <v>226</v>
      </c>
      <c r="B29" s="884">
        <f t="shared" ref="B29:M29" si="41">SUM(B30:B34)</f>
        <v>7110</v>
      </c>
      <c r="C29" s="884">
        <f t="shared" si="41"/>
        <v>7345</v>
      </c>
      <c r="D29" s="884">
        <f t="shared" si="41"/>
        <v>6379</v>
      </c>
      <c r="E29" s="884">
        <f t="shared" si="41"/>
        <v>7630</v>
      </c>
      <c r="F29" s="884">
        <f t="shared" si="41"/>
        <v>3977</v>
      </c>
      <c r="G29" s="884">
        <f t="shared" si="41"/>
        <v>21705</v>
      </c>
      <c r="H29" s="884">
        <f t="shared" si="41"/>
        <v>8386</v>
      </c>
      <c r="I29" s="884">
        <f t="shared" si="41"/>
        <v>10429</v>
      </c>
      <c r="J29" s="884">
        <f t="shared" si="41"/>
        <v>32024</v>
      </c>
      <c r="K29" s="884">
        <f t="shared" si="41"/>
        <v>25205</v>
      </c>
      <c r="L29" s="884">
        <f t="shared" si="41"/>
        <v>26265</v>
      </c>
      <c r="M29" s="875">
        <f t="shared" si="41"/>
        <v>99326</v>
      </c>
      <c r="N29" s="876">
        <f t="shared" ref="N29:N34" si="42">SUM(B29:M29)</f>
        <v>255781</v>
      </c>
      <c r="O29" s="884">
        <f t="shared" ref="O29:Z29" si="43">SUM(O30:O34)</f>
        <v>2382</v>
      </c>
      <c r="P29" s="884">
        <f t="shared" si="43"/>
        <v>20131</v>
      </c>
      <c r="Q29" s="884">
        <f t="shared" si="43"/>
        <v>20987</v>
      </c>
      <c r="R29" s="884">
        <f t="shared" si="43"/>
        <v>30202</v>
      </c>
      <c r="S29" s="884">
        <f t="shared" si="43"/>
        <v>16509</v>
      </c>
      <c r="T29" s="884">
        <f t="shared" si="43"/>
        <v>26685</v>
      </c>
      <c r="U29" s="884">
        <f t="shared" si="43"/>
        <v>28765</v>
      </c>
      <c r="V29" s="884">
        <f t="shared" si="43"/>
        <v>62082</v>
      </c>
      <c r="W29" s="884">
        <f t="shared" si="43"/>
        <v>37080</v>
      </c>
      <c r="X29" s="884">
        <f t="shared" si="43"/>
        <v>27661</v>
      </c>
      <c r="Y29" s="884">
        <f t="shared" si="43"/>
        <v>48121</v>
      </c>
      <c r="Z29" s="875">
        <f t="shared" si="43"/>
        <v>57630</v>
      </c>
      <c r="AA29" s="876">
        <f t="shared" ref="AA29:AA34" si="44">SUM(O29:Z29)</f>
        <v>378235</v>
      </c>
      <c r="AB29" s="884">
        <f t="shared" ref="AB29:AM29" si="45">SUM(AB30:AB34)</f>
        <v>13012</v>
      </c>
      <c r="AC29" s="884">
        <f t="shared" si="45"/>
        <v>46987</v>
      </c>
      <c r="AD29" s="884">
        <f t="shared" si="45"/>
        <v>13838</v>
      </c>
      <c r="AE29" s="884">
        <f t="shared" si="45"/>
        <v>16187</v>
      </c>
      <c r="AF29" s="884">
        <f t="shared" si="45"/>
        <v>21693</v>
      </c>
      <c r="AG29" s="884">
        <f t="shared" si="45"/>
        <v>32641</v>
      </c>
      <c r="AH29" s="884">
        <f t="shared" si="45"/>
        <v>44231</v>
      </c>
      <c r="AI29" s="884">
        <f t="shared" si="45"/>
        <v>33027</v>
      </c>
      <c r="AJ29" s="884">
        <f t="shared" si="45"/>
        <v>32150</v>
      </c>
      <c r="AK29" s="884">
        <f t="shared" si="45"/>
        <v>30612</v>
      </c>
      <c r="AL29" s="884">
        <f t="shared" si="45"/>
        <v>24896</v>
      </c>
      <c r="AM29" s="875">
        <f t="shared" si="45"/>
        <v>19826</v>
      </c>
      <c r="AN29" s="876">
        <f t="shared" ref="AN29:AN34" si="46">SUM(AB29:AM29)</f>
        <v>329100</v>
      </c>
      <c r="AO29" s="884">
        <f t="shared" ref="AO29:AZ29" si="47">SUM(AO30:AO34)</f>
        <v>8310</v>
      </c>
      <c r="AP29" s="884">
        <f t="shared" si="47"/>
        <v>5500</v>
      </c>
      <c r="AQ29" s="884">
        <f t="shared" si="47"/>
        <v>4852</v>
      </c>
      <c r="AR29" s="884">
        <f t="shared" si="47"/>
        <v>5720</v>
      </c>
      <c r="AS29" s="884">
        <f t="shared" si="47"/>
        <v>5029</v>
      </c>
      <c r="AT29" s="884">
        <f t="shared" si="47"/>
        <v>4612</v>
      </c>
      <c r="AU29" s="884">
        <f t="shared" si="47"/>
        <v>7010</v>
      </c>
      <c r="AV29" s="884">
        <f t="shared" si="47"/>
        <v>11102</v>
      </c>
      <c r="AW29" s="884">
        <f t="shared" si="47"/>
        <v>8737</v>
      </c>
      <c r="AX29" s="884">
        <f t="shared" si="47"/>
        <v>5331</v>
      </c>
      <c r="AY29" s="884">
        <f t="shared" si="47"/>
        <v>5070</v>
      </c>
      <c r="AZ29" s="875">
        <f t="shared" si="47"/>
        <v>18900</v>
      </c>
      <c r="BA29" s="876">
        <f t="shared" ref="BA29:BA34" si="48">SUM(AO29:AZ29)</f>
        <v>90173</v>
      </c>
      <c r="BB29" s="884">
        <f>SUM(BB30:BB34)</f>
        <v>678</v>
      </c>
      <c r="BC29" s="884">
        <f>SUM(BC30:BC34)</f>
        <v>1200</v>
      </c>
      <c r="BD29" s="884">
        <f>SUM(BD30:BD34)</f>
        <v>1999</v>
      </c>
      <c r="BE29" s="884">
        <f t="shared" ref="BE29:BM29" si="49">SUM(BE30:BE34)</f>
        <v>4856</v>
      </c>
      <c r="BF29" s="884">
        <f t="shared" si="49"/>
        <v>2724</v>
      </c>
      <c r="BG29" s="884">
        <f t="shared" si="49"/>
        <v>5732</v>
      </c>
      <c r="BH29" s="884">
        <f t="shared" si="49"/>
        <v>5208</v>
      </c>
      <c r="BI29" s="884">
        <f t="shared" si="49"/>
        <v>4647</v>
      </c>
      <c r="BJ29" s="884">
        <f t="shared" si="49"/>
        <v>8766</v>
      </c>
      <c r="BK29" s="884">
        <f t="shared" si="49"/>
        <v>9642</v>
      </c>
      <c r="BL29" s="884">
        <f t="shared" si="49"/>
        <v>29487</v>
      </c>
      <c r="BM29" s="875">
        <f t="shared" si="49"/>
        <v>42944</v>
      </c>
      <c r="BN29" s="876">
        <f t="shared" ref="BN29:BN34" si="50">SUM(BB29:BM29)</f>
        <v>117883</v>
      </c>
      <c r="BO29" s="884">
        <f t="shared" ref="BO29:BZ29" si="51">SUM(BO30:BO34)</f>
        <v>3150</v>
      </c>
      <c r="BP29" s="884">
        <f t="shared" si="51"/>
        <v>3599</v>
      </c>
      <c r="BQ29" s="884">
        <f t="shared" si="51"/>
        <v>2410</v>
      </c>
      <c r="BR29" s="884">
        <f t="shared" si="51"/>
        <v>1000</v>
      </c>
      <c r="BS29" s="884">
        <f t="shared" si="51"/>
        <v>1287</v>
      </c>
      <c r="BT29" s="884">
        <f t="shared" si="51"/>
        <v>734</v>
      </c>
      <c r="BU29" s="884">
        <f t="shared" si="51"/>
        <v>1755</v>
      </c>
      <c r="BV29" s="884">
        <f t="shared" si="51"/>
        <v>20841</v>
      </c>
      <c r="BW29" s="884">
        <f t="shared" si="51"/>
        <v>8544</v>
      </c>
      <c r="BX29" s="884">
        <f t="shared" si="51"/>
        <v>14284</v>
      </c>
      <c r="BY29" s="884">
        <f t="shared" si="51"/>
        <v>13040</v>
      </c>
      <c r="BZ29" s="875">
        <f t="shared" si="51"/>
        <v>18689</v>
      </c>
      <c r="CA29" s="876">
        <f t="shared" ref="CA29:CA34" si="52">SUM(BO29:BZ29)</f>
        <v>89333</v>
      </c>
      <c r="CB29" s="884">
        <f t="shared" ref="CB29:CM29" si="53">SUM(CB30:CB34)</f>
        <v>1171</v>
      </c>
      <c r="CC29" s="884">
        <f t="shared" si="53"/>
        <v>4435</v>
      </c>
      <c r="CD29" s="884">
        <f t="shared" si="53"/>
        <v>9334</v>
      </c>
      <c r="CE29" s="884">
        <f t="shared" si="53"/>
        <v>7110</v>
      </c>
      <c r="CF29" s="884">
        <f t="shared" si="53"/>
        <v>10614</v>
      </c>
      <c r="CG29" s="884">
        <f t="shared" si="53"/>
        <v>10366</v>
      </c>
      <c r="CH29" s="884">
        <f t="shared" si="53"/>
        <v>9071</v>
      </c>
      <c r="CI29" s="884">
        <f t="shared" si="53"/>
        <v>8052</v>
      </c>
      <c r="CJ29" s="884">
        <f t="shared" si="53"/>
        <v>9853</v>
      </c>
      <c r="CK29" s="884">
        <f t="shared" si="53"/>
        <v>6415</v>
      </c>
      <c r="CL29" s="884">
        <f t="shared" si="53"/>
        <v>8491</v>
      </c>
      <c r="CM29" s="875">
        <f t="shared" si="53"/>
        <v>17138</v>
      </c>
      <c r="CN29" s="876">
        <f t="shared" si="32"/>
        <v>102050</v>
      </c>
      <c r="CO29" s="884">
        <f t="shared" ref="CO29:CZ29" si="54">SUM(CO30:CO34)</f>
        <v>876</v>
      </c>
      <c r="CP29" s="884">
        <f t="shared" si="54"/>
        <v>2017</v>
      </c>
      <c r="CQ29" s="884">
        <f t="shared" si="54"/>
        <v>4182</v>
      </c>
      <c r="CR29" s="884">
        <f t="shared" si="54"/>
        <v>3232</v>
      </c>
      <c r="CS29" s="884">
        <f t="shared" si="54"/>
        <v>2397</v>
      </c>
      <c r="CT29" s="884">
        <f t="shared" si="54"/>
        <v>2854</v>
      </c>
      <c r="CU29" s="884">
        <f t="shared" si="54"/>
        <v>5391</v>
      </c>
      <c r="CV29" s="884">
        <f t="shared" si="54"/>
        <v>5434</v>
      </c>
      <c r="CW29" s="884">
        <f t="shared" si="54"/>
        <v>4718</v>
      </c>
      <c r="CX29" s="884">
        <f t="shared" si="54"/>
        <v>3375</v>
      </c>
      <c r="CY29" s="884">
        <f t="shared" si="54"/>
        <v>5541</v>
      </c>
      <c r="CZ29" s="875">
        <f t="shared" si="54"/>
        <v>16285</v>
      </c>
      <c r="DA29" s="876">
        <f t="shared" si="38"/>
        <v>56302</v>
      </c>
      <c r="DB29" s="884">
        <f t="shared" ref="DB29:DL29" si="55">SUM(DB30:DB34)</f>
        <v>1909</v>
      </c>
      <c r="DC29" s="884">
        <f t="shared" si="55"/>
        <v>1917</v>
      </c>
      <c r="DD29" s="884">
        <f t="shared" si="55"/>
        <v>4375</v>
      </c>
      <c r="DE29" s="884">
        <f t="shared" si="55"/>
        <v>4134</v>
      </c>
      <c r="DF29" s="884">
        <f t="shared" si="55"/>
        <v>7792</v>
      </c>
      <c r="DG29" s="884">
        <f t="shared" si="55"/>
        <v>3331</v>
      </c>
      <c r="DH29" s="884">
        <f t="shared" si="55"/>
        <v>3906</v>
      </c>
      <c r="DI29" s="884">
        <f t="shared" si="55"/>
        <v>8715</v>
      </c>
      <c r="DJ29" s="884">
        <f t="shared" si="55"/>
        <v>4435</v>
      </c>
      <c r="DK29" s="884">
        <f t="shared" si="55"/>
        <v>7221</v>
      </c>
      <c r="DL29" s="884">
        <f t="shared" si="55"/>
        <v>9181</v>
      </c>
      <c r="DM29" s="875">
        <f>SUM(DM30:DM34)</f>
        <v>24416</v>
      </c>
      <c r="DN29" s="876">
        <f t="shared" si="33"/>
        <v>81332</v>
      </c>
      <c r="DO29" s="884">
        <f t="shared" ref="DO29:DZ29" si="56">SUM(DO30:DO34)</f>
        <v>3785</v>
      </c>
      <c r="DP29" s="884">
        <f t="shared" si="56"/>
        <v>5276</v>
      </c>
      <c r="DQ29" s="884">
        <f t="shared" si="56"/>
        <v>5054</v>
      </c>
      <c r="DR29" s="884">
        <f t="shared" si="56"/>
        <v>5539</v>
      </c>
      <c r="DS29" s="884">
        <f t="shared" si="56"/>
        <v>2875</v>
      </c>
      <c r="DT29" s="884">
        <f t="shared" si="56"/>
        <v>15034</v>
      </c>
      <c r="DU29" s="884">
        <f t="shared" si="56"/>
        <v>8428</v>
      </c>
      <c r="DV29" s="884">
        <f t="shared" si="56"/>
        <v>12129</v>
      </c>
      <c r="DW29" s="884">
        <f t="shared" si="56"/>
        <v>10171</v>
      </c>
      <c r="DX29" s="884">
        <f t="shared" si="56"/>
        <v>35376</v>
      </c>
      <c r="DY29" s="884">
        <f t="shared" si="56"/>
        <v>25360</v>
      </c>
      <c r="DZ29" s="875">
        <f t="shared" si="56"/>
        <v>29264</v>
      </c>
      <c r="EA29" s="876">
        <f t="shared" si="34"/>
        <v>158291</v>
      </c>
      <c r="EB29" s="884">
        <f t="shared" ref="EB29:EM29" si="57">SUM(EB30:EB34)</f>
        <v>1380</v>
      </c>
      <c r="EC29" s="884">
        <f t="shared" si="57"/>
        <v>8491</v>
      </c>
      <c r="ED29" s="884">
        <f t="shared" si="57"/>
        <v>9533</v>
      </c>
      <c r="EE29" s="884">
        <f t="shared" si="57"/>
        <v>13383</v>
      </c>
      <c r="EF29" s="884">
        <f t="shared" si="57"/>
        <v>12343</v>
      </c>
      <c r="EG29" s="884">
        <f t="shared" si="57"/>
        <v>15933</v>
      </c>
      <c r="EH29" s="884">
        <f t="shared" si="57"/>
        <v>6705</v>
      </c>
      <c r="EI29" s="884">
        <f t="shared" si="57"/>
        <v>5208</v>
      </c>
      <c r="EJ29" s="884">
        <f t="shared" si="57"/>
        <v>35827</v>
      </c>
      <c r="EK29" s="884">
        <f t="shared" si="57"/>
        <v>12031</v>
      </c>
      <c r="EL29" s="884">
        <f t="shared" si="57"/>
        <v>9526</v>
      </c>
      <c r="EM29" s="875">
        <f t="shared" si="57"/>
        <v>55734</v>
      </c>
      <c r="EN29" s="876">
        <f t="shared" ref="EN29:EN32" si="58">SUM(EB29:EM29)</f>
        <v>186094</v>
      </c>
      <c r="EO29" s="884">
        <f t="shared" ref="EO29:ET29" si="59">SUM(EO30:EO34)</f>
        <v>13169</v>
      </c>
      <c r="EP29" s="884">
        <f t="shared" si="59"/>
        <v>7509</v>
      </c>
      <c r="EQ29" s="884">
        <f t="shared" si="59"/>
        <v>8733</v>
      </c>
      <c r="ER29" s="884">
        <v>8182</v>
      </c>
      <c r="ES29" s="884">
        <f t="shared" si="59"/>
        <v>8712</v>
      </c>
      <c r="ET29" s="884">
        <f t="shared" si="59"/>
        <v>11010</v>
      </c>
      <c r="EU29" s="884">
        <f t="shared" ref="EU29" si="60">SUM(EU30:EU34)</f>
        <v>6172</v>
      </c>
      <c r="EV29" s="971">
        <f t="shared" ref="EV29" si="61">SUM(EV30:EV34)</f>
        <v>3973</v>
      </c>
      <c r="EW29" s="884"/>
      <c r="EX29" s="884"/>
      <c r="EY29" s="884"/>
      <c r="EZ29" s="875"/>
      <c r="FA29" s="876">
        <f t="shared" si="36"/>
        <v>67460</v>
      </c>
      <c r="FB29" s="757"/>
      <c r="FC29" s="841">
        <f t="shared" ref="FC29:FC34" si="62">IFERROR(((
_xlfn.XLOOKUP((DATE(YEAR($FC$5),MONTH($FC$5),1)),UCA.IGN.DATE,$B29:$FA29) /
_xlfn.XLOOKUP((DATE(YEAR($FC$5)-1,MONTH($FC$5),1)),UCA.IGN.DATE,$B29:$FA29)
)-1)*100,"")</f>
        <v>-23.713517665130567</v>
      </c>
      <c r="FD29" s="842">
        <f>IFERROR(((FF29/FE29)-1)*100,"")</f>
        <v>-7.5586494189870628</v>
      </c>
      <c r="FE29" s="702">
        <f t="shared" ref="FE29:FE34" si="63">SUMIFS($B29:$FA29,UCA.IGN.DATE,"&gt;="&amp;DATE(YEAR($FC$5)-1,1,1),UCA.IGN.DATE,"&lt;="&amp;DATE(YEAR($FC$5)-1,MONTH($FC$5),1))</f>
        <v>72976</v>
      </c>
      <c r="FF29" s="703">
        <f t="shared" ref="FF29:FF34" si="64">SUMIFS($B29:$FA29,UCA.IGN.DATE,"&gt;="&amp;DATE(YEAR($FC$5),1,1),UCA.IGN.DATE,"&lt;="&amp;$FC$5)</f>
        <v>67460</v>
      </c>
      <c r="FG29" s="757"/>
      <c r="FH29" s="838"/>
    </row>
    <row r="30" spans="1:164" ht="15" customHeight="1" x14ac:dyDescent="0.25">
      <c r="A30" s="403" t="s">
        <v>384</v>
      </c>
      <c r="B30" s="883">
        <v>6757</v>
      </c>
      <c r="C30" s="883">
        <v>5680</v>
      </c>
      <c r="D30" s="883">
        <v>6142</v>
      </c>
      <c r="E30" s="883">
        <v>6927</v>
      </c>
      <c r="F30" s="883">
        <v>3533</v>
      </c>
      <c r="G30" s="883">
        <v>20826</v>
      </c>
      <c r="H30" s="883">
        <v>6667</v>
      </c>
      <c r="I30" s="883">
        <v>8446</v>
      </c>
      <c r="J30" s="883">
        <v>29292</v>
      </c>
      <c r="K30" s="883">
        <v>22574</v>
      </c>
      <c r="L30" s="883">
        <v>23235</v>
      </c>
      <c r="M30" s="873">
        <v>92567</v>
      </c>
      <c r="N30" s="879">
        <f t="shared" si="42"/>
        <v>232646</v>
      </c>
      <c r="O30" s="883">
        <v>1928</v>
      </c>
      <c r="P30" s="883">
        <v>17934</v>
      </c>
      <c r="Q30" s="883">
        <v>17638</v>
      </c>
      <c r="R30" s="883">
        <v>26434</v>
      </c>
      <c r="S30" s="883">
        <v>9187</v>
      </c>
      <c r="T30" s="883">
        <v>12313</v>
      </c>
      <c r="U30" s="883">
        <v>16040</v>
      </c>
      <c r="V30" s="883">
        <v>47005</v>
      </c>
      <c r="W30" s="883">
        <v>26489</v>
      </c>
      <c r="X30" s="883">
        <v>25713</v>
      </c>
      <c r="Y30" s="883">
        <v>46008</v>
      </c>
      <c r="Z30" s="873">
        <v>54767</v>
      </c>
      <c r="AA30" s="879">
        <f t="shared" si="44"/>
        <v>301456</v>
      </c>
      <c r="AB30" s="883">
        <v>12958</v>
      </c>
      <c r="AC30" s="883">
        <v>46714</v>
      </c>
      <c r="AD30" s="883">
        <v>12748</v>
      </c>
      <c r="AE30" s="883">
        <v>15801</v>
      </c>
      <c r="AF30" s="883">
        <v>20736</v>
      </c>
      <c r="AG30" s="883">
        <v>32335</v>
      </c>
      <c r="AH30" s="883">
        <v>42004</v>
      </c>
      <c r="AI30" s="883">
        <v>32492</v>
      </c>
      <c r="AJ30" s="883">
        <v>31239</v>
      </c>
      <c r="AK30" s="883">
        <v>29529</v>
      </c>
      <c r="AL30" s="883">
        <v>23648</v>
      </c>
      <c r="AM30" s="873">
        <v>16945</v>
      </c>
      <c r="AN30" s="879">
        <f t="shared" si="46"/>
        <v>317149</v>
      </c>
      <c r="AO30" s="883">
        <v>7672</v>
      </c>
      <c r="AP30" s="883">
        <v>4750</v>
      </c>
      <c r="AQ30" s="883">
        <v>4116</v>
      </c>
      <c r="AR30" s="883">
        <v>4144</v>
      </c>
      <c r="AS30" s="883">
        <v>3889</v>
      </c>
      <c r="AT30" s="883">
        <v>3354</v>
      </c>
      <c r="AU30" s="883">
        <v>2237</v>
      </c>
      <c r="AV30" s="883">
        <v>8239</v>
      </c>
      <c r="AW30" s="883">
        <v>1224</v>
      </c>
      <c r="AX30" s="883">
        <v>2833</v>
      </c>
      <c r="AY30" s="883">
        <v>2515</v>
      </c>
      <c r="AZ30" s="873">
        <v>9114</v>
      </c>
      <c r="BA30" s="879">
        <f t="shared" si="48"/>
        <v>54087</v>
      </c>
      <c r="BB30" s="883">
        <v>92</v>
      </c>
      <c r="BC30" s="883">
        <v>884</v>
      </c>
      <c r="BD30" s="883">
        <v>1484</v>
      </c>
      <c r="BE30" s="883">
        <v>4079</v>
      </c>
      <c r="BF30" s="883">
        <v>1531</v>
      </c>
      <c r="BG30" s="883">
        <v>4391</v>
      </c>
      <c r="BH30" s="883">
        <v>3333</v>
      </c>
      <c r="BI30" s="883">
        <v>2695</v>
      </c>
      <c r="BJ30" s="883">
        <v>6690</v>
      </c>
      <c r="BK30" s="883">
        <v>6731</v>
      </c>
      <c r="BL30" s="883">
        <v>23609</v>
      </c>
      <c r="BM30" s="873">
        <v>38548</v>
      </c>
      <c r="BN30" s="879">
        <f t="shared" si="50"/>
        <v>94067</v>
      </c>
      <c r="BO30" s="883">
        <v>3106</v>
      </c>
      <c r="BP30" s="883">
        <v>3400</v>
      </c>
      <c r="BQ30" s="883">
        <v>2156</v>
      </c>
      <c r="BR30" s="883">
        <v>769</v>
      </c>
      <c r="BS30" s="883">
        <v>1107</v>
      </c>
      <c r="BT30" s="883">
        <v>618</v>
      </c>
      <c r="BU30" s="883">
        <v>1527</v>
      </c>
      <c r="BV30" s="883">
        <v>20546</v>
      </c>
      <c r="BW30" s="883">
        <v>6531</v>
      </c>
      <c r="BX30" s="883">
        <v>10675</v>
      </c>
      <c r="BY30" s="883">
        <v>10499</v>
      </c>
      <c r="BZ30" s="873">
        <v>11826</v>
      </c>
      <c r="CA30" s="879">
        <f t="shared" si="52"/>
        <v>72760</v>
      </c>
      <c r="CB30" s="883">
        <v>14</v>
      </c>
      <c r="CC30" s="883">
        <v>375</v>
      </c>
      <c r="CD30" s="883">
        <v>103</v>
      </c>
      <c r="CE30" s="883">
        <v>116</v>
      </c>
      <c r="CF30" s="883">
        <v>555</v>
      </c>
      <c r="CG30" s="883">
        <v>1019</v>
      </c>
      <c r="CH30" s="883">
        <v>181</v>
      </c>
      <c r="CI30" s="883">
        <v>1032</v>
      </c>
      <c r="CJ30" s="883">
        <v>2739</v>
      </c>
      <c r="CK30" s="883">
        <v>430</v>
      </c>
      <c r="CL30" s="883">
        <v>912</v>
      </c>
      <c r="CM30" s="873">
        <v>3684</v>
      </c>
      <c r="CN30" s="879">
        <f t="shared" si="32"/>
        <v>11160</v>
      </c>
      <c r="CO30" s="883">
        <v>868</v>
      </c>
      <c r="CP30" s="883">
        <v>1333</v>
      </c>
      <c r="CQ30" s="883">
        <v>3486</v>
      </c>
      <c r="CR30" s="883">
        <v>2927</v>
      </c>
      <c r="CS30" s="883">
        <v>1858</v>
      </c>
      <c r="CT30" s="883">
        <v>1922</v>
      </c>
      <c r="CU30" s="883">
        <v>2439</v>
      </c>
      <c r="CV30" s="883">
        <v>1833</v>
      </c>
      <c r="CW30" s="883">
        <v>3939</v>
      </c>
      <c r="CX30" s="883">
        <v>2074</v>
      </c>
      <c r="CY30" s="883">
        <v>3534</v>
      </c>
      <c r="CZ30" s="873">
        <v>12461</v>
      </c>
      <c r="DA30" s="879">
        <f t="shared" si="38"/>
        <v>38674</v>
      </c>
      <c r="DB30" s="883">
        <v>1250</v>
      </c>
      <c r="DC30" s="883">
        <v>843</v>
      </c>
      <c r="DD30" s="883">
        <v>3516</v>
      </c>
      <c r="DE30" s="883">
        <v>3142</v>
      </c>
      <c r="DF30" s="883">
        <v>4893</v>
      </c>
      <c r="DG30" s="883">
        <v>2455</v>
      </c>
      <c r="DH30" s="883">
        <v>2246</v>
      </c>
      <c r="DI30" s="883">
        <v>4775</v>
      </c>
      <c r="DJ30" s="883">
        <v>2600</v>
      </c>
      <c r="DK30" s="883">
        <v>4815</v>
      </c>
      <c r="DL30" s="883">
        <v>6299</v>
      </c>
      <c r="DM30" s="873">
        <v>17555</v>
      </c>
      <c r="DN30" s="879">
        <f t="shared" si="33"/>
        <v>54389</v>
      </c>
      <c r="DO30" s="883">
        <v>830</v>
      </c>
      <c r="DP30" s="883">
        <v>1428</v>
      </c>
      <c r="DQ30" s="883">
        <v>2667</v>
      </c>
      <c r="DR30" s="883">
        <v>3657</v>
      </c>
      <c r="DS30" s="883">
        <v>2243</v>
      </c>
      <c r="DT30" s="883">
        <v>13907</v>
      </c>
      <c r="DU30" s="883">
        <v>3755</v>
      </c>
      <c r="DV30" s="883">
        <v>10857</v>
      </c>
      <c r="DW30" s="883">
        <v>8889</v>
      </c>
      <c r="DX30" s="883">
        <v>29934</v>
      </c>
      <c r="DY30" s="883">
        <v>16331</v>
      </c>
      <c r="DZ30" s="873">
        <v>21375</v>
      </c>
      <c r="EA30" s="879">
        <f t="shared" si="34"/>
        <v>115873</v>
      </c>
      <c r="EB30" s="883">
        <v>435</v>
      </c>
      <c r="EC30" s="883">
        <v>5365</v>
      </c>
      <c r="ED30" s="883">
        <v>7697</v>
      </c>
      <c r="EE30" s="883">
        <v>7583</v>
      </c>
      <c r="EF30" s="883">
        <v>8501</v>
      </c>
      <c r="EG30" s="883">
        <v>11864</v>
      </c>
      <c r="EH30" s="883">
        <v>4524</v>
      </c>
      <c r="EI30" s="883">
        <v>3565</v>
      </c>
      <c r="EJ30" s="883">
        <v>32162</v>
      </c>
      <c r="EK30" s="883">
        <v>7670</v>
      </c>
      <c r="EL30" s="883">
        <v>6667</v>
      </c>
      <c r="EM30" s="873">
        <v>49682</v>
      </c>
      <c r="EN30" s="879">
        <f t="shared" si="58"/>
        <v>145715</v>
      </c>
      <c r="EO30" s="883">
        <v>10861</v>
      </c>
      <c r="EP30" s="883">
        <v>4808</v>
      </c>
      <c r="EQ30" s="883">
        <v>5471</v>
      </c>
      <c r="ER30" s="883">
        <v>2905</v>
      </c>
      <c r="ES30" s="883">
        <v>4835</v>
      </c>
      <c r="ET30" s="883">
        <v>7525</v>
      </c>
      <c r="EU30" s="883">
        <v>2705</v>
      </c>
      <c r="EV30" s="973">
        <v>2286</v>
      </c>
      <c r="EW30" s="883"/>
      <c r="EX30" s="883"/>
      <c r="EY30" s="883"/>
      <c r="EZ30" s="873"/>
      <c r="FA30" s="879">
        <f t="shared" si="36"/>
        <v>41396</v>
      </c>
      <c r="FC30" s="843">
        <f t="shared" si="62"/>
        <v>-35.876577840112198</v>
      </c>
      <c r="FD30" s="844">
        <f t="shared" ref="FD30:FD34" si="65">IFERROR(((FF30/FE30)-1)*100,"")</f>
        <v>-16.429119392740343</v>
      </c>
      <c r="FE30" s="845">
        <f t="shared" si="63"/>
        <v>49534</v>
      </c>
      <c r="FF30" s="846">
        <f t="shared" si="64"/>
        <v>41396</v>
      </c>
      <c r="FH30" s="127"/>
    </row>
    <row r="31" spans="1:164" ht="15" customHeight="1" x14ac:dyDescent="0.25">
      <c r="A31" s="403" t="s">
        <v>385</v>
      </c>
      <c r="B31" s="883">
        <v>349</v>
      </c>
      <c r="C31" s="883">
        <v>60</v>
      </c>
      <c r="D31" s="883">
        <v>146</v>
      </c>
      <c r="E31" s="883">
        <v>24</v>
      </c>
      <c r="F31" s="883">
        <v>171</v>
      </c>
      <c r="G31" s="883">
        <v>156</v>
      </c>
      <c r="H31" s="883">
        <v>25</v>
      </c>
      <c r="I31" s="883">
        <v>24</v>
      </c>
      <c r="J31" s="883">
        <v>58</v>
      </c>
      <c r="K31" s="883">
        <v>176</v>
      </c>
      <c r="L31" s="883">
        <v>264</v>
      </c>
      <c r="M31" s="873">
        <v>800</v>
      </c>
      <c r="N31" s="879">
        <f t="shared" si="42"/>
        <v>2253</v>
      </c>
      <c r="O31" s="883"/>
      <c r="P31" s="883">
        <v>7</v>
      </c>
      <c r="Q31" s="883">
        <v>232</v>
      </c>
      <c r="R31" s="883">
        <v>132</v>
      </c>
      <c r="S31" s="883">
        <v>408</v>
      </c>
      <c r="T31" s="883">
        <v>223</v>
      </c>
      <c r="U31" s="883">
        <v>100</v>
      </c>
      <c r="V31" s="883">
        <v>30</v>
      </c>
      <c r="W31" s="883">
        <v>216</v>
      </c>
      <c r="X31" s="883">
        <v>76</v>
      </c>
      <c r="Y31" s="883">
        <v>366</v>
      </c>
      <c r="Z31" s="873">
        <v>447</v>
      </c>
      <c r="AA31" s="879">
        <f t="shared" si="44"/>
        <v>2237</v>
      </c>
      <c r="AB31" s="883"/>
      <c r="AC31" s="883">
        <v>1</v>
      </c>
      <c r="AD31" s="883">
        <v>848</v>
      </c>
      <c r="AE31" s="883">
        <v>58</v>
      </c>
      <c r="AF31" s="883">
        <v>859</v>
      </c>
      <c r="AG31" s="883">
        <v>142</v>
      </c>
      <c r="AH31" s="883">
        <v>1733</v>
      </c>
      <c r="AI31" s="883">
        <v>133</v>
      </c>
      <c r="AJ31" s="883">
        <v>92</v>
      </c>
      <c r="AK31" s="883">
        <v>189</v>
      </c>
      <c r="AL31" s="883">
        <v>222</v>
      </c>
      <c r="AM31" s="873">
        <v>949</v>
      </c>
      <c r="AN31" s="879">
        <f t="shared" si="46"/>
        <v>5226</v>
      </c>
      <c r="AO31" s="883">
        <v>521</v>
      </c>
      <c r="AP31" s="883">
        <v>65</v>
      </c>
      <c r="AQ31" s="883">
        <v>54</v>
      </c>
      <c r="AR31" s="883">
        <v>1231</v>
      </c>
      <c r="AS31" s="883">
        <v>935</v>
      </c>
      <c r="AT31" s="883">
        <v>921</v>
      </c>
      <c r="AU31" s="883">
        <v>4125</v>
      </c>
      <c r="AV31" s="883">
        <v>2516</v>
      </c>
      <c r="AW31" s="883">
        <v>6992</v>
      </c>
      <c r="AX31" s="883">
        <v>1443</v>
      </c>
      <c r="AY31" s="883">
        <v>1643</v>
      </c>
      <c r="AZ31" s="873">
        <v>2412</v>
      </c>
      <c r="BA31" s="879">
        <f t="shared" si="48"/>
        <v>22858</v>
      </c>
      <c r="BB31" s="883">
        <v>559</v>
      </c>
      <c r="BC31" s="883">
        <v>242</v>
      </c>
      <c r="BD31" s="883">
        <v>302</v>
      </c>
      <c r="BE31" s="883">
        <v>473</v>
      </c>
      <c r="BF31" s="883">
        <v>642</v>
      </c>
      <c r="BG31" s="883">
        <v>807</v>
      </c>
      <c r="BH31" s="883">
        <v>1037</v>
      </c>
      <c r="BI31" s="883">
        <v>1007</v>
      </c>
      <c r="BJ31" s="883">
        <v>500</v>
      </c>
      <c r="BK31" s="883">
        <v>1877</v>
      </c>
      <c r="BL31" s="883">
        <v>1968</v>
      </c>
      <c r="BM31" s="873">
        <v>3259</v>
      </c>
      <c r="BN31" s="879">
        <f t="shared" si="50"/>
        <v>12673</v>
      </c>
      <c r="BO31" s="883">
        <v>4</v>
      </c>
      <c r="BP31" s="883">
        <v>43</v>
      </c>
      <c r="BQ31" s="883">
        <v>13</v>
      </c>
      <c r="BR31" s="883">
        <v>2</v>
      </c>
      <c r="BS31" s="883">
        <v>10</v>
      </c>
      <c r="BT31" s="883">
        <v>31</v>
      </c>
      <c r="BU31" s="883">
        <v>103</v>
      </c>
      <c r="BV31" s="883">
        <v>21</v>
      </c>
      <c r="BW31" s="883">
        <v>167</v>
      </c>
      <c r="BX31" s="883">
        <v>60</v>
      </c>
      <c r="BY31" s="883">
        <v>240</v>
      </c>
      <c r="BZ31" s="873">
        <v>1136</v>
      </c>
      <c r="CA31" s="879">
        <f t="shared" si="52"/>
        <v>1830</v>
      </c>
      <c r="CB31" s="883">
        <v>50</v>
      </c>
      <c r="CC31" s="883">
        <v>81</v>
      </c>
      <c r="CD31" s="883">
        <v>164</v>
      </c>
      <c r="CE31" s="883">
        <v>161</v>
      </c>
      <c r="CF31" s="883">
        <v>112</v>
      </c>
      <c r="CG31" s="883">
        <v>104</v>
      </c>
      <c r="CH31" s="883">
        <v>530</v>
      </c>
      <c r="CI31" s="883">
        <v>143</v>
      </c>
      <c r="CJ31" s="883">
        <v>924</v>
      </c>
      <c r="CK31" s="883">
        <v>343</v>
      </c>
      <c r="CL31" s="883">
        <v>338</v>
      </c>
      <c r="CM31" s="873">
        <v>1829</v>
      </c>
      <c r="CN31" s="879">
        <f t="shared" si="32"/>
        <v>4779</v>
      </c>
      <c r="CO31" s="883"/>
      <c r="CP31" s="883">
        <v>122</v>
      </c>
      <c r="CQ31" s="883">
        <v>68</v>
      </c>
      <c r="CR31" s="883">
        <v>45</v>
      </c>
      <c r="CS31" s="883">
        <v>170</v>
      </c>
      <c r="CT31" s="883">
        <v>233</v>
      </c>
      <c r="CU31" s="883">
        <v>1184</v>
      </c>
      <c r="CV31" s="883">
        <v>224</v>
      </c>
      <c r="CW31" s="883">
        <v>226</v>
      </c>
      <c r="CX31" s="883">
        <v>167</v>
      </c>
      <c r="CY31" s="883">
        <v>429</v>
      </c>
      <c r="CZ31" s="873">
        <v>1440</v>
      </c>
      <c r="DA31" s="879">
        <f t="shared" si="38"/>
        <v>4308</v>
      </c>
      <c r="DB31" s="883">
        <v>50</v>
      </c>
      <c r="DC31" s="883">
        <v>16</v>
      </c>
      <c r="DD31" s="883">
        <v>179</v>
      </c>
      <c r="DE31" s="883">
        <v>126</v>
      </c>
      <c r="DF31" s="883">
        <v>517</v>
      </c>
      <c r="DG31" s="883">
        <v>18</v>
      </c>
      <c r="DH31" s="883">
        <v>123</v>
      </c>
      <c r="DI31" s="883">
        <v>2543</v>
      </c>
      <c r="DJ31" s="883">
        <v>229</v>
      </c>
      <c r="DK31" s="883">
        <v>152</v>
      </c>
      <c r="DL31" s="883">
        <v>226</v>
      </c>
      <c r="DM31" s="873">
        <v>590</v>
      </c>
      <c r="DN31" s="879">
        <f t="shared" si="33"/>
        <v>4769</v>
      </c>
      <c r="DO31" s="883"/>
      <c r="DP31" s="883">
        <v>50</v>
      </c>
      <c r="DQ31" s="883">
        <v>56</v>
      </c>
      <c r="DR31" s="883">
        <v>149</v>
      </c>
      <c r="DS31" s="883">
        <v>96</v>
      </c>
      <c r="DT31" s="883">
        <v>67</v>
      </c>
      <c r="DU31" s="883">
        <v>56</v>
      </c>
      <c r="DV31" s="883">
        <v>102</v>
      </c>
      <c r="DW31" s="883">
        <v>92</v>
      </c>
      <c r="DX31" s="883">
        <v>64</v>
      </c>
      <c r="DY31" s="883">
        <v>312</v>
      </c>
      <c r="DZ31" s="873">
        <v>141</v>
      </c>
      <c r="EA31" s="879">
        <f t="shared" si="34"/>
        <v>1185</v>
      </c>
      <c r="EB31" s="883">
        <v>0</v>
      </c>
      <c r="EC31" s="883">
        <v>106</v>
      </c>
      <c r="ED31" s="883">
        <v>130</v>
      </c>
      <c r="EE31" s="883">
        <v>757</v>
      </c>
      <c r="EF31" s="883">
        <v>229</v>
      </c>
      <c r="EG31" s="883">
        <v>233</v>
      </c>
      <c r="EH31" s="883">
        <v>143</v>
      </c>
      <c r="EI31" s="883">
        <v>112</v>
      </c>
      <c r="EJ31" s="883">
        <v>236</v>
      </c>
      <c r="EK31" s="883">
        <v>247</v>
      </c>
      <c r="EL31" s="883">
        <v>259</v>
      </c>
      <c r="EM31" s="873">
        <v>776</v>
      </c>
      <c r="EN31" s="879">
        <f t="shared" si="58"/>
        <v>3228</v>
      </c>
      <c r="EO31" s="883">
        <v>0</v>
      </c>
      <c r="EP31" s="883">
        <v>0</v>
      </c>
      <c r="EQ31" s="883">
        <v>32</v>
      </c>
      <c r="ER31" s="883">
        <v>79</v>
      </c>
      <c r="ES31" s="883">
        <v>110</v>
      </c>
      <c r="ET31" s="883">
        <v>11</v>
      </c>
      <c r="EU31" s="883">
        <v>124</v>
      </c>
      <c r="EV31" s="973">
        <v>94</v>
      </c>
      <c r="EW31" s="883"/>
      <c r="EX31" s="883"/>
      <c r="EY31" s="883"/>
      <c r="EZ31" s="873"/>
      <c r="FA31" s="879">
        <f t="shared" si="36"/>
        <v>450</v>
      </c>
      <c r="FC31" s="843">
        <f>IFERROR(((
_xlfn.XLOOKUP((DATE(YEAR($FC$5),MONTH($FC$5),1)),UCA.IGN.DATE,$B31:$FA31) /
_xlfn.XLOOKUP((DATE(YEAR($FC$5)-1,MONTH($FC$5),1)),UCA.IGN.DATE,$B31:$FA31)
)-1)*100,"")</f>
        <v>-16.071428571428569</v>
      </c>
      <c r="FD31" s="844">
        <f t="shared" si="65"/>
        <v>-73.684210526315795</v>
      </c>
      <c r="FE31" s="845">
        <f t="shared" si="63"/>
        <v>1710</v>
      </c>
      <c r="FF31" s="846">
        <f t="shared" si="64"/>
        <v>450</v>
      </c>
      <c r="FH31" s="127"/>
    </row>
    <row r="32" spans="1:164" ht="15" customHeight="1" x14ac:dyDescent="0.25">
      <c r="A32" s="403" t="s">
        <v>408</v>
      </c>
      <c r="B32" s="883">
        <v>4</v>
      </c>
      <c r="C32" s="883">
        <v>5</v>
      </c>
      <c r="D32" s="883">
        <v>6</v>
      </c>
      <c r="E32" s="883">
        <v>45</v>
      </c>
      <c r="F32" s="883">
        <v>11</v>
      </c>
      <c r="G32" s="883">
        <v>685</v>
      </c>
      <c r="H32" s="883">
        <v>437</v>
      </c>
      <c r="I32" s="883">
        <v>1231</v>
      </c>
      <c r="J32" s="883">
        <v>1792</v>
      </c>
      <c r="K32" s="883">
        <v>2342</v>
      </c>
      <c r="L32" s="883">
        <v>2639</v>
      </c>
      <c r="M32" s="873">
        <v>3546</v>
      </c>
      <c r="N32" s="879">
        <f t="shared" si="42"/>
        <v>12743</v>
      </c>
      <c r="O32" s="883">
        <v>442</v>
      </c>
      <c r="P32" s="883">
        <v>2159</v>
      </c>
      <c r="Q32" s="883">
        <v>2971</v>
      </c>
      <c r="R32" s="883">
        <v>1932</v>
      </c>
      <c r="S32" s="883">
        <v>5986</v>
      </c>
      <c r="T32" s="883">
        <v>13541</v>
      </c>
      <c r="U32" s="883">
        <v>12148</v>
      </c>
      <c r="V32" s="883">
        <v>14137</v>
      </c>
      <c r="W32" s="883">
        <v>9687</v>
      </c>
      <c r="X32" s="883">
        <v>692</v>
      </c>
      <c r="Y32" s="883">
        <v>720</v>
      </c>
      <c r="Z32" s="873">
        <v>1621</v>
      </c>
      <c r="AA32" s="879">
        <f t="shared" si="44"/>
        <v>66036</v>
      </c>
      <c r="AB32" s="883"/>
      <c r="AC32" s="883"/>
      <c r="AD32" s="883"/>
      <c r="AE32" s="883">
        <v>64</v>
      </c>
      <c r="AF32" s="883">
        <v>38</v>
      </c>
      <c r="AG32" s="883">
        <v>152</v>
      </c>
      <c r="AH32" s="883">
        <v>251</v>
      </c>
      <c r="AI32" s="883">
        <v>5</v>
      </c>
      <c r="AJ32" s="883">
        <v>16</v>
      </c>
      <c r="AK32" s="883">
        <v>232</v>
      </c>
      <c r="AL32" s="883">
        <v>9</v>
      </c>
      <c r="AM32" s="873">
        <v>136</v>
      </c>
      <c r="AN32" s="879">
        <f t="shared" si="46"/>
        <v>903</v>
      </c>
      <c r="AO32" s="883"/>
      <c r="AP32" s="883">
        <v>8</v>
      </c>
      <c r="AQ32" s="883">
        <v>87</v>
      </c>
      <c r="AR32" s="883">
        <v>98</v>
      </c>
      <c r="AS32" s="883">
        <v>104</v>
      </c>
      <c r="AT32" s="883">
        <v>137</v>
      </c>
      <c r="AU32" s="883">
        <v>567</v>
      </c>
      <c r="AV32" s="883">
        <v>253</v>
      </c>
      <c r="AW32" s="883">
        <v>402</v>
      </c>
      <c r="AX32" s="883">
        <v>690</v>
      </c>
      <c r="AY32" s="883">
        <v>746</v>
      </c>
      <c r="AZ32" s="873">
        <v>6220</v>
      </c>
      <c r="BA32" s="879">
        <f t="shared" si="48"/>
        <v>9312</v>
      </c>
      <c r="BB32" s="883">
        <v>27</v>
      </c>
      <c r="BC32" s="883">
        <v>74</v>
      </c>
      <c r="BD32" s="883">
        <v>107</v>
      </c>
      <c r="BE32" s="883">
        <v>264</v>
      </c>
      <c r="BF32" s="883">
        <v>246</v>
      </c>
      <c r="BG32" s="883">
        <v>334</v>
      </c>
      <c r="BH32" s="883">
        <v>631</v>
      </c>
      <c r="BI32" s="883">
        <v>435</v>
      </c>
      <c r="BJ32" s="883">
        <v>1175</v>
      </c>
      <c r="BK32" s="883">
        <v>630</v>
      </c>
      <c r="BL32" s="883">
        <v>2894</v>
      </c>
      <c r="BM32" s="873">
        <v>492</v>
      </c>
      <c r="BN32" s="879">
        <f t="shared" si="50"/>
        <v>7309</v>
      </c>
      <c r="BO32" s="883"/>
      <c r="BP32" s="883">
        <v>30</v>
      </c>
      <c r="BQ32" s="883">
        <v>20</v>
      </c>
      <c r="BR32" s="883">
        <v>73</v>
      </c>
      <c r="BS32" s="883">
        <v>24</v>
      </c>
      <c r="BT32" s="883">
        <v>12</v>
      </c>
      <c r="BU32" s="883"/>
      <c r="BV32" s="883">
        <v>173</v>
      </c>
      <c r="BW32" s="883">
        <v>1262</v>
      </c>
      <c r="BX32" s="883">
        <v>3037</v>
      </c>
      <c r="BY32" s="883">
        <v>2104</v>
      </c>
      <c r="BZ32" s="873">
        <v>4196</v>
      </c>
      <c r="CA32" s="879">
        <f t="shared" si="52"/>
        <v>10931</v>
      </c>
      <c r="CB32" s="883">
        <v>1107</v>
      </c>
      <c r="CC32" s="883">
        <v>3629</v>
      </c>
      <c r="CD32" s="883">
        <v>8668</v>
      </c>
      <c r="CE32" s="883">
        <v>6630</v>
      </c>
      <c r="CF32" s="883">
        <v>9200</v>
      </c>
      <c r="CG32" s="883">
        <v>8838</v>
      </c>
      <c r="CH32" s="883">
        <v>7761</v>
      </c>
      <c r="CI32" s="883">
        <v>6225</v>
      </c>
      <c r="CJ32" s="883">
        <v>5351</v>
      </c>
      <c r="CK32" s="883">
        <v>4793</v>
      </c>
      <c r="CL32" s="883">
        <v>6543</v>
      </c>
      <c r="CM32" s="873">
        <v>9208</v>
      </c>
      <c r="CN32" s="879">
        <f t="shared" si="32"/>
        <v>77953</v>
      </c>
      <c r="CO32" s="883">
        <v>8</v>
      </c>
      <c r="CP32" s="883">
        <v>12</v>
      </c>
      <c r="CQ32" s="883">
        <v>56</v>
      </c>
      <c r="CR32" s="883">
        <v>71</v>
      </c>
      <c r="CS32" s="883">
        <v>112</v>
      </c>
      <c r="CT32" s="883">
        <v>120</v>
      </c>
      <c r="CU32" s="883">
        <v>91</v>
      </c>
      <c r="CV32" s="883">
        <v>87</v>
      </c>
      <c r="CW32" s="883">
        <v>103</v>
      </c>
      <c r="CX32" s="883">
        <v>112</v>
      </c>
      <c r="CY32" s="883">
        <v>362</v>
      </c>
      <c r="CZ32" s="873">
        <v>77</v>
      </c>
      <c r="DA32" s="879">
        <f t="shared" si="38"/>
        <v>1211</v>
      </c>
      <c r="DB32" s="883">
        <v>101</v>
      </c>
      <c r="DC32" s="883">
        <v>132</v>
      </c>
      <c r="DD32" s="883">
        <v>121</v>
      </c>
      <c r="DE32" s="883">
        <v>515</v>
      </c>
      <c r="DF32" s="883">
        <v>358</v>
      </c>
      <c r="DG32" s="883">
        <v>73</v>
      </c>
      <c r="DH32" s="883">
        <v>71</v>
      </c>
      <c r="DI32" s="883">
        <v>281</v>
      </c>
      <c r="DJ32" s="883">
        <v>51</v>
      </c>
      <c r="DK32" s="883">
        <v>63</v>
      </c>
      <c r="DL32" s="883">
        <v>55</v>
      </c>
      <c r="DM32" s="873">
        <v>2833</v>
      </c>
      <c r="DN32" s="879">
        <f t="shared" si="33"/>
        <v>4654</v>
      </c>
      <c r="DO32" s="883">
        <v>1451</v>
      </c>
      <c r="DP32" s="883">
        <v>552</v>
      </c>
      <c r="DQ32" s="883">
        <v>498</v>
      </c>
      <c r="DR32" s="883">
        <v>300</v>
      </c>
      <c r="DS32" s="883">
        <v>74</v>
      </c>
      <c r="DT32" s="883">
        <v>146</v>
      </c>
      <c r="DU32" s="883">
        <v>4205</v>
      </c>
      <c r="DV32" s="883">
        <v>818</v>
      </c>
      <c r="DW32" s="883">
        <v>296</v>
      </c>
      <c r="DX32" s="883">
        <v>4532</v>
      </c>
      <c r="DY32" s="883">
        <v>7874</v>
      </c>
      <c r="DZ32" s="873">
        <v>2416</v>
      </c>
      <c r="EA32" s="879">
        <f t="shared" si="34"/>
        <v>23162</v>
      </c>
      <c r="EB32" s="883">
        <v>389</v>
      </c>
      <c r="EC32" s="883">
        <v>1729</v>
      </c>
      <c r="ED32" s="883">
        <v>239</v>
      </c>
      <c r="EE32" s="883">
        <v>2671</v>
      </c>
      <c r="EF32" s="883">
        <v>1466</v>
      </c>
      <c r="EG32" s="883">
        <v>2085</v>
      </c>
      <c r="EH32" s="883">
        <v>496</v>
      </c>
      <c r="EI32" s="883">
        <v>698</v>
      </c>
      <c r="EJ32" s="883">
        <v>2618</v>
      </c>
      <c r="EK32" s="883">
        <v>1309</v>
      </c>
      <c r="EL32" s="883">
        <v>245</v>
      </c>
      <c r="EM32" s="873">
        <v>741</v>
      </c>
      <c r="EN32" s="879">
        <f t="shared" si="58"/>
        <v>14686</v>
      </c>
      <c r="EO32" s="883">
        <v>365</v>
      </c>
      <c r="EP32" s="883">
        <v>2015</v>
      </c>
      <c r="EQ32" s="883">
        <v>1124</v>
      </c>
      <c r="ER32" s="883">
        <v>905</v>
      </c>
      <c r="ES32" s="883">
        <v>755</v>
      </c>
      <c r="ET32" s="883">
        <v>1070</v>
      </c>
      <c r="EU32" s="883">
        <v>694</v>
      </c>
      <c r="EV32" s="973">
        <v>875</v>
      </c>
      <c r="EW32" s="883"/>
      <c r="EX32" s="883"/>
      <c r="EY32" s="883"/>
      <c r="EZ32" s="873"/>
      <c r="FA32" s="879">
        <f t="shared" si="36"/>
        <v>7803</v>
      </c>
      <c r="FC32" s="843">
        <f t="shared" si="62"/>
        <v>25.358166189111753</v>
      </c>
      <c r="FD32" s="844">
        <f t="shared" si="65"/>
        <v>-20.157576997851223</v>
      </c>
      <c r="FE32" s="845">
        <f t="shared" si="63"/>
        <v>9773</v>
      </c>
      <c r="FF32" s="846">
        <f t="shared" si="64"/>
        <v>7803</v>
      </c>
      <c r="FH32" s="127"/>
    </row>
    <row r="33" spans="1:164" ht="15" customHeight="1" x14ac:dyDescent="0.25">
      <c r="A33" s="403" t="s">
        <v>299</v>
      </c>
      <c r="B33" s="883"/>
      <c r="C33" s="883"/>
      <c r="D33" s="883">
        <v>36</v>
      </c>
      <c r="E33" s="883"/>
      <c r="F33" s="883"/>
      <c r="G33" s="883"/>
      <c r="H33" s="883">
        <v>12</v>
      </c>
      <c r="I33" s="883">
        <v>57</v>
      </c>
      <c r="J33" s="883">
        <v>-2</v>
      </c>
      <c r="K33" s="883"/>
      <c r="L33" s="883"/>
      <c r="M33" s="873">
        <v>4</v>
      </c>
      <c r="N33" s="879">
        <f t="shared" si="42"/>
        <v>107</v>
      </c>
      <c r="O33" s="883"/>
      <c r="P33" s="883"/>
      <c r="Q33" s="883">
        <v>4</v>
      </c>
      <c r="R33" s="883">
        <v>109</v>
      </c>
      <c r="S33" s="883">
        <v>536</v>
      </c>
      <c r="T33" s="883">
        <v>274</v>
      </c>
      <c r="U33" s="883">
        <v>22</v>
      </c>
      <c r="V33" s="883">
        <v>346</v>
      </c>
      <c r="W33" s="883"/>
      <c r="X33" s="883">
        <v>40</v>
      </c>
      <c r="Y33" s="883">
        <v>-15</v>
      </c>
      <c r="Z33" s="873">
        <v>12</v>
      </c>
      <c r="AA33" s="879">
        <f t="shared" si="44"/>
        <v>1328</v>
      </c>
      <c r="AB33" s="883"/>
      <c r="AC33" s="883"/>
      <c r="AD33" s="883"/>
      <c r="AE33" s="883">
        <v>4</v>
      </c>
      <c r="AF33" s="883"/>
      <c r="AG33" s="883">
        <v>12</v>
      </c>
      <c r="AH33" s="883">
        <v>178</v>
      </c>
      <c r="AI33" s="883">
        <v>36</v>
      </c>
      <c r="AJ33" s="883">
        <v>128</v>
      </c>
      <c r="AK33" s="883">
        <v>20</v>
      </c>
      <c r="AL33" s="883">
        <v>19</v>
      </c>
      <c r="AM33" s="873">
        <v>16</v>
      </c>
      <c r="AN33" s="879">
        <f t="shared" si="46"/>
        <v>413</v>
      </c>
      <c r="AO33" s="883"/>
      <c r="AP33" s="883"/>
      <c r="AQ33" s="883">
        <v>89</v>
      </c>
      <c r="AR33" s="883">
        <v>37</v>
      </c>
      <c r="AS33" s="883">
        <v>57</v>
      </c>
      <c r="AT33" s="883">
        <v>39</v>
      </c>
      <c r="AU33" s="883">
        <v>16</v>
      </c>
      <c r="AV33" s="883">
        <v>38</v>
      </c>
      <c r="AW33" s="883">
        <v>36</v>
      </c>
      <c r="AX33" s="883">
        <v>47</v>
      </c>
      <c r="AY33" s="883">
        <v>86</v>
      </c>
      <c r="AZ33" s="873">
        <v>626</v>
      </c>
      <c r="BA33" s="879">
        <f t="shared" si="48"/>
        <v>1071</v>
      </c>
      <c r="BB33" s="883"/>
      <c r="BC33" s="883"/>
      <c r="BD33" s="883">
        <v>76</v>
      </c>
      <c r="BE33" s="883">
        <v>40</v>
      </c>
      <c r="BF33" s="883">
        <v>305</v>
      </c>
      <c r="BG33" s="883">
        <v>180</v>
      </c>
      <c r="BH33" s="883">
        <v>176</v>
      </c>
      <c r="BI33" s="883">
        <v>233</v>
      </c>
      <c r="BJ33" s="883">
        <v>98</v>
      </c>
      <c r="BK33" s="883">
        <v>132</v>
      </c>
      <c r="BL33" s="883">
        <v>94</v>
      </c>
      <c r="BM33" s="873">
        <v>112</v>
      </c>
      <c r="BN33" s="879">
        <f t="shared" si="50"/>
        <v>1446</v>
      </c>
      <c r="BO33" s="883"/>
      <c r="BP33" s="883">
        <v>25</v>
      </c>
      <c r="BQ33" s="883">
        <v>88</v>
      </c>
      <c r="BR33" s="883">
        <v>137</v>
      </c>
      <c r="BS33" s="883">
        <v>104</v>
      </c>
      <c r="BT33" s="883">
        <v>66</v>
      </c>
      <c r="BU33" s="883">
        <v>89</v>
      </c>
      <c r="BV33" s="883">
        <v>81</v>
      </c>
      <c r="BW33" s="883">
        <v>251</v>
      </c>
      <c r="BX33" s="883">
        <v>120</v>
      </c>
      <c r="BY33" s="883">
        <v>166</v>
      </c>
      <c r="BZ33" s="873">
        <v>764</v>
      </c>
      <c r="CA33" s="879">
        <f t="shared" si="52"/>
        <v>1891</v>
      </c>
      <c r="CB33" s="883"/>
      <c r="CC33" s="883">
        <v>215</v>
      </c>
      <c r="CD33" s="883">
        <v>203</v>
      </c>
      <c r="CE33" s="883">
        <v>170</v>
      </c>
      <c r="CF33" s="883">
        <v>690</v>
      </c>
      <c r="CG33" s="883">
        <v>190</v>
      </c>
      <c r="CH33" s="883">
        <v>338</v>
      </c>
      <c r="CI33" s="883">
        <v>232</v>
      </c>
      <c r="CJ33" s="883">
        <v>606</v>
      </c>
      <c r="CK33" s="883">
        <v>251</v>
      </c>
      <c r="CL33" s="883">
        <v>381</v>
      </c>
      <c r="CM33" s="873">
        <v>730</v>
      </c>
      <c r="CN33" s="879">
        <f t="shared" si="32"/>
        <v>4006</v>
      </c>
      <c r="CO33" s="883"/>
      <c r="CP33" s="883">
        <v>550</v>
      </c>
      <c r="CQ33" s="883">
        <v>569</v>
      </c>
      <c r="CR33" s="883">
        <v>180</v>
      </c>
      <c r="CS33" s="883">
        <v>235</v>
      </c>
      <c r="CT33" s="883">
        <v>175</v>
      </c>
      <c r="CU33" s="883">
        <v>781</v>
      </c>
      <c r="CV33" s="883">
        <v>374</v>
      </c>
      <c r="CW33" s="883">
        <v>221</v>
      </c>
      <c r="CX33" s="883">
        <v>805</v>
      </c>
      <c r="CY33" s="883">
        <v>541</v>
      </c>
      <c r="CZ33" s="873">
        <v>610</v>
      </c>
      <c r="DA33" s="879">
        <f t="shared" si="38"/>
        <v>5041</v>
      </c>
      <c r="DB33" s="883">
        <v>508</v>
      </c>
      <c r="DC33" s="883">
        <v>926</v>
      </c>
      <c r="DD33" s="883">
        <v>469</v>
      </c>
      <c r="DE33" s="883">
        <v>183</v>
      </c>
      <c r="DF33" s="883">
        <v>1523</v>
      </c>
      <c r="DG33" s="883">
        <v>357</v>
      </c>
      <c r="DH33" s="883">
        <v>671</v>
      </c>
      <c r="DI33" s="883">
        <v>812</v>
      </c>
      <c r="DJ33" s="883">
        <v>937</v>
      </c>
      <c r="DK33" s="883">
        <v>1514</v>
      </c>
      <c r="DL33" s="883">
        <v>942</v>
      </c>
      <c r="DM33" s="873">
        <v>770</v>
      </c>
      <c r="DN33" s="879">
        <f t="shared" si="33"/>
        <v>9612</v>
      </c>
      <c r="DO33" s="883">
        <v>13</v>
      </c>
      <c r="DP33" s="883">
        <v>151</v>
      </c>
      <c r="DQ33" s="883">
        <v>259</v>
      </c>
      <c r="DR33" s="883">
        <v>380</v>
      </c>
      <c r="DS33" s="883">
        <v>225</v>
      </c>
      <c r="DT33" s="883">
        <v>305</v>
      </c>
      <c r="DU33" s="883">
        <v>153</v>
      </c>
      <c r="DV33" s="883">
        <v>198</v>
      </c>
      <c r="DW33" s="883">
        <v>472</v>
      </c>
      <c r="DX33" s="883">
        <v>366</v>
      </c>
      <c r="DY33" s="883">
        <v>287</v>
      </c>
      <c r="DZ33" s="873">
        <v>1225</v>
      </c>
      <c r="EA33" s="879">
        <f t="shared" si="34"/>
        <v>4034</v>
      </c>
      <c r="EB33" s="883">
        <v>410</v>
      </c>
      <c r="EC33" s="883">
        <v>971</v>
      </c>
      <c r="ED33" s="883">
        <v>403</v>
      </c>
      <c r="EE33" s="883">
        <v>650</v>
      </c>
      <c r="EF33" s="883">
        <v>1056</v>
      </c>
      <c r="EG33" s="883">
        <v>736</v>
      </c>
      <c r="EH33" s="883">
        <v>963</v>
      </c>
      <c r="EI33" s="883">
        <v>575</v>
      </c>
      <c r="EJ33" s="883">
        <v>533</v>
      </c>
      <c r="EK33" s="883">
        <v>2440</v>
      </c>
      <c r="EL33" s="883">
        <v>1719</v>
      </c>
      <c r="EM33" s="873">
        <v>3826</v>
      </c>
      <c r="EN33" s="879">
        <f>SUM(EB33:EM33)</f>
        <v>14282</v>
      </c>
      <c r="EO33" s="883">
        <v>190</v>
      </c>
      <c r="EP33" s="883">
        <v>502</v>
      </c>
      <c r="EQ33" s="883">
        <v>1539</v>
      </c>
      <c r="ER33" s="883">
        <v>602</v>
      </c>
      <c r="ES33" s="883">
        <v>1298</v>
      </c>
      <c r="ET33" s="883">
        <v>889</v>
      </c>
      <c r="EU33" s="883">
        <v>837</v>
      </c>
      <c r="EV33" s="973">
        <v>512</v>
      </c>
      <c r="EW33" s="883"/>
      <c r="EX33" s="883"/>
      <c r="EY33" s="883"/>
      <c r="EZ33" s="873"/>
      <c r="FA33" s="879">
        <f>SUM(EO33:EZ33)</f>
        <v>6369</v>
      </c>
      <c r="FC33" s="843">
        <f t="shared" si="62"/>
        <v>-10.956521739130432</v>
      </c>
      <c r="FD33" s="844">
        <f t="shared" si="65"/>
        <v>10.496183206106879</v>
      </c>
      <c r="FE33" s="845">
        <f t="shared" si="63"/>
        <v>5764</v>
      </c>
      <c r="FF33" s="846">
        <f t="shared" si="64"/>
        <v>6369</v>
      </c>
      <c r="FH33" s="127"/>
    </row>
    <row r="34" spans="1:164" ht="15" customHeight="1" x14ac:dyDescent="0.25">
      <c r="A34" s="403" t="s">
        <v>387</v>
      </c>
      <c r="B34" s="883"/>
      <c r="C34" s="883">
        <v>1600</v>
      </c>
      <c r="D34" s="883">
        <v>49</v>
      </c>
      <c r="E34" s="883">
        <v>634</v>
      </c>
      <c r="F34" s="883">
        <v>262</v>
      </c>
      <c r="G34" s="883">
        <v>38</v>
      </c>
      <c r="H34" s="883">
        <v>1245</v>
      </c>
      <c r="I34" s="883">
        <v>671</v>
      </c>
      <c r="J34" s="883">
        <v>884</v>
      </c>
      <c r="K34" s="883">
        <v>113</v>
      </c>
      <c r="L34" s="883">
        <v>127</v>
      </c>
      <c r="M34" s="873">
        <v>2409</v>
      </c>
      <c r="N34" s="879">
        <f t="shared" si="42"/>
        <v>8032</v>
      </c>
      <c r="O34" s="883">
        <v>12</v>
      </c>
      <c r="P34" s="883">
        <v>31</v>
      </c>
      <c r="Q34" s="883">
        <v>142</v>
      </c>
      <c r="R34" s="883">
        <v>1595</v>
      </c>
      <c r="S34" s="883">
        <v>392</v>
      </c>
      <c r="T34" s="883">
        <v>334</v>
      </c>
      <c r="U34" s="883">
        <v>455</v>
      </c>
      <c r="V34" s="883">
        <v>564</v>
      </c>
      <c r="W34" s="883">
        <v>688</v>
      </c>
      <c r="X34" s="883">
        <v>1140</v>
      </c>
      <c r="Y34" s="883">
        <v>1042</v>
      </c>
      <c r="Z34" s="873">
        <v>783</v>
      </c>
      <c r="AA34" s="879">
        <f t="shared" si="44"/>
        <v>7178</v>
      </c>
      <c r="AB34" s="883">
        <v>54</v>
      </c>
      <c r="AC34" s="883">
        <v>272</v>
      </c>
      <c r="AD34" s="883">
        <v>242</v>
      </c>
      <c r="AE34" s="883">
        <v>260</v>
      </c>
      <c r="AF34" s="883">
        <v>60</v>
      </c>
      <c r="AG34" s="883"/>
      <c r="AH34" s="883">
        <v>65</v>
      </c>
      <c r="AI34" s="883">
        <v>361</v>
      </c>
      <c r="AJ34" s="883">
        <v>675</v>
      </c>
      <c r="AK34" s="883">
        <v>642</v>
      </c>
      <c r="AL34" s="883">
        <v>998</v>
      </c>
      <c r="AM34" s="873">
        <v>1780</v>
      </c>
      <c r="AN34" s="879">
        <f t="shared" si="46"/>
        <v>5409</v>
      </c>
      <c r="AO34" s="883">
        <v>117</v>
      </c>
      <c r="AP34" s="883">
        <v>677</v>
      </c>
      <c r="AQ34" s="883">
        <v>506</v>
      </c>
      <c r="AR34" s="883">
        <v>210</v>
      </c>
      <c r="AS34" s="883">
        <v>44</v>
      </c>
      <c r="AT34" s="883">
        <v>161</v>
      </c>
      <c r="AU34" s="883">
        <v>65</v>
      </c>
      <c r="AV34" s="883">
        <v>56</v>
      </c>
      <c r="AW34" s="883">
        <v>83</v>
      </c>
      <c r="AX34" s="883">
        <v>318</v>
      </c>
      <c r="AY34" s="883">
        <v>80</v>
      </c>
      <c r="AZ34" s="873">
        <v>528</v>
      </c>
      <c r="BA34" s="879">
        <f t="shared" si="48"/>
        <v>2845</v>
      </c>
      <c r="BB34" s="883"/>
      <c r="BC34" s="883"/>
      <c r="BD34" s="883">
        <v>30</v>
      </c>
      <c r="BE34" s="883"/>
      <c r="BF34" s="883"/>
      <c r="BG34" s="883">
        <v>20</v>
      </c>
      <c r="BH34" s="883">
        <v>31</v>
      </c>
      <c r="BI34" s="883">
        <v>277</v>
      </c>
      <c r="BJ34" s="883">
        <v>303</v>
      </c>
      <c r="BK34" s="883">
        <v>272</v>
      </c>
      <c r="BL34" s="883">
        <v>922</v>
      </c>
      <c r="BM34" s="873">
        <v>533</v>
      </c>
      <c r="BN34" s="879">
        <f t="shared" si="50"/>
        <v>2388</v>
      </c>
      <c r="BO34" s="883">
        <v>40</v>
      </c>
      <c r="BP34" s="883">
        <v>101</v>
      </c>
      <c r="BQ34" s="883">
        <v>133</v>
      </c>
      <c r="BR34" s="883">
        <v>19</v>
      </c>
      <c r="BS34" s="883">
        <v>42</v>
      </c>
      <c r="BT34" s="883">
        <v>7</v>
      </c>
      <c r="BU34" s="883">
        <v>36</v>
      </c>
      <c r="BV34" s="883">
        <v>20</v>
      </c>
      <c r="BW34" s="883">
        <v>333</v>
      </c>
      <c r="BX34" s="883">
        <v>392</v>
      </c>
      <c r="BY34" s="883">
        <v>31</v>
      </c>
      <c r="BZ34" s="873">
        <v>767</v>
      </c>
      <c r="CA34" s="879">
        <f t="shared" si="52"/>
        <v>1921</v>
      </c>
      <c r="CB34" s="883"/>
      <c r="CC34" s="883">
        <v>135</v>
      </c>
      <c r="CD34" s="883">
        <v>196</v>
      </c>
      <c r="CE34" s="883">
        <v>33</v>
      </c>
      <c r="CF34" s="883">
        <v>57</v>
      </c>
      <c r="CG34" s="883">
        <v>215</v>
      </c>
      <c r="CH34" s="883">
        <v>261</v>
      </c>
      <c r="CI34" s="883">
        <v>420</v>
      </c>
      <c r="CJ34" s="883">
        <v>233</v>
      </c>
      <c r="CK34" s="883">
        <v>598</v>
      </c>
      <c r="CL34" s="883">
        <v>317</v>
      </c>
      <c r="CM34" s="873">
        <v>1687</v>
      </c>
      <c r="CN34" s="879">
        <f t="shared" si="32"/>
        <v>4152</v>
      </c>
      <c r="CO34" s="883"/>
      <c r="CP34" s="883"/>
      <c r="CQ34" s="883">
        <v>3</v>
      </c>
      <c r="CR34" s="883">
        <v>9</v>
      </c>
      <c r="CS34" s="883">
        <v>22</v>
      </c>
      <c r="CT34" s="883">
        <v>404</v>
      </c>
      <c r="CU34" s="883">
        <v>896</v>
      </c>
      <c r="CV34" s="883">
        <v>2916</v>
      </c>
      <c r="CW34" s="883">
        <v>229</v>
      </c>
      <c r="CX34" s="883">
        <v>217</v>
      </c>
      <c r="CY34" s="883">
        <v>675</v>
      </c>
      <c r="CZ34" s="873">
        <v>1697</v>
      </c>
      <c r="DA34" s="879">
        <f>SUM(CO34:CZ34)</f>
        <v>7068</v>
      </c>
      <c r="DB34" s="883"/>
      <c r="DC34" s="883"/>
      <c r="DD34" s="883">
        <v>90</v>
      </c>
      <c r="DE34" s="883">
        <v>168</v>
      </c>
      <c r="DF34" s="883">
        <v>501</v>
      </c>
      <c r="DG34" s="883">
        <v>428</v>
      </c>
      <c r="DH34" s="883">
        <v>795</v>
      </c>
      <c r="DI34" s="883">
        <v>304</v>
      </c>
      <c r="DJ34" s="883">
        <v>618</v>
      </c>
      <c r="DK34" s="883">
        <v>677</v>
      </c>
      <c r="DL34" s="883">
        <v>1659</v>
      </c>
      <c r="DM34" s="873">
        <v>2668</v>
      </c>
      <c r="DN34" s="879">
        <f t="shared" si="33"/>
        <v>7908</v>
      </c>
      <c r="DO34" s="883">
        <v>1491</v>
      </c>
      <c r="DP34" s="883">
        <v>3095</v>
      </c>
      <c r="DQ34" s="883">
        <v>1574</v>
      </c>
      <c r="DR34" s="883">
        <v>1053</v>
      </c>
      <c r="DS34" s="883">
        <v>237</v>
      </c>
      <c r="DT34" s="883">
        <v>609</v>
      </c>
      <c r="DU34" s="883">
        <v>259</v>
      </c>
      <c r="DV34" s="883">
        <v>154</v>
      </c>
      <c r="DW34" s="883">
        <v>422</v>
      </c>
      <c r="DX34" s="883">
        <v>480</v>
      </c>
      <c r="DY34" s="883">
        <v>556</v>
      </c>
      <c r="DZ34" s="873">
        <v>4107</v>
      </c>
      <c r="EA34" s="879">
        <f t="shared" si="34"/>
        <v>14037</v>
      </c>
      <c r="EB34" s="883">
        <v>146</v>
      </c>
      <c r="EC34" s="883">
        <v>320</v>
      </c>
      <c r="ED34" s="883">
        <v>1064</v>
      </c>
      <c r="EE34" s="883">
        <v>1722</v>
      </c>
      <c r="EF34" s="883">
        <v>1091</v>
      </c>
      <c r="EG34" s="883">
        <v>1015</v>
      </c>
      <c r="EH34" s="883">
        <v>579</v>
      </c>
      <c r="EI34" s="883">
        <v>258</v>
      </c>
      <c r="EJ34" s="883">
        <v>278</v>
      </c>
      <c r="EK34" s="883">
        <v>365</v>
      </c>
      <c r="EL34" s="883">
        <v>636</v>
      </c>
      <c r="EM34" s="873">
        <v>709</v>
      </c>
      <c r="EN34" s="879">
        <f>SUM(EB34:EM34)</f>
        <v>8183</v>
      </c>
      <c r="EO34" s="883">
        <v>1753</v>
      </c>
      <c r="EP34" s="883">
        <v>184</v>
      </c>
      <c r="EQ34" s="883">
        <v>567</v>
      </c>
      <c r="ER34" s="883">
        <v>3691</v>
      </c>
      <c r="ES34" s="883">
        <v>1714</v>
      </c>
      <c r="ET34" s="883">
        <v>1515</v>
      </c>
      <c r="EU34" s="883">
        <v>1812</v>
      </c>
      <c r="EV34" s="973">
        <v>206</v>
      </c>
      <c r="EW34" s="883"/>
      <c r="EX34" s="883"/>
      <c r="EY34" s="883"/>
      <c r="EZ34" s="873"/>
      <c r="FA34" s="879">
        <f>SUM(EO34:EZ34)</f>
        <v>11442</v>
      </c>
      <c r="FC34" s="843">
        <f t="shared" si="62"/>
        <v>-20.155038759689926</v>
      </c>
      <c r="FD34" s="844">
        <f t="shared" si="65"/>
        <v>84.697336561743342</v>
      </c>
      <c r="FE34" s="845">
        <f t="shared" si="63"/>
        <v>6195</v>
      </c>
      <c r="FF34" s="846">
        <f t="shared" si="64"/>
        <v>11442</v>
      </c>
      <c r="FH34" s="127"/>
    </row>
    <row r="35" spans="1:164" ht="15" customHeight="1" x14ac:dyDescent="0.25">
      <c r="A35" s="133"/>
      <c r="B35" s="880"/>
      <c r="C35" s="880"/>
      <c r="D35" s="880"/>
      <c r="E35" s="880"/>
      <c r="F35" s="880"/>
      <c r="G35" s="880"/>
      <c r="H35" s="880"/>
      <c r="I35" s="880"/>
      <c r="J35" s="880"/>
      <c r="K35" s="880"/>
      <c r="L35" s="880"/>
      <c r="M35" s="881"/>
      <c r="N35" s="882"/>
      <c r="O35" s="880"/>
      <c r="P35" s="880"/>
      <c r="Q35" s="880"/>
      <c r="R35" s="880"/>
      <c r="S35" s="880"/>
      <c r="T35" s="880"/>
      <c r="U35" s="880"/>
      <c r="V35" s="880"/>
      <c r="W35" s="880"/>
      <c r="X35" s="880"/>
      <c r="Y35" s="880"/>
      <c r="Z35" s="881"/>
      <c r="AA35" s="882"/>
      <c r="AB35" s="880"/>
      <c r="AC35" s="880"/>
      <c r="AD35" s="880"/>
      <c r="AE35" s="880"/>
      <c r="AF35" s="880"/>
      <c r="AG35" s="880"/>
      <c r="AH35" s="880"/>
      <c r="AI35" s="880"/>
      <c r="AJ35" s="880"/>
      <c r="AK35" s="880"/>
      <c r="AL35" s="880"/>
      <c r="AM35" s="881"/>
      <c r="AN35" s="882"/>
      <c r="AO35" s="880"/>
      <c r="AP35" s="880"/>
      <c r="AQ35" s="880"/>
      <c r="AR35" s="880"/>
      <c r="AS35" s="880"/>
      <c r="AT35" s="880"/>
      <c r="AU35" s="880"/>
      <c r="AV35" s="880"/>
      <c r="AW35" s="880"/>
      <c r="AX35" s="880"/>
      <c r="AY35" s="880"/>
      <c r="AZ35" s="881"/>
      <c r="BA35" s="882"/>
      <c r="BB35" s="880"/>
      <c r="BC35" s="880"/>
      <c r="BD35" s="880"/>
      <c r="BE35" s="880"/>
      <c r="BF35" s="880"/>
      <c r="BG35" s="880"/>
      <c r="BH35" s="880"/>
      <c r="BI35" s="880"/>
      <c r="BJ35" s="880"/>
      <c r="BK35" s="880"/>
      <c r="BL35" s="880"/>
      <c r="BM35" s="881"/>
      <c r="BN35" s="882"/>
      <c r="BO35" s="880"/>
      <c r="BP35" s="880"/>
      <c r="BQ35" s="880"/>
      <c r="BR35" s="880"/>
      <c r="BS35" s="880"/>
      <c r="BT35" s="880"/>
      <c r="BU35" s="880"/>
      <c r="BV35" s="880"/>
      <c r="BW35" s="880"/>
      <c r="BX35" s="880"/>
      <c r="BY35" s="880"/>
      <c r="BZ35" s="881"/>
      <c r="CA35" s="882"/>
      <c r="CB35" s="880"/>
      <c r="CC35" s="880"/>
      <c r="CD35" s="880"/>
      <c r="CE35" s="880"/>
      <c r="CF35" s="880"/>
      <c r="CG35" s="880"/>
      <c r="CH35" s="880"/>
      <c r="CI35" s="880"/>
      <c r="CJ35" s="880"/>
      <c r="CK35" s="880"/>
      <c r="CL35" s="880"/>
      <c r="CM35" s="881"/>
      <c r="CN35" s="882"/>
      <c r="CO35" s="880"/>
      <c r="CP35" s="880"/>
      <c r="CQ35" s="880"/>
      <c r="CR35" s="880"/>
      <c r="CS35" s="880"/>
      <c r="CT35" s="880"/>
      <c r="CU35" s="880"/>
      <c r="CV35" s="880"/>
      <c r="CW35" s="880"/>
      <c r="CX35" s="880"/>
      <c r="CY35" s="880"/>
      <c r="CZ35" s="881"/>
      <c r="DA35" s="882"/>
      <c r="DB35" s="880"/>
      <c r="DC35" s="880"/>
      <c r="DD35" s="880"/>
      <c r="DE35" s="880"/>
      <c r="DF35" s="880"/>
      <c r="DG35" s="880"/>
      <c r="DH35" s="880"/>
      <c r="DI35" s="880"/>
      <c r="DJ35" s="880"/>
      <c r="DK35" s="880"/>
      <c r="DL35" s="880"/>
      <c r="DM35" s="881"/>
      <c r="DN35" s="882"/>
      <c r="DO35" s="880"/>
      <c r="DP35" s="880"/>
      <c r="DQ35" s="880"/>
      <c r="DR35" s="880"/>
      <c r="DS35" s="880"/>
      <c r="DT35" s="880"/>
      <c r="DU35" s="880"/>
      <c r="DV35" s="880"/>
      <c r="DW35" s="880"/>
      <c r="DX35" s="880"/>
      <c r="DY35" s="880"/>
      <c r="DZ35" s="881"/>
      <c r="EA35" s="882"/>
      <c r="EB35" s="880"/>
      <c r="EC35" s="880"/>
      <c r="ED35" s="880"/>
      <c r="EE35" s="880"/>
      <c r="EF35" s="880"/>
      <c r="EG35" s="880"/>
      <c r="EH35" s="880"/>
      <c r="EI35" s="880"/>
      <c r="EJ35" s="880"/>
      <c r="EK35" s="880"/>
      <c r="EL35" s="880"/>
      <c r="EM35" s="881"/>
      <c r="EN35" s="882"/>
      <c r="EO35" s="880"/>
      <c r="EP35" s="880"/>
      <c r="EQ35" s="880"/>
      <c r="ER35" s="880"/>
      <c r="ES35" s="880"/>
      <c r="ET35" s="880"/>
      <c r="EU35" s="880"/>
      <c r="EV35" s="978"/>
      <c r="EW35" s="880"/>
      <c r="EX35" s="880"/>
      <c r="EY35" s="880"/>
      <c r="EZ35" s="881"/>
      <c r="FA35" s="882"/>
      <c r="FC35" s="340"/>
      <c r="FD35" s="228"/>
      <c r="FE35" s="305"/>
      <c r="FF35" s="218"/>
    </row>
    <row r="36" spans="1:164" ht="15" customHeight="1" x14ac:dyDescent="0.25">
      <c r="A36" s="131" t="s">
        <v>244</v>
      </c>
      <c r="FC36" s="205"/>
      <c r="FD36" s="205"/>
    </row>
    <row r="37" spans="1:164" ht="15" customHeight="1" x14ac:dyDescent="0.25">
      <c r="A37" s="175" t="s">
        <v>145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FC37" s="205"/>
      <c r="FD37" s="205"/>
    </row>
    <row r="38" spans="1:164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 s="961"/>
      <c r="EW38"/>
      <c r="EX38"/>
      <c r="EY38"/>
      <c r="EZ38"/>
      <c r="FA38"/>
      <c r="FC38"/>
      <c r="FD38"/>
      <c r="FE38"/>
      <c r="FF38"/>
      <c r="FH38"/>
    </row>
    <row r="39" spans="1:164" ht="1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 s="961"/>
      <c r="EW39"/>
      <c r="EX39"/>
      <c r="EY39"/>
      <c r="EZ39"/>
      <c r="FA39"/>
      <c r="FC39"/>
      <c r="FD39"/>
      <c r="FE39"/>
      <c r="FF39"/>
      <c r="FH39"/>
    </row>
    <row r="40" spans="1:164" ht="1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 s="961"/>
      <c r="EW40"/>
      <c r="EX40"/>
      <c r="EY40"/>
      <c r="EZ40"/>
      <c r="FA40"/>
      <c r="FC40"/>
      <c r="FD40"/>
      <c r="FE40"/>
      <c r="FF40"/>
      <c r="FH40"/>
    </row>
    <row r="41" spans="1:164" ht="1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 s="961"/>
      <c r="EW41"/>
      <c r="EX41"/>
      <c r="EY41"/>
      <c r="EZ41"/>
      <c r="FA41"/>
      <c r="FC41"/>
      <c r="FD41"/>
      <c r="FE41"/>
      <c r="FF41"/>
      <c r="FH41"/>
    </row>
    <row r="42" spans="1:164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 s="961"/>
      <c r="EW42"/>
      <c r="EX42"/>
      <c r="EY42"/>
      <c r="EZ42"/>
      <c r="FA42"/>
      <c r="FC42"/>
      <c r="FD42"/>
      <c r="FE42"/>
      <c r="FF42"/>
      <c r="FH42"/>
    </row>
    <row r="43" spans="1:164" ht="1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 s="961"/>
      <c r="EW43"/>
      <c r="EX43"/>
      <c r="EY43"/>
      <c r="EZ43"/>
      <c r="FA43"/>
      <c r="FC43"/>
      <c r="FD43"/>
      <c r="FE43"/>
      <c r="FF43"/>
      <c r="FH43"/>
    </row>
    <row r="44" spans="1:164" ht="1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 s="961"/>
      <c r="EW44"/>
      <c r="EX44"/>
      <c r="EY44"/>
      <c r="EZ44"/>
      <c r="FA44"/>
      <c r="FC44"/>
      <c r="FD44"/>
      <c r="FE44"/>
      <c r="FF44"/>
      <c r="FH44"/>
    </row>
    <row r="45" spans="1:164" ht="1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 s="961"/>
      <c r="EW45"/>
      <c r="EX45"/>
      <c r="EY45"/>
      <c r="EZ45"/>
      <c r="FA45"/>
      <c r="FC45"/>
      <c r="FD45"/>
      <c r="FE45"/>
      <c r="FF45"/>
      <c r="FH45"/>
    </row>
    <row r="46" spans="1:164" ht="1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 s="961"/>
      <c r="EW46"/>
      <c r="EX46"/>
      <c r="EY46"/>
      <c r="EZ46"/>
      <c r="FA46"/>
      <c r="FC46"/>
      <c r="FD46"/>
      <c r="FE46"/>
      <c r="FF46"/>
      <c r="FH46"/>
    </row>
    <row r="47" spans="1:164" ht="1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 s="961"/>
      <c r="EW47"/>
      <c r="EX47"/>
      <c r="EY47"/>
      <c r="EZ47"/>
      <c r="FA47"/>
      <c r="FC47"/>
      <c r="FD47"/>
      <c r="FE47"/>
      <c r="FF47"/>
      <c r="FH47"/>
    </row>
    <row r="48" spans="1:164" ht="1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 s="961"/>
      <c r="EW48"/>
      <c r="EX48"/>
      <c r="EY48"/>
      <c r="EZ48"/>
      <c r="FA48"/>
      <c r="FC48"/>
      <c r="FD48"/>
      <c r="FE48"/>
      <c r="FF48"/>
      <c r="FH48"/>
    </row>
    <row r="49" spans="152:152" customFormat="1" ht="15" customHeight="1" x14ac:dyDescent="0.25">
      <c r="EV49" s="961"/>
    </row>
    <row r="50" spans="152:152" customFormat="1" ht="15" customHeight="1" x14ac:dyDescent="0.25">
      <c r="EV50" s="961"/>
    </row>
    <row r="51" spans="152:152" customFormat="1" ht="15" customHeight="1" x14ac:dyDescent="0.25">
      <c r="EV51" s="961"/>
    </row>
    <row r="52" spans="152:152" customFormat="1" ht="15" customHeight="1" x14ac:dyDescent="0.25">
      <c r="EV52" s="961"/>
    </row>
    <row r="53" spans="152:152" customFormat="1" ht="15" customHeight="1" x14ac:dyDescent="0.25">
      <c r="EV53" s="961"/>
    </row>
    <row r="54" spans="152:152" customFormat="1" ht="15" customHeight="1" x14ac:dyDescent="0.25">
      <c r="EV54" s="961"/>
    </row>
    <row r="55" spans="152:152" customFormat="1" ht="15" customHeight="1" x14ac:dyDescent="0.25">
      <c r="EV55" s="961"/>
    </row>
    <row r="56" spans="152:152" customFormat="1" ht="15" customHeight="1" x14ac:dyDescent="0.25">
      <c r="EV56" s="961"/>
    </row>
    <row r="57" spans="152:152" customFormat="1" ht="15" customHeight="1" x14ac:dyDescent="0.25">
      <c r="EV57" s="961"/>
    </row>
    <row r="58" spans="152:152" customFormat="1" ht="15" customHeight="1" x14ac:dyDescent="0.25">
      <c r="EV58" s="961"/>
    </row>
    <row r="59" spans="152:152" customFormat="1" ht="15" customHeight="1" x14ac:dyDescent="0.25">
      <c r="EV59" s="961"/>
    </row>
    <row r="60" spans="152:152" customFormat="1" ht="15" customHeight="1" x14ac:dyDescent="0.25">
      <c r="EV60" s="961"/>
    </row>
    <row r="61" spans="152:152" customFormat="1" ht="15" customHeight="1" x14ac:dyDescent="0.25">
      <c r="EV61" s="961"/>
    </row>
    <row r="62" spans="152:152" customFormat="1" ht="15" customHeight="1" x14ac:dyDescent="0.25">
      <c r="EV62" s="961"/>
    </row>
    <row r="63" spans="152:152" customFormat="1" ht="15" customHeight="1" x14ac:dyDescent="0.25">
      <c r="EV63" s="961"/>
    </row>
    <row r="64" spans="152:152" customFormat="1" ht="15" customHeight="1" x14ac:dyDescent="0.25">
      <c r="EV64" s="961"/>
    </row>
    <row r="65" spans="152:152" customFormat="1" ht="15" customHeight="1" x14ac:dyDescent="0.25">
      <c r="EV65" s="961"/>
    </row>
    <row r="66" spans="152:152" customFormat="1" ht="15" customHeight="1" x14ac:dyDescent="0.25">
      <c r="EV66" s="961"/>
    </row>
    <row r="67" spans="152:152" customFormat="1" ht="15" customHeight="1" x14ac:dyDescent="0.25">
      <c r="EV67" s="961"/>
    </row>
    <row r="68" spans="152:152" customFormat="1" ht="15" customHeight="1" x14ac:dyDescent="0.25">
      <c r="EV68" s="961"/>
    </row>
    <row r="69" spans="152:152" customFormat="1" ht="15" customHeight="1" x14ac:dyDescent="0.25">
      <c r="EV69" s="961"/>
    </row>
    <row r="70" spans="152:152" customFormat="1" ht="15" customHeight="1" x14ac:dyDescent="0.25">
      <c r="EV70" s="961"/>
    </row>
    <row r="71" spans="152:152" customFormat="1" ht="15" customHeight="1" x14ac:dyDescent="0.25">
      <c r="EV71" s="961"/>
    </row>
    <row r="72" spans="152:152" customFormat="1" ht="15" customHeight="1" x14ac:dyDescent="0.25">
      <c r="EV72" s="961"/>
    </row>
    <row r="73" spans="152:152" customFormat="1" ht="15" customHeight="1" x14ac:dyDescent="0.25">
      <c r="EV73" s="961"/>
    </row>
    <row r="74" spans="152:152" customFormat="1" ht="15" customHeight="1" x14ac:dyDescent="0.25">
      <c r="EV74" s="961"/>
    </row>
    <row r="75" spans="152:152" customFormat="1" ht="15" customHeight="1" x14ac:dyDescent="0.25">
      <c r="EV75" s="961"/>
    </row>
    <row r="76" spans="152:152" customFormat="1" ht="15" customHeight="1" x14ac:dyDescent="0.25">
      <c r="EV76" s="961"/>
    </row>
    <row r="77" spans="152:152" customFormat="1" ht="15" customHeight="1" x14ac:dyDescent="0.25">
      <c r="EV77" s="961"/>
    </row>
    <row r="78" spans="152:152" customFormat="1" ht="15" customHeight="1" x14ac:dyDescent="0.25">
      <c r="EV78" s="961"/>
    </row>
    <row r="79" spans="152:152" customFormat="1" ht="15" customHeight="1" x14ac:dyDescent="0.25">
      <c r="EV79" s="961"/>
    </row>
    <row r="80" spans="152:152" customFormat="1" ht="15" customHeight="1" x14ac:dyDescent="0.25">
      <c r="EV80" s="961"/>
    </row>
    <row r="81" spans="152:152" customFormat="1" ht="15" customHeight="1" x14ac:dyDescent="0.25">
      <c r="EV81" s="961"/>
    </row>
    <row r="82" spans="152:152" customFormat="1" ht="15" customHeight="1" x14ac:dyDescent="0.25">
      <c r="EV82" s="961"/>
    </row>
    <row r="83" spans="152:152" customFormat="1" ht="15" customHeight="1" x14ac:dyDescent="0.25">
      <c r="EV83" s="961"/>
    </row>
    <row r="84" spans="152:152" customFormat="1" ht="15" customHeight="1" x14ac:dyDescent="0.25">
      <c r="EV84" s="961"/>
    </row>
    <row r="85" spans="152:152" customFormat="1" ht="15" customHeight="1" x14ac:dyDescent="0.25">
      <c r="EV85" s="961"/>
    </row>
    <row r="86" spans="152:152" customFormat="1" ht="15" customHeight="1" x14ac:dyDescent="0.25">
      <c r="EV86" s="961"/>
    </row>
    <row r="87" spans="152:152" customFormat="1" ht="15" customHeight="1" x14ac:dyDescent="0.25">
      <c r="EV87" s="961"/>
    </row>
    <row r="88" spans="152:152" customFormat="1" ht="15" customHeight="1" x14ac:dyDescent="0.25">
      <c r="EV88" s="961"/>
    </row>
    <row r="89" spans="152:152" customFormat="1" ht="15" customHeight="1" x14ac:dyDescent="0.25">
      <c r="EV89" s="961"/>
    </row>
    <row r="90" spans="152:152" customFormat="1" ht="15" customHeight="1" x14ac:dyDescent="0.25">
      <c r="EV90" s="961"/>
    </row>
    <row r="91" spans="152:152" customFormat="1" ht="15" customHeight="1" x14ac:dyDescent="0.25">
      <c r="EV91" s="961"/>
    </row>
    <row r="92" spans="152:152" customFormat="1" ht="15" customHeight="1" x14ac:dyDescent="0.25">
      <c r="EV92" s="961"/>
    </row>
    <row r="93" spans="152:152" customFormat="1" ht="15" customHeight="1" x14ac:dyDescent="0.25">
      <c r="EV93" s="961"/>
    </row>
    <row r="94" spans="152:152" customFormat="1" ht="15" customHeight="1" x14ac:dyDescent="0.25">
      <c r="EV94" s="961"/>
    </row>
    <row r="95" spans="152:152" customFormat="1" ht="15" customHeight="1" x14ac:dyDescent="0.25">
      <c r="EV95" s="961"/>
    </row>
  </sheetData>
  <mergeCells count="1">
    <mergeCell ref="FC4:FD4"/>
  </mergeCells>
  <printOptions horizontalCentered="1" verticalCentered="1"/>
  <pageMargins left="0.75" right="0.75" top="1" bottom="1" header="0" footer="0"/>
  <pageSetup paperSize="9" scale="1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0.59999389629810485"/>
    <pageSetUpPr fitToPage="1"/>
  </sheetPr>
  <dimension ref="A1:FF101"/>
  <sheetViews>
    <sheetView showGridLines="0" view="pageBreakPreview" zoomScale="90" zoomScaleSheetLayoutView="90" workbookViewId="0">
      <pane xSplit="1" topLeftCell="EB1" activePane="topRight" state="frozen"/>
      <selection activeCell="FG21" sqref="FG21"/>
      <selection pane="topRight" activeCell="EV7" sqref="EV7"/>
    </sheetView>
  </sheetViews>
  <sheetFormatPr baseColWidth="10" defaultColWidth="9.7109375" defaultRowHeight="15" customHeight="1" x14ac:dyDescent="0.25"/>
  <cols>
    <col min="1" max="1" width="30.7109375" style="126" customWidth="1"/>
    <col min="2" max="132" width="9.7109375" style="126"/>
    <col min="133" max="133" width="10.5703125" style="126" customWidth="1"/>
    <col min="134" max="143" width="9.7109375" style="126"/>
    <col min="144" max="144" width="10.85546875" style="126" customWidth="1"/>
    <col min="145" max="145" width="9.7109375" style="126"/>
    <col min="146" max="146" width="10.5703125" style="126" customWidth="1"/>
    <col min="147" max="151" width="9.7109375" style="126"/>
    <col min="152" max="152" width="9.7109375" style="946"/>
    <col min="153" max="156" width="9.7109375" style="126"/>
    <col min="157" max="157" width="10.85546875" style="126" customWidth="1"/>
    <col min="158" max="158" width="1.7109375" customWidth="1"/>
    <col min="159" max="160" width="9.7109375" style="126"/>
    <col min="161" max="161" width="11.85546875" style="126" customWidth="1"/>
    <col min="162" max="162" width="12" style="126" customWidth="1"/>
    <col min="163" max="16384" width="9.7109375" style="126"/>
  </cols>
  <sheetData>
    <row r="1" spans="1:162" ht="15" customHeight="1" x14ac:dyDescent="0.25">
      <c r="A1" s="229" t="s">
        <v>338</v>
      </c>
    </row>
    <row r="2" spans="1:162" ht="15" customHeight="1" x14ac:dyDescent="0.25">
      <c r="A2" s="125" t="s">
        <v>409</v>
      </c>
      <c r="AI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</row>
    <row r="3" spans="1:162" ht="15" customHeight="1" x14ac:dyDescent="0.25">
      <c r="A3" s="128" t="s">
        <v>305</v>
      </c>
      <c r="AM3" s="127">
        <f>AM7-AM27</f>
        <v>0</v>
      </c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</row>
    <row r="4" spans="1:162" ht="15" customHeight="1" x14ac:dyDescent="0.25">
      <c r="A4" s="165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 t="s">
        <v>83</v>
      </c>
      <c r="O4" s="102">
        <v>2016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4" t="s">
        <v>83</v>
      </c>
      <c r="AB4" s="102">
        <v>2017</v>
      </c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4" t="s">
        <v>83</v>
      </c>
      <c r="AO4" s="102">
        <v>2018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4" t="s">
        <v>83</v>
      </c>
      <c r="BB4" s="102">
        <v>2019</v>
      </c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4" t="s">
        <v>83</v>
      </c>
      <c r="BO4" s="102">
        <v>2020</v>
      </c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4" t="s">
        <v>83</v>
      </c>
      <c r="CB4" s="102">
        <v>2021</v>
      </c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4" t="s">
        <v>83</v>
      </c>
      <c r="CO4" s="102">
        <v>2022</v>
      </c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4" t="s">
        <v>83</v>
      </c>
      <c r="DB4" s="102">
        <v>2023</v>
      </c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4" t="s">
        <v>83</v>
      </c>
      <c r="DO4" s="102">
        <v>2024</v>
      </c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4" t="s">
        <v>83</v>
      </c>
      <c r="EB4" s="102">
        <v>2025</v>
      </c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4" t="s">
        <v>83</v>
      </c>
      <c r="EO4" s="102">
        <v>2026</v>
      </c>
      <c r="EP4" s="103"/>
      <c r="EQ4" s="103"/>
      <c r="ER4" s="103"/>
      <c r="ES4" s="103"/>
      <c r="ET4" s="103"/>
      <c r="EU4" s="103"/>
      <c r="EV4" s="948"/>
      <c r="EW4" s="945"/>
      <c r="EX4" s="103"/>
      <c r="EY4" s="103"/>
      <c r="EZ4" s="103"/>
      <c r="FA4" s="104" t="s">
        <v>83</v>
      </c>
      <c r="FC4" s="982" t="str">
        <f>CONCATENATE("Var.% ",FF4,"/",FE4)</f>
        <v>Var.% 2026/2025</v>
      </c>
      <c r="FD4" s="983"/>
      <c r="FE4" s="105">
        <f>FF4-1</f>
        <v>2025</v>
      </c>
      <c r="FF4" s="105">
        <f>YEAR(FC5)</f>
        <v>2026</v>
      </c>
    </row>
    <row r="5" spans="1:162" ht="15" customHeight="1" x14ac:dyDescent="0.25">
      <c r="A5" s="232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107">
        <v>42339</v>
      </c>
      <c r="N5" s="108">
        <f t="shared" ref="N5" si="0">YEAR(M5)</f>
        <v>2015</v>
      </c>
      <c r="O5" s="106">
        <v>42370</v>
      </c>
      <c r="P5" s="107">
        <v>42401</v>
      </c>
      <c r="Q5" s="107">
        <v>42430</v>
      </c>
      <c r="R5" s="107">
        <v>42461</v>
      </c>
      <c r="S5" s="107">
        <v>42491</v>
      </c>
      <c r="T5" s="107">
        <v>42522</v>
      </c>
      <c r="U5" s="107">
        <v>42552</v>
      </c>
      <c r="V5" s="107">
        <v>42583</v>
      </c>
      <c r="W5" s="107">
        <v>42614</v>
      </c>
      <c r="X5" s="107">
        <v>42644</v>
      </c>
      <c r="Y5" s="107">
        <v>42675</v>
      </c>
      <c r="Z5" s="107">
        <v>42705</v>
      </c>
      <c r="AA5" s="108">
        <f t="shared" ref="AA5" si="1">YEAR(Z5)</f>
        <v>2016</v>
      </c>
      <c r="AB5" s="106">
        <v>42736</v>
      </c>
      <c r="AC5" s="107">
        <v>42767</v>
      </c>
      <c r="AD5" s="107">
        <v>42795</v>
      </c>
      <c r="AE5" s="107">
        <v>42826</v>
      </c>
      <c r="AF5" s="107">
        <v>42856</v>
      </c>
      <c r="AG5" s="107">
        <v>42887</v>
      </c>
      <c r="AH5" s="107">
        <v>42917</v>
      </c>
      <c r="AI5" s="107">
        <v>42948</v>
      </c>
      <c r="AJ5" s="107">
        <v>42979</v>
      </c>
      <c r="AK5" s="107">
        <v>43009</v>
      </c>
      <c r="AL5" s="107">
        <v>43040</v>
      </c>
      <c r="AM5" s="107">
        <v>43070</v>
      </c>
      <c r="AN5" s="108">
        <f t="shared" ref="AN5" si="2">YEAR(AM5)</f>
        <v>2017</v>
      </c>
      <c r="AO5" s="106">
        <v>43101</v>
      </c>
      <c r="AP5" s="107">
        <v>43132</v>
      </c>
      <c r="AQ5" s="107">
        <v>43160</v>
      </c>
      <c r="AR5" s="107">
        <v>43191</v>
      </c>
      <c r="AS5" s="107">
        <v>43221</v>
      </c>
      <c r="AT5" s="107">
        <v>43252</v>
      </c>
      <c r="AU5" s="107">
        <v>43282</v>
      </c>
      <c r="AV5" s="107">
        <v>43313</v>
      </c>
      <c r="AW5" s="107">
        <v>43344</v>
      </c>
      <c r="AX5" s="107">
        <v>43374</v>
      </c>
      <c r="AY5" s="107">
        <v>43405</v>
      </c>
      <c r="AZ5" s="107">
        <v>43435</v>
      </c>
      <c r="BA5" s="108">
        <f t="shared" ref="BA5" si="3">YEAR(AZ5)</f>
        <v>2018</v>
      </c>
      <c r="BB5" s="106">
        <v>43466</v>
      </c>
      <c r="BC5" s="107">
        <v>43497</v>
      </c>
      <c r="BD5" s="107">
        <v>43525</v>
      </c>
      <c r="BE5" s="107">
        <v>43556</v>
      </c>
      <c r="BF5" s="107">
        <v>43586</v>
      </c>
      <c r="BG5" s="107">
        <v>43617</v>
      </c>
      <c r="BH5" s="107">
        <v>43647</v>
      </c>
      <c r="BI5" s="107">
        <v>43678</v>
      </c>
      <c r="BJ5" s="107">
        <v>43709</v>
      </c>
      <c r="BK5" s="107">
        <v>43739</v>
      </c>
      <c r="BL5" s="107">
        <v>43770</v>
      </c>
      <c r="BM5" s="107">
        <v>43800</v>
      </c>
      <c r="BN5" s="108">
        <f t="shared" ref="BN5" si="4">YEAR(BM5)</f>
        <v>2019</v>
      </c>
      <c r="BO5" s="106">
        <v>43831</v>
      </c>
      <c r="BP5" s="107">
        <v>43862</v>
      </c>
      <c r="BQ5" s="107">
        <v>43891</v>
      </c>
      <c r="BR5" s="107">
        <v>43922</v>
      </c>
      <c r="BS5" s="107">
        <v>43952</v>
      </c>
      <c r="BT5" s="107">
        <v>43983</v>
      </c>
      <c r="BU5" s="107">
        <v>44013</v>
      </c>
      <c r="BV5" s="107">
        <v>44044</v>
      </c>
      <c r="BW5" s="107">
        <v>44075</v>
      </c>
      <c r="BX5" s="107">
        <v>44105</v>
      </c>
      <c r="BY5" s="107">
        <v>44136</v>
      </c>
      <c r="BZ5" s="107">
        <v>44166</v>
      </c>
      <c r="CA5" s="108">
        <f t="shared" ref="CA5" si="5">YEAR(BZ5)</f>
        <v>2020</v>
      </c>
      <c r="CB5" s="106">
        <v>44197</v>
      </c>
      <c r="CC5" s="107">
        <v>44228</v>
      </c>
      <c r="CD5" s="107">
        <v>44256</v>
      </c>
      <c r="CE5" s="107">
        <v>44287</v>
      </c>
      <c r="CF5" s="107">
        <v>44317</v>
      </c>
      <c r="CG5" s="107">
        <v>44348</v>
      </c>
      <c r="CH5" s="107">
        <v>44378</v>
      </c>
      <c r="CI5" s="107">
        <v>44409</v>
      </c>
      <c r="CJ5" s="107">
        <v>44440</v>
      </c>
      <c r="CK5" s="107">
        <v>44470</v>
      </c>
      <c r="CL5" s="107">
        <v>44501</v>
      </c>
      <c r="CM5" s="107">
        <v>44531</v>
      </c>
      <c r="CN5" s="108">
        <f t="shared" ref="CN5" si="6">YEAR(CM5)</f>
        <v>2021</v>
      </c>
      <c r="CO5" s="106">
        <v>44562</v>
      </c>
      <c r="CP5" s="107">
        <v>44593</v>
      </c>
      <c r="CQ5" s="107">
        <v>44621</v>
      </c>
      <c r="CR5" s="107">
        <v>44652</v>
      </c>
      <c r="CS5" s="107">
        <v>44682</v>
      </c>
      <c r="CT5" s="107">
        <v>44713</v>
      </c>
      <c r="CU5" s="107">
        <v>44743</v>
      </c>
      <c r="CV5" s="107">
        <v>44774</v>
      </c>
      <c r="CW5" s="107">
        <v>44805</v>
      </c>
      <c r="CX5" s="107">
        <v>44835</v>
      </c>
      <c r="CY5" s="107">
        <v>44866</v>
      </c>
      <c r="CZ5" s="107">
        <v>44896</v>
      </c>
      <c r="DA5" s="108">
        <f t="shared" ref="DA5" si="7">YEAR(CZ5)</f>
        <v>2022</v>
      </c>
      <c r="DB5" s="106">
        <v>44927</v>
      </c>
      <c r="DC5" s="107">
        <v>44958</v>
      </c>
      <c r="DD5" s="107">
        <v>44986</v>
      </c>
      <c r="DE5" s="107">
        <v>45017</v>
      </c>
      <c r="DF5" s="107">
        <v>45047</v>
      </c>
      <c r="DG5" s="107">
        <v>45078</v>
      </c>
      <c r="DH5" s="107">
        <v>45108</v>
      </c>
      <c r="DI5" s="107">
        <v>45139</v>
      </c>
      <c r="DJ5" s="107">
        <v>45170</v>
      </c>
      <c r="DK5" s="107">
        <v>45200</v>
      </c>
      <c r="DL5" s="107">
        <v>45231</v>
      </c>
      <c r="DM5" s="107">
        <v>45261</v>
      </c>
      <c r="DN5" s="108">
        <f t="shared" ref="DN5" si="8">YEAR(DM5)</f>
        <v>2023</v>
      </c>
      <c r="DO5" s="106">
        <v>45292</v>
      </c>
      <c r="DP5" s="107">
        <v>45323</v>
      </c>
      <c r="DQ5" s="107">
        <v>45352</v>
      </c>
      <c r="DR5" s="107">
        <v>45383</v>
      </c>
      <c r="DS5" s="107">
        <v>45413</v>
      </c>
      <c r="DT5" s="107">
        <v>45444</v>
      </c>
      <c r="DU5" s="107">
        <v>45474</v>
      </c>
      <c r="DV5" s="107">
        <v>45505</v>
      </c>
      <c r="DW5" s="107">
        <v>45536</v>
      </c>
      <c r="DX5" s="107">
        <v>45566</v>
      </c>
      <c r="DY5" s="107">
        <v>45597</v>
      </c>
      <c r="DZ5" s="107">
        <v>45627</v>
      </c>
      <c r="EA5" s="108">
        <f t="shared" ref="EA5" si="9">YEAR(DZ5)</f>
        <v>2024</v>
      </c>
      <c r="EB5" s="106">
        <v>45658</v>
      </c>
      <c r="EC5" s="107">
        <v>45689</v>
      </c>
      <c r="ED5" s="107">
        <v>45717</v>
      </c>
      <c r="EE5" s="107">
        <v>45748</v>
      </c>
      <c r="EF5" s="107">
        <v>45778</v>
      </c>
      <c r="EG5" s="107">
        <v>45809</v>
      </c>
      <c r="EH5" s="107">
        <v>45839</v>
      </c>
      <c r="EI5" s="107">
        <v>45870</v>
      </c>
      <c r="EJ5" s="107">
        <v>45901</v>
      </c>
      <c r="EK5" s="107">
        <v>45931</v>
      </c>
      <c r="EL5" s="107">
        <v>45962</v>
      </c>
      <c r="EM5" s="107">
        <v>45992</v>
      </c>
      <c r="EN5" s="108">
        <f>YEAR(EM5)</f>
        <v>2025</v>
      </c>
      <c r="EO5" s="106">
        <v>46023</v>
      </c>
      <c r="EP5" s="107">
        <v>46054</v>
      </c>
      <c r="EQ5" s="107">
        <v>46082</v>
      </c>
      <c r="ER5" s="107">
        <v>46113</v>
      </c>
      <c r="ES5" s="107">
        <v>46143</v>
      </c>
      <c r="ET5" s="107">
        <v>46174</v>
      </c>
      <c r="EU5" s="107">
        <v>46204</v>
      </c>
      <c r="EV5" s="949">
        <v>46235</v>
      </c>
      <c r="EW5" s="107">
        <v>46266</v>
      </c>
      <c r="EX5" s="107">
        <v>46296</v>
      </c>
      <c r="EY5" s="107">
        <v>46327</v>
      </c>
      <c r="EZ5" s="107">
        <v>46357</v>
      </c>
      <c r="FA5" s="108">
        <f>YEAR(EZ5)</f>
        <v>2026</v>
      </c>
      <c r="FC5" s="106">
        <f>EV5</f>
        <v>46235</v>
      </c>
      <c r="FD5" s="109" t="str">
        <f>CONCATENATE("Ene.-",TEXT(FC5,"MMM."))</f>
        <v>Ene.-Ago.</v>
      </c>
      <c r="FE5" s="109" t="str">
        <f>FD5</f>
        <v>Ene.-Ago.</v>
      </c>
      <c r="FF5" s="109" t="str">
        <f>FD5</f>
        <v>Ene.-Ago.</v>
      </c>
    </row>
    <row r="6" spans="1:162" ht="15" customHeight="1" x14ac:dyDescent="0.25">
      <c r="A6" s="138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241"/>
      <c r="N6" s="24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241"/>
      <c r="AA6" s="24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241"/>
      <c r="AN6" s="24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241"/>
      <c r="BA6" s="24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241"/>
      <c r="BN6" s="24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241"/>
      <c r="CA6" s="24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241"/>
      <c r="CN6" s="24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241"/>
      <c r="DA6" s="24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241"/>
      <c r="DN6" s="241"/>
      <c r="DO6" s="151"/>
      <c r="DP6" s="151"/>
      <c r="DQ6" s="151"/>
      <c r="DR6" s="151"/>
      <c r="DS6" s="151"/>
      <c r="DT6" s="151"/>
      <c r="DU6" s="151"/>
      <c r="DV6" s="151"/>
      <c r="DW6" s="151"/>
      <c r="DX6" s="151"/>
      <c r="DY6" s="151"/>
      <c r="DZ6" s="241"/>
      <c r="EA6" s="241"/>
      <c r="EB6" s="151"/>
      <c r="EC6" s="151"/>
      <c r="ED6" s="151"/>
      <c r="EE6" s="151"/>
      <c r="EF6" s="151"/>
      <c r="EG6" s="151"/>
      <c r="EH6" s="151"/>
      <c r="EI6" s="151"/>
      <c r="EJ6" s="151"/>
      <c r="EK6" s="151"/>
      <c r="EL6" s="151"/>
      <c r="EM6" s="241"/>
      <c r="EN6" s="241"/>
      <c r="EO6" s="151"/>
      <c r="EP6" s="151"/>
      <c r="EQ6" s="151"/>
      <c r="ER6" s="151"/>
      <c r="ES6" s="151"/>
      <c r="ET6" s="151"/>
      <c r="EU6" s="151"/>
      <c r="EV6" s="950"/>
      <c r="EW6" s="151"/>
      <c r="EX6" s="151"/>
      <c r="EY6" s="151"/>
      <c r="EZ6" s="241"/>
      <c r="FA6" s="241"/>
      <c r="FC6" s="409"/>
      <c r="FD6" s="409"/>
      <c r="FE6" s="400"/>
      <c r="FF6" s="400"/>
    </row>
    <row r="7" spans="1:162" s="215" customFormat="1" ht="15" customHeight="1" x14ac:dyDescent="0.25">
      <c r="A7" s="141" t="s">
        <v>151</v>
      </c>
      <c r="B7" s="147">
        <f t="shared" ref="B7:M7" si="10">B8+B18+B23</f>
        <v>6173</v>
      </c>
      <c r="C7" s="147">
        <f t="shared" si="10"/>
        <v>9426</v>
      </c>
      <c r="D7" s="147">
        <f t="shared" si="10"/>
        <v>24302</v>
      </c>
      <c r="E7" s="147">
        <f t="shared" si="10"/>
        <v>8164</v>
      </c>
      <c r="F7" s="147">
        <f t="shared" si="10"/>
        <v>5983</v>
      </c>
      <c r="G7" s="147">
        <f t="shared" si="10"/>
        <v>12362</v>
      </c>
      <c r="H7" s="147">
        <f t="shared" si="10"/>
        <v>8851</v>
      </c>
      <c r="I7" s="147">
        <f t="shared" si="10"/>
        <v>9198</v>
      </c>
      <c r="J7" s="147">
        <f t="shared" si="10"/>
        <v>7644</v>
      </c>
      <c r="K7" s="147">
        <f t="shared" si="10"/>
        <v>-3405</v>
      </c>
      <c r="L7" s="147">
        <f t="shared" si="10"/>
        <v>7047</v>
      </c>
      <c r="M7" s="273">
        <f t="shared" si="10"/>
        <v>3026</v>
      </c>
      <c r="N7" s="273">
        <f>SUM(B7:M7)</f>
        <v>98771</v>
      </c>
      <c r="O7" s="147">
        <f t="shared" ref="O7:Z7" si="11">O8+O18+O23</f>
        <v>7417</v>
      </c>
      <c r="P7" s="147">
        <f t="shared" si="11"/>
        <v>7964</v>
      </c>
      <c r="Q7" s="147">
        <f t="shared" si="11"/>
        <v>16544</v>
      </c>
      <c r="R7" s="147">
        <f t="shared" si="11"/>
        <v>4434</v>
      </c>
      <c r="S7" s="147">
        <f t="shared" si="11"/>
        <v>25852</v>
      </c>
      <c r="T7" s="147">
        <f t="shared" si="11"/>
        <v>7397</v>
      </c>
      <c r="U7" s="147">
        <f t="shared" si="11"/>
        <v>16692</v>
      </c>
      <c r="V7" s="147">
        <f t="shared" si="11"/>
        <v>4321</v>
      </c>
      <c r="W7" s="147">
        <f t="shared" si="11"/>
        <v>28639</v>
      </c>
      <c r="X7" s="147">
        <f t="shared" si="11"/>
        <v>10093</v>
      </c>
      <c r="Y7" s="147">
        <f t="shared" si="11"/>
        <v>23410</v>
      </c>
      <c r="Z7" s="273">
        <f t="shared" si="11"/>
        <v>8466</v>
      </c>
      <c r="AA7" s="273">
        <f>SUM(O7:Z7)</f>
        <v>161229</v>
      </c>
      <c r="AB7" s="147">
        <f t="shared" ref="AB7:AM7" si="12">AB8+AB18+AB23</f>
        <v>5937</v>
      </c>
      <c r="AC7" s="147">
        <f t="shared" si="12"/>
        <v>50432</v>
      </c>
      <c r="AD7" s="147">
        <f t="shared" si="12"/>
        <v>16412</v>
      </c>
      <c r="AE7" s="147">
        <f t="shared" si="12"/>
        <v>5815</v>
      </c>
      <c r="AF7" s="147">
        <f t="shared" si="12"/>
        <v>-341</v>
      </c>
      <c r="AG7" s="147">
        <f t="shared" si="12"/>
        <v>13206</v>
      </c>
      <c r="AH7" s="147">
        <f t="shared" si="12"/>
        <v>11149</v>
      </c>
      <c r="AI7" s="147">
        <f t="shared" si="12"/>
        <v>6377</v>
      </c>
      <c r="AJ7" s="147">
        <f t="shared" si="12"/>
        <v>3964</v>
      </c>
      <c r="AK7" s="147">
        <f t="shared" si="12"/>
        <v>10015</v>
      </c>
      <c r="AL7" s="147">
        <f t="shared" si="12"/>
        <v>7087</v>
      </c>
      <c r="AM7" s="273">
        <f t="shared" si="12"/>
        <v>6733</v>
      </c>
      <c r="AN7" s="273">
        <f>SUM(AB7:AM7)</f>
        <v>136786</v>
      </c>
      <c r="AO7" s="147">
        <f t="shared" ref="AO7:AZ7" si="13">AO8+AO18+AO23</f>
        <v>18173</v>
      </c>
      <c r="AP7" s="147">
        <f t="shared" si="13"/>
        <v>16573</v>
      </c>
      <c r="AQ7" s="147">
        <f t="shared" si="13"/>
        <v>12711</v>
      </c>
      <c r="AR7" s="147">
        <f t="shared" si="13"/>
        <v>8706</v>
      </c>
      <c r="AS7" s="147">
        <f t="shared" si="13"/>
        <v>12054</v>
      </c>
      <c r="AT7" s="147">
        <f t="shared" si="13"/>
        <v>34237</v>
      </c>
      <c r="AU7" s="147">
        <f t="shared" si="13"/>
        <v>19252</v>
      </c>
      <c r="AV7" s="147">
        <f t="shared" si="13"/>
        <v>26047</v>
      </c>
      <c r="AW7" s="147">
        <f t="shared" si="13"/>
        <v>1335</v>
      </c>
      <c r="AX7" s="147">
        <f t="shared" si="13"/>
        <v>7241</v>
      </c>
      <c r="AY7" s="147">
        <f t="shared" si="13"/>
        <v>4960</v>
      </c>
      <c r="AZ7" s="273">
        <f t="shared" si="13"/>
        <v>57286</v>
      </c>
      <c r="BA7" s="273">
        <f>SUM(AO7:AZ7)</f>
        <v>218575</v>
      </c>
      <c r="BB7" s="147">
        <f t="shared" ref="BB7:BM7" si="14">BB8+BB18+BB23</f>
        <v>53434</v>
      </c>
      <c r="BC7" s="147">
        <f t="shared" si="14"/>
        <v>7654</v>
      </c>
      <c r="BD7" s="147">
        <f t="shared" si="14"/>
        <v>35644</v>
      </c>
      <c r="BE7" s="147">
        <f t="shared" si="14"/>
        <v>4596</v>
      </c>
      <c r="BF7" s="147">
        <f t="shared" si="14"/>
        <v>7792</v>
      </c>
      <c r="BG7" s="147">
        <f t="shared" si="14"/>
        <v>81802</v>
      </c>
      <c r="BH7" s="147">
        <f t="shared" si="14"/>
        <v>5765</v>
      </c>
      <c r="BI7" s="147">
        <f t="shared" si="14"/>
        <v>6217</v>
      </c>
      <c r="BJ7" s="147">
        <f t="shared" si="14"/>
        <v>8630</v>
      </c>
      <c r="BK7" s="147">
        <f t="shared" si="14"/>
        <v>79161</v>
      </c>
      <c r="BL7" s="147">
        <f t="shared" si="14"/>
        <v>6573</v>
      </c>
      <c r="BM7" s="273">
        <f t="shared" si="14"/>
        <v>32963</v>
      </c>
      <c r="BN7" s="273">
        <f>SUM(BB7:BM7)</f>
        <v>330231</v>
      </c>
      <c r="BO7" s="147">
        <f t="shared" ref="BO7:BZ7" si="15">BO8+BO18+BO23</f>
        <v>5786</v>
      </c>
      <c r="BP7" s="147">
        <f t="shared" si="15"/>
        <v>63084</v>
      </c>
      <c r="BQ7" s="147">
        <f t="shared" si="15"/>
        <v>10358</v>
      </c>
      <c r="BR7" s="147">
        <f t="shared" si="15"/>
        <v>4526</v>
      </c>
      <c r="BS7" s="147">
        <f t="shared" si="15"/>
        <v>858</v>
      </c>
      <c r="BT7" s="147">
        <f t="shared" si="15"/>
        <v>1250</v>
      </c>
      <c r="BU7" s="147">
        <f t="shared" si="15"/>
        <v>5673</v>
      </c>
      <c r="BV7" s="147">
        <f t="shared" si="15"/>
        <v>5719</v>
      </c>
      <c r="BW7" s="147">
        <f t="shared" si="15"/>
        <v>101441</v>
      </c>
      <c r="BX7" s="147">
        <f t="shared" si="15"/>
        <v>16672</v>
      </c>
      <c r="BY7" s="147">
        <f t="shared" si="15"/>
        <v>8140</v>
      </c>
      <c r="BZ7" s="273">
        <f t="shared" si="15"/>
        <v>25176</v>
      </c>
      <c r="CA7" s="273">
        <f>SUM(BO7:BZ7)</f>
        <v>248683</v>
      </c>
      <c r="CB7" s="147">
        <f t="shared" ref="CB7:CM7" si="16">CB8+CB18+CB23</f>
        <v>55675</v>
      </c>
      <c r="CC7" s="147">
        <f t="shared" si="16"/>
        <v>57745</v>
      </c>
      <c r="CD7" s="147">
        <f t="shared" si="16"/>
        <v>8006</v>
      </c>
      <c r="CE7" s="147">
        <f t="shared" si="16"/>
        <v>16715</v>
      </c>
      <c r="CF7" s="147">
        <f t="shared" si="16"/>
        <v>19679</v>
      </c>
      <c r="CG7" s="147">
        <f t="shared" si="16"/>
        <v>26414</v>
      </c>
      <c r="CH7" s="147">
        <f t="shared" si="16"/>
        <v>33727</v>
      </c>
      <c r="CI7" s="147">
        <f t="shared" si="16"/>
        <v>41696</v>
      </c>
      <c r="CJ7" s="147">
        <f t="shared" si="16"/>
        <v>30032</v>
      </c>
      <c r="CK7" s="147">
        <f t="shared" si="16"/>
        <v>25535</v>
      </c>
      <c r="CL7" s="147">
        <f t="shared" si="16"/>
        <v>66661</v>
      </c>
      <c r="CM7" s="273">
        <f t="shared" si="16"/>
        <v>61968</v>
      </c>
      <c r="CN7" s="273">
        <f>SUM(CB7:CM7)</f>
        <v>443853</v>
      </c>
      <c r="CO7" s="147">
        <f t="shared" ref="CO7:CZ7" si="17">CO8+CO18+CO23</f>
        <v>128327</v>
      </c>
      <c r="CP7" s="147">
        <f t="shared" si="17"/>
        <v>949</v>
      </c>
      <c r="CQ7" s="147">
        <f t="shared" si="17"/>
        <v>74370</v>
      </c>
      <c r="CR7" s="147">
        <f t="shared" si="17"/>
        <v>34745</v>
      </c>
      <c r="CS7" s="147">
        <f t="shared" si="17"/>
        <v>38870</v>
      </c>
      <c r="CT7" s="147">
        <f t="shared" si="17"/>
        <v>32166</v>
      </c>
      <c r="CU7" s="147">
        <f t="shared" si="17"/>
        <v>31598</v>
      </c>
      <c r="CV7" s="147">
        <f t="shared" si="17"/>
        <v>43486</v>
      </c>
      <c r="CW7" s="147">
        <f t="shared" si="17"/>
        <v>39138</v>
      </c>
      <c r="CX7" s="147">
        <f t="shared" si="17"/>
        <v>33405</v>
      </c>
      <c r="CY7" s="147">
        <f t="shared" si="17"/>
        <v>47595</v>
      </c>
      <c r="CZ7" s="273">
        <f t="shared" si="17"/>
        <v>36626</v>
      </c>
      <c r="DA7" s="273">
        <f>SUM(CO7:CZ7)</f>
        <v>541275</v>
      </c>
      <c r="DB7" s="147">
        <f t="shared" ref="DB7:DM7" si="18">DB8+DB18+DB23</f>
        <v>160133</v>
      </c>
      <c r="DC7" s="147">
        <f t="shared" si="18"/>
        <v>63970</v>
      </c>
      <c r="DD7" s="147">
        <f t="shared" si="18"/>
        <v>69837</v>
      </c>
      <c r="DE7" s="147">
        <f t="shared" si="18"/>
        <v>25429</v>
      </c>
      <c r="DF7" s="147">
        <f t="shared" si="18"/>
        <v>35041</v>
      </c>
      <c r="DG7" s="147">
        <f t="shared" si="18"/>
        <v>31369</v>
      </c>
      <c r="DH7" s="147">
        <f t="shared" si="18"/>
        <v>29451</v>
      </c>
      <c r="DI7" s="147">
        <f t="shared" si="18"/>
        <v>19826</v>
      </c>
      <c r="DJ7" s="147">
        <f t="shared" si="18"/>
        <v>26415</v>
      </c>
      <c r="DK7" s="147">
        <f t="shared" si="18"/>
        <v>47403</v>
      </c>
      <c r="DL7" s="147">
        <f t="shared" si="18"/>
        <v>47049</v>
      </c>
      <c r="DM7" s="273">
        <f t="shared" si="18"/>
        <v>416</v>
      </c>
      <c r="DN7" s="273">
        <f>SUM(DB7:DM7)</f>
        <v>556339</v>
      </c>
      <c r="DO7" s="147">
        <f t="shared" ref="DO7:DZ7" si="19">DO8+DO18+DO23</f>
        <v>99815</v>
      </c>
      <c r="DP7" s="147">
        <f t="shared" si="19"/>
        <v>105956</v>
      </c>
      <c r="DQ7" s="147">
        <f t="shared" si="19"/>
        <v>38461</v>
      </c>
      <c r="DR7" s="147">
        <f t="shared" si="19"/>
        <v>22825</v>
      </c>
      <c r="DS7" s="147">
        <f t="shared" si="19"/>
        <v>34323</v>
      </c>
      <c r="DT7" s="147">
        <f t="shared" si="19"/>
        <v>38685</v>
      </c>
      <c r="DU7" s="147">
        <f t="shared" si="19"/>
        <v>91627</v>
      </c>
      <c r="DV7" s="147">
        <f t="shared" si="19"/>
        <v>35563</v>
      </c>
      <c r="DW7" s="147">
        <f t="shared" si="19"/>
        <v>66082</v>
      </c>
      <c r="DX7" s="147">
        <f t="shared" si="19"/>
        <v>55877</v>
      </c>
      <c r="DY7" s="147">
        <f t="shared" si="19"/>
        <v>35567</v>
      </c>
      <c r="DZ7" s="273">
        <f t="shared" si="19"/>
        <v>49490</v>
      </c>
      <c r="EA7" s="273">
        <f>SUM(DO7:DZ7)</f>
        <v>674271</v>
      </c>
      <c r="EB7" s="147">
        <f>+EB8+EB18+EB23</f>
        <v>49269</v>
      </c>
      <c r="EC7" s="147">
        <f>+EC8+EC18+EC23</f>
        <v>100650</v>
      </c>
      <c r="ED7" s="147">
        <f>+ED8+ED18+ED23</f>
        <v>36251</v>
      </c>
      <c r="EE7" s="147">
        <f>+EE8+EE18+EE23</f>
        <v>32789</v>
      </c>
      <c r="EF7" s="147">
        <f>+EF8+EF18+EF23</f>
        <v>29639</v>
      </c>
      <c r="EG7" s="147">
        <f t="shared" ref="EG7:EM7" si="20">+EG8+EG18+EG23</f>
        <v>36277</v>
      </c>
      <c r="EH7" s="147">
        <f t="shared" si="20"/>
        <v>75869</v>
      </c>
      <c r="EI7" s="147">
        <f t="shared" si="20"/>
        <v>35103</v>
      </c>
      <c r="EJ7" s="147">
        <f t="shared" si="20"/>
        <v>88148</v>
      </c>
      <c r="EK7" s="147">
        <f t="shared" si="20"/>
        <v>39781</v>
      </c>
      <c r="EL7" s="147">
        <f t="shared" si="20"/>
        <v>38756</v>
      </c>
      <c r="EM7" s="273">
        <f t="shared" si="20"/>
        <v>30340</v>
      </c>
      <c r="EN7" s="273">
        <f>SUM(EB7:EM7)</f>
        <v>592872</v>
      </c>
      <c r="EO7" s="147">
        <f t="shared" ref="EO7:EQ7" si="21">+EO8+EO18+EO23</f>
        <v>107395</v>
      </c>
      <c r="EP7" s="147">
        <f t="shared" si="21"/>
        <v>85692</v>
      </c>
      <c r="EQ7" s="147">
        <f t="shared" si="21"/>
        <v>33223</v>
      </c>
      <c r="ER7" s="147">
        <f t="shared" ref="ER7:EU7" si="22">+ER8+ER18+ER23</f>
        <v>6527</v>
      </c>
      <c r="ES7" s="147">
        <f t="shared" si="22"/>
        <v>35008</v>
      </c>
      <c r="ET7" s="147">
        <f t="shared" si="22"/>
        <v>6335</v>
      </c>
      <c r="EU7" s="147">
        <f t="shared" si="22"/>
        <v>12161</v>
      </c>
      <c r="EV7" s="951">
        <f>+EV8+EV18+EV23</f>
        <v>100319</v>
      </c>
      <c r="EX7" s="147"/>
      <c r="EY7" s="147"/>
      <c r="EZ7" s="273"/>
      <c r="FA7" s="273">
        <f>SUM(EO7:EZ7)</f>
        <v>386660</v>
      </c>
      <c r="FB7" s="111"/>
      <c r="FC7" s="179">
        <f>IFERROR((((EV7/EI7)-1)*100),"")</f>
        <v>185.78469076717087</v>
      </c>
      <c r="FD7" s="179">
        <f>IFERROR(((FF7/FE7)-1)*100,"")</f>
        <v>-2.3208461855211748</v>
      </c>
      <c r="FE7" s="234">
        <f>SUMIFS($B7:$FA7,$B$5:$FA$5,"&gt;="&amp;DATE(YEAR($FC$5)-1,1,1),$B$5:$FA$5,"&lt;="&amp;DATE(YEAR($FC$5)-1,MONTH($FC$5),1))</f>
        <v>395847</v>
      </c>
      <c r="FF7" s="234">
        <f>SUMIFS($B7:$FA7,$B$5:$FA$5,"&gt;="&amp;DATE(YEAR($FC$5),1,1),$B$5:$FA$5,"&lt;="&amp;$FC$5)</f>
        <v>386660</v>
      </c>
    </row>
    <row r="8" spans="1:162" s="125" customFormat="1" ht="15" customHeight="1" x14ac:dyDescent="0.25">
      <c r="A8" s="401" t="s">
        <v>410</v>
      </c>
      <c r="B8" s="229">
        <f t="shared" ref="B8:AM8" si="23">SUM(B9:B17)</f>
        <v>4136</v>
      </c>
      <c r="C8" s="229">
        <f t="shared" si="23"/>
        <v>3170</v>
      </c>
      <c r="D8" s="229">
        <f t="shared" si="23"/>
        <v>23305</v>
      </c>
      <c r="E8" s="229">
        <f t="shared" si="23"/>
        <v>7089</v>
      </c>
      <c r="F8" s="229">
        <f t="shared" si="23"/>
        <v>5983</v>
      </c>
      <c r="G8" s="229">
        <f t="shared" si="23"/>
        <v>6452</v>
      </c>
      <c r="H8" s="229">
        <f t="shared" si="23"/>
        <v>6609</v>
      </c>
      <c r="I8" s="229">
        <f t="shared" si="23"/>
        <v>8362</v>
      </c>
      <c r="J8" s="229">
        <f t="shared" si="23"/>
        <v>6861</v>
      </c>
      <c r="K8" s="229">
        <f t="shared" si="23"/>
        <v>-3666</v>
      </c>
      <c r="L8" s="229">
        <f t="shared" si="23"/>
        <v>6890</v>
      </c>
      <c r="M8" s="268">
        <f t="shared" si="23"/>
        <v>3783</v>
      </c>
      <c r="N8" s="268">
        <f t="shared" ref="N8:N25" si="24">SUM(B8:M8)</f>
        <v>78974</v>
      </c>
      <c r="O8" s="229">
        <f t="shared" si="23"/>
        <v>6857</v>
      </c>
      <c r="P8" s="229">
        <f t="shared" si="23"/>
        <v>7017</v>
      </c>
      <c r="Q8" s="229">
        <f t="shared" si="23"/>
        <v>6489</v>
      </c>
      <c r="R8" s="229">
        <f t="shared" si="23"/>
        <v>7604</v>
      </c>
      <c r="S8" s="229">
        <f t="shared" si="23"/>
        <v>2929</v>
      </c>
      <c r="T8" s="229">
        <f t="shared" si="23"/>
        <v>7240</v>
      </c>
      <c r="U8" s="229">
        <f t="shared" si="23"/>
        <v>5123</v>
      </c>
      <c r="V8" s="229">
        <f t="shared" si="23"/>
        <v>4082</v>
      </c>
      <c r="W8" s="229">
        <f t="shared" si="23"/>
        <v>4216</v>
      </c>
      <c r="X8" s="229">
        <f t="shared" si="23"/>
        <v>1748</v>
      </c>
      <c r="Y8" s="229">
        <f t="shared" si="23"/>
        <v>4105</v>
      </c>
      <c r="Z8" s="268">
        <f t="shared" si="23"/>
        <v>5177</v>
      </c>
      <c r="AA8" s="268">
        <f t="shared" ref="AA8:AA25" si="25">SUM(O8:Z8)</f>
        <v>62587</v>
      </c>
      <c r="AB8" s="229">
        <f t="shared" si="23"/>
        <v>2103</v>
      </c>
      <c r="AC8" s="229">
        <f t="shared" si="23"/>
        <v>6758</v>
      </c>
      <c r="AD8" s="229">
        <f t="shared" si="23"/>
        <v>14322</v>
      </c>
      <c r="AE8" s="229">
        <f t="shared" si="23"/>
        <v>3235</v>
      </c>
      <c r="AF8" s="229">
        <f t="shared" si="23"/>
        <v>981</v>
      </c>
      <c r="AG8" s="229">
        <f t="shared" si="23"/>
        <v>5365</v>
      </c>
      <c r="AH8" s="229">
        <f t="shared" si="23"/>
        <v>5582</v>
      </c>
      <c r="AI8" s="229">
        <f t="shared" si="23"/>
        <v>5812</v>
      </c>
      <c r="AJ8" s="229">
        <f t="shared" si="23"/>
        <v>2945</v>
      </c>
      <c r="AK8" s="229">
        <f t="shared" si="23"/>
        <v>8446</v>
      </c>
      <c r="AL8" s="229">
        <f t="shared" si="23"/>
        <v>5916</v>
      </c>
      <c r="AM8" s="268">
        <f t="shared" si="23"/>
        <v>6751</v>
      </c>
      <c r="AN8" s="268">
        <f t="shared" ref="AN8:AN25" si="26">SUM(AB8:AM8)</f>
        <v>68216</v>
      </c>
      <c r="AO8" s="229">
        <f t="shared" ref="AO8:AZ8" si="27">SUM(AO9:AO17)</f>
        <v>9037</v>
      </c>
      <c r="AP8" s="229">
        <f t="shared" si="27"/>
        <v>14300</v>
      </c>
      <c r="AQ8" s="229">
        <f t="shared" si="27"/>
        <v>3684</v>
      </c>
      <c r="AR8" s="229">
        <f t="shared" si="27"/>
        <v>8955</v>
      </c>
      <c r="AS8" s="229">
        <f t="shared" si="27"/>
        <v>11328</v>
      </c>
      <c r="AT8" s="229">
        <f t="shared" si="27"/>
        <v>3710</v>
      </c>
      <c r="AU8" s="229">
        <f t="shared" si="27"/>
        <v>17628</v>
      </c>
      <c r="AV8" s="229">
        <f t="shared" si="27"/>
        <v>4939</v>
      </c>
      <c r="AW8" s="229">
        <f t="shared" si="27"/>
        <v>262</v>
      </c>
      <c r="AX8" s="229">
        <f t="shared" si="27"/>
        <v>7104</v>
      </c>
      <c r="AY8" s="229">
        <f t="shared" si="27"/>
        <v>4943</v>
      </c>
      <c r="AZ8" s="268">
        <f t="shared" si="27"/>
        <v>5210</v>
      </c>
      <c r="BA8" s="268">
        <f t="shared" ref="BA8:BA25" si="28">SUM(AO8:AZ8)</f>
        <v>91100</v>
      </c>
      <c r="BB8" s="229">
        <f t="shared" ref="BB8:BM8" si="29">SUM(BB9:BB17)</f>
        <v>22552</v>
      </c>
      <c r="BC8" s="229">
        <f t="shared" si="29"/>
        <v>3907</v>
      </c>
      <c r="BD8" s="229">
        <f t="shared" si="29"/>
        <v>1619</v>
      </c>
      <c r="BE8" s="229">
        <f t="shared" si="29"/>
        <v>4292</v>
      </c>
      <c r="BF8" s="229">
        <f t="shared" si="29"/>
        <v>6626</v>
      </c>
      <c r="BG8" s="229">
        <f t="shared" si="29"/>
        <v>1437</v>
      </c>
      <c r="BH8" s="229">
        <f t="shared" si="29"/>
        <v>5522</v>
      </c>
      <c r="BI8" s="229">
        <f t="shared" si="29"/>
        <v>6202</v>
      </c>
      <c r="BJ8" s="229">
        <f t="shared" si="29"/>
        <v>8628</v>
      </c>
      <c r="BK8" s="229">
        <f t="shared" si="29"/>
        <v>7481</v>
      </c>
      <c r="BL8" s="229">
        <f t="shared" si="29"/>
        <v>6573</v>
      </c>
      <c r="BM8" s="268">
        <f t="shared" si="29"/>
        <v>417</v>
      </c>
      <c r="BN8" s="268">
        <f t="shared" ref="BN8:BN25" si="30">SUM(BB8:BM8)</f>
        <v>75256</v>
      </c>
      <c r="BO8" s="229">
        <f>SUM(BO9:BO17)</f>
        <v>3713</v>
      </c>
      <c r="BP8" s="229">
        <f>SUM(BP9:BP17)</f>
        <v>16401</v>
      </c>
      <c r="BQ8" s="229">
        <f>SUM(BQ9:BQ17)</f>
        <v>7542</v>
      </c>
      <c r="BR8" s="229">
        <f>SUM(BR9:BR17)</f>
        <v>3622</v>
      </c>
      <c r="BS8" s="229">
        <f>SUM(BS9:BS17)</f>
        <v>858</v>
      </c>
      <c r="BT8" s="229">
        <f>BT9+BT10+BT15+BT16+BT17</f>
        <v>877</v>
      </c>
      <c r="BU8" s="229">
        <f t="shared" ref="BU8:BZ8" si="31">BU9+BU10+BU15+BU16+BU17</f>
        <v>2763</v>
      </c>
      <c r="BV8" s="229">
        <f t="shared" si="31"/>
        <v>4114</v>
      </c>
      <c r="BW8" s="229">
        <f t="shared" si="31"/>
        <v>76640</v>
      </c>
      <c r="BX8" s="229">
        <f t="shared" si="31"/>
        <v>7292</v>
      </c>
      <c r="BY8" s="229">
        <f t="shared" si="31"/>
        <v>5783</v>
      </c>
      <c r="BZ8" s="268">
        <f t="shared" si="31"/>
        <v>1868</v>
      </c>
      <c r="CA8" s="268">
        <f t="shared" ref="CA8:CA31" si="32">SUM(BO8:BZ8)</f>
        <v>131473</v>
      </c>
      <c r="CB8" s="229">
        <f t="shared" ref="CB8:CM8" si="33">CB9+CB10+CB15+CB16+CB17</f>
        <v>5107</v>
      </c>
      <c r="CC8" s="229">
        <f t="shared" si="33"/>
        <v>42097</v>
      </c>
      <c r="CD8" s="229">
        <f t="shared" si="33"/>
        <v>6083</v>
      </c>
      <c r="CE8" s="229">
        <f t="shared" si="33"/>
        <v>12497</v>
      </c>
      <c r="CF8" s="229">
        <f t="shared" si="33"/>
        <v>4968</v>
      </c>
      <c r="CG8" s="229">
        <f t="shared" si="33"/>
        <v>6814</v>
      </c>
      <c r="CH8" s="229">
        <f t="shared" si="33"/>
        <v>9798</v>
      </c>
      <c r="CI8" s="229">
        <f t="shared" si="33"/>
        <v>7100</v>
      </c>
      <c r="CJ8" s="229">
        <f t="shared" si="33"/>
        <v>6947</v>
      </c>
      <c r="CK8" s="229">
        <f t="shared" si="33"/>
        <v>6481</v>
      </c>
      <c r="CL8" s="229">
        <f t="shared" si="33"/>
        <v>44670</v>
      </c>
      <c r="CM8" s="268">
        <f t="shared" si="33"/>
        <v>10572</v>
      </c>
      <c r="CN8" s="268">
        <f t="shared" ref="CN8:CN31" si="34">SUM(CB8:CM8)</f>
        <v>163134</v>
      </c>
      <c r="CO8" s="229">
        <f t="shared" ref="CO8:CZ8" si="35">CO9+CO10+CO15+CO16+CO17</f>
        <v>40436</v>
      </c>
      <c r="CP8" s="229">
        <f t="shared" si="35"/>
        <v>14378</v>
      </c>
      <c r="CQ8" s="229">
        <f t="shared" si="35"/>
        <v>65640</v>
      </c>
      <c r="CR8" s="229">
        <f t="shared" si="35"/>
        <v>20769</v>
      </c>
      <c r="CS8" s="229">
        <f t="shared" si="35"/>
        <v>22877</v>
      </c>
      <c r="CT8" s="229">
        <f t="shared" si="35"/>
        <v>30435</v>
      </c>
      <c r="CU8" s="229">
        <f t="shared" si="35"/>
        <v>30922</v>
      </c>
      <c r="CV8" s="229">
        <f t="shared" si="35"/>
        <v>30358</v>
      </c>
      <c r="CW8" s="229">
        <f t="shared" si="35"/>
        <v>40464</v>
      </c>
      <c r="CX8" s="229">
        <f t="shared" si="35"/>
        <v>32984</v>
      </c>
      <c r="CY8" s="229">
        <f t="shared" si="35"/>
        <v>47553</v>
      </c>
      <c r="CZ8" s="268">
        <f t="shared" si="35"/>
        <v>30074</v>
      </c>
      <c r="DA8" s="268">
        <f t="shared" ref="DA8:DA30" si="36">SUM(CO8:CZ8)</f>
        <v>406890</v>
      </c>
      <c r="DB8" s="229">
        <f t="shared" ref="DB8:DJ8" si="37">DB9+DB10+DB15+DB16+DB17</f>
        <v>34274</v>
      </c>
      <c r="DC8" s="229">
        <f t="shared" si="37"/>
        <v>37187</v>
      </c>
      <c r="DD8" s="229">
        <f t="shared" si="37"/>
        <v>64630</v>
      </c>
      <c r="DE8" s="229">
        <f t="shared" si="37"/>
        <v>105896</v>
      </c>
      <c r="DF8" s="229">
        <f t="shared" si="37"/>
        <v>34129</v>
      </c>
      <c r="DG8" s="229">
        <f t="shared" si="37"/>
        <v>-51159</v>
      </c>
      <c r="DH8" s="229">
        <f t="shared" si="37"/>
        <v>29276</v>
      </c>
      <c r="DI8" s="229">
        <f t="shared" si="37"/>
        <v>24830</v>
      </c>
      <c r="DJ8" s="229">
        <f t="shared" si="37"/>
        <v>26447</v>
      </c>
      <c r="DK8" s="229">
        <f>DK9+DK10+DK15+DK16+DK17</f>
        <v>71476</v>
      </c>
      <c r="DL8" s="229">
        <f>DL9+DL10+DL15+DL16+DL17</f>
        <v>47312</v>
      </c>
      <c r="DM8" s="268">
        <f>DM9+DM10+DM15+DM16+DM17</f>
        <v>964</v>
      </c>
      <c r="DN8" s="268">
        <f t="shared" ref="DN8:DN33" si="38">SUM(DB8:DM8)</f>
        <v>425262</v>
      </c>
      <c r="DO8" s="229">
        <f t="shared" ref="DO8:DZ8" si="39">DO9+DO10+DO15+DO16+DO17</f>
        <v>30773</v>
      </c>
      <c r="DP8" s="229">
        <f t="shared" si="39"/>
        <v>97026</v>
      </c>
      <c r="DQ8" s="229">
        <f t="shared" si="39"/>
        <v>36173</v>
      </c>
      <c r="DR8" s="229">
        <f t="shared" si="39"/>
        <v>23087</v>
      </c>
      <c r="DS8" s="229">
        <f t="shared" si="39"/>
        <v>34018</v>
      </c>
      <c r="DT8" s="229">
        <f t="shared" si="39"/>
        <v>32315</v>
      </c>
      <c r="DU8" s="229">
        <f t="shared" si="39"/>
        <v>71103</v>
      </c>
      <c r="DV8" s="229">
        <f t="shared" si="39"/>
        <v>39771</v>
      </c>
      <c r="DW8" s="229">
        <f t="shared" si="39"/>
        <v>35377</v>
      </c>
      <c r="DX8" s="229">
        <f t="shared" si="39"/>
        <v>34213</v>
      </c>
      <c r="DY8" s="229">
        <f t="shared" si="39"/>
        <v>36877</v>
      </c>
      <c r="DZ8" s="268">
        <f t="shared" si="39"/>
        <v>47525</v>
      </c>
      <c r="EA8" s="268">
        <f t="shared" ref="EA8:EA33" si="40">SUM(DO8:DZ8)</f>
        <v>518258</v>
      </c>
      <c r="EB8" s="229">
        <f t="shared" ref="EB8:EM8" si="41">EB9+EB10+EB15+EB16+EB17</f>
        <v>39700</v>
      </c>
      <c r="EC8" s="229">
        <f t="shared" si="41"/>
        <v>99620</v>
      </c>
      <c r="ED8" s="229">
        <f t="shared" si="41"/>
        <v>34333</v>
      </c>
      <c r="EE8" s="229">
        <f t="shared" si="41"/>
        <v>32789</v>
      </c>
      <c r="EF8" s="229">
        <f t="shared" si="41"/>
        <v>30075</v>
      </c>
      <c r="EG8" s="229">
        <f t="shared" si="41"/>
        <v>35959</v>
      </c>
      <c r="EH8" s="229">
        <f t="shared" si="41"/>
        <v>75747</v>
      </c>
      <c r="EI8" s="229">
        <f t="shared" si="41"/>
        <v>35103</v>
      </c>
      <c r="EJ8" s="229">
        <f t="shared" si="41"/>
        <v>34833</v>
      </c>
      <c r="EK8" s="229">
        <f t="shared" si="41"/>
        <v>39783</v>
      </c>
      <c r="EL8" s="229">
        <f t="shared" si="41"/>
        <v>38394</v>
      </c>
      <c r="EM8" s="268">
        <f t="shared" si="41"/>
        <v>26499</v>
      </c>
      <c r="EN8" s="268">
        <f t="shared" ref="EN8:EN9" si="42">SUM(EB8:EM8)</f>
        <v>522835</v>
      </c>
      <c r="EO8" s="229">
        <f t="shared" ref="EO8:EQ8" si="43">EO9+EO10+EO15+EO16+EO17</f>
        <v>64884</v>
      </c>
      <c r="EP8" s="229">
        <f t="shared" si="43"/>
        <v>82606</v>
      </c>
      <c r="EQ8" s="229">
        <f t="shared" si="43"/>
        <v>32254</v>
      </c>
      <c r="ER8" s="229">
        <f t="shared" ref="ER8:EU8" si="44">ER9+ER10+ER15+ER16+ER17</f>
        <v>5819</v>
      </c>
      <c r="ES8" s="229">
        <f t="shared" si="44"/>
        <v>35008</v>
      </c>
      <c r="ET8" s="229">
        <f t="shared" si="44"/>
        <v>5907</v>
      </c>
      <c r="EU8" s="229">
        <f t="shared" si="44"/>
        <v>11641</v>
      </c>
      <c r="EV8" s="952">
        <f>EV9+EV10+EV15+EV16+EV17</f>
        <v>99770</v>
      </c>
      <c r="EX8" s="229"/>
      <c r="EY8" s="229"/>
      <c r="EZ8" s="268"/>
      <c r="FA8" s="268">
        <f t="shared" ref="FA8:FA32" si="45">SUM(EO8:EZ8)</f>
        <v>337889</v>
      </c>
      <c r="FB8" s="110"/>
      <c r="FC8" s="379">
        <f t="shared" ref="FC8:FC30" si="46">IFERROR((((EV8/EI8)-1)*100),"")</f>
        <v>184.22072187562316</v>
      </c>
      <c r="FD8" s="379">
        <f t="shared" ref="FD8:FD32" si="47">IFERROR(((FF8/FE8)-1)*100,"")</f>
        <v>-11.853357194659376</v>
      </c>
      <c r="FE8" s="235">
        <f t="shared" ref="FE8:FE33" si="48">SUMIFS($B8:$FA8,$B$5:$FA$5,"&gt;="&amp;DATE(YEAR($FC$5)-1,1,1),$B$5:$FA$5,"&lt;="&amp;DATE(YEAR($FC$5)-1,MONTH($FC$5),1))</f>
        <v>383326</v>
      </c>
      <c r="FF8" s="235">
        <f t="shared" ref="FF8:FF29" si="49">SUMIFS($B8:$FA8,$B$5:$FA$5,"&gt;="&amp;DATE(YEAR($FC$5),1,1),$B$5:$FA$5,"&lt;="&amp;$FC$5)</f>
        <v>337889</v>
      </c>
    </row>
    <row r="9" spans="1:162" ht="15" customHeight="1" x14ac:dyDescent="0.25">
      <c r="A9" s="403" t="s">
        <v>411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241"/>
      <c r="N9" s="241">
        <f t="shared" si="24"/>
        <v>0</v>
      </c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241"/>
      <c r="AA9" s="241">
        <f t="shared" si="25"/>
        <v>0</v>
      </c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241"/>
      <c r="AN9" s="241">
        <f t="shared" si="26"/>
        <v>0</v>
      </c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241"/>
      <c r="BA9" s="241">
        <f t="shared" si="28"/>
        <v>0</v>
      </c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241"/>
      <c r="BN9" s="241">
        <f t="shared" si="30"/>
        <v>0</v>
      </c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241"/>
      <c r="CA9" s="241">
        <f t="shared" si="32"/>
        <v>0</v>
      </c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241"/>
      <c r="CN9" s="241">
        <f t="shared" si="34"/>
        <v>0</v>
      </c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241"/>
      <c r="DA9" s="241">
        <f t="shared" si="36"/>
        <v>0</v>
      </c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241"/>
      <c r="DN9" s="241">
        <f t="shared" si="38"/>
        <v>0</v>
      </c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241"/>
      <c r="EA9" s="241">
        <f t="shared" si="40"/>
        <v>0</v>
      </c>
      <c r="EB9" s="151">
        <v>0</v>
      </c>
      <c r="EC9" s="151">
        <v>0</v>
      </c>
      <c r="ED9" s="151">
        <v>0</v>
      </c>
      <c r="EE9" s="151">
        <v>0</v>
      </c>
      <c r="EF9" s="151">
        <v>0</v>
      </c>
      <c r="EG9" s="151">
        <v>0</v>
      </c>
      <c r="EH9" s="151">
        <v>0</v>
      </c>
      <c r="EI9" s="151">
        <v>0</v>
      </c>
      <c r="EJ9" s="151">
        <v>0</v>
      </c>
      <c r="EK9" s="151">
        <v>0</v>
      </c>
      <c r="EL9" s="151">
        <v>0</v>
      </c>
      <c r="EM9" s="241">
        <v>0</v>
      </c>
      <c r="EN9" s="241">
        <f t="shared" si="42"/>
        <v>0</v>
      </c>
      <c r="EO9" s="151">
        <v>0</v>
      </c>
      <c r="EP9" s="151">
        <v>0</v>
      </c>
      <c r="EQ9" s="151">
        <v>0</v>
      </c>
      <c r="ER9" s="151">
        <v>0</v>
      </c>
      <c r="ES9" s="151">
        <v>0</v>
      </c>
      <c r="ET9" s="151">
        <v>0</v>
      </c>
      <c r="EU9" s="151">
        <v>0</v>
      </c>
      <c r="EV9" s="950">
        <v>0</v>
      </c>
      <c r="EX9" s="151"/>
      <c r="EY9" s="151"/>
      <c r="EZ9" s="241"/>
      <c r="FA9" s="241">
        <f t="shared" si="45"/>
        <v>0</v>
      </c>
      <c r="FC9" s="184" t="str">
        <f t="shared" si="46"/>
        <v/>
      </c>
      <c r="FD9" s="184" t="str">
        <f t="shared" si="47"/>
        <v/>
      </c>
      <c r="FE9" s="161">
        <f t="shared" si="48"/>
        <v>0</v>
      </c>
      <c r="FF9" s="161">
        <f t="shared" si="49"/>
        <v>0</v>
      </c>
    </row>
    <row r="10" spans="1:162" ht="15" customHeight="1" x14ac:dyDescent="0.25">
      <c r="A10" s="403" t="s">
        <v>412</v>
      </c>
      <c r="B10" s="162">
        <v>835</v>
      </c>
      <c r="C10" s="151">
        <v>744</v>
      </c>
      <c r="D10" s="151">
        <v>809</v>
      </c>
      <c r="E10" s="151">
        <v>831</v>
      </c>
      <c r="F10" s="151">
        <v>848</v>
      </c>
      <c r="G10" s="151">
        <v>767</v>
      </c>
      <c r="H10" s="151">
        <v>706</v>
      </c>
      <c r="I10" s="151">
        <v>884</v>
      </c>
      <c r="J10" s="151">
        <v>854</v>
      </c>
      <c r="K10" s="151">
        <v>932</v>
      </c>
      <c r="L10" s="151">
        <v>791</v>
      </c>
      <c r="M10" s="241">
        <v>836</v>
      </c>
      <c r="N10" s="241">
        <f t="shared" si="24"/>
        <v>9837</v>
      </c>
      <c r="O10" s="162">
        <v>740</v>
      </c>
      <c r="P10" s="151">
        <v>913</v>
      </c>
      <c r="Q10" s="151">
        <v>611</v>
      </c>
      <c r="R10" s="151">
        <v>716</v>
      </c>
      <c r="S10" s="151">
        <v>1017</v>
      </c>
      <c r="T10" s="151">
        <v>983</v>
      </c>
      <c r="U10" s="151">
        <v>809</v>
      </c>
      <c r="V10" s="151">
        <v>821</v>
      </c>
      <c r="W10" s="151">
        <v>700</v>
      </c>
      <c r="X10" s="151">
        <v>712</v>
      </c>
      <c r="Y10" s="151">
        <v>356</v>
      </c>
      <c r="Z10" s="241">
        <v>995</v>
      </c>
      <c r="AA10" s="241">
        <f t="shared" si="25"/>
        <v>9373</v>
      </c>
      <c r="AB10" s="162">
        <v>737</v>
      </c>
      <c r="AC10" s="151">
        <v>746</v>
      </c>
      <c r="AD10" s="151">
        <v>714</v>
      </c>
      <c r="AE10" s="151">
        <v>733</v>
      </c>
      <c r="AF10" s="151">
        <v>822</v>
      </c>
      <c r="AG10" s="151">
        <v>825</v>
      </c>
      <c r="AH10" s="151">
        <v>723</v>
      </c>
      <c r="AI10" s="151">
        <v>785</v>
      </c>
      <c r="AJ10" s="151">
        <v>918</v>
      </c>
      <c r="AK10" s="151">
        <v>685</v>
      </c>
      <c r="AL10" s="151">
        <v>721</v>
      </c>
      <c r="AM10" s="241">
        <v>761</v>
      </c>
      <c r="AN10" s="241">
        <f t="shared" si="26"/>
        <v>9170</v>
      </c>
      <c r="AO10" s="162">
        <v>1013</v>
      </c>
      <c r="AP10" s="151">
        <v>1057</v>
      </c>
      <c r="AQ10" s="151">
        <v>939</v>
      </c>
      <c r="AR10" s="151">
        <v>1038</v>
      </c>
      <c r="AS10" s="151">
        <v>1021</v>
      </c>
      <c r="AT10" s="151">
        <v>939</v>
      </c>
      <c r="AU10" s="151">
        <v>994</v>
      </c>
      <c r="AV10" s="151">
        <v>975</v>
      </c>
      <c r="AW10" s="151">
        <v>999</v>
      </c>
      <c r="AX10" s="151">
        <v>971</v>
      </c>
      <c r="AY10" s="151">
        <v>902</v>
      </c>
      <c r="AZ10" s="241">
        <v>770</v>
      </c>
      <c r="BA10" s="241">
        <f t="shared" si="28"/>
        <v>11618</v>
      </c>
      <c r="BB10" s="162">
        <v>816</v>
      </c>
      <c r="BC10" s="151">
        <v>758</v>
      </c>
      <c r="BD10" s="151">
        <v>916</v>
      </c>
      <c r="BE10" s="151">
        <v>827</v>
      </c>
      <c r="BF10" s="151">
        <v>970</v>
      </c>
      <c r="BG10" s="151">
        <v>737</v>
      </c>
      <c r="BH10" s="151">
        <v>957</v>
      </c>
      <c r="BI10" s="151">
        <v>1084</v>
      </c>
      <c r="BJ10" s="151">
        <v>955</v>
      </c>
      <c r="BK10" s="151">
        <v>1093</v>
      </c>
      <c r="BL10" s="151">
        <v>803</v>
      </c>
      <c r="BM10" s="241">
        <v>692</v>
      </c>
      <c r="BN10" s="241">
        <f t="shared" si="30"/>
        <v>10608</v>
      </c>
      <c r="BO10" s="162">
        <v>865</v>
      </c>
      <c r="BP10" s="151">
        <v>1487</v>
      </c>
      <c r="BQ10" s="151">
        <v>478</v>
      </c>
      <c r="BR10" s="151">
        <v>93</v>
      </c>
      <c r="BS10" s="151">
        <v>108</v>
      </c>
      <c r="BT10" s="151">
        <f t="shared" ref="BT10:BZ10" si="50">SUM(BT11:BT14)</f>
        <v>393</v>
      </c>
      <c r="BU10" s="151">
        <f t="shared" si="50"/>
        <v>603</v>
      </c>
      <c r="BV10" s="151">
        <f t="shared" si="50"/>
        <v>718</v>
      </c>
      <c r="BW10" s="151">
        <f t="shared" si="50"/>
        <v>785</v>
      </c>
      <c r="BX10" s="151">
        <f t="shared" si="50"/>
        <v>944</v>
      </c>
      <c r="BY10" s="151">
        <f t="shared" si="50"/>
        <v>917</v>
      </c>
      <c r="BZ10" s="241">
        <f t="shared" si="50"/>
        <v>920</v>
      </c>
      <c r="CA10" s="241">
        <f t="shared" si="32"/>
        <v>8311</v>
      </c>
      <c r="CB10" s="162">
        <f t="shared" ref="CB10:CM10" si="51">SUM(CB11:CB14)</f>
        <v>850</v>
      </c>
      <c r="CC10" s="151">
        <f t="shared" si="51"/>
        <v>958</v>
      </c>
      <c r="CD10" s="151">
        <f t="shared" si="51"/>
        <v>811</v>
      </c>
      <c r="CE10" s="151">
        <f t="shared" si="51"/>
        <v>849</v>
      </c>
      <c r="CF10" s="151">
        <f t="shared" si="51"/>
        <v>736</v>
      </c>
      <c r="CG10" s="151">
        <f t="shared" si="51"/>
        <v>1210</v>
      </c>
      <c r="CH10" s="151">
        <f t="shared" si="51"/>
        <v>1466</v>
      </c>
      <c r="CI10" s="151">
        <f t="shared" si="51"/>
        <v>1043</v>
      </c>
      <c r="CJ10" s="151">
        <f t="shared" si="51"/>
        <v>1946</v>
      </c>
      <c r="CK10" s="151">
        <f t="shared" si="51"/>
        <v>1053</v>
      </c>
      <c r="CL10" s="151">
        <f t="shared" si="51"/>
        <v>1140</v>
      </c>
      <c r="CM10" s="241">
        <f t="shared" si="51"/>
        <v>1339</v>
      </c>
      <c r="CN10" s="241">
        <f t="shared" si="34"/>
        <v>13401</v>
      </c>
      <c r="CO10" s="162">
        <f>CO11+CO12+CO13</f>
        <v>835</v>
      </c>
      <c r="CP10" s="151">
        <f>CP11+CP12+CP13</f>
        <v>850</v>
      </c>
      <c r="CQ10" s="151">
        <f>CQ11+CQ12+CQ13</f>
        <v>913</v>
      </c>
      <c r="CR10" s="151">
        <f t="shared" ref="CR10:CZ10" si="52">CR11+CR12+CR13</f>
        <v>850</v>
      </c>
      <c r="CS10" s="151">
        <f t="shared" si="52"/>
        <v>1182</v>
      </c>
      <c r="CT10" s="151">
        <f t="shared" si="52"/>
        <v>856</v>
      </c>
      <c r="CU10" s="151">
        <f t="shared" si="52"/>
        <v>906</v>
      </c>
      <c r="CV10" s="151">
        <f t="shared" si="52"/>
        <v>1096</v>
      </c>
      <c r="CW10" s="151">
        <f t="shared" si="52"/>
        <v>1104</v>
      </c>
      <c r="CX10" s="151">
        <f t="shared" si="52"/>
        <v>921</v>
      </c>
      <c r="CY10" s="151">
        <f t="shared" si="52"/>
        <v>1215</v>
      </c>
      <c r="CZ10" s="241">
        <f t="shared" si="52"/>
        <v>1332</v>
      </c>
      <c r="DA10" s="241">
        <f t="shared" si="36"/>
        <v>12060</v>
      </c>
      <c r="DB10" s="162">
        <v>802</v>
      </c>
      <c r="DC10" s="151">
        <v>803</v>
      </c>
      <c r="DD10" s="151">
        <v>1032</v>
      </c>
      <c r="DE10" s="151">
        <v>714</v>
      </c>
      <c r="DF10" s="151">
        <v>863</v>
      </c>
      <c r="DG10" s="151">
        <v>1092</v>
      </c>
      <c r="DH10" s="151">
        <v>826</v>
      </c>
      <c r="DI10" s="151">
        <v>850</v>
      </c>
      <c r="DJ10" s="151">
        <v>945</v>
      </c>
      <c r="DK10" s="151">
        <v>1268</v>
      </c>
      <c r="DL10" s="151">
        <v>782</v>
      </c>
      <c r="DM10" s="241">
        <f>DM11+DM12+DM13</f>
        <v>945</v>
      </c>
      <c r="DN10" s="241">
        <f t="shared" si="38"/>
        <v>10922</v>
      </c>
      <c r="DO10" s="162">
        <v>766</v>
      </c>
      <c r="DP10" s="151">
        <v>889</v>
      </c>
      <c r="DQ10" s="151">
        <v>828</v>
      </c>
      <c r="DR10" s="151">
        <v>895</v>
      </c>
      <c r="DS10" s="151">
        <v>822</v>
      </c>
      <c r="DT10" s="151">
        <v>798</v>
      </c>
      <c r="DU10" s="151">
        <v>780</v>
      </c>
      <c r="DV10" s="151">
        <v>1029</v>
      </c>
      <c r="DW10" s="151">
        <v>1503</v>
      </c>
      <c r="DX10" s="151">
        <v>1037</v>
      </c>
      <c r="DY10" s="151">
        <v>1183</v>
      </c>
      <c r="DZ10" s="241">
        <v>1469</v>
      </c>
      <c r="EA10" s="241">
        <f t="shared" si="40"/>
        <v>11999</v>
      </c>
      <c r="EB10" s="162">
        <v>763</v>
      </c>
      <c r="EC10" s="151">
        <f>SUM(EC11:EC13)</f>
        <v>1324</v>
      </c>
      <c r="ED10" s="151">
        <v>858</v>
      </c>
      <c r="EE10" s="151">
        <v>820</v>
      </c>
      <c r="EF10" s="151">
        <v>807</v>
      </c>
      <c r="EG10" s="151">
        <v>689</v>
      </c>
      <c r="EH10" s="151">
        <v>815</v>
      </c>
      <c r="EI10" s="151">
        <v>849</v>
      </c>
      <c r="EJ10" s="151">
        <v>760</v>
      </c>
      <c r="EK10" s="151">
        <v>1277</v>
      </c>
      <c r="EL10" s="151">
        <f>SUM(EL11:EL13)</f>
        <v>906</v>
      </c>
      <c r="EM10" s="241">
        <f>SUM(EM11:EM13)</f>
        <v>715</v>
      </c>
      <c r="EN10" s="241">
        <f>SUM(EB10:EM10)</f>
        <v>10583</v>
      </c>
      <c r="EO10" s="162">
        <f>SUM(EO11:EO13)</f>
        <v>971</v>
      </c>
      <c r="EP10" s="151">
        <f>SUM(EP11:EP13)</f>
        <v>786</v>
      </c>
      <c r="EQ10" s="151">
        <f>SUM(EQ11:EQ13)</f>
        <v>876</v>
      </c>
      <c r="ER10" s="151">
        <f>SUM(ER11:ER13)</f>
        <v>1003</v>
      </c>
      <c r="ES10" s="151">
        <v>664</v>
      </c>
      <c r="ET10" s="151">
        <v>944</v>
      </c>
      <c r="EU10" s="151">
        <v>603</v>
      </c>
      <c r="EV10" s="950">
        <v>816</v>
      </c>
      <c r="EX10" s="151"/>
      <c r="EY10" s="151"/>
      <c r="EZ10" s="241"/>
      <c r="FA10" s="241">
        <f>SUM(EO10:EZ10)</f>
        <v>6663</v>
      </c>
      <c r="FC10" s="184">
        <f t="shared" si="46"/>
        <v>-3.8869257950530089</v>
      </c>
      <c r="FD10" s="184">
        <f t="shared" si="47"/>
        <v>-3.7833935018050546</v>
      </c>
      <c r="FE10" s="161">
        <f t="shared" si="48"/>
        <v>6925</v>
      </c>
      <c r="FF10" s="161">
        <f t="shared" si="49"/>
        <v>6663</v>
      </c>
    </row>
    <row r="11" spans="1:162" ht="15" customHeight="1" x14ac:dyDescent="0.25">
      <c r="A11" s="403" t="s">
        <v>413</v>
      </c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241"/>
      <c r="N11" s="241">
        <f t="shared" si="24"/>
        <v>0</v>
      </c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241"/>
      <c r="AA11" s="241">
        <f t="shared" si="25"/>
        <v>0</v>
      </c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241"/>
      <c r="AN11" s="241">
        <f t="shared" si="26"/>
        <v>0</v>
      </c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241"/>
      <c r="BA11" s="241">
        <f t="shared" si="28"/>
        <v>0</v>
      </c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241"/>
      <c r="BN11" s="241">
        <f t="shared" si="30"/>
        <v>0</v>
      </c>
      <c r="BO11" s="151"/>
      <c r="BP11" s="151"/>
      <c r="BQ11" s="151"/>
      <c r="BR11" s="151"/>
      <c r="BS11" s="151"/>
      <c r="BT11" s="151">
        <v>304</v>
      </c>
      <c r="BU11" s="151">
        <v>421</v>
      </c>
      <c r="BV11" s="151">
        <v>534</v>
      </c>
      <c r="BW11" s="151">
        <v>523</v>
      </c>
      <c r="BX11" s="151">
        <v>568</v>
      </c>
      <c r="BY11" s="151">
        <v>534</v>
      </c>
      <c r="BZ11" s="241">
        <v>612</v>
      </c>
      <c r="CA11" s="241">
        <f t="shared" si="32"/>
        <v>3496</v>
      </c>
      <c r="CB11" s="151">
        <v>546</v>
      </c>
      <c r="CC11" s="151">
        <v>667</v>
      </c>
      <c r="CD11" s="151">
        <v>426</v>
      </c>
      <c r="CE11" s="151">
        <v>515</v>
      </c>
      <c r="CF11" s="151">
        <v>387</v>
      </c>
      <c r="CG11" s="151">
        <v>573</v>
      </c>
      <c r="CH11" s="151">
        <v>593</v>
      </c>
      <c r="CI11" s="151">
        <v>592</v>
      </c>
      <c r="CJ11" s="151">
        <v>675</v>
      </c>
      <c r="CK11" s="151">
        <v>648</v>
      </c>
      <c r="CL11" s="151">
        <v>606</v>
      </c>
      <c r="CM11" s="241">
        <v>762</v>
      </c>
      <c r="CN11" s="241">
        <f t="shared" si="34"/>
        <v>6990</v>
      </c>
      <c r="CO11" s="151">
        <v>470</v>
      </c>
      <c r="CP11" s="151">
        <v>569</v>
      </c>
      <c r="CQ11" s="151">
        <v>664</v>
      </c>
      <c r="CR11" s="151">
        <v>620</v>
      </c>
      <c r="CS11" s="151">
        <v>681</v>
      </c>
      <c r="CT11" s="151">
        <v>651</v>
      </c>
      <c r="CU11" s="151">
        <v>644</v>
      </c>
      <c r="CV11" s="151">
        <v>661</v>
      </c>
      <c r="CW11" s="151">
        <v>803</v>
      </c>
      <c r="CX11" s="151">
        <v>664</v>
      </c>
      <c r="CY11" s="151">
        <v>604</v>
      </c>
      <c r="CZ11" s="241">
        <v>740</v>
      </c>
      <c r="DA11" s="241">
        <f t="shared" si="36"/>
        <v>7771</v>
      </c>
      <c r="DB11" s="151">
        <v>448</v>
      </c>
      <c r="DC11" s="151">
        <v>562</v>
      </c>
      <c r="DD11" s="151">
        <v>727</v>
      </c>
      <c r="DE11" s="151">
        <v>576</v>
      </c>
      <c r="DF11" s="151">
        <v>609</v>
      </c>
      <c r="DG11" s="151">
        <v>641</v>
      </c>
      <c r="DH11" s="151">
        <v>495</v>
      </c>
      <c r="DI11" s="151">
        <v>574</v>
      </c>
      <c r="DJ11" s="151">
        <v>605</v>
      </c>
      <c r="DK11" s="151">
        <v>673</v>
      </c>
      <c r="DL11" s="151">
        <v>571</v>
      </c>
      <c r="DM11" s="241">
        <v>792</v>
      </c>
      <c r="DN11" s="241">
        <f t="shared" si="38"/>
        <v>7273</v>
      </c>
      <c r="DO11" s="151">
        <v>544</v>
      </c>
      <c r="DP11" s="151">
        <v>620</v>
      </c>
      <c r="DQ11" s="151">
        <v>596</v>
      </c>
      <c r="DR11" s="151">
        <v>705</v>
      </c>
      <c r="DS11" s="151">
        <v>621</v>
      </c>
      <c r="DT11" s="151">
        <v>586</v>
      </c>
      <c r="DU11" s="151">
        <v>496</v>
      </c>
      <c r="DV11" s="151">
        <v>676</v>
      </c>
      <c r="DW11" s="151">
        <v>1195</v>
      </c>
      <c r="DX11" s="151">
        <v>796</v>
      </c>
      <c r="DY11" s="151">
        <v>975</v>
      </c>
      <c r="DZ11" s="241">
        <v>916</v>
      </c>
      <c r="EA11" s="241">
        <f t="shared" si="40"/>
        <v>8726</v>
      </c>
      <c r="EB11" s="151">
        <v>480</v>
      </c>
      <c r="EC11" s="151">
        <v>686</v>
      </c>
      <c r="ED11" s="151">
        <v>606</v>
      </c>
      <c r="EE11" s="151">
        <v>520</v>
      </c>
      <c r="EF11" s="151">
        <v>583</v>
      </c>
      <c r="EG11" s="151">
        <v>462</v>
      </c>
      <c r="EH11" s="151">
        <v>535</v>
      </c>
      <c r="EI11" s="151">
        <v>595</v>
      </c>
      <c r="EJ11" s="151">
        <v>560</v>
      </c>
      <c r="EK11" s="151">
        <v>651</v>
      </c>
      <c r="EL11" s="151">
        <v>530</v>
      </c>
      <c r="EM11" s="241">
        <v>505</v>
      </c>
      <c r="EN11" s="241">
        <f t="shared" ref="EN11:EN22" si="53">SUM(EB11:EM11)</f>
        <v>6713</v>
      </c>
      <c r="EO11" s="151">
        <v>702</v>
      </c>
      <c r="EP11" s="151">
        <v>583</v>
      </c>
      <c r="EQ11" s="151">
        <v>599</v>
      </c>
      <c r="ER11" s="151">
        <v>392</v>
      </c>
      <c r="ES11" s="151">
        <v>462</v>
      </c>
      <c r="ET11" s="151">
        <v>0</v>
      </c>
      <c r="EU11" s="151">
        <v>366</v>
      </c>
      <c r="EV11" s="950">
        <v>539</v>
      </c>
      <c r="EX11" s="151"/>
      <c r="EY11" s="151"/>
      <c r="EZ11" s="241"/>
      <c r="FA11" s="241">
        <f t="shared" si="45"/>
        <v>3643</v>
      </c>
      <c r="FC11" s="184">
        <f t="shared" si="46"/>
        <v>-9.4117647058823533</v>
      </c>
      <c r="FD11" s="184">
        <f t="shared" si="47"/>
        <v>-18.446384598164311</v>
      </c>
      <c r="FE11" s="161">
        <f t="shared" si="48"/>
        <v>4467</v>
      </c>
      <c r="FF11" s="161">
        <f t="shared" si="49"/>
        <v>3643</v>
      </c>
    </row>
    <row r="12" spans="1:162" ht="15" customHeight="1" x14ac:dyDescent="0.25">
      <c r="A12" s="403" t="s">
        <v>414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241"/>
      <c r="N12" s="241">
        <f t="shared" si="24"/>
        <v>0</v>
      </c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241"/>
      <c r="AA12" s="241">
        <f t="shared" si="25"/>
        <v>0</v>
      </c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241"/>
      <c r="AN12" s="241">
        <f t="shared" si="26"/>
        <v>0</v>
      </c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241"/>
      <c r="BA12" s="241">
        <f t="shared" si="28"/>
        <v>0</v>
      </c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241"/>
      <c r="BN12" s="241">
        <f t="shared" si="30"/>
        <v>0</v>
      </c>
      <c r="BO12" s="151"/>
      <c r="BP12" s="151"/>
      <c r="BQ12" s="151"/>
      <c r="BR12" s="151"/>
      <c r="BS12" s="151"/>
      <c r="BT12" s="151">
        <v>38</v>
      </c>
      <c r="BU12" s="151">
        <v>67</v>
      </c>
      <c r="BV12" s="151">
        <v>48</v>
      </c>
      <c r="BW12" s="151">
        <v>61</v>
      </c>
      <c r="BX12" s="151">
        <v>105</v>
      </c>
      <c r="BY12" s="151">
        <v>187</v>
      </c>
      <c r="BZ12" s="241">
        <v>75</v>
      </c>
      <c r="CA12" s="241">
        <f t="shared" si="32"/>
        <v>581</v>
      </c>
      <c r="CB12" s="151">
        <v>107</v>
      </c>
      <c r="CC12" s="151">
        <v>112</v>
      </c>
      <c r="CD12" s="151">
        <v>195</v>
      </c>
      <c r="CE12" s="151">
        <v>176</v>
      </c>
      <c r="CF12" s="151">
        <v>120</v>
      </c>
      <c r="CG12" s="151">
        <v>85</v>
      </c>
      <c r="CH12" s="151">
        <v>90</v>
      </c>
      <c r="CI12" s="151">
        <v>89</v>
      </c>
      <c r="CJ12" s="151">
        <v>73</v>
      </c>
      <c r="CK12" s="151">
        <v>62</v>
      </c>
      <c r="CL12" s="151">
        <v>62</v>
      </c>
      <c r="CM12" s="241">
        <v>68</v>
      </c>
      <c r="CN12" s="241">
        <f t="shared" si="34"/>
        <v>1239</v>
      </c>
      <c r="CO12" s="151">
        <v>74</v>
      </c>
      <c r="CP12" s="151">
        <v>49</v>
      </c>
      <c r="CQ12" s="151">
        <v>46</v>
      </c>
      <c r="CR12" s="151">
        <v>53</v>
      </c>
      <c r="CS12" s="151">
        <v>62</v>
      </c>
      <c r="CT12" s="151">
        <v>51</v>
      </c>
      <c r="CU12" s="151">
        <v>53</v>
      </c>
      <c r="CV12" s="151">
        <v>59</v>
      </c>
      <c r="CW12" s="151">
        <v>51</v>
      </c>
      <c r="CX12" s="151">
        <v>54</v>
      </c>
      <c r="CY12" s="151">
        <v>52</v>
      </c>
      <c r="CZ12" s="241">
        <v>48</v>
      </c>
      <c r="DA12" s="241">
        <f t="shared" si="36"/>
        <v>652</v>
      </c>
      <c r="DB12" s="151">
        <v>45</v>
      </c>
      <c r="DC12" s="151">
        <v>61</v>
      </c>
      <c r="DD12" s="151">
        <v>51</v>
      </c>
      <c r="DE12" s="151">
        <v>50</v>
      </c>
      <c r="DF12" s="151">
        <v>52</v>
      </c>
      <c r="DG12" s="151">
        <v>53</v>
      </c>
      <c r="DH12" s="151">
        <v>47</v>
      </c>
      <c r="DI12" s="151">
        <v>45</v>
      </c>
      <c r="DJ12" s="151">
        <v>107</v>
      </c>
      <c r="DK12" s="151">
        <v>40</v>
      </c>
      <c r="DL12" s="151">
        <v>38</v>
      </c>
      <c r="DM12" s="241">
        <v>36</v>
      </c>
      <c r="DN12" s="241">
        <f t="shared" si="38"/>
        <v>625</v>
      </c>
      <c r="DO12" s="151">
        <v>42</v>
      </c>
      <c r="DP12" s="151">
        <v>59</v>
      </c>
      <c r="DQ12" s="151">
        <v>69</v>
      </c>
      <c r="DR12" s="151">
        <v>37</v>
      </c>
      <c r="DS12" s="151">
        <v>49</v>
      </c>
      <c r="DT12" s="151">
        <v>45</v>
      </c>
      <c r="DU12" s="151">
        <v>92</v>
      </c>
      <c r="DV12" s="151">
        <v>61</v>
      </c>
      <c r="DW12" s="151">
        <v>57</v>
      </c>
      <c r="DX12" s="151">
        <v>58</v>
      </c>
      <c r="DY12" s="151">
        <v>56</v>
      </c>
      <c r="DZ12" s="241">
        <v>389</v>
      </c>
      <c r="EA12" s="241">
        <f t="shared" si="40"/>
        <v>1014</v>
      </c>
      <c r="EB12" s="151">
        <v>53</v>
      </c>
      <c r="EC12" s="151">
        <v>78</v>
      </c>
      <c r="ED12" s="151">
        <v>43</v>
      </c>
      <c r="EE12" s="151">
        <v>74</v>
      </c>
      <c r="EF12" s="151">
        <v>47</v>
      </c>
      <c r="EG12" s="151">
        <v>49</v>
      </c>
      <c r="EH12" s="151">
        <v>57</v>
      </c>
      <c r="EI12" s="151">
        <v>83</v>
      </c>
      <c r="EJ12" s="151">
        <v>51</v>
      </c>
      <c r="EK12" s="151">
        <v>54</v>
      </c>
      <c r="EL12" s="151">
        <v>68</v>
      </c>
      <c r="EM12" s="241">
        <v>67</v>
      </c>
      <c r="EN12" s="241">
        <f t="shared" si="53"/>
        <v>724</v>
      </c>
      <c r="EO12" s="151">
        <v>50</v>
      </c>
      <c r="EP12" s="151">
        <v>39</v>
      </c>
      <c r="EQ12" s="151">
        <v>59</v>
      </c>
      <c r="ER12" s="151">
        <v>46</v>
      </c>
      <c r="ES12" s="151">
        <v>41</v>
      </c>
      <c r="ET12" s="151">
        <v>0</v>
      </c>
      <c r="EU12" s="151">
        <v>44</v>
      </c>
      <c r="EV12" s="950">
        <v>62</v>
      </c>
      <c r="EX12" s="151"/>
      <c r="EY12" s="151"/>
      <c r="EZ12" s="241"/>
      <c r="FA12" s="241">
        <f t="shared" si="45"/>
        <v>341</v>
      </c>
      <c r="FC12" s="184">
        <f t="shared" si="46"/>
        <v>-25.30120481927711</v>
      </c>
      <c r="FD12" s="184">
        <f t="shared" si="47"/>
        <v>-29.54545454545454</v>
      </c>
      <c r="FE12" s="161">
        <f t="shared" si="48"/>
        <v>484</v>
      </c>
      <c r="FF12" s="161">
        <f t="shared" si="49"/>
        <v>341</v>
      </c>
    </row>
    <row r="13" spans="1:162" ht="15" customHeight="1" x14ac:dyDescent="0.25">
      <c r="A13" s="403" t="s">
        <v>415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241"/>
      <c r="N13" s="241">
        <f t="shared" si="24"/>
        <v>0</v>
      </c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241"/>
      <c r="AA13" s="241">
        <f t="shared" si="25"/>
        <v>0</v>
      </c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241"/>
      <c r="AN13" s="241">
        <f t="shared" si="26"/>
        <v>0</v>
      </c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241"/>
      <c r="BA13" s="241">
        <f t="shared" si="28"/>
        <v>0</v>
      </c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241"/>
      <c r="BN13" s="241">
        <f t="shared" si="30"/>
        <v>0</v>
      </c>
      <c r="BO13" s="151"/>
      <c r="BP13" s="151"/>
      <c r="BQ13" s="151"/>
      <c r="BR13" s="151"/>
      <c r="BS13" s="151"/>
      <c r="BT13" s="151">
        <v>51</v>
      </c>
      <c r="BU13" s="151">
        <v>115</v>
      </c>
      <c r="BV13" s="151">
        <v>136</v>
      </c>
      <c r="BW13" s="151">
        <v>201</v>
      </c>
      <c r="BX13" s="151">
        <v>271</v>
      </c>
      <c r="BY13" s="151">
        <v>196</v>
      </c>
      <c r="BZ13" s="241">
        <v>233</v>
      </c>
      <c r="CA13" s="241">
        <f t="shared" si="32"/>
        <v>1203</v>
      </c>
      <c r="CB13" s="151">
        <v>197</v>
      </c>
      <c r="CC13" s="151">
        <v>179</v>
      </c>
      <c r="CD13" s="151">
        <v>190</v>
      </c>
      <c r="CE13" s="151">
        <v>158</v>
      </c>
      <c r="CF13" s="151">
        <v>229</v>
      </c>
      <c r="CG13" s="151">
        <v>552</v>
      </c>
      <c r="CH13" s="151">
        <v>783</v>
      </c>
      <c r="CI13" s="151">
        <v>362</v>
      </c>
      <c r="CJ13" s="151">
        <v>1198</v>
      </c>
      <c r="CK13" s="151">
        <v>343</v>
      </c>
      <c r="CL13" s="151">
        <v>472</v>
      </c>
      <c r="CM13" s="241">
        <v>509</v>
      </c>
      <c r="CN13" s="241">
        <f t="shared" si="34"/>
        <v>5172</v>
      </c>
      <c r="CO13" s="151">
        <v>291</v>
      </c>
      <c r="CP13" s="151">
        <v>232</v>
      </c>
      <c r="CQ13" s="151">
        <v>203</v>
      </c>
      <c r="CR13" s="151">
        <v>177</v>
      </c>
      <c r="CS13" s="151">
        <v>439</v>
      </c>
      <c r="CT13" s="151">
        <v>154</v>
      </c>
      <c r="CU13" s="151">
        <v>209</v>
      </c>
      <c r="CV13" s="151">
        <v>376</v>
      </c>
      <c r="CW13" s="151">
        <v>250</v>
      </c>
      <c r="CX13" s="151">
        <v>203</v>
      </c>
      <c r="CY13" s="151">
        <v>559</v>
      </c>
      <c r="CZ13" s="241">
        <v>544</v>
      </c>
      <c r="DA13" s="241">
        <f t="shared" si="36"/>
        <v>3637</v>
      </c>
      <c r="DB13" s="151">
        <v>309</v>
      </c>
      <c r="DC13" s="151">
        <v>180</v>
      </c>
      <c r="DD13" s="151">
        <v>254</v>
      </c>
      <c r="DE13" s="151">
        <v>88</v>
      </c>
      <c r="DF13" s="151">
        <v>202</v>
      </c>
      <c r="DG13" s="151">
        <v>398</v>
      </c>
      <c r="DH13" s="151">
        <v>284</v>
      </c>
      <c r="DI13" s="151">
        <v>231</v>
      </c>
      <c r="DJ13" s="151">
        <v>233</v>
      </c>
      <c r="DK13" s="151">
        <v>555</v>
      </c>
      <c r="DL13" s="151">
        <v>173</v>
      </c>
      <c r="DM13" s="241">
        <v>117</v>
      </c>
      <c r="DN13" s="241">
        <f t="shared" si="38"/>
        <v>3024</v>
      </c>
      <c r="DO13" s="151">
        <v>180</v>
      </c>
      <c r="DP13" s="151">
        <v>210</v>
      </c>
      <c r="DQ13" s="151">
        <v>163</v>
      </c>
      <c r="DR13" s="151">
        <v>153</v>
      </c>
      <c r="DS13" s="151">
        <v>152</v>
      </c>
      <c r="DT13" s="151">
        <v>167</v>
      </c>
      <c r="DU13" s="151">
        <v>192</v>
      </c>
      <c r="DV13" s="151">
        <v>292</v>
      </c>
      <c r="DW13" s="151">
        <v>251</v>
      </c>
      <c r="DX13" s="151">
        <v>183</v>
      </c>
      <c r="DY13" s="151">
        <v>152</v>
      </c>
      <c r="DZ13" s="241">
        <v>164</v>
      </c>
      <c r="EA13" s="241">
        <f t="shared" si="40"/>
        <v>2259</v>
      </c>
      <c r="EB13" s="151">
        <v>230</v>
      </c>
      <c r="EC13" s="151">
        <v>560</v>
      </c>
      <c r="ED13" s="151">
        <v>210</v>
      </c>
      <c r="EE13" s="151">
        <v>226</v>
      </c>
      <c r="EF13" s="151">
        <v>177</v>
      </c>
      <c r="EG13" s="151">
        <v>178</v>
      </c>
      <c r="EH13" s="151">
        <v>223</v>
      </c>
      <c r="EI13" s="151">
        <v>171</v>
      </c>
      <c r="EJ13" s="151">
        <v>149</v>
      </c>
      <c r="EK13" s="151">
        <v>572</v>
      </c>
      <c r="EL13" s="151">
        <v>308</v>
      </c>
      <c r="EM13" s="241">
        <v>143</v>
      </c>
      <c r="EN13" s="241">
        <f t="shared" si="53"/>
        <v>3147</v>
      </c>
      <c r="EO13" s="151">
        <v>219</v>
      </c>
      <c r="EP13" s="151">
        <v>164</v>
      </c>
      <c r="EQ13" s="151">
        <v>218</v>
      </c>
      <c r="ER13" s="151">
        <v>565</v>
      </c>
      <c r="ES13" s="151">
        <v>161</v>
      </c>
      <c r="ET13" s="151">
        <v>0</v>
      </c>
      <c r="EU13" s="151">
        <v>193</v>
      </c>
      <c r="EV13" s="950">
        <v>215</v>
      </c>
      <c r="EX13" s="151"/>
      <c r="EY13" s="151"/>
      <c r="EZ13" s="241"/>
      <c r="FA13" s="241">
        <f t="shared" si="45"/>
        <v>1735</v>
      </c>
      <c r="FC13" s="184">
        <f t="shared" si="46"/>
        <v>25.730994152046783</v>
      </c>
      <c r="FD13" s="184">
        <f t="shared" si="47"/>
        <v>-12.151898734177212</v>
      </c>
      <c r="FE13" s="161">
        <f t="shared" si="48"/>
        <v>1975</v>
      </c>
      <c r="FF13" s="161">
        <f>SUMIFS($B13:$FA13,$B$5:$FA$5,"&gt;="&amp;DATE(YEAR($FC$5),1,1),$B$5:$FA$5,"&lt;="&amp;$FC$5)</f>
        <v>1735</v>
      </c>
    </row>
    <row r="14" spans="1:162" ht="15" customHeight="1" x14ac:dyDescent="0.25">
      <c r="A14" s="403" t="s">
        <v>416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241"/>
      <c r="N14" s="241">
        <f t="shared" si="24"/>
        <v>0</v>
      </c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241"/>
      <c r="AA14" s="241">
        <f t="shared" si="25"/>
        <v>0</v>
      </c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241"/>
      <c r="AN14" s="241">
        <f t="shared" si="26"/>
        <v>0</v>
      </c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241"/>
      <c r="BA14" s="241">
        <f t="shared" si="28"/>
        <v>0</v>
      </c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241"/>
      <c r="BN14" s="241">
        <f t="shared" si="30"/>
        <v>0</v>
      </c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241"/>
      <c r="CA14" s="241">
        <f t="shared" si="32"/>
        <v>0</v>
      </c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241"/>
      <c r="CN14" s="241">
        <f t="shared" si="34"/>
        <v>0</v>
      </c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241"/>
      <c r="DA14" s="241">
        <f t="shared" si="36"/>
        <v>0</v>
      </c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241"/>
      <c r="DN14" s="241">
        <f t="shared" si="38"/>
        <v>0</v>
      </c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51"/>
      <c r="DZ14" s="241"/>
      <c r="EA14" s="241">
        <f t="shared" si="40"/>
        <v>0</v>
      </c>
      <c r="EB14" s="151">
        <v>0</v>
      </c>
      <c r="EC14" s="151">
        <v>0</v>
      </c>
      <c r="ED14" s="151">
        <v>0</v>
      </c>
      <c r="EE14" s="151">
        <v>0</v>
      </c>
      <c r="EF14" s="151">
        <v>0</v>
      </c>
      <c r="EG14" s="151">
        <v>0</v>
      </c>
      <c r="EH14" s="151">
        <v>0</v>
      </c>
      <c r="EI14" s="151">
        <v>0</v>
      </c>
      <c r="EJ14" s="151">
        <v>0</v>
      </c>
      <c r="EK14" s="151">
        <v>0</v>
      </c>
      <c r="EL14" s="151">
        <v>0</v>
      </c>
      <c r="EM14" s="241">
        <v>0</v>
      </c>
      <c r="EN14" s="241">
        <f t="shared" si="53"/>
        <v>0</v>
      </c>
      <c r="EO14" s="151">
        <v>0</v>
      </c>
      <c r="EP14" s="151">
        <v>0</v>
      </c>
      <c r="EQ14" s="151">
        <v>0</v>
      </c>
      <c r="ER14" s="151">
        <v>0</v>
      </c>
      <c r="ES14" s="151">
        <v>0</v>
      </c>
      <c r="ET14" s="151">
        <v>0</v>
      </c>
      <c r="EU14" s="151">
        <v>0</v>
      </c>
      <c r="EV14" s="950">
        <v>0</v>
      </c>
      <c r="EX14" s="151"/>
      <c r="EY14" s="151"/>
      <c r="EZ14" s="241"/>
      <c r="FA14" s="241">
        <f t="shared" si="45"/>
        <v>0</v>
      </c>
      <c r="FC14" s="184" t="str">
        <f t="shared" si="46"/>
        <v/>
      </c>
      <c r="FD14" s="184" t="str">
        <f t="shared" si="47"/>
        <v/>
      </c>
      <c r="FE14" s="161">
        <f t="shared" si="48"/>
        <v>0</v>
      </c>
      <c r="FF14" s="161">
        <f t="shared" si="49"/>
        <v>0</v>
      </c>
    </row>
    <row r="15" spans="1:162" ht="15" customHeight="1" x14ac:dyDescent="0.25">
      <c r="A15" s="403" t="s">
        <v>299</v>
      </c>
      <c r="B15" s="151">
        <v>3148</v>
      </c>
      <c r="C15" s="151">
        <v>2293</v>
      </c>
      <c r="D15" s="151">
        <v>21856</v>
      </c>
      <c r="E15" s="151">
        <v>5979</v>
      </c>
      <c r="F15" s="151">
        <v>5021</v>
      </c>
      <c r="G15" s="151">
        <v>5525</v>
      </c>
      <c r="H15" s="151">
        <v>5762</v>
      </c>
      <c r="I15" s="151">
        <v>7138</v>
      </c>
      <c r="J15" s="151">
        <v>5709</v>
      </c>
      <c r="K15" s="151">
        <v>-4792</v>
      </c>
      <c r="L15" s="151">
        <v>5966</v>
      </c>
      <c r="M15" s="241">
        <v>2820</v>
      </c>
      <c r="N15" s="241">
        <f t="shared" si="24"/>
        <v>66425</v>
      </c>
      <c r="O15" s="151">
        <v>5952</v>
      </c>
      <c r="P15" s="151">
        <v>5910</v>
      </c>
      <c r="Q15" s="151">
        <v>5386</v>
      </c>
      <c r="R15" s="151">
        <v>6771</v>
      </c>
      <c r="S15" s="151">
        <v>1729</v>
      </c>
      <c r="T15" s="151">
        <v>6195</v>
      </c>
      <c r="U15" s="151">
        <v>3884</v>
      </c>
      <c r="V15" s="151">
        <v>2982</v>
      </c>
      <c r="W15" s="151">
        <v>3212</v>
      </c>
      <c r="X15" s="151">
        <v>979</v>
      </c>
      <c r="Y15" s="151">
        <v>2904</v>
      </c>
      <c r="Z15" s="241">
        <v>4101</v>
      </c>
      <c r="AA15" s="241">
        <f t="shared" si="25"/>
        <v>50005</v>
      </c>
      <c r="AB15" s="151">
        <v>1270</v>
      </c>
      <c r="AC15" s="151">
        <v>5638</v>
      </c>
      <c r="AD15" s="151">
        <v>12921</v>
      </c>
      <c r="AE15" s="151">
        <v>2384</v>
      </c>
      <c r="AF15" s="151">
        <v>80</v>
      </c>
      <c r="AG15" s="151">
        <v>4406</v>
      </c>
      <c r="AH15" s="151">
        <v>4783</v>
      </c>
      <c r="AI15" s="151">
        <v>4649</v>
      </c>
      <c r="AJ15" s="151">
        <v>1902</v>
      </c>
      <c r="AK15" s="151">
        <v>7593</v>
      </c>
      <c r="AL15" s="151">
        <v>4987</v>
      </c>
      <c r="AM15" s="241">
        <v>5766</v>
      </c>
      <c r="AN15" s="241">
        <f t="shared" si="26"/>
        <v>56379</v>
      </c>
      <c r="AO15" s="151">
        <v>2748</v>
      </c>
      <c r="AP15" s="151">
        <v>13107</v>
      </c>
      <c r="AQ15" s="151">
        <v>2357</v>
      </c>
      <c r="AR15" s="151">
        <v>7870</v>
      </c>
      <c r="AS15" s="151">
        <v>9559</v>
      </c>
      <c r="AT15" s="151">
        <v>2644</v>
      </c>
      <c r="AU15" s="151">
        <v>16542</v>
      </c>
      <c r="AV15" s="151">
        <v>3824</v>
      </c>
      <c r="AW15" s="151">
        <v>-969</v>
      </c>
      <c r="AX15" s="151">
        <v>6026</v>
      </c>
      <c r="AY15" s="151">
        <v>3804</v>
      </c>
      <c r="AZ15" s="241">
        <v>4261</v>
      </c>
      <c r="BA15" s="241">
        <f t="shared" si="28"/>
        <v>71773</v>
      </c>
      <c r="BB15" s="151">
        <v>21586</v>
      </c>
      <c r="BC15" s="151">
        <v>2540</v>
      </c>
      <c r="BD15" s="151">
        <v>579</v>
      </c>
      <c r="BE15" s="151">
        <v>2626</v>
      </c>
      <c r="BF15" s="151">
        <v>5094</v>
      </c>
      <c r="BG15" s="151">
        <v>554</v>
      </c>
      <c r="BH15" s="151">
        <v>4454</v>
      </c>
      <c r="BI15" s="151">
        <v>4649</v>
      </c>
      <c r="BJ15" s="151">
        <v>7493</v>
      </c>
      <c r="BK15" s="151">
        <v>6221</v>
      </c>
      <c r="BL15" s="151">
        <v>5541</v>
      </c>
      <c r="BM15" s="241">
        <v>-829</v>
      </c>
      <c r="BN15" s="241">
        <f t="shared" si="30"/>
        <v>60508</v>
      </c>
      <c r="BO15" s="151">
        <v>2692</v>
      </c>
      <c r="BP15" s="151">
        <v>14749</v>
      </c>
      <c r="BQ15" s="151">
        <v>6971</v>
      </c>
      <c r="BR15" s="151">
        <v>3493</v>
      </c>
      <c r="BS15" s="151">
        <v>747</v>
      </c>
      <c r="BT15" s="151">
        <v>409</v>
      </c>
      <c r="BU15" s="151">
        <v>2067</v>
      </c>
      <c r="BV15" s="151">
        <v>3261</v>
      </c>
      <c r="BW15" s="151">
        <v>75685</v>
      </c>
      <c r="BX15" s="151">
        <v>6215</v>
      </c>
      <c r="BY15" s="151">
        <v>4446</v>
      </c>
      <c r="BZ15" s="241">
        <v>605</v>
      </c>
      <c r="CA15" s="241">
        <f t="shared" si="32"/>
        <v>121340</v>
      </c>
      <c r="CB15" s="151">
        <v>4055</v>
      </c>
      <c r="CC15" s="151">
        <v>41046</v>
      </c>
      <c r="CD15" s="151">
        <v>5049</v>
      </c>
      <c r="CE15" s="151">
        <v>11534</v>
      </c>
      <c r="CF15" s="151">
        <v>4168</v>
      </c>
      <c r="CG15" s="151">
        <v>5473</v>
      </c>
      <c r="CH15" s="151">
        <v>7997</v>
      </c>
      <c r="CI15" s="151">
        <v>5897</v>
      </c>
      <c r="CJ15" s="151">
        <v>4794</v>
      </c>
      <c r="CK15" s="151">
        <v>5278</v>
      </c>
      <c r="CL15" s="151">
        <v>43252</v>
      </c>
      <c r="CM15" s="241">
        <v>9011</v>
      </c>
      <c r="CN15" s="241">
        <f t="shared" si="34"/>
        <v>147554</v>
      </c>
      <c r="CO15" s="151">
        <v>39471</v>
      </c>
      <c r="CP15" s="151">
        <v>13136</v>
      </c>
      <c r="CQ15" s="151">
        <v>64427</v>
      </c>
      <c r="CR15" s="151">
        <v>19710</v>
      </c>
      <c r="CS15" s="151">
        <v>21473</v>
      </c>
      <c r="CT15" s="151">
        <v>29350</v>
      </c>
      <c r="CU15" s="151">
        <v>29616</v>
      </c>
      <c r="CV15" s="151">
        <v>28853</v>
      </c>
      <c r="CW15" s="151">
        <v>38720</v>
      </c>
      <c r="CX15" s="151">
        <v>31366</v>
      </c>
      <c r="CY15" s="151">
        <v>45671</v>
      </c>
      <c r="CZ15" s="241">
        <v>27987</v>
      </c>
      <c r="DA15" s="241">
        <f t="shared" si="36"/>
        <v>389780</v>
      </c>
      <c r="DB15" s="151">
        <v>32833</v>
      </c>
      <c r="DC15" s="151">
        <v>35710</v>
      </c>
      <c r="DD15" s="151">
        <v>62935</v>
      </c>
      <c r="DE15" s="151">
        <v>105745</v>
      </c>
      <c r="DF15" s="151">
        <v>32399</v>
      </c>
      <c r="DG15" s="151">
        <v>-54761</v>
      </c>
      <c r="DH15" s="151">
        <v>27554</v>
      </c>
      <c r="DI15" s="151">
        <v>23067</v>
      </c>
      <c r="DJ15" s="151">
        <v>23975</v>
      </c>
      <c r="DK15" s="151">
        <v>69257</v>
      </c>
      <c r="DL15" s="151">
        <v>45234</v>
      </c>
      <c r="DM15" s="241">
        <v>-1011</v>
      </c>
      <c r="DN15" s="241">
        <f t="shared" si="38"/>
        <v>402937</v>
      </c>
      <c r="DO15" s="151">
        <v>29187</v>
      </c>
      <c r="DP15" s="151">
        <v>95482</v>
      </c>
      <c r="DQ15" s="151">
        <v>35120</v>
      </c>
      <c r="DR15" s="151">
        <v>21725</v>
      </c>
      <c r="DS15" s="151">
        <v>32899</v>
      </c>
      <c r="DT15" s="151">
        <v>31231</v>
      </c>
      <c r="DU15" s="151">
        <v>69994</v>
      </c>
      <c r="DV15" s="151">
        <v>38186</v>
      </c>
      <c r="DW15" s="151">
        <v>33743</v>
      </c>
      <c r="DX15" s="151">
        <v>32924</v>
      </c>
      <c r="DY15" s="151">
        <v>34871</v>
      </c>
      <c r="DZ15" s="241">
        <v>21185</v>
      </c>
      <c r="EA15" s="241">
        <f t="shared" si="40"/>
        <v>476547</v>
      </c>
      <c r="EB15" s="151">
        <v>38756</v>
      </c>
      <c r="EC15" s="151">
        <v>98097</v>
      </c>
      <c r="ED15" s="151">
        <v>33331</v>
      </c>
      <c r="EE15" s="151">
        <v>31576</v>
      </c>
      <c r="EF15" s="151">
        <v>29082</v>
      </c>
      <c r="EG15" s="151">
        <v>34970</v>
      </c>
      <c r="EH15" s="151">
        <v>74716</v>
      </c>
      <c r="EI15" s="151">
        <v>34023</v>
      </c>
      <c r="EJ15" s="151">
        <v>33640</v>
      </c>
      <c r="EK15" s="151">
        <v>38212</v>
      </c>
      <c r="EL15" s="151">
        <v>37235</v>
      </c>
      <c r="EM15" s="241">
        <v>25351</v>
      </c>
      <c r="EN15" s="241">
        <f t="shared" si="53"/>
        <v>508989</v>
      </c>
      <c r="EO15" s="151">
        <v>63623</v>
      </c>
      <c r="EP15" s="151">
        <v>81389</v>
      </c>
      <c r="EQ15" s="151">
        <v>29373</v>
      </c>
      <c r="ER15" s="151">
        <v>4679</v>
      </c>
      <c r="ES15" s="151">
        <v>33993</v>
      </c>
      <c r="ET15" s="151">
        <v>4885</v>
      </c>
      <c r="EU15" s="151">
        <v>10765</v>
      </c>
      <c r="EV15" s="950">
        <v>98515</v>
      </c>
      <c r="EX15" s="151"/>
      <c r="EY15" s="151"/>
      <c r="EZ15" s="241"/>
      <c r="FA15" s="241">
        <f t="shared" si="45"/>
        <v>327222</v>
      </c>
      <c r="FC15" s="184">
        <f t="shared" si="46"/>
        <v>189.55412515063341</v>
      </c>
      <c r="FD15" s="184">
        <f t="shared" si="47"/>
        <v>-12.636196405829914</v>
      </c>
      <c r="FE15" s="161">
        <f t="shared" si="48"/>
        <v>374551</v>
      </c>
      <c r="FF15" s="161">
        <f t="shared" si="49"/>
        <v>327222</v>
      </c>
    </row>
    <row r="16" spans="1:162" ht="15" customHeight="1" x14ac:dyDescent="0.25">
      <c r="A16" s="403" t="s">
        <v>417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241"/>
      <c r="N16" s="241">
        <f t="shared" si="24"/>
        <v>0</v>
      </c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241"/>
      <c r="AA16" s="241">
        <f t="shared" si="25"/>
        <v>0</v>
      </c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241"/>
      <c r="AN16" s="241">
        <f t="shared" si="26"/>
        <v>0</v>
      </c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241"/>
      <c r="BA16" s="241">
        <f t="shared" si="28"/>
        <v>0</v>
      </c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241"/>
      <c r="BN16" s="241">
        <f t="shared" si="30"/>
        <v>0</v>
      </c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241"/>
      <c r="CA16" s="241">
        <f t="shared" si="32"/>
        <v>0</v>
      </c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241"/>
      <c r="CN16" s="241">
        <f t="shared" si="34"/>
        <v>0</v>
      </c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241"/>
      <c r="DA16" s="241">
        <f t="shared" si="36"/>
        <v>0</v>
      </c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241"/>
      <c r="DN16" s="241">
        <f t="shared" si="38"/>
        <v>0</v>
      </c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241"/>
      <c r="EA16" s="241">
        <f t="shared" si="40"/>
        <v>0</v>
      </c>
      <c r="EB16" s="151">
        <v>0</v>
      </c>
      <c r="EC16" s="151">
        <v>0</v>
      </c>
      <c r="ED16" s="151">
        <v>0</v>
      </c>
      <c r="EE16" s="151">
        <v>0</v>
      </c>
      <c r="EF16" s="151">
        <v>0</v>
      </c>
      <c r="EG16" s="151">
        <v>0</v>
      </c>
      <c r="EH16" s="151">
        <v>0</v>
      </c>
      <c r="EI16" s="151">
        <v>0</v>
      </c>
      <c r="EJ16" s="151">
        <v>0</v>
      </c>
      <c r="EK16" s="151">
        <v>0</v>
      </c>
      <c r="EL16" s="151">
        <v>0</v>
      </c>
      <c r="EM16" s="241">
        <v>0</v>
      </c>
      <c r="EN16" s="241">
        <f t="shared" si="53"/>
        <v>0</v>
      </c>
      <c r="EO16" s="151">
        <v>0</v>
      </c>
      <c r="EP16" s="151">
        <v>0</v>
      </c>
      <c r="EQ16" s="151">
        <v>0</v>
      </c>
      <c r="ER16" s="151">
        <v>0</v>
      </c>
      <c r="ES16" s="151">
        <v>0</v>
      </c>
      <c r="ET16" s="151">
        <v>0</v>
      </c>
      <c r="EU16" s="151">
        <v>0</v>
      </c>
      <c r="EV16" s="950">
        <v>0</v>
      </c>
      <c r="EX16" s="151"/>
      <c r="EY16" s="151"/>
      <c r="EZ16" s="241"/>
      <c r="FA16" s="241">
        <f t="shared" si="45"/>
        <v>0</v>
      </c>
      <c r="FC16" s="184" t="str">
        <f t="shared" si="46"/>
        <v/>
      </c>
      <c r="FD16" s="184" t="str">
        <f t="shared" si="47"/>
        <v/>
      </c>
      <c r="FE16" s="161">
        <f t="shared" si="48"/>
        <v>0</v>
      </c>
      <c r="FF16" s="161">
        <f t="shared" si="49"/>
        <v>0</v>
      </c>
    </row>
    <row r="17" spans="1:162" ht="15" customHeight="1" x14ac:dyDescent="0.25">
      <c r="A17" s="403" t="s">
        <v>418</v>
      </c>
      <c r="B17" s="151">
        <v>153</v>
      </c>
      <c r="C17" s="151">
        <v>133</v>
      </c>
      <c r="D17" s="151">
        <v>640</v>
      </c>
      <c r="E17" s="151">
        <v>279</v>
      </c>
      <c r="F17" s="151">
        <v>114</v>
      </c>
      <c r="G17" s="151">
        <v>160</v>
      </c>
      <c r="H17" s="151">
        <v>141</v>
      </c>
      <c r="I17" s="151">
        <v>340</v>
      </c>
      <c r="J17" s="151">
        <v>298</v>
      </c>
      <c r="K17" s="151">
        <v>194</v>
      </c>
      <c r="L17" s="151">
        <v>133</v>
      </c>
      <c r="M17" s="241">
        <v>127</v>
      </c>
      <c r="N17" s="241">
        <f t="shared" si="24"/>
        <v>2712</v>
      </c>
      <c r="O17" s="151">
        <v>165</v>
      </c>
      <c r="P17" s="151">
        <v>194</v>
      </c>
      <c r="Q17" s="151">
        <v>492</v>
      </c>
      <c r="R17" s="151">
        <v>117</v>
      </c>
      <c r="S17" s="151">
        <v>183</v>
      </c>
      <c r="T17" s="151">
        <v>62</v>
      </c>
      <c r="U17" s="151">
        <v>430</v>
      </c>
      <c r="V17" s="151">
        <v>279</v>
      </c>
      <c r="W17" s="151">
        <v>304</v>
      </c>
      <c r="X17" s="151">
        <v>57</v>
      </c>
      <c r="Y17" s="151">
        <v>845</v>
      </c>
      <c r="Z17" s="241">
        <v>81</v>
      </c>
      <c r="AA17" s="241">
        <f t="shared" si="25"/>
        <v>3209</v>
      </c>
      <c r="AB17" s="151">
        <v>96</v>
      </c>
      <c r="AC17" s="151">
        <v>374</v>
      </c>
      <c r="AD17" s="151">
        <v>687</v>
      </c>
      <c r="AE17" s="151">
        <v>118</v>
      </c>
      <c r="AF17" s="151">
        <v>79</v>
      </c>
      <c r="AG17" s="151">
        <v>134</v>
      </c>
      <c r="AH17" s="151">
        <v>76</v>
      </c>
      <c r="AI17" s="151">
        <v>378</v>
      </c>
      <c r="AJ17" s="151">
        <v>125</v>
      </c>
      <c r="AK17" s="151">
        <v>168</v>
      </c>
      <c r="AL17" s="151">
        <v>208</v>
      </c>
      <c r="AM17" s="241">
        <v>224</v>
      </c>
      <c r="AN17" s="241">
        <f t="shared" si="26"/>
        <v>2667</v>
      </c>
      <c r="AO17" s="151">
        <v>5276</v>
      </c>
      <c r="AP17" s="151">
        <v>136</v>
      </c>
      <c r="AQ17" s="151">
        <v>388</v>
      </c>
      <c r="AR17" s="151">
        <v>47</v>
      </c>
      <c r="AS17" s="151">
        <v>748</v>
      </c>
      <c r="AT17" s="151">
        <v>127</v>
      </c>
      <c r="AU17" s="151">
        <v>92</v>
      </c>
      <c r="AV17" s="151">
        <v>140</v>
      </c>
      <c r="AW17" s="151">
        <v>232</v>
      </c>
      <c r="AX17" s="151">
        <v>107</v>
      </c>
      <c r="AY17" s="151">
        <v>237</v>
      </c>
      <c r="AZ17" s="241">
        <v>179</v>
      </c>
      <c r="BA17" s="241">
        <f t="shared" si="28"/>
        <v>7709</v>
      </c>
      <c r="BB17" s="151">
        <v>150</v>
      </c>
      <c r="BC17" s="151">
        <v>609</v>
      </c>
      <c r="BD17" s="151">
        <v>124</v>
      </c>
      <c r="BE17" s="151">
        <v>839</v>
      </c>
      <c r="BF17" s="151">
        <v>562</v>
      </c>
      <c r="BG17" s="151">
        <v>146</v>
      </c>
      <c r="BH17" s="151">
        <v>111</v>
      </c>
      <c r="BI17" s="151">
        <v>469</v>
      </c>
      <c r="BJ17" s="151">
        <v>180</v>
      </c>
      <c r="BK17" s="151">
        <v>167</v>
      </c>
      <c r="BL17" s="151">
        <v>229</v>
      </c>
      <c r="BM17" s="241">
        <v>554</v>
      </c>
      <c r="BN17" s="241">
        <f t="shared" si="30"/>
        <v>4140</v>
      </c>
      <c r="BO17" s="151">
        <v>156</v>
      </c>
      <c r="BP17" s="151">
        <v>165</v>
      </c>
      <c r="BQ17" s="151">
        <v>93</v>
      </c>
      <c r="BR17" s="151">
        <v>36</v>
      </c>
      <c r="BS17" s="151">
        <v>3</v>
      </c>
      <c r="BT17" s="151">
        <v>75</v>
      </c>
      <c r="BU17" s="151">
        <v>93</v>
      </c>
      <c r="BV17" s="151">
        <v>135</v>
      </c>
      <c r="BW17" s="151">
        <v>170</v>
      </c>
      <c r="BX17" s="151">
        <v>133</v>
      </c>
      <c r="BY17" s="151">
        <v>420</v>
      </c>
      <c r="BZ17" s="241">
        <v>343</v>
      </c>
      <c r="CA17" s="241">
        <f t="shared" si="32"/>
        <v>1822</v>
      </c>
      <c r="CB17" s="151">
        <v>202</v>
      </c>
      <c r="CC17" s="151">
        <v>93</v>
      </c>
      <c r="CD17" s="151">
        <v>223</v>
      </c>
      <c r="CE17" s="151">
        <v>114</v>
      </c>
      <c r="CF17" s="151">
        <v>64</v>
      </c>
      <c r="CG17" s="151">
        <v>131</v>
      </c>
      <c r="CH17" s="151">
        <v>335</v>
      </c>
      <c r="CI17" s="151">
        <v>160</v>
      </c>
      <c r="CJ17" s="151">
        <v>207</v>
      </c>
      <c r="CK17" s="151">
        <v>150</v>
      </c>
      <c r="CL17" s="151">
        <v>278</v>
      </c>
      <c r="CM17" s="241">
        <v>222</v>
      </c>
      <c r="CN17" s="241">
        <f t="shared" si="34"/>
        <v>2179</v>
      </c>
      <c r="CO17" s="151">
        <v>130</v>
      </c>
      <c r="CP17" s="151">
        <v>392</v>
      </c>
      <c r="CQ17" s="151">
        <v>300</v>
      </c>
      <c r="CR17" s="151">
        <v>209</v>
      </c>
      <c r="CS17" s="151">
        <v>222</v>
      </c>
      <c r="CT17" s="151">
        <v>229</v>
      </c>
      <c r="CU17" s="151">
        <v>400</v>
      </c>
      <c r="CV17" s="151">
        <v>409</v>
      </c>
      <c r="CW17" s="151">
        <v>640</v>
      </c>
      <c r="CX17" s="151">
        <v>697</v>
      </c>
      <c r="CY17" s="151">
        <v>667</v>
      </c>
      <c r="CZ17" s="241">
        <v>755</v>
      </c>
      <c r="DA17" s="241">
        <f t="shared" si="36"/>
        <v>5050</v>
      </c>
      <c r="DB17" s="151">
        <v>639</v>
      </c>
      <c r="DC17" s="151">
        <v>674</v>
      </c>
      <c r="DD17" s="151">
        <v>663</v>
      </c>
      <c r="DE17" s="151">
        <v>-563</v>
      </c>
      <c r="DF17" s="151">
        <v>867</v>
      </c>
      <c r="DG17" s="151">
        <v>2510</v>
      </c>
      <c r="DH17" s="151">
        <v>896</v>
      </c>
      <c r="DI17" s="151">
        <v>913</v>
      </c>
      <c r="DJ17" s="151">
        <v>1527</v>
      </c>
      <c r="DK17" s="151">
        <v>951</v>
      </c>
      <c r="DL17" s="151">
        <v>1296</v>
      </c>
      <c r="DM17" s="241">
        <v>1030</v>
      </c>
      <c r="DN17" s="241">
        <f t="shared" si="38"/>
        <v>11403</v>
      </c>
      <c r="DO17" s="151">
        <v>820</v>
      </c>
      <c r="DP17" s="151">
        <v>655</v>
      </c>
      <c r="DQ17" s="151">
        <v>225</v>
      </c>
      <c r="DR17" s="151">
        <v>467</v>
      </c>
      <c r="DS17" s="151">
        <v>297</v>
      </c>
      <c r="DT17" s="151">
        <v>286</v>
      </c>
      <c r="DU17" s="151">
        <v>329</v>
      </c>
      <c r="DV17" s="151">
        <v>556</v>
      </c>
      <c r="DW17" s="151">
        <v>131</v>
      </c>
      <c r="DX17" s="151">
        <v>252</v>
      </c>
      <c r="DY17" s="151">
        <v>823</v>
      </c>
      <c r="DZ17" s="241">
        <v>24871</v>
      </c>
      <c r="EA17" s="241">
        <f t="shared" si="40"/>
        <v>29712</v>
      </c>
      <c r="EB17" s="151">
        <v>181</v>
      </c>
      <c r="EC17" s="151">
        <v>199</v>
      </c>
      <c r="ED17" s="151">
        <v>144</v>
      </c>
      <c r="EE17" s="151">
        <v>393</v>
      </c>
      <c r="EF17" s="151">
        <v>186</v>
      </c>
      <c r="EG17" s="151">
        <v>300</v>
      </c>
      <c r="EH17" s="151">
        <v>216</v>
      </c>
      <c r="EI17" s="151">
        <v>231</v>
      </c>
      <c r="EJ17" s="151">
        <v>433</v>
      </c>
      <c r="EK17" s="151">
        <v>294</v>
      </c>
      <c r="EL17" s="151">
        <v>253</v>
      </c>
      <c r="EM17" s="241">
        <v>433</v>
      </c>
      <c r="EN17" s="241">
        <f t="shared" si="53"/>
        <v>3263</v>
      </c>
      <c r="EO17" s="151">
        <v>290</v>
      </c>
      <c r="EP17" s="151">
        <v>431</v>
      </c>
      <c r="EQ17" s="151">
        <v>2005</v>
      </c>
      <c r="ER17" s="151">
        <v>137</v>
      </c>
      <c r="ES17" s="151">
        <v>351</v>
      </c>
      <c r="ET17" s="151">
        <v>78</v>
      </c>
      <c r="EU17" s="151">
        <v>273</v>
      </c>
      <c r="EV17" s="950">
        <v>439</v>
      </c>
      <c r="EX17" s="151"/>
      <c r="EY17" s="151"/>
      <c r="EZ17" s="241"/>
      <c r="FA17" s="241">
        <f t="shared" si="45"/>
        <v>4004</v>
      </c>
      <c r="FC17" s="184">
        <f t="shared" si="46"/>
        <v>90.043290043290042</v>
      </c>
      <c r="FD17" s="184">
        <f t="shared" si="47"/>
        <v>116.43243243243245</v>
      </c>
      <c r="FE17" s="161">
        <f t="shared" si="48"/>
        <v>1850</v>
      </c>
      <c r="FF17" s="161">
        <f t="shared" si="49"/>
        <v>4004</v>
      </c>
    </row>
    <row r="18" spans="1:162" s="125" customFormat="1" ht="15" customHeight="1" x14ac:dyDescent="0.25">
      <c r="A18" s="401" t="s">
        <v>419</v>
      </c>
      <c r="B18" s="229">
        <f t="shared" ref="B18:Z18" si="54">SUM(B19:B20)</f>
        <v>0</v>
      </c>
      <c r="C18" s="229">
        <f t="shared" si="54"/>
        <v>0</v>
      </c>
      <c r="D18" s="229">
        <f t="shared" si="54"/>
        <v>0</v>
      </c>
      <c r="E18" s="229">
        <f t="shared" si="54"/>
        <v>0</v>
      </c>
      <c r="F18" s="229">
        <f t="shared" si="54"/>
        <v>0</v>
      </c>
      <c r="G18" s="229">
        <f t="shared" si="54"/>
        <v>0</v>
      </c>
      <c r="H18" s="229">
        <f t="shared" si="54"/>
        <v>0</v>
      </c>
      <c r="I18" s="229">
        <f t="shared" si="54"/>
        <v>0</v>
      </c>
      <c r="J18" s="229">
        <f t="shared" si="54"/>
        <v>1265</v>
      </c>
      <c r="K18" s="229">
        <f t="shared" si="54"/>
        <v>261</v>
      </c>
      <c r="L18" s="229">
        <f t="shared" si="54"/>
        <v>156</v>
      </c>
      <c r="M18" s="268">
        <f t="shared" si="54"/>
        <v>-757</v>
      </c>
      <c r="N18" s="268">
        <f t="shared" si="24"/>
        <v>925</v>
      </c>
      <c r="O18" s="229">
        <f t="shared" si="54"/>
        <v>342</v>
      </c>
      <c r="P18" s="229">
        <f t="shared" si="54"/>
        <v>511</v>
      </c>
      <c r="Q18" s="229">
        <f t="shared" si="54"/>
        <v>363</v>
      </c>
      <c r="R18" s="229">
        <f t="shared" si="54"/>
        <v>22</v>
      </c>
      <c r="S18" s="229">
        <f t="shared" si="54"/>
        <v>7</v>
      </c>
      <c r="T18" s="229">
        <f t="shared" si="54"/>
        <v>121</v>
      </c>
      <c r="U18" s="229">
        <f t="shared" si="54"/>
        <v>630</v>
      </c>
      <c r="V18" s="229">
        <f t="shared" si="54"/>
        <v>153</v>
      </c>
      <c r="W18" s="229">
        <f t="shared" si="54"/>
        <v>72</v>
      </c>
      <c r="X18" s="229">
        <f t="shared" si="54"/>
        <v>25</v>
      </c>
      <c r="Y18" s="229">
        <f t="shared" si="54"/>
        <v>-810</v>
      </c>
      <c r="Z18" s="268">
        <f t="shared" si="54"/>
        <v>112</v>
      </c>
      <c r="AA18" s="268">
        <f t="shared" si="25"/>
        <v>1548</v>
      </c>
      <c r="AB18" s="229">
        <f t="shared" ref="AB18:AM18" si="55">SUM(AB19:AB20)</f>
        <v>142</v>
      </c>
      <c r="AC18" s="229">
        <f t="shared" si="55"/>
        <v>102</v>
      </c>
      <c r="AD18" s="229">
        <f t="shared" si="55"/>
        <v>54</v>
      </c>
      <c r="AE18" s="229">
        <f t="shared" si="55"/>
        <v>58</v>
      </c>
      <c r="AF18" s="229">
        <f t="shared" si="55"/>
        <v>61</v>
      </c>
      <c r="AG18" s="229">
        <f t="shared" si="55"/>
        <v>95</v>
      </c>
      <c r="AH18" s="229">
        <f t="shared" si="55"/>
        <v>53</v>
      </c>
      <c r="AI18" s="229">
        <f t="shared" si="55"/>
        <v>97</v>
      </c>
      <c r="AJ18" s="229">
        <f t="shared" si="55"/>
        <v>106</v>
      </c>
      <c r="AK18" s="229">
        <f t="shared" si="55"/>
        <v>34</v>
      </c>
      <c r="AL18" s="229">
        <f t="shared" si="55"/>
        <v>34</v>
      </c>
      <c r="AM18" s="268">
        <f t="shared" si="55"/>
        <v>134</v>
      </c>
      <c r="AN18" s="268">
        <f t="shared" si="26"/>
        <v>970</v>
      </c>
      <c r="AO18" s="229">
        <f t="shared" ref="AO18:AZ18" si="56">SUM(AO19:AO20)</f>
        <v>106</v>
      </c>
      <c r="AP18" s="229">
        <f t="shared" si="56"/>
        <v>16</v>
      </c>
      <c r="AQ18" s="229">
        <f t="shared" si="56"/>
        <v>35</v>
      </c>
      <c r="AR18" s="229">
        <f t="shared" si="56"/>
        <v>0</v>
      </c>
      <c r="AS18" s="229">
        <f t="shared" si="56"/>
        <v>102</v>
      </c>
      <c r="AT18" s="229">
        <f t="shared" si="56"/>
        <v>12</v>
      </c>
      <c r="AU18" s="229">
        <f t="shared" si="56"/>
        <v>11</v>
      </c>
      <c r="AV18" s="229">
        <f t="shared" si="56"/>
        <v>23</v>
      </c>
      <c r="AW18" s="229">
        <f t="shared" si="56"/>
        <v>1</v>
      </c>
      <c r="AX18" s="229">
        <f t="shared" si="56"/>
        <v>123</v>
      </c>
      <c r="AY18" s="229">
        <f t="shared" si="56"/>
        <v>6</v>
      </c>
      <c r="AZ18" s="268">
        <f t="shared" si="56"/>
        <v>476</v>
      </c>
      <c r="BA18" s="268">
        <f t="shared" si="28"/>
        <v>911</v>
      </c>
      <c r="BB18" s="229">
        <f>SUM(BB19:BB20)</f>
        <v>20</v>
      </c>
      <c r="BC18" s="229">
        <f>SUM(BC19:BC20)</f>
        <v>0</v>
      </c>
      <c r="BD18" s="229">
        <f>SUM(BD19:BD20)</f>
        <v>22</v>
      </c>
      <c r="BE18" s="229">
        <f>SUM(BE19:BE20)</f>
        <v>0</v>
      </c>
      <c r="BF18" s="229">
        <f>SUM(BF19:BF20)</f>
        <v>0</v>
      </c>
      <c r="BG18" s="229">
        <f t="shared" ref="BG18:BM18" si="57">SUM(BG19:BG20)</f>
        <v>0</v>
      </c>
      <c r="BH18" s="229">
        <f t="shared" si="57"/>
        <v>0</v>
      </c>
      <c r="BI18" s="229">
        <f t="shared" si="57"/>
        <v>0</v>
      </c>
      <c r="BJ18" s="229">
        <f t="shared" si="57"/>
        <v>0</v>
      </c>
      <c r="BK18" s="229">
        <f t="shared" si="57"/>
        <v>0</v>
      </c>
      <c r="BL18" s="229">
        <f t="shared" si="57"/>
        <v>0</v>
      </c>
      <c r="BM18" s="268">
        <f t="shared" si="57"/>
        <v>0</v>
      </c>
      <c r="BN18" s="268">
        <f t="shared" si="30"/>
        <v>42</v>
      </c>
      <c r="BO18" s="229">
        <f>SUM(BO19:BO20)</f>
        <v>0</v>
      </c>
      <c r="BP18" s="229">
        <f>SUM(BP19:BP20)</f>
        <v>0</v>
      </c>
      <c r="BQ18" s="229"/>
      <c r="BR18" s="229"/>
      <c r="BS18" s="229"/>
      <c r="BT18" s="229"/>
      <c r="BU18" s="229">
        <f t="shared" ref="BU18:BZ18" si="58">SUM(BU19:BU20)</f>
        <v>0</v>
      </c>
      <c r="BV18" s="229">
        <f t="shared" si="58"/>
        <v>0</v>
      </c>
      <c r="BW18" s="229">
        <f t="shared" si="58"/>
        <v>0</v>
      </c>
      <c r="BX18" s="229">
        <f t="shared" si="58"/>
        <v>0</v>
      </c>
      <c r="BY18" s="229">
        <f t="shared" si="58"/>
        <v>0</v>
      </c>
      <c r="BZ18" s="268">
        <f t="shared" si="58"/>
        <v>0</v>
      </c>
      <c r="CA18" s="268">
        <f t="shared" si="32"/>
        <v>0</v>
      </c>
      <c r="CB18" s="229">
        <f>SUM(CB19:CB20)</f>
        <v>0</v>
      </c>
      <c r="CC18" s="229">
        <f>SUM(CC19:CC20)</f>
        <v>0</v>
      </c>
      <c r="CD18" s="229"/>
      <c r="CE18" s="229"/>
      <c r="CF18" s="229"/>
      <c r="CG18" s="229"/>
      <c r="CH18" s="229"/>
      <c r="CI18" s="229"/>
      <c r="CJ18" s="229"/>
      <c r="CK18" s="229"/>
      <c r="CL18" s="229"/>
      <c r="CM18" s="268"/>
      <c r="CN18" s="268">
        <f t="shared" si="34"/>
        <v>0</v>
      </c>
      <c r="CO18" s="229"/>
      <c r="CP18" s="229"/>
      <c r="CQ18" s="229"/>
      <c r="CR18" s="229"/>
      <c r="CS18" s="229"/>
      <c r="CT18" s="229"/>
      <c r="CU18" s="229"/>
      <c r="CV18" s="229"/>
      <c r="CW18" s="229"/>
      <c r="CX18" s="229"/>
      <c r="CY18" s="229"/>
      <c r="CZ18" s="268"/>
      <c r="DA18" s="268">
        <f t="shared" si="36"/>
        <v>0</v>
      </c>
      <c r="DB18" s="229"/>
      <c r="DC18" s="229"/>
      <c r="DD18" s="229"/>
      <c r="DE18" s="229"/>
      <c r="DF18" s="229"/>
      <c r="DG18" s="229"/>
      <c r="DH18" s="229"/>
      <c r="DI18" s="229"/>
      <c r="DJ18" s="229"/>
      <c r="DK18" s="229"/>
      <c r="DL18" s="229"/>
      <c r="DM18" s="268"/>
      <c r="DN18" s="268">
        <f t="shared" si="38"/>
        <v>0</v>
      </c>
      <c r="DO18" s="229"/>
      <c r="DP18" s="229"/>
      <c r="DQ18" s="229"/>
      <c r="DR18" s="229"/>
      <c r="DS18" s="229"/>
      <c r="DT18" s="229"/>
      <c r="DU18" s="229"/>
      <c r="DV18" s="229"/>
      <c r="DW18" s="229"/>
      <c r="DX18" s="229"/>
      <c r="DY18" s="229"/>
      <c r="DZ18" s="268"/>
      <c r="EA18" s="268">
        <f t="shared" si="40"/>
        <v>0</v>
      </c>
      <c r="EB18" s="229">
        <v>0</v>
      </c>
      <c r="EC18" s="229">
        <v>0</v>
      </c>
      <c r="ED18" s="229">
        <v>0</v>
      </c>
      <c r="EE18" s="229">
        <v>0</v>
      </c>
      <c r="EF18" s="229">
        <v>0</v>
      </c>
      <c r="EG18" s="229">
        <v>0</v>
      </c>
      <c r="EH18" s="229">
        <v>0</v>
      </c>
      <c r="EI18" s="229">
        <v>0</v>
      </c>
      <c r="EJ18" s="229">
        <v>0</v>
      </c>
      <c r="EK18" s="229">
        <v>0</v>
      </c>
      <c r="EL18" s="229">
        <v>0</v>
      </c>
      <c r="EM18" s="268">
        <v>0</v>
      </c>
      <c r="EN18" s="268">
        <f t="shared" si="53"/>
        <v>0</v>
      </c>
      <c r="EO18" s="229">
        <v>0</v>
      </c>
      <c r="EP18" s="229">
        <v>0</v>
      </c>
      <c r="EQ18" s="229">
        <v>0</v>
      </c>
      <c r="ER18" s="229">
        <v>0</v>
      </c>
      <c r="ES18" s="229">
        <v>0</v>
      </c>
      <c r="ET18" s="229">
        <v>0</v>
      </c>
      <c r="EU18" s="229">
        <v>0</v>
      </c>
      <c r="EV18" s="952">
        <v>0</v>
      </c>
      <c r="EX18" s="229"/>
      <c r="EY18" s="229"/>
      <c r="EZ18" s="268"/>
      <c r="FA18" s="268">
        <f t="shared" si="45"/>
        <v>0</v>
      </c>
      <c r="FB18" s="110"/>
      <c r="FC18" s="379" t="str">
        <f t="shared" si="46"/>
        <v/>
      </c>
      <c r="FD18" s="379" t="str">
        <f t="shared" si="47"/>
        <v/>
      </c>
      <c r="FE18" s="235">
        <f t="shared" si="48"/>
        <v>0</v>
      </c>
      <c r="FF18" s="235">
        <f t="shared" si="49"/>
        <v>0</v>
      </c>
    </row>
    <row r="19" spans="1:162" ht="15" customHeight="1" x14ac:dyDescent="0.25">
      <c r="A19" s="403" t="s">
        <v>420</v>
      </c>
      <c r="B19" s="151"/>
      <c r="C19" s="151"/>
      <c r="D19" s="151"/>
      <c r="E19" s="151"/>
      <c r="F19" s="151"/>
      <c r="G19" s="151"/>
      <c r="H19" s="151"/>
      <c r="I19" s="151"/>
      <c r="J19" s="151">
        <v>1265</v>
      </c>
      <c r="K19" s="151">
        <v>261</v>
      </c>
      <c r="L19" s="151">
        <v>156</v>
      </c>
      <c r="M19" s="241">
        <v>-757</v>
      </c>
      <c r="N19" s="241">
        <f t="shared" si="24"/>
        <v>925</v>
      </c>
      <c r="O19" s="151">
        <v>342</v>
      </c>
      <c r="P19" s="151">
        <v>511</v>
      </c>
      <c r="Q19" s="151">
        <v>363</v>
      </c>
      <c r="R19" s="151">
        <v>22</v>
      </c>
      <c r="S19" s="151">
        <v>7</v>
      </c>
      <c r="T19" s="151">
        <v>121</v>
      </c>
      <c r="U19" s="151">
        <v>630</v>
      </c>
      <c r="V19" s="151">
        <v>153</v>
      </c>
      <c r="W19" s="151">
        <v>72</v>
      </c>
      <c r="X19" s="151">
        <v>25</v>
      </c>
      <c r="Y19" s="151">
        <v>-810</v>
      </c>
      <c r="Z19" s="241">
        <v>112</v>
      </c>
      <c r="AA19" s="241">
        <f t="shared" si="25"/>
        <v>1548</v>
      </c>
      <c r="AB19" s="151">
        <v>142</v>
      </c>
      <c r="AC19" s="151">
        <v>102</v>
      </c>
      <c r="AD19" s="151">
        <v>54</v>
      </c>
      <c r="AE19" s="151">
        <v>58</v>
      </c>
      <c r="AF19" s="151">
        <v>61</v>
      </c>
      <c r="AG19" s="151">
        <v>95</v>
      </c>
      <c r="AH19" s="151">
        <v>53</v>
      </c>
      <c r="AI19" s="151">
        <v>97</v>
      </c>
      <c r="AJ19" s="151">
        <v>106</v>
      </c>
      <c r="AK19" s="151">
        <v>34</v>
      </c>
      <c r="AL19" s="151">
        <v>34</v>
      </c>
      <c r="AM19" s="241">
        <v>134</v>
      </c>
      <c r="AN19" s="241">
        <f t="shared" si="26"/>
        <v>970</v>
      </c>
      <c r="AO19" s="151">
        <v>106</v>
      </c>
      <c r="AP19" s="151">
        <v>16</v>
      </c>
      <c r="AQ19" s="151">
        <v>35</v>
      </c>
      <c r="AR19" s="151"/>
      <c r="AS19" s="151">
        <v>102</v>
      </c>
      <c r="AT19" s="151">
        <v>12</v>
      </c>
      <c r="AU19" s="151">
        <v>11</v>
      </c>
      <c r="AV19" s="151">
        <v>23</v>
      </c>
      <c r="AW19" s="151">
        <v>1</v>
      </c>
      <c r="AX19" s="151">
        <v>123</v>
      </c>
      <c r="AY19" s="151">
        <v>6</v>
      </c>
      <c r="AZ19" s="241">
        <v>476</v>
      </c>
      <c r="BA19" s="241">
        <f t="shared" si="28"/>
        <v>911</v>
      </c>
      <c r="BB19" s="151">
        <v>20</v>
      </c>
      <c r="BC19" s="151"/>
      <c r="BD19" s="151">
        <v>22</v>
      </c>
      <c r="BE19" s="151"/>
      <c r="BF19" s="151"/>
      <c r="BG19" s="151"/>
      <c r="BH19" s="151"/>
      <c r="BI19" s="151"/>
      <c r="BJ19" s="151"/>
      <c r="BK19" s="151"/>
      <c r="BL19" s="151"/>
      <c r="BM19" s="241"/>
      <c r="BN19" s="241">
        <f t="shared" si="30"/>
        <v>42</v>
      </c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241"/>
      <c r="CA19" s="241">
        <f t="shared" si="32"/>
        <v>0</v>
      </c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241"/>
      <c r="CN19" s="241">
        <f t="shared" si="34"/>
        <v>0</v>
      </c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241"/>
      <c r="DA19" s="241">
        <f t="shared" si="36"/>
        <v>0</v>
      </c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241"/>
      <c r="DN19" s="241">
        <f t="shared" si="38"/>
        <v>0</v>
      </c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241"/>
      <c r="EA19" s="241">
        <f t="shared" si="40"/>
        <v>0</v>
      </c>
      <c r="EB19" s="151">
        <v>0</v>
      </c>
      <c r="EC19" s="151">
        <v>0</v>
      </c>
      <c r="ED19" s="151">
        <v>0</v>
      </c>
      <c r="EE19" s="151">
        <v>0</v>
      </c>
      <c r="EF19" s="151">
        <v>0</v>
      </c>
      <c r="EG19" s="151">
        <v>0</v>
      </c>
      <c r="EH19" s="151">
        <v>0</v>
      </c>
      <c r="EI19" s="151">
        <v>0</v>
      </c>
      <c r="EJ19" s="151">
        <v>0</v>
      </c>
      <c r="EK19" s="151">
        <v>0</v>
      </c>
      <c r="EL19" s="151">
        <v>0</v>
      </c>
      <c r="EM19" s="241">
        <v>0</v>
      </c>
      <c r="EN19" s="241">
        <f t="shared" si="53"/>
        <v>0</v>
      </c>
      <c r="EO19" s="151">
        <v>0</v>
      </c>
      <c r="EP19" s="151">
        <v>0</v>
      </c>
      <c r="EQ19" s="151">
        <v>0</v>
      </c>
      <c r="ER19" s="151">
        <v>0</v>
      </c>
      <c r="ES19" s="151">
        <v>0</v>
      </c>
      <c r="ET19" s="151">
        <v>0</v>
      </c>
      <c r="EU19" s="151">
        <v>0</v>
      </c>
      <c r="EV19" s="950">
        <v>0</v>
      </c>
      <c r="EX19" s="151"/>
      <c r="EY19" s="151"/>
      <c r="EZ19" s="241"/>
      <c r="FA19" s="241">
        <f t="shared" si="45"/>
        <v>0</v>
      </c>
      <c r="FC19" s="184" t="str">
        <f t="shared" si="46"/>
        <v/>
      </c>
      <c r="FD19" s="184" t="str">
        <f t="shared" si="47"/>
        <v/>
      </c>
      <c r="FE19" s="161">
        <f t="shared" si="48"/>
        <v>0</v>
      </c>
      <c r="FF19" s="161">
        <f t="shared" si="49"/>
        <v>0</v>
      </c>
    </row>
    <row r="20" spans="1:162" ht="15" customHeight="1" x14ac:dyDescent="0.25">
      <c r="A20" s="403" t="s">
        <v>421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241"/>
      <c r="N20" s="241">
        <f t="shared" si="24"/>
        <v>0</v>
      </c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241"/>
      <c r="AA20" s="241">
        <f t="shared" si="25"/>
        <v>0</v>
      </c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241"/>
      <c r="AN20" s="241">
        <f t="shared" si="26"/>
        <v>0</v>
      </c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241"/>
      <c r="BA20" s="241">
        <f t="shared" si="28"/>
        <v>0</v>
      </c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241"/>
      <c r="BN20" s="241">
        <f t="shared" si="30"/>
        <v>0</v>
      </c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241"/>
      <c r="CA20" s="241">
        <f t="shared" si="32"/>
        <v>0</v>
      </c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241"/>
      <c r="CN20" s="241">
        <f t="shared" si="34"/>
        <v>0</v>
      </c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241"/>
      <c r="DA20" s="241">
        <f t="shared" si="36"/>
        <v>0</v>
      </c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241"/>
      <c r="DN20" s="241">
        <f t="shared" si="38"/>
        <v>0</v>
      </c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241"/>
      <c r="EA20" s="241">
        <f t="shared" si="40"/>
        <v>0</v>
      </c>
      <c r="EB20" s="151">
        <v>0</v>
      </c>
      <c r="EC20" s="151">
        <v>0</v>
      </c>
      <c r="ED20" s="151">
        <v>0</v>
      </c>
      <c r="EE20" s="151">
        <v>0</v>
      </c>
      <c r="EF20" s="151">
        <v>0</v>
      </c>
      <c r="EG20" s="151">
        <v>0</v>
      </c>
      <c r="EH20" s="151">
        <v>0</v>
      </c>
      <c r="EI20" s="151">
        <v>0</v>
      </c>
      <c r="EJ20" s="151">
        <v>0</v>
      </c>
      <c r="EK20" s="151">
        <v>0</v>
      </c>
      <c r="EL20" s="151">
        <v>0</v>
      </c>
      <c r="EM20" s="241">
        <v>0</v>
      </c>
      <c r="EN20" s="241">
        <f t="shared" si="53"/>
        <v>0</v>
      </c>
      <c r="EO20" s="151">
        <v>0</v>
      </c>
      <c r="EP20" s="151">
        <v>0</v>
      </c>
      <c r="EQ20" s="151">
        <v>0</v>
      </c>
      <c r="ER20" s="151">
        <v>0</v>
      </c>
      <c r="ES20" s="151">
        <v>0</v>
      </c>
      <c r="ET20" s="151">
        <v>0</v>
      </c>
      <c r="EU20" s="151">
        <v>0</v>
      </c>
      <c r="EV20" s="950">
        <v>0</v>
      </c>
      <c r="EX20" s="151"/>
      <c r="EY20" s="151"/>
      <c r="EZ20" s="241"/>
      <c r="FA20" s="241">
        <f t="shared" si="45"/>
        <v>0</v>
      </c>
      <c r="FC20" s="184" t="str">
        <f t="shared" si="46"/>
        <v/>
      </c>
      <c r="FD20" s="184" t="str">
        <f t="shared" si="47"/>
        <v/>
      </c>
      <c r="FE20" s="161">
        <f t="shared" si="48"/>
        <v>0</v>
      </c>
      <c r="FF20" s="161">
        <f t="shared" si="49"/>
        <v>0</v>
      </c>
    </row>
    <row r="21" spans="1:162" s="125" customFormat="1" ht="15" customHeight="1" x14ac:dyDescent="0.25">
      <c r="A21" s="401" t="s">
        <v>422</v>
      </c>
      <c r="B21" s="229">
        <f t="shared" ref="B21:AM21" si="59">SUM(B22)</f>
        <v>0</v>
      </c>
      <c r="C21" s="229">
        <f t="shared" si="59"/>
        <v>0</v>
      </c>
      <c r="D21" s="229">
        <f t="shared" si="59"/>
        <v>0</v>
      </c>
      <c r="E21" s="229">
        <f t="shared" si="59"/>
        <v>0</v>
      </c>
      <c r="F21" s="229">
        <f t="shared" si="59"/>
        <v>0</v>
      </c>
      <c r="G21" s="229">
        <f t="shared" si="59"/>
        <v>0</v>
      </c>
      <c r="H21" s="229">
        <f t="shared" si="59"/>
        <v>0</v>
      </c>
      <c r="I21" s="229">
        <f t="shared" si="59"/>
        <v>0</v>
      </c>
      <c r="J21" s="229">
        <f t="shared" si="59"/>
        <v>0</v>
      </c>
      <c r="K21" s="229">
        <f t="shared" si="59"/>
        <v>0</v>
      </c>
      <c r="L21" s="229">
        <f t="shared" si="59"/>
        <v>0</v>
      </c>
      <c r="M21" s="268">
        <f t="shared" si="59"/>
        <v>0</v>
      </c>
      <c r="N21" s="268">
        <f t="shared" si="24"/>
        <v>0</v>
      </c>
      <c r="O21" s="229">
        <f t="shared" si="59"/>
        <v>0</v>
      </c>
      <c r="P21" s="229">
        <f t="shared" si="59"/>
        <v>0</v>
      </c>
      <c r="Q21" s="229">
        <f t="shared" si="59"/>
        <v>0</v>
      </c>
      <c r="R21" s="229">
        <f t="shared" si="59"/>
        <v>0</v>
      </c>
      <c r="S21" s="229">
        <f t="shared" si="59"/>
        <v>0</v>
      </c>
      <c r="T21" s="229">
        <f t="shared" si="59"/>
        <v>0</v>
      </c>
      <c r="U21" s="229">
        <f t="shared" si="59"/>
        <v>0</v>
      </c>
      <c r="V21" s="229">
        <f t="shared" si="59"/>
        <v>0</v>
      </c>
      <c r="W21" s="229">
        <f t="shared" si="59"/>
        <v>0</v>
      </c>
      <c r="X21" s="229">
        <f t="shared" si="59"/>
        <v>0</v>
      </c>
      <c r="Y21" s="229">
        <f t="shared" si="59"/>
        <v>0</v>
      </c>
      <c r="Z21" s="268">
        <f t="shared" si="59"/>
        <v>0</v>
      </c>
      <c r="AA21" s="268">
        <f t="shared" si="25"/>
        <v>0</v>
      </c>
      <c r="AB21" s="229">
        <f t="shared" si="59"/>
        <v>0</v>
      </c>
      <c r="AC21" s="229">
        <f t="shared" si="59"/>
        <v>0</v>
      </c>
      <c r="AD21" s="229">
        <f t="shared" si="59"/>
        <v>0</v>
      </c>
      <c r="AE21" s="229">
        <f t="shared" si="59"/>
        <v>0</v>
      </c>
      <c r="AF21" s="229">
        <f t="shared" si="59"/>
        <v>0</v>
      </c>
      <c r="AG21" s="229">
        <f t="shared" si="59"/>
        <v>0</v>
      </c>
      <c r="AH21" s="229">
        <f t="shared" si="59"/>
        <v>0</v>
      </c>
      <c r="AI21" s="229">
        <f t="shared" si="59"/>
        <v>0</v>
      </c>
      <c r="AJ21" s="229">
        <f t="shared" si="59"/>
        <v>0</v>
      </c>
      <c r="AK21" s="229">
        <f t="shared" si="59"/>
        <v>0</v>
      </c>
      <c r="AL21" s="229">
        <f t="shared" si="59"/>
        <v>0</v>
      </c>
      <c r="AM21" s="268">
        <f t="shared" si="59"/>
        <v>0</v>
      </c>
      <c r="AN21" s="268">
        <f t="shared" si="26"/>
        <v>0</v>
      </c>
      <c r="AO21" s="229">
        <f t="shared" ref="AO21:BM21" si="60">SUM(AO22)</f>
        <v>0</v>
      </c>
      <c r="AP21" s="229">
        <f t="shared" si="60"/>
        <v>0</v>
      </c>
      <c r="AQ21" s="229">
        <f t="shared" si="60"/>
        <v>0</v>
      </c>
      <c r="AR21" s="229">
        <f t="shared" si="60"/>
        <v>0</v>
      </c>
      <c r="AS21" s="229">
        <f t="shared" si="60"/>
        <v>0</v>
      </c>
      <c r="AT21" s="229">
        <f t="shared" si="60"/>
        <v>0</v>
      </c>
      <c r="AU21" s="229">
        <f t="shared" si="60"/>
        <v>0</v>
      </c>
      <c r="AV21" s="229">
        <f t="shared" si="60"/>
        <v>0</v>
      </c>
      <c r="AW21" s="229">
        <f t="shared" si="60"/>
        <v>0</v>
      </c>
      <c r="AX21" s="229">
        <f t="shared" si="60"/>
        <v>0</v>
      </c>
      <c r="AY21" s="229">
        <f t="shared" si="60"/>
        <v>0</v>
      </c>
      <c r="AZ21" s="268">
        <f t="shared" si="60"/>
        <v>0</v>
      </c>
      <c r="BA21" s="268">
        <f t="shared" si="28"/>
        <v>0</v>
      </c>
      <c r="BB21" s="229">
        <f t="shared" si="60"/>
        <v>0</v>
      </c>
      <c r="BC21" s="229">
        <f t="shared" si="60"/>
        <v>0</v>
      </c>
      <c r="BD21" s="229">
        <f t="shared" si="60"/>
        <v>0</v>
      </c>
      <c r="BE21" s="229">
        <f t="shared" si="60"/>
        <v>0</v>
      </c>
      <c r="BF21" s="229">
        <f t="shared" si="60"/>
        <v>0</v>
      </c>
      <c r="BG21" s="229">
        <f t="shared" si="60"/>
        <v>0</v>
      </c>
      <c r="BH21" s="229">
        <f t="shared" si="60"/>
        <v>0</v>
      </c>
      <c r="BI21" s="229">
        <f t="shared" si="60"/>
        <v>0</v>
      </c>
      <c r="BJ21" s="229">
        <f t="shared" si="60"/>
        <v>0</v>
      </c>
      <c r="BK21" s="229">
        <f t="shared" si="60"/>
        <v>0</v>
      </c>
      <c r="BL21" s="229">
        <f t="shared" si="60"/>
        <v>0</v>
      </c>
      <c r="BM21" s="268">
        <f t="shared" si="60"/>
        <v>0</v>
      </c>
      <c r="BN21" s="268">
        <f t="shared" si="30"/>
        <v>0</v>
      </c>
      <c r="BO21" s="229">
        <f t="shared" ref="BO21:BZ21" si="61">SUM(BO22)</f>
        <v>0</v>
      </c>
      <c r="BP21" s="229">
        <f t="shared" si="61"/>
        <v>0</v>
      </c>
      <c r="BQ21" s="229">
        <f t="shared" si="61"/>
        <v>0</v>
      </c>
      <c r="BR21" s="229">
        <f t="shared" si="61"/>
        <v>0</v>
      </c>
      <c r="BS21" s="229">
        <f t="shared" si="61"/>
        <v>0</v>
      </c>
      <c r="BT21" s="229">
        <f t="shared" si="61"/>
        <v>0</v>
      </c>
      <c r="BU21" s="229">
        <f t="shared" si="61"/>
        <v>0</v>
      </c>
      <c r="BV21" s="229">
        <f t="shared" si="61"/>
        <v>0</v>
      </c>
      <c r="BW21" s="229">
        <f t="shared" si="61"/>
        <v>0</v>
      </c>
      <c r="BX21" s="229">
        <f t="shared" si="61"/>
        <v>0</v>
      </c>
      <c r="BY21" s="229">
        <f t="shared" si="61"/>
        <v>0</v>
      </c>
      <c r="BZ21" s="268">
        <f t="shared" si="61"/>
        <v>0</v>
      </c>
      <c r="CA21" s="268">
        <f t="shared" si="32"/>
        <v>0</v>
      </c>
      <c r="CB21" s="229">
        <f t="shared" ref="CB21:CM21" si="62">SUM(CB22)</f>
        <v>0</v>
      </c>
      <c r="CC21" s="229">
        <f t="shared" si="62"/>
        <v>0</v>
      </c>
      <c r="CD21" s="229">
        <f t="shared" si="62"/>
        <v>0</v>
      </c>
      <c r="CE21" s="229">
        <f t="shared" si="62"/>
        <v>0</v>
      </c>
      <c r="CF21" s="229">
        <f t="shared" si="62"/>
        <v>0</v>
      </c>
      <c r="CG21" s="229">
        <f t="shared" si="62"/>
        <v>0</v>
      </c>
      <c r="CH21" s="229">
        <f t="shared" si="62"/>
        <v>0</v>
      </c>
      <c r="CI21" s="229">
        <f t="shared" si="62"/>
        <v>0</v>
      </c>
      <c r="CJ21" s="229">
        <f t="shared" si="62"/>
        <v>0</v>
      </c>
      <c r="CK21" s="229">
        <f t="shared" si="62"/>
        <v>0</v>
      </c>
      <c r="CL21" s="229">
        <f t="shared" si="62"/>
        <v>0</v>
      </c>
      <c r="CM21" s="268">
        <f t="shared" si="62"/>
        <v>0</v>
      </c>
      <c r="CN21" s="268">
        <f t="shared" si="34"/>
        <v>0</v>
      </c>
      <c r="CO21" s="229">
        <f t="shared" ref="CO21:DM21" si="63">SUM(CO22)</f>
        <v>0</v>
      </c>
      <c r="CP21" s="229">
        <f t="shared" si="63"/>
        <v>0</v>
      </c>
      <c r="CQ21" s="229">
        <f t="shared" si="63"/>
        <v>0</v>
      </c>
      <c r="CR21" s="229">
        <f t="shared" si="63"/>
        <v>0</v>
      </c>
      <c r="CS21" s="229">
        <f t="shared" si="63"/>
        <v>0</v>
      </c>
      <c r="CT21" s="229">
        <f t="shared" si="63"/>
        <v>0</v>
      </c>
      <c r="CU21" s="229">
        <f t="shared" si="63"/>
        <v>0</v>
      </c>
      <c r="CV21" s="229">
        <f t="shared" si="63"/>
        <v>0</v>
      </c>
      <c r="CW21" s="229">
        <f t="shared" si="63"/>
        <v>0</v>
      </c>
      <c r="CX21" s="229">
        <f t="shared" si="63"/>
        <v>0</v>
      </c>
      <c r="CY21" s="229">
        <f t="shared" si="63"/>
        <v>0</v>
      </c>
      <c r="CZ21" s="268">
        <f t="shared" si="63"/>
        <v>0</v>
      </c>
      <c r="DA21" s="268">
        <f t="shared" si="36"/>
        <v>0</v>
      </c>
      <c r="DB21" s="229">
        <f t="shared" si="63"/>
        <v>0</v>
      </c>
      <c r="DC21" s="229">
        <f t="shared" si="63"/>
        <v>0</v>
      </c>
      <c r="DD21" s="229">
        <f t="shared" si="63"/>
        <v>0</v>
      </c>
      <c r="DE21" s="229">
        <f t="shared" si="63"/>
        <v>0</v>
      </c>
      <c r="DF21" s="229">
        <f t="shared" si="63"/>
        <v>0</v>
      </c>
      <c r="DG21" s="229">
        <f t="shared" si="63"/>
        <v>0</v>
      </c>
      <c r="DH21" s="229">
        <f t="shared" si="63"/>
        <v>0</v>
      </c>
      <c r="DI21" s="229">
        <f t="shared" si="63"/>
        <v>0</v>
      </c>
      <c r="DJ21" s="229">
        <f t="shared" si="63"/>
        <v>0</v>
      </c>
      <c r="DK21" s="229">
        <f t="shared" si="63"/>
        <v>0</v>
      </c>
      <c r="DL21" s="229">
        <f t="shared" si="63"/>
        <v>0</v>
      </c>
      <c r="DM21" s="268">
        <f t="shared" si="63"/>
        <v>0</v>
      </c>
      <c r="DN21" s="268">
        <f t="shared" si="38"/>
        <v>0</v>
      </c>
      <c r="DO21" s="229">
        <f t="shared" ref="DO21:DZ21" si="64">SUM(DO22)</f>
        <v>0</v>
      </c>
      <c r="DP21" s="229">
        <f t="shared" si="64"/>
        <v>0</v>
      </c>
      <c r="DQ21" s="229">
        <f t="shared" si="64"/>
        <v>0</v>
      </c>
      <c r="DR21" s="229">
        <f t="shared" si="64"/>
        <v>0</v>
      </c>
      <c r="DS21" s="229">
        <f t="shared" si="64"/>
        <v>0</v>
      </c>
      <c r="DT21" s="229">
        <f t="shared" si="64"/>
        <v>0</v>
      </c>
      <c r="DU21" s="229">
        <f t="shared" si="64"/>
        <v>0</v>
      </c>
      <c r="DV21" s="229">
        <f t="shared" si="64"/>
        <v>0</v>
      </c>
      <c r="DW21" s="229">
        <f t="shared" si="64"/>
        <v>0</v>
      </c>
      <c r="DX21" s="229">
        <f t="shared" si="64"/>
        <v>0</v>
      </c>
      <c r="DY21" s="229">
        <f t="shared" si="64"/>
        <v>0</v>
      </c>
      <c r="DZ21" s="268">
        <f t="shared" si="64"/>
        <v>0</v>
      </c>
      <c r="EA21" s="268">
        <f t="shared" si="40"/>
        <v>0</v>
      </c>
      <c r="EB21" s="229">
        <f t="shared" ref="EB21:EM21" si="65">SUM(EB22)</f>
        <v>0</v>
      </c>
      <c r="EC21" s="229">
        <f t="shared" si="65"/>
        <v>0</v>
      </c>
      <c r="ED21" s="229">
        <f t="shared" si="65"/>
        <v>0</v>
      </c>
      <c r="EE21" s="229">
        <f t="shared" si="65"/>
        <v>0</v>
      </c>
      <c r="EF21" s="229">
        <f t="shared" si="65"/>
        <v>0</v>
      </c>
      <c r="EG21" s="229">
        <f t="shared" si="65"/>
        <v>0</v>
      </c>
      <c r="EH21" s="229">
        <f t="shared" si="65"/>
        <v>0</v>
      </c>
      <c r="EI21" s="229">
        <f t="shared" si="65"/>
        <v>0</v>
      </c>
      <c r="EJ21" s="229">
        <f t="shared" si="65"/>
        <v>1</v>
      </c>
      <c r="EK21" s="229">
        <f t="shared" si="65"/>
        <v>0</v>
      </c>
      <c r="EL21" s="229">
        <f t="shared" si="65"/>
        <v>0</v>
      </c>
      <c r="EM21" s="268">
        <f t="shared" si="65"/>
        <v>2</v>
      </c>
      <c r="EN21" s="268">
        <f t="shared" si="53"/>
        <v>3</v>
      </c>
      <c r="EO21" s="229">
        <f t="shared" ref="EO21:ER21" si="66">SUM(EO22)</f>
        <v>0</v>
      </c>
      <c r="EP21" s="229">
        <f t="shared" si="66"/>
        <v>0</v>
      </c>
      <c r="EQ21" s="229">
        <f t="shared" si="66"/>
        <v>0</v>
      </c>
      <c r="ER21" s="229">
        <f t="shared" si="66"/>
        <v>0</v>
      </c>
      <c r="ES21" s="229">
        <v>0</v>
      </c>
      <c r="ET21" s="229">
        <v>0</v>
      </c>
      <c r="EU21" s="229">
        <v>0</v>
      </c>
      <c r="EV21" s="952">
        <v>0</v>
      </c>
      <c r="EX21" s="229"/>
      <c r="EY21" s="229"/>
      <c r="EZ21" s="268"/>
      <c r="FA21" s="268">
        <f t="shared" si="45"/>
        <v>0</v>
      </c>
      <c r="FB21" s="110"/>
      <c r="FC21" s="379" t="str">
        <f t="shared" si="46"/>
        <v/>
      </c>
      <c r="FD21" s="379" t="str">
        <f t="shared" si="47"/>
        <v/>
      </c>
      <c r="FE21" s="235">
        <f t="shared" si="48"/>
        <v>0</v>
      </c>
      <c r="FF21" s="235">
        <f>SUMIFS($B21:$FA21,$B$5:$FA$5,"&gt;="&amp;DATE(YEAR($FC$5),1,1),$B$5:$FA$5,"&lt;="&amp;$FC$5)</f>
        <v>0</v>
      </c>
    </row>
    <row r="22" spans="1:162" ht="15" customHeight="1" x14ac:dyDescent="0.25">
      <c r="A22" s="403" t="s">
        <v>423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241"/>
      <c r="N22" s="241">
        <f t="shared" si="24"/>
        <v>0</v>
      </c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241"/>
      <c r="AA22" s="241">
        <f t="shared" si="25"/>
        <v>0</v>
      </c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241"/>
      <c r="AN22" s="241">
        <f t="shared" si="26"/>
        <v>0</v>
      </c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241"/>
      <c r="BA22" s="241">
        <f t="shared" si="28"/>
        <v>0</v>
      </c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241"/>
      <c r="BN22" s="241">
        <f t="shared" si="30"/>
        <v>0</v>
      </c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241"/>
      <c r="CA22" s="241">
        <f t="shared" si="32"/>
        <v>0</v>
      </c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241"/>
      <c r="CN22" s="241">
        <f t="shared" si="34"/>
        <v>0</v>
      </c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241"/>
      <c r="DA22" s="241">
        <f t="shared" si="36"/>
        <v>0</v>
      </c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241"/>
      <c r="DN22" s="241">
        <f t="shared" si="38"/>
        <v>0</v>
      </c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241"/>
      <c r="EA22" s="241">
        <f t="shared" si="40"/>
        <v>0</v>
      </c>
      <c r="EB22" s="151">
        <v>0</v>
      </c>
      <c r="EC22" s="151">
        <v>0</v>
      </c>
      <c r="ED22" s="151">
        <v>0</v>
      </c>
      <c r="EE22" s="151">
        <v>0</v>
      </c>
      <c r="EF22" s="151">
        <v>0</v>
      </c>
      <c r="EG22" s="151">
        <v>0</v>
      </c>
      <c r="EH22" s="151">
        <v>0</v>
      </c>
      <c r="EI22" s="151">
        <v>0</v>
      </c>
      <c r="EJ22" s="151">
        <v>1</v>
      </c>
      <c r="EK22" s="151">
        <v>0</v>
      </c>
      <c r="EL22" s="151">
        <v>0</v>
      </c>
      <c r="EM22" s="241">
        <v>2</v>
      </c>
      <c r="EN22" s="241">
        <f t="shared" si="53"/>
        <v>3</v>
      </c>
      <c r="EO22" s="151">
        <v>0</v>
      </c>
      <c r="EP22" s="151">
        <v>0</v>
      </c>
      <c r="EQ22" s="151">
        <v>0</v>
      </c>
      <c r="ER22" s="151">
        <v>0</v>
      </c>
      <c r="ES22" s="151">
        <v>0</v>
      </c>
      <c r="ET22" s="151">
        <v>0</v>
      </c>
      <c r="EU22" s="151">
        <v>0</v>
      </c>
      <c r="EV22" s="950">
        <v>0</v>
      </c>
      <c r="EX22" s="151"/>
      <c r="EY22" s="151"/>
      <c r="EZ22" s="241"/>
      <c r="FA22" s="241">
        <f t="shared" si="45"/>
        <v>0</v>
      </c>
      <c r="FC22" s="184" t="str">
        <f t="shared" si="46"/>
        <v/>
      </c>
      <c r="FD22" s="184" t="str">
        <f t="shared" si="47"/>
        <v/>
      </c>
      <c r="FE22" s="161">
        <f t="shared" si="48"/>
        <v>0</v>
      </c>
      <c r="FF22" s="161">
        <f t="shared" si="49"/>
        <v>0</v>
      </c>
    </row>
    <row r="23" spans="1:162" s="125" customFormat="1" ht="15" customHeight="1" x14ac:dyDescent="0.25">
      <c r="A23" s="401" t="s">
        <v>424</v>
      </c>
      <c r="B23" s="229">
        <f t="shared" ref="B23:AM23" si="67">SUM(B24:B25)</f>
        <v>2037</v>
      </c>
      <c r="C23" s="229">
        <f t="shared" si="67"/>
        <v>6256</v>
      </c>
      <c r="D23" s="229">
        <f t="shared" si="67"/>
        <v>997</v>
      </c>
      <c r="E23" s="229">
        <f t="shared" si="67"/>
        <v>1075</v>
      </c>
      <c r="F23" s="229">
        <f t="shared" si="67"/>
        <v>0</v>
      </c>
      <c r="G23" s="229">
        <f t="shared" si="67"/>
        <v>5910</v>
      </c>
      <c r="H23" s="229">
        <f t="shared" si="67"/>
        <v>2242</v>
      </c>
      <c r="I23" s="229">
        <f t="shared" si="67"/>
        <v>836</v>
      </c>
      <c r="J23" s="229">
        <f t="shared" si="67"/>
        <v>-482</v>
      </c>
      <c r="K23" s="229">
        <f t="shared" si="67"/>
        <v>0</v>
      </c>
      <c r="L23" s="229">
        <f t="shared" si="67"/>
        <v>1</v>
      </c>
      <c r="M23" s="268">
        <f t="shared" si="67"/>
        <v>0</v>
      </c>
      <c r="N23" s="268">
        <f t="shared" si="24"/>
        <v>18872</v>
      </c>
      <c r="O23" s="229">
        <f t="shared" si="67"/>
        <v>218</v>
      </c>
      <c r="P23" s="229">
        <f t="shared" si="67"/>
        <v>436</v>
      </c>
      <c r="Q23" s="229">
        <f t="shared" si="67"/>
        <v>9692</v>
      </c>
      <c r="R23" s="229">
        <f t="shared" si="67"/>
        <v>-3192</v>
      </c>
      <c r="S23" s="229">
        <f t="shared" si="67"/>
        <v>22916</v>
      </c>
      <c r="T23" s="229">
        <f t="shared" si="67"/>
        <v>36</v>
      </c>
      <c r="U23" s="229">
        <f t="shared" si="67"/>
        <v>10939</v>
      </c>
      <c r="V23" s="229">
        <f t="shared" si="67"/>
        <v>86</v>
      </c>
      <c r="W23" s="229">
        <f t="shared" si="67"/>
        <v>24351</v>
      </c>
      <c r="X23" s="229">
        <f t="shared" si="67"/>
        <v>8320</v>
      </c>
      <c r="Y23" s="229">
        <f t="shared" si="67"/>
        <v>20115</v>
      </c>
      <c r="Z23" s="268">
        <f t="shared" si="67"/>
        <v>3177</v>
      </c>
      <c r="AA23" s="268">
        <f t="shared" si="25"/>
        <v>97094</v>
      </c>
      <c r="AB23" s="229">
        <f t="shared" si="67"/>
        <v>3692</v>
      </c>
      <c r="AC23" s="229">
        <f t="shared" si="67"/>
        <v>43572</v>
      </c>
      <c r="AD23" s="229">
        <f t="shared" si="67"/>
        <v>2036</v>
      </c>
      <c r="AE23" s="229">
        <f t="shared" si="67"/>
        <v>2522</v>
      </c>
      <c r="AF23" s="229">
        <f t="shared" si="67"/>
        <v>-1383</v>
      </c>
      <c r="AG23" s="229">
        <f t="shared" si="67"/>
        <v>7746</v>
      </c>
      <c r="AH23" s="229">
        <f t="shared" si="67"/>
        <v>5514</v>
      </c>
      <c r="AI23" s="229">
        <f t="shared" si="67"/>
        <v>468</v>
      </c>
      <c r="AJ23" s="229">
        <f t="shared" si="67"/>
        <v>913</v>
      </c>
      <c r="AK23" s="229">
        <f t="shared" si="67"/>
        <v>1535</v>
      </c>
      <c r="AL23" s="229">
        <f t="shared" si="67"/>
        <v>1137</v>
      </c>
      <c r="AM23" s="268">
        <f t="shared" si="67"/>
        <v>-152</v>
      </c>
      <c r="AN23" s="268">
        <f t="shared" si="26"/>
        <v>67600</v>
      </c>
      <c r="AO23" s="229">
        <f t="shared" ref="AO23:AZ23" si="68">SUM(AO24:AO25)</f>
        <v>9030</v>
      </c>
      <c r="AP23" s="229">
        <f t="shared" si="68"/>
        <v>2257</v>
      </c>
      <c r="AQ23" s="229">
        <f t="shared" si="68"/>
        <v>8992</v>
      </c>
      <c r="AR23" s="229">
        <f t="shared" si="68"/>
        <v>-249</v>
      </c>
      <c r="AS23" s="229">
        <f t="shared" si="68"/>
        <v>624</v>
      </c>
      <c r="AT23" s="229">
        <f t="shared" si="68"/>
        <v>30515</v>
      </c>
      <c r="AU23" s="229">
        <f t="shared" si="68"/>
        <v>1613</v>
      </c>
      <c r="AV23" s="229">
        <f t="shared" si="68"/>
        <v>21085</v>
      </c>
      <c r="AW23" s="229">
        <f t="shared" si="68"/>
        <v>1072</v>
      </c>
      <c r="AX23" s="229">
        <f t="shared" si="68"/>
        <v>14</v>
      </c>
      <c r="AY23" s="229">
        <f t="shared" si="68"/>
        <v>11</v>
      </c>
      <c r="AZ23" s="268">
        <f t="shared" si="68"/>
        <v>51600</v>
      </c>
      <c r="BA23" s="268">
        <f t="shared" si="28"/>
        <v>126564</v>
      </c>
      <c r="BB23" s="229">
        <f t="shared" ref="BB23:BM23" si="69">SUM(BB24:BB25)</f>
        <v>30862</v>
      </c>
      <c r="BC23" s="229">
        <f t="shared" si="69"/>
        <v>3747</v>
      </c>
      <c r="BD23" s="229">
        <f t="shared" si="69"/>
        <v>34003</v>
      </c>
      <c r="BE23" s="229">
        <f t="shared" si="69"/>
        <v>304</v>
      </c>
      <c r="BF23" s="229">
        <f t="shared" si="69"/>
        <v>1166</v>
      </c>
      <c r="BG23" s="229">
        <f t="shared" si="69"/>
        <v>80365</v>
      </c>
      <c r="BH23" s="229">
        <f t="shared" si="69"/>
        <v>243</v>
      </c>
      <c r="BI23" s="229">
        <f t="shared" si="69"/>
        <v>15</v>
      </c>
      <c r="BJ23" s="229">
        <f t="shared" si="69"/>
        <v>2</v>
      </c>
      <c r="BK23" s="229">
        <f t="shared" si="69"/>
        <v>71680</v>
      </c>
      <c r="BL23" s="229">
        <f t="shared" si="69"/>
        <v>0</v>
      </c>
      <c r="BM23" s="268">
        <f t="shared" si="69"/>
        <v>32546</v>
      </c>
      <c r="BN23" s="268">
        <f t="shared" si="30"/>
        <v>254933</v>
      </c>
      <c r="BO23" s="229">
        <f t="shared" ref="BO23:BZ23" si="70">SUM(BO24:BO25)</f>
        <v>2073</v>
      </c>
      <c r="BP23" s="229">
        <f t="shared" si="70"/>
        <v>46683</v>
      </c>
      <c r="BQ23" s="229">
        <f t="shared" si="70"/>
        <v>2816</v>
      </c>
      <c r="BR23" s="229">
        <f t="shared" si="70"/>
        <v>904</v>
      </c>
      <c r="BS23" s="229">
        <f t="shared" si="70"/>
        <v>0</v>
      </c>
      <c r="BT23" s="229">
        <f t="shared" si="70"/>
        <v>373</v>
      </c>
      <c r="BU23" s="229">
        <f t="shared" si="70"/>
        <v>2910</v>
      </c>
      <c r="BV23" s="229">
        <f t="shared" si="70"/>
        <v>1605</v>
      </c>
      <c r="BW23" s="229">
        <f t="shared" si="70"/>
        <v>24801</v>
      </c>
      <c r="BX23" s="229">
        <f t="shared" si="70"/>
        <v>9380</v>
      </c>
      <c r="BY23" s="229">
        <f t="shared" si="70"/>
        <v>2357</v>
      </c>
      <c r="BZ23" s="268">
        <f t="shared" si="70"/>
        <v>23308</v>
      </c>
      <c r="CA23" s="268">
        <f t="shared" si="32"/>
        <v>117210</v>
      </c>
      <c r="CB23" s="229">
        <f t="shared" ref="CB23:CM23" si="71">SUM(CB24:CB25)</f>
        <v>50568</v>
      </c>
      <c r="CC23" s="229">
        <f t="shared" si="71"/>
        <v>15648</v>
      </c>
      <c r="CD23" s="229">
        <f t="shared" si="71"/>
        <v>1923</v>
      </c>
      <c r="CE23" s="229">
        <f t="shared" si="71"/>
        <v>4218</v>
      </c>
      <c r="CF23" s="229">
        <f t="shared" si="71"/>
        <v>14711</v>
      </c>
      <c r="CG23" s="229">
        <f t="shared" si="71"/>
        <v>19600</v>
      </c>
      <c r="CH23" s="229">
        <f t="shared" si="71"/>
        <v>23929</v>
      </c>
      <c r="CI23" s="229">
        <f t="shared" si="71"/>
        <v>34596</v>
      </c>
      <c r="CJ23" s="229">
        <f t="shared" si="71"/>
        <v>23085</v>
      </c>
      <c r="CK23" s="229">
        <f t="shared" si="71"/>
        <v>19054</v>
      </c>
      <c r="CL23" s="229">
        <f t="shared" si="71"/>
        <v>21991</v>
      </c>
      <c r="CM23" s="268">
        <f t="shared" si="71"/>
        <v>51396</v>
      </c>
      <c r="CN23" s="268">
        <f t="shared" si="34"/>
        <v>280719</v>
      </c>
      <c r="CO23" s="229">
        <f t="shared" ref="CO23:CZ23" si="72">SUM(CO24:CO25)</f>
        <v>87891</v>
      </c>
      <c r="CP23" s="229">
        <f t="shared" si="72"/>
        <v>-13429</v>
      </c>
      <c r="CQ23" s="229">
        <f t="shared" si="72"/>
        <v>8730</v>
      </c>
      <c r="CR23" s="229">
        <f t="shared" si="72"/>
        <v>13976</v>
      </c>
      <c r="CS23" s="229">
        <f t="shared" si="72"/>
        <v>15993</v>
      </c>
      <c r="CT23" s="229">
        <f t="shared" si="72"/>
        <v>1731</v>
      </c>
      <c r="CU23" s="229">
        <f t="shared" si="72"/>
        <v>676</v>
      </c>
      <c r="CV23" s="229">
        <f t="shared" si="72"/>
        <v>13128</v>
      </c>
      <c r="CW23" s="229">
        <f t="shared" si="72"/>
        <v>-1326</v>
      </c>
      <c r="CX23" s="229">
        <f t="shared" si="72"/>
        <v>421</v>
      </c>
      <c r="CY23" s="229">
        <f t="shared" si="72"/>
        <v>42</v>
      </c>
      <c r="CZ23" s="268">
        <f t="shared" si="72"/>
        <v>6552</v>
      </c>
      <c r="DA23" s="268">
        <f t="shared" si="36"/>
        <v>134385</v>
      </c>
      <c r="DB23" s="229">
        <f t="shared" ref="DB23:DM23" si="73">SUM(DB24:DB25)</f>
        <v>125859</v>
      </c>
      <c r="DC23" s="229">
        <f t="shared" si="73"/>
        <v>26783</v>
      </c>
      <c r="DD23" s="229">
        <f t="shared" si="73"/>
        <v>5207</v>
      </c>
      <c r="DE23" s="229">
        <f t="shared" si="73"/>
        <v>-80467</v>
      </c>
      <c r="DF23" s="229">
        <f t="shared" si="73"/>
        <v>912</v>
      </c>
      <c r="DG23" s="229">
        <f t="shared" si="73"/>
        <v>82528</v>
      </c>
      <c r="DH23" s="229">
        <f t="shared" si="73"/>
        <v>175</v>
      </c>
      <c r="DI23" s="229">
        <f t="shared" si="73"/>
        <v>-5004</v>
      </c>
      <c r="DJ23" s="229">
        <f t="shared" si="73"/>
        <v>-32</v>
      </c>
      <c r="DK23" s="229">
        <f t="shared" si="73"/>
        <v>-24073</v>
      </c>
      <c r="DL23" s="229">
        <f t="shared" si="73"/>
        <v>-263</v>
      </c>
      <c r="DM23" s="268">
        <f t="shared" si="73"/>
        <v>-548</v>
      </c>
      <c r="DN23" s="268">
        <f t="shared" si="38"/>
        <v>131077</v>
      </c>
      <c r="DO23" s="229">
        <f t="shared" ref="DO23:DZ23" si="74">SUM(DO24:DO25)</f>
        <v>69042</v>
      </c>
      <c r="DP23" s="229">
        <f t="shared" si="74"/>
        <v>8930</v>
      </c>
      <c r="DQ23" s="229">
        <f t="shared" si="74"/>
        <v>2288</v>
      </c>
      <c r="DR23" s="229">
        <f t="shared" si="74"/>
        <v>-262</v>
      </c>
      <c r="DS23" s="229">
        <f t="shared" si="74"/>
        <v>305</v>
      </c>
      <c r="DT23" s="229">
        <f t="shared" si="74"/>
        <v>6370</v>
      </c>
      <c r="DU23" s="229">
        <f t="shared" si="74"/>
        <v>20524</v>
      </c>
      <c r="DV23" s="229">
        <f t="shared" si="74"/>
        <v>-4208</v>
      </c>
      <c r="DW23" s="229">
        <f t="shared" si="74"/>
        <v>30705</v>
      </c>
      <c r="DX23" s="229">
        <f t="shared" si="74"/>
        <v>21664</v>
      </c>
      <c r="DY23" s="229">
        <f t="shared" si="74"/>
        <v>-1310</v>
      </c>
      <c r="DZ23" s="268">
        <f t="shared" si="74"/>
        <v>1965</v>
      </c>
      <c r="EA23" s="268">
        <f t="shared" si="40"/>
        <v>156013</v>
      </c>
      <c r="EB23" s="229">
        <f t="shared" ref="EB23:EM23" si="75">SUM(EB24:EB25)</f>
        <v>9569</v>
      </c>
      <c r="EC23" s="229">
        <f t="shared" si="75"/>
        <v>1030</v>
      </c>
      <c r="ED23" s="229">
        <f t="shared" si="75"/>
        <v>1918</v>
      </c>
      <c r="EE23" s="229">
        <f t="shared" si="75"/>
        <v>0</v>
      </c>
      <c r="EF23" s="229">
        <f t="shared" si="75"/>
        <v>-436</v>
      </c>
      <c r="EG23" s="229">
        <f t="shared" si="75"/>
        <v>318</v>
      </c>
      <c r="EH23" s="229">
        <f t="shared" si="75"/>
        <v>122</v>
      </c>
      <c r="EI23" s="229">
        <f t="shared" si="75"/>
        <v>0</v>
      </c>
      <c r="EJ23" s="229">
        <f t="shared" si="75"/>
        <v>53315</v>
      </c>
      <c r="EK23" s="229">
        <f t="shared" si="75"/>
        <v>-2</v>
      </c>
      <c r="EL23" s="229">
        <f t="shared" si="75"/>
        <v>362</v>
      </c>
      <c r="EM23" s="268">
        <f t="shared" si="75"/>
        <v>3841</v>
      </c>
      <c r="EN23" s="268">
        <f>SUM(EB23:EM23)</f>
        <v>70037</v>
      </c>
      <c r="EO23" s="229">
        <f t="shared" ref="EO23:ER23" si="76">SUM(EO24:EO25)</f>
        <v>42511</v>
      </c>
      <c r="EP23" s="229">
        <f t="shared" si="76"/>
        <v>3086</v>
      </c>
      <c r="EQ23" s="229">
        <f t="shared" si="76"/>
        <v>969</v>
      </c>
      <c r="ER23" s="229">
        <f t="shared" si="76"/>
        <v>708</v>
      </c>
      <c r="ES23" s="229">
        <f>SUM(ES24:ES25)</f>
        <v>0</v>
      </c>
      <c r="ET23" s="229">
        <f t="shared" ref="ET23" si="77">SUM(ET24:ET25)</f>
        <v>428</v>
      </c>
      <c r="EU23" s="229">
        <v>520</v>
      </c>
      <c r="EV23" s="952">
        <f>SUM(EV24:EV25)</f>
        <v>549</v>
      </c>
      <c r="EX23" s="229"/>
      <c r="EY23" s="229"/>
      <c r="EZ23" s="268"/>
      <c r="FA23" s="268">
        <f>SUM(EO23:EZ23)</f>
        <v>48771</v>
      </c>
      <c r="FB23" s="110"/>
      <c r="FC23" s="379" t="str">
        <f t="shared" si="46"/>
        <v/>
      </c>
      <c r="FD23" s="379">
        <f t="shared" si="47"/>
        <v>289.51361712323296</v>
      </c>
      <c r="FE23" s="235">
        <f t="shared" si="48"/>
        <v>12521</v>
      </c>
      <c r="FF23" s="235">
        <f>SUMIFS($B23:$FA23,$B$5:$FA$5,"&gt;="&amp;DATE(YEAR($FC$5),1,1),$B$5:$FA$5,"&lt;="&amp;$FC$5)</f>
        <v>48771</v>
      </c>
    </row>
    <row r="24" spans="1:162" ht="15" customHeight="1" x14ac:dyDescent="0.25">
      <c r="A24" s="403" t="s">
        <v>425</v>
      </c>
      <c r="B24" s="151"/>
      <c r="C24" s="151"/>
      <c r="D24" s="151"/>
      <c r="E24" s="151"/>
      <c r="F24" s="151"/>
      <c r="G24" s="151"/>
      <c r="H24" s="151">
        <v>1783</v>
      </c>
      <c r="I24" s="151"/>
      <c r="J24" s="151"/>
      <c r="K24" s="151"/>
      <c r="L24" s="151"/>
      <c r="M24" s="241"/>
      <c r="N24" s="241">
        <f t="shared" si="24"/>
        <v>1783</v>
      </c>
      <c r="O24" s="151"/>
      <c r="P24" s="151"/>
      <c r="Q24" s="151"/>
      <c r="R24" s="151"/>
      <c r="S24" s="151">
        <v>22916</v>
      </c>
      <c r="T24" s="151"/>
      <c r="U24" s="151">
        <v>10095</v>
      </c>
      <c r="V24" s="151"/>
      <c r="W24" s="151">
        <v>24330</v>
      </c>
      <c r="X24" s="151">
        <v>8320</v>
      </c>
      <c r="Y24" s="151">
        <v>20207</v>
      </c>
      <c r="Z24" s="241">
        <v>3142</v>
      </c>
      <c r="AA24" s="241">
        <f t="shared" si="25"/>
        <v>89010</v>
      </c>
      <c r="AB24" s="151">
        <v>791</v>
      </c>
      <c r="AC24" s="151"/>
      <c r="AD24" s="151"/>
      <c r="AE24" s="151">
        <v>2095</v>
      </c>
      <c r="AF24" s="151">
        <v>917</v>
      </c>
      <c r="AG24" s="151">
        <v>1630</v>
      </c>
      <c r="AH24" s="151">
        <v>5614</v>
      </c>
      <c r="AI24" s="151">
        <v>467</v>
      </c>
      <c r="AJ24" s="151">
        <v>734</v>
      </c>
      <c r="AK24" s="151">
        <v>1535</v>
      </c>
      <c r="AL24" s="151">
        <v>1137</v>
      </c>
      <c r="AM24" s="241">
        <v>1372</v>
      </c>
      <c r="AN24" s="241">
        <f t="shared" si="26"/>
        <v>16292</v>
      </c>
      <c r="AO24" s="151"/>
      <c r="AP24" s="151"/>
      <c r="AQ24" s="151">
        <v>8146</v>
      </c>
      <c r="AR24" s="151">
        <v>149</v>
      </c>
      <c r="AS24" s="151">
        <v>957</v>
      </c>
      <c r="AT24" s="151">
        <v>29284</v>
      </c>
      <c r="AU24" s="151">
        <v>-660</v>
      </c>
      <c r="AV24" s="151">
        <f>22610</f>
        <v>22610</v>
      </c>
      <c r="AW24" s="151"/>
      <c r="AX24" s="151"/>
      <c r="AY24" s="151"/>
      <c r="AZ24" s="241">
        <v>50705</v>
      </c>
      <c r="BA24" s="241">
        <f t="shared" si="28"/>
        <v>111191</v>
      </c>
      <c r="BB24" s="151"/>
      <c r="BC24" s="151">
        <v>-20</v>
      </c>
      <c r="BD24" s="151">
        <v>35874</v>
      </c>
      <c r="BE24" s="151"/>
      <c r="BF24" s="151"/>
      <c r="BG24" s="151">
        <v>80210</v>
      </c>
      <c r="BH24" s="151"/>
      <c r="BI24" s="151"/>
      <c r="BJ24" s="151"/>
      <c r="BK24" s="151">
        <v>71680</v>
      </c>
      <c r="BL24" s="151"/>
      <c r="BM24" s="241">
        <v>31315</v>
      </c>
      <c r="BN24" s="241">
        <f t="shared" si="30"/>
        <v>219059</v>
      </c>
      <c r="BO24" s="151"/>
      <c r="BP24" s="151"/>
      <c r="BQ24" s="151"/>
      <c r="BR24" s="151"/>
      <c r="BS24" s="151"/>
      <c r="BT24" s="151">
        <v>349</v>
      </c>
      <c r="BU24" s="151">
        <v>2736</v>
      </c>
      <c r="BV24" s="151">
        <v>1603</v>
      </c>
      <c r="BW24" s="151">
        <v>25323</v>
      </c>
      <c r="BX24" s="151">
        <v>9552</v>
      </c>
      <c r="BY24" s="151">
        <v>2357</v>
      </c>
      <c r="BZ24" s="241">
        <v>22360</v>
      </c>
      <c r="CA24" s="241">
        <f t="shared" si="32"/>
        <v>64280</v>
      </c>
      <c r="CB24" s="151"/>
      <c r="CC24" s="151">
        <v>13598</v>
      </c>
      <c r="CD24" s="151">
        <v>2094</v>
      </c>
      <c r="CE24" s="151">
        <v>4152</v>
      </c>
      <c r="CF24" s="151">
        <v>14217</v>
      </c>
      <c r="CG24" s="151">
        <v>20276</v>
      </c>
      <c r="CH24" s="151">
        <v>23181</v>
      </c>
      <c r="CI24" s="151">
        <v>34846</v>
      </c>
      <c r="CJ24" s="151">
        <v>23056</v>
      </c>
      <c r="CK24" s="151">
        <v>18672</v>
      </c>
      <c r="CL24" s="151">
        <v>21990</v>
      </c>
      <c r="CM24" s="241">
        <v>54844</v>
      </c>
      <c r="CN24" s="241">
        <f t="shared" si="34"/>
        <v>230926</v>
      </c>
      <c r="CO24" s="151">
        <v>33033</v>
      </c>
      <c r="CP24" s="151">
        <v>-14875</v>
      </c>
      <c r="CQ24" s="151">
        <v>4765</v>
      </c>
      <c r="CR24" s="151">
        <v>13977</v>
      </c>
      <c r="CS24" s="151">
        <v>11355</v>
      </c>
      <c r="CT24" s="151">
        <v>1731</v>
      </c>
      <c r="CU24" s="151">
        <v>2467</v>
      </c>
      <c r="CV24" s="151">
        <v>11290</v>
      </c>
      <c r="CW24" s="151">
        <v>490</v>
      </c>
      <c r="CX24" s="151">
        <v>271</v>
      </c>
      <c r="CY24" s="151">
        <v>1897</v>
      </c>
      <c r="CZ24" s="241">
        <v>4028</v>
      </c>
      <c r="DA24" s="241">
        <f t="shared" si="36"/>
        <v>70429</v>
      </c>
      <c r="DB24" s="151">
        <v>878</v>
      </c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241">
        <v>-463</v>
      </c>
      <c r="DN24" s="241">
        <f t="shared" si="38"/>
        <v>415</v>
      </c>
      <c r="DO24" s="151">
        <v>24515</v>
      </c>
      <c r="DP24" s="151"/>
      <c r="DQ24" s="151"/>
      <c r="DR24" s="151"/>
      <c r="DS24" s="151"/>
      <c r="DT24" s="151"/>
      <c r="DU24" s="151">
        <v>20524</v>
      </c>
      <c r="DV24" s="151"/>
      <c r="DW24" s="151">
        <v>29395</v>
      </c>
      <c r="DX24" s="151">
        <v>21649</v>
      </c>
      <c r="DY24" s="151">
        <v>-1310</v>
      </c>
      <c r="DZ24" s="241"/>
      <c r="EA24" s="241">
        <f t="shared" si="40"/>
        <v>94773</v>
      </c>
      <c r="EB24" s="151">
        <v>0</v>
      </c>
      <c r="EC24" s="151">
        <v>0</v>
      </c>
      <c r="ED24" s="151">
        <v>0</v>
      </c>
      <c r="EE24" s="151">
        <v>0</v>
      </c>
      <c r="EF24" s="151">
        <v>0</v>
      </c>
      <c r="EG24" s="151">
        <v>0</v>
      </c>
      <c r="EH24" s="151">
        <v>0</v>
      </c>
      <c r="EI24" s="151">
        <v>0</v>
      </c>
      <c r="EJ24" s="151">
        <v>53322</v>
      </c>
      <c r="EK24" s="151">
        <v>0</v>
      </c>
      <c r="EL24" s="151">
        <v>0</v>
      </c>
      <c r="EM24" s="241">
        <v>3777</v>
      </c>
      <c r="EN24" s="241">
        <f t="shared" ref="EN24:EN25" si="78">SUM(EB24:EM24)</f>
        <v>57099</v>
      </c>
      <c r="EO24" s="151">
        <v>3777</v>
      </c>
      <c r="EP24" s="151">
        <v>0</v>
      </c>
      <c r="EQ24" s="151">
        <v>0</v>
      </c>
      <c r="ER24" s="151">
        <v>685</v>
      </c>
      <c r="ES24" s="151">
        <v>0</v>
      </c>
      <c r="ET24" s="151">
        <v>428</v>
      </c>
      <c r="EU24" s="151">
        <v>620</v>
      </c>
      <c r="EV24" s="950">
        <v>425</v>
      </c>
      <c r="EX24" s="151"/>
      <c r="EY24" s="151"/>
      <c r="EZ24" s="241"/>
      <c r="FA24" s="241">
        <f t="shared" si="45"/>
        <v>5935</v>
      </c>
      <c r="FC24" s="184" t="str">
        <f t="shared" si="46"/>
        <v/>
      </c>
      <c r="FD24" s="184" t="str">
        <f t="shared" si="47"/>
        <v/>
      </c>
      <c r="FE24" s="161">
        <f t="shared" si="48"/>
        <v>0</v>
      </c>
      <c r="FF24" s="161">
        <f>SUMIFS($B24:$FA24,$B$5:$FA$5,"&gt;="&amp;DATE(YEAR($FC$5),1,1),$B$5:$FA$5,"&lt;="&amp;$FC$5)</f>
        <v>5935</v>
      </c>
    </row>
    <row r="25" spans="1:162" ht="15" customHeight="1" x14ac:dyDescent="0.25">
      <c r="A25" s="403" t="s">
        <v>426</v>
      </c>
      <c r="B25" s="151">
        <v>2037</v>
      </c>
      <c r="C25" s="151">
        <v>6256</v>
      </c>
      <c r="D25" s="151">
        <v>997</v>
      </c>
      <c r="E25" s="151">
        <v>1075</v>
      </c>
      <c r="F25" s="151"/>
      <c r="G25" s="151">
        <v>5910</v>
      </c>
      <c r="H25" s="151">
        <v>459</v>
      </c>
      <c r="I25" s="151">
        <v>836</v>
      </c>
      <c r="J25" s="151">
        <v>-482</v>
      </c>
      <c r="K25" s="151"/>
      <c r="L25" s="151">
        <v>1</v>
      </c>
      <c r="M25" s="241"/>
      <c r="N25" s="241">
        <f t="shared" si="24"/>
        <v>17089</v>
      </c>
      <c r="O25" s="151">
        <v>218</v>
      </c>
      <c r="P25" s="151">
        <v>436</v>
      </c>
      <c r="Q25" s="151">
        <v>9692</v>
      </c>
      <c r="R25" s="151">
        <v>-3192</v>
      </c>
      <c r="S25" s="151"/>
      <c r="T25" s="151">
        <v>36</v>
      </c>
      <c r="U25" s="151">
        <v>844</v>
      </c>
      <c r="V25" s="151">
        <v>86</v>
      </c>
      <c r="W25" s="151">
        <v>21</v>
      </c>
      <c r="X25" s="151"/>
      <c r="Y25" s="151">
        <v>-92</v>
      </c>
      <c r="Z25" s="241">
        <v>35</v>
      </c>
      <c r="AA25" s="241">
        <f t="shared" si="25"/>
        <v>8084</v>
      </c>
      <c r="AB25" s="151">
        <v>2901</v>
      </c>
      <c r="AC25" s="151">
        <v>43572</v>
      </c>
      <c r="AD25" s="151">
        <v>2036</v>
      </c>
      <c r="AE25" s="151">
        <v>427</v>
      </c>
      <c r="AF25" s="151">
        <v>-2300</v>
      </c>
      <c r="AG25" s="151">
        <v>6116</v>
      </c>
      <c r="AH25" s="151">
        <v>-100</v>
      </c>
      <c r="AI25" s="151">
        <v>1</v>
      </c>
      <c r="AJ25" s="151">
        <v>179</v>
      </c>
      <c r="AK25" s="151"/>
      <c r="AL25" s="151"/>
      <c r="AM25" s="241">
        <v>-1524</v>
      </c>
      <c r="AN25" s="241">
        <f t="shared" si="26"/>
        <v>51308</v>
      </c>
      <c r="AO25" s="151">
        <v>9030</v>
      </c>
      <c r="AP25" s="151">
        <v>2257</v>
      </c>
      <c r="AQ25" s="151">
        <v>846</v>
      </c>
      <c r="AR25" s="151">
        <v>-398</v>
      </c>
      <c r="AS25" s="151">
        <v>-333</v>
      </c>
      <c r="AT25" s="151">
        <v>1231</v>
      </c>
      <c r="AU25" s="151">
        <v>2273</v>
      </c>
      <c r="AV25" s="151">
        <v>-1525</v>
      </c>
      <c r="AW25" s="151">
        <v>1072</v>
      </c>
      <c r="AX25" s="151">
        <v>14</v>
      </c>
      <c r="AY25" s="151">
        <v>11</v>
      </c>
      <c r="AZ25" s="241">
        <v>895</v>
      </c>
      <c r="BA25" s="241">
        <f t="shared" si="28"/>
        <v>15373</v>
      </c>
      <c r="BB25" s="151">
        <v>30862</v>
      </c>
      <c r="BC25" s="151">
        <v>3767</v>
      </c>
      <c r="BD25" s="151">
        <v>-1871</v>
      </c>
      <c r="BE25" s="151">
        <v>304</v>
      </c>
      <c r="BF25" s="151">
        <v>1166</v>
      </c>
      <c r="BG25" s="151">
        <v>155</v>
      </c>
      <c r="BH25" s="151">
        <v>243</v>
      </c>
      <c r="BI25" s="151">
        <v>15</v>
      </c>
      <c r="BJ25" s="151">
        <v>2</v>
      </c>
      <c r="BK25" s="151"/>
      <c r="BL25" s="151"/>
      <c r="BM25" s="241">
        <v>1231</v>
      </c>
      <c r="BN25" s="241">
        <f t="shared" si="30"/>
        <v>35874</v>
      </c>
      <c r="BO25" s="151">
        <v>2073</v>
      </c>
      <c r="BP25" s="151">
        <v>46683</v>
      </c>
      <c r="BQ25" s="151">
        <v>2816</v>
      </c>
      <c r="BR25" s="151">
        <v>904</v>
      </c>
      <c r="BS25" s="151"/>
      <c r="BT25" s="151">
        <v>24</v>
      </c>
      <c r="BU25" s="151">
        <v>174</v>
      </c>
      <c r="BV25" s="151">
        <v>2</v>
      </c>
      <c r="BW25" s="151">
        <v>-522</v>
      </c>
      <c r="BX25" s="151">
        <v>-172</v>
      </c>
      <c r="BY25" s="151"/>
      <c r="BZ25" s="241">
        <v>948</v>
      </c>
      <c r="CA25" s="241">
        <f t="shared" si="32"/>
        <v>52930</v>
      </c>
      <c r="CB25" s="151">
        <v>50568</v>
      </c>
      <c r="CC25" s="151">
        <v>2050</v>
      </c>
      <c r="CD25" s="151">
        <v>-171</v>
      </c>
      <c r="CE25" s="151">
        <v>66</v>
      </c>
      <c r="CF25" s="151">
        <v>494</v>
      </c>
      <c r="CG25" s="151">
        <v>-676</v>
      </c>
      <c r="CH25" s="151">
        <v>748</v>
      </c>
      <c r="CI25" s="151">
        <v>-250</v>
      </c>
      <c r="CJ25" s="151">
        <v>29</v>
      </c>
      <c r="CK25" s="151">
        <v>382</v>
      </c>
      <c r="CL25" s="151">
        <v>1</v>
      </c>
      <c r="CM25" s="241">
        <v>-3448</v>
      </c>
      <c r="CN25" s="241">
        <f t="shared" si="34"/>
        <v>49793</v>
      </c>
      <c r="CO25" s="151">
        <v>54858</v>
      </c>
      <c r="CP25" s="151">
        <v>1446</v>
      </c>
      <c r="CQ25" s="151">
        <v>3965</v>
      </c>
      <c r="CR25" s="151">
        <v>-1</v>
      </c>
      <c r="CS25" s="151">
        <v>4638</v>
      </c>
      <c r="CT25" s="151"/>
      <c r="CU25" s="151">
        <v>-1791</v>
      </c>
      <c r="CV25" s="151">
        <v>1838</v>
      </c>
      <c r="CW25" s="151">
        <v>-1816</v>
      </c>
      <c r="CX25" s="151">
        <v>150</v>
      </c>
      <c r="CY25" s="151">
        <v>-1855</v>
      </c>
      <c r="CZ25" s="241">
        <v>2524</v>
      </c>
      <c r="DA25" s="241">
        <f t="shared" si="36"/>
        <v>63956</v>
      </c>
      <c r="DB25" s="151">
        <v>124981</v>
      </c>
      <c r="DC25" s="151">
        <v>26783</v>
      </c>
      <c r="DD25" s="151">
        <v>5207</v>
      </c>
      <c r="DE25" s="151">
        <v>-80467</v>
      </c>
      <c r="DF25" s="151">
        <v>912</v>
      </c>
      <c r="DG25" s="151">
        <v>82528</v>
      </c>
      <c r="DH25" s="151">
        <v>175</v>
      </c>
      <c r="DI25" s="151">
        <v>-5004</v>
      </c>
      <c r="DJ25" s="151">
        <v>-32</v>
      </c>
      <c r="DK25" s="151">
        <v>-24073</v>
      </c>
      <c r="DL25" s="151">
        <v>-263</v>
      </c>
      <c r="DM25" s="241">
        <v>-85</v>
      </c>
      <c r="DN25" s="241">
        <f t="shared" si="38"/>
        <v>130662</v>
      </c>
      <c r="DO25" s="151">
        <v>44527</v>
      </c>
      <c r="DP25" s="151">
        <v>8930</v>
      </c>
      <c r="DQ25" s="151">
        <v>2288</v>
      </c>
      <c r="DR25" s="151">
        <v>-262</v>
      </c>
      <c r="DS25" s="151">
        <v>305</v>
      </c>
      <c r="DT25" s="151">
        <v>6370</v>
      </c>
      <c r="DU25" s="151"/>
      <c r="DV25" s="151">
        <v>-4208</v>
      </c>
      <c r="DW25" s="151">
        <v>1310</v>
      </c>
      <c r="DX25" s="151">
        <v>15</v>
      </c>
      <c r="DY25" s="151"/>
      <c r="DZ25" s="241">
        <v>1965</v>
      </c>
      <c r="EA25" s="241">
        <f t="shared" si="40"/>
        <v>61240</v>
      </c>
      <c r="EB25" s="151">
        <v>9569</v>
      </c>
      <c r="EC25" s="151">
        <v>1030</v>
      </c>
      <c r="ED25" s="151">
        <v>1918</v>
      </c>
      <c r="EE25" s="151">
        <v>0</v>
      </c>
      <c r="EF25" s="151">
        <v>-436</v>
      </c>
      <c r="EG25" s="151">
        <v>318</v>
      </c>
      <c r="EH25" s="151">
        <v>122</v>
      </c>
      <c r="EI25" s="151">
        <v>0</v>
      </c>
      <c r="EJ25" s="151">
        <v>-7</v>
      </c>
      <c r="EK25" s="151">
        <v>-2</v>
      </c>
      <c r="EL25" s="151">
        <v>362</v>
      </c>
      <c r="EM25" s="241">
        <v>64</v>
      </c>
      <c r="EN25" s="241">
        <f t="shared" si="78"/>
        <v>12938</v>
      </c>
      <c r="EO25" s="151">
        <v>38734</v>
      </c>
      <c r="EP25" s="151">
        <v>3086</v>
      </c>
      <c r="EQ25" s="151">
        <v>969</v>
      </c>
      <c r="ER25" s="151">
        <v>23</v>
      </c>
      <c r="ES25" s="151">
        <v>0</v>
      </c>
      <c r="ET25" s="151">
        <v>0</v>
      </c>
      <c r="EU25" s="151">
        <v>-100</v>
      </c>
      <c r="EV25" s="950">
        <v>124</v>
      </c>
      <c r="EX25" s="151"/>
      <c r="EY25" s="151"/>
      <c r="EZ25" s="241"/>
      <c r="FA25" s="241">
        <f t="shared" si="45"/>
        <v>42836</v>
      </c>
      <c r="FC25" s="184" t="str">
        <f t="shared" si="46"/>
        <v/>
      </c>
      <c r="FD25" s="184">
        <f t="shared" si="47"/>
        <v>242.11324974043609</v>
      </c>
      <c r="FE25" s="161">
        <f t="shared" si="48"/>
        <v>12521</v>
      </c>
      <c r="FF25" s="161">
        <f t="shared" si="49"/>
        <v>42836</v>
      </c>
    </row>
    <row r="26" spans="1:162" ht="15" customHeight="1" x14ac:dyDescent="0.25">
      <c r="A26" s="138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241"/>
      <c r="N26" s="24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241"/>
      <c r="AA26" s="24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241"/>
      <c r="AN26" s="24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241"/>
      <c r="BA26" s="24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241"/>
      <c r="BN26" s="24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241"/>
      <c r="CA26" s="24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241"/>
      <c r="CN26" s="24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241"/>
      <c r="DA26" s="241"/>
      <c r="DB26" s="151"/>
      <c r="DC26" s="151"/>
      <c r="DD26" s="151"/>
      <c r="DE26" s="151"/>
      <c r="DF26" s="151"/>
      <c r="DG26" s="151"/>
      <c r="DH26" s="151"/>
      <c r="DI26" s="151"/>
      <c r="DJ26" s="151"/>
      <c r="DK26" s="151"/>
      <c r="DL26" s="151"/>
      <c r="DM26" s="241"/>
      <c r="DN26" s="241"/>
      <c r="DO26" s="151"/>
      <c r="DP26" s="151"/>
      <c r="DQ26" s="151"/>
      <c r="DR26" s="151"/>
      <c r="DS26" s="151"/>
      <c r="DT26" s="151"/>
      <c r="DU26" s="151"/>
      <c r="DV26" s="151"/>
      <c r="DW26" s="151"/>
      <c r="DX26" s="151"/>
      <c r="DY26" s="151"/>
      <c r="DZ26" s="241"/>
      <c r="EA26" s="241"/>
      <c r="EB26" s="151"/>
      <c r="EC26" s="151"/>
      <c r="ED26" s="151"/>
      <c r="EE26" s="151"/>
      <c r="EF26" s="151"/>
      <c r="EG26" s="151"/>
      <c r="EH26" s="151"/>
      <c r="EI26" s="151"/>
      <c r="EJ26" s="151"/>
      <c r="EK26" s="151"/>
      <c r="EL26" s="151"/>
      <c r="EM26" s="241"/>
      <c r="EN26" s="241"/>
      <c r="EO26" s="151"/>
      <c r="EP26" s="151"/>
      <c r="EQ26" s="151"/>
      <c r="ER26" s="151"/>
      <c r="ES26" s="151"/>
      <c r="ET26" s="151"/>
      <c r="EU26" s="151"/>
      <c r="EV26" s="950"/>
      <c r="EX26" s="151"/>
      <c r="EY26" s="151"/>
      <c r="EZ26" s="241"/>
      <c r="FA26" s="241"/>
      <c r="FC26" s="184" t="str">
        <f t="shared" si="46"/>
        <v/>
      </c>
      <c r="FD26" s="184"/>
      <c r="FE26" s="161">
        <f t="shared" si="48"/>
        <v>0</v>
      </c>
      <c r="FF26" s="161"/>
    </row>
    <row r="27" spans="1:162" s="215" customFormat="1" ht="15" customHeight="1" x14ac:dyDescent="0.25">
      <c r="A27" s="141" t="s">
        <v>427</v>
      </c>
      <c r="B27" s="147">
        <f t="shared" ref="B27:AM27" si="79">SUM(B28:B31)</f>
        <v>6173</v>
      </c>
      <c r="C27" s="147">
        <f t="shared" si="79"/>
        <v>9426</v>
      </c>
      <c r="D27" s="147">
        <f t="shared" si="79"/>
        <v>24302</v>
      </c>
      <c r="E27" s="147">
        <f t="shared" si="79"/>
        <v>8164</v>
      </c>
      <c r="F27" s="147">
        <f t="shared" si="79"/>
        <v>5983</v>
      </c>
      <c r="G27" s="147">
        <f t="shared" si="79"/>
        <v>12362</v>
      </c>
      <c r="H27" s="147">
        <f t="shared" si="79"/>
        <v>8851</v>
      </c>
      <c r="I27" s="147">
        <f t="shared" si="79"/>
        <v>9198</v>
      </c>
      <c r="J27" s="147">
        <f t="shared" si="79"/>
        <v>7644</v>
      </c>
      <c r="K27" s="147">
        <f t="shared" si="79"/>
        <v>-3405</v>
      </c>
      <c r="L27" s="147">
        <f t="shared" si="79"/>
        <v>7047</v>
      </c>
      <c r="M27" s="273">
        <f t="shared" si="79"/>
        <v>3026</v>
      </c>
      <c r="N27" s="273">
        <f>SUM(B27:M27)</f>
        <v>98771</v>
      </c>
      <c r="O27" s="147">
        <f t="shared" si="79"/>
        <v>7417</v>
      </c>
      <c r="P27" s="147">
        <f t="shared" si="79"/>
        <v>7964</v>
      </c>
      <c r="Q27" s="147">
        <f t="shared" si="79"/>
        <v>16544</v>
      </c>
      <c r="R27" s="147">
        <f t="shared" si="79"/>
        <v>4434</v>
      </c>
      <c r="S27" s="147">
        <f t="shared" si="79"/>
        <v>25852</v>
      </c>
      <c r="T27" s="147">
        <f t="shared" si="79"/>
        <v>7397</v>
      </c>
      <c r="U27" s="147">
        <f t="shared" si="79"/>
        <v>16692</v>
      </c>
      <c r="V27" s="147">
        <f t="shared" si="79"/>
        <v>4321</v>
      </c>
      <c r="W27" s="147">
        <f t="shared" si="79"/>
        <v>28639</v>
      </c>
      <c r="X27" s="147">
        <f t="shared" si="79"/>
        <v>10093</v>
      </c>
      <c r="Y27" s="147">
        <f t="shared" si="79"/>
        <v>23410</v>
      </c>
      <c r="Z27" s="273">
        <f t="shared" si="79"/>
        <v>8466</v>
      </c>
      <c r="AA27" s="273">
        <f>SUM(O27:Z27)</f>
        <v>161229</v>
      </c>
      <c r="AB27" s="147">
        <f t="shared" si="79"/>
        <v>5937</v>
      </c>
      <c r="AC27" s="147">
        <f t="shared" si="79"/>
        <v>50432</v>
      </c>
      <c r="AD27" s="147">
        <f t="shared" si="79"/>
        <v>16412</v>
      </c>
      <c r="AE27" s="147">
        <f t="shared" si="79"/>
        <v>5815</v>
      </c>
      <c r="AF27" s="147">
        <f t="shared" si="79"/>
        <v>-341</v>
      </c>
      <c r="AG27" s="147">
        <f t="shared" si="79"/>
        <v>13206</v>
      </c>
      <c r="AH27" s="147">
        <f t="shared" si="79"/>
        <v>11149</v>
      </c>
      <c r="AI27" s="147">
        <f t="shared" si="79"/>
        <v>6377</v>
      </c>
      <c r="AJ27" s="147">
        <f t="shared" si="79"/>
        <v>3964</v>
      </c>
      <c r="AK27" s="147">
        <f t="shared" si="79"/>
        <v>10015</v>
      </c>
      <c r="AL27" s="147">
        <f t="shared" si="79"/>
        <v>7087</v>
      </c>
      <c r="AM27" s="273">
        <f t="shared" si="79"/>
        <v>6733</v>
      </c>
      <c r="AN27" s="273">
        <f>SUM(AB27:AM27)</f>
        <v>136786</v>
      </c>
      <c r="AO27" s="147">
        <f t="shared" ref="AO27:AZ27" si="80">SUM(AO28:AO31)</f>
        <v>18173</v>
      </c>
      <c r="AP27" s="147">
        <f t="shared" si="80"/>
        <v>16573</v>
      </c>
      <c r="AQ27" s="147">
        <f t="shared" si="80"/>
        <v>12711</v>
      </c>
      <c r="AR27" s="147">
        <f t="shared" si="80"/>
        <v>8706</v>
      </c>
      <c r="AS27" s="147">
        <f t="shared" si="80"/>
        <v>12054</v>
      </c>
      <c r="AT27" s="147">
        <f t="shared" si="80"/>
        <v>34237</v>
      </c>
      <c r="AU27" s="147">
        <f t="shared" si="80"/>
        <v>19252</v>
      </c>
      <c r="AV27" s="147">
        <f t="shared" si="80"/>
        <v>26047</v>
      </c>
      <c r="AW27" s="147">
        <f t="shared" si="80"/>
        <v>1335</v>
      </c>
      <c r="AX27" s="147">
        <f t="shared" si="80"/>
        <v>7241</v>
      </c>
      <c r="AY27" s="147">
        <f t="shared" si="80"/>
        <v>4960</v>
      </c>
      <c r="AZ27" s="273">
        <f t="shared" si="80"/>
        <v>57286</v>
      </c>
      <c r="BA27" s="273">
        <f>SUM(AO27:AZ27)</f>
        <v>218575</v>
      </c>
      <c r="BB27" s="147">
        <f t="shared" ref="BB27:BM27" si="81">SUM(BB28:BB31)</f>
        <v>53434</v>
      </c>
      <c r="BC27" s="147">
        <f t="shared" si="81"/>
        <v>7654</v>
      </c>
      <c r="BD27" s="147">
        <f t="shared" si="81"/>
        <v>35644</v>
      </c>
      <c r="BE27" s="147">
        <f t="shared" si="81"/>
        <v>4596</v>
      </c>
      <c r="BF27" s="147">
        <f t="shared" si="81"/>
        <v>7792</v>
      </c>
      <c r="BG27" s="147">
        <f t="shared" si="81"/>
        <v>81802</v>
      </c>
      <c r="BH27" s="147">
        <f t="shared" si="81"/>
        <v>5765</v>
      </c>
      <c r="BI27" s="147">
        <f t="shared" si="81"/>
        <v>6217</v>
      </c>
      <c r="BJ27" s="147">
        <f t="shared" si="81"/>
        <v>8630</v>
      </c>
      <c r="BK27" s="147">
        <f t="shared" si="81"/>
        <v>79161</v>
      </c>
      <c r="BL27" s="147">
        <f t="shared" si="81"/>
        <v>6573</v>
      </c>
      <c r="BM27" s="273">
        <f t="shared" si="81"/>
        <v>32963</v>
      </c>
      <c r="BN27" s="273">
        <f>SUM(BB27:BM27)</f>
        <v>330231</v>
      </c>
      <c r="BO27" s="147">
        <f t="shared" ref="BO27:BZ27" si="82">SUM(BO28:BO31)</f>
        <v>5786</v>
      </c>
      <c r="BP27" s="147">
        <f t="shared" si="82"/>
        <v>63084</v>
      </c>
      <c r="BQ27" s="147">
        <f t="shared" si="82"/>
        <v>10358</v>
      </c>
      <c r="BR27" s="147">
        <f t="shared" si="82"/>
        <v>4526</v>
      </c>
      <c r="BS27" s="147">
        <f t="shared" si="82"/>
        <v>858</v>
      </c>
      <c r="BT27" s="147">
        <f t="shared" si="82"/>
        <v>1250</v>
      </c>
      <c r="BU27" s="147">
        <f t="shared" si="82"/>
        <v>5673</v>
      </c>
      <c r="BV27" s="147">
        <f t="shared" si="82"/>
        <v>5719</v>
      </c>
      <c r="BW27" s="147">
        <f t="shared" si="82"/>
        <v>101441</v>
      </c>
      <c r="BX27" s="147">
        <f t="shared" si="82"/>
        <v>16672</v>
      </c>
      <c r="BY27" s="147">
        <f t="shared" si="82"/>
        <v>8140</v>
      </c>
      <c r="BZ27" s="273">
        <f t="shared" si="82"/>
        <v>25176</v>
      </c>
      <c r="CA27" s="273">
        <f t="shared" si="32"/>
        <v>248683</v>
      </c>
      <c r="CB27" s="147">
        <f t="shared" ref="CB27:CM27" si="83">SUM(CB28:CB31)</f>
        <v>55675</v>
      </c>
      <c r="CC27" s="147">
        <f t="shared" si="83"/>
        <v>57745</v>
      </c>
      <c r="CD27" s="147">
        <f t="shared" si="83"/>
        <v>8006</v>
      </c>
      <c r="CE27" s="147">
        <f t="shared" si="83"/>
        <v>16715</v>
      </c>
      <c r="CF27" s="147">
        <f t="shared" si="83"/>
        <v>19679</v>
      </c>
      <c r="CG27" s="147">
        <f t="shared" si="83"/>
        <v>26414</v>
      </c>
      <c r="CH27" s="147">
        <f t="shared" si="83"/>
        <v>33727</v>
      </c>
      <c r="CI27" s="147">
        <f t="shared" si="83"/>
        <v>41696</v>
      </c>
      <c r="CJ27" s="147">
        <f t="shared" si="83"/>
        <v>30032</v>
      </c>
      <c r="CK27" s="147">
        <f t="shared" si="83"/>
        <v>25535</v>
      </c>
      <c r="CL27" s="147">
        <f t="shared" si="83"/>
        <v>66661</v>
      </c>
      <c r="CM27" s="273">
        <f t="shared" si="83"/>
        <v>61968</v>
      </c>
      <c r="CN27" s="273">
        <f t="shared" si="34"/>
        <v>443853</v>
      </c>
      <c r="CO27" s="147">
        <f t="shared" ref="CO27:CZ27" si="84">SUM(CO28:CO31)</f>
        <v>128327</v>
      </c>
      <c r="CP27" s="147">
        <f t="shared" si="84"/>
        <v>949</v>
      </c>
      <c r="CQ27" s="147">
        <f t="shared" si="84"/>
        <v>74370</v>
      </c>
      <c r="CR27" s="147">
        <f t="shared" si="84"/>
        <v>34745</v>
      </c>
      <c r="CS27" s="147">
        <f t="shared" si="84"/>
        <v>38870</v>
      </c>
      <c r="CT27" s="147">
        <f t="shared" si="84"/>
        <v>32166</v>
      </c>
      <c r="CU27" s="147">
        <f t="shared" si="84"/>
        <v>31598</v>
      </c>
      <c r="CV27" s="147">
        <f t="shared" si="84"/>
        <v>43486</v>
      </c>
      <c r="CW27" s="147">
        <f t="shared" si="84"/>
        <v>39138</v>
      </c>
      <c r="CX27" s="147">
        <f t="shared" si="84"/>
        <v>33405</v>
      </c>
      <c r="CY27" s="147">
        <f t="shared" si="84"/>
        <v>47595</v>
      </c>
      <c r="CZ27" s="273">
        <f t="shared" si="84"/>
        <v>36626</v>
      </c>
      <c r="DA27" s="273">
        <f t="shared" si="36"/>
        <v>541275</v>
      </c>
      <c r="DB27" s="147">
        <f t="shared" ref="DB27:DM27" si="85">SUM(DB28:DB31)</f>
        <v>160133</v>
      </c>
      <c r="DC27" s="147">
        <f t="shared" si="85"/>
        <v>63970</v>
      </c>
      <c r="DD27" s="147">
        <f t="shared" si="85"/>
        <v>69837</v>
      </c>
      <c r="DE27" s="147">
        <f t="shared" si="85"/>
        <v>25429</v>
      </c>
      <c r="DF27" s="147">
        <f t="shared" si="85"/>
        <v>35041</v>
      </c>
      <c r="DG27" s="147">
        <f t="shared" si="85"/>
        <v>31369</v>
      </c>
      <c r="DH27" s="147">
        <f t="shared" si="85"/>
        <v>29451</v>
      </c>
      <c r="DI27" s="147">
        <f t="shared" si="85"/>
        <v>19826</v>
      </c>
      <c r="DJ27" s="147">
        <f t="shared" si="85"/>
        <v>26415</v>
      </c>
      <c r="DK27" s="147">
        <f t="shared" si="85"/>
        <v>47403</v>
      </c>
      <c r="DL27" s="147">
        <f t="shared" si="85"/>
        <v>47049</v>
      </c>
      <c r="DM27" s="273">
        <f t="shared" si="85"/>
        <v>416</v>
      </c>
      <c r="DN27" s="273">
        <f t="shared" si="38"/>
        <v>556339</v>
      </c>
      <c r="DO27" s="147">
        <f t="shared" ref="DO27:DZ27" si="86">SUM(DO28:DO31)</f>
        <v>99815</v>
      </c>
      <c r="DP27" s="147">
        <f t="shared" si="86"/>
        <v>105956</v>
      </c>
      <c r="DQ27" s="147">
        <f t="shared" si="86"/>
        <v>38461</v>
      </c>
      <c r="DR27" s="147">
        <f t="shared" si="86"/>
        <v>22825</v>
      </c>
      <c r="DS27" s="147">
        <f t="shared" si="86"/>
        <v>34323</v>
      </c>
      <c r="DT27" s="147">
        <f t="shared" si="86"/>
        <v>38685</v>
      </c>
      <c r="DU27" s="147">
        <f t="shared" si="86"/>
        <v>91627</v>
      </c>
      <c r="DV27" s="147">
        <f t="shared" si="86"/>
        <v>35563</v>
      </c>
      <c r="DW27" s="147">
        <f t="shared" si="86"/>
        <v>66082</v>
      </c>
      <c r="DX27" s="147">
        <f t="shared" si="86"/>
        <v>55877</v>
      </c>
      <c r="DY27" s="147">
        <f t="shared" si="86"/>
        <v>35567</v>
      </c>
      <c r="DZ27" s="273">
        <f t="shared" si="86"/>
        <v>49490</v>
      </c>
      <c r="EA27" s="273">
        <f t="shared" si="40"/>
        <v>674271</v>
      </c>
      <c r="EB27" s="147">
        <f t="shared" ref="EB27:EM27" si="87">SUM(EB28:EB31)</f>
        <v>49269</v>
      </c>
      <c r="EC27" s="147">
        <f t="shared" si="87"/>
        <v>100650</v>
      </c>
      <c r="ED27" s="147">
        <f t="shared" si="87"/>
        <v>36251</v>
      </c>
      <c r="EE27" s="147">
        <f t="shared" si="87"/>
        <v>32789</v>
      </c>
      <c r="EF27" s="147">
        <f t="shared" si="87"/>
        <v>29639</v>
      </c>
      <c r="EG27" s="147">
        <f t="shared" si="87"/>
        <v>36277</v>
      </c>
      <c r="EH27" s="147">
        <f t="shared" si="87"/>
        <v>75869</v>
      </c>
      <c r="EI27" s="147">
        <f t="shared" si="87"/>
        <v>35103</v>
      </c>
      <c r="EJ27" s="147">
        <f t="shared" si="87"/>
        <v>88148</v>
      </c>
      <c r="EK27" s="147">
        <f t="shared" si="87"/>
        <v>39781</v>
      </c>
      <c r="EL27" s="147">
        <f t="shared" si="87"/>
        <v>38756</v>
      </c>
      <c r="EM27" s="273">
        <f t="shared" si="87"/>
        <v>30340</v>
      </c>
      <c r="EN27" s="273">
        <f t="shared" ref="EN27:EN30" si="88">SUM(EB27:EM27)</f>
        <v>592872</v>
      </c>
      <c r="EO27" s="147">
        <f t="shared" ref="EO27:ER27" si="89">SUM(EO28:EO31)</f>
        <v>107395</v>
      </c>
      <c r="EP27" s="147">
        <f t="shared" si="89"/>
        <v>85692</v>
      </c>
      <c r="EQ27" s="147">
        <f t="shared" si="89"/>
        <v>33223</v>
      </c>
      <c r="ER27" s="147">
        <f t="shared" si="89"/>
        <v>6527</v>
      </c>
      <c r="ES27" s="147">
        <f>SUM(ES28:ES31)</f>
        <v>35008</v>
      </c>
      <c r="ET27" s="147">
        <f>SUM(ET28:ET31)</f>
        <v>6335</v>
      </c>
      <c r="EU27" s="147">
        <v>12161</v>
      </c>
      <c r="EV27" s="951">
        <f t="shared" ref="EV27" si="90">SUM(EV28:EV31)</f>
        <v>100319</v>
      </c>
      <c r="EX27" s="147"/>
      <c r="EY27" s="147"/>
      <c r="EZ27" s="273"/>
      <c r="FA27" s="273">
        <f t="shared" si="45"/>
        <v>386660</v>
      </c>
      <c r="FB27" s="111"/>
      <c r="FC27" s="179">
        <f t="shared" si="46"/>
        <v>185.78469076717087</v>
      </c>
      <c r="FD27" s="179">
        <f t="shared" si="47"/>
        <v>-2.3208461855211748</v>
      </c>
      <c r="FE27" s="234">
        <f t="shared" si="48"/>
        <v>395847</v>
      </c>
      <c r="FF27" s="234">
        <f t="shared" si="49"/>
        <v>386660</v>
      </c>
    </row>
    <row r="28" spans="1:162" ht="15" customHeight="1" x14ac:dyDescent="0.25">
      <c r="A28" s="402" t="s">
        <v>428</v>
      </c>
      <c r="B28" s="151"/>
      <c r="C28" s="151"/>
      <c r="D28" s="151"/>
      <c r="E28" s="151"/>
      <c r="F28" s="151"/>
      <c r="G28" s="151"/>
      <c r="H28" s="151">
        <v>1783</v>
      </c>
      <c r="I28" s="151"/>
      <c r="J28" s="151"/>
      <c r="K28" s="151"/>
      <c r="L28" s="151"/>
      <c r="M28" s="241"/>
      <c r="N28" s="241">
        <f>SUM(B28:M28)</f>
        <v>1783</v>
      </c>
      <c r="O28" s="151"/>
      <c r="P28" s="151"/>
      <c r="Q28" s="151">
        <v>560</v>
      </c>
      <c r="R28" s="151">
        <v>-280</v>
      </c>
      <c r="S28" s="151">
        <v>22916</v>
      </c>
      <c r="T28" s="151"/>
      <c r="U28" s="151">
        <v>10095</v>
      </c>
      <c r="V28" s="151"/>
      <c r="W28" s="151">
        <v>24330</v>
      </c>
      <c r="X28" s="151">
        <v>8320</v>
      </c>
      <c r="Y28" s="151">
        <v>20207</v>
      </c>
      <c r="Z28" s="241">
        <v>3141</v>
      </c>
      <c r="AA28" s="241">
        <f>SUM(O28:Z28)</f>
        <v>89289</v>
      </c>
      <c r="AB28" s="151">
        <v>1415</v>
      </c>
      <c r="AC28" s="151">
        <v>38856</v>
      </c>
      <c r="AD28" s="151">
        <v>-53</v>
      </c>
      <c r="AE28" s="151">
        <v>2096</v>
      </c>
      <c r="AF28" s="151">
        <v>918</v>
      </c>
      <c r="AG28" s="151">
        <v>5958</v>
      </c>
      <c r="AH28" s="151">
        <v>5615</v>
      </c>
      <c r="AI28" s="151">
        <v>468</v>
      </c>
      <c r="AJ28" s="151">
        <v>735</v>
      </c>
      <c r="AK28" s="151">
        <v>1536</v>
      </c>
      <c r="AL28" s="151">
        <v>1137</v>
      </c>
      <c r="AM28" s="241">
        <v>1372</v>
      </c>
      <c r="AN28" s="241">
        <f>SUM(AB28:AM28)</f>
        <v>60053</v>
      </c>
      <c r="AO28" s="151">
        <v>3708</v>
      </c>
      <c r="AP28" s="151">
        <v>32</v>
      </c>
      <c r="AQ28" s="151">
        <v>8359</v>
      </c>
      <c r="AR28" s="151">
        <v>1133</v>
      </c>
      <c r="AS28" s="151">
        <v>594</v>
      </c>
      <c r="AT28" s="151">
        <v>30474</v>
      </c>
      <c r="AU28" s="151">
        <v>-660</v>
      </c>
      <c r="AV28" s="151">
        <v>22610</v>
      </c>
      <c r="AW28" s="151"/>
      <c r="AX28" s="151"/>
      <c r="AY28" s="151"/>
      <c r="AZ28" s="241">
        <v>50705</v>
      </c>
      <c r="BA28" s="241">
        <f>SUM(AO28:AZ28)</f>
        <v>116955</v>
      </c>
      <c r="BB28" s="151">
        <v>19209</v>
      </c>
      <c r="BC28" s="151">
        <v>22</v>
      </c>
      <c r="BD28" s="151">
        <v>33358</v>
      </c>
      <c r="BE28" s="151"/>
      <c r="BF28" s="151"/>
      <c r="BG28" s="151">
        <v>80210</v>
      </c>
      <c r="BH28" s="151"/>
      <c r="BI28" s="151"/>
      <c r="BJ28" s="151"/>
      <c r="BK28" s="151">
        <v>71680</v>
      </c>
      <c r="BL28" s="151"/>
      <c r="BM28" s="241">
        <v>31315</v>
      </c>
      <c r="BN28" s="241">
        <f>SUM(BB28:BM28)</f>
        <v>235794</v>
      </c>
      <c r="BO28" s="151">
        <v>3</v>
      </c>
      <c r="BP28" s="151">
        <v>40727</v>
      </c>
      <c r="BQ28" s="151"/>
      <c r="BR28" s="151"/>
      <c r="BS28" s="151"/>
      <c r="BT28" s="151">
        <v>349</v>
      </c>
      <c r="BU28" s="151">
        <v>2736</v>
      </c>
      <c r="BV28" s="151">
        <v>1603</v>
      </c>
      <c r="BW28" s="151">
        <v>25323</v>
      </c>
      <c r="BX28" s="151">
        <v>9552</v>
      </c>
      <c r="BY28" s="151">
        <v>2357</v>
      </c>
      <c r="BZ28" s="241">
        <v>20773</v>
      </c>
      <c r="CA28" s="241">
        <f t="shared" si="32"/>
        <v>103423</v>
      </c>
      <c r="CB28" s="151">
        <v>23234</v>
      </c>
      <c r="CC28" s="151">
        <v>13649</v>
      </c>
      <c r="CD28" s="151">
        <v>2094</v>
      </c>
      <c r="CE28" s="151">
        <v>4152</v>
      </c>
      <c r="CF28" s="151">
        <v>14217</v>
      </c>
      <c r="CG28" s="151">
        <v>20276</v>
      </c>
      <c r="CH28" s="151">
        <v>23181</v>
      </c>
      <c r="CI28" s="151">
        <v>34846</v>
      </c>
      <c r="CJ28" s="151">
        <v>23056</v>
      </c>
      <c r="CK28" s="151">
        <v>18672</v>
      </c>
      <c r="CL28" s="151">
        <v>21990</v>
      </c>
      <c r="CM28" s="241">
        <v>51722</v>
      </c>
      <c r="CN28" s="241">
        <f t="shared" si="34"/>
        <v>251089</v>
      </c>
      <c r="CO28" s="151">
        <v>61915</v>
      </c>
      <c r="CP28" s="151">
        <v>-14876</v>
      </c>
      <c r="CQ28" s="151">
        <v>4740</v>
      </c>
      <c r="CR28" s="151">
        <v>13977</v>
      </c>
      <c r="CS28" s="151">
        <v>12498</v>
      </c>
      <c r="CT28" s="151">
        <v>1731</v>
      </c>
      <c r="CU28" s="151">
        <v>1184</v>
      </c>
      <c r="CV28" s="151">
        <v>11285</v>
      </c>
      <c r="CW28" s="151">
        <v>490</v>
      </c>
      <c r="CX28" s="151">
        <v>271</v>
      </c>
      <c r="CY28" s="151">
        <v>42</v>
      </c>
      <c r="CZ28" s="241">
        <v>5963</v>
      </c>
      <c r="DA28" s="241">
        <f t="shared" si="36"/>
        <v>99220</v>
      </c>
      <c r="DB28" s="151">
        <v>26430</v>
      </c>
      <c r="DC28" s="151"/>
      <c r="DD28" s="151">
        <v>732</v>
      </c>
      <c r="DE28" s="151"/>
      <c r="DF28" s="151"/>
      <c r="DG28" s="151"/>
      <c r="DH28" s="151"/>
      <c r="DI28" s="151"/>
      <c r="DJ28" s="151"/>
      <c r="DK28" s="151">
        <v>-22117</v>
      </c>
      <c r="DL28" s="151">
        <v>-332</v>
      </c>
      <c r="DM28" s="241">
        <v>-463</v>
      </c>
      <c r="DN28" s="241">
        <f t="shared" si="38"/>
        <v>4250</v>
      </c>
      <c r="DO28" s="151">
        <v>25183</v>
      </c>
      <c r="DP28" s="151">
        <v>3</v>
      </c>
      <c r="DQ28" s="151"/>
      <c r="DR28" s="151"/>
      <c r="DS28" s="151"/>
      <c r="DT28" s="151"/>
      <c r="DU28" s="151">
        <v>20525</v>
      </c>
      <c r="DV28" s="151"/>
      <c r="DW28" s="151">
        <v>29395</v>
      </c>
      <c r="DX28" s="151">
        <v>21649</v>
      </c>
      <c r="DY28" s="151"/>
      <c r="DZ28" s="241">
        <v>-667</v>
      </c>
      <c r="EA28" s="241">
        <f t="shared" si="40"/>
        <v>96088</v>
      </c>
      <c r="EB28" s="151">
        <v>1</v>
      </c>
      <c r="EC28" s="151">
        <v>3</v>
      </c>
      <c r="ED28" s="151">
        <v>0</v>
      </c>
      <c r="EE28" s="151">
        <v>0</v>
      </c>
      <c r="EF28" s="151">
        <v>0</v>
      </c>
      <c r="EG28" s="151">
        <v>0</v>
      </c>
      <c r="EH28" s="151">
        <v>6</v>
      </c>
      <c r="EI28" s="151">
        <v>0</v>
      </c>
      <c r="EJ28" s="151">
        <v>53321</v>
      </c>
      <c r="EK28" s="151">
        <v>0</v>
      </c>
      <c r="EL28" s="151">
        <v>0</v>
      </c>
      <c r="EM28" s="241">
        <v>3777</v>
      </c>
      <c r="EN28" s="241">
        <f t="shared" si="88"/>
        <v>57108</v>
      </c>
      <c r="EO28" s="151">
        <v>37488</v>
      </c>
      <c r="EP28" s="151">
        <v>1077</v>
      </c>
      <c r="EQ28" s="151">
        <v>0</v>
      </c>
      <c r="ER28" s="151">
        <v>686</v>
      </c>
      <c r="ES28" s="151">
        <v>0</v>
      </c>
      <c r="ET28" s="151">
        <v>428</v>
      </c>
      <c r="EU28" s="151">
        <v>620</v>
      </c>
      <c r="EV28" s="950">
        <v>425</v>
      </c>
      <c r="EX28" s="151"/>
      <c r="EY28" s="151"/>
      <c r="EZ28" s="241"/>
      <c r="FA28" s="241">
        <f t="shared" si="45"/>
        <v>40724</v>
      </c>
      <c r="FC28" s="184" t="str">
        <f t="shared" si="46"/>
        <v/>
      </c>
      <c r="FD28" s="184">
        <f t="shared" si="47"/>
        <v>407140</v>
      </c>
      <c r="FE28" s="161">
        <f t="shared" si="48"/>
        <v>10</v>
      </c>
      <c r="FF28" s="161">
        <f>SUMIFS($B28:$FA28,$B$5:$FA$5,"&gt;="&amp;DATE(YEAR($FC$5),1,1),$B$5:$FA$5,"&lt;="&amp;$FC$5)</f>
        <v>40724</v>
      </c>
    </row>
    <row r="29" spans="1:162" ht="15" customHeight="1" x14ac:dyDescent="0.25">
      <c r="A29" s="402" t="s">
        <v>387</v>
      </c>
      <c r="B29" s="151">
        <v>4668</v>
      </c>
      <c r="C29" s="151">
        <v>7045</v>
      </c>
      <c r="D29" s="151">
        <v>5060</v>
      </c>
      <c r="E29" s="151">
        <v>4672</v>
      </c>
      <c r="F29" s="151">
        <v>3565</v>
      </c>
      <c r="G29" s="151">
        <v>10060</v>
      </c>
      <c r="H29" s="151">
        <v>4312</v>
      </c>
      <c r="I29" s="151">
        <v>6077</v>
      </c>
      <c r="J29" s="151">
        <v>3391</v>
      </c>
      <c r="K29" s="151">
        <v>-4804</v>
      </c>
      <c r="L29" s="151">
        <v>4330</v>
      </c>
      <c r="M29" s="241">
        <v>1216</v>
      </c>
      <c r="N29" s="241">
        <f>SUM(B29:M29)</f>
        <v>49592</v>
      </c>
      <c r="O29" s="151">
        <v>2022</v>
      </c>
      <c r="P29" s="151">
        <v>1064</v>
      </c>
      <c r="Q29" s="151">
        <v>11193</v>
      </c>
      <c r="R29" s="151">
        <v>-85</v>
      </c>
      <c r="S29" s="151">
        <v>1169</v>
      </c>
      <c r="T29" s="151">
        <v>3203</v>
      </c>
      <c r="U29" s="151">
        <v>238</v>
      </c>
      <c r="V29" s="151">
        <v>2398</v>
      </c>
      <c r="W29" s="151">
        <v>1995</v>
      </c>
      <c r="X29" s="151">
        <v>896</v>
      </c>
      <c r="Y29" s="151">
        <v>848</v>
      </c>
      <c r="Z29" s="241">
        <v>2584</v>
      </c>
      <c r="AA29" s="241">
        <f>SUM(O29:Z29)</f>
        <v>27525</v>
      </c>
      <c r="AB29" s="151">
        <v>2171</v>
      </c>
      <c r="AC29" s="151">
        <v>5815</v>
      </c>
      <c r="AD29" s="151">
        <v>4410</v>
      </c>
      <c r="AE29" s="151">
        <v>2413</v>
      </c>
      <c r="AF29" s="151">
        <v>-2365</v>
      </c>
      <c r="AG29" s="151">
        <v>2995</v>
      </c>
      <c r="AH29" s="151">
        <v>2933</v>
      </c>
      <c r="AI29" s="151">
        <v>554</v>
      </c>
      <c r="AJ29" s="151">
        <v>1531</v>
      </c>
      <c r="AK29" s="151">
        <v>2070</v>
      </c>
      <c r="AL29" s="151">
        <v>615</v>
      </c>
      <c r="AM29" s="241">
        <v>3861</v>
      </c>
      <c r="AN29" s="241">
        <f>SUM(AB29:AM29)</f>
        <v>27003</v>
      </c>
      <c r="AO29" s="151">
        <v>7308</v>
      </c>
      <c r="AP29" s="151">
        <v>4696</v>
      </c>
      <c r="AQ29" s="151">
        <v>2476</v>
      </c>
      <c r="AR29" s="151">
        <v>1080</v>
      </c>
      <c r="AS29" s="151">
        <v>1940</v>
      </c>
      <c r="AT29" s="151">
        <v>1910</v>
      </c>
      <c r="AU29" s="151">
        <v>7340</v>
      </c>
      <c r="AV29" s="151">
        <v>585</v>
      </c>
      <c r="AW29" s="151">
        <v>-931</v>
      </c>
      <c r="AX29" s="151">
        <v>5284</v>
      </c>
      <c r="AY29" s="151">
        <v>3540</v>
      </c>
      <c r="AZ29" s="241">
        <v>4692</v>
      </c>
      <c r="BA29" s="241">
        <f>SUM(AO29:AZ29)</f>
        <v>39920</v>
      </c>
      <c r="BB29" s="151">
        <v>10253</v>
      </c>
      <c r="BC29" s="151">
        <v>4736</v>
      </c>
      <c r="BD29" s="151">
        <v>320</v>
      </c>
      <c r="BE29" s="151">
        <v>2227</v>
      </c>
      <c r="BF29" s="151">
        <v>4071</v>
      </c>
      <c r="BG29" s="151">
        <v>-232</v>
      </c>
      <c r="BH29" s="151">
        <v>3258</v>
      </c>
      <c r="BI29" s="151">
        <v>3836</v>
      </c>
      <c r="BJ29" s="151">
        <v>6920</v>
      </c>
      <c r="BK29" s="151">
        <v>5608</v>
      </c>
      <c r="BL29" s="151">
        <v>3291</v>
      </c>
      <c r="BM29" s="241">
        <v>-752</v>
      </c>
      <c r="BN29" s="241">
        <f>SUM(BB29:BM29)</f>
        <v>43536</v>
      </c>
      <c r="BO29" s="151">
        <v>3305</v>
      </c>
      <c r="BP29" s="151">
        <v>4344</v>
      </c>
      <c r="BQ29" s="151">
        <v>6409</v>
      </c>
      <c r="BR29" s="151">
        <v>967</v>
      </c>
      <c r="BS29" s="151">
        <v>379</v>
      </c>
      <c r="BT29" s="151">
        <v>273</v>
      </c>
      <c r="BU29" s="151">
        <v>1411</v>
      </c>
      <c r="BV29" s="151">
        <v>1593</v>
      </c>
      <c r="BW29" s="151">
        <v>67171</v>
      </c>
      <c r="BX29" s="151">
        <v>5257</v>
      </c>
      <c r="BY29" s="151">
        <v>1419</v>
      </c>
      <c r="BZ29" s="241"/>
      <c r="CA29" s="241">
        <f t="shared" si="32"/>
        <v>92528</v>
      </c>
      <c r="CB29" s="151">
        <v>28145</v>
      </c>
      <c r="CC29" s="151">
        <v>27496</v>
      </c>
      <c r="CD29" s="151">
        <v>3223</v>
      </c>
      <c r="CE29" s="151">
        <v>11154</v>
      </c>
      <c r="CF29" s="151">
        <v>3089</v>
      </c>
      <c r="CG29" s="151">
        <v>4951</v>
      </c>
      <c r="CH29" s="151">
        <v>4320</v>
      </c>
      <c r="CI29" s="151">
        <v>4432</v>
      </c>
      <c r="CJ29" s="151">
        <v>3861</v>
      </c>
      <c r="CK29" s="151">
        <v>4573</v>
      </c>
      <c r="CL29" s="151">
        <v>38120</v>
      </c>
      <c r="CM29" s="241">
        <v>4547</v>
      </c>
      <c r="CN29" s="241">
        <f t="shared" si="34"/>
        <v>137911</v>
      </c>
      <c r="CO29" s="151">
        <v>62855</v>
      </c>
      <c r="CP29" s="151">
        <v>13040</v>
      </c>
      <c r="CQ29" s="151">
        <v>46140</v>
      </c>
      <c r="CR29" s="151">
        <v>18902</v>
      </c>
      <c r="CS29" s="151">
        <v>24724</v>
      </c>
      <c r="CT29" s="151">
        <v>27308</v>
      </c>
      <c r="CU29" s="151">
        <v>28381</v>
      </c>
      <c r="CV29" s="151">
        <v>27831</v>
      </c>
      <c r="CW29" s="151">
        <v>31528</v>
      </c>
      <c r="CX29" s="151">
        <v>30814</v>
      </c>
      <c r="CY29" s="151">
        <v>39653</v>
      </c>
      <c r="CZ29" s="241">
        <v>27735</v>
      </c>
      <c r="DA29" s="241">
        <f t="shared" si="36"/>
        <v>378911</v>
      </c>
      <c r="DB29" s="151">
        <v>121000</v>
      </c>
      <c r="DC29" s="151">
        <v>48914</v>
      </c>
      <c r="DD29" s="151">
        <v>60734</v>
      </c>
      <c r="DE29" s="151">
        <v>23231</v>
      </c>
      <c r="DF29" s="151">
        <v>30141</v>
      </c>
      <c r="DG29" s="151">
        <v>29852</v>
      </c>
      <c r="DH29" s="151">
        <v>28311</v>
      </c>
      <c r="DI29" s="151">
        <v>16773</v>
      </c>
      <c r="DJ29" s="151">
        <v>24764</v>
      </c>
      <c r="DK29" s="151">
        <v>67665</v>
      </c>
      <c r="DL29" s="151">
        <v>43531</v>
      </c>
      <c r="DM29" s="241">
        <v>-985</v>
      </c>
      <c r="DN29" s="241">
        <f t="shared" si="38"/>
        <v>493931</v>
      </c>
      <c r="DO29" s="151">
        <v>71934</v>
      </c>
      <c r="DP29" s="151">
        <v>79357</v>
      </c>
      <c r="DQ29" s="151">
        <v>34645</v>
      </c>
      <c r="DR29" s="151">
        <v>20924</v>
      </c>
      <c r="DS29" s="151">
        <v>30911</v>
      </c>
      <c r="DT29" s="151">
        <v>37753</v>
      </c>
      <c r="DU29" s="151">
        <v>70002</v>
      </c>
      <c r="DV29" s="151">
        <v>33423</v>
      </c>
      <c r="DW29" s="151">
        <v>33402</v>
      </c>
      <c r="DX29" s="151">
        <v>32559</v>
      </c>
      <c r="DY29" s="151">
        <v>33594</v>
      </c>
      <c r="DZ29" s="241">
        <v>47365</v>
      </c>
      <c r="EA29" s="241">
        <f t="shared" si="40"/>
        <v>525869</v>
      </c>
      <c r="EB29" s="151">
        <v>45824</v>
      </c>
      <c r="EC29" s="151">
        <v>82946</v>
      </c>
      <c r="ED29" s="151">
        <v>32014</v>
      </c>
      <c r="EE29" s="151">
        <v>31676</v>
      </c>
      <c r="EF29" s="151">
        <v>29187</v>
      </c>
      <c r="EG29" s="151">
        <v>31414</v>
      </c>
      <c r="EH29" s="151">
        <v>73674</v>
      </c>
      <c r="EI29" s="151">
        <v>33608</v>
      </c>
      <c r="EJ29" s="151">
        <v>32337</v>
      </c>
      <c r="EK29" s="151">
        <v>38326</v>
      </c>
      <c r="EL29" s="151">
        <v>37101</v>
      </c>
      <c r="EM29" s="241">
        <v>23942</v>
      </c>
      <c r="EN29" s="241">
        <f t="shared" si="88"/>
        <v>492049</v>
      </c>
      <c r="EO29" s="151">
        <v>38513</v>
      </c>
      <c r="EP29" s="151">
        <v>81893</v>
      </c>
      <c r="EQ29" s="151">
        <v>31246</v>
      </c>
      <c r="ER29" s="151">
        <v>4718</v>
      </c>
      <c r="ES29" s="151">
        <v>33606</v>
      </c>
      <c r="ET29" s="151">
        <v>4906</v>
      </c>
      <c r="EU29" s="151">
        <v>9053</v>
      </c>
      <c r="EV29" s="950">
        <v>97029</v>
      </c>
      <c r="EX29" s="151"/>
      <c r="EY29" s="151"/>
      <c r="EZ29" s="241"/>
      <c r="FA29" s="241">
        <f t="shared" si="45"/>
        <v>300964</v>
      </c>
      <c r="FC29" s="184">
        <f t="shared" si="46"/>
        <v>188.70804570340397</v>
      </c>
      <c r="FD29" s="184">
        <f t="shared" si="47"/>
        <v>-16.478466350116417</v>
      </c>
      <c r="FE29" s="161">
        <f t="shared" si="48"/>
        <v>360343</v>
      </c>
      <c r="FF29" s="161">
        <f t="shared" si="49"/>
        <v>300964</v>
      </c>
    </row>
    <row r="30" spans="1:162" ht="15" customHeight="1" x14ac:dyDescent="0.25">
      <c r="A30" s="402" t="s">
        <v>385</v>
      </c>
      <c r="B30" s="151">
        <v>1346</v>
      </c>
      <c r="C30" s="151">
        <v>1347</v>
      </c>
      <c r="D30" s="151">
        <v>1943</v>
      </c>
      <c r="E30" s="151">
        <v>2127</v>
      </c>
      <c r="F30" s="151">
        <v>920</v>
      </c>
      <c r="G30" s="151">
        <v>880</v>
      </c>
      <c r="H30" s="151">
        <v>800</v>
      </c>
      <c r="I30" s="151">
        <v>1169</v>
      </c>
      <c r="J30" s="151">
        <v>2389</v>
      </c>
      <c r="K30" s="151">
        <v>1362</v>
      </c>
      <c r="L30" s="151">
        <v>1071</v>
      </c>
      <c r="M30" s="241">
        <v>195</v>
      </c>
      <c r="N30" s="241">
        <f>SUM(B30:M30)</f>
        <v>15549</v>
      </c>
      <c r="O30" s="151">
        <v>1308</v>
      </c>
      <c r="P30" s="151">
        <v>1607</v>
      </c>
      <c r="Q30" s="151">
        <v>1619</v>
      </c>
      <c r="R30" s="151">
        <v>838</v>
      </c>
      <c r="S30" s="151">
        <v>1193</v>
      </c>
      <c r="T30" s="151">
        <v>1178</v>
      </c>
      <c r="U30" s="151">
        <v>1773</v>
      </c>
      <c r="V30" s="151">
        <v>1252</v>
      </c>
      <c r="W30" s="151">
        <v>1070</v>
      </c>
      <c r="X30" s="151">
        <v>868</v>
      </c>
      <c r="Y30" s="151">
        <v>358</v>
      </c>
      <c r="Z30" s="241">
        <v>1206</v>
      </c>
      <c r="AA30" s="241">
        <f>SUM(O30:Z30)</f>
        <v>14270</v>
      </c>
      <c r="AB30" s="151">
        <v>1021</v>
      </c>
      <c r="AC30" s="151">
        <v>1301</v>
      </c>
      <c r="AD30" s="151">
        <v>1683</v>
      </c>
      <c r="AE30" s="151">
        <v>880</v>
      </c>
      <c r="AF30" s="151">
        <v>953</v>
      </c>
      <c r="AG30" s="151">
        <v>1042</v>
      </c>
      <c r="AH30" s="151">
        <v>842</v>
      </c>
      <c r="AI30" s="151">
        <v>1250</v>
      </c>
      <c r="AJ30" s="151">
        <v>1328</v>
      </c>
      <c r="AK30" s="151">
        <v>872</v>
      </c>
      <c r="AL30" s="151">
        <v>954</v>
      </c>
      <c r="AM30" s="241">
        <v>1102</v>
      </c>
      <c r="AN30" s="241">
        <f>SUM(AB30:AM30)</f>
        <v>13228</v>
      </c>
      <c r="AO30" s="151">
        <v>6452</v>
      </c>
      <c r="AP30" s="151">
        <v>1214</v>
      </c>
      <c r="AQ30" s="151">
        <v>1692</v>
      </c>
      <c r="AR30" s="151">
        <v>1081</v>
      </c>
      <c r="AS30" s="151">
        <v>1893</v>
      </c>
      <c r="AT30" s="151">
        <v>1110</v>
      </c>
      <c r="AU30" s="151">
        <v>1263</v>
      </c>
      <c r="AV30" s="151">
        <v>1677</v>
      </c>
      <c r="AW30" s="151">
        <v>1236</v>
      </c>
      <c r="AX30" s="151">
        <v>1214</v>
      </c>
      <c r="AY30" s="151">
        <v>1112</v>
      </c>
      <c r="AZ30" s="241">
        <v>1537</v>
      </c>
      <c r="BA30" s="241">
        <f>SUM(AO30:AZ30)</f>
        <v>21481</v>
      </c>
      <c r="BB30" s="151">
        <v>3647</v>
      </c>
      <c r="BC30" s="151">
        <v>1428</v>
      </c>
      <c r="BD30" s="151">
        <v>1538</v>
      </c>
      <c r="BE30" s="151">
        <v>1672</v>
      </c>
      <c r="BF30" s="151">
        <v>1596</v>
      </c>
      <c r="BG30" s="151">
        <v>904</v>
      </c>
      <c r="BH30" s="151">
        <v>1048</v>
      </c>
      <c r="BI30" s="151">
        <v>1549</v>
      </c>
      <c r="BJ30" s="151">
        <v>1122</v>
      </c>
      <c r="BK30" s="151">
        <v>1247</v>
      </c>
      <c r="BL30" s="151">
        <v>1018</v>
      </c>
      <c r="BM30" s="241">
        <v>1232</v>
      </c>
      <c r="BN30" s="241">
        <f>SUM(BB30:BM30)</f>
        <v>18001</v>
      </c>
      <c r="BO30" s="151">
        <v>1149</v>
      </c>
      <c r="BP30" s="151">
        <v>2608</v>
      </c>
      <c r="BQ30" s="151">
        <v>1157</v>
      </c>
      <c r="BR30" s="151">
        <v>300</v>
      </c>
      <c r="BS30" s="151">
        <v>109</v>
      </c>
      <c r="BT30" s="151">
        <v>492</v>
      </c>
      <c r="BU30" s="151">
        <v>867</v>
      </c>
      <c r="BV30" s="151">
        <v>852</v>
      </c>
      <c r="BW30" s="151">
        <v>954</v>
      </c>
      <c r="BX30" s="151">
        <v>1076</v>
      </c>
      <c r="BY30" s="151">
        <v>1336</v>
      </c>
      <c r="BZ30" s="241">
        <v>2018</v>
      </c>
      <c r="CA30" s="241">
        <f t="shared" si="32"/>
        <v>12918</v>
      </c>
      <c r="CB30" s="151">
        <v>1221</v>
      </c>
      <c r="CC30" s="151">
        <v>1365</v>
      </c>
      <c r="CD30" s="151">
        <v>1030</v>
      </c>
      <c r="CE30" s="151">
        <v>959</v>
      </c>
      <c r="CF30" s="151">
        <v>798</v>
      </c>
      <c r="CG30" s="151">
        <v>1381</v>
      </c>
      <c r="CH30" s="151">
        <v>1808</v>
      </c>
      <c r="CI30" s="151">
        <v>1202</v>
      </c>
      <c r="CJ30" s="151">
        <v>2151</v>
      </c>
      <c r="CK30" s="151">
        <v>1198</v>
      </c>
      <c r="CL30" s="151">
        <v>1407</v>
      </c>
      <c r="CM30" s="241">
        <v>1546</v>
      </c>
      <c r="CN30" s="241">
        <f t="shared" si="34"/>
        <v>16066</v>
      </c>
      <c r="CO30" s="151">
        <v>1479</v>
      </c>
      <c r="CP30" s="151">
        <v>1408</v>
      </c>
      <c r="CQ30" s="151">
        <v>2248</v>
      </c>
      <c r="CR30" s="151">
        <v>1000</v>
      </c>
      <c r="CS30" s="151">
        <v>1556</v>
      </c>
      <c r="CT30" s="151">
        <v>932</v>
      </c>
      <c r="CU30" s="151">
        <v>1077</v>
      </c>
      <c r="CV30" s="151">
        <v>1219</v>
      </c>
      <c r="CW30" s="151">
        <v>1304</v>
      </c>
      <c r="CX30" s="151">
        <v>1159</v>
      </c>
      <c r="CY30" s="151">
        <v>1362</v>
      </c>
      <c r="CZ30" s="241">
        <v>2061</v>
      </c>
      <c r="DA30" s="241">
        <f t="shared" si="36"/>
        <v>16805</v>
      </c>
      <c r="DB30" s="151">
        <v>3870</v>
      </c>
      <c r="DC30" s="151">
        <v>1012</v>
      </c>
      <c r="DD30" s="151">
        <v>1304</v>
      </c>
      <c r="DE30" s="151">
        <v>805</v>
      </c>
      <c r="DF30" s="151">
        <v>2087</v>
      </c>
      <c r="DG30" s="151">
        <v>1347</v>
      </c>
      <c r="DH30" s="151">
        <v>932</v>
      </c>
      <c r="DI30" s="151">
        <v>956</v>
      </c>
      <c r="DJ30" s="151">
        <v>1651</v>
      </c>
      <c r="DK30" s="151">
        <v>1432</v>
      </c>
      <c r="DL30" s="151">
        <v>1340</v>
      </c>
      <c r="DM30" s="241">
        <v>1311</v>
      </c>
      <c r="DN30" s="241">
        <f t="shared" si="38"/>
        <v>18047</v>
      </c>
      <c r="DO30" s="151">
        <v>1101</v>
      </c>
      <c r="DP30" s="151">
        <v>1227</v>
      </c>
      <c r="DQ30" s="151">
        <v>2194</v>
      </c>
      <c r="DR30" s="151">
        <v>1295</v>
      </c>
      <c r="DS30" s="151">
        <v>930</v>
      </c>
      <c r="DT30" s="151">
        <v>889</v>
      </c>
      <c r="DU30" s="151">
        <v>997</v>
      </c>
      <c r="DV30" s="151">
        <v>1451</v>
      </c>
      <c r="DW30" s="151">
        <v>1534</v>
      </c>
      <c r="DX30" s="151">
        <v>1229</v>
      </c>
      <c r="DY30" s="151">
        <v>1945</v>
      </c>
      <c r="DZ30" s="241">
        <v>2346</v>
      </c>
      <c r="EA30" s="241">
        <f t="shared" si="40"/>
        <v>17138</v>
      </c>
      <c r="EB30" s="151">
        <v>1205</v>
      </c>
      <c r="EC30" s="151">
        <v>1707</v>
      </c>
      <c r="ED30" s="151">
        <v>1803</v>
      </c>
      <c r="EE30" s="151">
        <v>1113</v>
      </c>
      <c r="EF30" s="151">
        <v>452</v>
      </c>
      <c r="EG30" s="151">
        <v>896</v>
      </c>
      <c r="EH30" s="151">
        <v>921</v>
      </c>
      <c r="EI30" s="151">
        <v>962</v>
      </c>
      <c r="EJ30" s="151">
        <v>1083</v>
      </c>
      <c r="EK30" s="151">
        <v>1440</v>
      </c>
      <c r="EL30" s="151">
        <v>1041</v>
      </c>
      <c r="EM30" s="241">
        <v>1068</v>
      </c>
      <c r="EN30" s="241">
        <f t="shared" si="88"/>
        <v>13691</v>
      </c>
      <c r="EO30" s="151">
        <v>1649</v>
      </c>
      <c r="EP30" s="151">
        <v>2466</v>
      </c>
      <c r="EQ30" s="151">
        <v>1276</v>
      </c>
      <c r="ER30" s="151">
        <v>1123</v>
      </c>
      <c r="ES30" s="151">
        <v>759</v>
      </c>
      <c r="ET30" s="151">
        <v>1001</v>
      </c>
      <c r="EU30" s="151">
        <v>848</v>
      </c>
      <c r="EV30" s="950">
        <v>1019</v>
      </c>
      <c r="EX30" s="151"/>
      <c r="EY30" s="151"/>
      <c r="EZ30" s="241"/>
      <c r="FA30" s="241">
        <f t="shared" si="45"/>
        <v>10141</v>
      </c>
      <c r="FC30" s="184">
        <f t="shared" si="46"/>
        <v>5.9251559251559227</v>
      </c>
      <c r="FD30" s="184">
        <f>IFERROR(((FF30/FE30)-1)*100,"")</f>
        <v>11.943923170327842</v>
      </c>
      <c r="FE30" s="161">
        <f t="shared" si="48"/>
        <v>9059</v>
      </c>
      <c r="FF30" s="161">
        <f>SUMIFS($B30:$FA30,$B$5:$FA$5,"&gt;="&amp;DATE(YEAR($FC$5),1,1),$B$5:$FA$5,"&lt;="&amp;$FC$5)</f>
        <v>10141</v>
      </c>
    </row>
    <row r="31" spans="1:162" ht="15" customHeight="1" x14ac:dyDescent="0.25">
      <c r="A31" s="402" t="s">
        <v>299</v>
      </c>
      <c r="B31" s="151">
        <v>159</v>
      </c>
      <c r="C31" s="151">
        <v>1034</v>
      </c>
      <c r="D31" s="151">
        <v>17299</v>
      </c>
      <c r="E31" s="151">
        <v>1365</v>
      </c>
      <c r="F31" s="151">
        <v>1498</v>
      </c>
      <c r="G31" s="151">
        <v>1422</v>
      </c>
      <c r="H31" s="151">
        <v>1956</v>
      </c>
      <c r="I31" s="151">
        <v>1952</v>
      </c>
      <c r="J31" s="151">
        <v>1864</v>
      </c>
      <c r="K31" s="151">
        <v>37</v>
      </c>
      <c r="L31" s="151">
        <v>1646</v>
      </c>
      <c r="M31" s="241">
        <v>1615</v>
      </c>
      <c r="N31" s="241">
        <f>SUM(B31:M31)</f>
        <v>31847</v>
      </c>
      <c r="O31" s="151">
        <v>4087</v>
      </c>
      <c r="P31" s="151">
        <v>5293</v>
      </c>
      <c r="Q31" s="151">
        <v>3172</v>
      </c>
      <c r="R31" s="151">
        <v>3961</v>
      </c>
      <c r="S31" s="151">
        <v>574</v>
      </c>
      <c r="T31" s="151">
        <v>3016</v>
      </c>
      <c r="U31" s="151">
        <v>4586</v>
      </c>
      <c r="V31" s="151">
        <v>671</v>
      </c>
      <c r="W31" s="151">
        <v>1244</v>
      </c>
      <c r="X31" s="151">
        <v>9</v>
      </c>
      <c r="Y31" s="151">
        <v>1997</v>
      </c>
      <c r="Z31" s="241">
        <v>1535</v>
      </c>
      <c r="AA31" s="241">
        <f>SUM(O31:Z31)</f>
        <v>30145</v>
      </c>
      <c r="AB31" s="151">
        <v>1330</v>
      </c>
      <c r="AC31" s="151">
        <v>4460</v>
      </c>
      <c r="AD31" s="151">
        <v>10372</v>
      </c>
      <c r="AE31" s="151">
        <v>426</v>
      </c>
      <c r="AF31" s="151">
        <v>153</v>
      </c>
      <c r="AG31" s="151">
        <v>3211</v>
      </c>
      <c r="AH31" s="151">
        <v>1759</v>
      </c>
      <c r="AI31" s="151">
        <v>4105</v>
      </c>
      <c r="AJ31" s="151">
        <v>370</v>
      </c>
      <c r="AK31" s="151">
        <v>5537</v>
      </c>
      <c r="AL31" s="151">
        <v>4381</v>
      </c>
      <c r="AM31" s="241">
        <v>398</v>
      </c>
      <c r="AN31" s="241">
        <f>SUM(AB31:AM31)</f>
        <v>36502</v>
      </c>
      <c r="AO31" s="151">
        <v>705</v>
      </c>
      <c r="AP31" s="151">
        <v>10631</v>
      </c>
      <c r="AQ31" s="151">
        <v>184</v>
      </c>
      <c r="AR31" s="151">
        <v>5412</v>
      </c>
      <c r="AS31" s="151">
        <v>7627</v>
      </c>
      <c r="AT31" s="151">
        <v>743</v>
      </c>
      <c r="AU31" s="151">
        <v>11309</v>
      </c>
      <c r="AV31" s="151">
        <v>1175</v>
      </c>
      <c r="AW31" s="151">
        <v>1030</v>
      </c>
      <c r="AX31" s="151">
        <v>743</v>
      </c>
      <c r="AY31" s="151">
        <v>308</v>
      </c>
      <c r="AZ31" s="241">
        <v>352</v>
      </c>
      <c r="BA31" s="241">
        <f>SUM(AO31:AZ31)</f>
        <v>40219</v>
      </c>
      <c r="BB31" s="151">
        <v>20325</v>
      </c>
      <c r="BC31" s="151">
        <v>1468</v>
      </c>
      <c r="BD31" s="151">
        <v>428</v>
      </c>
      <c r="BE31" s="151">
        <v>697</v>
      </c>
      <c r="BF31" s="151">
        <v>2125</v>
      </c>
      <c r="BG31" s="151">
        <v>920</v>
      </c>
      <c r="BH31" s="151">
        <v>1459</v>
      </c>
      <c r="BI31" s="151">
        <v>832</v>
      </c>
      <c r="BJ31" s="151">
        <v>588</v>
      </c>
      <c r="BK31" s="151">
        <v>626</v>
      </c>
      <c r="BL31" s="151">
        <v>2264</v>
      </c>
      <c r="BM31" s="241">
        <v>1168</v>
      </c>
      <c r="BN31" s="241">
        <f>SUM(BB31:BM31)</f>
        <v>32900</v>
      </c>
      <c r="BO31" s="151">
        <v>1329</v>
      </c>
      <c r="BP31" s="151">
        <v>15405</v>
      </c>
      <c r="BQ31" s="151">
        <v>2792</v>
      </c>
      <c r="BR31" s="151">
        <v>3259</v>
      </c>
      <c r="BS31" s="151">
        <v>370</v>
      </c>
      <c r="BT31" s="151">
        <v>136</v>
      </c>
      <c r="BU31" s="151">
        <v>659</v>
      </c>
      <c r="BV31" s="151">
        <v>1671</v>
      </c>
      <c r="BW31" s="151">
        <v>7993</v>
      </c>
      <c r="BX31" s="151">
        <v>787</v>
      </c>
      <c r="BY31" s="151">
        <v>3028</v>
      </c>
      <c r="BZ31" s="241">
        <v>2385</v>
      </c>
      <c r="CA31" s="241">
        <f t="shared" si="32"/>
        <v>39814</v>
      </c>
      <c r="CB31" s="151">
        <v>3075</v>
      </c>
      <c r="CC31" s="151">
        <v>15235</v>
      </c>
      <c r="CD31" s="151">
        <v>1659</v>
      </c>
      <c r="CE31" s="151">
        <v>450</v>
      </c>
      <c r="CF31" s="151">
        <v>1575</v>
      </c>
      <c r="CG31" s="151">
        <v>-194</v>
      </c>
      <c r="CH31" s="151">
        <v>4418</v>
      </c>
      <c r="CI31" s="151">
        <v>1216</v>
      </c>
      <c r="CJ31" s="151">
        <v>964</v>
      </c>
      <c r="CK31" s="151">
        <v>1092</v>
      </c>
      <c r="CL31" s="151">
        <v>5144</v>
      </c>
      <c r="CM31" s="241">
        <v>4153</v>
      </c>
      <c r="CN31" s="241">
        <f t="shared" si="34"/>
        <v>38787</v>
      </c>
      <c r="CO31" s="151">
        <v>2078</v>
      </c>
      <c r="CP31" s="151">
        <v>1377</v>
      </c>
      <c r="CQ31" s="151">
        <v>21242</v>
      </c>
      <c r="CR31" s="151">
        <v>866</v>
      </c>
      <c r="CS31" s="151">
        <v>92</v>
      </c>
      <c r="CT31" s="151">
        <v>2195</v>
      </c>
      <c r="CU31" s="151">
        <v>956</v>
      </c>
      <c r="CV31" s="151">
        <v>3151</v>
      </c>
      <c r="CW31" s="151">
        <v>5816</v>
      </c>
      <c r="CX31" s="151">
        <v>1161</v>
      </c>
      <c r="CY31" s="151">
        <v>6538</v>
      </c>
      <c r="CZ31" s="241">
        <v>867</v>
      </c>
      <c r="DA31" s="241">
        <f>SUM(CO31:CZ31)</f>
        <v>46339</v>
      </c>
      <c r="DB31" s="151">
        <v>8833</v>
      </c>
      <c r="DC31" s="151">
        <v>14044</v>
      </c>
      <c r="DD31" s="151">
        <v>7067</v>
      </c>
      <c r="DE31" s="151">
        <v>1393</v>
      </c>
      <c r="DF31" s="151">
        <v>2813</v>
      </c>
      <c r="DG31" s="151">
        <v>170</v>
      </c>
      <c r="DH31" s="151">
        <v>208</v>
      </c>
      <c r="DI31" s="151">
        <v>2097</v>
      </c>
      <c r="DJ31" s="151"/>
      <c r="DK31" s="151">
        <v>423</v>
      </c>
      <c r="DL31" s="151">
        <v>2510</v>
      </c>
      <c r="DM31" s="241">
        <v>553</v>
      </c>
      <c r="DN31" s="241">
        <f t="shared" si="38"/>
        <v>40111</v>
      </c>
      <c r="DO31" s="151">
        <v>1597</v>
      </c>
      <c r="DP31" s="151">
        <v>25369</v>
      </c>
      <c r="DQ31" s="151">
        <v>1622</v>
      </c>
      <c r="DR31" s="151">
        <v>606</v>
      </c>
      <c r="DS31" s="151">
        <v>2482</v>
      </c>
      <c r="DT31" s="151">
        <v>43</v>
      </c>
      <c r="DU31" s="151">
        <v>103</v>
      </c>
      <c r="DV31" s="151">
        <v>689</v>
      </c>
      <c r="DW31" s="151">
        <v>1751</v>
      </c>
      <c r="DX31" s="151">
        <v>440</v>
      </c>
      <c r="DY31" s="151">
        <v>28</v>
      </c>
      <c r="DZ31" s="241">
        <v>446</v>
      </c>
      <c r="EA31" s="241">
        <f t="shared" si="40"/>
        <v>35176</v>
      </c>
      <c r="EB31" s="151">
        <v>2239</v>
      </c>
      <c r="EC31" s="151">
        <v>15994</v>
      </c>
      <c r="ED31" s="151">
        <v>2434</v>
      </c>
      <c r="EE31" s="151">
        <v>0</v>
      </c>
      <c r="EF31" s="151">
        <v>0</v>
      </c>
      <c r="EG31" s="151">
        <v>3967</v>
      </c>
      <c r="EH31" s="151">
        <v>1268</v>
      </c>
      <c r="EI31" s="151">
        <v>533</v>
      </c>
      <c r="EJ31" s="151">
        <v>1407</v>
      </c>
      <c r="EK31" s="151">
        <v>15</v>
      </c>
      <c r="EL31" s="151">
        <v>614</v>
      </c>
      <c r="EM31" s="241">
        <v>1553</v>
      </c>
      <c r="EN31" s="241">
        <f>SUM(EB31:EM31)</f>
        <v>30024</v>
      </c>
      <c r="EO31" s="151">
        <v>29745</v>
      </c>
      <c r="EP31" s="151">
        <v>256</v>
      </c>
      <c r="EQ31" s="151">
        <v>701</v>
      </c>
      <c r="ER31" s="151">
        <v>0</v>
      </c>
      <c r="ES31" s="151">
        <v>643</v>
      </c>
      <c r="ET31" s="151">
        <v>0</v>
      </c>
      <c r="EU31" s="151">
        <v>1640</v>
      </c>
      <c r="EV31" s="950">
        <v>1846</v>
      </c>
      <c r="EX31" s="151"/>
      <c r="EY31" s="151"/>
      <c r="EZ31" s="241"/>
      <c r="FA31" s="241">
        <f>SUM(EO31:EZ31)</f>
        <v>34831</v>
      </c>
      <c r="FC31" s="184" t="str">
        <f t="shared" ref="FC31:FC33" si="91">IFERROR((((ER31/EE31)-1)*100),"")</f>
        <v/>
      </c>
      <c r="FD31" s="184">
        <f>IFERROR(((FF31/FE31)-1)*100,"")</f>
        <v>31.760923018725173</v>
      </c>
      <c r="FE31" s="161">
        <f t="shared" si="48"/>
        <v>26435</v>
      </c>
      <c r="FF31" s="161">
        <f>SUMIFS($B31:$FA31,$B$5:$FA$5,"&gt;="&amp;DATE(YEAR($FC$5),1,1),$B$5:$FA$5,"&lt;="&amp;$FC$5)</f>
        <v>34831</v>
      </c>
    </row>
    <row r="32" spans="1:162" ht="15" customHeight="1" x14ac:dyDescent="0.25">
      <c r="A32" s="402" t="s">
        <v>429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241"/>
      <c r="N32" s="24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241"/>
      <c r="AA32" s="24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241"/>
      <c r="AN32" s="24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241"/>
      <c r="BA32" s="24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241"/>
      <c r="BN32" s="24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241"/>
      <c r="CA32" s="24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241"/>
      <c r="CN32" s="24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241"/>
      <c r="DA32" s="241"/>
      <c r="DB32" s="151" t="s">
        <v>140</v>
      </c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241"/>
      <c r="DN32" s="241">
        <f t="shared" si="38"/>
        <v>0</v>
      </c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241"/>
      <c r="EA32" s="241">
        <f t="shared" si="40"/>
        <v>0</v>
      </c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241"/>
      <c r="EN32" s="241">
        <f t="shared" ref="EN32" si="92">SUM(EB32:EM32)</f>
        <v>0</v>
      </c>
      <c r="EO32" s="151"/>
      <c r="EP32" s="151"/>
      <c r="EQ32" s="151"/>
      <c r="ER32" s="151"/>
      <c r="ES32" s="151"/>
      <c r="ET32" s="151"/>
      <c r="EU32" s="151"/>
      <c r="EV32" s="950"/>
      <c r="EW32" s="151"/>
      <c r="EX32" s="151"/>
      <c r="EY32" s="151"/>
      <c r="EZ32" s="241"/>
      <c r="FA32" s="241">
        <f t="shared" si="45"/>
        <v>0</v>
      </c>
      <c r="FC32" s="184" t="str">
        <f t="shared" si="91"/>
        <v/>
      </c>
      <c r="FD32" s="184" t="str">
        <f t="shared" si="47"/>
        <v/>
      </c>
      <c r="FE32" s="161">
        <f t="shared" si="48"/>
        <v>0</v>
      </c>
      <c r="FF32" s="161">
        <f>SUMIFS($B32:$FA32,$B$5:$FA$5,"&gt;="&amp;DATE(YEAR($FC$5),1,1),$B$5:$FA$5,"&lt;="&amp;$FC$5)</f>
        <v>0</v>
      </c>
    </row>
    <row r="33" spans="1:162" ht="15" customHeight="1" x14ac:dyDescent="0.25">
      <c r="A33" s="402" t="s">
        <v>430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241"/>
      <c r="N33" s="24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241"/>
      <c r="AA33" s="24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241"/>
      <c r="AN33" s="24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241"/>
      <c r="BA33" s="24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241"/>
      <c r="BN33" s="24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241"/>
      <c r="CA33" s="24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241"/>
      <c r="CN33" s="24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241"/>
      <c r="DA33" s="24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241"/>
      <c r="DN33" s="241">
        <f t="shared" si="38"/>
        <v>0</v>
      </c>
      <c r="DO33" s="151"/>
      <c r="DP33" s="151"/>
      <c r="DQ33" s="151"/>
      <c r="DR33" s="151"/>
      <c r="DS33" s="151"/>
      <c r="DT33" s="151"/>
      <c r="DU33" s="151"/>
      <c r="DV33" s="151"/>
      <c r="DW33" s="151"/>
      <c r="DX33" s="151"/>
      <c r="DY33" s="151"/>
      <c r="DZ33" s="241"/>
      <c r="EA33" s="241">
        <f t="shared" si="40"/>
        <v>0</v>
      </c>
      <c r="EB33" s="151"/>
      <c r="EC33" s="151"/>
      <c r="ED33" s="151"/>
      <c r="EE33" s="151"/>
      <c r="EF33" s="151"/>
      <c r="EG33" s="151"/>
      <c r="EH33" s="151"/>
      <c r="EI33" s="151"/>
      <c r="EJ33" s="151"/>
      <c r="EK33" s="151"/>
      <c r="EL33" s="151"/>
      <c r="EM33" s="241"/>
      <c r="EN33" s="241">
        <f>SUM(EB33:EM33)</f>
        <v>0</v>
      </c>
      <c r="EO33" s="151"/>
      <c r="EP33" s="151"/>
      <c r="EQ33" s="151"/>
      <c r="ER33" s="151"/>
      <c r="ES33" s="151"/>
      <c r="ET33" s="151"/>
      <c r="EU33" s="151"/>
      <c r="EV33" s="950"/>
      <c r="EW33" s="151"/>
      <c r="EX33" s="151"/>
      <c r="EY33" s="151"/>
      <c r="EZ33" s="241"/>
      <c r="FA33" s="241">
        <f>SUM(EO33:EZ33)</f>
        <v>0</v>
      </c>
      <c r="FC33" s="184" t="str">
        <f t="shared" si="91"/>
        <v/>
      </c>
      <c r="FD33" s="184" t="str">
        <f>IFERROR(((FF33/FE33)-1)*100,"")</f>
        <v/>
      </c>
      <c r="FE33" s="161">
        <f t="shared" si="48"/>
        <v>0</v>
      </c>
      <c r="FF33" s="161">
        <f>SUMIFS($B33:$FA33,$B$5:$FA$5,"&gt;="&amp;DATE(YEAR($FC$5),1,1),$B$5:$FA$5,"&lt;="&amp;$FC$5)</f>
        <v>0</v>
      </c>
    </row>
    <row r="34" spans="1:162" ht="15" customHeight="1" x14ac:dyDescent="0.25">
      <c r="A34" s="133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199"/>
      <c r="N34" s="199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199"/>
      <c r="AA34" s="199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199"/>
      <c r="AN34" s="199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199"/>
      <c r="BA34" s="199"/>
      <c r="BB34" s="230"/>
      <c r="BC34" s="230"/>
      <c r="BD34" s="230"/>
      <c r="BE34" s="230"/>
      <c r="BF34" s="230"/>
      <c r="BG34" s="230"/>
      <c r="BH34" s="230"/>
      <c r="BI34" s="230"/>
      <c r="BJ34" s="230"/>
      <c r="BK34" s="230"/>
      <c r="BL34" s="230"/>
      <c r="BM34" s="199"/>
      <c r="BN34" s="199"/>
      <c r="BO34" s="230"/>
      <c r="BP34" s="230"/>
      <c r="BQ34" s="230"/>
      <c r="BR34" s="230"/>
      <c r="BS34" s="230"/>
      <c r="BT34" s="230"/>
      <c r="BU34" s="230"/>
      <c r="BV34" s="230"/>
      <c r="BW34" s="230"/>
      <c r="BX34" s="230"/>
      <c r="BY34" s="230"/>
      <c r="BZ34" s="199"/>
      <c r="CA34" s="199"/>
      <c r="CB34" s="230"/>
      <c r="CC34" s="230"/>
      <c r="CD34" s="230"/>
      <c r="CE34" s="230"/>
      <c r="CF34" s="230"/>
      <c r="CG34" s="230"/>
      <c r="CH34" s="230"/>
      <c r="CI34" s="230"/>
      <c r="CJ34" s="230"/>
      <c r="CK34" s="230"/>
      <c r="CL34" s="230"/>
      <c r="CM34" s="199"/>
      <c r="CN34" s="199"/>
      <c r="CO34" s="230"/>
      <c r="CP34" s="230"/>
      <c r="CQ34" s="230"/>
      <c r="CR34" s="230"/>
      <c r="CS34" s="230"/>
      <c r="CT34" s="230"/>
      <c r="CU34" s="230"/>
      <c r="CV34" s="230"/>
      <c r="CW34" s="230"/>
      <c r="CX34" s="230"/>
      <c r="CY34" s="230"/>
      <c r="CZ34" s="199"/>
      <c r="DA34" s="199"/>
      <c r="DB34" s="230"/>
      <c r="DC34" s="230"/>
      <c r="DD34" s="230"/>
      <c r="DE34" s="230"/>
      <c r="DF34" s="230"/>
      <c r="DG34" s="230"/>
      <c r="DH34" s="230"/>
      <c r="DI34" s="230"/>
      <c r="DJ34" s="230"/>
      <c r="DK34" s="230"/>
      <c r="DL34" s="230"/>
      <c r="DM34" s="199"/>
      <c r="DN34" s="199"/>
      <c r="DO34" s="230"/>
      <c r="DP34" s="230"/>
      <c r="DQ34" s="230"/>
      <c r="DR34" s="230"/>
      <c r="DS34" s="230"/>
      <c r="DT34" s="230"/>
      <c r="DU34" s="230"/>
      <c r="DV34" s="230"/>
      <c r="DW34" s="230"/>
      <c r="DX34" s="230"/>
      <c r="DY34" s="230"/>
      <c r="DZ34" s="199"/>
      <c r="EA34" s="199"/>
      <c r="EB34" s="230"/>
      <c r="EC34" s="230"/>
      <c r="ED34" s="230"/>
      <c r="EE34" s="230"/>
      <c r="EF34" s="230"/>
      <c r="EG34" s="230"/>
      <c r="EH34" s="230"/>
      <c r="EI34" s="230"/>
      <c r="EJ34" s="230"/>
      <c r="EK34" s="230"/>
      <c r="EL34" s="230"/>
      <c r="EM34" s="199"/>
      <c r="EN34" s="199"/>
      <c r="EO34" s="230"/>
      <c r="EP34" s="230"/>
      <c r="EQ34" s="230"/>
      <c r="ER34" s="230"/>
      <c r="ES34" s="230"/>
      <c r="ET34" s="230"/>
      <c r="EU34" s="230"/>
      <c r="EV34" s="953"/>
      <c r="EW34" s="230"/>
      <c r="EX34" s="230"/>
      <c r="EY34" s="230"/>
      <c r="EZ34" s="199"/>
      <c r="FA34" s="199"/>
      <c r="FC34" s="274"/>
      <c r="FD34" s="274"/>
      <c r="FE34" s="204"/>
      <c r="FF34" s="204"/>
    </row>
    <row r="35" spans="1:162" ht="15" customHeight="1" x14ac:dyDescent="0.25">
      <c r="A35" s="131" t="s">
        <v>244</v>
      </c>
      <c r="BR35" s="225"/>
      <c r="BS35" s="225"/>
      <c r="BT35" s="225"/>
      <c r="BU35" s="225"/>
      <c r="BV35" s="225"/>
      <c r="BW35" s="225"/>
      <c r="BX35" s="225"/>
      <c r="BY35" s="225"/>
      <c r="BZ35" s="225"/>
      <c r="CA35" s="225"/>
      <c r="CB35" s="225"/>
      <c r="CC35" s="225"/>
      <c r="CD35" s="225"/>
      <c r="CE35" s="225"/>
      <c r="CF35" s="225"/>
      <c r="CG35" s="225"/>
      <c r="CH35" s="225"/>
      <c r="CI35" s="225"/>
      <c r="CJ35" s="225"/>
      <c r="CK35" s="225"/>
      <c r="CL35" s="225"/>
      <c r="CM35" s="225"/>
      <c r="CN35" s="225"/>
      <c r="CO35" s="225"/>
      <c r="CP35" s="225"/>
      <c r="CQ35" s="225"/>
      <c r="CR35" s="225"/>
      <c r="CS35" s="225"/>
      <c r="CT35" s="225"/>
      <c r="CU35" s="225"/>
      <c r="CV35" s="225"/>
      <c r="CW35" s="225"/>
      <c r="CX35" s="225"/>
    </row>
    <row r="36" spans="1:162" ht="15" customHeight="1" x14ac:dyDescent="0.25">
      <c r="A36" s="175" t="s">
        <v>145</v>
      </c>
      <c r="BR36" s="225"/>
      <c r="BS36" s="225"/>
      <c r="BT36" s="225"/>
      <c r="BU36" s="225"/>
      <c r="BV36" s="225"/>
      <c r="BW36" s="225"/>
      <c r="BX36" s="225"/>
      <c r="BY36" s="225"/>
      <c r="BZ36" s="225"/>
      <c r="CA36" s="225"/>
      <c r="CB36" s="225"/>
      <c r="CC36" s="225"/>
      <c r="CD36" s="225"/>
      <c r="CE36" s="225"/>
      <c r="CF36" s="225"/>
      <c r="CG36" s="225"/>
      <c r="CH36" s="225"/>
      <c r="CI36" s="225"/>
      <c r="CJ36" s="225"/>
      <c r="CK36" s="225"/>
      <c r="CL36" s="225"/>
      <c r="CM36" s="225"/>
      <c r="CN36" s="225"/>
      <c r="CO36" s="225"/>
      <c r="CP36" s="225"/>
      <c r="CQ36" s="225"/>
      <c r="CR36" s="225"/>
      <c r="CS36" s="225"/>
      <c r="CT36" s="225"/>
      <c r="CU36" s="225"/>
      <c r="CV36" s="225"/>
      <c r="CW36" s="225"/>
      <c r="CX36" s="225"/>
    </row>
    <row r="37" spans="1:162" ht="15" customHeight="1" x14ac:dyDescent="0.25"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>
        <f t="shared" ref="O37:Z37" si="93">O7-O23</f>
        <v>7199</v>
      </c>
      <c r="P37" s="127">
        <f t="shared" si="93"/>
        <v>7528</v>
      </c>
      <c r="Q37" s="127">
        <f t="shared" si="93"/>
        <v>6852</v>
      </c>
      <c r="R37" s="127">
        <f t="shared" si="93"/>
        <v>7626</v>
      </c>
      <c r="S37" s="127">
        <f t="shared" si="93"/>
        <v>2936</v>
      </c>
      <c r="T37" s="127">
        <f t="shared" si="93"/>
        <v>7361</v>
      </c>
      <c r="U37" s="127">
        <f t="shared" si="93"/>
        <v>5753</v>
      </c>
      <c r="V37" s="127">
        <f t="shared" si="93"/>
        <v>4235</v>
      </c>
      <c r="W37" s="127">
        <f t="shared" si="93"/>
        <v>4288</v>
      </c>
      <c r="X37" s="127">
        <f t="shared" si="93"/>
        <v>1773</v>
      </c>
      <c r="Y37" s="127">
        <f t="shared" si="93"/>
        <v>3295</v>
      </c>
      <c r="Z37" s="127">
        <f t="shared" si="93"/>
        <v>5289</v>
      </c>
      <c r="AA37" s="127"/>
      <c r="AB37" s="127">
        <f t="shared" ref="AB37:AM37" si="94">AB7-AB23</f>
        <v>2245</v>
      </c>
      <c r="AC37" s="127">
        <f t="shared" si="94"/>
        <v>6860</v>
      </c>
      <c r="AD37" s="127">
        <f t="shared" si="94"/>
        <v>14376</v>
      </c>
      <c r="AE37" s="127">
        <f t="shared" si="94"/>
        <v>3293</v>
      </c>
      <c r="AF37" s="127">
        <f t="shared" si="94"/>
        <v>1042</v>
      </c>
      <c r="AG37" s="127">
        <f t="shared" si="94"/>
        <v>5460</v>
      </c>
      <c r="AH37" s="127">
        <f t="shared" si="94"/>
        <v>5635</v>
      </c>
      <c r="AI37" s="127">
        <f t="shared" si="94"/>
        <v>5909</v>
      </c>
      <c r="AJ37" s="127">
        <f t="shared" si="94"/>
        <v>3051</v>
      </c>
      <c r="AK37" s="127">
        <f t="shared" si="94"/>
        <v>8480</v>
      </c>
      <c r="AL37" s="127">
        <f t="shared" si="94"/>
        <v>5950</v>
      </c>
      <c r="AM37" s="127">
        <f t="shared" si="94"/>
        <v>6885</v>
      </c>
      <c r="AN37" s="127"/>
      <c r="AO37" s="127">
        <f t="shared" ref="AO37:AZ37" si="95">AO7-AO23</f>
        <v>9143</v>
      </c>
      <c r="AP37" s="127">
        <f t="shared" si="95"/>
        <v>14316</v>
      </c>
      <c r="AQ37" s="127">
        <f t="shared" si="95"/>
        <v>3719</v>
      </c>
      <c r="AR37" s="127">
        <f t="shared" si="95"/>
        <v>8955</v>
      </c>
      <c r="AS37" s="127">
        <f t="shared" si="95"/>
        <v>11430</v>
      </c>
      <c r="AT37" s="127">
        <f t="shared" si="95"/>
        <v>3722</v>
      </c>
      <c r="AU37" s="127">
        <f t="shared" si="95"/>
        <v>17639</v>
      </c>
      <c r="AV37" s="127">
        <f t="shared" si="95"/>
        <v>4962</v>
      </c>
      <c r="AW37" s="127">
        <f t="shared" si="95"/>
        <v>263</v>
      </c>
      <c r="AX37" s="127">
        <f t="shared" si="95"/>
        <v>7227</v>
      </c>
      <c r="AY37" s="127">
        <f t="shared" si="95"/>
        <v>4949</v>
      </c>
      <c r="AZ37" s="127">
        <f t="shared" si="95"/>
        <v>5686</v>
      </c>
      <c r="BA37" s="127"/>
      <c r="BB37" s="127">
        <f t="shared" ref="BB37:BM37" si="96">BB7-BB23</f>
        <v>22572</v>
      </c>
      <c r="BC37" s="127">
        <f t="shared" si="96"/>
        <v>3907</v>
      </c>
      <c r="BD37" s="127">
        <f t="shared" si="96"/>
        <v>1641</v>
      </c>
      <c r="BE37" s="127">
        <f t="shared" si="96"/>
        <v>4292</v>
      </c>
      <c r="BF37" s="127">
        <f t="shared" si="96"/>
        <v>6626</v>
      </c>
      <c r="BG37" s="127">
        <f t="shared" si="96"/>
        <v>1437</v>
      </c>
      <c r="BH37" s="127">
        <f t="shared" si="96"/>
        <v>5522</v>
      </c>
      <c r="BI37" s="127">
        <f t="shared" si="96"/>
        <v>6202</v>
      </c>
      <c r="BJ37" s="127">
        <f t="shared" si="96"/>
        <v>8628</v>
      </c>
      <c r="BK37" s="127">
        <f t="shared" si="96"/>
        <v>7481</v>
      </c>
      <c r="BL37" s="127">
        <f t="shared" si="96"/>
        <v>6573</v>
      </c>
      <c r="BM37" s="127">
        <f t="shared" si="96"/>
        <v>417</v>
      </c>
      <c r="BN37" s="127"/>
      <c r="BO37" s="127">
        <f t="shared" ref="BO37:BZ37" si="97">BO7-BO23</f>
        <v>3713</v>
      </c>
      <c r="BP37" s="127">
        <f t="shared" si="97"/>
        <v>16401</v>
      </c>
      <c r="BQ37" s="127">
        <f t="shared" si="97"/>
        <v>7542</v>
      </c>
      <c r="BR37" s="127">
        <f t="shared" si="97"/>
        <v>3622</v>
      </c>
      <c r="BS37" s="127">
        <f t="shared" si="97"/>
        <v>858</v>
      </c>
      <c r="BT37" s="127">
        <f t="shared" si="97"/>
        <v>877</v>
      </c>
      <c r="BU37" s="127">
        <f t="shared" si="97"/>
        <v>2763</v>
      </c>
      <c r="BV37" s="127">
        <f t="shared" si="97"/>
        <v>4114</v>
      </c>
      <c r="BW37" s="127">
        <f t="shared" si="97"/>
        <v>76640</v>
      </c>
      <c r="BX37" s="127">
        <f t="shared" si="97"/>
        <v>7292</v>
      </c>
      <c r="BY37" s="127">
        <f t="shared" si="97"/>
        <v>5783</v>
      </c>
      <c r="BZ37" s="127">
        <f t="shared" si="97"/>
        <v>1868</v>
      </c>
      <c r="CA37" s="127"/>
      <c r="CB37" s="127">
        <f t="shared" ref="CB37:CM37" si="98">CB7-CB23</f>
        <v>5107</v>
      </c>
      <c r="CC37" s="127">
        <f t="shared" si="98"/>
        <v>42097</v>
      </c>
      <c r="CD37" s="127">
        <f t="shared" si="98"/>
        <v>6083</v>
      </c>
      <c r="CE37" s="127">
        <f t="shared" si="98"/>
        <v>12497</v>
      </c>
      <c r="CF37" s="127">
        <f t="shared" si="98"/>
        <v>4968</v>
      </c>
      <c r="CG37" s="127">
        <f t="shared" si="98"/>
        <v>6814</v>
      </c>
      <c r="CH37" s="127">
        <f t="shared" si="98"/>
        <v>9798</v>
      </c>
      <c r="CI37" s="127">
        <f t="shared" si="98"/>
        <v>7100</v>
      </c>
      <c r="CJ37" s="127">
        <f t="shared" si="98"/>
        <v>6947</v>
      </c>
      <c r="CK37" s="127">
        <f t="shared" si="98"/>
        <v>6481</v>
      </c>
      <c r="CL37" s="127">
        <f t="shared" si="98"/>
        <v>44670</v>
      </c>
      <c r="CM37" s="127">
        <f t="shared" si="98"/>
        <v>10572</v>
      </c>
      <c r="CN37" s="127"/>
      <c r="CO37" s="127">
        <f t="shared" ref="CO37:CZ37" si="99">CO7-CO23</f>
        <v>40436</v>
      </c>
      <c r="CP37" s="127">
        <f t="shared" si="99"/>
        <v>14378</v>
      </c>
      <c r="CQ37" s="127">
        <f t="shared" si="99"/>
        <v>65640</v>
      </c>
      <c r="CR37" s="127">
        <f t="shared" si="99"/>
        <v>20769</v>
      </c>
      <c r="CS37" s="127">
        <f t="shared" si="99"/>
        <v>22877</v>
      </c>
      <c r="CT37" s="127">
        <f t="shared" si="99"/>
        <v>30435</v>
      </c>
      <c r="CU37" s="127">
        <f t="shared" si="99"/>
        <v>30922</v>
      </c>
      <c r="CV37" s="127">
        <f t="shared" si="99"/>
        <v>30358</v>
      </c>
      <c r="CW37" s="127">
        <f t="shared" si="99"/>
        <v>40464</v>
      </c>
      <c r="CX37" s="127">
        <f t="shared" si="99"/>
        <v>32984</v>
      </c>
      <c r="CY37" s="127">
        <f t="shared" si="99"/>
        <v>47553</v>
      </c>
      <c r="CZ37" s="127">
        <f t="shared" si="99"/>
        <v>30074</v>
      </c>
      <c r="DA37" s="127"/>
      <c r="DB37" s="127">
        <f t="shared" ref="DB37:DM37" si="100">DB7-DB23</f>
        <v>34274</v>
      </c>
      <c r="DC37" s="127">
        <f t="shared" si="100"/>
        <v>37187</v>
      </c>
      <c r="DD37" s="127">
        <f t="shared" si="100"/>
        <v>64630</v>
      </c>
      <c r="DE37" s="127">
        <f t="shared" si="100"/>
        <v>105896</v>
      </c>
      <c r="DF37" s="127">
        <f t="shared" si="100"/>
        <v>34129</v>
      </c>
      <c r="DG37" s="127">
        <f t="shared" si="100"/>
        <v>-51159</v>
      </c>
      <c r="DH37" s="127">
        <f t="shared" si="100"/>
        <v>29276</v>
      </c>
      <c r="DI37" s="127">
        <f t="shared" si="100"/>
        <v>24830</v>
      </c>
      <c r="DJ37" s="127">
        <f t="shared" si="100"/>
        <v>26447</v>
      </c>
      <c r="DK37" s="127">
        <f t="shared" si="100"/>
        <v>71476</v>
      </c>
      <c r="DL37" s="127">
        <f t="shared" si="100"/>
        <v>47312</v>
      </c>
      <c r="DM37" s="127">
        <f t="shared" si="100"/>
        <v>964</v>
      </c>
      <c r="DN37" s="127"/>
      <c r="DO37" s="127">
        <f t="shared" ref="DO37:DZ37" si="101">DO7-DO23</f>
        <v>30773</v>
      </c>
      <c r="DP37" s="127">
        <f t="shared" si="101"/>
        <v>97026</v>
      </c>
      <c r="DQ37" s="127">
        <f t="shared" si="101"/>
        <v>36173</v>
      </c>
      <c r="DR37" s="127">
        <f t="shared" si="101"/>
        <v>23087</v>
      </c>
      <c r="DS37" s="127">
        <f t="shared" si="101"/>
        <v>34018</v>
      </c>
      <c r="DT37" s="127">
        <f t="shared" si="101"/>
        <v>32315</v>
      </c>
      <c r="DU37" s="127">
        <f t="shared" si="101"/>
        <v>71103</v>
      </c>
      <c r="DV37" s="127">
        <f t="shared" si="101"/>
        <v>39771</v>
      </c>
      <c r="DW37" s="127">
        <f t="shared" si="101"/>
        <v>35377</v>
      </c>
      <c r="DX37" s="127">
        <f t="shared" si="101"/>
        <v>34213</v>
      </c>
      <c r="DY37" s="127">
        <f t="shared" si="101"/>
        <v>36877</v>
      </c>
      <c r="DZ37" s="127">
        <f t="shared" si="101"/>
        <v>47525</v>
      </c>
      <c r="EA37" s="127"/>
      <c r="EB37" s="127">
        <f>EB7-EB23</f>
        <v>39700</v>
      </c>
      <c r="EC37" s="127">
        <f>EC7-EC23</f>
        <v>99620</v>
      </c>
      <c r="ED37" s="127">
        <f>ED7-ED23</f>
        <v>34333</v>
      </c>
      <c r="EE37" s="127">
        <f>EE7-EE23</f>
        <v>32789</v>
      </c>
      <c r="EF37" s="127">
        <f>EF7-EF23</f>
        <v>30075</v>
      </c>
      <c r="EG37" s="127">
        <f t="shared" ref="EG37:EM37" si="102">EG7-EG23</f>
        <v>35959</v>
      </c>
      <c r="EH37" s="127">
        <f t="shared" si="102"/>
        <v>75747</v>
      </c>
      <c r="EI37" s="127">
        <f t="shared" si="102"/>
        <v>35103</v>
      </c>
      <c r="EJ37" s="127">
        <f t="shared" si="102"/>
        <v>34833</v>
      </c>
      <c r="EK37" s="127">
        <f t="shared" si="102"/>
        <v>39783</v>
      </c>
      <c r="EL37" s="127">
        <f t="shared" si="102"/>
        <v>38394</v>
      </c>
      <c r="EM37" s="127">
        <f t="shared" si="102"/>
        <v>26499</v>
      </c>
      <c r="EN37" s="127"/>
      <c r="EO37" s="127">
        <f t="shared" ref="EO37:ET37" si="103">EO7-EO23</f>
        <v>64884</v>
      </c>
      <c r="EP37" s="127">
        <f t="shared" si="103"/>
        <v>82606</v>
      </c>
      <c r="EQ37" s="127">
        <f t="shared" si="103"/>
        <v>32254</v>
      </c>
      <c r="ER37" s="127">
        <f t="shared" si="103"/>
        <v>5819</v>
      </c>
      <c r="ES37" s="127">
        <f t="shared" si="103"/>
        <v>35008</v>
      </c>
      <c r="ET37" s="127">
        <f t="shared" si="103"/>
        <v>5907</v>
      </c>
      <c r="EU37" s="127">
        <f t="shared" ref="EU37" si="104">EU7-EU23</f>
        <v>11641</v>
      </c>
      <c r="EV37" s="954">
        <f t="shared" ref="EV37" si="105">EV7-EV23</f>
        <v>99770</v>
      </c>
      <c r="EW37" s="127"/>
      <c r="EX37" s="127"/>
      <c r="EY37" s="127"/>
      <c r="EZ37" s="127"/>
      <c r="FA37" s="127"/>
      <c r="FC37" s="127"/>
      <c r="FD37" s="127"/>
      <c r="FE37" s="127"/>
      <c r="FF37" s="127"/>
    </row>
    <row r="38" spans="1:162" ht="15" customHeight="1" x14ac:dyDescent="0.25"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>
        <f>O41-O37</f>
        <v>0</v>
      </c>
      <c r="P38" s="127">
        <f t="shared" ref="P38:Z38" si="106">P41-P37</f>
        <v>0</v>
      </c>
      <c r="Q38" s="127">
        <f t="shared" si="106"/>
        <v>0</v>
      </c>
      <c r="R38" s="127">
        <f t="shared" si="106"/>
        <v>0</v>
      </c>
      <c r="S38" s="127">
        <f t="shared" si="106"/>
        <v>0</v>
      </c>
      <c r="T38" s="127">
        <f t="shared" si="106"/>
        <v>0</v>
      </c>
      <c r="U38" s="127">
        <f t="shared" si="106"/>
        <v>0</v>
      </c>
      <c r="V38" s="127">
        <f t="shared" si="106"/>
        <v>0</v>
      </c>
      <c r="W38" s="127">
        <f t="shared" si="106"/>
        <v>0</v>
      </c>
      <c r="X38" s="127">
        <f t="shared" si="106"/>
        <v>0</v>
      </c>
      <c r="Y38" s="127">
        <f t="shared" si="106"/>
        <v>0</v>
      </c>
      <c r="Z38" s="127">
        <f t="shared" si="106"/>
        <v>0</v>
      </c>
      <c r="AA38" s="127"/>
      <c r="AB38" s="127">
        <f>AB41-AB37</f>
        <v>0</v>
      </c>
      <c r="AC38" s="127">
        <f t="shared" ref="AC38:AM38" si="107">AC41-AC37</f>
        <v>0</v>
      </c>
      <c r="AD38" s="127">
        <f t="shared" si="107"/>
        <v>0</v>
      </c>
      <c r="AE38" s="127">
        <f t="shared" si="107"/>
        <v>0</v>
      </c>
      <c r="AF38" s="127">
        <f t="shared" si="107"/>
        <v>73</v>
      </c>
      <c r="AG38" s="127">
        <f t="shared" si="107"/>
        <v>0</v>
      </c>
      <c r="AH38" s="127">
        <f t="shared" si="107"/>
        <v>0</v>
      </c>
      <c r="AI38" s="127">
        <f t="shared" si="107"/>
        <v>0</v>
      </c>
      <c r="AJ38" s="127">
        <f t="shared" si="107"/>
        <v>0</v>
      </c>
      <c r="AK38" s="127">
        <f t="shared" si="107"/>
        <v>0</v>
      </c>
      <c r="AL38" s="127">
        <f t="shared" si="107"/>
        <v>0</v>
      </c>
      <c r="AM38" s="127">
        <f t="shared" si="107"/>
        <v>0</v>
      </c>
      <c r="AN38" s="127"/>
      <c r="AO38" s="127">
        <f>AO41-AO37</f>
        <v>0</v>
      </c>
      <c r="AP38" s="127">
        <f t="shared" ref="AP38:AZ38" si="108">AP41-AP37</f>
        <v>0</v>
      </c>
      <c r="AQ38" s="127">
        <f t="shared" si="108"/>
        <v>0</v>
      </c>
      <c r="AR38" s="127">
        <f t="shared" si="108"/>
        <v>0</v>
      </c>
      <c r="AS38" s="127">
        <f t="shared" si="108"/>
        <v>0</v>
      </c>
      <c r="AT38" s="127">
        <f t="shared" si="108"/>
        <v>0</v>
      </c>
      <c r="AU38" s="127">
        <f t="shared" si="108"/>
        <v>0</v>
      </c>
      <c r="AV38" s="127">
        <f t="shared" si="108"/>
        <v>0</v>
      </c>
      <c r="AW38" s="127">
        <f t="shared" si="108"/>
        <v>0</v>
      </c>
      <c r="AX38" s="127">
        <f t="shared" si="108"/>
        <v>0</v>
      </c>
      <c r="AY38" s="127">
        <f t="shared" si="108"/>
        <v>0</v>
      </c>
      <c r="AZ38" s="127">
        <f t="shared" si="108"/>
        <v>-2649</v>
      </c>
      <c r="BA38" s="127"/>
      <c r="BB38" s="127">
        <f>BB41-BB37</f>
        <v>0</v>
      </c>
      <c r="BC38" s="127">
        <f t="shared" ref="BC38:BM38" si="109">BC41-BC37</f>
        <v>0</v>
      </c>
      <c r="BD38" s="127">
        <f t="shared" si="109"/>
        <v>0</v>
      </c>
      <c r="BE38" s="127">
        <f t="shared" si="109"/>
        <v>0</v>
      </c>
      <c r="BF38" s="127">
        <f t="shared" si="109"/>
        <v>0</v>
      </c>
      <c r="BG38" s="127">
        <f t="shared" si="109"/>
        <v>-1</v>
      </c>
      <c r="BH38" s="127">
        <f t="shared" si="109"/>
        <v>0</v>
      </c>
      <c r="BI38" s="127">
        <f t="shared" si="109"/>
        <v>0</v>
      </c>
      <c r="BJ38" s="127">
        <f t="shared" si="109"/>
        <v>0</v>
      </c>
      <c r="BK38" s="127">
        <f t="shared" si="109"/>
        <v>0</v>
      </c>
      <c r="BL38" s="127">
        <f t="shared" si="109"/>
        <v>0</v>
      </c>
      <c r="BM38" s="127">
        <f t="shared" si="109"/>
        <v>0</v>
      </c>
      <c r="BN38" s="127"/>
      <c r="BO38" s="127">
        <f>BO41-BO37</f>
        <v>0</v>
      </c>
      <c r="BP38" s="127">
        <f t="shared" ref="BP38:BZ38" si="110">BP41-BP37</f>
        <v>-9.9999999998544808E-2</v>
      </c>
      <c r="BQ38" s="127">
        <f t="shared" si="110"/>
        <v>0</v>
      </c>
      <c r="BR38" s="127">
        <f t="shared" si="110"/>
        <v>0</v>
      </c>
      <c r="BS38" s="127">
        <f t="shared" si="110"/>
        <v>0</v>
      </c>
      <c r="BT38" s="127">
        <f t="shared" si="110"/>
        <v>0</v>
      </c>
      <c r="BU38" s="127">
        <f t="shared" si="110"/>
        <v>0</v>
      </c>
      <c r="BV38" s="127">
        <f t="shared" si="110"/>
        <v>0</v>
      </c>
      <c r="BW38" s="127">
        <f t="shared" si="110"/>
        <v>0</v>
      </c>
      <c r="BX38" s="127">
        <f t="shared" si="110"/>
        <v>0</v>
      </c>
      <c r="BY38" s="127">
        <f t="shared" si="110"/>
        <v>0</v>
      </c>
      <c r="BZ38" s="127">
        <f t="shared" si="110"/>
        <v>0</v>
      </c>
      <c r="CA38" s="127"/>
      <c r="CB38" s="127">
        <f>CB41-CB37</f>
        <v>0</v>
      </c>
      <c r="CC38" s="127">
        <f t="shared" ref="CC38:CM38" si="111">CC41-CC37</f>
        <v>0</v>
      </c>
      <c r="CD38" s="127">
        <f t="shared" si="111"/>
        <v>0</v>
      </c>
      <c r="CE38" s="127">
        <f t="shared" si="111"/>
        <v>0</v>
      </c>
      <c r="CF38" s="127">
        <f t="shared" si="111"/>
        <v>0</v>
      </c>
      <c r="CG38" s="127">
        <f>CG41-CG37</f>
        <v>0</v>
      </c>
      <c r="CH38" s="127">
        <f t="shared" si="111"/>
        <v>0</v>
      </c>
      <c r="CI38" s="127">
        <f t="shared" si="111"/>
        <v>0</v>
      </c>
      <c r="CJ38" s="127">
        <f t="shared" si="111"/>
        <v>0</v>
      </c>
      <c r="CK38" s="127">
        <f t="shared" si="111"/>
        <v>0</v>
      </c>
      <c r="CL38" s="127">
        <f t="shared" si="111"/>
        <v>0</v>
      </c>
      <c r="CM38" s="127">
        <f t="shared" si="111"/>
        <v>0</v>
      </c>
      <c r="CN38" s="127"/>
      <c r="CO38" s="127">
        <f t="shared" ref="CO38:CY38" si="112">CO41-CO37</f>
        <v>0</v>
      </c>
      <c r="CP38" s="127">
        <f t="shared" si="112"/>
        <v>0</v>
      </c>
      <c r="CQ38" s="127">
        <f t="shared" si="112"/>
        <v>0</v>
      </c>
      <c r="CR38" s="127">
        <f t="shared" si="112"/>
        <v>0</v>
      </c>
      <c r="CS38" s="127">
        <f t="shared" si="112"/>
        <v>0</v>
      </c>
      <c r="CT38" s="127">
        <f t="shared" si="112"/>
        <v>0</v>
      </c>
      <c r="CU38" s="127">
        <f t="shared" si="112"/>
        <v>0</v>
      </c>
      <c r="CV38" s="127">
        <f t="shared" si="112"/>
        <v>0</v>
      </c>
      <c r="CW38" s="127">
        <f t="shared" si="112"/>
        <v>0</v>
      </c>
      <c r="CX38" s="127">
        <f t="shared" si="112"/>
        <v>0</v>
      </c>
      <c r="CY38" s="127">
        <f t="shared" si="112"/>
        <v>0</v>
      </c>
      <c r="CZ38" s="127">
        <f>CZ41-CZ37</f>
        <v>0</v>
      </c>
      <c r="DA38" s="127"/>
      <c r="DB38" s="127">
        <f t="shared" ref="DB38:DL38" si="113">DB41-DB37</f>
        <v>0</v>
      </c>
      <c r="DC38" s="127">
        <f t="shared" si="113"/>
        <v>0</v>
      </c>
      <c r="DD38" s="127">
        <f t="shared" si="113"/>
        <v>0</v>
      </c>
      <c r="DE38" s="127">
        <f t="shared" si="113"/>
        <v>0</v>
      </c>
      <c r="DF38" s="127">
        <f t="shared" si="113"/>
        <v>0</v>
      </c>
      <c r="DG38" s="127">
        <f t="shared" si="113"/>
        <v>0</v>
      </c>
      <c r="DH38" s="127">
        <f t="shared" si="113"/>
        <v>0</v>
      </c>
      <c r="DI38" s="127">
        <f t="shared" si="113"/>
        <v>0</v>
      </c>
      <c r="DJ38" s="127">
        <f t="shared" si="113"/>
        <v>0</v>
      </c>
      <c r="DK38" s="127">
        <f t="shared" si="113"/>
        <v>0</v>
      </c>
      <c r="DL38" s="127">
        <f t="shared" si="113"/>
        <v>0</v>
      </c>
      <c r="DM38" s="127">
        <f>DM41-DM37</f>
        <v>0</v>
      </c>
      <c r="DN38" s="127"/>
      <c r="DO38" s="127">
        <f t="shared" ref="DO38:DZ38" si="114">DO41-DO37</f>
        <v>0</v>
      </c>
      <c r="DP38" s="127">
        <f t="shared" si="114"/>
        <v>0</v>
      </c>
      <c r="DQ38" s="127">
        <f t="shared" si="114"/>
        <v>0</v>
      </c>
      <c r="DR38" s="127">
        <f t="shared" si="114"/>
        <v>0</v>
      </c>
      <c r="DS38" s="127">
        <f t="shared" si="114"/>
        <v>0</v>
      </c>
      <c r="DT38" s="127">
        <f t="shared" si="114"/>
        <v>0</v>
      </c>
      <c r="DU38" s="127">
        <f t="shared" si="114"/>
        <v>0</v>
      </c>
      <c r="DV38" s="127">
        <f t="shared" si="114"/>
        <v>0</v>
      </c>
      <c r="DW38" s="127">
        <f t="shared" si="114"/>
        <v>0</v>
      </c>
      <c r="DX38" s="127">
        <f t="shared" si="114"/>
        <v>0</v>
      </c>
      <c r="DY38" s="127">
        <f t="shared" si="114"/>
        <v>0</v>
      </c>
      <c r="DZ38" s="127">
        <f t="shared" si="114"/>
        <v>0</v>
      </c>
      <c r="EA38" s="127"/>
      <c r="EB38" s="127">
        <f t="shared" ref="EB38:EE38" si="115">EB41-EB37</f>
        <v>0</v>
      </c>
      <c r="EC38" s="127">
        <f t="shared" si="115"/>
        <v>0</v>
      </c>
      <c r="ED38" s="127">
        <f t="shared" si="115"/>
        <v>0</v>
      </c>
      <c r="EE38" s="127">
        <f t="shared" si="115"/>
        <v>0</v>
      </c>
      <c r="EF38" s="127">
        <f>EF41-EF37</f>
        <v>0</v>
      </c>
      <c r="EG38" s="127">
        <f t="shared" ref="EG38:EM38" si="116">EG41-EG37</f>
        <v>0</v>
      </c>
      <c r="EH38" s="127">
        <f t="shared" si="116"/>
        <v>0</v>
      </c>
      <c r="EI38" s="127">
        <f t="shared" si="116"/>
        <v>0</v>
      </c>
      <c r="EJ38" s="127">
        <f t="shared" si="116"/>
        <v>0</v>
      </c>
      <c r="EK38" s="127">
        <f t="shared" si="116"/>
        <v>0</v>
      </c>
      <c r="EL38" s="127">
        <f t="shared" si="116"/>
        <v>0</v>
      </c>
      <c r="EM38" s="127">
        <f t="shared" si="116"/>
        <v>0</v>
      </c>
      <c r="EN38" s="127"/>
      <c r="EO38" s="127">
        <f t="shared" ref="EO38:ER38" si="117">EO41-EO37</f>
        <v>0</v>
      </c>
      <c r="EP38" s="127">
        <f t="shared" si="117"/>
        <v>0</v>
      </c>
      <c r="EQ38" s="127">
        <f t="shared" si="117"/>
        <v>0</v>
      </c>
      <c r="ER38" s="127">
        <f t="shared" si="117"/>
        <v>0</v>
      </c>
      <c r="ES38" s="127">
        <f t="shared" ref="ES38" si="118">ES41-ES37</f>
        <v>0</v>
      </c>
      <c r="ET38" s="127">
        <f t="shared" ref="ET38" si="119">ET41-ET37</f>
        <v>0</v>
      </c>
      <c r="EU38" s="127">
        <f t="shared" ref="EU38" si="120">EU41-EU37</f>
        <v>0</v>
      </c>
      <c r="EV38" s="954">
        <f t="shared" ref="EV38" si="121">EV41-EV37</f>
        <v>0</v>
      </c>
      <c r="EW38" s="127"/>
      <c r="EX38" s="127"/>
      <c r="EY38" s="127"/>
      <c r="EZ38" s="127"/>
      <c r="FA38" s="127"/>
      <c r="FC38" s="127"/>
      <c r="FD38" s="127"/>
      <c r="FE38" s="127"/>
      <c r="FF38" s="127"/>
    </row>
    <row r="39" spans="1:162" ht="15" customHeight="1" x14ac:dyDescent="0.25">
      <c r="A39" s="165"/>
      <c r="B39" s="102">
        <v>2015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4" t="s">
        <v>83</v>
      </c>
      <c r="O39" s="102">
        <v>2016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4" t="s">
        <v>83</v>
      </c>
      <c r="AB39" s="102">
        <v>2017</v>
      </c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4" t="s">
        <v>83</v>
      </c>
      <c r="AO39" s="102">
        <v>2018</v>
      </c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4" t="s">
        <v>83</v>
      </c>
      <c r="BB39" s="102">
        <v>2019</v>
      </c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4" t="s">
        <v>83</v>
      </c>
      <c r="BO39" s="102">
        <v>2020</v>
      </c>
      <c r="BP39" s="103"/>
      <c r="BQ39" s="103"/>
      <c r="BR39" s="103"/>
      <c r="BS39" s="103"/>
      <c r="BT39" s="103"/>
      <c r="BU39" s="103"/>
      <c r="BV39" s="103"/>
      <c r="BW39" s="103"/>
      <c r="BX39" s="103"/>
      <c r="BY39" s="103"/>
      <c r="BZ39" s="103"/>
      <c r="CA39" s="104" t="s">
        <v>83</v>
      </c>
      <c r="CB39" s="102">
        <v>2021</v>
      </c>
      <c r="CC39" s="103"/>
      <c r="CD39" s="103"/>
      <c r="CE39" s="103"/>
      <c r="CF39" s="103"/>
      <c r="CG39" s="103"/>
      <c r="CH39" s="103"/>
      <c r="CI39" s="103"/>
      <c r="CJ39" s="103"/>
      <c r="CK39" s="103"/>
      <c r="CL39" s="103"/>
      <c r="CM39" s="103"/>
      <c r="CN39" s="104" t="s">
        <v>83</v>
      </c>
      <c r="CO39" s="102">
        <v>2022</v>
      </c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3"/>
      <c r="DA39" s="104" t="s">
        <v>83</v>
      </c>
      <c r="DB39" s="102">
        <v>2023</v>
      </c>
      <c r="DC39" s="103"/>
      <c r="DD39" s="103"/>
      <c r="DE39" s="103"/>
      <c r="DF39" s="103"/>
      <c r="DG39" s="103"/>
      <c r="DH39" s="103"/>
      <c r="DI39" s="103"/>
      <c r="DJ39" s="103"/>
      <c r="DK39" s="103"/>
      <c r="DL39" s="103"/>
      <c r="DM39" s="103"/>
      <c r="DN39" s="104" t="s">
        <v>83</v>
      </c>
      <c r="DO39" s="102">
        <v>2024</v>
      </c>
      <c r="DP39" s="103"/>
      <c r="DQ39" s="103"/>
      <c r="DR39" s="103"/>
      <c r="DS39" s="103"/>
      <c r="DT39" s="103"/>
      <c r="DU39" s="103"/>
      <c r="DV39" s="103"/>
      <c r="DW39" s="103"/>
      <c r="DX39" s="103"/>
      <c r="DY39" s="103"/>
      <c r="DZ39" s="103"/>
      <c r="EA39" s="104" t="s">
        <v>83</v>
      </c>
      <c r="EB39" s="102">
        <v>2025</v>
      </c>
      <c r="EC39" s="103"/>
      <c r="ED39" s="103"/>
      <c r="EE39" s="103"/>
      <c r="EF39" s="103"/>
      <c r="EG39" s="103"/>
      <c r="EH39" s="103"/>
      <c r="EI39" s="103"/>
      <c r="EJ39" s="103"/>
      <c r="EK39" s="103"/>
      <c r="EL39" s="103"/>
      <c r="EM39" s="103"/>
      <c r="EN39" s="104" t="s">
        <v>83</v>
      </c>
      <c r="EO39" s="102">
        <v>2026</v>
      </c>
      <c r="EP39" s="103"/>
      <c r="EQ39" s="103"/>
      <c r="ER39" s="103"/>
      <c r="ES39" s="103"/>
      <c r="ET39" s="103"/>
      <c r="EU39" s="103"/>
      <c r="EV39" s="948"/>
      <c r="EW39" s="945"/>
      <c r="EX39" s="103"/>
      <c r="EY39" s="103"/>
      <c r="EZ39" s="103"/>
      <c r="FA39" s="104" t="s">
        <v>83</v>
      </c>
      <c r="FC39" s="982" t="str">
        <f>CONCATENATE("Var.% ",FF39,"/",FE39)</f>
        <v>Var.% 2026/2025</v>
      </c>
      <c r="FD39" s="983"/>
      <c r="FE39" s="105">
        <f>FF39-1</f>
        <v>2025</v>
      </c>
      <c r="FF39" s="105">
        <f>YEAR(EZ40)</f>
        <v>2026</v>
      </c>
    </row>
    <row r="40" spans="1:162" ht="15" customHeight="1" x14ac:dyDescent="0.25">
      <c r="A40" s="232"/>
      <c r="B40" s="106">
        <v>42005</v>
      </c>
      <c r="C40" s="107">
        <v>42036</v>
      </c>
      <c r="D40" s="107">
        <v>42064</v>
      </c>
      <c r="E40" s="107">
        <v>42095</v>
      </c>
      <c r="F40" s="107">
        <v>42125</v>
      </c>
      <c r="G40" s="107">
        <v>42156</v>
      </c>
      <c r="H40" s="107">
        <v>42186</v>
      </c>
      <c r="I40" s="107">
        <v>42217</v>
      </c>
      <c r="J40" s="107">
        <v>42248</v>
      </c>
      <c r="K40" s="107">
        <v>42278</v>
      </c>
      <c r="L40" s="107">
        <v>42309</v>
      </c>
      <c r="M40" s="107">
        <v>42339</v>
      </c>
      <c r="N40" s="108">
        <f t="shared" ref="N40" si="122">YEAR(M40)</f>
        <v>2015</v>
      </c>
      <c r="O40" s="106">
        <v>42370</v>
      </c>
      <c r="P40" s="107">
        <v>42401</v>
      </c>
      <c r="Q40" s="107">
        <v>42430</v>
      </c>
      <c r="R40" s="107">
        <v>42461</v>
      </c>
      <c r="S40" s="107">
        <v>42491</v>
      </c>
      <c r="T40" s="107">
        <v>42522</v>
      </c>
      <c r="U40" s="107">
        <v>42552</v>
      </c>
      <c r="V40" s="107">
        <v>42583</v>
      </c>
      <c r="W40" s="107">
        <v>42614</v>
      </c>
      <c r="X40" s="107">
        <v>42644</v>
      </c>
      <c r="Y40" s="107">
        <v>42675</v>
      </c>
      <c r="Z40" s="107">
        <v>42705</v>
      </c>
      <c r="AA40" s="108">
        <f t="shared" ref="AA40" si="123">YEAR(Z40)</f>
        <v>2016</v>
      </c>
      <c r="AB40" s="106">
        <v>42736</v>
      </c>
      <c r="AC40" s="107">
        <v>42767</v>
      </c>
      <c r="AD40" s="107">
        <v>42795</v>
      </c>
      <c r="AE40" s="107">
        <v>42826</v>
      </c>
      <c r="AF40" s="107">
        <v>42856</v>
      </c>
      <c r="AG40" s="107">
        <v>42887</v>
      </c>
      <c r="AH40" s="107">
        <v>42917</v>
      </c>
      <c r="AI40" s="107">
        <v>42948</v>
      </c>
      <c r="AJ40" s="107">
        <v>42979</v>
      </c>
      <c r="AK40" s="107">
        <v>43009</v>
      </c>
      <c r="AL40" s="107">
        <v>43040</v>
      </c>
      <c r="AM40" s="107">
        <v>43070</v>
      </c>
      <c r="AN40" s="108">
        <f t="shared" ref="AN40" si="124">YEAR(AM40)</f>
        <v>2017</v>
      </c>
      <c r="AO40" s="106">
        <v>43101</v>
      </c>
      <c r="AP40" s="107">
        <v>43132</v>
      </c>
      <c r="AQ40" s="107">
        <v>43160</v>
      </c>
      <c r="AR40" s="107">
        <v>43191</v>
      </c>
      <c r="AS40" s="107">
        <v>43221</v>
      </c>
      <c r="AT40" s="107">
        <v>43252</v>
      </c>
      <c r="AU40" s="107">
        <v>43282</v>
      </c>
      <c r="AV40" s="107">
        <v>43313</v>
      </c>
      <c r="AW40" s="107">
        <v>43344</v>
      </c>
      <c r="AX40" s="107">
        <v>43374</v>
      </c>
      <c r="AY40" s="107">
        <v>43405</v>
      </c>
      <c r="AZ40" s="107">
        <v>43435</v>
      </c>
      <c r="BA40" s="108">
        <f t="shared" ref="BA40" si="125">YEAR(AZ40)</f>
        <v>2018</v>
      </c>
      <c r="BB40" s="106">
        <v>43466</v>
      </c>
      <c r="BC40" s="107">
        <v>43497</v>
      </c>
      <c r="BD40" s="107">
        <v>43525</v>
      </c>
      <c r="BE40" s="107">
        <v>43556</v>
      </c>
      <c r="BF40" s="107">
        <v>43586</v>
      </c>
      <c r="BG40" s="107">
        <v>43617</v>
      </c>
      <c r="BH40" s="107">
        <v>43647</v>
      </c>
      <c r="BI40" s="107">
        <v>43678</v>
      </c>
      <c r="BJ40" s="107">
        <v>43709</v>
      </c>
      <c r="BK40" s="107">
        <v>43739</v>
      </c>
      <c r="BL40" s="107">
        <v>43770</v>
      </c>
      <c r="BM40" s="107">
        <v>43800</v>
      </c>
      <c r="BN40" s="108">
        <f t="shared" ref="BN40" si="126">YEAR(BM40)</f>
        <v>2019</v>
      </c>
      <c r="BO40" s="106">
        <v>43831</v>
      </c>
      <c r="BP40" s="107">
        <v>43862</v>
      </c>
      <c r="BQ40" s="107">
        <v>43891</v>
      </c>
      <c r="BR40" s="107">
        <v>43922</v>
      </c>
      <c r="BS40" s="107">
        <v>43952</v>
      </c>
      <c r="BT40" s="107">
        <v>43983</v>
      </c>
      <c r="BU40" s="107">
        <v>44013</v>
      </c>
      <c r="BV40" s="107">
        <v>44044</v>
      </c>
      <c r="BW40" s="107">
        <v>44075</v>
      </c>
      <c r="BX40" s="107">
        <v>44105</v>
      </c>
      <c r="BY40" s="107">
        <v>44136</v>
      </c>
      <c r="BZ40" s="107">
        <v>44166</v>
      </c>
      <c r="CA40" s="108">
        <f t="shared" ref="CA40" si="127">YEAR(BZ40)</f>
        <v>2020</v>
      </c>
      <c r="CB40" s="106">
        <v>44197</v>
      </c>
      <c r="CC40" s="107">
        <v>44228</v>
      </c>
      <c r="CD40" s="107">
        <v>44256</v>
      </c>
      <c r="CE40" s="107">
        <v>44287</v>
      </c>
      <c r="CF40" s="107">
        <v>44317</v>
      </c>
      <c r="CG40" s="107">
        <v>44348</v>
      </c>
      <c r="CH40" s="107">
        <v>44378</v>
      </c>
      <c r="CI40" s="107">
        <v>44409</v>
      </c>
      <c r="CJ40" s="107">
        <v>44440</v>
      </c>
      <c r="CK40" s="107">
        <v>44470</v>
      </c>
      <c r="CL40" s="107">
        <v>44501</v>
      </c>
      <c r="CM40" s="107">
        <v>44531</v>
      </c>
      <c r="CN40" s="108">
        <f t="shared" ref="CN40" si="128">YEAR(CM40)</f>
        <v>2021</v>
      </c>
      <c r="CO40" s="106">
        <v>44562</v>
      </c>
      <c r="CP40" s="107">
        <v>44593</v>
      </c>
      <c r="CQ40" s="107">
        <v>44621</v>
      </c>
      <c r="CR40" s="107">
        <v>44652</v>
      </c>
      <c r="CS40" s="107">
        <v>44682</v>
      </c>
      <c r="CT40" s="107">
        <v>44713</v>
      </c>
      <c r="CU40" s="107">
        <v>44743</v>
      </c>
      <c r="CV40" s="107">
        <v>44774</v>
      </c>
      <c r="CW40" s="107">
        <v>44805</v>
      </c>
      <c r="CX40" s="107">
        <v>44835</v>
      </c>
      <c r="CY40" s="107">
        <v>44866</v>
      </c>
      <c r="CZ40" s="107">
        <v>44896</v>
      </c>
      <c r="DA40" s="108">
        <f t="shared" ref="DA40" si="129">YEAR(CZ40)</f>
        <v>2022</v>
      </c>
      <c r="DB40" s="106">
        <v>44927</v>
      </c>
      <c r="DC40" s="107">
        <v>44958</v>
      </c>
      <c r="DD40" s="107">
        <v>44986</v>
      </c>
      <c r="DE40" s="107">
        <v>45017</v>
      </c>
      <c r="DF40" s="107">
        <v>45047</v>
      </c>
      <c r="DG40" s="107">
        <v>45078</v>
      </c>
      <c r="DH40" s="107">
        <v>45108</v>
      </c>
      <c r="DI40" s="107">
        <v>45139</v>
      </c>
      <c r="DJ40" s="107">
        <v>45170</v>
      </c>
      <c r="DK40" s="107">
        <v>45200</v>
      </c>
      <c r="DL40" s="107">
        <v>45231</v>
      </c>
      <c r="DM40" s="107">
        <v>45261</v>
      </c>
      <c r="DN40" s="108">
        <f t="shared" ref="DN40" si="130">YEAR(DM40)</f>
        <v>2023</v>
      </c>
      <c r="DO40" s="106">
        <v>45292</v>
      </c>
      <c r="DP40" s="107">
        <v>45323</v>
      </c>
      <c r="DQ40" s="107">
        <v>45352</v>
      </c>
      <c r="DR40" s="107">
        <v>45383</v>
      </c>
      <c r="DS40" s="107">
        <v>45413</v>
      </c>
      <c r="DT40" s="107">
        <v>45444</v>
      </c>
      <c r="DU40" s="107">
        <v>45474</v>
      </c>
      <c r="DV40" s="107">
        <v>45505</v>
      </c>
      <c r="DW40" s="107">
        <v>45536</v>
      </c>
      <c r="DX40" s="107">
        <v>45566</v>
      </c>
      <c r="DY40" s="107">
        <v>45597</v>
      </c>
      <c r="DZ40" s="107">
        <v>45627</v>
      </c>
      <c r="EA40" s="108">
        <f t="shared" ref="EA40" si="131">YEAR(DZ40)</f>
        <v>2024</v>
      </c>
      <c r="EB40" s="106">
        <v>45658</v>
      </c>
      <c r="EC40" s="107">
        <v>45689</v>
      </c>
      <c r="ED40" s="107">
        <v>45717</v>
      </c>
      <c r="EE40" s="107">
        <v>45748</v>
      </c>
      <c r="EF40" s="107">
        <v>45778</v>
      </c>
      <c r="EG40" s="107">
        <v>45809</v>
      </c>
      <c r="EH40" s="107">
        <v>45839</v>
      </c>
      <c r="EI40" s="107">
        <v>45870</v>
      </c>
      <c r="EJ40" s="107">
        <v>45901</v>
      </c>
      <c r="EK40" s="107">
        <v>45931</v>
      </c>
      <c r="EL40" s="107">
        <v>45962</v>
      </c>
      <c r="EM40" s="107">
        <v>45992</v>
      </c>
      <c r="EN40" s="108">
        <f>YEAR(EM40)</f>
        <v>2025</v>
      </c>
      <c r="EO40" s="106">
        <v>46023</v>
      </c>
      <c r="EP40" s="107">
        <v>46054</v>
      </c>
      <c r="EQ40" s="107">
        <v>46082</v>
      </c>
      <c r="ER40" s="107">
        <v>46113</v>
      </c>
      <c r="ES40" s="107">
        <v>46143</v>
      </c>
      <c r="ET40" s="107">
        <v>46174</v>
      </c>
      <c r="EU40" s="107">
        <v>46204</v>
      </c>
      <c r="EV40" s="949">
        <v>46235</v>
      </c>
      <c r="EW40" s="107">
        <v>46266</v>
      </c>
      <c r="EX40" s="107">
        <v>46296</v>
      </c>
      <c r="EY40" s="107">
        <v>46327</v>
      </c>
      <c r="EZ40" s="107">
        <v>46357</v>
      </c>
      <c r="FA40" s="108">
        <f>YEAR(EZ40)</f>
        <v>2026</v>
      </c>
      <c r="FC40" s="106">
        <f>EV40</f>
        <v>46235</v>
      </c>
      <c r="FD40" s="109" t="str">
        <f>CONCATENATE("Ene.-",TEXT(FC40,"MMM."))</f>
        <v>Ene.-Ago.</v>
      </c>
      <c r="FE40" s="109" t="str">
        <f>FD40</f>
        <v>Ene.-Ago.</v>
      </c>
      <c r="FF40" s="109" t="str">
        <f>FD40</f>
        <v>Ene.-Ago.</v>
      </c>
    </row>
    <row r="41" spans="1:162" ht="15" customHeight="1" x14ac:dyDescent="0.25">
      <c r="A41" s="217" t="s">
        <v>295</v>
      </c>
      <c r="B41" s="237">
        <f t="shared" ref="B41:AG41" si="132">B43+B54</f>
        <v>4136</v>
      </c>
      <c r="C41" s="236">
        <f t="shared" si="132"/>
        <v>3170</v>
      </c>
      <c r="D41" s="236">
        <f t="shared" si="132"/>
        <v>23305</v>
      </c>
      <c r="E41" s="236">
        <f t="shared" si="132"/>
        <v>5531.3819999999996</v>
      </c>
      <c r="F41" s="236">
        <f t="shared" si="132"/>
        <v>5983</v>
      </c>
      <c r="G41" s="236">
        <f t="shared" si="132"/>
        <v>6452</v>
      </c>
      <c r="H41" s="236">
        <f t="shared" si="132"/>
        <v>6609</v>
      </c>
      <c r="I41" s="236">
        <f t="shared" si="132"/>
        <v>8362</v>
      </c>
      <c r="J41" s="236">
        <f t="shared" si="132"/>
        <v>8126</v>
      </c>
      <c r="K41" s="236">
        <f t="shared" si="132"/>
        <v>-3505</v>
      </c>
      <c r="L41" s="236">
        <f t="shared" si="132"/>
        <v>7046</v>
      </c>
      <c r="M41" s="238">
        <f t="shared" si="132"/>
        <v>3026</v>
      </c>
      <c r="N41" s="238">
        <f t="shared" si="132"/>
        <v>78241.381999999998</v>
      </c>
      <c r="O41" s="236">
        <f t="shared" si="132"/>
        <v>7199</v>
      </c>
      <c r="P41" s="276">
        <f t="shared" si="132"/>
        <v>7528</v>
      </c>
      <c r="Q41" s="276">
        <f t="shared" si="132"/>
        <v>6852</v>
      </c>
      <c r="R41" s="276">
        <f t="shared" si="132"/>
        <v>7626</v>
      </c>
      <c r="S41" s="276">
        <f t="shared" si="132"/>
        <v>2936</v>
      </c>
      <c r="T41" s="276">
        <f t="shared" si="132"/>
        <v>7361</v>
      </c>
      <c r="U41" s="276">
        <f t="shared" si="132"/>
        <v>5753</v>
      </c>
      <c r="V41" s="276">
        <f t="shared" si="132"/>
        <v>4235</v>
      </c>
      <c r="W41" s="276">
        <f t="shared" si="132"/>
        <v>4288</v>
      </c>
      <c r="X41" s="276">
        <f t="shared" si="132"/>
        <v>1773</v>
      </c>
      <c r="Y41" s="276">
        <f t="shared" si="132"/>
        <v>3295</v>
      </c>
      <c r="Z41" s="277">
        <f t="shared" si="132"/>
        <v>5289</v>
      </c>
      <c r="AA41" s="236">
        <f t="shared" si="132"/>
        <v>64135</v>
      </c>
      <c r="AB41" s="237">
        <f t="shared" si="132"/>
        <v>2245</v>
      </c>
      <c r="AC41" s="236">
        <f t="shared" si="132"/>
        <v>6860</v>
      </c>
      <c r="AD41" s="236">
        <f t="shared" si="132"/>
        <v>14376</v>
      </c>
      <c r="AE41" s="236">
        <f t="shared" si="132"/>
        <v>3293</v>
      </c>
      <c r="AF41" s="236">
        <f t="shared" si="132"/>
        <v>1115</v>
      </c>
      <c r="AG41" s="236">
        <f t="shared" si="132"/>
        <v>5460</v>
      </c>
      <c r="AH41" s="236">
        <f t="shared" ref="AH41:BM41" si="133">AH43+AH54</f>
        <v>5635</v>
      </c>
      <c r="AI41" s="236">
        <f t="shared" si="133"/>
        <v>5909</v>
      </c>
      <c r="AJ41" s="236">
        <f t="shared" si="133"/>
        <v>3051</v>
      </c>
      <c r="AK41" s="236">
        <f t="shared" si="133"/>
        <v>8480</v>
      </c>
      <c r="AL41" s="236">
        <f t="shared" si="133"/>
        <v>5950</v>
      </c>
      <c r="AM41" s="236">
        <f t="shared" si="133"/>
        <v>6885</v>
      </c>
      <c r="AN41" s="145">
        <f t="shared" si="133"/>
        <v>69259</v>
      </c>
      <c r="AO41" s="237">
        <f t="shared" si="133"/>
        <v>9143</v>
      </c>
      <c r="AP41" s="236">
        <f t="shared" si="133"/>
        <v>14316</v>
      </c>
      <c r="AQ41" s="236">
        <f t="shared" si="133"/>
        <v>3719</v>
      </c>
      <c r="AR41" s="236">
        <f t="shared" si="133"/>
        <v>8955</v>
      </c>
      <c r="AS41" s="236">
        <f t="shared" si="133"/>
        <v>11430</v>
      </c>
      <c r="AT41" s="236">
        <f t="shared" si="133"/>
        <v>3722</v>
      </c>
      <c r="AU41" s="236">
        <f t="shared" si="133"/>
        <v>17639</v>
      </c>
      <c r="AV41" s="236">
        <f t="shared" si="133"/>
        <v>4962</v>
      </c>
      <c r="AW41" s="236">
        <f t="shared" si="133"/>
        <v>263</v>
      </c>
      <c r="AX41" s="236">
        <f t="shared" si="133"/>
        <v>7227</v>
      </c>
      <c r="AY41" s="236">
        <f t="shared" si="133"/>
        <v>4949</v>
      </c>
      <c r="AZ41" s="238">
        <f t="shared" si="133"/>
        <v>3037</v>
      </c>
      <c r="BA41" s="238">
        <f t="shared" si="133"/>
        <v>89362</v>
      </c>
      <c r="BB41" s="236">
        <f t="shared" si="133"/>
        <v>22572</v>
      </c>
      <c r="BC41" s="236">
        <f t="shared" si="133"/>
        <v>3907</v>
      </c>
      <c r="BD41" s="236">
        <f t="shared" si="133"/>
        <v>1641</v>
      </c>
      <c r="BE41" s="236">
        <f t="shared" si="133"/>
        <v>4292</v>
      </c>
      <c r="BF41" s="236">
        <f t="shared" si="133"/>
        <v>6626</v>
      </c>
      <c r="BG41" s="236">
        <f t="shared" si="133"/>
        <v>1436</v>
      </c>
      <c r="BH41" s="236">
        <f t="shared" si="133"/>
        <v>5522</v>
      </c>
      <c r="BI41" s="236">
        <f t="shared" si="133"/>
        <v>6202</v>
      </c>
      <c r="BJ41" s="236">
        <f t="shared" si="133"/>
        <v>8628</v>
      </c>
      <c r="BK41" s="236">
        <f t="shared" si="133"/>
        <v>7481</v>
      </c>
      <c r="BL41" s="236">
        <f t="shared" si="133"/>
        <v>6573</v>
      </c>
      <c r="BM41" s="238">
        <f t="shared" si="133"/>
        <v>417</v>
      </c>
      <c r="BN41" s="238">
        <f t="shared" ref="BN41:BZ41" si="134">BN43+BN54</f>
        <v>75297</v>
      </c>
      <c r="BO41" s="236">
        <f t="shared" si="134"/>
        <v>3713</v>
      </c>
      <c r="BP41" s="236">
        <f t="shared" si="134"/>
        <v>16400.900000000001</v>
      </c>
      <c r="BQ41" s="236">
        <f t="shared" si="134"/>
        <v>7542</v>
      </c>
      <c r="BR41" s="236">
        <f t="shared" si="134"/>
        <v>3622</v>
      </c>
      <c r="BS41" s="236">
        <f t="shared" si="134"/>
        <v>858</v>
      </c>
      <c r="BT41" s="236">
        <f t="shared" si="134"/>
        <v>877</v>
      </c>
      <c r="BU41" s="236">
        <f t="shared" si="134"/>
        <v>2763</v>
      </c>
      <c r="BV41" s="236">
        <f t="shared" si="134"/>
        <v>4114</v>
      </c>
      <c r="BW41" s="236">
        <f t="shared" si="134"/>
        <v>76640</v>
      </c>
      <c r="BX41" s="236">
        <f t="shared" si="134"/>
        <v>7292</v>
      </c>
      <c r="BY41" s="236">
        <f t="shared" si="134"/>
        <v>5783</v>
      </c>
      <c r="BZ41" s="236">
        <f t="shared" si="134"/>
        <v>1868</v>
      </c>
      <c r="CA41" s="145">
        <f>SUM(BO41:BZ41)</f>
        <v>131472.9</v>
      </c>
      <c r="CB41" s="236">
        <f t="shared" ref="CB41:CM41" si="135">CB43+CB54</f>
        <v>5107</v>
      </c>
      <c r="CC41" s="236">
        <f t="shared" si="135"/>
        <v>42097</v>
      </c>
      <c r="CD41" s="236">
        <f t="shared" si="135"/>
        <v>6083</v>
      </c>
      <c r="CE41" s="236">
        <f t="shared" si="135"/>
        <v>12497</v>
      </c>
      <c r="CF41" s="236">
        <f t="shared" si="135"/>
        <v>4968</v>
      </c>
      <c r="CG41" s="236">
        <f t="shared" si="135"/>
        <v>6814</v>
      </c>
      <c r="CH41" s="236">
        <f t="shared" si="135"/>
        <v>9798</v>
      </c>
      <c r="CI41" s="276">
        <f t="shared" si="135"/>
        <v>7100</v>
      </c>
      <c r="CJ41" s="276">
        <f t="shared" si="135"/>
        <v>6947</v>
      </c>
      <c r="CK41" s="276">
        <f t="shared" si="135"/>
        <v>6481</v>
      </c>
      <c r="CL41" s="276">
        <f t="shared" si="135"/>
        <v>44670</v>
      </c>
      <c r="CM41" s="277">
        <f t="shared" si="135"/>
        <v>10572</v>
      </c>
      <c r="CN41" s="277">
        <f>SUM(CB41:CM41)</f>
        <v>163134</v>
      </c>
      <c r="CO41" s="278">
        <f t="shared" ref="CO41:CZ41" si="136">CO43+CO54</f>
        <v>40436</v>
      </c>
      <c r="CP41" s="236">
        <f t="shared" si="136"/>
        <v>14378</v>
      </c>
      <c r="CQ41" s="276">
        <f t="shared" si="136"/>
        <v>65640</v>
      </c>
      <c r="CR41" s="236">
        <f t="shared" si="136"/>
        <v>20769</v>
      </c>
      <c r="CS41" s="236">
        <f t="shared" si="136"/>
        <v>22877</v>
      </c>
      <c r="CT41" s="276">
        <f t="shared" si="136"/>
        <v>30435</v>
      </c>
      <c r="CU41" s="276">
        <f t="shared" si="136"/>
        <v>30922</v>
      </c>
      <c r="CV41" s="276">
        <f t="shared" si="136"/>
        <v>30358</v>
      </c>
      <c r="CW41" s="276">
        <f t="shared" si="136"/>
        <v>40464</v>
      </c>
      <c r="CX41" s="276">
        <f t="shared" si="136"/>
        <v>32984</v>
      </c>
      <c r="CY41" s="276">
        <f t="shared" si="136"/>
        <v>47553</v>
      </c>
      <c r="CZ41" s="277">
        <f t="shared" si="136"/>
        <v>30074</v>
      </c>
      <c r="DA41" s="279">
        <f>SUM(CO41:CZ41)</f>
        <v>406890</v>
      </c>
      <c r="DB41" s="237">
        <f t="shared" ref="DB41:DM41" si="137">DB43+DB54</f>
        <v>34274</v>
      </c>
      <c r="DC41" s="236">
        <f t="shared" si="137"/>
        <v>37187</v>
      </c>
      <c r="DD41" s="236">
        <f t="shared" si="137"/>
        <v>64630</v>
      </c>
      <c r="DE41" s="236">
        <f t="shared" si="137"/>
        <v>105896</v>
      </c>
      <c r="DF41" s="236">
        <f t="shared" si="137"/>
        <v>34129</v>
      </c>
      <c r="DG41" s="236">
        <f t="shared" si="137"/>
        <v>-51159</v>
      </c>
      <c r="DH41" s="236">
        <f t="shared" si="137"/>
        <v>29276</v>
      </c>
      <c r="DI41" s="236">
        <f t="shared" si="137"/>
        <v>24830</v>
      </c>
      <c r="DJ41" s="236">
        <f t="shared" si="137"/>
        <v>26447</v>
      </c>
      <c r="DK41" s="236">
        <f t="shared" si="137"/>
        <v>71476</v>
      </c>
      <c r="DL41" s="236">
        <f t="shared" si="137"/>
        <v>47312</v>
      </c>
      <c r="DM41" s="238">
        <f t="shared" si="137"/>
        <v>964</v>
      </c>
      <c r="DN41" s="236">
        <f>SUM(DB41:DM41)</f>
        <v>425262</v>
      </c>
      <c r="DO41" s="237">
        <f t="shared" ref="DO41:DZ41" si="138">DO43+DO54</f>
        <v>30773</v>
      </c>
      <c r="DP41" s="236">
        <f t="shared" si="138"/>
        <v>97026</v>
      </c>
      <c r="DQ41" s="236">
        <f t="shared" si="138"/>
        <v>36173</v>
      </c>
      <c r="DR41" s="236">
        <f t="shared" si="138"/>
        <v>23087</v>
      </c>
      <c r="DS41" s="236">
        <f t="shared" si="138"/>
        <v>34018</v>
      </c>
      <c r="DT41" s="236">
        <f t="shared" si="138"/>
        <v>32315</v>
      </c>
      <c r="DU41" s="236">
        <f t="shared" si="138"/>
        <v>71103</v>
      </c>
      <c r="DV41" s="236">
        <f t="shared" si="138"/>
        <v>39771</v>
      </c>
      <c r="DW41" s="236">
        <f t="shared" si="138"/>
        <v>35377</v>
      </c>
      <c r="DX41" s="236">
        <f t="shared" si="138"/>
        <v>34213</v>
      </c>
      <c r="DY41" s="236">
        <f t="shared" si="138"/>
        <v>36877</v>
      </c>
      <c r="DZ41" s="238">
        <f t="shared" si="138"/>
        <v>47525</v>
      </c>
      <c r="EA41" s="238">
        <f>SUM(DO41:DZ41)</f>
        <v>518258</v>
      </c>
      <c r="EB41" s="237">
        <f t="shared" ref="EB41:EM41" si="139">EB43+EB54</f>
        <v>39700</v>
      </c>
      <c r="EC41" s="236">
        <f t="shared" si="139"/>
        <v>99620</v>
      </c>
      <c r="ED41" s="236">
        <f t="shared" si="139"/>
        <v>34333</v>
      </c>
      <c r="EE41" s="236">
        <f t="shared" si="139"/>
        <v>32789</v>
      </c>
      <c r="EF41" s="236">
        <f t="shared" si="139"/>
        <v>30075</v>
      </c>
      <c r="EG41" s="236">
        <f t="shared" si="139"/>
        <v>35959</v>
      </c>
      <c r="EH41" s="236">
        <f t="shared" si="139"/>
        <v>75747</v>
      </c>
      <c r="EI41" s="236">
        <f t="shared" si="139"/>
        <v>35103</v>
      </c>
      <c r="EJ41" s="236">
        <f t="shared" si="139"/>
        <v>34833</v>
      </c>
      <c r="EK41" s="236">
        <f t="shared" si="139"/>
        <v>39783</v>
      </c>
      <c r="EL41" s="236">
        <f t="shared" si="139"/>
        <v>38394</v>
      </c>
      <c r="EM41" s="238">
        <f t="shared" si="139"/>
        <v>26499</v>
      </c>
      <c r="EN41" s="238">
        <f>SUM(EB41:EM41)</f>
        <v>522835</v>
      </c>
      <c r="EO41" s="237">
        <f t="shared" ref="EO41:ER41" si="140">EO43+EO54</f>
        <v>64884</v>
      </c>
      <c r="EP41" s="236">
        <f t="shared" si="140"/>
        <v>82606</v>
      </c>
      <c r="EQ41" s="236">
        <f t="shared" si="140"/>
        <v>32254</v>
      </c>
      <c r="ER41" s="236">
        <f t="shared" si="140"/>
        <v>5819</v>
      </c>
      <c r="ES41" s="236">
        <f t="shared" ref="ES41" si="141">ES43+ES54</f>
        <v>35008</v>
      </c>
      <c r="ET41" s="236">
        <f t="shared" ref="ET41" si="142">ET43+ET54</f>
        <v>5907</v>
      </c>
      <c r="EU41" s="236">
        <f t="shared" ref="EU41" si="143">EU43+EU54</f>
        <v>11641</v>
      </c>
      <c r="EV41" s="955">
        <f t="shared" ref="EV41" si="144">EV43+EV54</f>
        <v>99770</v>
      </c>
      <c r="EW41" s="236"/>
      <c r="EX41" s="236"/>
      <c r="EY41" s="236"/>
      <c r="EZ41" s="238"/>
      <c r="FA41" s="238"/>
      <c r="FC41" s="309">
        <f>IFERROR(((EV41/EI41)-1)*100,"-")</f>
        <v>184.22072187562316</v>
      </c>
      <c r="FD41" s="309">
        <f>IFERROR(((FF41/FE41)-1)*100,"-")</f>
        <v>-11.853357194659376</v>
      </c>
      <c r="FE41" s="310">
        <f>IFERROR(SUM(EB41:EI41),"-")</f>
        <v>383326</v>
      </c>
      <c r="FF41" s="310">
        <f>IFERROR(SUM(EO41:EZ41),"-")</f>
        <v>337889</v>
      </c>
    </row>
    <row r="42" spans="1:162" ht="15" customHeight="1" x14ac:dyDescent="0.25">
      <c r="A42" s="138"/>
      <c r="B42" s="152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201"/>
      <c r="N42" s="201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201"/>
      <c r="AA42" s="127"/>
      <c r="AB42" s="152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48"/>
      <c r="AO42" s="152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201"/>
      <c r="BA42" s="201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201"/>
      <c r="BN42" s="201"/>
      <c r="BO42" s="127"/>
      <c r="BP42" s="236"/>
      <c r="BQ42" s="190"/>
      <c r="BR42" s="190"/>
      <c r="BS42" s="190"/>
      <c r="BT42" s="190"/>
      <c r="BU42" s="190"/>
      <c r="BV42" s="190"/>
      <c r="BW42" s="190"/>
      <c r="BX42" s="190"/>
      <c r="BY42" s="190"/>
      <c r="BZ42" s="190"/>
      <c r="CA42" s="149"/>
      <c r="CB42" s="190"/>
      <c r="CC42" s="190"/>
      <c r="CD42" s="190"/>
      <c r="CE42" s="190"/>
      <c r="CF42" s="190"/>
      <c r="CG42" s="190"/>
      <c r="CH42" s="190"/>
      <c r="CI42" s="190"/>
      <c r="CJ42" s="190"/>
      <c r="CK42" s="190"/>
      <c r="CL42" s="190"/>
      <c r="CM42" s="247"/>
      <c r="CN42" s="247"/>
      <c r="CO42" s="191"/>
      <c r="CP42" s="190"/>
      <c r="CQ42" s="190"/>
      <c r="CR42" s="190"/>
      <c r="CS42" s="190"/>
      <c r="CT42" s="190"/>
      <c r="CU42" s="190"/>
      <c r="CV42" s="190"/>
      <c r="CW42" s="190"/>
      <c r="CX42" s="190"/>
      <c r="CY42" s="190"/>
      <c r="CZ42" s="247"/>
      <c r="DA42" s="149"/>
      <c r="DB42" s="191"/>
      <c r="DC42" s="190"/>
      <c r="DD42" s="190"/>
      <c r="DE42" s="190"/>
      <c r="DF42" s="190"/>
      <c r="DG42" s="190"/>
      <c r="DH42" s="190"/>
      <c r="DI42" s="190"/>
      <c r="DJ42" s="190"/>
      <c r="DK42" s="190"/>
      <c r="DL42" s="190"/>
      <c r="DM42" s="247"/>
      <c r="DN42" s="190"/>
      <c r="DO42" s="191"/>
      <c r="DP42" s="190"/>
      <c r="DQ42" s="190"/>
      <c r="DR42" s="190"/>
      <c r="DS42" s="190"/>
      <c r="DT42" s="190"/>
      <c r="DU42" s="190"/>
      <c r="DV42" s="190"/>
      <c r="DW42" s="190"/>
      <c r="DX42" s="190"/>
      <c r="DY42" s="190"/>
      <c r="DZ42" s="247"/>
      <c r="EA42" s="247"/>
      <c r="EB42" s="191"/>
      <c r="EC42" s="190"/>
      <c r="ED42" s="190"/>
      <c r="EE42" s="190"/>
      <c r="EF42" s="190"/>
      <c r="EG42" s="190"/>
      <c r="EH42" s="190"/>
      <c r="EI42" s="190"/>
      <c r="EJ42" s="190"/>
      <c r="EK42" s="190"/>
      <c r="EL42" s="190"/>
      <c r="EM42" s="247"/>
      <c r="EN42" s="247"/>
      <c r="EO42" s="191"/>
      <c r="EP42" s="190"/>
      <c r="EQ42" s="190"/>
      <c r="ER42" s="190"/>
      <c r="ES42" s="190"/>
      <c r="ET42" s="190"/>
      <c r="EU42" s="190"/>
      <c r="EV42" s="956"/>
      <c r="EW42" s="190"/>
      <c r="EX42" s="190"/>
      <c r="EY42" s="190"/>
      <c r="EZ42" s="247"/>
      <c r="FA42" s="247"/>
      <c r="FC42" s="270"/>
      <c r="FD42" s="271"/>
      <c r="FE42" s="257"/>
      <c r="FF42" s="257"/>
    </row>
    <row r="43" spans="1:162" ht="15" customHeight="1" x14ac:dyDescent="0.25">
      <c r="A43" s="217" t="s">
        <v>292</v>
      </c>
      <c r="B43" s="237">
        <f t="shared" ref="B43:AE43" si="145">SUM(B44:B45)</f>
        <v>4136</v>
      </c>
      <c r="C43" s="236">
        <f t="shared" si="145"/>
        <v>3170</v>
      </c>
      <c r="D43" s="236">
        <f t="shared" si="145"/>
        <v>23305</v>
      </c>
      <c r="E43" s="236">
        <f t="shared" si="145"/>
        <v>5531.3819999999996</v>
      </c>
      <c r="F43" s="236">
        <f t="shared" si="145"/>
        <v>5983</v>
      </c>
      <c r="G43" s="236">
        <f t="shared" si="145"/>
        <v>6452</v>
      </c>
      <c r="H43" s="236">
        <f t="shared" si="145"/>
        <v>6609</v>
      </c>
      <c r="I43" s="236">
        <f t="shared" si="145"/>
        <v>8362</v>
      </c>
      <c r="J43" s="236">
        <f t="shared" si="145"/>
        <v>6861</v>
      </c>
      <c r="K43" s="236">
        <f t="shared" si="145"/>
        <v>-3766</v>
      </c>
      <c r="L43" s="236">
        <f t="shared" si="145"/>
        <v>6890</v>
      </c>
      <c r="M43" s="238">
        <f t="shared" si="145"/>
        <v>3783</v>
      </c>
      <c r="N43" s="238">
        <f t="shared" si="145"/>
        <v>77316.381999999998</v>
      </c>
      <c r="O43" s="236">
        <f t="shared" si="145"/>
        <v>6857</v>
      </c>
      <c r="P43" s="236">
        <f t="shared" si="145"/>
        <v>7017</v>
      </c>
      <c r="Q43" s="236">
        <f t="shared" si="145"/>
        <v>6489</v>
      </c>
      <c r="R43" s="236">
        <f t="shared" si="145"/>
        <v>7604</v>
      </c>
      <c r="S43" s="236">
        <f t="shared" si="145"/>
        <v>2929</v>
      </c>
      <c r="T43" s="236">
        <f t="shared" si="145"/>
        <v>7240</v>
      </c>
      <c r="U43" s="236">
        <f t="shared" si="145"/>
        <v>5123</v>
      </c>
      <c r="V43" s="236">
        <f t="shared" si="145"/>
        <v>4082</v>
      </c>
      <c r="W43" s="236">
        <f t="shared" si="145"/>
        <v>4216</v>
      </c>
      <c r="X43" s="236">
        <f t="shared" si="145"/>
        <v>1748</v>
      </c>
      <c r="Y43" s="236">
        <f t="shared" si="145"/>
        <v>4105</v>
      </c>
      <c r="Z43" s="238">
        <f t="shared" si="145"/>
        <v>5177</v>
      </c>
      <c r="AA43" s="236">
        <f t="shared" si="145"/>
        <v>62587</v>
      </c>
      <c r="AB43" s="237">
        <f t="shared" si="145"/>
        <v>2103</v>
      </c>
      <c r="AC43" s="236">
        <f t="shared" si="145"/>
        <v>6758</v>
      </c>
      <c r="AD43" s="236">
        <f t="shared" si="145"/>
        <v>14322</v>
      </c>
      <c r="AE43" s="236">
        <f t="shared" si="145"/>
        <v>3235</v>
      </c>
      <c r="AF43" s="236">
        <f>SUM(AF44:AF45)</f>
        <v>1054</v>
      </c>
      <c r="AG43" s="236">
        <f t="shared" ref="AG43:AR43" si="146">SUM(AG44:AG45)</f>
        <v>5365</v>
      </c>
      <c r="AH43" s="236">
        <f t="shared" si="146"/>
        <v>5582</v>
      </c>
      <c r="AI43" s="236">
        <f t="shared" si="146"/>
        <v>5812</v>
      </c>
      <c r="AJ43" s="236">
        <f t="shared" si="146"/>
        <v>2945</v>
      </c>
      <c r="AK43" s="236">
        <f t="shared" si="146"/>
        <v>8446</v>
      </c>
      <c r="AL43" s="236">
        <f t="shared" si="146"/>
        <v>5916</v>
      </c>
      <c r="AM43" s="236">
        <f t="shared" si="146"/>
        <v>6751</v>
      </c>
      <c r="AN43" s="145">
        <f t="shared" si="146"/>
        <v>68289</v>
      </c>
      <c r="AO43" s="237">
        <f t="shared" si="146"/>
        <v>9037</v>
      </c>
      <c r="AP43" s="236">
        <f t="shared" si="146"/>
        <v>14300</v>
      </c>
      <c r="AQ43" s="236">
        <f t="shared" si="146"/>
        <v>3684</v>
      </c>
      <c r="AR43" s="236">
        <f t="shared" si="146"/>
        <v>8955</v>
      </c>
      <c r="AS43" s="236">
        <f>SUM(AS44:AS45)</f>
        <v>11328</v>
      </c>
      <c r="AT43" s="236">
        <f t="shared" ref="AT43:BE43" si="147">SUM(AT44:AT45)</f>
        <v>3710</v>
      </c>
      <c r="AU43" s="236">
        <f t="shared" si="147"/>
        <v>17628</v>
      </c>
      <c r="AV43" s="236">
        <f t="shared" si="147"/>
        <v>4939</v>
      </c>
      <c r="AW43" s="236">
        <f t="shared" si="147"/>
        <v>262</v>
      </c>
      <c r="AX43" s="236">
        <f t="shared" si="147"/>
        <v>7104</v>
      </c>
      <c r="AY43" s="236">
        <f t="shared" si="147"/>
        <v>4943</v>
      </c>
      <c r="AZ43" s="238">
        <f t="shared" si="147"/>
        <v>2561</v>
      </c>
      <c r="BA43" s="238">
        <f t="shared" si="147"/>
        <v>88451</v>
      </c>
      <c r="BB43" s="236">
        <f t="shared" si="147"/>
        <v>22552</v>
      </c>
      <c r="BC43" s="236">
        <f t="shared" si="147"/>
        <v>3907</v>
      </c>
      <c r="BD43" s="236">
        <f t="shared" si="147"/>
        <v>1619</v>
      </c>
      <c r="BE43" s="236">
        <f t="shared" si="147"/>
        <v>4292</v>
      </c>
      <c r="BF43" s="236">
        <f>SUM(BF44:BF45)</f>
        <v>6626</v>
      </c>
      <c r="BG43" s="236">
        <f t="shared" ref="BG43:BN43" si="148">SUM(BG44:BG45)</f>
        <v>1436</v>
      </c>
      <c r="BH43" s="236">
        <f t="shared" si="148"/>
        <v>5522</v>
      </c>
      <c r="BI43" s="236">
        <f t="shared" si="148"/>
        <v>6202</v>
      </c>
      <c r="BJ43" s="236">
        <f t="shared" si="148"/>
        <v>8628</v>
      </c>
      <c r="BK43" s="236">
        <f t="shared" si="148"/>
        <v>7481</v>
      </c>
      <c r="BL43" s="236">
        <f t="shared" si="148"/>
        <v>6573</v>
      </c>
      <c r="BM43" s="238">
        <f t="shared" si="148"/>
        <v>417</v>
      </c>
      <c r="BN43" s="238">
        <f t="shared" si="148"/>
        <v>75255</v>
      </c>
      <c r="BO43" s="236">
        <f>SUM(BO44:BO45)</f>
        <v>3713</v>
      </c>
      <c r="BP43" s="236">
        <f t="shared" ref="BP43:BZ43" si="149">SUM(BP44:BP45)</f>
        <v>16400.900000000001</v>
      </c>
      <c r="BQ43" s="236">
        <f t="shared" si="149"/>
        <v>7542</v>
      </c>
      <c r="BR43" s="236">
        <f t="shared" si="149"/>
        <v>3622</v>
      </c>
      <c r="BS43" s="236">
        <f t="shared" si="149"/>
        <v>858</v>
      </c>
      <c r="BT43" s="236">
        <f t="shared" si="149"/>
        <v>877</v>
      </c>
      <c r="BU43" s="236">
        <f t="shared" si="149"/>
        <v>2763</v>
      </c>
      <c r="BV43" s="236">
        <f t="shared" si="149"/>
        <v>4114</v>
      </c>
      <c r="BW43" s="236">
        <f t="shared" si="149"/>
        <v>76640</v>
      </c>
      <c r="BX43" s="236">
        <f t="shared" si="149"/>
        <v>7292</v>
      </c>
      <c r="BY43" s="236">
        <f t="shared" si="149"/>
        <v>5783</v>
      </c>
      <c r="BZ43" s="236">
        <f t="shared" si="149"/>
        <v>1868</v>
      </c>
      <c r="CA43" s="145">
        <f>SUM(BO43:BZ43)</f>
        <v>131472.9</v>
      </c>
      <c r="CB43" s="236">
        <f t="shared" ref="CB43:CM43" si="150">SUM(CB44:CB45)</f>
        <v>5107</v>
      </c>
      <c r="CC43" s="236">
        <f t="shared" si="150"/>
        <v>42097</v>
      </c>
      <c r="CD43" s="236">
        <f t="shared" si="150"/>
        <v>6083</v>
      </c>
      <c r="CE43" s="236">
        <f t="shared" si="150"/>
        <v>12497</v>
      </c>
      <c r="CF43" s="236">
        <f t="shared" si="150"/>
        <v>4968</v>
      </c>
      <c r="CG43" s="236">
        <f t="shared" si="150"/>
        <v>6814</v>
      </c>
      <c r="CH43" s="236">
        <f t="shared" si="150"/>
        <v>9798</v>
      </c>
      <c r="CI43" s="236">
        <f t="shared" si="150"/>
        <v>7100</v>
      </c>
      <c r="CJ43" s="236">
        <f t="shared" si="150"/>
        <v>6947</v>
      </c>
      <c r="CK43" s="236">
        <f t="shared" si="150"/>
        <v>6481</v>
      </c>
      <c r="CL43" s="236">
        <f t="shared" si="150"/>
        <v>44670</v>
      </c>
      <c r="CM43" s="238">
        <f t="shared" si="150"/>
        <v>10572</v>
      </c>
      <c r="CN43" s="238">
        <f t="shared" ref="CN43:CN54" si="151">SUM(CB43:CM43)</f>
        <v>163134</v>
      </c>
      <c r="CO43" s="237">
        <f t="shared" ref="CO43:CZ43" si="152">SUM(CO44:CO45)</f>
        <v>40436</v>
      </c>
      <c r="CP43" s="236">
        <f t="shared" si="152"/>
        <v>14378</v>
      </c>
      <c r="CQ43" s="236">
        <f t="shared" si="152"/>
        <v>65640</v>
      </c>
      <c r="CR43" s="236">
        <f t="shared" si="152"/>
        <v>20769</v>
      </c>
      <c r="CS43" s="236">
        <f t="shared" si="152"/>
        <v>22877</v>
      </c>
      <c r="CT43" s="236">
        <f t="shared" si="152"/>
        <v>30435</v>
      </c>
      <c r="CU43" s="236">
        <f t="shared" si="152"/>
        <v>30922</v>
      </c>
      <c r="CV43" s="236">
        <f t="shared" si="152"/>
        <v>30358</v>
      </c>
      <c r="CW43" s="236">
        <f t="shared" si="152"/>
        <v>40464</v>
      </c>
      <c r="CX43" s="236">
        <f t="shared" si="152"/>
        <v>32984</v>
      </c>
      <c r="CY43" s="236">
        <f t="shared" si="152"/>
        <v>47553</v>
      </c>
      <c r="CZ43" s="238">
        <f t="shared" si="152"/>
        <v>30074</v>
      </c>
      <c r="DA43" s="145">
        <f t="shared" ref="DA43:DA54" si="153">SUM(CO43:CZ43)</f>
        <v>406890</v>
      </c>
      <c r="DB43" s="237">
        <f t="shared" ref="DB43:DL43" si="154">SUM(DB44:DB45)</f>
        <v>34274</v>
      </c>
      <c r="DC43" s="236">
        <f t="shared" si="154"/>
        <v>37187</v>
      </c>
      <c r="DD43" s="236">
        <f t="shared" si="154"/>
        <v>64630</v>
      </c>
      <c r="DE43" s="236">
        <f t="shared" si="154"/>
        <v>105896</v>
      </c>
      <c r="DF43" s="236">
        <f t="shared" si="154"/>
        <v>34129</v>
      </c>
      <c r="DG43" s="236">
        <f t="shared" si="154"/>
        <v>-51159</v>
      </c>
      <c r="DH43" s="236">
        <f t="shared" si="154"/>
        <v>29276</v>
      </c>
      <c r="DI43" s="236">
        <f t="shared" si="154"/>
        <v>24830</v>
      </c>
      <c r="DJ43" s="236">
        <f t="shared" si="154"/>
        <v>26447</v>
      </c>
      <c r="DK43" s="236">
        <f t="shared" si="154"/>
        <v>71476</v>
      </c>
      <c r="DL43" s="236">
        <f t="shared" si="154"/>
        <v>47312</v>
      </c>
      <c r="DM43" s="238">
        <f>SUM(DM44:DM45)</f>
        <v>964</v>
      </c>
      <c r="DN43" s="236">
        <f t="shared" ref="DN43:DN54" si="155">SUM(DB43:DM43)</f>
        <v>425262</v>
      </c>
      <c r="DO43" s="237">
        <f t="shared" ref="DO43:DZ43" si="156">SUM(DO44:DO45)</f>
        <v>30773</v>
      </c>
      <c r="DP43" s="236">
        <f t="shared" si="156"/>
        <v>97026</v>
      </c>
      <c r="DQ43" s="236">
        <f t="shared" si="156"/>
        <v>36173</v>
      </c>
      <c r="DR43" s="236">
        <f t="shared" si="156"/>
        <v>23087</v>
      </c>
      <c r="DS43" s="236">
        <f t="shared" si="156"/>
        <v>34018</v>
      </c>
      <c r="DT43" s="236">
        <f t="shared" si="156"/>
        <v>32315</v>
      </c>
      <c r="DU43" s="236">
        <f t="shared" si="156"/>
        <v>71103</v>
      </c>
      <c r="DV43" s="236">
        <f t="shared" si="156"/>
        <v>39771</v>
      </c>
      <c r="DW43" s="236">
        <f t="shared" si="156"/>
        <v>35377</v>
      </c>
      <c r="DX43" s="236">
        <f t="shared" si="156"/>
        <v>34213</v>
      </c>
      <c r="DY43" s="236">
        <f t="shared" si="156"/>
        <v>36877</v>
      </c>
      <c r="DZ43" s="238">
        <f t="shared" si="156"/>
        <v>47525</v>
      </c>
      <c r="EA43" s="238">
        <f t="shared" ref="EA43:EA54" si="157">SUM(DO43:DZ43)</f>
        <v>518258</v>
      </c>
      <c r="EB43" s="237">
        <f t="shared" ref="EB43:EM43" si="158">SUM(EB44:EB45)</f>
        <v>39700</v>
      </c>
      <c r="EC43" s="236">
        <f t="shared" si="158"/>
        <v>99620</v>
      </c>
      <c r="ED43" s="236">
        <f t="shared" si="158"/>
        <v>34333</v>
      </c>
      <c r="EE43" s="236">
        <f t="shared" si="158"/>
        <v>32789</v>
      </c>
      <c r="EF43" s="236">
        <f t="shared" si="158"/>
        <v>30075</v>
      </c>
      <c r="EG43" s="236">
        <f t="shared" si="158"/>
        <v>35959</v>
      </c>
      <c r="EH43" s="236">
        <f t="shared" si="158"/>
        <v>75747</v>
      </c>
      <c r="EI43" s="236">
        <f t="shared" si="158"/>
        <v>35103</v>
      </c>
      <c r="EJ43" s="236">
        <f t="shared" si="158"/>
        <v>34833</v>
      </c>
      <c r="EK43" s="236">
        <f t="shared" si="158"/>
        <v>39783</v>
      </c>
      <c r="EL43" s="236">
        <f t="shared" si="158"/>
        <v>38394</v>
      </c>
      <c r="EM43" s="238">
        <f t="shared" si="158"/>
        <v>26499</v>
      </c>
      <c r="EN43" s="238">
        <f t="shared" ref="EN43:EN54" si="159">SUM(EB43:EM43)</f>
        <v>522835</v>
      </c>
      <c r="EO43" s="237">
        <f t="shared" ref="EO43:ER43" si="160">SUM(EO44:EO45)</f>
        <v>64884</v>
      </c>
      <c r="EP43" s="236">
        <f t="shared" si="160"/>
        <v>82606</v>
      </c>
      <c r="EQ43" s="236">
        <f t="shared" si="160"/>
        <v>32254</v>
      </c>
      <c r="ER43" s="236">
        <f t="shared" si="160"/>
        <v>5819</v>
      </c>
      <c r="ES43" s="236">
        <f t="shared" ref="ES43" si="161">SUM(ES44:ES45)</f>
        <v>35008</v>
      </c>
      <c r="ET43" s="236">
        <f t="shared" ref="ET43" si="162">SUM(ET44:ET45)</f>
        <v>5907</v>
      </c>
      <c r="EU43" s="236">
        <f t="shared" ref="EU43" si="163">SUM(EU44:EU45)</f>
        <v>11641</v>
      </c>
      <c r="EV43" s="955">
        <f t="shared" ref="EV43" si="164">SUM(EV44:EV45)</f>
        <v>99770</v>
      </c>
      <c r="EW43" s="236"/>
      <c r="EX43" s="236"/>
      <c r="EY43" s="236"/>
      <c r="EZ43" s="238"/>
      <c r="FA43" s="238"/>
      <c r="FC43" s="270">
        <f t="shared" ref="FC43:FC54" si="165">IFERROR(((EV43/EI43)-1)*100,"-")</f>
        <v>184.22072187562316</v>
      </c>
      <c r="FD43" s="270">
        <f t="shared" ref="FD43:FD52" si="166">IFERROR(((FF43/FE43)-1)*100,"-")</f>
        <v>-11.853357194659376</v>
      </c>
      <c r="FE43" s="257">
        <f t="shared" ref="FE43:FE54" si="167">IFERROR(SUM(EB43:EI43),"-")</f>
        <v>383326</v>
      </c>
      <c r="FF43" s="257">
        <f t="shared" ref="FF43:FF54" si="168">IFERROR(SUM(EO43:EZ43),"-")</f>
        <v>337889</v>
      </c>
    </row>
    <row r="44" spans="1:162" ht="15" customHeight="1" x14ac:dyDescent="0.25">
      <c r="A44" s="138" t="s">
        <v>431</v>
      </c>
      <c r="B44" s="152">
        <f t="shared" ref="B44:AG44" si="169">B10+B17</f>
        <v>988</v>
      </c>
      <c r="C44" s="127">
        <f t="shared" si="169"/>
        <v>877</v>
      </c>
      <c r="D44" s="127">
        <f t="shared" si="169"/>
        <v>1449</v>
      </c>
      <c r="E44" s="127">
        <f t="shared" si="169"/>
        <v>1110</v>
      </c>
      <c r="F44" s="127">
        <f t="shared" si="169"/>
        <v>962</v>
      </c>
      <c r="G44" s="127">
        <f t="shared" si="169"/>
        <v>927</v>
      </c>
      <c r="H44" s="127">
        <f t="shared" si="169"/>
        <v>847</v>
      </c>
      <c r="I44" s="127">
        <f t="shared" si="169"/>
        <v>1224</v>
      </c>
      <c r="J44" s="127">
        <f t="shared" si="169"/>
        <v>1152</v>
      </c>
      <c r="K44" s="127">
        <f t="shared" si="169"/>
        <v>1126</v>
      </c>
      <c r="L44" s="127">
        <f t="shared" si="169"/>
        <v>924</v>
      </c>
      <c r="M44" s="201">
        <f t="shared" si="169"/>
        <v>963</v>
      </c>
      <c r="N44" s="201">
        <f t="shared" si="169"/>
        <v>12549</v>
      </c>
      <c r="O44" s="127">
        <f t="shared" si="169"/>
        <v>905</v>
      </c>
      <c r="P44" s="127">
        <f t="shared" si="169"/>
        <v>1107</v>
      </c>
      <c r="Q44" s="127">
        <f t="shared" si="169"/>
        <v>1103</v>
      </c>
      <c r="R44" s="127">
        <f t="shared" si="169"/>
        <v>833</v>
      </c>
      <c r="S44" s="127">
        <f t="shared" si="169"/>
        <v>1200</v>
      </c>
      <c r="T44" s="127">
        <f t="shared" si="169"/>
        <v>1045</v>
      </c>
      <c r="U44" s="127">
        <f t="shared" si="169"/>
        <v>1239</v>
      </c>
      <c r="V44" s="127">
        <f t="shared" si="169"/>
        <v>1100</v>
      </c>
      <c r="W44" s="127">
        <f t="shared" si="169"/>
        <v>1004</v>
      </c>
      <c r="X44" s="127">
        <f t="shared" si="169"/>
        <v>769</v>
      </c>
      <c r="Y44" s="127">
        <f t="shared" si="169"/>
        <v>1201</v>
      </c>
      <c r="Z44" s="201">
        <f t="shared" si="169"/>
        <v>1076</v>
      </c>
      <c r="AA44" s="127">
        <f t="shared" si="169"/>
        <v>12582</v>
      </c>
      <c r="AB44" s="152">
        <f t="shared" si="169"/>
        <v>833</v>
      </c>
      <c r="AC44" s="127">
        <f t="shared" si="169"/>
        <v>1120</v>
      </c>
      <c r="AD44" s="127">
        <f t="shared" si="169"/>
        <v>1401</v>
      </c>
      <c r="AE44" s="127">
        <f t="shared" si="169"/>
        <v>851</v>
      </c>
      <c r="AF44" s="127">
        <f t="shared" si="169"/>
        <v>901</v>
      </c>
      <c r="AG44" s="127">
        <f t="shared" si="169"/>
        <v>959</v>
      </c>
      <c r="AH44" s="127">
        <f t="shared" ref="AH44:BM44" si="170">AH10+AH17</f>
        <v>799</v>
      </c>
      <c r="AI44" s="127">
        <f t="shared" si="170"/>
        <v>1163</v>
      </c>
      <c r="AJ44" s="127">
        <f t="shared" si="170"/>
        <v>1043</v>
      </c>
      <c r="AK44" s="127">
        <f t="shared" si="170"/>
        <v>853</v>
      </c>
      <c r="AL44" s="127">
        <f t="shared" si="170"/>
        <v>929</v>
      </c>
      <c r="AM44" s="127">
        <f t="shared" si="170"/>
        <v>985</v>
      </c>
      <c r="AN44" s="148">
        <f t="shared" si="170"/>
        <v>11837</v>
      </c>
      <c r="AO44" s="152">
        <f t="shared" si="170"/>
        <v>6289</v>
      </c>
      <c r="AP44" s="127">
        <f t="shared" si="170"/>
        <v>1193</v>
      </c>
      <c r="AQ44" s="127">
        <f t="shared" si="170"/>
        <v>1327</v>
      </c>
      <c r="AR44" s="127">
        <f t="shared" si="170"/>
        <v>1085</v>
      </c>
      <c r="AS44" s="127">
        <f t="shared" si="170"/>
        <v>1769</v>
      </c>
      <c r="AT44" s="127">
        <f t="shared" si="170"/>
        <v>1066</v>
      </c>
      <c r="AU44" s="127">
        <f t="shared" si="170"/>
        <v>1086</v>
      </c>
      <c r="AV44" s="127">
        <f t="shared" si="170"/>
        <v>1115</v>
      </c>
      <c r="AW44" s="127">
        <f t="shared" si="170"/>
        <v>1231</v>
      </c>
      <c r="AX44" s="127">
        <f t="shared" si="170"/>
        <v>1078</v>
      </c>
      <c r="AY44" s="127">
        <f t="shared" si="170"/>
        <v>1139</v>
      </c>
      <c r="AZ44" s="201">
        <f t="shared" si="170"/>
        <v>949</v>
      </c>
      <c r="BA44" s="201">
        <f t="shared" si="170"/>
        <v>19327</v>
      </c>
      <c r="BB44" s="127">
        <f t="shared" si="170"/>
        <v>966</v>
      </c>
      <c r="BC44" s="127">
        <f t="shared" si="170"/>
        <v>1367</v>
      </c>
      <c r="BD44" s="127">
        <f t="shared" si="170"/>
        <v>1040</v>
      </c>
      <c r="BE44" s="127">
        <f t="shared" si="170"/>
        <v>1666</v>
      </c>
      <c r="BF44" s="127">
        <f t="shared" si="170"/>
        <v>1532</v>
      </c>
      <c r="BG44" s="127">
        <f t="shared" si="170"/>
        <v>883</v>
      </c>
      <c r="BH44" s="127">
        <f t="shared" si="170"/>
        <v>1068</v>
      </c>
      <c r="BI44" s="127">
        <f t="shared" si="170"/>
        <v>1553</v>
      </c>
      <c r="BJ44" s="127">
        <f t="shared" si="170"/>
        <v>1135</v>
      </c>
      <c r="BK44" s="127">
        <f t="shared" si="170"/>
        <v>1260</v>
      </c>
      <c r="BL44" s="127">
        <f t="shared" si="170"/>
        <v>1032</v>
      </c>
      <c r="BM44" s="201">
        <f t="shared" si="170"/>
        <v>1246</v>
      </c>
      <c r="BN44" s="201">
        <f t="shared" ref="BN44:BZ44" si="171">BN10+BN17</f>
        <v>14748</v>
      </c>
      <c r="BO44" s="127">
        <f t="shared" si="171"/>
        <v>1021</v>
      </c>
      <c r="BP44" s="127">
        <f t="shared" si="171"/>
        <v>1652</v>
      </c>
      <c r="BQ44" s="127">
        <f t="shared" si="171"/>
        <v>571</v>
      </c>
      <c r="BR44" s="127">
        <f t="shared" si="171"/>
        <v>129</v>
      </c>
      <c r="BS44" s="127">
        <f t="shared" si="171"/>
        <v>111</v>
      </c>
      <c r="BT44" s="127">
        <f t="shared" si="171"/>
        <v>468</v>
      </c>
      <c r="BU44" s="127">
        <f t="shared" si="171"/>
        <v>696</v>
      </c>
      <c r="BV44" s="127">
        <f t="shared" si="171"/>
        <v>853</v>
      </c>
      <c r="BW44" s="127">
        <f t="shared" si="171"/>
        <v>955</v>
      </c>
      <c r="BX44" s="127">
        <f t="shared" si="171"/>
        <v>1077</v>
      </c>
      <c r="BY44" s="127">
        <f t="shared" si="171"/>
        <v>1337</v>
      </c>
      <c r="BZ44" s="127">
        <f t="shared" si="171"/>
        <v>1263</v>
      </c>
      <c r="CA44" s="145">
        <f t="shared" ref="CA44:CA54" si="172">SUM(BO44:BZ44)</f>
        <v>10133</v>
      </c>
      <c r="CB44" s="127">
        <f t="shared" ref="CB44:CM44" si="173">CB10+CB17</f>
        <v>1052</v>
      </c>
      <c r="CC44" s="127">
        <f t="shared" si="173"/>
        <v>1051</v>
      </c>
      <c r="CD44" s="127">
        <f t="shared" si="173"/>
        <v>1034</v>
      </c>
      <c r="CE44" s="127">
        <f t="shared" si="173"/>
        <v>963</v>
      </c>
      <c r="CF44" s="127">
        <f t="shared" si="173"/>
        <v>800</v>
      </c>
      <c r="CG44" s="127">
        <f t="shared" si="173"/>
        <v>1341</v>
      </c>
      <c r="CH44" s="127">
        <f t="shared" si="173"/>
        <v>1801</v>
      </c>
      <c r="CI44" s="127">
        <f t="shared" si="173"/>
        <v>1203</v>
      </c>
      <c r="CJ44" s="127">
        <f t="shared" si="173"/>
        <v>2153</v>
      </c>
      <c r="CK44" s="127">
        <f t="shared" si="173"/>
        <v>1203</v>
      </c>
      <c r="CL44" s="127">
        <f t="shared" si="173"/>
        <v>1418</v>
      </c>
      <c r="CM44" s="201">
        <f t="shared" si="173"/>
        <v>1561</v>
      </c>
      <c r="CN44" s="201">
        <f t="shared" si="151"/>
        <v>15580</v>
      </c>
      <c r="CO44" s="162">
        <f t="shared" ref="CO44:CZ44" si="174">CO10+CO17</f>
        <v>965</v>
      </c>
      <c r="CP44" s="151">
        <f t="shared" si="174"/>
        <v>1242</v>
      </c>
      <c r="CQ44" s="151">
        <f t="shared" si="174"/>
        <v>1213</v>
      </c>
      <c r="CR44" s="151">
        <f t="shared" si="174"/>
        <v>1059</v>
      </c>
      <c r="CS44" s="151">
        <f t="shared" si="174"/>
        <v>1404</v>
      </c>
      <c r="CT44" s="151">
        <f t="shared" si="174"/>
        <v>1085</v>
      </c>
      <c r="CU44" s="151">
        <f t="shared" si="174"/>
        <v>1306</v>
      </c>
      <c r="CV44" s="151">
        <f t="shared" si="174"/>
        <v>1505</v>
      </c>
      <c r="CW44" s="151">
        <f t="shared" si="174"/>
        <v>1744</v>
      </c>
      <c r="CX44" s="151">
        <f t="shared" si="174"/>
        <v>1618</v>
      </c>
      <c r="CY44" s="151">
        <f t="shared" si="174"/>
        <v>1882</v>
      </c>
      <c r="CZ44" s="241">
        <f t="shared" si="174"/>
        <v>2087</v>
      </c>
      <c r="DA44" s="148">
        <f t="shared" si="153"/>
        <v>17110</v>
      </c>
      <c r="DB44" s="162">
        <f t="shared" ref="DB44:DM44" si="175">DB10+DB17</f>
        <v>1441</v>
      </c>
      <c r="DC44" s="151">
        <f t="shared" si="175"/>
        <v>1477</v>
      </c>
      <c r="DD44" s="151">
        <f t="shared" si="175"/>
        <v>1695</v>
      </c>
      <c r="DE44" s="151">
        <f t="shared" si="175"/>
        <v>151</v>
      </c>
      <c r="DF44" s="151">
        <f t="shared" si="175"/>
        <v>1730</v>
      </c>
      <c r="DG44" s="151">
        <f t="shared" si="175"/>
        <v>3602</v>
      </c>
      <c r="DH44" s="151">
        <f t="shared" si="175"/>
        <v>1722</v>
      </c>
      <c r="DI44" s="151">
        <f t="shared" si="175"/>
        <v>1763</v>
      </c>
      <c r="DJ44" s="151">
        <f t="shared" si="175"/>
        <v>2472</v>
      </c>
      <c r="DK44" s="151">
        <f t="shared" si="175"/>
        <v>2219</v>
      </c>
      <c r="DL44" s="151">
        <f t="shared" si="175"/>
        <v>2078</v>
      </c>
      <c r="DM44" s="241">
        <f t="shared" si="175"/>
        <v>1975</v>
      </c>
      <c r="DN44" s="151">
        <f t="shared" si="155"/>
        <v>22325</v>
      </c>
      <c r="DO44" s="162">
        <f t="shared" ref="DO44:DZ44" si="176">DO10+DO17</f>
        <v>1586</v>
      </c>
      <c r="DP44" s="151">
        <f t="shared" si="176"/>
        <v>1544</v>
      </c>
      <c r="DQ44" s="151">
        <f t="shared" si="176"/>
        <v>1053</v>
      </c>
      <c r="DR44" s="151">
        <f t="shared" si="176"/>
        <v>1362</v>
      </c>
      <c r="DS44" s="151">
        <f t="shared" si="176"/>
        <v>1119</v>
      </c>
      <c r="DT44" s="151">
        <f t="shared" si="176"/>
        <v>1084</v>
      </c>
      <c r="DU44" s="151">
        <f t="shared" si="176"/>
        <v>1109</v>
      </c>
      <c r="DV44" s="151">
        <f t="shared" si="176"/>
        <v>1585</v>
      </c>
      <c r="DW44" s="151">
        <f t="shared" si="176"/>
        <v>1634</v>
      </c>
      <c r="DX44" s="151">
        <f t="shared" si="176"/>
        <v>1289</v>
      </c>
      <c r="DY44" s="151">
        <f t="shared" si="176"/>
        <v>2006</v>
      </c>
      <c r="DZ44" s="241">
        <f t="shared" si="176"/>
        <v>26340</v>
      </c>
      <c r="EA44" s="241">
        <f t="shared" si="157"/>
        <v>41711</v>
      </c>
      <c r="EB44" s="162">
        <f t="shared" ref="EB44:EM44" si="177">EB10+EB17</f>
        <v>944</v>
      </c>
      <c r="EC44" s="151">
        <f t="shared" si="177"/>
        <v>1523</v>
      </c>
      <c r="ED44" s="151">
        <f t="shared" si="177"/>
        <v>1002</v>
      </c>
      <c r="EE44" s="151">
        <f t="shared" si="177"/>
        <v>1213</v>
      </c>
      <c r="EF44" s="151">
        <f t="shared" si="177"/>
        <v>993</v>
      </c>
      <c r="EG44" s="151">
        <f t="shared" si="177"/>
        <v>989</v>
      </c>
      <c r="EH44" s="151">
        <f t="shared" si="177"/>
        <v>1031</v>
      </c>
      <c r="EI44" s="151">
        <f t="shared" si="177"/>
        <v>1080</v>
      </c>
      <c r="EJ44" s="151">
        <f t="shared" si="177"/>
        <v>1193</v>
      </c>
      <c r="EK44" s="151">
        <f t="shared" si="177"/>
        <v>1571</v>
      </c>
      <c r="EL44" s="151">
        <f t="shared" si="177"/>
        <v>1159</v>
      </c>
      <c r="EM44" s="241">
        <f t="shared" si="177"/>
        <v>1148</v>
      </c>
      <c r="EN44" s="241">
        <f t="shared" si="159"/>
        <v>13846</v>
      </c>
      <c r="EO44" s="162">
        <f t="shared" ref="EO44:ER44" si="178">EO10+EO17</f>
        <v>1261</v>
      </c>
      <c r="EP44" s="151">
        <f t="shared" si="178"/>
        <v>1217</v>
      </c>
      <c r="EQ44" s="151">
        <f t="shared" si="178"/>
        <v>2881</v>
      </c>
      <c r="ER44" s="151">
        <f t="shared" si="178"/>
        <v>1140</v>
      </c>
      <c r="ES44" s="151">
        <f>ES10+ES17</f>
        <v>1015</v>
      </c>
      <c r="ET44" s="151">
        <f>ET10+ET17</f>
        <v>1022</v>
      </c>
      <c r="EU44" s="151">
        <f>EU10+EU17</f>
        <v>876</v>
      </c>
      <c r="EV44" s="950">
        <f>EV10+EV17</f>
        <v>1255</v>
      </c>
      <c r="EW44" s="151"/>
      <c r="EX44" s="151"/>
      <c r="EY44" s="151"/>
      <c r="EZ44" s="241"/>
      <c r="FA44" s="241"/>
      <c r="FC44" s="271">
        <f t="shared" si="165"/>
        <v>16.203703703703699</v>
      </c>
      <c r="FD44" s="271">
        <f t="shared" si="166"/>
        <v>21.561253561253558</v>
      </c>
      <c r="FE44" s="202">
        <f t="shared" si="167"/>
        <v>8775</v>
      </c>
      <c r="FF44" s="257">
        <f t="shared" si="168"/>
        <v>10667</v>
      </c>
    </row>
    <row r="45" spans="1:162" ht="15" customHeight="1" x14ac:dyDescent="0.25">
      <c r="A45" s="138" t="s">
        <v>293</v>
      </c>
      <c r="B45" s="152">
        <f t="shared" ref="B45:AG45" si="179">B46+B47+B50+B52</f>
        <v>3148</v>
      </c>
      <c r="C45" s="127">
        <f t="shared" si="179"/>
        <v>2293</v>
      </c>
      <c r="D45" s="127">
        <f t="shared" si="179"/>
        <v>21856</v>
      </c>
      <c r="E45" s="127">
        <f t="shared" si="179"/>
        <v>4421.3819999999996</v>
      </c>
      <c r="F45" s="127">
        <f t="shared" si="179"/>
        <v>5021</v>
      </c>
      <c r="G45" s="127">
        <f t="shared" si="179"/>
        <v>5525</v>
      </c>
      <c r="H45" s="127">
        <f t="shared" si="179"/>
        <v>5762</v>
      </c>
      <c r="I45" s="127">
        <f t="shared" si="179"/>
        <v>7138</v>
      </c>
      <c r="J45" s="127">
        <f t="shared" si="179"/>
        <v>5709</v>
      </c>
      <c r="K45" s="127">
        <f t="shared" si="179"/>
        <v>-4892</v>
      </c>
      <c r="L45" s="127">
        <f t="shared" si="179"/>
        <v>5966</v>
      </c>
      <c r="M45" s="201">
        <f t="shared" si="179"/>
        <v>2820</v>
      </c>
      <c r="N45" s="201">
        <f t="shared" si="179"/>
        <v>64767.381999999998</v>
      </c>
      <c r="O45" s="127">
        <f t="shared" si="179"/>
        <v>5952</v>
      </c>
      <c r="P45" s="127">
        <f t="shared" si="179"/>
        <v>5910</v>
      </c>
      <c r="Q45" s="127">
        <f t="shared" si="179"/>
        <v>5386</v>
      </c>
      <c r="R45" s="127">
        <f t="shared" si="179"/>
        <v>6771</v>
      </c>
      <c r="S45" s="127">
        <f t="shared" si="179"/>
        <v>1729</v>
      </c>
      <c r="T45" s="127">
        <f t="shared" si="179"/>
        <v>6195</v>
      </c>
      <c r="U45" s="127">
        <f t="shared" si="179"/>
        <v>3884</v>
      </c>
      <c r="V45" s="127">
        <f t="shared" si="179"/>
        <v>2982</v>
      </c>
      <c r="W45" s="127">
        <f t="shared" si="179"/>
        <v>3212</v>
      </c>
      <c r="X45" s="127">
        <f t="shared" si="179"/>
        <v>979</v>
      </c>
      <c r="Y45" s="127">
        <f t="shared" si="179"/>
        <v>2904</v>
      </c>
      <c r="Z45" s="201">
        <f t="shared" si="179"/>
        <v>4101</v>
      </c>
      <c r="AA45" s="127">
        <f t="shared" si="179"/>
        <v>50005</v>
      </c>
      <c r="AB45" s="152">
        <f t="shared" si="179"/>
        <v>1270</v>
      </c>
      <c r="AC45" s="127">
        <f t="shared" si="179"/>
        <v>5638</v>
      </c>
      <c r="AD45" s="127">
        <f t="shared" si="179"/>
        <v>12921</v>
      </c>
      <c r="AE45" s="127">
        <f t="shared" si="179"/>
        <v>2384</v>
      </c>
      <c r="AF45" s="127">
        <f t="shared" si="179"/>
        <v>153</v>
      </c>
      <c r="AG45" s="127">
        <f t="shared" si="179"/>
        <v>4406</v>
      </c>
      <c r="AH45" s="127">
        <f t="shared" ref="AH45:BM45" si="180">AH46+AH47+AH50+AH52</f>
        <v>4783</v>
      </c>
      <c r="AI45" s="127">
        <f t="shared" si="180"/>
        <v>4649</v>
      </c>
      <c r="AJ45" s="127">
        <f t="shared" si="180"/>
        <v>1902</v>
      </c>
      <c r="AK45" s="127">
        <f t="shared" si="180"/>
        <v>7593</v>
      </c>
      <c r="AL45" s="127">
        <f t="shared" si="180"/>
        <v>4987</v>
      </c>
      <c r="AM45" s="127">
        <f t="shared" si="180"/>
        <v>5766</v>
      </c>
      <c r="AN45" s="148">
        <f t="shared" si="180"/>
        <v>56452</v>
      </c>
      <c r="AO45" s="152">
        <f t="shared" si="180"/>
        <v>2748</v>
      </c>
      <c r="AP45" s="127">
        <f t="shared" si="180"/>
        <v>13107</v>
      </c>
      <c r="AQ45" s="127">
        <f t="shared" si="180"/>
        <v>2357</v>
      </c>
      <c r="AR45" s="127">
        <f t="shared" si="180"/>
        <v>7870</v>
      </c>
      <c r="AS45" s="127">
        <f t="shared" si="180"/>
        <v>9559</v>
      </c>
      <c r="AT45" s="127">
        <f t="shared" si="180"/>
        <v>2644</v>
      </c>
      <c r="AU45" s="127">
        <f t="shared" si="180"/>
        <v>16542</v>
      </c>
      <c r="AV45" s="127">
        <f t="shared" si="180"/>
        <v>3824</v>
      </c>
      <c r="AW45" s="127">
        <f t="shared" si="180"/>
        <v>-969</v>
      </c>
      <c r="AX45" s="127">
        <f t="shared" si="180"/>
        <v>6026</v>
      </c>
      <c r="AY45" s="127">
        <f t="shared" si="180"/>
        <v>3804</v>
      </c>
      <c r="AZ45" s="201">
        <f t="shared" si="180"/>
        <v>1612</v>
      </c>
      <c r="BA45" s="201">
        <f t="shared" si="180"/>
        <v>69124</v>
      </c>
      <c r="BB45" s="127">
        <f t="shared" si="180"/>
        <v>21586</v>
      </c>
      <c r="BC45" s="127">
        <f t="shared" si="180"/>
        <v>2540</v>
      </c>
      <c r="BD45" s="127">
        <f t="shared" si="180"/>
        <v>579</v>
      </c>
      <c r="BE45" s="127">
        <f t="shared" si="180"/>
        <v>2626</v>
      </c>
      <c r="BF45" s="127">
        <f t="shared" si="180"/>
        <v>5094</v>
      </c>
      <c r="BG45" s="127">
        <f t="shared" si="180"/>
        <v>553</v>
      </c>
      <c r="BH45" s="127">
        <f t="shared" si="180"/>
        <v>4454</v>
      </c>
      <c r="BI45" s="127">
        <f t="shared" si="180"/>
        <v>4649</v>
      </c>
      <c r="BJ45" s="127">
        <f t="shared" si="180"/>
        <v>7493</v>
      </c>
      <c r="BK45" s="127">
        <f t="shared" si="180"/>
        <v>6221</v>
      </c>
      <c r="BL45" s="127">
        <f t="shared" si="180"/>
        <v>5541</v>
      </c>
      <c r="BM45" s="201">
        <f t="shared" si="180"/>
        <v>-829</v>
      </c>
      <c r="BN45" s="201">
        <f t="shared" ref="BN45" si="181">BN46+BN47+BN50+BN52</f>
        <v>60507</v>
      </c>
      <c r="BO45" s="127">
        <f t="shared" ref="BO45:BZ45" si="182">BO46+BO47+BO50+BO52+BO51</f>
        <v>2692</v>
      </c>
      <c r="BP45" s="127">
        <f t="shared" si="182"/>
        <v>14748.9</v>
      </c>
      <c r="BQ45" s="127">
        <f t="shared" si="182"/>
        <v>6971</v>
      </c>
      <c r="BR45" s="127">
        <f t="shared" si="182"/>
        <v>3493</v>
      </c>
      <c r="BS45" s="127">
        <f t="shared" si="182"/>
        <v>747</v>
      </c>
      <c r="BT45" s="127">
        <f t="shared" si="182"/>
        <v>409</v>
      </c>
      <c r="BU45" s="127">
        <f t="shared" si="182"/>
        <v>2067</v>
      </c>
      <c r="BV45" s="127">
        <f t="shared" si="182"/>
        <v>3261</v>
      </c>
      <c r="BW45" s="127">
        <f t="shared" si="182"/>
        <v>75685</v>
      </c>
      <c r="BX45" s="127">
        <f t="shared" si="182"/>
        <v>6215</v>
      </c>
      <c r="BY45" s="127">
        <f t="shared" si="182"/>
        <v>4446</v>
      </c>
      <c r="BZ45" s="127">
        <f t="shared" si="182"/>
        <v>605</v>
      </c>
      <c r="CA45" s="145">
        <f t="shared" si="172"/>
        <v>121339.9</v>
      </c>
      <c r="CB45" s="127">
        <f t="shared" ref="CB45:CM45" si="183">CB46+CB47+CB50+CB52+CB51</f>
        <v>4055</v>
      </c>
      <c r="CC45" s="127">
        <f t="shared" si="183"/>
        <v>41046</v>
      </c>
      <c r="CD45" s="127">
        <f t="shared" si="183"/>
        <v>5049</v>
      </c>
      <c r="CE45" s="127">
        <f t="shared" si="183"/>
        <v>11534</v>
      </c>
      <c r="CF45" s="127">
        <f t="shared" si="183"/>
        <v>4168</v>
      </c>
      <c r="CG45" s="127">
        <f t="shared" si="183"/>
        <v>5473</v>
      </c>
      <c r="CH45" s="127">
        <f t="shared" si="183"/>
        <v>7997</v>
      </c>
      <c r="CI45" s="127">
        <f t="shared" si="183"/>
        <v>5897</v>
      </c>
      <c r="CJ45" s="127">
        <f t="shared" si="183"/>
        <v>4794</v>
      </c>
      <c r="CK45" s="127">
        <f t="shared" si="183"/>
        <v>5278</v>
      </c>
      <c r="CL45" s="127">
        <f t="shared" si="183"/>
        <v>43252</v>
      </c>
      <c r="CM45" s="201">
        <f t="shared" si="183"/>
        <v>9011</v>
      </c>
      <c r="CN45" s="201">
        <f t="shared" si="151"/>
        <v>147554</v>
      </c>
      <c r="CO45" s="162">
        <f t="shared" ref="CO45:CZ45" si="184">CO46+CO47+CO50+CO52+CO51</f>
        <v>39471</v>
      </c>
      <c r="CP45" s="151">
        <f t="shared" si="184"/>
        <v>13136</v>
      </c>
      <c r="CQ45" s="151">
        <f t="shared" si="184"/>
        <v>64427</v>
      </c>
      <c r="CR45" s="151">
        <f t="shared" si="184"/>
        <v>19710</v>
      </c>
      <c r="CS45" s="151">
        <f t="shared" si="184"/>
        <v>21473</v>
      </c>
      <c r="CT45" s="151">
        <f t="shared" si="184"/>
        <v>29350</v>
      </c>
      <c r="CU45" s="151">
        <f t="shared" si="184"/>
        <v>29616</v>
      </c>
      <c r="CV45" s="151">
        <f t="shared" si="184"/>
        <v>28853</v>
      </c>
      <c r="CW45" s="151">
        <f t="shared" si="184"/>
        <v>38720</v>
      </c>
      <c r="CX45" s="151">
        <f t="shared" si="184"/>
        <v>31366</v>
      </c>
      <c r="CY45" s="151">
        <f t="shared" si="184"/>
        <v>45671</v>
      </c>
      <c r="CZ45" s="241">
        <f t="shared" si="184"/>
        <v>27987</v>
      </c>
      <c r="DA45" s="148">
        <f t="shared" si="153"/>
        <v>389780</v>
      </c>
      <c r="DB45" s="162">
        <f t="shared" ref="DB45:DM45" si="185">DB46+DB47+DB50+DB52+DB51</f>
        <v>32833</v>
      </c>
      <c r="DC45" s="151">
        <f t="shared" si="185"/>
        <v>35710</v>
      </c>
      <c r="DD45" s="151">
        <f t="shared" si="185"/>
        <v>62935</v>
      </c>
      <c r="DE45" s="151">
        <f t="shared" si="185"/>
        <v>105745</v>
      </c>
      <c r="DF45" s="151">
        <f t="shared" si="185"/>
        <v>32399</v>
      </c>
      <c r="DG45" s="151">
        <f t="shared" si="185"/>
        <v>-54761</v>
      </c>
      <c r="DH45" s="151">
        <f t="shared" si="185"/>
        <v>27554</v>
      </c>
      <c r="DI45" s="151">
        <f t="shared" si="185"/>
        <v>23067</v>
      </c>
      <c r="DJ45" s="151">
        <f t="shared" si="185"/>
        <v>23975</v>
      </c>
      <c r="DK45" s="151">
        <f t="shared" si="185"/>
        <v>69257</v>
      </c>
      <c r="DL45" s="151">
        <f t="shared" si="185"/>
        <v>45234</v>
      </c>
      <c r="DM45" s="241">
        <f t="shared" si="185"/>
        <v>-1011</v>
      </c>
      <c r="DN45" s="151">
        <f t="shared" si="155"/>
        <v>402937</v>
      </c>
      <c r="DO45" s="162">
        <f t="shared" ref="DO45:DZ45" si="186">DO46+DO47+DO50+DO52+DO51</f>
        <v>29187</v>
      </c>
      <c r="DP45" s="151">
        <f t="shared" si="186"/>
        <v>95482</v>
      </c>
      <c r="DQ45" s="151">
        <f t="shared" si="186"/>
        <v>35120</v>
      </c>
      <c r="DR45" s="151">
        <f t="shared" si="186"/>
        <v>21725</v>
      </c>
      <c r="DS45" s="151">
        <f t="shared" si="186"/>
        <v>32899</v>
      </c>
      <c r="DT45" s="151">
        <f t="shared" si="186"/>
        <v>31231</v>
      </c>
      <c r="DU45" s="151">
        <f t="shared" si="186"/>
        <v>69994</v>
      </c>
      <c r="DV45" s="151">
        <f t="shared" si="186"/>
        <v>38186</v>
      </c>
      <c r="DW45" s="151">
        <f t="shared" si="186"/>
        <v>33743</v>
      </c>
      <c r="DX45" s="151">
        <f t="shared" si="186"/>
        <v>32924</v>
      </c>
      <c r="DY45" s="151">
        <f t="shared" si="186"/>
        <v>34871</v>
      </c>
      <c r="DZ45" s="241">
        <f t="shared" si="186"/>
        <v>21185</v>
      </c>
      <c r="EA45" s="241">
        <f t="shared" si="157"/>
        <v>476547</v>
      </c>
      <c r="EB45" s="162">
        <f t="shared" ref="EB45:EM45" si="187">EB46+EB47+EB50+EB52+EB51</f>
        <v>38756</v>
      </c>
      <c r="EC45" s="151">
        <f t="shared" si="187"/>
        <v>98097</v>
      </c>
      <c r="ED45" s="151">
        <f t="shared" si="187"/>
        <v>33331</v>
      </c>
      <c r="EE45" s="151">
        <f t="shared" si="187"/>
        <v>31576</v>
      </c>
      <c r="EF45" s="151">
        <f t="shared" si="187"/>
        <v>29082</v>
      </c>
      <c r="EG45" s="151">
        <f t="shared" si="187"/>
        <v>34970</v>
      </c>
      <c r="EH45" s="151">
        <f t="shared" si="187"/>
        <v>74716</v>
      </c>
      <c r="EI45" s="151">
        <f t="shared" si="187"/>
        <v>34023</v>
      </c>
      <c r="EJ45" s="151">
        <f t="shared" si="187"/>
        <v>33640</v>
      </c>
      <c r="EK45" s="151">
        <f t="shared" si="187"/>
        <v>38212</v>
      </c>
      <c r="EL45" s="151">
        <f t="shared" si="187"/>
        <v>37235</v>
      </c>
      <c r="EM45" s="241">
        <f t="shared" si="187"/>
        <v>25351</v>
      </c>
      <c r="EN45" s="241">
        <f t="shared" si="159"/>
        <v>508989</v>
      </c>
      <c r="EO45" s="162">
        <f t="shared" ref="EO45:ER45" si="188">EO46+EO47+EO50+EO52+EO51</f>
        <v>63623</v>
      </c>
      <c r="EP45" s="151">
        <f t="shared" si="188"/>
        <v>81389</v>
      </c>
      <c r="EQ45" s="151">
        <f t="shared" si="188"/>
        <v>29373</v>
      </c>
      <c r="ER45" s="151">
        <f t="shared" si="188"/>
        <v>4679</v>
      </c>
      <c r="ES45" s="151">
        <f t="shared" ref="ES45" si="189">ES46+ES47+ES50+ES52+ES51</f>
        <v>33993</v>
      </c>
      <c r="ET45" s="151">
        <f t="shared" ref="ET45" si="190">ET46+ET47+ET50+ET52+ET51</f>
        <v>4885</v>
      </c>
      <c r="EU45" s="151">
        <f t="shared" ref="EU45" si="191">EU46+EU47+EU50+EU52+EU51</f>
        <v>10765</v>
      </c>
      <c r="EV45" s="950">
        <f t="shared" ref="EV45" si="192">EV46+EV47+EV50+EV52+EV51</f>
        <v>98515</v>
      </c>
      <c r="EW45" s="151"/>
      <c r="EX45" s="151"/>
      <c r="EY45" s="151"/>
      <c r="EZ45" s="241"/>
      <c r="FA45" s="241"/>
      <c r="FC45" s="271">
        <f t="shared" si="165"/>
        <v>189.55412515063341</v>
      </c>
      <c r="FD45" s="271">
        <f t="shared" si="166"/>
        <v>-12.636196405829914</v>
      </c>
      <c r="FE45" s="202">
        <f t="shared" si="167"/>
        <v>374551</v>
      </c>
      <c r="FF45" s="257">
        <f t="shared" si="168"/>
        <v>327222</v>
      </c>
    </row>
    <row r="46" spans="1:162" ht="15" customHeight="1" x14ac:dyDescent="0.25">
      <c r="A46" s="138" t="s">
        <v>432</v>
      </c>
      <c r="B46" s="152">
        <f t="shared" ref="B46:AG46" si="193">B66+B86</f>
        <v>0</v>
      </c>
      <c r="C46" s="127">
        <f t="shared" si="193"/>
        <v>0</v>
      </c>
      <c r="D46" s="127">
        <f t="shared" si="193"/>
        <v>16854</v>
      </c>
      <c r="E46" s="127">
        <f t="shared" si="193"/>
        <v>125.38200000000001</v>
      </c>
      <c r="F46" s="127">
        <f t="shared" si="193"/>
        <v>1373</v>
      </c>
      <c r="G46" s="127">
        <f t="shared" si="193"/>
        <v>1288</v>
      </c>
      <c r="H46" s="127">
        <f t="shared" si="193"/>
        <v>1626</v>
      </c>
      <c r="I46" s="127">
        <f t="shared" si="193"/>
        <v>2036</v>
      </c>
      <c r="J46" s="127">
        <f t="shared" si="193"/>
        <v>1514</v>
      </c>
      <c r="K46" s="127">
        <f t="shared" si="193"/>
        <v>37</v>
      </c>
      <c r="L46" s="127">
        <f t="shared" si="193"/>
        <v>2858</v>
      </c>
      <c r="M46" s="201">
        <f t="shared" si="193"/>
        <v>1407</v>
      </c>
      <c r="N46" s="201">
        <f t="shared" si="193"/>
        <v>29118.382000000001</v>
      </c>
      <c r="O46" s="127">
        <f t="shared" si="193"/>
        <v>4013</v>
      </c>
      <c r="P46" s="127">
        <f t="shared" si="193"/>
        <v>5061</v>
      </c>
      <c r="Q46" s="127">
        <f t="shared" si="193"/>
        <v>2691</v>
      </c>
      <c r="R46" s="127">
        <f t="shared" si="193"/>
        <v>4363</v>
      </c>
      <c r="S46" s="127">
        <f t="shared" si="193"/>
        <v>200</v>
      </c>
      <c r="T46" s="127">
        <f t="shared" si="193"/>
        <v>2726</v>
      </c>
      <c r="U46" s="127">
        <f t="shared" si="193"/>
        <v>3025</v>
      </c>
      <c r="V46" s="127">
        <f t="shared" si="193"/>
        <v>795</v>
      </c>
      <c r="W46" s="127">
        <f t="shared" si="193"/>
        <v>263</v>
      </c>
      <c r="X46" s="127">
        <f t="shared" si="193"/>
        <v>673</v>
      </c>
      <c r="Y46" s="127">
        <f t="shared" si="193"/>
        <v>1415</v>
      </c>
      <c r="Z46" s="201">
        <f t="shared" si="193"/>
        <v>2419</v>
      </c>
      <c r="AA46" s="127">
        <f t="shared" si="193"/>
        <v>27644</v>
      </c>
      <c r="AB46" s="152">
        <f t="shared" si="193"/>
        <v>175</v>
      </c>
      <c r="AC46" s="127">
        <f t="shared" si="193"/>
        <v>3587</v>
      </c>
      <c r="AD46" s="127">
        <f t="shared" si="193"/>
        <v>9475</v>
      </c>
      <c r="AE46" s="127">
        <f t="shared" si="193"/>
        <v>0</v>
      </c>
      <c r="AF46" s="127">
        <f t="shared" si="193"/>
        <v>0</v>
      </c>
      <c r="AG46" s="127">
        <f t="shared" si="193"/>
        <v>3211</v>
      </c>
      <c r="AH46" s="127">
        <f t="shared" ref="AH46:BM46" si="194">AH66+AH86</f>
        <v>555</v>
      </c>
      <c r="AI46" s="127">
        <f t="shared" si="194"/>
        <v>4457</v>
      </c>
      <c r="AJ46" s="127">
        <f t="shared" si="194"/>
        <v>0</v>
      </c>
      <c r="AK46" s="127">
        <f t="shared" si="194"/>
        <v>5453</v>
      </c>
      <c r="AL46" s="127">
        <f t="shared" si="194"/>
        <v>4248</v>
      </c>
      <c r="AM46" s="127">
        <f t="shared" si="194"/>
        <v>2855</v>
      </c>
      <c r="AN46" s="148">
        <f t="shared" si="194"/>
        <v>34016</v>
      </c>
      <c r="AO46" s="152">
        <f t="shared" si="194"/>
        <v>1416</v>
      </c>
      <c r="AP46" s="127">
        <f t="shared" si="194"/>
        <v>9977</v>
      </c>
      <c r="AQ46" s="127">
        <f t="shared" si="194"/>
        <v>-35</v>
      </c>
      <c r="AR46" s="127">
        <f t="shared" si="194"/>
        <v>5412</v>
      </c>
      <c r="AS46" s="127">
        <f t="shared" si="194"/>
        <v>7239</v>
      </c>
      <c r="AT46" s="127">
        <f t="shared" si="194"/>
        <v>-240</v>
      </c>
      <c r="AU46" s="127">
        <f t="shared" si="194"/>
        <v>14790</v>
      </c>
      <c r="AV46" s="127">
        <f t="shared" si="194"/>
        <v>1502</v>
      </c>
      <c r="AW46" s="127">
        <f t="shared" si="194"/>
        <v>-596</v>
      </c>
      <c r="AX46" s="127">
        <f t="shared" si="194"/>
        <v>558</v>
      </c>
      <c r="AY46" s="127">
        <f t="shared" si="194"/>
        <v>0</v>
      </c>
      <c r="AZ46" s="201">
        <f t="shared" si="194"/>
        <v>-1399</v>
      </c>
      <c r="BA46" s="201">
        <f t="shared" si="194"/>
        <v>38624</v>
      </c>
      <c r="BB46" s="127">
        <f t="shared" si="194"/>
        <v>18979</v>
      </c>
      <c r="BC46" s="127">
        <f t="shared" si="194"/>
        <v>0</v>
      </c>
      <c r="BD46" s="127">
        <f t="shared" si="194"/>
        <v>400</v>
      </c>
      <c r="BE46" s="127">
        <f t="shared" si="194"/>
        <v>367</v>
      </c>
      <c r="BF46" s="127">
        <f t="shared" si="194"/>
        <v>582</v>
      </c>
      <c r="BG46" s="127">
        <f t="shared" si="194"/>
        <v>294</v>
      </c>
      <c r="BH46" s="127">
        <f t="shared" si="194"/>
        <v>1393</v>
      </c>
      <c r="BI46" s="127">
        <f t="shared" si="194"/>
        <v>125</v>
      </c>
      <c r="BJ46" s="127">
        <f t="shared" si="194"/>
        <v>2395</v>
      </c>
      <c r="BK46" s="127">
        <f t="shared" si="194"/>
        <v>932</v>
      </c>
      <c r="BL46" s="127">
        <f t="shared" si="194"/>
        <v>2011</v>
      </c>
      <c r="BM46" s="201">
        <f t="shared" si="194"/>
        <v>583</v>
      </c>
      <c r="BN46" s="201">
        <f t="shared" ref="BN46:BZ46" si="195">BN66+BN86</f>
        <v>28061</v>
      </c>
      <c r="BO46" s="127">
        <f t="shared" si="195"/>
        <v>651</v>
      </c>
      <c r="BP46" s="127">
        <f t="shared" si="195"/>
        <v>14259</v>
      </c>
      <c r="BQ46" s="127">
        <f t="shared" si="195"/>
        <v>1633</v>
      </c>
      <c r="BR46" s="127">
        <f t="shared" si="195"/>
        <v>2591</v>
      </c>
      <c r="BS46" s="127">
        <f t="shared" si="195"/>
        <v>130</v>
      </c>
      <c r="BT46" s="127">
        <f t="shared" si="195"/>
        <v>116</v>
      </c>
      <c r="BU46" s="127">
        <f t="shared" si="195"/>
        <v>757</v>
      </c>
      <c r="BV46" s="127">
        <f t="shared" si="195"/>
        <v>1355</v>
      </c>
      <c r="BW46" s="127">
        <f t="shared" si="195"/>
        <v>7043</v>
      </c>
      <c r="BX46" s="127">
        <f t="shared" si="195"/>
        <v>211</v>
      </c>
      <c r="BY46" s="127">
        <f t="shared" si="195"/>
        <v>2949</v>
      </c>
      <c r="BZ46" s="127">
        <f t="shared" si="195"/>
        <v>605</v>
      </c>
      <c r="CA46" s="145">
        <f t="shared" si="172"/>
        <v>32300</v>
      </c>
      <c r="CB46" s="127">
        <f t="shared" ref="CB46:CM46" si="196">CB66+CB86</f>
        <v>804</v>
      </c>
      <c r="CC46" s="127">
        <f t="shared" si="196"/>
        <v>13555</v>
      </c>
      <c r="CD46" s="127">
        <f t="shared" si="196"/>
        <v>1559</v>
      </c>
      <c r="CE46" s="127">
        <f t="shared" si="196"/>
        <v>109</v>
      </c>
      <c r="CF46" s="127">
        <f t="shared" si="196"/>
        <v>1461</v>
      </c>
      <c r="CG46" s="127">
        <f t="shared" si="196"/>
        <v>1860</v>
      </c>
      <c r="CH46" s="127">
        <f t="shared" si="196"/>
        <v>4365</v>
      </c>
      <c r="CI46" s="127">
        <f t="shared" si="196"/>
        <v>1486</v>
      </c>
      <c r="CJ46" s="127">
        <f t="shared" si="196"/>
        <v>905</v>
      </c>
      <c r="CK46" s="127">
        <f t="shared" si="196"/>
        <v>1093</v>
      </c>
      <c r="CL46" s="127">
        <f t="shared" si="196"/>
        <v>5379</v>
      </c>
      <c r="CM46" s="201">
        <f t="shared" si="196"/>
        <v>4437</v>
      </c>
      <c r="CN46" s="201">
        <f t="shared" si="151"/>
        <v>37013</v>
      </c>
      <c r="CO46" s="162">
        <f t="shared" ref="CO46:CZ46" si="197">CO66+CO86</f>
        <v>0</v>
      </c>
      <c r="CP46" s="151">
        <f t="shared" si="197"/>
        <v>809</v>
      </c>
      <c r="CQ46" s="151">
        <f t="shared" si="197"/>
        <v>19079</v>
      </c>
      <c r="CR46" s="151">
        <f t="shared" si="197"/>
        <v>868</v>
      </c>
      <c r="CS46" s="151">
        <f t="shared" si="197"/>
        <v>93</v>
      </c>
      <c r="CT46" s="151">
        <f t="shared" si="197"/>
        <v>2195</v>
      </c>
      <c r="CU46" s="151">
        <f t="shared" si="197"/>
        <v>2000</v>
      </c>
      <c r="CV46" s="151">
        <f t="shared" si="197"/>
        <v>3120</v>
      </c>
      <c r="CW46" s="151">
        <f t="shared" si="197"/>
        <v>5813</v>
      </c>
      <c r="CX46" s="151">
        <f t="shared" si="197"/>
        <v>925</v>
      </c>
      <c r="CY46" s="151">
        <f t="shared" si="197"/>
        <v>8586</v>
      </c>
      <c r="CZ46" s="241">
        <f t="shared" si="197"/>
        <v>956</v>
      </c>
      <c r="DA46" s="148">
        <f t="shared" si="153"/>
        <v>44444</v>
      </c>
      <c r="DB46" s="162">
        <f t="shared" ref="DB46:DM46" si="198">DB66+DB86</f>
        <v>7730</v>
      </c>
      <c r="DC46" s="151">
        <f t="shared" si="198"/>
        <v>10870</v>
      </c>
      <c r="DD46" s="151">
        <f t="shared" si="198"/>
        <v>3078</v>
      </c>
      <c r="DE46" s="151">
        <f t="shared" si="198"/>
        <v>1393</v>
      </c>
      <c r="DF46" s="151">
        <f t="shared" si="198"/>
        <v>2813</v>
      </c>
      <c r="DG46" s="151">
        <f t="shared" si="198"/>
        <v>170</v>
      </c>
      <c r="DH46" s="151">
        <f t="shared" si="198"/>
        <v>697</v>
      </c>
      <c r="DI46" s="151">
        <f t="shared" si="198"/>
        <v>1430</v>
      </c>
      <c r="DJ46" s="151">
        <f t="shared" si="198"/>
        <v>0</v>
      </c>
      <c r="DK46" s="151">
        <f t="shared" si="198"/>
        <v>296</v>
      </c>
      <c r="DL46" s="151">
        <f t="shared" si="198"/>
        <v>4395</v>
      </c>
      <c r="DM46" s="241">
        <f t="shared" si="198"/>
        <v>1842</v>
      </c>
      <c r="DN46" s="151">
        <f t="shared" si="155"/>
        <v>34714</v>
      </c>
      <c r="DO46" s="162">
        <f t="shared" ref="DO46:DZ46" si="199">DO66+DO86</f>
        <v>0</v>
      </c>
      <c r="DP46" s="151">
        <f t="shared" si="199"/>
        <v>25302</v>
      </c>
      <c r="DQ46" s="151">
        <f t="shared" si="199"/>
        <v>1345</v>
      </c>
      <c r="DR46" s="151">
        <f t="shared" si="199"/>
        <v>606</v>
      </c>
      <c r="DS46" s="151">
        <f t="shared" si="199"/>
        <v>2482</v>
      </c>
      <c r="DT46" s="151">
        <f t="shared" si="199"/>
        <v>0</v>
      </c>
      <c r="DU46" s="151">
        <f t="shared" si="199"/>
        <v>103</v>
      </c>
      <c r="DV46" s="151">
        <f t="shared" si="199"/>
        <v>2255</v>
      </c>
      <c r="DW46" s="151">
        <f t="shared" si="199"/>
        <v>1675</v>
      </c>
      <c r="DX46" s="151">
        <f t="shared" si="199"/>
        <v>404</v>
      </c>
      <c r="DY46" s="151">
        <f t="shared" si="199"/>
        <v>424</v>
      </c>
      <c r="DZ46" s="241">
        <f t="shared" si="199"/>
        <v>1597</v>
      </c>
      <c r="EA46" s="241">
        <f t="shared" si="157"/>
        <v>36193</v>
      </c>
      <c r="EB46" s="162">
        <f t="shared" ref="EB46:EM46" si="200">EB66+EB86</f>
        <v>1398</v>
      </c>
      <c r="EC46" s="151">
        <f t="shared" si="200"/>
        <v>15936</v>
      </c>
      <c r="ED46" s="151">
        <f t="shared" si="200"/>
        <v>1917</v>
      </c>
      <c r="EE46" s="151">
        <f t="shared" si="200"/>
        <v>0</v>
      </c>
      <c r="EF46" s="151">
        <f t="shared" si="200"/>
        <v>0</v>
      </c>
      <c r="EG46" s="151">
        <f t="shared" si="200"/>
        <v>3967</v>
      </c>
      <c r="EH46" s="151">
        <f t="shared" si="200"/>
        <v>0</v>
      </c>
      <c r="EI46" s="151">
        <f t="shared" si="200"/>
        <v>464</v>
      </c>
      <c r="EJ46" s="151">
        <f t="shared" si="200"/>
        <v>1414</v>
      </c>
      <c r="EK46" s="151">
        <f t="shared" si="200"/>
        <v>0</v>
      </c>
      <c r="EL46" s="151">
        <f t="shared" si="200"/>
        <v>3085</v>
      </c>
      <c r="EM46" s="241">
        <f t="shared" si="200"/>
        <v>1553</v>
      </c>
      <c r="EN46" s="241">
        <f t="shared" si="159"/>
        <v>29734</v>
      </c>
      <c r="EO46" s="162">
        <f t="shared" ref="EO46:ER46" si="201">EO66+EO86</f>
        <v>27795</v>
      </c>
      <c r="EP46" s="151">
        <f t="shared" si="201"/>
        <v>0</v>
      </c>
      <c r="EQ46" s="151">
        <f t="shared" si="201"/>
        <v>586</v>
      </c>
      <c r="ER46" s="151">
        <f t="shared" si="201"/>
        <v>0</v>
      </c>
      <c r="ES46" s="151">
        <f t="shared" ref="ES46" si="202">ES66+ES86</f>
        <v>742</v>
      </c>
      <c r="ET46" s="151">
        <f t="shared" ref="ET46" si="203">ET66+ET86</f>
        <v>0</v>
      </c>
      <c r="EU46" s="151">
        <f t="shared" ref="EU46" si="204">EU66+EU86</f>
        <v>1583</v>
      </c>
      <c r="EV46" s="950">
        <f t="shared" ref="EV46" si="205">EV66+EV86</f>
        <v>1808</v>
      </c>
      <c r="EW46" s="151"/>
      <c r="EX46" s="151"/>
      <c r="EY46" s="151"/>
      <c r="EZ46" s="241"/>
      <c r="FA46" s="241"/>
      <c r="FC46" s="271">
        <f t="shared" si="165"/>
        <v>289.65517241379308</v>
      </c>
      <c r="FD46" s="271">
        <f t="shared" si="166"/>
        <v>37.294147453762363</v>
      </c>
      <c r="FE46" s="202">
        <f t="shared" si="167"/>
        <v>23682</v>
      </c>
      <c r="FF46" s="257">
        <f t="shared" si="168"/>
        <v>32514</v>
      </c>
    </row>
    <row r="47" spans="1:162" ht="15" customHeight="1" x14ac:dyDescent="0.25">
      <c r="A47" s="138" t="s">
        <v>433</v>
      </c>
      <c r="B47" s="152">
        <f t="shared" ref="B47:AG47" si="206">B48+B49</f>
        <v>3148</v>
      </c>
      <c r="C47" s="127">
        <f t="shared" si="206"/>
        <v>1328</v>
      </c>
      <c r="D47" s="127">
        <f t="shared" si="206"/>
        <v>4524</v>
      </c>
      <c r="E47" s="127">
        <f t="shared" si="206"/>
        <v>3750</v>
      </c>
      <c r="F47" s="127">
        <f t="shared" si="206"/>
        <v>1524</v>
      </c>
      <c r="G47" s="127">
        <f t="shared" si="206"/>
        <v>3188</v>
      </c>
      <c r="H47" s="127">
        <f t="shared" si="206"/>
        <v>3310</v>
      </c>
      <c r="I47" s="127">
        <f t="shared" si="206"/>
        <v>3039</v>
      </c>
      <c r="J47" s="127">
        <f t="shared" si="206"/>
        <v>2739</v>
      </c>
      <c r="K47" s="127">
        <f t="shared" si="206"/>
        <v>-1572</v>
      </c>
      <c r="L47" s="127">
        <f t="shared" si="206"/>
        <v>2520</v>
      </c>
      <c r="M47" s="201">
        <f t="shared" si="206"/>
        <v>1066</v>
      </c>
      <c r="N47" s="201">
        <f t="shared" si="206"/>
        <v>28564</v>
      </c>
      <c r="O47" s="127">
        <f t="shared" si="206"/>
        <v>1867</v>
      </c>
      <c r="P47" s="127">
        <f t="shared" si="206"/>
        <v>-114</v>
      </c>
      <c r="Q47" s="127">
        <f t="shared" si="206"/>
        <v>2393</v>
      </c>
      <c r="R47" s="127">
        <f t="shared" si="206"/>
        <v>1094</v>
      </c>
      <c r="S47" s="127">
        <f t="shared" si="206"/>
        <v>1258</v>
      </c>
      <c r="T47" s="127">
        <f t="shared" si="206"/>
        <v>2217</v>
      </c>
      <c r="U47" s="127">
        <f t="shared" si="206"/>
        <v>-457</v>
      </c>
      <c r="V47" s="127">
        <f t="shared" si="206"/>
        <v>1243</v>
      </c>
      <c r="W47" s="127">
        <f t="shared" si="206"/>
        <v>1229</v>
      </c>
      <c r="X47" s="127">
        <f t="shared" si="206"/>
        <v>332</v>
      </c>
      <c r="Y47" s="127">
        <f t="shared" si="206"/>
        <v>483</v>
      </c>
      <c r="Z47" s="201">
        <f t="shared" si="206"/>
        <v>1092</v>
      </c>
      <c r="AA47" s="127">
        <f t="shared" si="206"/>
        <v>12637</v>
      </c>
      <c r="AB47" s="152">
        <f t="shared" si="206"/>
        <v>620</v>
      </c>
      <c r="AC47" s="127">
        <f t="shared" si="206"/>
        <v>125</v>
      </c>
      <c r="AD47" s="127">
        <f t="shared" si="206"/>
        <v>2034</v>
      </c>
      <c r="AE47" s="127">
        <f t="shared" si="206"/>
        <v>1295</v>
      </c>
      <c r="AF47" s="127">
        <f t="shared" si="206"/>
        <v>0</v>
      </c>
      <c r="AG47" s="127">
        <f t="shared" si="206"/>
        <v>722</v>
      </c>
      <c r="AH47" s="127">
        <f t="shared" ref="AH47:BM47" si="207">AH48+AH49</f>
        <v>1074</v>
      </c>
      <c r="AI47" s="127">
        <f t="shared" si="207"/>
        <v>114</v>
      </c>
      <c r="AJ47" s="127">
        <f t="shared" si="207"/>
        <v>976</v>
      </c>
      <c r="AK47" s="127">
        <f t="shared" si="207"/>
        <v>1220</v>
      </c>
      <c r="AL47" s="127">
        <f t="shared" si="207"/>
        <v>216</v>
      </c>
      <c r="AM47" s="127">
        <f t="shared" si="207"/>
        <v>1973</v>
      </c>
      <c r="AN47" s="148">
        <f t="shared" si="207"/>
        <v>10369</v>
      </c>
      <c r="AO47" s="152">
        <f t="shared" si="207"/>
        <v>1332</v>
      </c>
      <c r="AP47" s="127">
        <f t="shared" si="207"/>
        <v>1682</v>
      </c>
      <c r="AQ47" s="127">
        <f t="shared" si="207"/>
        <v>2006</v>
      </c>
      <c r="AR47" s="127">
        <f t="shared" si="207"/>
        <v>192</v>
      </c>
      <c r="AS47" s="127">
        <f t="shared" si="207"/>
        <v>1277</v>
      </c>
      <c r="AT47" s="127">
        <f t="shared" si="207"/>
        <v>1359</v>
      </c>
      <c r="AU47" s="127">
        <f t="shared" si="207"/>
        <v>1005</v>
      </c>
      <c r="AV47" s="127">
        <f t="shared" si="207"/>
        <v>1523</v>
      </c>
      <c r="AW47" s="127">
        <f t="shared" si="207"/>
        <v>0</v>
      </c>
      <c r="AX47" s="127">
        <f t="shared" si="207"/>
        <v>3702</v>
      </c>
      <c r="AY47" s="127">
        <f t="shared" si="207"/>
        <v>2621</v>
      </c>
      <c r="AZ47" s="201">
        <f t="shared" si="207"/>
        <v>2194</v>
      </c>
      <c r="BA47" s="201">
        <f t="shared" si="207"/>
        <v>18893</v>
      </c>
      <c r="BB47" s="127">
        <f t="shared" si="207"/>
        <v>2607</v>
      </c>
      <c r="BC47" s="127">
        <f t="shared" si="207"/>
        <v>818</v>
      </c>
      <c r="BD47" s="127">
        <f t="shared" si="207"/>
        <v>163</v>
      </c>
      <c r="BE47" s="127">
        <f t="shared" si="207"/>
        <v>1596</v>
      </c>
      <c r="BF47" s="127">
        <f t="shared" si="207"/>
        <v>3604</v>
      </c>
      <c r="BG47" s="127">
        <f t="shared" si="207"/>
        <v>0</v>
      </c>
      <c r="BH47" s="127">
        <f t="shared" si="207"/>
        <v>1584</v>
      </c>
      <c r="BI47" s="127">
        <f t="shared" si="207"/>
        <v>1309</v>
      </c>
      <c r="BJ47" s="127">
        <f t="shared" si="207"/>
        <v>4278</v>
      </c>
      <c r="BK47" s="127">
        <f t="shared" si="207"/>
        <v>3825</v>
      </c>
      <c r="BL47" s="127">
        <f t="shared" si="207"/>
        <v>2796</v>
      </c>
      <c r="BM47" s="201">
        <f t="shared" si="207"/>
        <v>1433</v>
      </c>
      <c r="BN47" s="201">
        <f t="shared" ref="BN47:BZ47" si="208">BN48+BN49</f>
        <v>24013</v>
      </c>
      <c r="BO47" s="127">
        <f t="shared" si="208"/>
        <v>2038</v>
      </c>
      <c r="BP47" s="127">
        <f t="shared" si="208"/>
        <v>0.9</v>
      </c>
      <c r="BQ47" s="127">
        <f t="shared" si="208"/>
        <v>4467</v>
      </c>
      <c r="BR47" s="127">
        <f t="shared" si="208"/>
        <v>686</v>
      </c>
      <c r="BS47" s="127">
        <f t="shared" si="208"/>
        <v>277</v>
      </c>
      <c r="BT47" s="127">
        <f t="shared" si="208"/>
        <v>86</v>
      </c>
      <c r="BU47" s="127">
        <f t="shared" si="208"/>
        <v>174</v>
      </c>
      <c r="BV47" s="127">
        <f t="shared" si="208"/>
        <v>628</v>
      </c>
      <c r="BW47" s="127">
        <f t="shared" si="208"/>
        <v>304</v>
      </c>
      <c r="BX47" s="127">
        <f t="shared" si="208"/>
        <v>114</v>
      </c>
      <c r="BY47" s="127">
        <f t="shared" si="208"/>
        <v>917</v>
      </c>
      <c r="BZ47" s="127">
        <f t="shared" si="208"/>
        <v>0</v>
      </c>
      <c r="CA47" s="145">
        <f t="shared" si="172"/>
        <v>9691.9</v>
      </c>
      <c r="CB47" s="127">
        <f t="shared" ref="CB47:CM47" si="209">CB48+CB49</f>
        <v>301</v>
      </c>
      <c r="CC47" s="127">
        <f t="shared" si="209"/>
        <v>1268</v>
      </c>
      <c r="CD47" s="127">
        <f t="shared" si="209"/>
        <v>1649</v>
      </c>
      <c r="CE47" s="127">
        <f t="shared" si="209"/>
        <v>830</v>
      </c>
      <c r="CF47" s="127">
        <f t="shared" si="209"/>
        <v>1462</v>
      </c>
      <c r="CG47" s="127">
        <f t="shared" si="209"/>
        <v>1641</v>
      </c>
      <c r="CH47" s="127">
        <f t="shared" si="209"/>
        <v>2031</v>
      </c>
      <c r="CI47" s="127">
        <f t="shared" si="209"/>
        <v>1558</v>
      </c>
      <c r="CJ47" s="127">
        <f t="shared" si="209"/>
        <v>1423</v>
      </c>
      <c r="CK47" s="127">
        <f t="shared" si="209"/>
        <v>2178</v>
      </c>
      <c r="CL47" s="127">
        <f t="shared" si="209"/>
        <v>2261</v>
      </c>
      <c r="CM47" s="201">
        <f t="shared" si="209"/>
        <v>1447</v>
      </c>
      <c r="CN47" s="201">
        <f t="shared" si="151"/>
        <v>18049</v>
      </c>
      <c r="CO47" s="162">
        <f t="shared" ref="CO47:CZ47" si="210">CO48+CO49</f>
        <v>1309</v>
      </c>
      <c r="CP47" s="151">
        <f t="shared" si="210"/>
        <v>6020</v>
      </c>
      <c r="CQ47" s="151">
        <f t="shared" si="210"/>
        <v>4336</v>
      </c>
      <c r="CR47" s="151">
        <f t="shared" si="210"/>
        <v>0</v>
      </c>
      <c r="CS47" s="151">
        <f t="shared" si="210"/>
        <v>4238</v>
      </c>
      <c r="CT47" s="151">
        <f t="shared" si="210"/>
        <v>3878</v>
      </c>
      <c r="CU47" s="151">
        <f t="shared" si="210"/>
        <v>4803</v>
      </c>
      <c r="CV47" s="151">
        <f t="shared" si="210"/>
        <v>2981</v>
      </c>
      <c r="CW47" s="151">
        <f t="shared" si="210"/>
        <v>3011</v>
      </c>
      <c r="CX47" s="151">
        <f t="shared" si="210"/>
        <v>2346</v>
      </c>
      <c r="CY47" s="151">
        <f t="shared" si="210"/>
        <v>1252</v>
      </c>
      <c r="CZ47" s="241">
        <f t="shared" si="210"/>
        <v>7816</v>
      </c>
      <c r="DA47" s="148">
        <f t="shared" si="153"/>
        <v>41990</v>
      </c>
      <c r="DB47" s="162">
        <f t="shared" ref="DB47:DM47" si="211">DB48+DB49</f>
        <v>2833</v>
      </c>
      <c r="DC47" s="151">
        <f t="shared" si="211"/>
        <v>-21</v>
      </c>
      <c r="DD47" s="151">
        <f t="shared" si="211"/>
        <v>2566</v>
      </c>
      <c r="DE47" s="151">
        <f t="shared" si="211"/>
        <v>25</v>
      </c>
      <c r="DF47" s="151">
        <f t="shared" si="211"/>
        <v>5947</v>
      </c>
      <c r="DG47" s="151">
        <f t="shared" si="211"/>
        <v>2331</v>
      </c>
      <c r="DH47" s="151">
        <f t="shared" si="211"/>
        <v>2258</v>
      </c>
      <c r="DI47" s="151">
        <f t="shared" si="211"/>
        <v>1983</v>
      </c>
      <c r="DJ47" s="151">
        <f t="shared" si="211"/>
        <v>1898</v>
      </c>
      <c r="DK47" s="151">
        <f t="shared" si="211"/>
        <v>1855</v>
      </c>
      <c r="DL47" s="151">
        <f t="shared" si="211"/>
        <v>2788</v>
      </c>
      <c r="DM47" s="241">
        <f t="shared" si="211"/>
        <v>2179</v>
      </c>
      <c r="DN47" s="151">
        <f t="shared" si="155"/>
        <v>26642</v>
      </c>
      <c r="DO47" s="162">
        <f t="shared" ref="DO47:DZ47" si="212">DO48+DO49</f>
        <v>3521</v>
      </c>
      <c r="DP47" s="151">
        <f t="shared" si="212"/>
        <v>-39</v>
      </c>
      <c r="DQ47" s="151">
        <f t="shared" si="212"/>
        <v>5391</v>
      </c>
      <c r="DR47" s="151">
        <f t="shared" si="212"/>
        <v>2565</v>
      </c>
      <c r="DS47" s="151">
        <f t="shared" si="212"/>
        <v>3153</v>
      </c>
      <c r="DT47" s="151">
        <f t="shared" si="212"/>
        <v>245</v>
      </c>
      <c r="DU47" s="151">
        <f t="shared" si="212"/>
        <v>5244</v>
      </c>
      <c r="DV47" s="151">
        <f t="shared" si="212"/>
        <v>3391</v>
      </c>
      <c r="DW47" s="151">
        <f t="shared" si="212"/>
        <v>2327</v>
      </c>
      <c r="DX47" s="151">
        <f t="shared" si="212"/>
        <v>1646</v>
      </c>
      <c r="DY47" s="151">
        <f t="shared" si="212"/>
        <v>3007</v>
      </c>
      <c r="DZ47" s="241">
        <f t="shared" si="212"/>
        <v>1015</v>
      </c>
      <c r="EA47" s="241">
        <f t="shared" si="157"/>
        <v>31466</v>
      </c>
      <c r="EB47" s="162">
        <f t="shared" ref="EB47:EM47" si="213">EB48+EB49</f>
        <v>5483</v>
      </c>
      <c r="EC47" s="151">
        <f t="shared" si="213"/>
        <v>3021</v>
      </c>
      <c r="ED47" s="151">
        <f t="shared" si="213"/>
        <v>2615</v>
      </c>
      <c r="EE47" s="151">
        <f t="shared" si="213"/>
        <v>2995</v>
      </c>
      <c r="EF47" s="151">
        <f t="shared" si="213"/>
        <v>2638</v>
      </c>
      <c r="EG47" s="151">
        <f t="shared" si="213"/>
        <v>2070</v>
      </c>
      <c r="EH47" s="151">
        <f t="shared" si="213"/>
        <v>2961</v>
      </c>
      <c r="EI47" s="151">
        <f t="shared" si="213"/>
        <v>3005</v>
      </c>
      <c r="EJ47" s="151">
        <f t="shared" si="213"/>
        <v>2466</v>
      </c>
      <c r="EK47" s="151">
        <f t="shared" si="213"/>
        <v>2200</v>
      </c>
      <c r="EL47" s="151">
        <f t="shared" si="213"/>
        <v>1951</v>
      </c>
      <c r="EM47" s="241">
        <f t="shared" si="213"/>
        <v>1736</v>
      </c>
      <c r="EN47" s="241">
        <f t="shared" si="159"/>
        <v>33141</v>
      </c>
      <c r="EO47" s="162">
        <f t="shared" ref="EO47:ER47" si="214">EO48+EO49</f>
        <v>412</v>
      </c>
      <c r="EP47" s="151">
        <f t="shared" si="214"/>
        <v>1971</v>
      </c>
      <c r="EQ47" s="151">
        <f t="shared" si="214"/>
        <v>1737</v>
      </c>
      <c r="ER47" s="151">
        <f t="shared" si="214"/>
        <v>500</v>
      </c>
      <c r="ES47" s="151">
        <f t="shared" ref="ES47" si="215">ES48+ES49</f>
        <v>412</v>
      </c>
      <c r="ET47" s="151">
        <f t="shared" ref="ET47" si="216">ET48+ET49</f>
        <v>0</v>
      </c>
      <c r="EU47" s="151">
        <f t="shared" ref="EU47" si="217">EU48+EU49</f>
        <v>700</v>
      </c>
      <c r="EV47" s="950">
        <f t="shared" ref="EV47" si="218">EV48+EV49</f>
        <v>4090</v>
      </c>
      <c r="EW47" s="151"/>
      <c r="EX47" s="151"/>
      <c r="EY47" s="151"/>
      <c r="EZ47" s="241"/>
      <c r="FA47" s="241"/>
      <c r="FC47" s="271">
        <f t="shared" si="165"/>
        <v>36.106489184692173</v>
      </c>
      <c r="FD47" s="271">
        <f t="shared" si="166"/>
        <v>-60.375988381474912</v>
      </c>
      <c r="FE47" s="202">
        <f t="shared" si="167"/>
        <v>24788</v>
      </c>
      <c r="FF47" s="257">
        <f t="shared" si="168"/>
        <v>9822</v>
      </c>
    </row>
    <row r="48" spans="1:162" ht="15" customHeight="1" x14ac:dyDescent="0.25">
      <c r="A48" s="138" t="s">
        <v>434</v>
      </c>
      <c r="B48" s="152">
        <f t="shared" ref="B48:AG48" si="219">B74+B75</f>
        <v>3148</v>
      </c>
      <c r="C48" s="127">
        <f t="shared" si="219"/>
        <v>1328</v>
      </c>
      <c r="D48" s="127">
        <f t="shared" si="219"/>
        <v>4524</v>
      </c>
      <c r="E48" s="127">
        <f t="shared" si="219"/>
        <v>3750</v>
      </c>
      <c r="F48" s="127">
        <f t="shared" si="219"/>
        <v>1524</v>
      </c>
      <c r="G48" s="127">
        <f t="shared" si="219"/>
        <v>3188</v>
      </c>
      <c r="H48" s="127">
        <f t="shared" si="219"/>
        <v>3310</v>
      </c>
      <c r="I48" s="127">
        <f t="shared" si="219"/>
        <v>3039</v>
      </c>
      <c r="J48" s="127">
        <f t="shared" si="219"/>
        <v>2739</v>
      </c>
      <c r="K48" s="127">
        <f t="shared" si="219"/>
        <v>-1572</v>
      </c>
      <c r="L48" s="127">
        <f t="shared" si="219"/>
        <v>2520</v>
      </c>
      <c r="M48" s="201">
        <f t="shared" si="219"/>
        <v>1066</v>
      </c>
      <c r="N48" s="201">
        <f t="shared" si="219"/>
        <v>28564</v>
      </c>
      <c r="O48" s="127">
        <f t="shared" si="219"/>
        <v>1867</v>
      </c>
      <c r="P48" s="127">
        <f t="shared" si="219"/>
        <v>-114</v>
      </c>
      <c r="Q48" s="127">
        <f t="shared" si="219"/>
        <v>2393</v>
      </c>
      <c r="R48" s="127">
        <f t="shared" si="219"/>
        <v>1094</v>
      </c>
      <c r="S48" s="127">
        <f t="shared" si="219"/>
        <v>1258</v>
      </c>
      <c r="T48" s="127">
        <f t="shared" si="219"/>
        <v>2217</v>
      </c>
      <c r="U48" s="127">
        <f t="shared" si="219"/>
        <v>-457</v>
      </c>
      <c r="V48" s="127">
        <f t="shared" si="219"/>
        <v>1243</v>
      </c>
      <c r="W48" s="127">
        <f t="shared" si="219"/>
        <v>1229</v>
      </c>
      <c r="X48" s="127">
        <f t="shared" si="219"/>
        <v>332</v>
      </c>
      <c r="Y48" s="127">
        <f t="shared" si="219"/>
        <v>483</v>
      </c>
      <c r="Z48" s="201">
        <f t="shared" si="219"/>
        <v>1092</v>
      </c>
      <c r="AA48" s="127">
        <f t="shared" si="219"/>
        <v>12637</v>
      </c>
      <c r="AB48" s="152">
        <f t="shared" si="219"/>
        <v>620</v>
      </c>
      <c r="AC48" s="127">
        <f t="shared" si="219"/>
        <v>125</v>
      </c>
      <c r="AD48" s="127">
        <f t="shared" si="219"/>
        <v>2034</v>
      </c>
      <c r="AE48" s="127">
        <f t="shared" si="219"/>
        <v>1295</v>
      </c>
      <c r="AF48" s="127">
        <f t="shared" si="219"/>
        <v>0</v>
      </c>
      <c r="AG48" s="127">
        <f t="shared" si="219"/>
        <v>722</v>
      </c>
      <c r="AH48" s="127">
        <f t="shared" ref="AH48:BM48" si="220">AH74+AH75</f>
        <v>1074</v>
      </c>
      <c r="AI48" s="127">
        <f t="shared" si="220"/>
        <v>114</v>
      </c>
      <c r="AJ48" s="127">
        <f t="shared" si="220"/>
        <v>976</v>
      </c>
      <c r="AK48" s="127">
        <f t="shared" si="220"/>
        <v>1220</v>
      </c>
      <c r="AL48" s="127">
        <f t="shared" si="220"/>
        <v>216</v>
      </c>
      <c r="AM48" s="127">
        <f t="shared" si="220"/>
        <v>1973</v>
      </c>
      <c r="AN48" s="148">
        <f t="shared" si="220"/>
        <v>10369</v>
      </c>
      <c r="AO48" s="152">
        <f t="shared" si="220"/>
        <v>1332</v>
      </c>
      <c r="AP48" s="127">
        <f t="shared" si="220"/>
        <v>1682</v>
      </c>
      <c r="AQ48" s="127">
        <f t="shared" si="220"/>
        <v>2006</v>
      </c>
      <c r="AR48" s="127">
        <f t="shared" si="220"/>
        <v>192</v>
      </c>
      <c r="AS48" s="127">
        <f t="shared" si="220"/>
        <v>1277</v>
      </c>
      <c r="AT48" s="127">
        <f t="shared" si="220"/>
        <v>1359</v>
      </c>
      <c r="AU48" s="127">
        <f t="shared" si="220"/>
        <v>1005</v>
      </c>
      <c r="AV48" s="127">
        <f t="shared" si="220"/>
        <v>1523</v>
      </c>
      <c r="AW48" s="127">
        <f t="shared" si="220"/>
        <v>0</v>
      </c>
      <c r="AX48" s="127">
        <f t="shared" si="220"/>
        <v>3702</v>
      </c>
      <c r="AY48" s="127">
        <f t="shared" si="220"/>
        <v>2621</v>
      </c>
      <c r="AZ48" s="201">
        <f t="shared" si="220"/>
        <v>2194</v>
      </c>
      <c r="BA48" s="201">
        <f t="shared" si="220"/>
        <v>18893</v>
      </c>
      <c r="BB48" s="127">
        <f t="shared" si="220"/>
        <v>2607</v>
      </c>
      <c r="BC48" s="127">
        <f t="shared" si="220"/>
        <v>818</v>
      </c>
      <c r="BD48" s="127">
        <f t="shared" si="220"/>
        <v>163</v>
      </c>
      <c r="BE48" s="127">
        <f t="shared" si="220"/>
        <v>1596</v>
      </c>
      <c r="BF48" s="127">
        <f t="shared" si="220"/>
        <v>3604</v>
      </c>
      <c r="BG48" s="127">
        <f t="shared" si="220"/>
        <v>0</v>
      </c>
      <c r="BH48" s="127">
        <f t="shared" si="220"/>
        <v>1584</v>
      </c>
      <c r="BI48" s="127">
        <f t="shared" si="220"/>
        <v>1309</v>
      </c>
      <c r="BJ48" s="127">
        <f t="shared" si="220"/>
        <v>4278</v>
      </c>
      <c r="BK48" s="127">
        <f t="shared" si="220"/>
        <v>3825</v>
      </c>
      <c r="BL48" s="127">
        <f t="shared" si="220"/>
        <v>2796</v>
      </c>
      <c r="BM48" s="201">
        <f t="shared" si="220"/>
        <v>1433</v>
      </c>
      <c r="BN48" s="201">
        <f t="shared" ref="BN48:BZ48" si="221">BN74+BN75</f>
        <v>24013</v>
      </c>
      <c r="BO48" s="127">
        <f t="shared" si="221"/>
        <v>2038</v>
      </c>
      <c r="BP48" s="127">
        <f t="shared" si="221"/>
        <v>0.9</v>
      </c>
      <c r="BQ48" s="127">
        <f t="shared" si="221"/>
        <v>4467</v>
      </c>
      <c r="BR48" s="127">
        <f t="shared" si="221"/>
        <v>686</v>
      </c>
      <c r="BS48" s="127">
        <f t="shared" si="221"/>
        <v>277</v>
      </c>
      <c r="BT48" s="127">
        <f t="shared" si="221"/>
        <v>86</v>
      </c>
      <c r="BU48" s="127">
        <f t="shared" si="221"/>
        <v>174</v>
      </c>
      <c r="BV48" s="127">
        <f t="shared" si="221"/>
        <v>478</v>
      </c>
      <c r="BW48" s="127">
        <f t="shared" si="221"/>
        <v>204</v>
      </c>
      <c r="BX48" s="127">
        <f t="shared" si="221"/>
        <v>114</v>
      </c>
      <c r="BY48" s="127">
        <f t="shared" si="221"/>
        <v>917</v>
      </c>
      <c r="BZ48" s="127">
        <f t="shared" si="221"/>
        <v>0</v>
      </c>
      <c r="CA48" s="145">
        <f t="shared" si="172"/>
        <v>9441.9</v>
      </c>
      <c r="CB48" s="127">
        <f t="shared" ref="CB48:CM48" si="222">CB74+CB75</f>
        <v>301</v>
      </c>
      <c r="CC48" s="127">
        <f t="shared" si="222"/>
        <v>1268</v>
      </c>
      <c r="CD48" s="127">
        <f t="shared" si="222"/>
        <v>1649</v>
      </c>
      <c r="CE48" s="127">
        <f t="shared" si="222"/>
        <v>830</v>
      </c>
      <c r="CF48" s="127">
        <f t="shared" si="222"/>
        <v>1462</v>
      </c>
      <c r="CG48" s="127">
        <f t="shared" si="222"/>
        <v>1641</v>
      </c>
      <c r="CH48" s="127">
        <f t="shared" si="222"/>
        <v>2031</v>
      </c>
      <c r="CI48" s="127">
        <f t="shared" si="222"/>
        <v>1558</v>
      </c>
      <c r="CJ48" s="127">
        <f t="shared" si="222"/>
        <v>1423</v>
      </c>
      <c r="CK48" s="127">
        <f t="shared" si="222"/>
        <v>2178</v>
      </c>
      <c r="CL48" s="127">
        <f t="shared" si="222"/>
        <v>2261</v>
      </c>
      <c r="CM48" s="201">
        <f t="shared" si="222"/>
        <v>1447</v>
      </c>
      <c r="CN48" s="201">
        <f t="shared" si="151"/>
        <v>18049</v>
      </c>
      <c r="CO48" s="162">
        <f t="shared" ref="CO48:CZ48" si="223">CO74+CO75</f>
        <v>1309</v>
      </c>
      <c r="CP48" s="151">
        <f t="shared" si="223"/>
        <v>6020</v>
      </c>
      <c r="CQ48" s="151">
        <f t="shared" si="223"/>
        <v>4336</v>
      </c>
      <c r="CR48" s="151">
        <f t="shared" si="223"/>
        <v>0</v>
      </c>
      <c r="CS48" s="151">
        <f t="shared" si="223"/>
        <v>4238</v>
      </c>
      <c r="CT48" s="151">
        <f t="shared" si="223"/>
        <v>3878</v>
      </c>
      <c r="CU48" s="151">
        <f t="shared" si="223"/>
        <v>4803</v>
      </c>
      <c r="CV48" s="151">
        <f t="shared" si="223"/>
        <v>2981</v>
      </c>
      <c r="CW48" s="151">
        <f t="shared" si="223"/>
        <v>3011</v>
      </c>
      <c r="CX48" s="151">
        <f t="shared" si="223"/>
        <v>2346</v>
      </c>
      <c r="CY48" s="151">
        <f t="shared" si="223"/>
        <v>1252</v>
      </c>
      <c r="CZ48" s="241">
        <f t="shared" si="223"/>
        <v>7816</v>
      </c>
      <c r="DA48" s="148">
        <f t="shared" si="153"/>
        <v>41990</v>
      </c>
      <c r="DB48" s="162">
        <f t="shared" ref="DB48:DM48" si="224">DB74+DB75</f>
        <v>2833</v>
      </c>
      <c r="DC48" s="151">
        <f t="shared" si="224"/>
        <v>-21</v>
      </c>
      <c r="DD48" s="151">
        <f t="shared" si="224"/>
        <v>2566</v>
      </c>
      <c r="DE48" s="151">
        <f t="shared" si="224"/>
        <v>25</v>
      </c>
      <c r="DF48" s="151">
        <f t="shared" si="224"/>
        <v>5947</v>
      </c>
      <c r="DG48" s="151">
        <f t="shared" si="224"/>
        <v>2331</v>
      </c>
      <c r="DH48" s="151">
        <f t="shared" si="224"/>
        <v>2258</v>
      </c>
      <c r="DI48" s="151">
        <f t="shared" si="224"/>
        <v>1983</v>
      </c>
      <c r="DJ48" s="151">
        <f t="shared" si="224"/>
        <v>1898</v>
      </c>
      <c r="DK48" s="151">
        <f t="shared" si="224"/>
        <v>1855</v>
      </c>
      <c r="DL48" s="151">
        <f t="shared" si="224"/>
        <v>2788</v>
      </c>
      <c r="DM48" s="241">
        <f t="shared" si="224"/>
        <v>2179</v>
      </c>
      <c r="DN48" s="151">
        <f t="shared" si="155"/>
        <v>26642</v>
      </c>
      <c r="DO48" s="162">
        <f t="shared" ref="DO48:DZ48" si="225">DO74+DO75</f>
        <v>3521</v>
      </c>
      <c r="DP48" s="151">
        <f t="shared" si="225"/>
        <v>-39</v>
      </c>
      <c r="DQ48" s="151">
        <f t="shared" si="225"/>
        <v>5391</v>
      </c>
      <c r="DR48" s="151">
        <f t="shared" si="225"/>
        <v>2565</v>
      </c>
      <c r="DS48" s="151">
        <f t="shared" si="225"/>
        <v>3153</v>
      </c>
      <c r="DT48" s="151">
        <f t="shared" si="225"/>
        <v>245</v>
      </c>
      <c r="DU48" s="151">
        <f t="shared" si="225"/>
        <v>5244</v>
      </c>
      <c r="DV48" s="151">
        <f t="shared" si="225"/>
        <v>3391</v>
      </c>
      <c r="DW48" s="151">
        <f t="shared" si="225"/>
        <v>2327</v>
      </c>
      <c r="DX48" s="151">
        <f t="shared" si="225"/>
        <v>1646</v>
      </c>
      <c r="DY48" s="151">
        <f t="shared" si="225"/>
        <v>3007</v>
      </c>
      <c r="DZ48" s="241">
        <f t="shared" si="225"/>
        <v>1015</v>
      </c>
      <c r="EA48" s="241">
        <f t="shared" si="157"/>
        <v>31466</v>
      </c>
      <c r="EB48" s="162">
        <f t="shared" ref="EB48:EM48" si="226">EB74+EB75</f>
        <v>5483</v>
      </c>
      <c r="EC48" s="151">
        <f t="shared" si="226"/>
        <v>3021</v>
      </c>
      <c r="ED48" s="151">
        <f t="shared" si="226"/>
        <v>2615</v>
      </c>
      <c r="EE48" s="151">
        <f t="shared" si="226"/>
        <v>2995</v>
      </c>
      <c r="EF48" s="151">
        <f t="shared" si="226"/>
        <v>2638</v>
      </c>
      <c r="EG48" s="151">
        <f t="shared" si="226"/>
        <v>2070</v>
      </c>
      <c r="EH48" s="151">
        <f t="shared" si="226"/>
        <v>2961</v>
      </c>
      <c r="EI48" s="151">
        <f t="shared" si="226"/>
        <v>2995</v>
      </c>
      <c r="EJ48" s="151">
        <f t="shared" si="226"/>
        <v>2465</v>
      </c>
      <c r="EK48" s="151">
        <f t="shared" si="226"/>
        <v>2200</v>
      </c>
      <c r="EL48" s="151">
        <f t="shared" si="226"/>
        <v>1951</v>
      </c>
      <c r="EM48" s="241">
        <f t="shared" si="226"/>
        <v>1736</v>
      </c>
      <c r="EN48" s="241">
        <f t="shared" si="159"/>
        <v>33130</v>
      </c>
      <c r="EO48" s="162">
        <f t="shared" ref="EO48:ER48" si="227">EO74+EO75</f>
        <v>412</v>
      </c>
      <c r="EP48" s="151">
        <f t="shared" si="227"/>
        <v>1971</v>
      </c>
      <c r="EQ48" s="151">
        <f t="shared" si="227"/>
        <v>1737</v>
      </c>
      <c r="ER48" s="151">
        <f t="shared" si="227"/>
        <v>500</v>
      </c>
      <c r="ES48" s="151">
        <f t="shared" ref="ES48" si="228">ES74+ES75</f>
        <v>412</v>
      </c>
      <c r="ET48" s="151">
        <f t="shared" ref="ET48" si="229">ET74+ET75</f>
        <v>0</v>
      </c>
      <c r="EU48" s="151">
        <f t="shared" ref="EU48" si="230">EU74+EU75</f>
        <v>700</v>
      </c>
      <c r="EV48" s="950">
        <f t="shared" ref="EV48" si="231">EV74+EV75</f>
        <v>4090</v>
      </c>
      <c r="EW48" s="151"/>
      <c r="EX48" s="151"/>
      <c r="EY48" s="151"/>
      <c r="EZ48" s="241"/>
      <c r="FA48" s="241"/>
      <c r="FC48" s="271">
        <f t="shared" si="165"/>
        <v>36.560934891485822</v>
      </c>
      <c r="FD48" s="271">
        <f t="shared" si="166"/>
        <v>-60.359996771329406</v>
      </c>
      <c r="FE48" s="202">
        <f t="shared" si="167"/>
        <v>24778</v>
      </c>
      <c r="FF48" s="257">
        <f t="shared" si="168"/>
        <v>9822</v>
      </c>
    </row>
    <row r="49" spans="1:162" ht="15" customHeight="1" x14ac:dyDescent="0.25">
      <c r="A49" s="138" t="s">
        <v>435</v>
      </c>
      <c r="B49" s="152">
        <f t="shared" ref="B49:AG49" si="232">B76+B77</f>
        <v>0</v>
      </c>
      <c r="C49" s="127">
        <f t="shared" si="232"/>
        <v>0</v>
      </c>
      <c r="D49" s="127">
        <f t="shared" si="232"/>
        <v>0</v>
      </c>
      <c r="E49" s="127">
        <f t="shared" si="232"/>
        <v>0</v>
      </c>
      <c r="F49" s="127">
        <f t="shared" si="232"/>
        <v>0</v>
      </c>
      <c r="G49" s="127">
        <f t="shared" si="232"/>
        <v>0</v>
      </c>
      <c r="H49" s="127">
        <f t="shared" si="232"/>
        <v>0</v>
      </c>
      <c r="I49" s="127">
        <f t="shared" si="232"/>
        <v>0</v>
      </c>
      <c r="J49" s="127">
        <f t="shared" si="232"/>
        <v>0</v>
      </c>
      <c r="K49" s="127">
        <f t="shared" si="232"/>
        <v>0</v>
      </c>
      <c r="L49" s="127">
        <f t="shared" si="232"/>
        <v>0</v>
      </c>
      <c r="M49" s="201">
        <f t="shared" si="232"/>
        <v>0</v>
      </c>
      <c r="N49" s="201">
        <f t="shared" si="232"/>
        <v>0</v>
      </c>
      <c r="O49" s="127">
        <f t="shared" si="232"/>
        <v>0</v>
      </c>
      <c r="P49" s="127">
        <f t="shared" si="232"/>
        <v>0</v>
      </c>
      <c r="Q49" s="127">
        <f t="shared" si="232"/>
        <v>0</v>
      </c>
      <c r="R49" s="127">
        <f t="shared" si="232"/>
        <v>0</v>
      </c>
      <c r="S49" s="127">
        <f t="shared" si="232"/>
        <v>0</v>
      </c>
      <c r="T49" s="127">
        <f t="shared" si="232"/>
        <v>0</v>
      </c>
      <c r="U49" s="127">
        <f t="shared" si="232"/>
        <v>0</v>
      </c>
      <c r="V49" s="127">
        <f t="shared" si="232"/>
        <v>0</v>
      </c>
      <c r="W49" s="127">
        <f t="shared" si="232"/>
        <v>0</v>
      </c>
      <c r="X49" s="127">
        <f t="shared" si="232"/>
        <v>0</v>
      </c>
      <c r="Y49" s="127">
        <f t="shared" si="232"/>
        <v>0</v>
      </c>
      <c r="Z49" s="201">
        <f t="shared" si="232"/>
        <v>0</v>
      </c>
      <c r="AA49" s="127">
        <f t="shared" si="232"/>
        <v>0</v>
      </c>
      <c r="AB49" s="152">
        <f t="shared" si="232"/>
        <v>0</v>
      </c>
      <c r="AC49" s="127">
        <f t="shared" si="232"/>
        <v>0</v>
      </c>
      <c r="AD49" s="127">
        <f t="shared" si="232"/>
        <v>0</v>
      </c>
      <c r="AE49" s="127">
        <f t="shared" si="232"/>
        <v>0</v>
      </c>
      <c r="AF49" s="127">
        <f t="shared" si="232"/>
        <v>0</v>
      </c>
      <c r="AG49" s="127">
        <f t="shared" si="232"/>
        <v>0</v>
      </c>
      <c r="AH49" s="127">
        <f t="shared" ref="AH49:BM49" si="233">AH76+AH77</f>
        <v>0</v>
      </c>
      <c r="AI49" s="127">
        <f t="shared" si="233"/>
        <v>0</v>
      </c>
      <c r="AJ49" s="127">
        <f t="shared" si="233"/>
        <v>0</v>
      </c>
      <c r="AK49" s="127">
        <f t="shared" si="233"/>
        <v>0</v>
      </c>
      <c r="AL49" s="127">
        <f t="shared" si="233"/>
        <v>0</v>
      </c>
      <c r="AM49" s="127">
        <f t="shared" si="233"/>
        <v>0</v>
      </c>
      <c r="AN49" s="148">
        <f t="shared" si="233"/>
        <v>0</v>
      </c>
      <c r="AO49" s="152">
        <f t="shared" si="233"/>
        <v>0</v>
      </c>
      <c r="AP49" s="127">
        <f t="shared" si="233"/>
        <v>0</v>
      </c>
      <c r="AQ49" s="127">
        <f t="shared" si="233"/>
        <v>0</v>
      </c>
      <c r="AR49" s="127">
        <f t="shared" si="233"/>
        <v>0</v>
      </c>
      <c r="AS49" s="127">
        <f t="shared" si="233"/>
        <v>0</v>
      </c>
      <c r="AT49" s="127">
        <f t="shared" si="233"/>
        <v>0</v>
      </c>
      <c r="AU49" s="127">
        <f t="shared" si="233"/>
        <v>0</v>
      </c>
      <c r="AV49" s="127">
        <f t="shared" si="233"/>
        <v>0</v>
      </c>
      <c r="AW49" s="127">
        <f t="shared" si="233"/>
        <v>0</v>
      </c>
      <c r="AX49" s="127">
        <f t="shared" si="233"/>
        <v>0</v>
      </c>
      <c r="AY49" s="127">
        <f t="shared" si="233"/>
        <v>0</v>
      </c>
      <c r="AZ49" s="201">
        <f t="shared" si="233"/>
        <v>0</v>
      </c>
      <c r="BA49" s="201">
        <f t="shared" si="233"/>
        <v>0</v>
      </c>
      <c r="BB49" s="127">
        <f t="shared" si="233"/>
        <v>0</v>
      </c>
      <c r="BC49" s="127">
        <f t="shared" si="233"/>
        <v>0</v>
      </c>
      <c r="BD49" s="127">
        <f t="shared" si="233"/>
        <v>0</v>
      </c>
      <c r="BE49" s="127">
        <f t="shared" si="233"/>
        <v>0</v>
      </c>
      <c r="BF49" s="127">
        <f t="shared" si="233"/>
        <v>0</v>
      </c>
      <c r="BG49" s="127">
        <f t="shared" si="233"/>
        <v>0</v>
      </c>
      <c r="BH49" s="127">
        <f t="shared" si="233"/>
        <v>0</v>
      </c>
      <c r="BI49" s="127">
        <f t="shared" si="233"/>
        <v>0</v>
      </c>
      <c r="BJ49" s="127">
        <f t="shared" si="233"/>
        <v>0</v>
      </c>
      <c r="BK49" s="127">
        <f t="shared" si="233"/>
        <v>0</v>
      </c>
      <c r="BL49" s="127">
        <f t="shared" si="233"/>
        <v>0</v>
      </c>
      <c r="BM49" s="201">
        <f t="shared" si="233"/>
        <v>0</v>
      </c>
      <c r="BN49" s="201">
        <f t="shared" ref="BN49:BZ49" si="234">BN76+BN77</f>
        <v>0</v>
      </c>
      <c r="BO49" s="127">
        <f t="shared" si="234"/>
        <v>0</v>
      </c>
      <c r="BP49" s="127">
        <f t="shared" si="234"/>
        <v>0</v>
      </c>
      <c r="BQ49" s="127">
        <f t="shared" si="234"/>
        <v>0</v>
      </c>
      <c r="BR49" s="127">
        <f t="shared" si="234"/>
        <v>0</v>
      </c>
      <c r="BS49" s="127">
        <f t="shared" si="234"/>
        <v>0</v>
      </c>
      <c r="BT49" s="127">
        <f t="shared" si="234"/>
        <v>0</v>
      </c>
      <c r="BU49" s="127">
        <f t="shared" si="234"/>
        <v>0</v>
      </c>
      <c r="BV49" s="127">
        <f t="shared" si="234"/>
        <v>150</v>
      </c>
      <c r="BW49" s="127">
        <f t="shared" si="234"/>
        <v>100</v>
      </c>
      <c r="BX49" s="127">
        <f t="shared" si="234"/>
        <v>0</v>
      </c>
      <c r="BY49" s="127">
        <f t="shared" si="234"/>
        <v>0</v>
      </c>
      <c r="BZ49" s="127">
        <f t="shared" si="234"/>
        <v>0</v>
      </c>
      <c r="CA49" s="145">
        <f t="shared" si="172"/>
        <v>250</v>
      </c>
      <c r="CB49" s="127">
        <f t="shared" ref="CB49:CM49" si="235">CB76+CB77</f>
        <v>0</v>
      </c>
      <c r="CC49" s="127">
        <f t="shared" si="235"/>
        <v>0</v>
      </c>
      <c r="CD49" s="127">
        <f t="shared" si="235"/>
        <v>0</v>
      </c>
      <c r="CE49" s="127">
        <f t="shared" si="235"/>
        <v>0</v>
      </c>
      <c r="CF49" s="127">
        <f t="shared" si="235"/>
        <v>0</v>
      </c>
      <c r="CG49" s="127">
        <f t="shared" si="235"/>
        <v>0</v>
      </c>
      <c r="CH49" s="127">
        <f t="shared" si="235"/>
        <v>0</v>
      </c>
      <c r="CI49" s="127">
        <f t="shared" si="235"/>
        <v>0</v>
      </c>
      <c r="CJ49" s="127">
        <f t="shared" si="235"/>
        <v>0</v>
      </c>
      <c r="CK49" s="127">
        <f t="shared" si="235"/>
        <v>0</v>
      </c>
      <c r="CL49" s="127">
        <f t="shared" si="235"/>
        <v>0</v>
      </c>
      <c r="CM49" s="201">
        <f t="shared" si="235"/>
        <v>0</v>
      </c>
      <c r="CN49" s="201">
        <f t="shared" si="151"/>
        <v>0</v>
      </c>
      <c r="CO49" s="162">
        <f t="shared" ref="CO49:CZ49" si="236">CO76+CO77</f>
        <v>0</v>
      </c>
      <c r="CP49" s="151">
        <f t="shared" si="236"/>
        <v>0</v>
      </c>
      <c r="CQ49" s="151">
        <f t="shared" si="236"/>
        <v>0</v>
      </c>
      <c r="CR49" s="151">
        <f t="shared" si="236"/>
        <v>0</v>
      </c>
      <c r="CS49" s="151">
        <f t="shared" si="236"/>
        <v>0</v>
      </c>
      <c r="CT49" s="151">
        <f t="shared" si="236"/>
        <v>0</v>
      </c>
      <c r="CU49" s="151">
        <f t="shared" si="236"/>
        <v>0</v>
      </c>
      <c r="CV49" s="151">
        <f t="shared" si="236"/>
        <v>0</v>
      </c>
      <c r="CW49" s="151">
        <f t="shared" si="236"/>
        <v>0</v>
      </c>
      <c r="CX49" s="151">
        <f t="shared" si="236"/>
        <v>0</v>
      </c>
      <c r="CY49" s="151">
        <f t="shared" si="236"/>
        <v>0</v>
      </c>
      <c r="CZ49" s="241">
        <f t="shared" si="236"/>
        <v>0</v>
      </c>
      <c r="DA49" s="148">
        <f t="shared" si="153"/>
        <v>0</v>
      </c>
      <c r="DB49" s="162">
        <f t="shared" ref="DB49:DM49" si="237">DB76+DB77</f>
        <v>0</v>
      </c>
      <c r="DC49" s="151">
        <f t="shared" si="237"/>
        <v>0</v>
      </c>
      <c r="DD49" s="151">
        <f t="shared" si="237"/>
        <v>0</v>
      </c>
      <c r="DE49" s="151">
        <f t="shared" si="237"/>
        <v>0</v>
      </c>
      <c r="DF49" s="151">
        <f t="shared" si="237"/>
        <v>0</v>
      </c>
      <c r="DG49" s="151">
        <f t="shared" si="237"/>
        <v>0</v>
      </c>
      <c r="DH49" s="151">
        <f t="shared" si="237"/>
        <v>0</v>
      </c>
      <c r="DI49" s="151">
        <f t="shared" si="237"/>
        <v>0</v>
      </c>
      <c r="DJ49" s="151">
        <f t="shared" si="237"/>
        <v>0</v>
      </c>
      <c r="DK49" s="151">
        <f t="shared" si="237"/>
        <v>0</v>
      </c>
      <c r="DL49" s="151">
        <f t="shared" si="237"/>
        <v>0</v>
      </c>
      <c r="DM49" s="241">
        <f t="shared" si="237"/>
        <v>0</v>
      </c>
      <c r="DN49" s="151">
        <f t="shared" si="155"/>
        <v>0</v>
      </c>
      <c r="DO49" s="162">
        <f t="shared" ref="DO49:DZ49" si="238">DO76+DO77</f>
        <v>0</v>
      </c>
      <c r="DP49" s="151">
        <f t="shared" si="238"/>
        <v>0</v>
      </c>
      <c r="DQ49" s="151">
        <f t="shared" si="238"/>
        <v>0</v>
      </c>
      <c r="DR49" s="151">
        <f t="shared" si="238"/>
        <v>0</v>
      </c>
      <c r="DS49" s="151">
        <f t="shared" si="238"/>
        <v>0</v>
      </c>
      <c r="DT49" s="151">
        <f t="shared" si="238"/>
        <v>0</v>
      </c>
      <c r="DU49" s="151">
        <f t="shared" si="238"/>
        <v>0</v>
      </c>
      <c r="DV49" s="151">
        <f t="shared" si="238"/>
        <v>0</v>
      </c>
      <c r="DW49" s="151">
        <f t="shared" si="238"/>
        <v>0</v>
      </c>
      <c r="DX49" s="151">
        <f t="shared" si="238"/>
        <v>0</v>
      </c>
      <c r="DY49" s="151">
        <f t="shared" si="238"/>
        <v>0</v>
      </c>
      <c r="DZ49" s="241">
        <f t="shared" si="238"/>
        <v>0</v>
      </c>
      <c r="EA49" s="241">
        <f t="shared" si="157"/>
        <v>0</v>
      </c>
      <c r="EB49" s="162">
        <f t="shared" ref="EB49:EM49" si="239">EB76+EB77</f>
        <v>0</v>
      </c>
      <c r="EC49" s="151">
        <f t="shared" si="239"/>
        <v>0</v>
      </c>
      <c r="ED49" s="151">
        <f t="shared" si="239"/>
        <v>0</v>
      </c>
      <c r="EE49" s="151">
        <f t="shared" si="239"/>
        <v>0</v>
      </c>
      <c r="EF49" s="151">
        <f t="shared" si="239"/>
        <v>0</v>
      </c>
      <c r="EG49" s="151">
        <f t="shared" si="239"/>
        <v>0</v>
      </c>
      <c r="EH49" s="151">
        <f t="shared" si="239"/>
        <v>0</v>
      </c>
      <c r="EI49" s="151">
        <f t="shared" si="239"/>
        <v>10</v>
      </c>
      <c r="EJ49" s="151">
        <f t="shared" si="239"/>
        <v>1</v>
      </c>
      <c r="EK49" s="151">
        <f t="shared" si="239"/>
        <v>0</v>
      </c>
      <c r="EL49" s="151">
        <f t="shared" si="239"/>
        <v>0</v>
      </c>
      <c r="EM49" s="241">
        <f t="shared" si="239"/>
        <v>0</v>
      </c>
      <c r="EN49" s="241">
        <f t="shared" si="159"/>
        <v>11</v>
      </c>
      <c r="EO49" s="162">
        <f t="shared" ref="EO49:ER49" si="240">EO76+EO77</f>
        <v>0</v>
      </c>
      <c r="EP49" s="151">
        <f t="shared" si="240"/>
        <v>0</v>
      </c>
      <c r="EQ49" s="151">
        <f t="shared" si="240"/>
        <v>0</v>
      </c>
      <c r="ER49" s="151">
        <f t="shared" si="240"/>
        <v>0</v>
      </c>
      <c r="ES49" s="151">
        <f t="shared" ref="ES49" si="241">ES76+ES77</f>
        <v>0</v>
      </c>
      <c r="ET49" s="151">
        <f t="shared" ref="ET49" si="242">ET76+ET77</f>
        <v>0</v>
      </c>
      <c r="EU49" s="151">
        <f t="shared" ref="EU49" si="243">EU76+EU77</f>
        <v>0</v>
      </c>
      <c r="EV49" s="950">
        <f t="shared" ref="EV49" si="244">EV76+EV77</f>
        <v>0</v>
      </c>
      <c r="EW49" s="151"/>
      <c r="EX49" s="151"/>
      <c r="EY49" s="151"/>
      <c r="EZ49" s="241"/>
      <c r="FA49" s="241"/>
      <c r="FC49" s="271">
        <f t="shared" si="165"/>
        <v>-100</v>
      </c>
      <c r="FD49" s="271">
        <f t="shared" si="166"/>
        <v>-100</v>
      </c>
      <c r="FE49" s="202">
        <f t="shared" si="167"/>
        <v>10</v>
      </c>
      <c r="FF49" s="257">
        <f t="shared" si="168"/>
        <v>0</v>
      </c>
    </row>
    <row r="50" spans="1:162" ht="15" customHeight="1" x14ac:dyDescent="0.25">
      <c r="A50" s="138" t="s">
        <v>436</v>
      </c>
      <c r="B50" s="152">
        <f t="shared" ref="B50:AG50" si="245">B78</f>
        <v>0</v>
      </c>
      <c r="C50" s="127">
        <f t="shared" si="245"/>
        <v>965</v>
      </c>
      <c r="D50" s="127">
        <f t="shared" si="245"/>
        <v>478</v>
      </c>
      <c r="E50" s="127">
        <f t="shared" si="245"/>
        <v>546</v>
      </c>
      <c r="F50" s="127">
        <f t="shared" si="245"/>
        <v>2000</v>
      </c>
      <c r="G50" s="127">
        <f t="shared" si="245"/>
        <v>916</v>
      </c>
      <c r="H50" s="127">
        <f t="shared" si="245"/>
        <v>497</v>
      </c>
      <c r="I50" s="127">
        <f t="shared" si="245"/>
        <v>2063</v>
      </c>
      <c r="J50" s="127">
        <f t="shared" si="245"/>
        <v>1106</v>
      </c>
      <c r="K50" s="127">
        <f t="shared" si="245"/>
        <v>-3357</v>
      </c>
      <c r="L50" s="127">
        <f t="shared" si="245"/>
        <v>493</v>
      </c>
      <c r="M50" s="201">
        <f t="shared" si="245"/>
        <v>140</v>
      </c>
      <c r="N50" s="201">
        <f t="shared" si="245"/>
        <v>5847</v>
      </c>
      <c r="O50" s="127">
        <f t="shared" si="245"/>
        <v>0</v>
      </c>
      <c r="P50" s="127">
        <f t="shared" si="245"/>
        <v>761</v>
      </c>
      <c r="Q50" s="127">
        <f t="shared" si="245"/>
        <v>302</v>
      </c>
      <c r="R50" s="127">
        <f t="shared" si="245"/>
        <v>1314</v>
      </c>
      <c r="S50" s="127">
        <f t="shared" si="245"/>
        <v>146</v>
      </c>
      <c r="T50" s="127">
        <f t="shared" si="245"/>
        <v>990</v>
      </c>
      <c r="U50" s="127">
        <f t="shared" si="245"/>
        <v>1099</v>
      </c>
      <c r="V50" s="127">
        <f t="shared" si="245"/>
        <v>944</v>
      </c>
      <c r="W50" s="127">
        <f t="shared" si="245"/>
        <v>574</v>
      </c>
      <c r="X50" s="127">
        <f t="shared" si="245"/>
        <v>-26</v>
      </c>
      <c r="Y50" s="127">
        <f t="shared" si="245"/>
        <v>379</v>
      </c>
      <c r="Z50" s="201">
        <f t="shared" si="245"/>
        <v>590</v>
      </c>
      <c r="AA50" s="127">
        <f t="shared" si="245"/>
        <v>7073</v>
      </c>
      <c r="AB50" s="152">
        <f t="shared" si="245"/>
        <v>475</v>
      </c>
      <c r="AC50" s="127">
        <f t="shared" si="245"/>
        <v>1926</v>
      </c>
      <c r="AD50" s="127">
        <f t="shared" si="245"/>
        <v>1412</v>
      </c>
      <c r="AE50" s="127">
        <f t="shared" si="245"/>
        <v>802</v>
      </c>
      <c r="AF50" s="127">
        <f t="shared" si="245"/>
        <v>0</v>
      </c>
      <c r="AG50" s="127">
        <f t="shared" si="245"/>
        <v>473</v>
      </c>
      <c r="AH50" s="127">
        <f t="shared" ref="AH50:BM50" si="246">AH78</f>
        <v>1595</v>
      </c>
      <c r="AI50" s="127">
        <f t="shared" si="246"/>
        <v>-674</v>
      </c>
      <c r="AJ50" s="127">
        <f t="shared" si="246"/>
        <v>555</v>
      </c>
      <c r="AK50" s="127">
        <f t="shared" si="246"/>
        <v>835</v>
      </c>
      <c r="AL50" s="127">
        <f t="shared" si="246"/>
        <v>302</v>
      </c>
      <c r="AM50" s="127">
        <f t="shared" si="246"/>
        <v>695</v>
      </c>
      <c r="AN50" s="148">
        <f t="shared" si="246"/>
        <v>8396</v>
      </c>
      <c r="AO50" s="152">
        <f t="shared" si="246"/>
        <v>0</v>
      </c>
      <c r="AP50" s="127">
        <f t="shared" si="246"/>
        <v>1448</v>
      </c>
      <c r="AQ50" s="127">
        <f t="shared" si="246"/>
        <v>386</v>
      </c>
      <c r="AR50" s="127">
        <f t="shared" si="246"/>
        <v>2266</v>
      </c>
      <c r="AS50" s="127">
        <f t="shared" si="246"/>
        <v>655</v>
      </c>
      <c r="AT50" s="127">
        <f t="shared" si="246"/>
        <v>794</v>
      </c>
      <c r="AU50" s="127">
        <f t="shared" si="246"/>
        <v>747</v>
      </c>
      <c r="AV50" s="127">
        <f t="shared" si="246"/>
        <v>705</v>
      </c>
      <c r="AW50" s="127">
        <f t="shared" si="246"/>
        <v>0</v>
      </c>
      <c r="AX50" s="127">
        <f t="shared" si="246"/>
        <v>1461</v>
      </c>
      <c r="AY50" s="127">
        <f t="shared" si="246"/>
        <v>875</v>
      </c>
      <c r="AZ50" s="201">
        <f t="shared" si="246"/>
        <v>512</v>
      </c>
      <c r="BA50" s="201">
        <f t="shared" si="246"/>
        <v>9849</v>
      </c>
      <c r="BB50" s="127">
        <f t="shared" si="246"/>
        <v>0</v>
      </c>
      <c r="BC50" s="127">
        <f t="shared" si="246"/>
        <v>1722</v>
      </c>
      <c r="BD50" s="127">
        <f t="shared" si="246"/>
        <v>16</v>
      </c>
      <c r="BE50" s="127">
        <f t="shared" si="246"/>
        <v>515</v>
      </c>
      <c r="BF50" s="127">
        <f t="shared" si="246"/>
        <v>452</v>
      </c>
      <c r="BG50" s="127">
        <f t="shared" si="246"/>
        <v>0</v>
      </c>
      <c r="BH50" s="127">
        <f t="shared" si="246"/>
        <v>976</v>
      </c>
      <c r="BI50" s="127">
        <f t="shared" si="246"/>
        <v>2466</v>
      </c>
      <c r="BJ50" s="127">
        <f t="shared" si="246"/>
        <v>447</v>
      </c>
      <c r="BK50" s="127">
        <f t="shared" si="246"/>
        <v>1464</v>
      </c>
      <c r="BL50" s="127">
        <f t="shared" si="246"/>
        <v>482</v>
      </c>
      <c r="BM50" s="201">
        <f t="shared" si="246"/>
        <v>-3035</v>
      </c>
      <c r="BN50" s="201">
        <f t="shared" ref="BN50:BZ50" si="247">BN78</f>
        <v>5505</v>
      </c>
      <c r="BO50" s="127">
        <f t="shared" si="247"/>
        <v>3</v>
      </c>
      <c r="BP50" s="127">
        <f t="shared" si="247"/>
        <v>489</v>
      </c>
      <c r="BQ50" s="127">
        <f t="shared" si="247"/>
        <v>871</v>
      </c>
      <c r="BR50" s="127">
        <f t="shared" si="247"/>
        <v>216</v>
      </c>
      <c r="BS50" s="127">
        <f t="shared" si="247"/>
        <v>100</v>
      </c>
      <c r="BT50" s="127">
        <f t="shared" si="247"/>
        <v>187</v>
      </c>
      <c r="BU50" s="127">
        <f t="shared" si="247"/>
        <v>537</v>
      </c>
      <c r="BV50" s="127">
        <f t="shared" si="247"/>
        <v>862</v>
      </c>
      <c r="BW50" s="127">
        <f t="shared" si="247"/>
        <v>0</v>
      </c>
      <c r="BX50" s="127">
        <f t="shared" si="247"/>
        <v>442</v>
      </c>
      <c r="BY50" s="127">
        <f t="shared" si="247"/>
        <v>483</v>
      </c>
      <c r="BZ50" s="127">
        <f t="shared" si="247"/>
        <v>0</v>
      </c>
      <c r="CA50" s="145">
        <f t="shared" si="172"/>
        <v>4190</v>
      </c>
      <c r="CB50" s="127">
        <f t="shared" ref="CB50:CM50" si="248">CB78</f>
        <v>781</v>
      </c>
      <c r="CC50" s="127">
        <f t="shared" si="248"/>
        <v>20867</v>
      </c>
      <c r="CD50" s="127">
        <f t="shared" si="248"/>
        <v>0</v>
      </c>
      <c r="CE50" s="127">
        <f t="shared" si="248"/>
        <v>1128</v>
      </c>
      <c r="CF50" s="127">
        <f t="shared" si="248"/>
        <v>47</v>
      </c>
      <c r="CG50" s="127">
        <f t="shared" si="248"/>
        <v>729</v>
      </c>
      <c r="CH50" s="127">
        <f t="shared" si="248"/>
        <v>744</v>
      </c>
      <c r="CI50" s="127">
        <f t="shared" si="248"/>
        <v>878</v>
      </c>
      <c r="CJ50" s="127">
        <f t="shared" si="248"/>
        <v>1279</v>
      </c>
      <c r="CK50" s="127">
        <f t="shared" si="248"/>
        <v>1704</v>
      </c>
      <c r="CL50" s="127">
        <f t="shared" si="248"/>
        <v>1194</v>
      </c>
      <c r="CM50" s="201">
        <f t="shared" si="248"/>
        <v>1730</v>
      </c>
      <c r="CN50" s="201">
        <f t="shared" si="151"/>
        <v>31081</v>
      </c>
      <c r="CO50" s="162">
        <f t="shared" ref="CO50:CZ50" si="249">CO78</f>
        <v>2434</v>
      </c>
      <c r="CP50" s="151">
        <f t="shared" si="249"/>
        <v>1911</v>
      </c>
      <c r="CQ50" s="151">
        <f t="shared" si="249"/>
        <v>1696</v>
      </c>
      <c r="CR50" s="151">
        <f t="shared" si="249"/>
        <v>2449</v>
      </c>
      <c r="CS50" s="151">
        <f t="shared" si="249"/>
        <v>1737</v>
      </c>
      <c r="CT50" s="151">
        <f t="shared" si="249"/>
        <v>587</v>
      </c>
      <c r="CU50" s="151">
        <f t="shared" si="249"/>
        <v>1928</v>
      </c>
      <c r="CV50" s="151">
        <f t="shared" si="249"/>
        <v>1577</v>
      </c>
      <c r="CW50" s="151">
        <f t="shared" si="249"/>
        <v>1016</v>
      </c>
      <c r="CX50" s="151">
        <f t="shared" si="249"/>
        <v>1259</v>
      </c>
      <c r="CY50" s="151">
        <f t="shared" si="249"/>
        <v>986</v>
      </c>
      <c r="CZ50" s="241">
        <f t="shared" si="249"/>
        <v>1535</v>
      </c>
      <c r="DA50" s="148">
        <f t="shared" si="153"/>
        <v>19115</v>
      </c>
      <c r="DB50" s="162">
        <f t="shared" ref="DB50:DM50" si="250">DB78</f>
        <v>1936</v>
      </c>
      <c r="DC50" s="151">
        <f t="shared" si="250"/>
        <v>1654</v>
      </c>
      <c r="DD50" s="151">
        <f t="shared" si="250"/>
        <v>1118</v>
      </c>
      <c r="DE50" s="151">
        <f t="shared" si="250"/>
        <v>1145</v>
      </c>
      <c r="DF50" s="151">
        <f t="shared" si="250"/>
        <v>944</v>
      </c>
      <c r="DG50" s="151">
        <f t="shared" si="250"/>
        <v>822</v>
      </c>
      <c r="DH50" s="151">
        <f t="shared" si="250"/>
        <v>883</v>
      </c>
      <c r="DI50" s="151">
        <f t="shared" si="250"/>
        <v>647</v>
      </c>
      <c r="DJ50" s="151">
        <f t="shared" si="250"/>
        <v>2609</v>
      </c>
      <c r="DK50" s="151">
        <f t="shared" si="250"/>
        <v>2426</v>
      </c>
      <c r="DL50" s="151">
        <f t="shared" si="250"/>
        <v>7334</v>
      </c>
      <c r="DM50" s="241">
        <f t="shared" si="250"/>
        <v>-7727</v>
      </c>
      <c r="DN50" s="151">
        <f t="shared" si="155"/>
        <v>13791</v>
      </c>
      <c r="DO50" s="162">
        <f t="shared" ref="DO50:DZ50" si="251">DO78</f>
        <v>0</v>
      </c>
      <c r="DP50" s="151">
        <f t="shared" si="251"/>
        <v>2335</v>
      </c>
      <c r="DQ50" s="151">
        <f t="shared" si="251"/>
        <v>615</v>
      </c>
      <c r="DR50" s="151">
        <f t="shared" si="251"/>
        <v>511</v>
      </c>
      <c r="DS50" s="151">
        <f t="shared" si="251"/>
        <v>844</v>
      </c>
      <c r="DT50" s="151">
        <f t="shared" si="251"/>
        <v>882</v>
      </c>
      <c r="DU50" s="151">
        <f t="shared" si="251"/>
        <v>941</v>
      </c>
      <c r="DV50" s="151">
        <f t="shared" si="251"/>
        <v>565</v>
      </c>
      <c r="DW50" s="151">
        <f t="shared" si="251"/>
        <v>1625</v>
      </c>
      <c r="DX50" s="151">
        <f t="shared" si="251"/>
        <v>588</v>
      </c>
      <c r="DY50" s="151">
        <f t="shared" si="251"/>
        <v>1611</v>
      </c>
      <c r="DZ50" s="241">
        <f t="shared" si="251"/>
        <v>972</v>
      </c>
      <c r="EA50" s="241">
        <f t="shared" si="157"/>
        <v>11489</v>
      </c>
      <c r="EB50" s="162">
        <f t="shared" ref="EB50:EM50" si="252">EB78</f>
        <v>1</v>
      </c>
      <c r="EC50" s="151">
        <f t="shared" si="252"/>
        <v>2006</v>
      </c>
      <c r="ED50" s="151">
        <f t="shared" si="252"/>
        <v>964</v>
      </c>
      <c r="EE50" s="151">
        <f t="shared" si="252"/>
        <v>1033</v>
      </c>
      <c r="EF50" s="151">
        <f t="shared" si="252"/>
        <v>725</v>
      </c>
      <c r="EG50" s="151">
        <f t="shared" si="252"/>
        <v>804</v>
      </c>
      <c r="EH50" s="151">
        <f t="shared" si="252"/>
        <v>870</v>
      </c>
      <c r="EI50" s="151">
        <f t="shared" si="252"/>
        <v>878</v>
      </c>
      <c r="EJ50" s="151">
        <f t="shared" si="252"/>
        <v>613</v>
      </c>
      <c r="EK50" s="151">
        <f t="shared" si="252"/>
        <v>806</v>
      </c>
      <c r="EL50" s="151">
        <f t="shared" si="252"/>
        <v>571</v>
      </c>
      <c r="EM50" s="241">
        <f t="shared" si="252"/>
        <v>663</v>
      </c>
      <c r="EN50" s="241">
        <f t="shared" si="159"/>
        <v>9934</v>
      </c>
      <c r="EO50" s="162">
        <f t="shared" ref="EO50:ER50" si="253">EO78</f>
        <v>0</v>
      </c>
      <c r="EP50" s="151">
        <f t="shared" si="253"/>
        <v>1423</v>
      </c>
      <c r="EQ50" s="151">
        <f t="shared" si="253"/>
        <v>0</v>
      </c>
      <c r="ER50" s="151">
        <f t="shared" si="253"/>
        <v>144</v>
      </c>
      <c r="ES50" s="151">
        <f t="shared" ref="ES50" si="254">ES78</f>
        <v>0</v>
      </c>
      <c r="ET50" s="151">
        <f t="shared" ref="ET50" si="255">ET78</f>
        <v>1402</v>
      </c>
      <c r="EU50" s="151">
        <f t="shared" ref="EU50" si="256">EU78</f>
        <v>1068</v>
      </c>
      <c r="EV50" s="950">
        <f t="shared" ref="EV50" si="257">EV78</f>
        <v>2280</v>
      </c>
      <c r="EW50" s="151"/>
      <c r="EX50" s="151"/>
      <c r="EY50" s="151"/>
      <c r="EZ50" s="241"/>
      <c r="FA50" s="241"/>
      <c r="FC50" s="271">
        <f t="shared" si="165"/>
        <v>159.68109339407746</v>
      </c>
      <c r="FD50" s="271">
        <f t="shared" si="166"/>
        <v>-13.239939568740555</v>
      </c>
      <c r="FE50" s="202">
        <f t="shared" si="167"/>
        <v>7281</v>
      </c>
      <c r="FF50" s="257">
        <f t="shared" si="168"/>
        <v>6317</v>
      </c>
    </row>
    <row r="51" spans="1:162" ht="15" customHeight="1" x14ac:dyDescent="0.25">
      <c r="A51" s="138" t="s">
        <v>437</v>
      </c>
      <c r="B51" s="152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201"/>
      <c r="N51" s="201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201"/>
      <c r="AA51" s="127"/>
      <c r="AB51" s="152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48"/>
      <c r="AO51" s="152"/>
      <c r="AP51" s="127"/>
      <c r="AQ51" s="127"/>
      <c r="AR51" s="127"/>
      <c r="AS51" s="127"/>
      <c r="AT51" s="127"/>
      <c r="AU51" s="127"/>
      <c r="AV51" s="127"/>
      <c r="AW51" s="127"/>
      <c r="AX51" s="127"/>
      <c r="AY51" s="127"/>
      <c r="AZ51" s="201"/>
      <c r="BA51" s="201"/>
      <c r="BB51" s="127"/>
      <c r="BC51" s="127"/>
      <c r="BD51" s="127"/>
      <c r="BE51" s="127"/>
      <c r="BF51" s="127"/>
      <c r="BG51" s="127"/>
      <c r="BH51" s="127"/>
      <c r="BI51" s="127"/>
      <c r="BJ51" s="127"/>
      <c r="BK51" s="127"/>
      <c r="BL51" s="127"/>
      <c r="BM51" s="201"/>
      <c r="BN51" s="201"/>
      <c r="BO51" s="262">
        <f t="shared" ref="BO51:BZ51" si="258">BO82</f>
        <v>0</v>
      </c>
      <c r="BP51" s="260">
        <f t="shared" si="258"/>
        <v>0</v>
      </c>
      <c r="BQ51" s="260">
        <f t="shared" si="258"/>
        <v>0</v>
      </c>
      <c r="BR51" s="260">
        <f t="shared" si="258"/>
        <v>0</v>
      </c>
      <c r="BS51" s="260">
        <f t="shared" si="258"/>
        <v>0</v>
      </c>
      <c r="BT51" s="260">
        <f t="shared" si="258"/>
        <v>0</v>
      </c>
      <c r="BU51" s="260">
        <f t="shared" si="258"/>
        <v>0</v>
      </c>
      <c r="BV51" s="260">
        <f t="shared" si="258"/>
        <v>100</v>
      </c>
      <c r="BW51" s="260">
        <f t="shared" si="258"/>
        <v>67318</v>
      </c>
      <c r="BX51" s="260">
        <f t="shared" si="258"/>
        <v>4706</v>
      </c>
      <c r="BY51" s="260">
        <f t="shared" si="258"/>
        <v>18</v>
      </c>
      <c r="BZ51" s="260">
        <f t="shared" si="258"/>
        <v>0</v>
      </c>
      <c r="CA51" s="145">
        <f t="shared" si="172"/>
        <v>72142</v>
      </c>
      <c r="CB51" s="260">
        <f t="shared" ref="CB51:CM51" si="259">CB82</f>
        <v>2169</v>
      </c>
      <c r="CC51" s="260">
        <f t="shared" si="259"/>
        <v>5236</v>
      </c>
      <c r="CD51" s="260">
        <f t="shared" si="259"/>
        <v>1741</v>
      </c>
      <c r="CE51" s="260">
        <f t="shared" si="259"/>
        <v>9193</v>
      </c>
      <c r="CF51" s="260">
        <f t="shared" si="259"/>
        <v>1198</v>
      </c>
      <c r="CG51" s="260">
        <f t="shared" si="259"/>
        <v>1129</v>
      </c>
      <c r="CH51" s="260">
        <f t="shared" si="259"/>
        <v>837</v>
      </c>
      <c r="CI51" s="260">
        <f t="shared" si="259"/>
        <v>1885</v>
      </c>
      <c r="CJ51" s="260">
        <f t="shared" si="259"/>
        <v>1058</v>
      </c>
      <c r="CK51" s="260">
        <f t="shared" si="259"/>
        <v>303</v>
      </c>
      <c r="CL51" s="260">
        <f t="shared" si="259"/>
        <v>34327</v>
      </c>
      <c r="CM51" s="261">
        <f t="shared" si="259"/>
        <v>1393</v>
      </c>
      <c r="CN51" s="261">
        <f t="shared" si="151"/>
        <v>60469</v>
      </c>
      <c r="CO51" s="280">
        <f t="shared" ref="CO51:CZ51" si="260">CO82</f>
        <v>35728</v>
      </c>
      <c r="CP51" s="281">
        <f t="shared" si="260"/>
        <v>4396</v>
      </c>
      <c r="CQ51" s="281">
        <f t="shared" si="260"/>
        <v>39277</v>
      </c>
      <c r="CR51" s="281">
        <f t="shared" si="260"/>
        <v>16393</v>
      </c>
      <c r="CS51" s="281">
        <f t="shared" si="260"/>
        <v>15405</v>
      </c>
      <c r="CT51" s="281">
        <f t="shared" si="260"/>
        <v>22690</v>
      </c>
      <c r="CU51" s="281">
        <f t="shared" si="260"/>
        <v>20861</v>
      </c>
      <c r="CV51" s="281">
        <f t="shared" si="260"/>
        <v>21122</v>
      </c>
      <c r="CW51" s="281">
        <f t="shared" si="260"/>
        <v>28861</v>
      </c>
      <c r="CX51" s="281">
        <f t="shared" si="260"/>
        <v>26599</v>
      </c>
      <c r="CY51" s="281">
        <f t="shared" si="260"/>
        <v>34847</v>
      </c>
      <c r="CZ51" s="282">
        <f t="shared" si="260"/>
        <v>17680</v>
      </c>
      <c r="DA51" s="263">
        <f t="shared" si="153"/>
        <v>283859</v>
      </c>
      <c r="DB51" s="280">
        <f t="shared" ref="DB51:DM51" si="261">DB82</f>
        <v>20334</v>
      </c>
      <c r="DC51" s="281">
        <f t="shared" si="261"/>
        <v>23207</v>
      </c>
      <c r="DD51" s="281">
        <f t="shared" si="261"/>
        <v>56133</v>
      </c>
      <c r="DE51" s="281">
        <f t="shared" si="261"/>
        <v>103182</v>
      </c>
      <c r="DF51" s="281">
        <f t="shared" si="261"/>
        <v>22695</v>
      </c>
      <c r="DG51" s="281">
        <f t="shared" si="261"/>
        <v>-58084</v>
      </c>
      <c r="DH51" s="281">
        <f t="shared" si="261"/>
        <v>23683</v>
      </c>
      <c r="DI51" s="281">
        <f t="shared" si="261"/>
        <v>18986</v>
      </c>
      <c r="DJ51" s="281">
        <f t="shared" si="261"/>
        <v>19468</v>
      </c>
      <c r="DK51" s="281">
        <f t="shared" si="261"/>
        <v>64586</v>
      </c>
      <c r="DL51" s="281">
        <f t="shared" si="261"/>
        <v>30706</v>
      </c>
      <c r="DM51" s="282">
        <f t="shared" si="261"/>
        <v>2695</v>
      </c>
      <c r="DN51" s="281">
        <f t="shared" si="155"/>
        <v>327591</v>
      </c>
      <c r="DO51" s="280">
        <f t="shared" ref="DO51:DZ51" si="262">DO82</f>
        <v>25666</v>
      </c>
      <c r="DP51" s="281">
        <f t="shared" si="262"/>
        <v>67830</v>
      </c>
      <c r="DQ51" s="281">
        <f t="shared" si="262"/>
        <v>27769</v>
      </c>
      <c r="DR51" s="281">
        <f t="shared" si="262"/>
        <v>18043</v>
      </c>
      <c r="DS51" s="281">
        <f t="shared" si="262"/>
        <v>26420</v>
      </c>
      <c r="DT51" s="281">
        <f t="shared" si="262"/>
        <v>30104</v>
      </c>
      <c r="DU51" s="281">
        <f t="shared" si="262"/>
        <v>63706</v>
      </c>
      <c r="DV51" s="281">
        <f t="shared" si="262"/>
        <v>31975</v>
      </c>
      <c r="DW51" s="281">
        <f t="shared" si="262"/>
        <v>28040</v>
      </c>
      <c r="DX51" s="281">
        <f t="shared" si="262"/>
        <v>30250</v>
      </c>
      <c r="DY51" s="281">
        <f t="shared" si="262"/>
        <v>29829</v>
      </c>
      <c r="DZ51" s="282">
        <f t="shared" si="262"/>
        <v>17601</v>
      </c>
      <c r="EA51" s="282">
        <f t="shared" si="157"/>
        <v>397233</v>
      </c>
      <c r="EB51" s="280">
        <f t="shared" ref="EB51:EM51" si="263">EB82</f>
        <v>31874</v>
      </c>
      <c r="EC51" s="281">
        <f t="shared" si="263"/>
        <v>77134</v>
      </c>
      <c r="ED51" s="281">
        <f t="shared" si="263"/>
        <v>27835</v>
      </c>
      <c r="EE51" s="281">
        <f t="shared" si="263"/>
        <v>27548</v>
      </c>
      <c r="EF51" s="281">
        <f t="shared" si="263"/>
        <v>25719</v>
      </c>
      <c r="EG51" s="281">
        <f t="shared" si="263"/>
        <v>28129</v>
      </c>
      <c r="EH51" s="281">
        <f t="shared" si="263"/>
        <v>69637</v>
      </c>
      <c r="EI51" s="281">
        <f t="shared" si="263"/>
        <v>29607</v>
      </c>
      <c r="EJ51" s="281">
        <f t="shared" si="263"/>
        <v>29147</v>
      </c>
      <c r="EK51" s="281">
        <f t="shared" si="263"/>
        <v>35206</v>
      </c>
      <c r="EL51" s="281">
        <f t="shared" si="263"/>
        <v>31614</v>
      </c>
      <c r="EM51" s="282">
        <f t="shared" si="263"/>
        <v>21399</v>
      </c>
      <c r="EN51" s="282">
        <f t="shared" si="159"/>
        <v>434849</v>
      </c>
      <c r="EO51" s="280">
        <f t="shared" ref="EO51:ER51" si="264">EO82</f>
        <v>35416</v>
      </c>
      <c r="EP51" s="281">
        <f t="shared" si="264"/>
        <v>77995</v>
      </c>
      <c r="EQ51" s="281">
        <f t="shared" si="264"/>
        <v>27050</v>
      </c>
      <c r="ER51" s="281">
        <f t="shared" si="264"/>
        <v>4035</v>
      </c>
      <c r="ES51" s="281">
        <f t="shared" ref="ES51" si="265">ES82</f>
        <v>32196</v>
      </c>
      <c r="ET51" s="281">
        <f t="shared" ref="ET51" si="266">ET82</f>
        <v>3483</v>
      </c>
      <c r="EU51" s="281">
        <f t="shared" ref="EU51" si="267">EU82</f>
        <v>7357</v>
      </c>
      <c r="EV51" s="957">
        <f t="shared" ref="EV51" si="268">EV82</f>
        <v>90337</v>
      </c>
      <c r="EW51" s="281"/>
      <c r="EX51" s="281"/>
      <c r="EY51" s="281"/>
      <c r="EZ51" s="282"/>
      <c r="FA51" s="282"/>
      <c r="FC51" s="271">
        <f t="shared" si="165"/>
        <v>205.12041071368259</v>
      </c>
      <c r="FD51" s="271">
        <f t="shared" si="166"/>
        <v>-12.477518481304505</v>
      </c>
      <c r="FE51" s="202">
        <f t="shared" si="167"/>
        <v>317483</v>
      </c>
      <c r="FF51" s="257">
        <f t="shared" si="168"/>
        <v>277869</v>
      </c>
    </row>
    <row r="52" spans="1:162" ht="15" customHeight="1" x14ac:dyDescent="0.25">
      <c r="A52" s="138" t="s">
        <v>438</v>
      </c>
      <c r="B52" s="152">
        <f t="shared" ref="B52:AG52" si="269">B64+B65+B84+B85</f>
        <v>0</v>
      </c>
      <c r="C52" s="127">
        <f t="shared" si="269"/>
        <v>0</v>
      </c>
      <c r="D52" s="127">
        <f t="shared" si="269"/>
        <v>0</v>
      </c>
      <c r="E52" s="127">
        <f t="shared" si="269"/>
        <v>0</v>
      </c>
      <c r="F52" s="127">
        <f t="shared" si="269"/>
        <v>124</v>
      </c>
      <c r="G52" s="127">
        <f t="shared" si="269"/>
        <v>133</v>
      </c>
      <c r="H52" s="127">
        <f t="shared" si="269"/>
        <v>329</v>
      </c>
      <c r="I52" s="127">
        <f t="shared" si="269"/>
        <v>0</v>
      </c>
      <c r="J52" s="127">
        <f t="shared" si="269"/>
        <v>350</v>
      </c>
      <c r="K52" s="127">
        <f t="shared" si="269"/>
        <v>0</v>
      </c>
      <c r="L52" s="127">
        <f t="shared" si="269"/>
        <v>95</v>
      </c>
      <c r="M52" s="201">
        <f t="shared" si="269"/>
        <v>207</v>
      </c>
      <c r="N52" s="201">
        <f t="shared" si="269"/>
        <v>1238</v>
      </c>
      <c r="O52" s="127">
        <f t="shared" si="269"/>
        <v>72</v>
      </c>
      <c r="P52" s="127">
        <f t="shared" si="269"/>
        <v>202</v>
      </c>
      <c r="Q52" s="127">
        <f t="shared" si="269"/>
        <v>0</v>
      </c>
      <c r="R52" s="127">
        <f t="shared" si="269"/>
        <v>0</v>
      </c>
      <c r="S52" s="127">
        <f t="shared" si="269"/>
        <v>125</v>
      </c>
      <c r="T52" s="127">
        <f t="shared" si="269"/>
        <v>262</v>
      </c>
      <c r="U52" s="127">
        <f t="shared" si="269"/>
        <v>217</v>
      </c>
      <c r="V52" s="127">
        <f t="shared" si="269"/>
        <v>0</v>
      </c>
      <c r="W52" s="127">
        <f t="shared" si="269"/>
        <v>1146</v>
      </c>
      <c r="X52" s="127">
        <f t="shared" si="269"/>
        <v>0</v>
      </c>
      <c r="Y52" s="127">
        <f t="shared" si="269"/>
        <v>627</v>
      </c>
      <c r="Z52" s="201">
        <f t="shared" si="269"/>
        <v>0</v>
      </c>
      <c r="AA52" s="127">
        <f t="shared" si="269"/>
        <v>2651</v>
      </c>
      <c r="AB52" s="152">
        <f t="shared" si="269"/>
        <v>0</v>
      </c>
      <c r="AC52" s="127">
        <f t="shared" si="269"/>
        <v>0</v>
      </c>
      <c r="AD52" s="127">
        <f t="shared" si="269"/>
        <v>0</v>
      </c>
      <c r="AE52" s="127">
        <f t="shared" si="269"/>
        <v>287</v>
      </c>
      <c r="AF52" s="127">
        <f t="shared" si="269"/>
        <v>153</v>
      </c>
      <c r="AG52" s="127">
        <f t="shared" si="269"/>
        <v>0</v>
      </c>
      <c r="AH52" s="127">
        <f t="shared" ref="AH52:BM52" si="270">AH64+AH65+AH84+AH85</f>
        <v>1559</v>
      </c>
      <c r="AI52" s="127">
        <f t="shared" si="270"/>
        <v>752</v>
      </c>
      <c r="AJ52" s="127">
        <f t="shared" si="270"/>
        <v>371</v>
      </c>
      <c r="AK52" s="127">
        <f t="shared" si="270"/>
        <v>85</v>
      </c>
      <c r="AL52" s="127">
        <f t="shared" si="270"/>
        <v>221</v>
      </c>
      <c r="AM52" s="127">
        <f t="shared" si="270"/>
        <v>243</v>
      </c>
      <c r="AN52" s="148">
        <f t="shared" si="270"/>
        <v>3671</v>
      </c>
      <c r="AO52" s="152">
        <f t="shared" si="270"/>
        <v>0</v>
      </c>
      <c r="AP52" s="127">
        <f t="shared" si="270"/>
        <v>0</v>
      </c>
      <c r="AQ52" s="127">
        <f t="shared" si="270"/>
        <v>0</v>
      </c>
      <c r="AR52" s="127">
        <f t="shared" si="270"/>
        <v>0</v>
      </c>
      <c r="AS52" s="127">
        <f t="shared" si="270"/>
        <v>388</v>
      </c>
      <c r="AT52" s="127">
        <f t="shared" si="270"/>
        <v>731</v>
      </c>
      <c r="AU52" s="127">
        <f t="shared" si="270"/>
        <v>0</v>
      </c>
      <c r="AV52" s="127">
        <f t="shared" si="270"/>
        <v>94</v>
      </c>
      <c r="AW52" s="127">
        <f t="shared" si="270"/>
        <v>-373</v>
      </c>
      <c r="AX52" s="127">
        <f t="shared" si="270"/>
        <v>305</v>
      </c>
      <c r="AY52" s="127">
        <f t="shared" si="270"/>
        <v>308</v>
      </c>
      <c r="AZ52" s="201">
        <f t="shared" si="270"/>
        <v>305</v>
      </c>
      <c r="BA52" s="201">
        <f t="shared" si="270"/>
        <v>1758</v>
      </c>
      <c r="BB52" s="127">
        <f t="shared" si="270"/>
        <v>0</v>
      </c>
      <c r="BC52" s="127">
        <f t="shared" si="270"/>
        <v>0</v>
      </c>
      <c r="BD52" s="127">
        <f t="shared" si="270"/>
        <v>0</v>
      </c>
      <c r="BE52" s="127">
        <f t="shared" si="270"/>
        <v>148</v>
      </c>
      <c r="BF52" s="127">
        <f t="shared" si="270"/>
        <v>456</v>
      </c>
      <c r="BG52" s="127">
        <f t="shared" si="270"/>
        <v>259</v>
      </c>
      <c r="BH52" s="127">
        <f t="shared" si="270"/>
        <v>501</v>
      </c>
      <c r="BI52" s="127">
        <f t="shared" si="270"/>
        <v>749</v>
      </c>
      <c r="BJ52" s="127">
        <f t="shared" si="270"/>
        <v>373</v>
      </c>
      <c r="BK52" s="127">
        <f t="shared" si="270"/>
        <v>0</v>
      </c>
      <c r="BL52" s="127">
        <f t="shared" si="270"/>
        <v>252</v>
      </c>
      <c r="BM52" s="201">
        <f t="shared" si="270"/>
        <v>190</v>
      </c>
      <c r="BN52" s="201">
        <f t="shared" ref="BN52:BZ52" si="271">BN64+BN65+BN84+BN85</f>
        <v>2928</v>
      </c>
      <c r="BO52" s="152">
        <f t="shared" si="271"/>
        <v>0</v>
      </c>
      <c r="BP52" s="127">
        <f t="shared" si="271"/>
        <v>0</v>
      </c>
      <c r="BQ52" s="127">
        <f t="shared" si="271"/>
        <v>0</v>
      </c>
      <c r="BR52" s="127">
        <f t="shared" si="271"/>
        <v>0</v>
      </c>
      <c r="BS52" s="127">
        <f t="shared" si="271"/>
        <v>240</v>
      </c>
      <c r="BT52" s="127">
        <f t="shared" si="271"/>
        <v>20</v>
      </c>
      <c r="BU52" s="127">
        <f t="shared" si="271"/>
        <v>599</v>
      </c>
      <c r="BV52" s="127">
        <f t="shared" si="271"/>
        <v>316</v>
      </c>
      <c r="BW52" s="127">
        <f t="shared" si="271"/>
        <v>1020</v>
      </c>
      <c r="BX52" s="127">
        <f t="shared" si="271"/>
        <v>742</v>
      </c>
      <c r="BY52" s="127">
        <f t="shared" si="271"/>
        <v>79</v>
      </c>
      <c r="BZ52" s="127">
        <f t="shared" si="271"/>
        <v>0</v>
      </c>
      <c r="CA52" s="145">
        <f t="shared" si="172"/>
        <v>3016</v>
      </c>
      <c r="CB52" s="127">
        <f t="shared" ref="CB52:CM52" si="272">CB64+CB65+CB84+CB85</f>
        <v>0</v>
      </c>
      <c r="CC52" s="127">
        <f t="shared" si="272"/>
        <v>120</v>
      </c>
      <c r="CD52" s="127">
        <f t="shared" si="272"/>
        <v>100</v>
      </c>
      <c r="CE52" s="127">
        <f t="shared" si="272"/>
        <v>274</v>
      </c>
      <c r="CF52" s="127">
        <f t="shared" si="272"/>
        <v>0</v>
      </c>
      <c r="CG52" s="127">
        <f t="shared" si="272"/>
        <v>114</v>
      </c>
      <c r="CH52" s="127">
        <f t="shared" si="272"/>
        <v>20</v>
      </c>
      <c r="CI52" s="127">
        <f t="shared" si="272"/>
        <v>90</v>
      </c>
      <c r="CJ52" s="127">
        <f t="shared" si="272"/>
        <v>129</v>
      </c>
      <c r="CK52" s="127">
        <f t="shared" si="272"/>
        <v>0</v>
      </c>
      <c r="CL52" s="127">
        <f t="shared" si="272"/>
        <v>91</v>
      </c>
      <c r="CM52" s="201">
        <f t="shared" si="272"/>
        <v>4</v>
      </c>
      <c r="CN52" s="201">
        <f t="shared" si="151"/>
        <v>942</v>
      </c>
      <c r="CO52" s="162">
        <f t="shared" ref="CO52:CZ52" si="273">CO64+CO65+CO84+CO85</f>
        <v>0</v>
      </c>
      <c r="CP52" s="151">
        <f t="shared" si="273"/>
        <v>0</v>
      </c>
      <c r="CQ52" s="151">
        <f t="shared" si="273"/>
        <v>39</v>
      </c>
      <c r="CR52" s="151">
        <f t="shared" si="273"/>
        <v>0</v>
      </c>
      <c r="CS52" s="151">
        <f t="shared" si="273"/>
        <v>0</v>
      </c>
      <c r="CT52" s="151">
        <f t="shared" si="273"/>
        <v>0</v>
      </c>
      <c r="CU52" s="151">
        <f t="shared" si="273"/>
        <v>24</v>
      </c>
      <c r="CV52" s="151">
        <f t="shared" si="273"/>
        <v>53</v>
      </c>
      <c r="CW52" s="151">
        <f t="shared" si="273"/>
        <v>19</v>
      </c>
      <c r="CX52" s="151">
        <f t="shared" si="273"/>
        <v>237</v>
      </c>
      <c r="CY52" s="151">
        <f t="shared" si="273"/>
        <v>0</v>
      </c>
      <c r="CZ52" s="241">
        <f t="shared" si="273"/>
        <v>0</v>
      </c>
      <c r="DA52" s="148">
        <f t="shared" si="153"/>
        <v>372</v>
      </c>
      <c r="DB52" s="162">
        <f t="shared" ref="DB52:DM52" si="274">DB64+DB65+DB84+DB85</f>
        <v>0</v>
      </c>
      <c r="DC52" s="151">
        <f t="shared" si="274"/>
        <v>0</v>
      </c>
      <c r="DD52" s="151">
        <f t="shared" si="274"/>
        <v>40</v>
      </c>
      <c r="DE52" s="151">
        <f t="shared" si="274"/>
        <v>0</v>
      </c>
      <c r="DF52" s="151">
        <f t="shared" si="274"/>
        <v>0</v>
      </c>
      <c r="DG52" s="151">
        <f t="shared" si="274"/>
        <v>0</v>
      </c>
      <c r="DH52" s="151">
        <f t="shared" si="274"/>
        <v>33</v>
      </c>
      <c r="DI52" s="151">
        <f t="shared" si="274"/>
        <v>21</v>
      </c>
      <c r="DJ52" s="151">
        <f t="shared" si="274"/>
        <v>0</v>
      </c>
      <c r="DK52" s="151">
        <f t="shared" si="274"/>
        <v>94</v>
      </c>
      <c r="DL52" s="151">
        <f t="shared" si="274"/>
        <v>11</v>
      </c>
      <c r="DM52" s="241">
        <f t="shared" si="274"/>
        <v>0</v>
      </c>
      <c r="DN52" s="151">
        <f t="shared" si="155"/>
        <v>199</v>
      </c>
      <c r="DO52" s="162">
        <f t="shared" ref="DO52:DZ52" si="275">DO64+DO65+DO84+DO85</f>
        <v>0</v>
      </c>
      <c r="DP52" s="151">
        <f t="shared" si="275"/>
        <v>54</v>
      </c>
      <c r="DQ52" s="151">
        <f t="shared" si="275"/>
        <v>0</v>
      </c>
      <c r="DR52" s="151">
        <f t="shared" si="275"/>
        <v>0</v>
      </c>
      <c r="DS52" s="151">
        <f t="shared" si="275"/>
        <v>0</v>
      </c>
      <c r="DT52" s="151">
        <f t="shared" si="275"/>
        <v>0</v>
      </c>
      <c r="DU52" s="151">
        <f t="shared" si="275"/>
        <v>0</v>
      </c>
      <c r="DV52" s="151">
        <f t="shared" si="275"/>
        <v>0</v>
      </c>
      <c r="DW52" s="151">
        <f t="shared" si="275"/>
        <v>76</v>
      </c>
      <c r="DX52" s="151">
        <f t="shared" si="275"/>
        <v>36</v>
      </c>
      <c r="DY52" s="151">
        <f t="shared" si="275"/>
        <v>0</v>
      </c>
      <c r="DZ52" s="241">
        <f t="shared" si="275"/>
        <v>0</v>
      </c>
      <c r="EA52" s="241">
        <f t="shared" si="157"/>
        <v>166</v>
      </c>
      <c r="EB52" s="162">
        <f t="shared" ref="EB52:EM52" si="276">EB64+EB65+EB84+EB85</f>
        <v>0</v>
      </c>
      <c r="EC52" s="151">
        <f t="shared" si="276"/>
        <v>0</v>
      </c>
      <c r="ED52" s="151">
        <f t="shared" si="276"/>
        <v>0</v>
      </c>
      <c r="EE52" s="151">
        <f t="shared" si="276"/>
        <v>0</v>
      </c>
      <c r="EF52" s="151">
        <f t="shared" si="276"/>
        <v>0</v>
      </c>
      <c r="EG52" s="151">
        <f t="shared" si="276"/>
        <v>0</v>
      </c>
      <c r="EH52" s="151">
        <f t="shared" si="276"/>
        <v>1248</v>
      </c>
      <c r="EI52" s="151">
        <f t="shared" si="276"/>
        <v>69</v>
      </c>
      <c r="EJ52" s="151">
        <f t="shared" si="276"/>
        <v>0</v>
      </c>
      <c r="EK52" s="151">
        <f t="shared" si="276"/>
        <v>0</v>
      </c>
      <c r="EL52" s="151">
        <f t="shared" si="276"/>
        <v>14</v>
      </c>
      <c r="EM52" s="241">
        <f t="shared" si="276"/>
        <v>0</v>
      </c>
      <c r="EN52" s="241">
        <f t="shared" si="159"/>
        <v>1331</v>
      </c>
      <c r="EO52" s="162">
        <f t="shared" ref="EO52:ER52" si="277">EO64+EO65+EO84+EO85</f>
        <v>0</v>
      </c>
      <c r="EP52" s="151">
        <f t="shared" si="277"/>
        <v>0</v>
      </c>
      <c r="EQ52" s="151">
        <f t="shared" si="277"/>
        <v>0</v>
      </c>
      <c r="ER52" s="151">
        <f t="shared" si="277"/>
        <v>0</v>
      </c>
      <c r="ES52" s="151">
        <f t="shared" ref="ES52" si="278">ES64+ES65+ES84+ES85</f>
        <v>643</v>
      </c>
      <c r="ET52" s="151">
        <f t="shared" ref="ET52" si="279">ET64+ET65+ET84+ET85</f>
        <v>0</v>
      </c>
      <c r="EU52" s="151">
        <f t="shared" ref="EU52" si="280">EU64+EU65+EU84+EU85</f>
        <v>57</v>
      </c>
      <c r="EV52" s="950">
        <f t="shared" ref="EV52" si="281">EV64+EV65+EV84+EV85</f>
        <v>0</v>
      </c>
      <c r="EW52" s="151"/>
      <c r="EX52" s="151"/>
      <c r="EY52" s="151"/>
      <c r="EZ52" s="241"/>
      <c r="FA52" s="241"/>
      <c r="FC52" s="271">
        <f t="shared" si="165"/>
        <v>-100</v>
      </c>
      <c r="FD52" s="271">
        <f t="shared" si="166"/>
        <v>-46.848899012908127</v>
      </c>
      <c r="FE52" s="202">
        <f t="shared" si="167"/>
        <v>1317</v>
      </c>
      <c r="FF52" s="257">
        <f t="shared" si="168"/>
        <v>700</v>
      </c>
    </row>
    <row r="53" spans="1:162" ht="15" customHeight="1" x14ac:dyDescent="0.25">
      <c r="A53" s="138"/>
      <c r="B53" s="152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201"/>
      <c r="N53" s="201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201"/>
      <c r="AA53" s="127"/>
      <c r="AB53" s="152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48"/>
      <c r="AO53" s="152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201"/>
      <c r="BA53" s="201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201"/>
      <c r="BN53" s="201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45"/>
      <c r="CB53" s="127"/>
      <c r="CC53" s="127"/>
      <c r="CD53" s="127"/>
      <c r="CE53" s="127"/>
      <c r="CF53" s="127"/>
      <c r="CG53" s="127"/>
      <c r="CH53" s="127"/>
      <c r="CI53" s="127"/>
      <c r="CJ53" s="127"/>
      <c r="CK53" s="127"/>
      <c r="CL53" s="127"/>
      <c r="CM53" s="201"/>
      <c r="CN53" s="201"/>
      <c r="CO53" s="162"/>
      <c r="CP53" s="151"/>
      <c r="CQ53" s="151"/>
      <c r="CR53" s="151"/>
      <c r="CS53" s="151"/>
      <c r="CT53" s="151"/>
      <c r="CU53" s="151"/>
      <c r="CV53" s="151"/>
      <c r="CW53" s="151"/>
      <c r="CX53" s="151"/>
      <c r="CY53" s="151"/>
      <c r="CZ53" s="241"/>
      <c r="DA53" s="148"/>
      <c r="DB53" s="162"/>
      <c r="DC53" s="151"/>
      <c r="DD53" s="151"/>
      <c r="DE53" s="151"/>
      <c r="DF53" s="151"/>
      <c r="DG53" s="151"/>
      <c r="DH53" s="151"/>
      <c r="DI53" s="151"/>
      <c r="DJ53" s="151"/>
      <c r="DK53" s="151"/>
      <c r="DL53" s="151"/>
      <c r="DM53" s="241"/>
      <c r="DN53" s="151"/>
      <c r="DO53" s="162"/>
      <c r="DP53" s="151"/>
      <c r="DQ53" s="151"/>
      <c r="DR53" s="151"/>
      <c r="DS53" s="151"/>
      <c r="DT53" s="151"/>
      <c r="DU53" s="151"/>
      <c r="DV53" s="151"/>
      <c r="DW53" s="151"/>
      <c r="DX53" s="151"/>
      <c r="DY53" s="151"/>
      <c r="DZ53" s="241"/>
      <c r="EA53" s="241"/>
      <c r="EB53" s="162"/>
      <c r="EC53" s="151"/>
      <c r="ED53" s="151"/>
      <c r="EE53" s="151"/>
      <c r="EF53" s="151"/>
      <c r="EG53" s="151"/>
      <c r="EH53" s="151"/>
      <c r="EI53" s="151"/>
      <c r="EJ53" s="151"/>
      <c r="EK53" s="151"/>
      <c r="EL53" s="151"/>
      <c r="EM53" s="241"/>
      <c r="EN53" s="241"/>
      <c r="EO53" s="162"/>
      <c r="EP53" s="151"/>
      <c r="EQ53" s="151"/>
      <c r="ER53" s="151"/>
      <c r="ES53" s="151"/>
      <c r="ET53" s="151"/>
      <c r="EU53" s="151"/>
      <c r="EV53" s="950"/>
      <c r="EW53" s="151"/>
      <c r="EX53" s="151"/>
      <c r="EY53" s="151"/>
      <c r="EZ53" s="241"/>
      <c r="FA53" s="241"/>
      <c r="FC53" s="271"/>
      <c r="FD53" s="271"/>
      <c r="FE53" s="202"/>
      <c r="FF53" s="257"/>
    </row>
    <row r="54" spans="1:162" ht="15" customHeight="1" x14ac:dyDescent="0.25">
      <c r="A54" s="217" t="s">
        <v>294</v>
      </c>
      <c r="B54" s="237">
        <f t="shared" ref="B54:AG54" si="282">B18</f>
        <v>0</v>
      </c>
      <c r="C54" s="236">
        <f t="shared" si="282"/>
        <v>0</v>
      </c>
      <c r="D54" s="236">
        <f t="shared" si="282"/>
        <v>0</v>
      </c>
      <c r="E54" s="236">
        <f t="shared" si="282"/>
        <v>0</v>
      </c>
      <c r="F54" s="236">
        <f t="shared" si="282"/>
        <v>0</v>
      </c>
      <c r="G54" s="236">
        <f t="shared" si="282"/>
        <v>0</v>
      </c>
      <c r="H54" s="236">
        <f t="shared" si="282"/>
        <v>0</v>
      </c>
      <c r="I54" s="236">
        <f t="shared" si="282"/>
        <v>0</v>
      </c>
      <c r="J54" s="236">
        <f t="shared" si="282"/>
        <v>1265</v>
      </c>
      <c r="K54" s="236">
        <f t="shared" si="282"/>
        <v>261</v>
      </c>
      <c r="L54" s="236">
        <f t="shared" si="282"/>
        <v>156</v>
      </c>
      <c r="M54" s="238">
        <f t="shared" si="282"/>
        <v>-757</v>
      </c>
      <c r="N54" s="238">
        <f t="shared" si="282"/>
        <v>925</v>
      </c>
      <c r="O54" s="236">
        <f t="shared" si="282"/>
        <v>342</v>
      </c>
      <c r="P54" s="236">
        <f t="shared" si="282"/>
        <v>511</v>
      </c>
      <c r="Q54" s="236">
        <f t="shared" si="282"/>
        <v>363</v>
      </c>
      <c r="R54" s="236">
        <f t="shared" si="282"/>
        <v>22</v>
      </c>
      <c r="S54" s="236">
        <f t="shared" si="282"/>
        <v>7</v>
      </c>
      <c r="T54" s="236">
        <f t="shared" si="282"/>
        <v>121</v>
      </c>
      <c r="U54" s="236">
        <f t="shared" si="282"/>
        <v>630</v>
      </c>
      <c r="V54" s="236">
        <f t="shared" si="282"/>
        <v>153</v>
      </c>
      <c r="W54" s="236">
        <f t="shared" si="282"/>
        <v>72</v>
      </c>
      <c r="X54" s="236">
        <f t="shared" si="282"/>
        <v>25</v>
      </c>
      <c r="Y54" s="236">
        <f t="shared" si="282"/>
        <v>-810</v>
      </c>
      <c r="Z54" s="238">
        <f t="shared" si="282"/>
        <v>112</v>
      </c>
      <c r="AA54" s="236">
        <f t="shared" si="282"/>
        <v>1548</v>
      </c>
      <c r="AB54" s="237">
        <f t="shared" si="282"/>
        <v>142</v>
      </c>
      <c r="AC54" s="236">
        <f t="shared" si="282"/>
        <v>102</v>
      </c>
      <c r="AD54" s="236">
        <f t="shared" si="282"/>
        <v>54</v>
      </c>
      <c r="AE54" s="236">
        <f t="shared" si="282"/>
        <v>58</v>
      </c>
      <c r="AF54" s="236">
        <f t="shared" si="282"/>
        <v>61</v>
      </c>
      <c r="AG54" s="236">
        <f t="shared" si="282"/>
        <v>95</v>
      </c>
      <c r="AH54" s="236">
        <f t="shared" ref="AH54:BM54" si="283">AH18</f>
        <v>53</v>
      </c>
      <c r="AI54" s="236">
        <f t="shared" si="283"/>
        <v>97</v>
      </c>
      <c r="AJ54" s="236">
        <f t="shared" si="283"/>
        <v>106</v>
      </c>
      <c r="AK54" s="236">
        <f t="shared" si="283"/>
        <v>34</v>
      </c>
      <c r="AL54" s="236">
        <f t="shared" si="283"/>
        <v>34</v>
      </c>
      <c r="AM54" s="236">
        <f t="shared" si="283"/>
        <v>134</v>
      </c>
      <c r="AN54" s="145">
        <f t="shared" si="283"/>
        <v>970</v>
      </c>
      <c r="AO54" s="237">
        <f t="shared" si="283"/>
        <v>106</v>
      </c>
      <c r="AP54" s="236">
        <f t="shared" si="283"/>
        <v>16</v>
      </c>
      <c r="AQ54" s="236">
        <f t="shared" si="283"/>
        <v>35</v>
      </c>
      <c r="AR54" s="236">
        <f t="shared" si="283"/>
        <v>0</v>
      </c>
      <c r="AS54" s="236">
        <f t="shared" si="283"/>
        <v>102</v>
      </c>
      <c r="AT54" s="236">
        <f t="shared" si="283"/>
        <v>12</v>
      </c>
      <c r="AU54" s="236">
        <f t="shared" si="283"/>
        <v>11</v>
      </c>
      <c r="AV54" s="236">
        <f t="shared" si="283"/>
        <v>23</v>
      </c>
      <c r="AW54" s="236">
        <f t="shared" si="283"/>
        <v>1</v>
      </c>
      <c r="AX54" s="236">
        <f t="shared" si="283"/>
        <v>123</v>
      </c>
      <c r="AY54" s="236">
        <f t="shared" si="283"/>
        <v>6</v>
      </c>
      <c r="AZ54" s="238">
        <f t="shared" si="283"/>
        <v>476</v>
      </c>
      <c r="BA54" s="238">
        <f t="shared" si="283"/>
        <v>911</v>
      </c>
      <c r="BB54" s="236">
        <f t="shared" si="283"/>
        <v>20</v>
      </c>
      <c r="BC54" s="236">
        <f t="shared" si="283"/>
        <v>0</v>
      </c>
      <c r="BD54" s="236">
        <f t="shared" si="283"/>
        <v>22</v>
      </c>
      <c r="BE54" s="236">
        <f t="shared" si="283"/>
        <v>0</v>
      </c>
      <c r="BF54" s="236">
        <f t="shared" si="283"/>
        <v>0</v>
      </c>
      <c r="BG54" s="236">
        <f t="shared" si="283"/>
        <v>0</v>
      </c>
      <c r="BH54" s="236">
        <f t="shared" si="283"/>
        <v>0</v>
      </c>
      <c r="BI54" s="236">
        <f t="shared" si="283"/>
        <v>0</v>
      </c>
      <c r="BJ54" s="236">
        <f t="shared" si="283"/>
        <v>0</v>
      </c>
      <c r="BK54" s="236">
        <f t="shared" si="283"/>
        <v>0</v>
      </c>
      <c r="BL54" s="236">
        <f t="shared" si="283"/>
        <v>0</v>
      </c>
      <c r="BM54" s="238">
        <f t="shared" si="283"/>
        <v>0</v>
      </c>
      <c r="BN54" s="238">
        <f t="shared" ref="BN54:BZ54" si="284">BN18</f>
        <v>42</v>
      </c>
      <c r="BO54" s="236">
        <f t="shared" si="284"/>
        <v>0</v>
      </c>
      <c r="BP54" s="236">
        <f t="shared" si="284"/>
        <v>0</v>
      </c>
      <c r="BQ54" s="236">
        <f t="shared" si="284"/>
        <v>0</v>
      </c>
      <c r="BR54" s="236">
        <f t="shared" si="284"/>
        <v>0</v>
      </c>
      <c r="BS54" s="236">
        <f t="shared" si="284"/>
        <v>0</v>
      </c>
      <c r="BT54" s="236">
        <f t="shared" si="284"/>
        <v>0</v>
      </c>
      <c r="BU54" s="236">
        <f t="shared" si="284"/>
        <v>0</v>
      </c>
      <c r="BV54" s="236">
        <f t="shared" si="284"/>
        <v>0</v>
      </c>
      <c r="BW54" s="236">
        <f t="shared" si="284"/>
        <v>0</v>
      </c>
      <c r="BX54" s="236">
        <f t="shared" si="284"/>
        <v>0</v>
      </c>
      <c r="BY54" s="236">
        <f t="shared" si="284"/>
        <v>0</v>
      </c>
      <c r="BZ54" s="236">
        <f t="shared" si="284"/>
        <v>0</v>
      </c>
      <c r="CA54" s="145">
        <f t="shared" si="172"/>
        <v>0</v>
      </c>
      <c r="CB54" s="236">
        <f t="shared" ref="CB54:CM54" si="285">CB18</f>
        <v>0</v>
      </c>
      <c r="CC54" s="236">
        <f t="shared" si="285"/>
        <v>0</v>
      </c>
      <c r="CD54" s="236">
        <f t="shared" si="285"/>
        <v>0</v>
      </c>
      <c r="CE54" s="236">
        <f t="shared" si="285"/>
        <v>0</v>
      </c>
      <c r="CF54" s="236">
        <f t="shared" si="285"/>
        <v>0</v>
      </c>
      <c r="CG54" s="236">
        <f t="shared" si="285"/>
        <v>0</v>
      </c>
      <c r="CH54" s="236">
        <f t="shared" si="285"/>
        <v>0</v>
      </c>
      <c r="CI54" s="236">
        <f t="shared" si="285"/>
        <v>0</v>
      </c>
      <c r="CJ54" s="236">
        <f t="shared" si="285"/>
        <v>0</v>
      </c>
      <c r="CK54" s="236">
        <f t="shared" si="285"/>
        <v>0</v>
      </c>
      <c r="CL54" s="236">
        <f t="shared" si="285"/>
        <v>0</v>
      </c>
      <c r="CM54" s="238">
        <f t="shared" si="285"/>
        <v>0</v>
      </c>
      <c r="CN54" s="238">
        <f t="shared" si="151"/>
        <v>0</v>
      </c>
      <c r="CO54" s="267">
        <f t="shared" ref="CO54:CZ54" si="286">CO18</f>
        <v>0</v>
      </c>
      <c r="CP54" s="229">
        <f t="shared" si="286"/>
        <v>0</v>
      </c>
      <c r="CQ54" s="229">
        <f t="shared" si="286"/>
        <v>0</v>
      </c>
      <c r="CR54" s="229">
        <f t="shared" si="286"/>
        <v>0</v>
      </c>
      <c r="CS54" s="229">
        <f t="shared" si="286"/>
        <v>0</v>
      </c>
      <c r="CT54" s="229">
        <f t="shared" si="286"/>
        <v>0</v>
      </c>
      <c r="CU54" s="229">
        <f t="shared" si="286"/>
        <v>0</v>
      </c>
      <c r="CV54" s="229">
        <f t="shared" si="286"/>
        <v>0</v>
      </c>
      <c r="CW54" s="229">
        <f t="shared" si="286"/>
        <v>0</v>
      </c>
      <c r="CX54" s="229">
        <f t="shared" si="286"/>
        <v>0</v>
      </c>
      <c r="CY54" s="229">
        <f t="shared" si="286"/>
        <v>0</v>
      </c>
      <c r="CZ54" s="268">
        <f t="shared" si="286"/>
        <v>0</v>
      </c>
      <c r="DA54" s="145">
        <f t="shared" si="153"/>
        <v>0</v>
      </c>
      <c r="DB54" s="267">
        <f t="shared" ref="DB54:DM54" si="287">DB18</f>
        <v>0</v>
      </c>
      <c r="DC54" s="229">
        <f t="shared" si="287"/>
        <v>0</v>
      </c>
      <c r="DD54" s="229">
        <f t="shared" si="287"/>
        <v>0</v>
      </c>
      <c r="DE54" s="229">
        <f t="shared" si="287"/>
        <v>0</v>
      </c>
      <c r="DF54" s="229">
        <f t="shared" si="287"/>
        <v>0</v>
      </c>
      <c r="DG54" s="229">
        <f t="shared" si="287"/>
        <v>0</v>
      </c>
      <c r="DH54" s="229">
        <f t="shared" si="287"/>
        <v>0</v>
      </c>
      <c r="DI54" s="229">
        <f t="shared" si="287"/>
        <v>0</v>
      </c>
      <c r="DJ54" s="229">
        <f t="shared" si="287"/>
        <v>0</v>
      </c>
      <c r="DK54" s="229">
        <f t="shared" si="287"/>
        <v>0</v>
      </c>
      <c r="DL54" s="229">
        <f t="shared" si="287"/>
        <v>0</v>
      </c>
      <c r="DM54" s="268">
        <f t="shared" si="287"/>
        <v>0</v>
      </c>
      <c r="DN54" s="229">
        <f t="shared" si="155"/>
        <v>0</v>
      </c>
      <c r="DO54" s="267">
        <f t="shared" ref="DO54:DZ54" si="288">DO18</f>
        <v>0</v>
      </c>
      <c r="DP54" s="229">
        <f t="shared" si="288"/>
        <v>0</v>
      </c>
      <c r="DQ54" s="229">
        <f t="shared" si="288"/>
        <v>0</v>
      </c>
      <c r="DR54" s="229">
        <f t="shared" si="288"/>
        <v>0</v>
      </c>
      <c r="DS54" s="229">
        <f t="shared" si="288"/>
        <v>0</v>
      </c>
      <c r="DT54" s="229">
        <f t="shared" si="288"/>
        <v>0</v>
      </c>
      <c r="DU54" s="229">
        <f t="shared" si="288"/>
        <v>0</v>
      </c>
      <c r="DV54" s="229">
        <f t="shared" si="288"/>
        <v>0</v>
      </c>
      <c r="DW54" s="229">
        <f t="shared" si="288"/>
        <v>0</v>
      </c>
      <c r="DX54" s="229">
        <f t="shared" si="288"/>
        <v>0</v>
      </c>
      <c r="DY54" s="229">
        <f t="shared" si="288"/>
        <v>0</v>
      </c>
      <c r="DZ54" s="268">
        <f t="shared" si="288"/>
        <v>0</v>
      </c>
      <c r="EA54" s="268">
        <f t="shared" si="157"/>
        <v>0</v>
      </c>
      <c r="EB54" s="267">
        <f t="shared" ref="EB54:EM54" si="289">EB18</f>
        <v>0</v>
      </c>
      <c r="EC54" s="229">
        <f t="shared" si="289"/>
        <v>0</v>
      </c>
      <c r="ED54" s="229">
        <f t="shared" si="289"/>
        <v>0</v>
      </c>
      <c r="EE54" s="229">
        <f t="shared" si="289"/>
        <v>0</v>
      </c>
      <c r="EF54" s="229">
        <f t="shared" si="289"/>
        <v>0</v>
      </c>
      <c r="EG54" s="229">
        <f t="shared" si="289"/>
        <v>0</v>
      </c>
      <c r="EH54" s="229">
        <f t="shared" si="289"/>
        <v>0</v>
      </c>
      <c r="EI54" s="229">
        <f t="shared" si="289"/>
        <v>0</v>
      </c>
      <c r="EJ54" s="229">
        <f t="shared" si="289"/>
        <v>0</v>
      </c>
      <c r="EK54" s="229">
        <f t="shared" si="289"/>
        <v>0</v>
      </c>
      <c r="EL54" s="229">
        <f t="shared" si="289"/>
        <v>0</v>
      </c>
      <c r="EM54" s="268">
        <f t="shared" si="289"/>
        <v>0</v>
      </c>
      <c r="EN54" s="268">
        <f t="shared" si="159"/>
        <v>0</v>
      </c>
      <c r="EO54" s="267">
        <f t="shared" ref="EO54:ER54" si="290">EO18</f>
        <v>0</v>
      </c>
      <c r="EP54" s="229">
        <f t="shared" si="290"/>
        <v>0</v>
      </c>
      <c r="EQ54" s="229">
        <f t="shared" si="290"/>
        <v>0</v>
      </c>
      <c r="ER54" s="229">
        <f t="shared" si="290"/>
        <v>0</v>
      </c>
      <c r="ES54" s="229">
        <f>ES18</f>
        <v>0</v>
      </c>
      <c r="ET54" s="229">
        <f>ET18</f>
        <v>0</v>
      </c>
      <c r="EU54" s="229">
        <f>EU18</f>
        <v>0</v>
      </c>
      <c r="EV54" s="952">
        <f>EV18</f>
        <v>0</v>
      </c>
      <c r="EW54" s="229"/>
      <c r="EX54" s="229"/>
      <c r="EY54" s="229"/>
      <c r="EZ54" s="268"/>
      <c r="FA54" s="268"/>
      <c r="FC54" s="271" t="str">
        <f t="shared" si="165"/>
        <v>-</v>
      </c>
      <c r="FD54" s="270" t="str">
        <f>IFERROR(((FF54/FE54)-1)*100,"-")</f>
        <v>-</v>
      </c>
      <c r="FE54" s="202">
        <f t="shared" si="167"/>
        <v>0</v>
      </c>
      <c r="FF54" s="202">
        <f t="shared" si="168"/>
        <v>0</v>
      </c>
    </row>
    <row r="55" spans="1:162" ht="15" customHeight="1" x14ac:dyDescent="0.25">
      <c r="A55" s="133"/>
      <c r="B55" s="155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72"/>
      <c r="N55" s="172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72"/>
      <c r="AA55" s="153"/>
      <c r="AB55" s="155"/>
      <c r="AC55" s="153"/>
      <c r="AD55" s="153"/>
      <c r="AE55" s="153"/>
      <c r="AF55" s="153"/>
      <c r="AG55" s="153"/>
      <c r="AH55" s="153"/>
      <c r="AI55" s="153"/>
      <c r="AJ55" s="153"/>
      <c r="AK55" s="153"/>
      <c r="AL55" s="153"/>
      <c r="AM55" s="153"/>
      <c r="AN55" s="154"/>
      <c r="AO55" s="155"/>
      <c r="AP55" s="153"/>
      <c r="AQ55" s="153"/>
      <c r="AR55" s="153"/>
      <c r="AS55" s="153"/>
      <c r="AT55" s="153"/>
      <c r="AU55" s="153"/>
      <c r="AV55" s="153"/>
      <c r="AW55" s="153"/>
      <c r="AX55" s="153"/>
      <c r="AY55" s="153"/>
      <c r="AZ55" s="172"/>
      <c r="BA55" s="172"/>
      <c r="BB55" s="153"/>
      <c r="BC55" s="153"/>
      <c r="BD55" s="153"/>
      <c r="BE55" s="153"/>
      <c r="BF55" s="153"/>
      <c r="BG55" s="153"/>
      <c r="BH55" s="153"/>
      <c r="BI55" s="153"/>
      <c r="BJ55" s="153"/>
      <c r="BK55" s="153"/>
      <c r="BL55" s="153"/>
      <c r="BM55" s="172"/>
      <c r="BN55" s="172"/>
      <c r="BO55" s="153"/>
      <c r="BP55" s="153"/>
      <c r="BQ55" s="275"/>
      <c r="BR55" s="227"/>
      <c r="BS55" s="227"/>
      <c r="BT55" s="227"/>
      <c r="BU55" s="227"/>
      <c r="BV55" s="227"/>
      <c r="BW55" s="227"/>
      <c r="BX55" s="227"/>
      <c r="BY55" s="227"/>
      <c r="BZ55" s="227"/>
      <c r="CA55" s="224"/>
      <c r="CB55" s="227"/>
      <c r="CC55" s="227"/>
      <c r="CD55" s="227"/>
      <c r="CE55" s="227"/>
      <c r="CF55" s="227"/>
      <c r="CG55" s="227"/>
      <c r="CH55" s="227"/>
      <c r="CI55" s="227"/>
      <c r="CJ55" s="227"/>
      <c r="CK55" s="227"/>
      <c r="CL55" s="227"/>
      <c r="CM55" s="228"/>
      <c r="CN55" s="228"/>
      <c r="CO55" s="227"/>
      <c r="CP55" s="227"/>
      <c r="CQ55" s="227"/>
      <c r="CR55" s="227"/>
      <c r="CS55" s="227"/>
      <c r="CT55" s="227"/>
      <c r="CU55" s="227"/>
      <c r="CV55" s="227"/>
      <c r="CW55" s="227"/>
      <c r="CX55" s="227"/>
      <c r="CY55" s="227"/>
      <c r="CZ55" s="228"/>
      <c r="DA55" s="228"/>
      <c r="DB55" s="283"/>
      <c r="DC55" s="252"/>
      <c r="DD55" s="252"/>
      <c r="DE55" s="229"/>
      <c r="DF55" s="252"/>
      <c r="DG55" s="252"/>
      <c r="DH55" s="252"/>
      <c r="DI55" s="252"/>
      <c r="DJ55" s="252"/>
      <c r="DK55" s="252"/>
      <c r="DL55" s="252"/>
      <c r="DM55" s="239"/>
      <c r="DN55" s="252"/>
      <c r="DO55" s="283"/>
      <c r="DP55" s="252"/>
      <c r="DQ55" s="252"/>
      <c r="DR55" s="252"/>
      <c r="DS55" s="252"/>
      <c r="DT55" s="252"/>
      <c r="DU55" s="252"/>
      <c r="DV55" s="252"/>
      <c r="DW55" s="252"/>
      <c r="DX55" s="252"/>
      <c r="DY55" s="252"/>
      <c r="DZ55" s="239"/>
      <c r="EA55" s="239"/>
      <c r="EB55" s="283"/>
      <c r="EC55" s="252"/>
      <c r="ED55" s="252"/>
      <c r="EE55" s="252"/>
      <c r="EF55" s="252"/>
      <c r="EG55" s="252"/>
      <c r="EH55" s="252"/>
      <c r="EI55" s="252"/>
      <c r="EJ55" s="252"/>
      <c r="EK55" s="252"/>
      <c r="EL55" s="252"/>
      <c r="EM55" s="239"/>
      <c r="EN55" s="239"/>
      <c r="EO55" s="283"/>
      <c r="EP55" s="252"/>
      <c r="EQ55" s="252"/>
      <c r="ER55" s="252"/>
      <c r="ES55" s="252"/>
      <c r="ET55" s="252"/>
      <c r="EU55" s="252"/>
      <c r="EV55" s="958"/>
      <c r="EW55" s="252"/>
      <c r="EX55" s="252"/>
      <c r="EY55" s="252"/>
      <c r="EZ55" s="239"/>
      <c r="FA55" s="239"/>
      <c r="FC55" s="154"/>
      <c r="FD55" s="154"/>
      <c r="FE55" s="154"/>
      <c r="FF55" s="154"/>
    </row>
    <row r="56" spans="1:162" ht="15" customHeight="1" x14ac:dyDescent="0.25"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Z56" s="169"/>
      <c r="DE56" s="131"/>
    </row>
    <row r="57" spans="1:162" ht="15" customHeight="1" x14ac:dyDescent="0.25"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  <c r="AK57" s="127"/>
      <c r="AL57" s="127"/>
      <c r="AM57" s="127"/>
      <c r="AN57" s="127"/>
      <c r="AO57" s="127"/>
      <c r="AP57" s="127"/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7"/>
      <c r="BD57" s="127"/>
      <c r="BE57" s="12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190"/>
      <c r="BR57" s="225"/>
      <c r="BS57" s="225"/>
      <c r="BT57" s="225"/>
      <c r="BU57" s="225"/>
      <c r="BV57" s="225"/>
      <c r="BW57" s="225"/>
      <c r="BX57" s="225"/>
      <c r="BY57" s="225"/>
      <c r="BZ57" s="225"/>
      <c r="CA57" s="225"/>
      <c r="CB57" s="225"/>
      <c r="CC57" s="225"/>
      <c r="CD57" s="225"/>
      <c r="CE57" s="225"/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5"/>
      <c r="CS57" s="225"/>
      <c r="CT57" s="225"/>
      <c r="CU57" s="225"/>
      <c r="CV57" s="225"/>
      <c r="CW57" s="225"/>
      <c r="CX57" s="225"/>
      <c r="CY57" s="225"/>
      <c r="CZ57" s="225"/>
      <c r="DA57" s="225"/>
      <c r="DB57" s="225"/>
      <c r="DC57" s="225"/>
      <c r="DD57" s="225"/>
      <c r="DE57" s="225"/>
      <c r="DF57" s="225"/>
      <c r="DG57" s="225"/>
      <c r="DH57" s="225"/>
      <c r="DI57" s="225"/>
      <c r="DJ57" s="225"/>
      <c r="DK57" s="225"/>
      <c r="DL57" s="225"/>
      <c r="DM57" s="225"/>
      <c r="DN57" s="225"/>
      <c r="DO57" s="225"/>
      <c r="DP57" s="225"/>
      <c r="DQ57" s="225"/>
      <c r="DR57" s="225"/>
      <c r="DS57" s="225"/>
      <c r="DT57" s="225"/>
      <c r="DU57" s="225"/>
      <c r="DV57" s="225"/>
      <c r="DW57" s="225"/>
      <c r="DX57" s="225"/>
      <c r="DY57" s="225"/>
      <c r="DZ57" s="225"/>
      <c r="EA57" s="225"/>
      <c r="EB57" s="225"/>
      <c r="EC57" s="225"/>
      <c r="ED57" s="225"/>
      <c r="EE57" s="225"/>
      <c r="EF57" s="225"/>
      <c r="EG57" s="225"/>
      <c r="EH57" s="225"/>
      <c r="EI57" s="225"/>
      <c r="EJ57" s="225"/>
      <c r="EK57" s="225"/>
      <c r="EL57" s="225"/>
      <c r="EM57" s="225"/>
      <c r="EN57" s="225"/>
      <c r="EO57" s="225"/>
      <c r="EP57" s="225"/>
      <c r="EQ57" s="225"/>
      <c r="ER57" s="225"/>
      <c r="ES57" s="225"/>
      <c r="ET57" s="225"/>
      <c r="EU57" s="225"/>
      <c r="EV57" s="959"/>
      <c r="EW57" s="225"/>
      <c r="EX57" s="225"/>
      <c r="EY57" s="225"/>
      <c r="EZ57" s="225"/>
      <c r="FA57" s="225"/>
      <c r="FC57" s="127"/>
      <c r="FD57" s="127"/>
      <c r="FE57" s="127"/>
      <c r="FF57" s="127"/>
    </row>
    <row r="58" spans="1:162" ht="15" customHeight="1" x14ac:dyDescent="0.25">
      <c r="BO58" s="127"/>
      <c r="BP58" s="127"/>
      <c r="BQ58" s="190"/>
      <c r="BR58" s="225"/>
      <c r="BS58" s="225"/>
      <c r="BT58" s="225"/>
      <c r="BU58" s="225"/>
      <c r="BV58" s="225"/>
      <c r="BW58" s="225"/>
      <c r="BX58" s="225"/>
      <c r="BY58" s="225"/>
      <c r="BZ58" s="225"/>
      <c r="CA58" s="225"/>
      <c r="CB58" s="225"/>
      <c r="CC58" s="225"/>
      <c r="CD58" s="225"/>
      <c r="CE58" s="225"/>
      <c r="CF58" s="225"/>
      <c r="CG58" s="225"/>
      <c r="CH58" s="225"/>
      <c r="CI58" s="225"/>
      <c r="CJ58" s="225"/>
      <c r="CK58" s="225"/>
      <c r="CL58" s="225"/>
      <c r="CM58" s="225"/>
      <c r="CN58" s="225"/>
      <c r="CO58" s="225"/>
      <c r="CP58" s="225"/>
      <c r="CQ58" s="225"/>
      <c r="CR58" s="225"/>
      <c r="CS58" s="225"/>
      <c r="CT58" s="225"/>
      <c r="CU58" s="225"/>
      <c r="CV58" s="225"/>
      <c r="CW58" s="225"/>
      <c r="CX58" s="225"/>
      <c r="CY58" s="225"/>
      <c r="CZ58" s="225"/>
      <c r="DA58" s="225"/>
      <c r="DB58" s="225"/>
      <c r="DC58" s="225"/>
      <c r="DD58" s="225"/>
      <c r="DE58" s="225"/>
      <c r="DF58" s="225"/>
      <c r="DG58" s="225"/>
      <c r="DH58" s="225"/>
      <c r="DI58" s="225"/>
      <c r="DJ58" s="225"/>
      <c r="DK58" s="225"/>
      <c r="DL58" s="225"/>
      <c r="DM58" s="225"/>
      <c r="DN58" s="225"/>
      <c r="DO58" s="225"/>
      <c r="DP58" s="225"/>
      <c r="DQ58" s="225"/>
      <c r="DR58" s="225"/>
      <c r="DS58" s="225"/>
      <c r="DT58" s="225"/>
      <c r="DU58" s="225"/>
      <c r="DV58" s="225"/>
      <c r="DW58" s="225"/>
      <c r="DX58" s="225"/>
      <c r="DY58" s="225"/>
      <c r="DZ58" s="225"/>
      <c r="EA58" s="225"/>
      <c r="EB58" s="225"/>
      <c r="EC58" s="225"/>
      <c r="ED58" s="225"/>
      <c r="EE58" s="225"/>
      <c r="EF58" s="225"/>
      <c r="EG58" s="225"/>
      <c r="EH58" s="225"/>
      <c r="EI58" s="225"/>
      <c r="EJ58" s="225"/>
      <c r="EK58" s="225"/>
      <c r="EL58" s="225"/>
      <c r="EM58" s="225"/>
      <c r="EN58" s="225"/>
      <c r="EO58" s="225"/>
      <c r="EP58" s="225"/>
      <c r="EQ58" s="225"/>
      <c r="ER58" s="225"/>
      <c r="ES58" s="225"/>
      <c r="ET58" s="225"/>
      <c r="EU58" s="225"/>
      <c r="EV58" s="959"/>
      <c r="EW58" s="225"/>
      <c r="EX58" s="225"/>
      <c r="EY58" s="225"/>
      <c r="EZ58" s="225"/>
      <c r="FA58" s="225"/>
      <c r="FC58" s="127"/>
      <c r="FD58" s="127"/>
      <c r="FE58" s="127"/>
      <c r="FF58" s="127"/>
    </row>
    <row r="59" spans="1:162" ht="15" customHeight="1" x14ac:dyDescent="0.25">
      <c r="A59" s="284" t="s">
        <v>299</v>
      </c>
      <c r="B59" s="127">
        <f t="shared" ref="B59:BM59" si="291">B15</f>
        <v>3148</v>
      </c>
      <c r="C59" s="127">
        <f t="shared" si="291"/>
        <v>2293</v>
      </c>
      <c r="D59" s="127">
        <f t="shared" si="291"/>
        <v>21856</v>
      </c>
      <c r="E59" s="127">
        <f t="shared" si="291"/>
        <v>5979</v>
      </c>
      <c r="F59" s="127">
        <f t="shared" si="291"/>
        <v>5021</v>
      </c>
      <c r="G59" s="127">
        <f t="shared" si="291"/>
        <v>5525</v>
      </c>
      <c r="H59" s="127">
        <f t="shared" si="291"/>
        <v>5762</v>
      </c>
      <c r="I59" s="127">
        <f t="shared" si="291"/>
        <v>7138</v>
      </c>
      <c r="J59" s="127">
        <f t="shared" si="291"/>
        <v>5709</v>
      </c>
      <c r="K59" s="127">
        <f t="shared" si="291"/>
        <v>-4792</v>
      </c>
      <c r="L59" s="127">
        <f t="shared" si="291"/>
        <v>5966</v>
      </c>
      <c r="M59" s="127">
        <f t="shared" si="291"/>
        <v>2820</v>
      </c>
      <c r="N59" s="127">
        <f t="shared" si="291"/>
        <v>66425</v>
      </c>
      <c r="O59" s="127">
        <f t="shared" si="291"/>
        <v>5952</v>
      </c>
      <c r="P59" s="127">
        <f t="shared" si="291"/>
        <v>5910</v>
      </c>
      <c r="Q59" s="127">
        <f t="shared" si="291"/>
        <v>5386</v>
      </c>
      <c r="R59" s="127">
        <f t="shared" si="291"/>
        <v>6771</v>
      </c>
      <c r="S59" s="127">
        <f t="shared" si="291"/>
        <v>1729</v>
      </c>
      <c r="T59" s="127">
        <f t="shared" si="291"/>
        <v>6195</v>
      </c>
      <c r="U59" s="127">
        <f t="shared" si="291"/>
        <v>3884</v>
      </c>
      <c r="V59" s="127">
        <f t="shared" si="291"/>
        <v>2982</v>
      </c>
      <c r="W59" s="127">
        <f t="shared" si="291"/>
        <v>3212</v>
      </c>
      <c r="X59" s="127">
        <f t="shared" si="291"/>
        <v>979</v>
      </c>
      <c r="Y59" s="127">
        <f t="shared" si="291"/>
        <v>2904</v>
      </c>
      <c r="Z59" s="127">
        <f t="shared" si="291"/>
        <v>4101</v>
      </c>
      <c r="AA59" s="127">
        <f t="shared" si="291"/>
        <v>50005</v>
      </c>
      <c r="AB59" s="127">
        <f t="shared" si="291"/>
        <v>1270</v>
      </c>
      <c r="AC59" s="127">
        <f t="shared" si="291"/>
        <v>5638</v>
      </c>
      <c r="AD59" s="127">
        <f t="shared" si="291"/>
        <v>12921</v>
      </c>
      <c r="AE59" s="127">
        <f t="shared" si="291"/>
        <v>2384</v>
      </c>
      <c r="AF59" s="127">
        <f t="shared" si="291"/>
        <v>80</v>
      </c>
      <c r="AG59" s="127">
        <f t="shared" si="291"/>
        <v>4406</v>
      </c>
      <c r="AH59" s="127">
        <f t="shared" si="291"/>
        <v>4783</v>
      </c>
      <c r="AI59" s="127">
        <f t="shared" si="291"/>
        <v>4649</v>
      </c>
      <c r="AJ59" s="127">
        <f t="shared" si="291"/>
        <v>1902</v>
      </c>
      <c r="AK59" s="127">
        <f t="shared" si="291"/>
        <v>7593</v>
      </c>
      <c r="AL59" s="127">
        <f t="shared" si="291"/>
        <v>4987</v>
      </c>
      <c r="AM59" s="127">
        <f t="shared" si="291"/>
        <v>5766</v>
      </c>
      <c r="AN59" s="127">
        <f t="shared" si="291"/>
        <v>56379</v>
      </c>
      <c r="AO59" s="127">
        <f t="shared" si="291"/>
        <v>2748</v>
      </c>
      <c r="AP59" s="127">
        <f t="shared" si="291"/>
        <v>13107</v>
      </c>
      <c r="AQ59" s="127">
        <f t="shared" si="291"/>
        <v>2357</v>
      </c>
      <c r="AR59" s="127">
        <f t="shared" si="291"/>
        <v>7870</v>
      </c>
      <c r="AS59" s="127">
        <f t="shared" si="291"/>
        <v>9559</v>
      </c>
      <c r="AT59" s="127">
        <f t="shared" si="291"/>
        <v>2644</v>
      </c>
      <c r="AU59" s="127">
        <f t="shared" si="291"/>
        <v>16542</v>
      </c>
      <c r="AV59" s="127">
        <f t="shared" si="291"/>
        <v>3824</v>
      </c>
      <c r="AW59" s="127">
        <f t="shared" si="291"/>
        <v>-969</v>
      </c>
      <c r="AX59" s="127">
        <f t="shared" si="291"/>
        <v>6026</v>
      </c>
      <c r="AY59" s="127">
        <f t="shared" si="291"/>
        <v>3804</v>
      </c>
      <c r="AZ59" s="127">
        <f t="shared" si="291"/>
        <v>4261</v>
      </c>
      <c r="BA59" s="127">
        <f t="shared" si="291"/>
        <v>71773</v>
      </c>
      <c r="BB59" s="127">
        <f t="shared" si="291"/>
        <v>21586</v>
      </c>
      <c r="BC59" s="127">
        <f t="shared" si="291"/>
        <v>2540</v>
      </c>
      <c r="BD59" s="127">
        <f t="shared" si="291"/>
        <v>579</v>
      </c>
      <c r="BE59" s="127">
        <f t="shared" si="291"/>
        <v>2626</v>
      </c>
      <c r="BF59" s="127">
        <f t="shared" si="291"/>
        <v>5094</v>
      </c>
      <c r="BG59" s="127">
        <f t="shared" si="291"/>
        <v>554</v>
      </c>
      <c r="BH59" s="127">
        <f t="shared" si="291"/>
        <v>4454</v>
      </c>
      <c r="BI59" s="127">
        <f t="shared" si="291"/>
        <v>4649</v>
      </c>
      <c r="BJ59" s="127">
        <f t="shared" si="291"/>
        <v>7493</v>
      </c>
      <c r="BK59" s="127">
        <f t="shared" si="291"/>
        <v>6221</v>
      </c>
      <c r="BL59" s="127">
        <f t="shared" si="291"/>
        <v>5541</v>
      </c>
      <c r="BM59" s="127">
        <f t="shared" si="291"/>
        <v>-829</v>
      </c>
      <c r="BN59" s="127">
        <f t="shared" ref="BN59:BZ59" si="292">BN15</f>
        <v>60508</v>
      </c>
      <c r="BO59" s="127">
        <f t="shared" si="292"/>
        <v>2692</v>
      </c>
      <c r="BP59" s="127">
        <f t="shared" si="292"/>
        <v>14749</v>
      </c>
      <c r="BQ59" s="127">
        <f t="shared" si="292"/>
        <v>6971</v>
      </c>
      <c r="BR59" s="127">
        <f t="shared" si="292"/>
        <v>3493</v>
      </c>
      <c r="BS59" s="127">
        <f t="shared" si="292"/>
        <v>747</v>
      </c>
      <c r="BT59" s="127">
        <f t="shared" si="292"/>
        <v>409</v>
      </c>
      <c r="BU59" s="127">
        <f t="shared" si="292"/>
        <v>2067</v>
      </c>
      <c r="BV59" s="127">
        <f t="shared" si="292"/>
        <v>3261</v>
      </c>
      <c r="BW59" s="127">
        <f t="shared" si="292"/>
        <v>75685</v>
      </c>
      <c r="BX59" s="127">
        <f t="shared" si="292"/>
        <v>6215</v>
      </c>
      <c r="BY59" s="127">
        <f t="shared" si="292"/>
        <v>4446</v>
      </c>
      <c r="BZ59" s="127">
        <f t="shared" si="292"/>
        <v>605</v>
      </c>
      <c r="CA59" s="127"/>
      <c r="CB59" s="127">
        <f t="shared" ref="CB59:CM59" si="293">CB15</f>
        <v>4055</v>
      </c>
      <c r="CC59" s="127">
        <f t="shared" si="293"/>
        <v>41046</v>
      </c>
      <c r="CD59" s="127">
        <f t="shared" si="293"/>
        <v>5049</v>
      </c>
      <c r="CE59" s="127">
        <f t="shared" si="293"/>
        <v>11534</v>
      </c>
      <c r="CF59" s="127">
        <f t="shared" si="293"/>
        <v>4168</v>
      </c>
      <c r="CG59" s="127">
        <f t="shared" si="293"/>
        <v>5473</v>
      </c>
      <c r="CH59" s="127">
        <f t="shared" si="293"/>
        <v>7997</v>
      </c>
      <c r="CI59" s="127">
        <f t="shared" si="293"/>
        <v>5897</v>
      </c>
      <c r="CJ59" s="127">
        <f t="shared" si="293"/>
        <v>4794</v>
      </c>
      <c r="CK59" s="127">
        <f t="shared" si="293"/>
        <v>5278</v>
      </c>
      <c r="CL59" s="127">
        <f t="shared" si="293"/>
        <v>43252</v>
      </c>
      <c r="CM59" s="127">
        <f t="shared" si="293"/>
        <v>9011</v>
      </c>
      <c r="CN59" s="127"/>
      <c r="CO59" s="127">
        <f t="shared" ref="CO59:CZ59" si="294">CO15</f>
        <v>39471</v>
      </c>
      <c r="CP59" s="127">
        <f t="shared" si="294"/>
        <v>13136</v>
      </c>
      <c r="CQ59" s="127">
        <f t="shared" si="294"/>
        <v>64427</v>
      </c>
      <c r="CR59" s="127">
        <f t="shared" si="294"/>
        <v>19710</v>
      </c>
      <c r="CS59" s="127">
        <f t="shared" si="294"/>
        <v>21473</v>
      </c>
      <c r="CT59" s="127">
        <f t="shared" si="294"/>
        <v>29350</v>
      </c>
      <c r="CU59" s="127">
        <f t="shared" si="294"/>
        <v>29616</v>
      </c>
      <c r="CV59" s="127">
        <f t="shared" si="294"/>
        <v>28853</v>
      </c>
      <c r="CW59" s="127">
        <f t="shared" si="294"/>
        <v>38720</v>
      </c>
      <c r="CX59" s="127">
        <f t="shared" si="294"/>
        <v>31366</v>
      </c>
      <c r="CY59" s="127">
        <f t="shared" si="294"/>
        <v>45671</v>
      </c>
      <c r="CZ59" s="127">
        <f t="shared" si="294"/>
        <v>27987</v>
      </c>
      <c r="DA59" s="127"/>
      <c r="DB59" s="127">
        <f t="shared" ref="DB59:DM59" si="295">DB15</f>
        <v>32833</v>
      </c>
      <c r="DC59" s="127">
        <f t="shared" si="295"/>
        <v>35710</v>
      </c>
      <c r="DD59" s="127">
        <f t="shared" si="295"/>
        <v>62935</v>
      </c>
      <c r="DE59" s="127">
        <f t="shared" si="295"/>
        <v>105745</v>
      </c>
      <c r="DF59" s="127">
        <f t="shared" si="295"/>
        <v>32399</v>
      </c>
      <c r="DG59" s="127">
        <f t="shared" si="295"/>
        <v>-54761</v>
      </c>
      <c r="DH59" s="127">
        <f t="shared" si="295"/>
        <v>27554</v>
      </c>
      <c r="DI59" s="127">
        <f t="shared" si="295"/>
        <v>23067</v>
      </c>
      <c r="DJ59" s="127">
        <f t="shared" si="295"/>
        <v>23975</v>
      </c>
      <c r="DK59" s="127">
        <f t="shared" si="295"/>
        <v>69257</v>
      </c>
      <c r="DL59" s="127">
        <f t="shared" si="295"/>
        <v>45234</v>
      </c>
      <c r="DM59" s="127">
        <f t="shared" si="295"/>
        <v>-1011</v>
      </c>
      <c r="DN59" s="127"/>
      <c r="DO59" s="127">
        <f t="shared" ref="DO59:DZ59" si="296">DO15</f>
        <v>29187</v>
      </c>
      <c r="DP59" s="127">
        <f t="shared" si="296"/>
        <v>95482</v>
      </c>
      <c r="DQ59" s="127">
        <f t="shared" si="296"/>
        <v>35120</v>
      </c>
      <c r="DR59" s="127">
        <f t="shared" si="296"/>
        <v>21725</v>
      </c>
      <c r="DS59" s="127">
        <f t="shared" si="296"/>
        <v>32899</v>
      </c>
      <c r="DT59" s="127">
        <f t="shared" si="296"/>
        <v>31231</v>
      </c>
      <c r="DU59" s="127">
        <f t="shared" si="296"/>
        <v>69994</v>
      </c>
      <c r="DV59" s="127">
        <f t="shared" si="296"/>
        <v>38186</v>
      </c>
      <c r="DW59" s="127">
        <f t="shared" si="296"/>
        <v>33743</v>
      </c>
      <c r="DX59" s="127">
        <f t="shared" si="296"/>
        <v>32924</v>
      </c>
      <c r="DY59" s="127">
        <f t="shared" si="296"/>
        <v>34871</v>
      </c>
      <c r="DZ59" s="127">
        <f t="shared" si="296"/>
        <v>21185</v>
      </c>
      <c r="EA59" s="127"/>
      <c r="EB59" s="127">
        <f>EB15</f>
        <v>38756</v>
      </c>
      <c r="EC59" s="127">
        <f>EC15</f>
        <v>98097</v>
      </c>
      <c r="ED59" s="127">
        <f>ED15</f>
        <v>33331</v>
      </c>
      <c r="EE59" s="127">
        <f>EE15</f>
        <v>31576</v>
      </c>
      <c r="EF59" s="127">
        <f>EF15</f>
        <v>29082</v>
      </c>
      <c r="EG59" s="127">
        <f t="shared" ref="EG59:EM59" si="297">EG15</f>
        <v>34970</v>
      </c>
      <c r="EH59" s="127">
        <f t="shared" si="297"/>
        <v>74716</v>
      </c>
      <c r="EI59" s="127">
        <f t="shared" si="297"/>
        <v>34023</v>
      </c>
      <c r="EJ59" s="127">
        <f t="shared" si="297"/>
        <v>33640</v>
      </c>
      <c r="EK59" s="127">
        <f t="shared" si="297"/>
        <v>38212</v>
      </c>
      <c r="EL59" s="127">
        <f t="shared" si="297"/>
        <v>37235</v>
      </c>
      <c r="EM59" s="127">
        <f t="shared" si="297"/>
        <v>25351</v>
      </c>
      <c r="EN59" s="127"/>
      <c r="EO59" s="127">
        <f t="shared" ref="EO59:ET59" si="298">EO15</f>
        <v>63623</v>
      </c>
      <c r="EP59" s="127">
        <f t="shared" si="298"/>
        <v>81389</v>
      </c>
      <c r="EQ59" s="127">
        <f t="shared" si="298"/>
        <v>29373</v>
      </c>
      <c r="ER59" s="127">
        <f t="shared" si="298"/>
        <v>4679</v>
      </c>
      <c r="ES59" s="127">
        <f t="shared" si="298"/>
        <v>33993</v>
      </c>
      <c r="ET59" s="127">
        <f t="shared" si="298"/>
        <v>4885</v>
      </c>
      <c r="EU59" s="127">
        <f t="shared" ref="EU59:EY59" si="299">EU15</f>
        <v>10765</v>
      </c>
      <c r="EV59" s="954">
        <f>EV15</f>
        <v>98515</v>
      </c>
      <c r="EW59" s="127"/>
      <c r="EX59" s="127">
        <f t="shared" si="299"/>
        <v>0</v>
      </c>
      <c r="EY59" s="127">
        <f t="shared" si="299"/>
        <v>0</v>
      </c>
      <c r="EZ59" s="127"/>
      <c r="FA59" s="127"/>
      <c r="FC59" s="127">
        <f>FC15</f>
        <v>189.55412515063341</v>
      </c>
      <c r="FD59" s="127">
        <f>FD15</f>
        <v>-12.636196405829914</v>
      </c>
      <c r="FE59" s="127">
        <f>FE15</f>
        <v>374551</v>
      </c>
      <c r="FF59" s="127">
        <f>FF15</f>
        <v>327222</v>
      </c>
    </row>
    <row r="60" spans="1:162" ht="15" customHeight="1" x14ac:dyDescent="0.25">
      <c r="A60" s="407" t="s">
        <v>291</v>
      </c>
      <c r="B60" s="102">
        <v>2015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4" t="s">
        <v>83</v>
      </c>
      <c r="O60" s="102">
        <v>2016</v>
      </c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4" t="s">
        <v>83</v>
      </c>
      <c r="AB60" s="102">
        <v>2017</v>
      </c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4" t="s">
        <v>83</v>
      </c>
      <c r="AO60" s="102">
        <v>2018</v>
      </c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4" t="s">
        <v>83</v>
      </c>
      <c r="BB60" s="102">
        <v>2019</v>
      </c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4" t="s">
        <v>83</v>
      </c>
      <c r="BO60" s="102">
        <v>2020</v>
      </c>
      <c r="BP60" s="103"/>
      <c r="BQ60" s="103"/>
      <c r="BR60" s="103"/>
      <c r="BS60" s="103"/>
      <c r="BT60" s="103"/>
      <c r="BU60" s="103"/>
      <c r="BV60" s="103"/>
      <c r="BW60" s="103"/>
      <c r="BX60" s="103"/>
      <c r="BY60" s="103"/>
      <c r="BZ60" s="103"/>
      <c r="CA60" s="104" t="s">
        <v>83</v>
      </c>
      <c r="CB60" s="102">
        <v>2021</v>
      </c>
      <c r="CC60" s="103"/>
      <c r="CD60" s="103"/>
      <c r="CE60" s="103"/>
      <c r="CF60" s="103"/>
      <c r="CG60" s="103"/>
      <c r="CH60" s="103"/>
      <c r="CI60" s="103"/>
      <c r="CJ60" s="103"/>
      <c r="CK60" s="103"/>
      <c r="CL60" s="103"/>
      <c r="CM60" s="103"/>
      <c r="CN60" s="104" t="s">
        <v>83</v>
      </c>
      <c r="CO60" s="102">
        <v>2022</v>
      </c>
      <c r="CP60" s="103"/>
      <c r="CQ60" s="103"/>
      <c r="CR60" s="103"/>
      <c r="CS60" s="103"/>
      <c r="CT60" s="103"/>
      <c r="CU60" s="103"/>
      <c r="CV60" s="103"/>
      <c r="CW60" s="103"/>
      <c r="CX60" s="103"/>
      <c r="CY60" s="103"/>
      <c r="CZ60" s="103"/>
      <c r="DA60" s="104" t="s">
        <v>83</v>
      </c>
      <c r="DB60" s="102">
        <v>2023</v>
      </c>
      <c r="DC60" s="103"/>
      <c r="DD60" s="103"/>
      <c r="DE60" s="103"/>
      <c r="DF60" s="103"/>
      <c r="DG60" s="103"/>
      <c r="DH60" s="103"/>
      <c r="DI60" s="103"/>
      <c r="DJ60" s="103"/>
      <c r="DK60" s="103"/>
      <c r="DL60" s="103"/>
      <c r="DM60" s="103"/>
      <c r="DN60" s="104" t="s">
        <v>83</v>
      </c>
      <c r="DO60" s="102">
        <v>2024</v>
      </c>
      <c r="DP60" s="103"/>
      <c r="DQ60" s="103"/>
      <c r="DR60" s="103"/>
      <c r="DS60" s="103"/>
      <c r="DT60" s="103"/>
      <c r="DU60" s="103"/>
      <c r="DV60" s="103"/>
      <c r="DW60" s="103"/>
      <c r="DX60" s="103"/>
      <c r="DY60" s="103"/>
      <c r="DZ60" s="103"/>
      <c r="EA60" s="104" t="s">
        <v>83</v>
      </c>
      <c r="EB60" s="102">
        <v>2025</v>
      </c>
      <c r="EC60" s="103"/>
      <c r="ED60" s="103"/>
      <c r="EE60" s="103"/>
      <c r="EF60" s="103"/>
      <c r="EG60" s="103"/>
      <c r="EH60" s="103"/>
      <c r="EI60" s="103"/>
      <c r="EJ60" s="103"/>
      <c r="EK60" s="103"/>
      <c r="EL60" s="103"/>
      <c r="EM60" s="103"/>
      <c r="EN60" s="104" t="s">
        <v>83</v>
      </c>
      <c r="EO60" s="102">
        <v>2026</v>
      </c>
      <c r="EP60" s="103"/>
      <c r="EQ60" s="103"/>
      <c r="ER60" s="103"/>
      <c r="ES60" s="103"/>
      <c r="ET60" s="103"/>
      <c r="EU60" s="103"/>
      <c r="EV60" s="948"/>
      <c r="EW60" s="945"/>
      <c r="EX60" s="103"/>
      <c r="EY60" s="103"/>
      <c r="EZ60" s="103"/>
      <c r="FA60" s="104" t="s">
        <v>83</v>
      </c>
      <c r="FC60" s="982" t="str">
        <f>CONCATENATE("Var.% ",FF60,"/",FE60)</f>
        <v>Var.% 2026/2025</v>
      </c>
      <c r="FD60" s="983"/>
      <c r="FE60" s="105">
        <f>FF60-1</f>
        <v>2025</v>
      </c>
      <c r="FF60" s="105">
        <f>YEAR(EZ61)</f>
        <v>2026</v>
      </c>
    </row>
    <row r="61" spans="1:162" ht="15" customHeight="1" x14ac:dyDescent="0.25">
      <c r="A61" s="232"/>
      <c r="B61" s="106">
        <v>42005</v>
      </c>
      <c r="C61" s="107">
        <v>42036</v>
      </c>
      <c r="D61" s="107">
        <v>42064</v>
      </c>
      <c r="E61" s="107">
        <v>42095</v>
      </c>
      <c r="F61" s="107">
        <v>42125</v>
      </c>
      <c r="G61" s="107">
        <v>42156</v>
      </c>
      <c r="H61" s="107">
        <v>42186</v>
      </c>
      <c r="I61" s="107">
        <v>42217</v>
      </c>
      <c r="J61" s="107">
        <v>42248</v>
      </c>
      <c r="K61" s="107">
        <v>42278</v>
      </c>
      <c r="L61" s="107">
        <v>42309</v>
      </c>
      <c r="M61" s="107">
        <v>42339</v>
      </c>
      <c r="N61" s="108">
        <f t="shared" ref="N61" si="300">YEAR(M61)</f>
        <v>2015</v>
      </c>
      <c r="O61" s="106">
        <v>42370</v>
      </c>
      <c r="P61" s="107">
        <v>42401</v>
      </c>
      <c r="Q61" s="107">
        <v>42430</v>
      </c>
      <c r="R61" s="107">
        <v>42461</v>
      </c>
      <c r="S61" s="107">
        <v>42491</v>
      </c>
      <c r="T61" s="107">
        <v>42522</v>
      </c>
      <c r="U61" s="107">
        <v>42552</v>
      </c>
      <c r="V61" s="107">
        <v>42583</v>
      </c>
      <c r="W61" s="107">
        <v>42614</v>
      </c>
      <c r="X61" s="107">
        <v>42644</v>
      </c>
      <c r="Y61" s="107">
        <v>42675</v>
      </c>
      <c r="Z61" s="107">
        <v>42705</v>
      </c>
      <c r="AA61" s="108">
        <f t="shared" ref="AA61" si="301">YEAR(Z61)</f>
        <v>2016</v>
      </c>
      <c r="AB61" s="106">
        <v>42736</v>
      </c>
      <c r="AC61" s="107">
        <v>42767</v>
      </c>
      <c r="AD61" s="107">
        <v>42795</v>
      </c>
      <c r="AE61" s="107">
        <v>42826</v>
      </c>
      <c r="AF61" s="107">
        <v>42856</v>
      </c>
      <c r="AG61" s="107">
        <v>42887</v>
      </c>
      <c r="AH61" s="107">
        <v>42917</v>
      </c>
      <c r="AI61" s="107">
        <v>42948</v>
      </c>
      <c r="AJ61" s="107">
        <v>42979</v>
      </c>
      <c r="AK61" s="107">
        <v>43009</v>
      </c>
      <c r="AL61" s="107">
        <v>43040</v>
      </c>
      <c r="AM61" s="107">
        <v>43070</v>
      </c>
      <c r="AN61" s="108">
        <f t="shared" ref="AN61" si="302">YEAR(AM61)</f>
        <v>2017</v>
      </c>
      <c r="AO61" s="106">
        <v>43101</v>
      </c>
      <c r="AP61" s="107">
        <v>43132</v>
      </c>
      <c r="AQ61" s="107">
        <v>43160</v>
      </c>
      <c r="AR61" s="107">
        <v>43191</v>
      </c>
      <c r="AS61" s="107">
        <v>43221</v>
      </c>
      <c r="AT61" s="107">
        <v>43252</v>
      </c>
      <c r="AU61" s="107">
        <v>43282</v>
      </c>
      <c r="AV61" s="107">
        <v>43313</v>
      </c>
      <c r="AW61" s="107">
        <v>43344</v>
      </c>
      <c r="AX61" s="107">
        <v>43374</v>
      </c>
      <c r="AY61" s="107">
        <v>43405</v>
      </c>
      <c r="AZ61" s="107">
        <v>43435</v>
      </c>
      <c r="BA61" s="108">
        <f t="shared" ref="BA61" si="303">YEAR(AZ61)</f>
        <v>2018</v>
      </c>
      <c r="BB61" s="106">
        <v>43466</v>
      </c>
      <c r="BC61" s="107">
        <v>43497</v>
      </c>
      <c r="BD61" s="107">
        <v>43525</v>
      </c>
      <c r="BE61" s="107">
        <v>43556</v>
      </c>
      <c r="BF61" s="107">
        <v>43586</v>
      </c>
      <c r="BG61" s="107">
        <v>43617</v>
      </c>
      <c r="BH61" s="107">
        <v>43647</v>
      </c>
      <c r="BI61" s="107">
        <v>43678</v>
      </c>
      <c r="BJ61" s="107">
        <v>43709</v>
      </c>
      <c r="BK61" s="107">
        <v>43739</v>
      </c>
      <c r="BL61" s="107">
        <v>43770</v>
      </c>
      <c r="BM61" s="107">
        <v>43800</v>
      </c>
      <c r="BN61" s="108">
        <f t="shared" ref="BN61" si="304">YEAR(BM61)</f>
        <v>2019</v>
      </c>
      <c r="BO61" s="106">
        <v>43831</v>
      </c>
      <c r="BP61" s="107">
        <v>43862</v>
      </c>
      <c r="BQ61" s="107">
        <v>43891</v>
      </c>
      <c r="BR61" s="107">
        <v>43922</v>
      </c>
      <c r="BS61" s="107">
        <v>43952</v>
      </c>
      <c r="BT61" s="107">
        <v>43983</v>
      </c>
      <c r="BU61" s="107">
        <v>44013</v>
      </c>
      <c r="BV61" s="107">
        <v>44044</v>
      </c>
      <c r="BW61" s="107">
        <v>44075</v>
      </c>
      <c r="BX61" s="107">
        <v>44105</v>
      </c>
      <c r="BY61" s="107">
        <v>44136</v>
      </c>
      <c r="BZ61" s="107">
        <v>44166</v>
      </c>
      <c r="CA61" s="108">
        <f t="shared" ref="CA61" si="305">YEAR(BZ61)</f>
        <v>2020</v>
      </c>
      <c r="CB61" s="106">
        <v>44197</v>
      </c>
      <c r="CC61" s="107">
        <v>44228</v>
      </c>
      <c r="CD61" s="107">
        <v>44256</v>
      </c>
      <c r="CE61" s="107">
        <v>44287</v>
      </c>
      <c r="CF61" s="107">
        <v>44317</v>
      </c>
      <c r="CG61" s="107">
        <v>44348</v>
      </c>
      <c r="CH61" s="107">
        <v>44378</v>
      </c>
      <c r="CI61" s="107">
        <v>44409</v>
      </c>
      <c r="CJ61" s="107">
        <v>44440</v>
      </c>
      <c r="CK61" s="107">
        <v>44470</v>
      </c>
      <c r="CL61" s="107">
        <v>44501</v>
      </c>
      <c r="CM61" s="107">
        <v>44531</v>
      </c>
      <c r="CN61" s="108">
        <f t="shared" ref="CN61" si="306">YEAR(CM61)</f>
        <v>2021</v>
      </c>
      <c r="CO61" s="106">
        <v>44562</v>
      </c>
      <c r="CP61" s="107">
        <v>44593</v>
      </c>
      <c r="CQ61" s="107">
        <v>44621</v>
      </c>
      <c r="CR61" s="107">
        <v>44652</v>
      </c>
      <c r="CS61" s="107">
        <v>44682</v>
      </c>
      <c r="CT61" s="107">
        <v>44713</v>
      </c>
      <c r="CU61" s="107">
        <v>44743</v>
      </c>
      <c r="CV61" s="107">
        <v>44774</v>
      </c>
      <c r="CW61" s="107">
        <v>44805</v>
      </c>
      <c r="CX61" s="107">
        <v>44835</v>
      </c>
      <c r="CY61" s="107">
        <v>44866</v>
      </c>
      <c r="CZ61" s="107">
        <v>44896</v>
      </c>
      <c r="DA61" s="108">
        <f t="shared" ref="DA61" si="307">YEAR(CZ61)</f>
        <v>2022</v>
      </c>
      <c r="DB61" s="106">
        <v>44927</v>
      </c>
      <c r="DC61" s="107">
        <v>44958</v>
      </c>
      <c r="DD61" s="107">
        <v>44986</v>
      </c>
      <c r="DE61" s="107">
        <v>45017</v>
      </c>
      <c r="DF61" s="107">
        <v>45047</v>
      </c>
      <c r="DG61" s="107">
        <v>45078</v>
      </c>
      <c r="DH61" s="107">
        <v>45108</v>
      </c>
      <c r="DI61" s="107">
        <v>45139</v>
      </c>
      <c r="DJ61" s="107">
        <v>45170</v>
      </c>
      <c r="DK61" s="107">
        <v>45200</v>
      </c>
      <c r="DL61" s="107">
        <v>45231</v>
      </c>
      <c r="DM61" s="107">
        <v>45261</v>
      </c>
      <c r="DN61" s="108">
        <f t="shared" ref="DN61" si="308">YEAR(DM61)</f>
        <v>2023</v>
      </c>
      <c r="DO61" s="106">
        <v>45292</v>
      </c>
      <c r="DP61" s="107">
        <v>45323</v>
      </c>
      <c r="DQ61" s="107">
        <v>45352</v>
      </c>
      <c r="DR61" s="107">
        <v>45383</v>
      </c>
      <c r="DS61" s="107">
        <v>45413</v>
      </c>
      <c r="DT61" s="107">
        <v>45444</v>
      </c>
      <c r="DU61" s="107">
        <v>45474</v>
      </c>
      <c r="DV61" s="107">
        <v>45505</v>
      </c>
      <c r="DW61" s="107">
        <v>45536</v>
      </c>
      <c r="DX61" s="107">
        <v>45566</v>
      </c>
      <c r="DY61" s="107">
        <v>45597</v>
      </c>
      <c r="DZ61" s="107">
        <v>45627</v>
      </c>
      <c r="EA61" s="108">
        <f t="shared" ref="EA61" si="309">YEAR(DZ61)</f>
        <v>2024</v>
      </c>
      <c r="EB61" s="106">
        <v>45658</v>
      </c>
      <c r="EC61" s="107">
        <v>45689</v>
      </c>
      <c r="ED61" s="107">
        <v>45717</v>
      </c>
      <c r="EE61" s="107">
        <v>45748</v>
      </c>
      <c r="EF61" s="107">
        <v>45778</v>
      </c>
      <c r="EG61" s="107">
        <v>45809</v>
      </c>
      <c r="EH61" s="107">
        <v>45839</v>
      </c>
      <c r="EI61" s="107">
        <v>45870</v>
      </c>
      <c r="EJ61" s="107">
        <v>45901</v>
      </c>
      <c r="EK61" s="107">
        <v>45931</v>
      </c>
      <c r="EL61" s="107">
        <v>45962</v>
      </c>
      <c r="EM61" s="107">
        <v>45992</v>
      </c>
      <c r="EN61" s="108">
        <f>YEAR(EM61)</f>
        <v>2025</v>
      </c>
      <c r="EO61" s="106">
        <v>46023</v>
      </c>
      <c r="EP61" s="107">
        <v>46054</v>
      </c>
      <c r="EQ61" s="107">
        <v>46082</v>
      </c>
      <c r="ER61" s="107">
        <v>46113</v>
      </c>
      <c r="ES61" s="107">
        <v>46143</v>
      </c>
      <c r="ET61" s="107">
        <v>46174</v>
      </c>
      <c r="EU61" s="107">
        <v>46204</v>
      </c>
      <c r="EV61" s="949">
        <v>46235</v>
      </c>
      <c r="EW61" s="107">
        <v>46266</v>
      </c>
      <c r="EX61" s="107">
        <v>46296</v>
      </c>
      <c r="EY61" s="107">
        <v>46327</v>
      </c>
      <c r="EZ61" s="107">
        <v>46357</v>
      </c>
      <c r="FA61" s="108">
        <f>YEAR(EZ61)</f>
        <v>2026</v>
      </c>
      <c r="FC61" s="106">
        <f>EV61</f>
        <v>46235</v>
      </c>
      <c r="FD61" s="109" t="str">
        <f>CONCATENATE("Ene.-",TEXT(FC61,"MMM."))</f>
        <v>Ene.-Ago.</v>
      </c>
      <c r="FE61" s="109" t="str">
        <f>FD61</f>
        <v>Ene.-Ago.</v>
      </c>
      <c r="FF61" s="109" t="str">
        <f>FD61</f>
        <v>Ene.-Ago.</v>
      </c>
    </row>
    <row r="62" spans="1:162" ht="15" customHeight="1" x14ac:dyDescent="0.25">
      <c r="A62" s="210" t="s">
        <v>299</v>
      </c>
      <c r="B62" s="278">
        <f t="shared" ref="B62:AM62" si="310">SUM(B63+B83)</f>
        <v>3148</v>
      </c>
      <c r="C62" s="276">
        <f t="shared" si="310"/>
        <v>2293</v>
      </c>
      <c r="D62" s="276">
        <f t="shared" si="310"/>
        <v>21856</v>
      </c>
      <c r="E62" s="276">
        <f t="shared" si="310"/>
        <v>4421.3819999999996</v>
      </c>
      <c r="F62" s="276">
        <f t="shared" si="310"/>
        <v>5021</v>
      </c>
      <c r="G62" s="276">
        <f t="shared" si="310"/>
        <v>5525</v>
      </c>
      <c r="H62" s="276">
        <f t="shared" si="310"/>
        <v>5762</v>
      </c>
      <c r="I62" s="276">
        <f t="shared" si="310"/>
        <v>7138</v>
      </c>
      <c r="J62" s="276">
        <f t="shared" si="310"/>
        <v>5709</v>
      </c>
      <c r="K62" s="276">
        <f t="shared" si="310"/>
        <v>-4892</v>
      </c>
      <c r="L62" s="276">
        <f t="shared" si="310"/>
        <v>5966</v>
      </c>
      <c r="M62" s="277">
        <f t="shared" si="310"/>
        <v>2820</v>
      </c>
      <c r="N62" s="277">
        <f>SUM(B62:M62)</f>
        <v>64767.381999999998</v>
      </c>
      <c r="O62" s="276">
        <f t="shared" si="310"/>
        <v>5952</v>
      </c>
      <c r="P62" s="276">
        <f t="shared" si="310"/>
        <v>5910</v>
      </c>
      <c r="Q62" s="276">
        <f t="shared" si="310"/>
        <v>5386</v>
      </c>
      <c r="R62" s="276">
        <f t="shared" si="310"/>
        <v>6771</v>
      </c>
      <c r="S62" s="276">
        <f t="shared" si="310"/>
        <v>1729</v>
      </c>
      <c r="T62" s="276">
        <f t="shared" si="310"/>
        <v>6195</v>
      </c>
      <c r="U62" s="276">
        <f t="shared" si="310"/>
        <v>3884</v>
      </c>
      <c r="V62" s="276">
        <f t="shared" si="310"/>
        <v>2982</v>
      </c>
      <c r="W62" s="276">
        <f t="shared" si="310"/>
        <v>3212</v>
      </c>
      <c r="X62" s="276">
        <f t="shared" si="310"/>
        <v>979</v>
      </c>
      <c r="Y62" s="276">
        <f t="shared" si="310"/>
        <v>2904</v>
      </c>
      <c r="Z62" s="277">
        <f t="shared" si="310"/>
        <v>4101</v>
      </c>
      <c r="AA62" s="276">
        <f>SUM(O62:Z62)</f>
        <v>50005</v>
      </c>
      <c r="AB62" s="278">
        <f t="shared" si="310"/>
        <v>1270</v>
      </c>
      <c r="AC62" s="276">
        <f t="shared" si="310"/>
        <v>5638</v>
      </c>
      <c r="AD62" s="276">
        <f t="shared" si="310"/>
        <v>12921</v>
      </c>
      <c r="AE62" s="276">
        <f t="shared" si="310"/>
        <v>2384</v>
      </c>
      <c r="AF62" s="276">
        <f t="shared" si="310"/>
        <v>153</v>
      </c>
      <c r="AG62" s="276">
        <f t="shared" si="310"/>
        <v>4406</v>
      </c>
      <c r="AH62" s="276">
        <f t="shared" si="310"/>
        <v>4783</v>
      </c>
      <c r="AI62" s="276">
        <f t="shared" si="310"/>
        <v>4649</v>
      </c>
      <c r="AJ62" s="276">
        <f t="shared" si="310"/>
        <v>1902</v>
      </c>
      <c r="AK62" s="276">
        <f t="shared" si="310"/>
        <v>7593</v>
      </c>
      <c r="AL62" s="276">
        <f t="shared" si="310"/>
        <v>4987</v>
      </c>
      <c r="AM62" s="276">
        <f t="shared" si="310"/>
        <v>5766</v>
      </c>
      <c r="AN62" s="279">
        <f>SUM(AB62:AM62)</f>
        <v>56452</v>
      </c>
      <c r="AO62" s="278">
        <f t="shared" ref="AO62:AZ62" si="311">SUM(AO63+AO83)</f>
        <v>2748</v>
      </c>
      <c r="AP62" s="276">
        <f t="shared" si="311"/>
        <v>13107</v>
      </c>
      <c r="AQ62" s="276">
        <f t="shared" si="311"/>
        <v>2357</v>
      </c>
      <c r="AR62" s="276">
        <f t="shared" si="311"/>
        <v>7870</v>
      </c>
      <c r="AS62" s="276">
        <f t="shared" si="311"/>
        <v>9559</v>
      </c>
      <c r="AT62" s="276">
        <f t="shared" si="311"/>
        <v>2644</v>
      </c>
      <c r="AU62" s="276">
        <f t="shared" si="311"/>
        <v>16542</v>
      </c>
      <c r="AV62" s="276">
        <f t="shared" si="311"/>
        <v>3824</v>
      </c>
      <c r="AW62" s="276">
        <f t="shared" si="311"/>
        <v>-969</v>
      </c>
      <c r="AX62" s="276">
        <f t="shared" si="311"/>
        <v>6026</v>
      </c>
      <c r="AY62" s="276">
        <f t="shared" si="311"/>
        <v>3804</v>
      </c>
      <c r="AZ62" s="277">
        <f t="shared" si="311"/>
        <v>1612</v>
      </c>
      <c r="BA62" s="277">
        <f>SUM(AO62:AZ62)</f>
        <v>69124</v>
      </c>
      <c r="BB62" s="276">
        <f t="shared" ref="BB62:BM62" si="312">SUM(BB63+BB83)</f>
        <v>21586</v>
      </c>
      <c r="BC62" s="276">
        <f t="shared" si="312"/>
        <v>2540</v>
      </c>
      <c r="BD62" s="276">
        <f t="shared" si="312"/>
        <v>579</v>
      </c>
      <c r="BE62" s="276">
        <f t="shared" si="312"/>
        <v>2626</v>
      </c>
      <c r="BF62" s="276">
        <f t="shared" si="312"/>
        <v>5094</v>
      </c>
      <c r="BG62" s="276">
        <f t="shared" si="312"/>
        <v>553</v>
      </c>
      <c r="BH62" s="276">
        <f t="shared" si="312"/>
        <v>4454</v>
      </c>
      <c r="BI62" s="276">
        <f t="shared" si="312"/>
        <v>4649</v>
      </c>
      <c r="BJ62" s="276">
        <f t="shared" si="312"/>
        <v>7493</v>
      </c>
      <c r="BK62" s="276">
        <f t="shared" si="312"/>
        <v>6221</v>
      </c>
      <c r="BL62" s="276">
        <f t="shared" si="312"/>
        <v>5541</v>
      </c>
      <c r="BM62" s="277">
        <f t="shared" si="312"/>
        <v>-829</v>
      </c>
      <c r="BN62" s="277">
        <f>SUM(BB62:BM62)</f>
        <v>60507</v>
      </c>
      <c r="BO62" s="276">
        <f t="shared" ref="BO62:BY62" si="313">SUM(BO63+BO83)</f>
        <v>2692</v>
      </c>
      <c r="BP62" s="276">
        <f t="shared" si="313"/>
        <v>14748.9</v>
      </c>
      <c r="BQ62" s="276">
        <f t="shared" si="313"/>
        <v>6971</v>
      </c>
      <c r="BR62" s="289">
        <f t="shared" si="313"/>
        <v>3493</v>
      </c>
      <c r="BS62" s="289">
        <f t="shared" si="313"/>
        <v>747</v>
      </c>
      <c r="BT62" s="289">
        <f t="shared" si="313"/>
        <v>409</v>
      </c>
      <c r="BU62" s="289">
        <f t="shared" si="313"/>
        <v>2067</v>
      </c>
      <c r="BV62" s="289">
        <f t="shared" si="313"/>
        <v>3261</v>
      </c>
      <c r="BW62" s="289">
        <f t="shared" si="313"/>
        <v>75685</v>
      </c>
      <c r="BX62" s="289">
        <f t="shared" si="313"/>
        <v>6215</v>
      </c>
      <c r="BY62" s="289">
        <f t="shared" si="313"/>
        <v>4446</v>
      </c>
      <c r="BZ62" s="289">
        <f>SUM(BZ63+BZ83)</f>
        <v>605</v>
      </c>
      <c r="CA62" s="292">
        <f>SUM(BO62:BZ62)</f>
        <v>121339.9</v>
      </c>
      <c r="CB62" s="289">
        <f t="shared" ref="CB62:CL62" si="314">SUM(CB63+CB83)</f>
        <v>4055</v>
      </c>
      <c r="CC62" s="289">
        <f t="shared" si="314"/>
        <v>41046</v>
      </c>
      <c r="CD62" s="289">
        <f t="shared" si="314"/>
        <v>5049</v>
      </c>
      <c r="CE62" s="289">
        <f t="shared" si="314"/>
        <v>11534</v>
      </c>
      <c r="CF62" s="289">
        <f t="shared" si="314"/>
        <v>4168</v>
      </c>
      <c r="CG62" s="289">
        <f t="shared" si="314"/>
        <v>5472</v>
      </c>
      <c r="CH62" s="289">
        <f t="shared" si="314"/>
        <v>7997</v>
      </c>
      <c r="CI62" s="289">
        <f t="shared" si="314"/>
        <v>5879</v>
      </c>
      <c r="CJ62" s="289">
        <f t="shared" si="314"/>
        <v>4794</v>
      </c>
      <c r="CK62" s="289">
        <f t="shared" si="314"/>
        <v>5278</v>
      </c>
      <c r="CL62" s="289">
        <f t="shared" si="314"/>
        <v>43252</v>
      </c>
      <c r="CM62" s="290">
        <f>SUM(CM63+CM83)</f>
        <v>9011</v>
      </c>
      <c r="CN62" s="290">
        <f>SUM(CB62:CM62)</f>
        <v>147535</v>
      </c>
      <c r="CO62" s="291">
        <f t="shared" ref="CO62:CU62" si="315">SUM(CO63+CO83)</f>
        <v>39471</v>
      </c>
      <c r="CP62" s="405">
        <f t="shared" si="315"/>
        <v>13136</v>
      </c>
      <c r="CQ62" s="405">
        <f t="shared" si="315"/>
        <v>64427</v>
      </c>
      <c r="CR62" s="405">
        <f t="shared" si="315"/>
        <v>19710</v>
      </c>
      <c r="CS62" s="405">
        <f t="shared" si="315"/>
        <v>21473</v>
      </c>
      <c r="CT62" s="405">
        <f t="shared" si="315"/>
        <v>29350</v>
      </c>
      <c r="CU62" s="405">
        <f t="shared" si="315"/>
        <v>29616</v>
      </c>
      <c r="CV62" s="405">
        <f>SUM(CV63+CV83)</f>
        <v>28853</v>
      </c>
      <c r="CW62" s="405">
        <f>SUM(CW63+CW83)</f>
        <v>38720</v>
      </c>
      <c r="CX62" s="405">
        <f>SUM(CX63+CX83)</f>
        <v>31366</v>
      </c>
      <c r="CY62" s="405">
        <f>SUM(CY63+CY83)</f>
        <v>45671</v>
      </c>
      <c r="CZ62" s="406">
        <f>SUM(CZ63+CZ83)</f>
        <v>27987</v>
      </c>
      <c r="DA62" s="292">
        <f>SUM(CO62:CZ62)</f>
        <v>389780</v>
      </c>
      <c r="DB62" s="291">
        <f t="shared" ref="DB62:DL62" si="316">SUM(DB63+DB83)</f>
        <v>32833</v>
      </c>
      <c r="DC62" s="405">
        <f t="shared" si="316"/>
        <v>35710</v>
      </c>
      <c r="DD62" s="405">
        <f t="shared" si="316"/>
        <v>62935</v>
      </c>
      <c r="DE62" s="405">
        <f t="shared" si="316"/>
        <v>105745</v>
      </c>
      <c r="DF62" s="405">
        <f t="shared" si="316"/>
        <v>32399</v>
      </c>
      <c r="DG62" s="405">
        <f t="shared" si="316"/>
        <v>-54761</v>
      </c>
      <c r="DH62" s="405">
        <f t="shared" si="316"/>
        <v>27554</v>
      </c>
      <c r="DI62" s="405">
        <f t="shared" si="316"/>
        <v>23067</v>
      </c>
      <c r="DJ62" s="405">
        <f t="shared" si="316"/>
        <v>23975</v>
      </c>
      <c r="DK62" s="405">
        <f t="shared" si="316"/>
        <v>69257</v>
      </c>
      <c r="DL62" s="405">
        <f t="shared" si="316"/>
        <v>45234</v>
      </c>
      <c r="DM62" s="406">
        <f>SUM(DM63+DM83)</f>
        <v>-1011</v>
      </c>
      <c r="DN62" s="405">
        <f>SUM(DB62:DM62)</f>
        <v>402937</v>
      </c>
      <c r="DO62" s="267">
        <f t="shared" ref="DO62:DZ62" si="317">SUM(DO63,DO83)</f>
        <v>29187</v>
      </c>
      <c r="DP62" s="229">
        <f t="shared" si="317"/>
        <v>95482</v>
      </c>
      <c r="DQ62" s="229">
        <f t="shared" si="317"/>
        <v>35120</v>
      </c>
      <c r="DR62" s="229">
        <f t="shared" si="317"/>
        <v>21725</v>
      </c>
      <c r="DS62" s="229">
        <f t="shared" si="317"/>
        <v>32899</v>
      </c>
      <c r="DT62" s="229">
        <f t="shared" si="317"/>
        <v>31231</v>
      </c>
      <c r="DU62" s="229">
        <f t="shared" si="317"/>
        <v>69994</v>
      </c>
      <c r="DV62" s="229">
        <f t="shared" si="317"/>
        <v>38186</v>
      </c>
      <c r="DW62" s="229">
        <f t="shared" si="317"/>
        <v>33743</v>
      </c>
      <c r="DX62" s="229">
        <f t="shared" si="317"/>
        <v>32924</v>
      </c>
      <c r="DY62" s="229">
        <f t="shared" si="317"/>
        <v>34871</v>
      </c>
      <c r="DZ62" s="268">
        <f t="shared" si="317"/>
        <v>21185</v>
      </c>
      <c r="EA62" s="406">
        <f>SUM(DO62:DZ62)</f>
        <v>476547</v>
      </c>
      <c r="EB62" s="267">
        <f t="shared" ref="EB62:ED62" si="318">SUM(EB63,EB83)</f>
        <v>38756</v>
      </c>
      <c r="EC62" s="229">
        <f t="shared" si="318"/>
        <v>98097</v>
      </c>
      <c r="ED62" s="229">
        <f t="shared" si="318"/>
        <v>33331</v>
      </c>
      <c r="EE62" s="229">
        <f>SUM(EE63,EE83)</f>
        <v>31576</v>
      </c>
      <c r="EF62" s="229">
        <f>SUM(EF63,EF83)</f>
        <v>29082</v>
      </c>
      <c r="EG62" s="229">
        <f t="shared" ref="EG62:EH62" si="319">SUM(EG63,EG83)</f>
        <v>34970</v>
      </c>
      <c r="EH62" s="229">
        <f t="shared" si="319"/>
        <v>74716</v>
      </c>
      <c r="EI62" s="229">
        <f>SUM(EI63,EI83)</f>
        <v>34023</v>
      </c>
      <c r="EJ62" s="229">
        <f>SUM(EJ63,EJ83)</f>
        <v>33640</v>
      </c>
      <c r="EK62" s="229">
        <f>SUM(EK63,EK83)</f>
        <v>38212</v>
      </c>
      <c r="EL62" s="229">
        <f>SUM(EL63,EL83)</f>
        <v>37235</v>
      </c>
      <c r="EM62" s="268">
        <f>SUM(EM63,EM83)</f>
        <v>25351</v>
      </c>
      <c r="EN62" s="406">
        <f>SUM(EB62:EM62)</f>
        <v>508989</v>
      </c>
      <c r="EO62" s="267">
        <f>SUM(EO63,EO83)</f>
        <v>63623</v>
      </c>
      <c r="EP62" s="229">
        <f>SUM(EP63,EP83)</f>
        <v>81389</v>
      </c>
      <c r="EQ62" s="229">
        <f>SUM(EQ63,EQ83)</f>
        <v>29373</v>
      </c>
      <c r="ER62" s="229">
        <f>SUM(ER63,ER83)</f>
        <v>4679</v>
      </c>
      <c r="ES62" s="229">
        <f>SUM(ES63,ES83)</f>
        <v>33993</v>
      </c>
      <c r="ET62" s="229">
        <f t="shared" ref="ET62" si="320">SUM(ET63,ET83)</f>
        <v>4885</v>
      </c>
      <c r="EU62" s="229">
        <f>SUM(EU63,EU83)</f>
        <v>10765</v>
      </c>
      <c r="EV62" s="952">
        <f>SUM(EV63,EV83)</f>
        <v>98515</v>
      </c>
      <c r="EW62" s="229"/>
      <c r="EX62" s="229"/>
      <c r="EY62" s="229"/>
      <c r="EZ62" s="268"/>
      <c r="FA62" s="406"/>
      <c r="FC62" s="411">
        <f>IFERROR(((EV62/EI62)-1)*100,"-")</f>
        <v>189.55412515063341</v>
      </c>
      <c r="FD62" s="412">
        <f>IFERROR(((FF62/FE62)-1)*100,"-")</f>
        <v>-12.636196405829914</v>
      </c>
      <c r="FE62" s="279">
        <f>IFERROR(SUM(EB62:EI62),"-")</f>
        <v>374551</v>
      </c>
      <c r="FF62" s="279">
        <f>IFERROR(SUM(EO62:EZ62),"-")</f>
        <v>327222</v>
      </c>
    </row>
    <row r="63" spans="1:162" ht="15" customHeight="1" x14ac:dyDescent="0.25">
      <c r="A63" s="141" t="s">
        <v>439</v>
      </c>
      <c r="B63" s="242">
        <f t="shared" ref="B63:AM63" si="321">SUM(B64:B66,B72)</f>
        <v>3148</v>
      </c>
      <c r="C63" s="207">
        <f t="shared" si="321"/>
        <v>2293</v>
      </c>
      <c r="D63" s="207">
        <f t="shared" si="321"/>
        <v>21788</v>
      </c>
      <c r="E63" s="207">
        <f t="shared" si="321"/>
        <v>4421</v>
      </c>
      <c r="F63" s="207">
        <f t="shared" si="321"/>
        <v>4890</v>
      </c>
      <c r="G63" s="207">
        <f t="shared" si="321"/>
        <v>6438</v>
      </c>
      <c r="H63" s="207">
        <f t="shared" si="321"/>
        <v>5630</v>
      </c>
      <c r="I63" s="207">
        <f t="shared" si="321"/>
        <v>7129</v>
      </c>
      <c r="J63" s="207">
        <f t="shared" si="321"/>
        <v>5602</v>
      </c>
      <c r="K63" s="207">
        <f t="shared" si="321"/>
        <v>-4892</v>
      </c>
      <c r="L63" s="207">
        <f t="shared" si="321"/>
        <v>5762</v>
      </c>
      <c r="M63" s="243">
        <f t="shared" si="321"/>
        <v>2495</v>
      </c>
      <c r="N63" s="243">
        <f t="shared" ref="N63:N71" si="322">SUM(B63:M63)</f>
        <v>64704</v>
      </c>
      <c r="O63" s="207">
        <f t="shared" si="321"/>
        <v>5360</v>
      </c>
      <c r="P63" s="207">
        <f t="shared" si="321"/>
        <v>5805</v>
      </c>
      <c r="Q63" s="207">
        <f t="shared" si="321"/>
        <v>5317</v>
      </c>
      <c r="R63" s="207">
        <f t="shared" si="321"/>
        <v>6495</v>
      </c>
      <c r="S63" s="207">
        <f t="shared" si="321"/>
        <v>1975</v>
      </c>
      <c r="T63" s="207">
        <f t="shared" si="321"/>
        <v>2945</v>
      </c>
      <c r="U63" s="207">
        <f t="shared" si="321"/>
        <v>3389</v>
      </c>
      <c r="V63" s="207">
        <f t="shared" si="321"/>
        <v>2699</v>
      </c>
      <c r="W63" s="207">
        <f t="shared" si="321"/>
        <v>3174</v>
      </c>
      <c r="X63" s="207">
        <f t="shared" si="321"/>
        <v>979</v>
      </c>
      <c r="Y63" s="207">
        <f t="shared" si="321"/>
        <v>2904</v>
      </c>
      <c r="Z63" s="243">
        <f t="shared" si="321"/>
        <v>3702</v>
      </c>
      <c r="AA63" s="207">
        <f>SUM(O63:Z63)</f>
        <v>44744</v>
      </c>
      <c r="AB63" s="242">
        <f t="shared" si="321"/>
        <v>1270</v>
      </c>
      <c r="AC63" s="207">
        <f t="shared" si="321"/>
        <v>5199</v>
      </c>
      <c r="AD63" s="207">
        <f t="shared" si="321"/>
        <v>12921</v>
      </c>
      <c r="AE63" s="207">
        <f t="shared" si="321"/>
        <v>2384</v>
      </c>
      <c r="AF63" s="207">
        <f t="shared" si="321"/>
        <v>153</v>
      </c>
      <c r="AG63" s="207">
        <f t="shared" si="321"/>
        <v>4406</v>
      </c>
      <c r="AH63" s="207">
        <f t="shared" si="321"/>
        <v>4641</v>
      </c>
      <c r="AI63" s="207">
        <f t="shared" si="321"/>
        <v>3720</v>
      </c>
      <c r="AJ63" s="207">
        <f t="shared" si="321"/>
        <v>1889</v>
      </c>
      <c r="AK63" s="207">
        <f t="shared" si="321"/>
        <v>7593</v>
      </c>
      <c r="AL63" s="207">
        <f t="shared" si="321"/>
        <v>4730</v>
      </c>
      <c r="AM63" s="207">
        <f t="shared" si="321"/>
        <v>5494</v>
      </c>
      <c r="AN63" s="200">
        <f>SUM(AB63:AM63)</f>
        <v>54400</v>
      </c>
      <c r="AO63" s="242">
        <f t="shared" ref="AO63:AZ63" si="323">SUM(AO64:AO66,AO72)</f>
        <v>2540</v>
      </c>
      <c r="AP63" s="207">
        <f t="shared" si="323"/>
        <v>12781</v>
      </c>
      <c r="AQ63" s="207">
        <f t="shared" si="323"/>
        <v>2357</v>
      </c>
      <c r="AR63" s="207">
        <f t="shared" si="323"/>
        <v>7870</v>
      </c>
      <c r="AS63" s="207">
        <f t="shared" si="323"/>
        <v>9507</v>
      </c>
      <c r="AT63" s="207">
        <f t="shared" si="323"/>
        <v>2554</v>
      </c>
      <c r="AU63" s="207">
        <f t="shared" si="323"/>
        <v>16379</v>
      </c>
      <c r="AV63" s="207">
        <f t="shared" si="323"/>
        <v>3510</v>
      </c>
      <c r="AW63" s="207">
        <f t="shared" si="323"/>
        <v>-1054</v>
      </c>
      <c r="AX63" s="207">
        <f t="shared" si="323"/>
        <v>6026</v>
      </c>
      <c r="AY63" s="207">
        <f t="shared" si="323"/>
        <v>3733</v>
      </c>
      <c r="AZ63" s="243">
        <f t="shared" si="323"/>
        <v>1595</v>
      </c>
      <c r="BA63" s="243">
        <f>SUM(AO63:AZ63)</f>
        <v>67798</v>
      </c>
      <c r="BB63" s="207">
        <f t="shared" ref="BB63:BM63" si="324">SUM(BB64:BB66,BB72)</f>
        <v>21586</v>
      </c>
      <c r="BC63" s="207">
        <f t="shared" si="324"/>
        <v>2540</v>
      </c>
      <c r="BD63" s="207">
        <f t="shared" si="324"/>
        <v>579</v>
      </c>
      <c r="BE63" s="207">
        <f t="shared" si="324"/>
        <v>2626</v>
      </c>
      <c r="BF63" s="207">
        <f t="shared" si="324"/>
        <v>5080</v>
      </c>
      <c r="BG63" s="207">
        <f t="shared" si="324"/>
        <v>294</v>
      </c>
      <c r="BH63" s="207">
        <f t="shared" si="324"/>
        <v>4381</v>
      </c>
      <c r="BI63" s="207">
        <f t="shared" si="324"/>
        <v>4122</v>
      </c>
      <c r="BJ63" s="207">
        <f t="shared" si="324"/>
        <v>7140</v>
      </c>
      <c r="BK63" s="207">
        <f t="shared" si="324"/>
        <v>6116</v>
      </c>
      <c r="BL63" s="207">
        <f t="shared" si="324"/>
        <v>5395</v>
      </c>
      <c r="BM63" s="243">
        <f t="shared" si="324"/>
        <v>-829</v>
      </c>
      <c r="BN63" s="243">
        <f>SUM(BB63:BM63)</f>
        <v>59030</v>
      </c>
      <c r="BO63" s="207">
        <f t="shared" ref="BO63:BX63" si="325">SUM(BO64:BO66,BO72)</f>
        <v>2692</v>
      </c>
      <c r="BP63" s="207">
        <f t="shared" si="325"/>
        <v>14748.9</v>
      </c>
      <c r="BQ63" s="207">
        <f t="shared" si="325"/>
        <v>6971</v>
      </c>
      <c r="BR63" s="296">
        <f t="shared" si="325"/>
        <v>3493</v>
      </c>
      <c r="BS63" s="296">
        <f t="shared" si="325"/>
        <v>747</v>
      </c>
      <c r="BT63" s="296">
        <f t="shared" si="325"/>
        <v>409</v>
      </c>
      <c r="BU63" s="296">
        <f t="shared" si="325"/>
        <v>1570</v>
      </c>
      <c r="BV63" s="296">
        <f t="shared" si="325"/>
        <v>3220</v>
      </c>
      <c r="BW63" s="296">
        <f t="shared" si="325"/>
        <v>74773</v>
      </c>
      <c r="BX63" s="296">
        <f t="shared" si="325"/>
        <v>5978</v>
      </c>
      <c r="BY63" s="296">
        <f>SUM(BY64:BY66,BY72)</f>
        <v>4446</v>
      </c>
      <c r="BZ63" s="296">
        <f>SUM(BZ64:BZ66,BZ72)</f>
        <v>0</v>
      </c>
      <c r="CA63" s="297">
        <f>SUM(BO63:BZ63)</f>
        <v>119047.9</v>
      </c>
      <c r="CB63" s="296">
        <f t="shared" ref="CB63:CM63" si="326">SUM(CB64:CB66,CB72)</f>
        <v>4055</v>
      </c>
      <c r="CC63" s="296">
        <f t="shared" si="326"/>
        <v>41046</v>
      </c>
      <c r="CD63" s="296">
        <f t="shared" si="326"/>
        <v>5049</v>
      </c>
      <c r="CE63" s="296">
        <f t="shared" si="326"/>
        <v>11534</v>
      </c>
      <c r="CF63" s="296">
        <f t="shared" si="326"/>
        <v>4168</v>
      </c>
      <c r="CG63" s="296">
        <f t="shared" si="326"/>
        <v>5472</v>
      </c>
      <c r="CH63" s="296">
        <f t="shared" si="326"/>
        <v>7997</v>
      </c>
      <c r="CI63" s="296">
        <f t="shared" si="326"/>
        <v>5879</v>
      </c>
      <c r="CJ63" s="296">
        <f t="shared" si="326"/>
        <v>4794</v>
      </c>
      <c r="CK63" s="296">
        <f t="shared" si="326"/>
        <v>5278</v>
      </c>
      <c r="CL63" s="296">
        <f t="shared" si="326"/>
        <v>43252</v>
      </c>
      <c r="CM63" s="304">
        <f t="shared" si="326"/>
        <v>5371</v>
      </c>
      <c r="CN63" s="304">
        <f t="shared" ref="CN63:CN91" si="327">SUM(CB63:CM63)</f>
        <v>143895</v>
      </c>
      <c r="CO63" s="272">
        <f t="shared" ref="CO63:CW63" si="328">SUM(CO64:CO66,CO72)</f>
        <v>39471</v>
      </c>
      <c r="CP63" s="147">
        <f t="shared" si="328"/>
        <v>13136</v>
      </c>
      <c r="CQ63" s="147">
        <f t="shared" si="328"/>
        <v>64427</v>
      </c>
      <c r="CR63" s="147">
        <f t="shared" si="328"/>
        <v>19710</v>
      </c>
      <c r="CS63" s="147">
        <f t="shared" si="328"/>
        <v>21473</v>
      </c>
      <c r="CT63" s="147">
        <f t="shared" si="328"/>
        <v>29350</v>
      </c>
      <c r="CU63" s="147">
        <f t="shared" si="328"/>
        <v>29616</v>
      </c>
      <c r="CV63" s="147">
        <f t="shared" si="328"/>
        <v>28876</v>
      </c>
      <c r="CW63" s="147">
        <f t="shared" si="328"/>
        <v>38720</v>
      </c>
      <c r="CX63" s="147">
        <f>SUM(CX64:CX66,CX72)</f>
        <v>31366</v>
      </c>
      <c r="CY63" s="147">
        <f>SUM(CY64:CY66,CY72)</f>
        <v>44418</v>
      </c>
      <c r="CZ63" s="273">
        <f>SUM(CZ64:CZ66,CZ72)</f>
        <v>27987</v>
      </c>
      <c r="DA63" s="297">
        <f t="shared" ref="DA63:DA90" si="329">SUM(CO63:CZ63)</f>
        <v>388550</v>
      </c>
      <c r="DB63" s="272">
        <f t="shared" ref="DB63:DL63" si="330">SUM(DB64:DB66,DB72)</f>
        <v>32833</v>
      </c>
      <c r="DC63" s="147">
        <f t="shared" si="330"/>
        <v>35710</v>
      </c>
      <c r="DD63" s="147">
        <f t="shared" si="330"/>
        <v>62935</v>
      </c>
      <c r="DE63" s="147">
        <f t="shared" si="330"/>
        <v>105745</v>
      </c>
      <c r="DF63" s="147">
        <f t="shared" si="330"/>
        <v>32379</v>
      </c>
      <c r="DG63" s="147">
        <f t="shared" si="330"/>
        <v>-54761</v>
      </c>
      <c r="DH63" s="147">
        <f t="shared" si="330"/>
        <v>27554</v>
      </c>
      <c r="DI63" s="147">
        <f t="shared" si="330"/>
        <v>23067</v>
      </c>
      <c r="DJ63" s="147">
        <f t="shared" si="330"/>
        <v>23975</v>
      </c>
      <c r="DK63" s="147">
        <f t="shared" si="330"/>
        <v>69257</v>
      </c>
      <c r="DL63" s="147">
        <f t="shared" si="330"/>
        <v>45234</v>
      </c>
      <c r="DM63" s="273">
        <f>SUM(DM64:DM66,DM72)</f>
        <v>-1011</v>
      </c>
      <c r="DN63" s="147">
        <f t="shared" ref="DN63:DN91" si="331">SUM(DB63:DM63)</f>
        <v>402917</v>
      </c>
      <c r="DO63" s="272">
        <f>SUM(DO64:DO66,DO72)</f>
        <v>29187</v>
      </c>
      <c r="DP63" s="147">
        <f t="shared" ref="DP63:DZ63" si="332">SUM(DP64:DP66,DP72)</f>
        <v>95482</v>
      </c>
      <c r="DQ63" s="147">
        <f t="shared" si="332"/>
        <v>35120</v>
      </c>
      <c r="DR63" s="147">
        <f t="shared" si="332"/>
        <v>21725</v>
      </c>
      <c r="DS63" s="147">
        <f t="shared" si="332"/>
        <v>32899</v>
      </c>
      <c r="DT63" s="147">
        <f t="shared" si="332"/>
        <v>31231</v>
      </c>
      <c r="DU63" s="147">
        <f t="shared" si="332"/>
        <v>69994</v>
      </c>
      <c r="DV63" s="147">
        <f t="shared" si="332"/>
        <v>38186</v>
      </c>
      <c r="DW63" s="147">
        <f t="shared" si="332"/>
        <v>33743</v>
      </c>
      <c r="DX63" s="147">
        <f t="shared" si="332"/>
        <v>32924</v>
      </c>
      <c r="DY63" s="147">
        <f t="shared" si="332"/>
        <v>34871</v>
      </c>
      <c r="DZ63" s="273">
        <f t="shared" si="332"/>
        <v>21185</v>
      </c>
      <c r="EA63" s="273">
        <f t="shared" ref="EA63:EA91" si="333">SUM(DO63:DZ63)</f>
        <v>476547</v>
      </c>
      <c r="EB63" s="272">
        <f>SUM(EB64:EB66,EB72)</f>
        <v>38655</v>
      </c>
      <c r="EC63" s="147">
        <f t="shared" ref="EC63:EH63" si="334">SUM(EC64:EC66,EC72)</f>
        <v>98097</v>
      </c>
      <c r="ED63" s="147">
        <f t="shared" si="334"/>
        <v>33331</v>
      </c>
      <c r="EE63" s="147">
        <f t="shared" si="334"/>
        <v>31576</v>
      </c>
      <c r="EF63" s="147">
        <f t="shared" si="334"/>
        <v>29082</v>
      </c>
      <c r="EG63" s="147">
        <f t="shared" si="334"/>
        <v>34970</v>
      </c>
      <c r="EH63" s="147">
        <f t="shared" si="334"/>
        <v>74716</v>
      </c>
      <c r="EI63" s="147">
        <f>SUM(EI64:EI66,EI72)</f>
        <v>34022</v>
      </c>
      <c r="EJ63" s="147">
        <f>SUM(EJ64:EJ66,EJ72)</f>
        <v>33647</v>
      </c>
      <c r="EK63" s="147">
        <f>SUM(EK64:EK66,EK72)</f>
        <v>38212</v>
      </c>
      <c r="EL63" s="147">
        <f>SUM(EL64:EL66,EL72)</f>
        <v>37117</v>
      </c>
      <c r="EM63" s="273">
        <f>SUM(EM64:EM66,EM72)</f>
        <v>25351</v>
      </c>
      <c r="EN63" s="273">
        <f t="shared" ref="EN63:EN91" si="335">SUM(EB63:EM63)</f>
        <v>508776</v>
      </c>
      <c r="EO63" s="272">
        <f>SUM(EO64:EO66,EO72)</f>
        <v>63567</v>
      </c>
      <c r="EP63" s="147">
        <f>SUM(EP64:EP66,EP72)</f>
        <v>81389</v>
      </c>
      <c r="EQ63" s="147">
        <f>SUM(EQ64:EQ66,EQ72)</f>
        <v>29373</v>
      </c>
      <c r="ER63" s="147">
        <f>SUM(ER64:ER66,ER72)</f>
        <v>4679</v>
      </c>
      <c r="ES63" s="147">
        <f>SUM(ES64:ES66,ES72)</f>
        <v>33350</v>
      </c>
      <c r="ET63" s="147">
        <f t="shared" ref="ET63" si="336">SUM(ET64:ET66,ET72)</f>
        <v>4885</v>
      </c>
      <c r="EU63" s="147">
        <f>SUM(EU64:EU66,EU72)</f>
        <v>10765</v>
      </c>
      <c r="EV63" s="951">
        <f>SUM(EV64:EV66,EV72)</f>
        <v>98515</v>
      </c>
      <c r="EW63" s="147"/>
      <c r="EX63" s="147"/>
      <c r="EY63" s="147"/>
      <c r="EZ63" s="273"/>
      <c r="FA63" s="273"/>
      <c r="FC63" s="318">
        <f t="shared" ref="FC63:FC92" si="337">IFERROR(((EV63/EI63)-1)*100,"-")</f>
        <v>189.56263594144963</v>
      </c>
      <c r="FD63" s="259">
        <f>IFERROR(((FF63/FE63)-1)*100,"-")</f>
        <v>-12.799072770924747</v>
      </c>
      <c r="FE63" s="143">
        <f t="shared" ref="FE63:FE91" si="338">IFERROR(SUM(EB63:EI63),"-")</f>
        <v>374449</v>
      </c>
      <c r="FF63" s="143">
        <f t="shared" ref="FF63:FF91" si="339">IFERROR(SUM(EO63:EZ63),"-")</f>
        <v>326523</v>
      </c>
    </row>
    <row r="64" spans="1:162" ht="15" customHeight="1" x14ac:dyDescent="0.25">
      <c r="A64" s="138" t="s">
        <v>440</v>
      </c>
      <c r="B64" s="245"/>
      <c r="C64" s="205"/>
      <c r="D64" s="205"/>
      <c r="E64" s="205"/>
      <c r="F64" s="205"/>
      <c r="G64" s="205">
        <v>1448</v>
      </c>
      <c r="H64" s="205">
        <v>256</v>
      </c>
      <c r="I64" s="205"/>
      <c r="J64" s="205">
        <v>340</v>
      </c>
      <c r="K64" s="205"/>
      <c r="L64" s="205">
        <v>95</v>
      </c>
      <c r="M64" s="246">
        <v>120</v>
      </c>
      <c r="N64" s="246">
        <f t="shared" si="322"/>
        <v>2259</v>
      </c>
      <c r="O64" s="205">
        <v>72</v>
      </c>
      <c r="P64" s="205">
        <v>201</v>
      </c>
      <c r="Q64" s="205"/>
      <c r="R64" s="205"/>
      <c r="S64" s="205">
        <v>125</v>
      </c>
      <c r="T64" s="205">
        <v>262</v>
      </c>
      <c r="U64" s="205">
        <v>217</v>
      </c>
      <c r="V64" s="205"/>
      <c r="W64" s="205">
        <v>1114</v>
      </c>
      <c r="X64" s="205"/>
      <c r="Y64" s="205">
        <v>627</v>
      </c>
      <c r="Z64" s="246"/>
      <c r="AA64" s="205">
        <f>SUM(O64:Z64)</f>
        <v>2618</v>
      </c>
      <c r="AB64" s="245"/>
      <c r="AC64" s="205"/>
      <c r="AD64" s="205"/>
      <c r="AE64" s="205">
        <v>287</v>
      </c>
      <c r="AF64" s="205">
        <v>153</v>
      </c>
      <c r="AG64" s="205"/>
      <c r="AH64" s="205">
        <v>465</v>
      </c>
      <c r="AI64" s="205">
        <v>165</v>
      </c>
      <c r="AJ64" s="205">
        <v>358</v>
      </c>
      <c r="AK64" s="205">
        <v>85</v>
      </c>
      <c r="AL64" s="205">
        <v>221</v>
      </c>
      <c r="AM64" s="205">
        <v>243</v>
      </c>
      <c r="AN64" s="202">
        <f>SUM(AB64:AM64)</f>
        <v>1977</v>
      </c>
      <c r="AO64" s="24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46"/>
      <c r="BA64" s="246">
        <f>SUM(AO64:AZ64)</f>
        <v>0</v>
      </c>
      <c r="BB64" s="205"/>
      <c r="BC64" s="205"/>
      <c r="BD64" s="205"/>
      <c r="BE64" s="205"/>
      <c r="BF64" s="205"/>
      <c r="BG64" s="205"/>
      <c r="BH64" s="205">
        <v>1</v>
      </c>
      <c r="BI64" s="205"/>
      <c r="BJ64" s="205"/>
      <c r="BK64" s="205"/>
      <c r="BL64" s="205"/>
      <c r="BM64" s="246"/>
      <c r="BN64" s="246">
        <f>SUM(BB64:BM64)</f>
        <v>1</v>
      </c>
      <c r="BO64" s="205"/>
      <c r="BP64" s="205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50">
        <f>SUM(BO64:BZ64)</f>
        <v>0</v>
      </c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70"/>
      <c r="CN64" s="170">
        <f t="shared" si="327"/>
        <v>0</v>
      </c>
      <c r="CO64" s="162"/>
      <c r="CP64" s="151"/>
      <c r="CQ64" s="151"/>
      <c r="CR64" s="151"/>
      <c r="CS64" s="151"/>
      <c r="CT64" s="151"/>
      <c r="CU64" s="151"/>
      <c r="CV64" s="151"/>
      <c r="CW64" s="151"/>
      <c r="CX64" s="151"/>
      <c r="CY64" s="151"/>
      <c r="CZ64" s="241"/>
      <c r="DA64" s="150">
        <f t="shared" si="329"/>
        <v>0</v>
      </c>
      <c r="DB64" s="162"/>
      <c r="DC64" s="151"/>
      <c r="DD64" s="151"/>
      <c r="DE64" s="151"/>
      <c r="DF64" s="151"/>
      <c r="DG64" s="151"/>
      <c r="DH64" s="151"/>
      <c r="DI64" s="151"/>
      <c r="DJ64" s="151"/>
      <c r="DK64" s="151"/>
      <c r="DL64" s="151"/>
      <c r="DM64" s="241"/>
      <c r="DN64" s="151">
        <f t="shared" si="331"/>
        <v>0</v>
      </c>
      <c r="DO64" s="162"/>
      <c r="DP64" s="151"/>
      <c r="DQ64" s="151"/>
      <c r="DR64" s="151"/>
      <c r="DS64" s="151"/>
      <c r="DT64" s="151"/>
      <c r="DU64" s="151"/>
      <c r="DV64" s="151"/>
      <c r="DW64" s="151"/>
      <c r="DX64" s="151"/>
      <c r="DY64" s="151"/>
      <c r="DZ64" s="241"/>
      <c r="EA64" s="241">
        <f t="shared" si="333"/>
        <v>0</v>
      </c>
      <c r="EB64" s="162">
        <v>0</v>
      </c>
      <c r="EC64" s="151">
        <v>0</v>
      </c>
      <c r="ED64" s="151">
        <v>0</v>
      </c>
      <c r="EE64" s="151">
        <v>0</v>
      </c>
      <c r="EF64" s="151">
        <v>0</v>
      </c>
      <c r="EG64" s="151">
        <v>0</v>
      </c>
      <c r="EH64" s="151">
        <v>1248</v>
      </c>
      <c r="EI64" s="151">
        <v>0</v>
      </c>
      <c r="EJ64" s="151">
        <v>0</v>
      </c>
      <c r="EK64" s="151">
        <v>0</v>
      </c>
      <c r="EL64" s="151">
        <v>0</v>
      </c>
      <c r="EM64" s="241">
        <v>0</v>
      </c>
      <c r="EN64" s="241">
        <f t="shared" si="335"/>
        <v>1248</v>
      </c>
      <c r="EO64" s="162">
        <v>0</v>
      </c>
      <c r="EP64" s="151">
        <v>0</v>
      </c>
      <c r="EQ64" s="151">
        <v>0</v>
      </c>
      <c r="ER64" s="151">
        <v>0</v>
      </c>
      <c r="ES64" s="151">
        <v>0</v>
      </c>
      <c r="ET64" s="151">
        <v>0</v>
      </c>
      <c r="EU64" s="151">
        <v>0</v>
      </c>
      <c r="EV64" s="950">
        <v>0</v>
      </c>
      <c r="EW64" s="151"/>
      <c r="EX64" s="151"/>
      <c r="EY64" s="151"/>
      <c r="EZ64" s="241"/>
      <c r="FA64" s="241"/>
      <c r="FC64" s="316" t="str">
        <f t="shared" si="337"/>
        <v>-</v>
      </c>
      <c r="FD64" s="264">
        <f t="shared" ref="FD64:FD90" si="340">IFERROR(((FF64/FE64)-1)*100,"-")</f>
        <v>-100</v>
      </c>
      <c r="FE64" s="148">
        <f t="shared" si="338"/>
        <v>1248</v>
      </c>
      <c r="FF64" s="148">
        <f t="shared" si="339"/>
        <v>0</v>
      </c>
    </row>
    <row r="65" spans="1:162" ht="15" customHeight="1" x14ac:dyDescent="0.25">
      <c r="A65" s="138" t="s">
        <v>441</v>
      </c>
      <c r="B65" s="24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46"/>
      <c r="N65" s="246">
        <f t="shared" si="322"/>
        <v>0</v>
      </c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46"/>
      <c r="AA65" s="205">
        <f t="shared" ref="AA65:AA71" si="341">SUM(O65:Z65)</f>
        <v>0</v>
      </c>
      <c r="AB65" s="245"/>
      <c r="AC65" s="205"/>
      <c r="AD65" s="205"/>
      <c r="AE65" s="205"/>
      <c r="AF65" s="205"/>
      <c r="AG65" s="205"/>
      <c r="AH65" s="205">
        <v>967</v>
      </c>
      <c r="AI65" s="205">
        <v>323</v>
      </c>
      <c r="AJ65" s="205"/>
      <c r="AK65" s="205"/>
      <c r="AL65" s="205"/>
      <c r="AM65" s="205"/>
      <c r="AN65" s="202">
        <f t="shared" ref="AN65:AN71" si="342">SUM(AB65:AM65)</f>
        <v>1290</v>
      </c>
      <c r="AO65" s="245"/>
      <c r="AP65" s="205"/>
      <c r="AQ65" s="205"/>
      <c r="AR65" s="205"/>
      <c r="AS65" s="205">
        <v>336</v>
      </c>
      <c r="AT65" s="205">
        <v>641</v>
      </c>
      <c r="AU65" s="205"/>
      <c r="AV65" s="205">
        <v>36</v>
      </c>
      <c r="AW65" s="205">
        <v>-458</v>
      </c>
      <c r="AX65" s="205">
        <v>305</v>
      </c>
      <c r="AY65" s="205">
        <v>237</v>
      </c>
      <c r="AZ65" s="246">
        <v>288</v>
      </c>
      <c r="BA65" s="246">
        <f t="shared" ref="BA65:BA71" si="343">SUM(AO65:AZ65)</f>
        <v>1385</v>
      </c>
      <c r="BB65" s="205"/>
      <c r="BC65" s="205"/>
      <c r="BD65" s="205"/>
      <c r="BE65" s="205">
        <v>148</v>
      </c>
      <c r="BF65" s="205">
        <v>442</v>
      </c>
      <c r="BG65" s="205"/>
      <c r="BH65" s="205">
        <v>486</v>
      </c>
      <c r="BI65" s="205">
        <v>264</v>
      </c>
      <c r="BJ65" s="205">
        <v>373</v>
      </c>
      <c r="BK65" s="205"/>
      <c r="BL65" s="205">
        <v>106</v>
      </c>
      <c r="BM65" s="246">
        <v>190</v>
      </c>
      <c r="BN65" s="246">
        <f t="shared" ref="BN65:BN71" si="344">SUM(BB65:BM65)</f>
        <v>2009</v>
      </c>
      <c r="BO65" s="205"/>
      <c r="BP65" s="205"/>
      <c r="BQ65" s="169"/>
      <c r="BR65" s="169"/>
      <c r="BS65" s="169">
        <v>240</v>
      </c>
      <c r="BT65" s="169">
        <v>20</v>
      </c>
      <c r="BU65" s="169">
        <v>540</v>
      </c>
      <c r="BV65" s="169">
        <v>275</v>
      </c>
      <c r="BW65" s="169">
        <v>916</v>
      </c>
      <c r="BX65" s="169">
        <v>505</v>
      </c>
      <c r="BY65" s="169">
        <v>79</v>
      </c>
      <c r="BZ65" s="169"/>
      <c r="CA65" s="150">
        <f t="shared" ref="CA65:CA91" si="345">SUM(BO65:BZ65)</f>
        <v>2575</v>
      </c>
      <c r="CB65" s="169"/>
      <c r="CC65" s="169">
        <v>120</v>
      </c>
      <c r="CD65" s="169">
        <v>100</v>
      </c>
      <c r="CE65" s="169">
        <v>274</v>
      </c>
      <c r="CF65" s="169"/>
      <c r="CG65" s="169">
        <v>114</v>
      </c>
      <c r="CH65" s="169">
        <v>20</v>
      </c>
      <c r="CI65" s="169">
        <v>90</v>
      </c>
      <c r="CJ65" s="169">
        <v>129</v>
      </c>
      <c r="CK65" s="169"/>
      <c r="CL65" s="169">
        <v>91</v>
      </c>
      <c r="CM65" s="170">
        <v>4</v>
      </c>
      <c r="CN65" s="170">
        <f t="shared" si="327"/>
        <v>942</v>
      </c>
      <c r="CO65" s="162"/>
      <c r="CP65" s="151"/>
      <c r="CQ65" s="151">
        <v>39</v>
      </c>
      <c r="CR65" s="151"/>
      <c r="CS65" s="151"/>
      <c r="CT65" s="151"/>
      <c r="CU65" s="151">
        <v>24</v>
      </c>
      <c r="CV65" s="151">
        <v>53</v>
      </c>
      <c r="CW65" s="151">
        <v>19</v>
      </c>
      <c r="CX65" s="151">
        <v>237</v>
      </c>
      <c r="CY65" s="151"/>
      <c r="CZ65" s="241"/>
      <c r="DA65" s="150">
        <f t="shared" si="329"/>
        <v>372</v>
      </c>
      <c r="DB65" s="162"/>
      <c r="DC65" s="151"/>
      <c r="DD65" s="151">
        <v>40</v>
      </c>
      <c r="DE65" s="151"/>
      <c r="DF65" s="151"/>
      <c r="DG65" s="151"/>
      <c r="DH65" s="151">
        <v>33</v>
      </c>
      <c r="DI65" s="151">
        <v>21</v>
      </c>
      <c r="DJ65" s="151"/>
      <c r="DK65" s="151">
        <v>94</v>
      </c>
      <c r="DL65" s="151">
        <v>11</v>
      </c>
      <c r="DM65" s="241"/>
      <c r="DN65" s="151">
        <f t="shared" si="331"/>
        <v>199</v>
      </c>
      <c r="DO65" s="162"/>
      <c r="DP65" s="151">
        <v>54</v>
      </c>
      <c r="DQ65" s="151"/>
      <c r="DR65" s="151"/>
      <c r="DS65" s="151"/>
      <c r="DT65" s="151"/>
      <c r="DU65" s="151"/>
      <c r="DV65" s="151"/>
      <c r="DW65" s="151">
        <v>76</v>
      </c>
      <c r="DX65" s="151">
        <v>36</v>
      </c>
      <c r="DY65" s="151"/>
      <c r="DZ65" s="241"/>
      <c r="EA65" s="241">
        <f t="shared" si="333"/>
        <v>166</v>
      </c>
      <c r="EB65" s="162">
        <v>0</v>
      </c>
      <c r="EC65" s="151">
        <v>0</v>
      </c>
      <c r="ED65" s="151">
        <v>0</v>
      </c>
      <c r="EE65" s="151">
        <v>0</v>
      </c>
      <c r="EF65" s="151">
        <v>0</v>
      </c>
      <c r="EG65" s="151">
        <v>0</v>
      </c>
      <c r="EH65" s="151">
        <v>0</v>
      </c>
      <c r="EI65" s="151">
        <v>68</v>
      </c>
      <c r="EJ65" s="151">
        <v>0</v>
      </c>
      <c r="EK65" s="151">
        <v>0</v>
      </c>
      <c r="EL65" s="151">
        <v>14</v>
      </c>
      <c r="EM65" s="241">
        <v>0</v>
      </c>
      <c r="EN65" s="241">
        <f t="shared" si="335"/>
        <v>82</v>
      </c>
      <c r="EO65" s="162">
        <v>0</v>
      </c>
      <c r="EP65" s="151">
        <v>0</v>
      </c>
      <c r="EQ65" s="151">
        <v>0</v>
      </c>
      <c r="ER65" s="151">
        <v>0</v>
      </c>
      <c r="ES65" s="151">
        <v>0</v>
      </c>
      <c r="ET65" s="151">
        <v>0</v>
      </c>
      <c r="EU65" s="151">
        <v>57</v>
      </c>
      <c r="EV65" s="950">
        <v>0</v>
      </c>
      <c r="EW65" s="151"/>
      <c r="EX65" s="151"/>
      <c r="EY65" s="151"/>
      <c r="EZ65" s="241"/>
      <c r="FA65" s="241"/>
      <c r="FC65" s="316">
        <f t="shared" si="337"/>
        <v>-100</v>
      </c>
      <c r="FD65" s="264">
        <f t="shared" si="340"/>
        <v>-16.176470588235293</v>
      </c>
      <c r="FE65" s="148">
        <f t="shared" si="338"/>
        <v>68</v>
      </c>
      <c r="FF65" s="148">
        <f t="shared" si="339"/>
        <v>57</v>
      </c>
    </row>
    <row r="66" spans="1:162" ht="15" customHeight="1" x14ac:dyDescent="0.25">
      <c r="A66" s="217" t="s">
        <v>442</v>
      </c>
      <c r="B66" s="298">
        <f t="shared" ref="B66:AM66" si="346">SUM(B67:B71)</f>
        <v>0</v>
      </c>
      <c r="C66" s="299">
        <f t="shared" si="346"/>
        <v>0</v>
      </c>
      <c r="D66" s="299">
        <f t="shared" si="346"/>
        <v>16786</v>
      </c>
      <c r="E66" s="299">
        <f t="shared" si="346"/>
        <v>125</v>
      </c>
      <c r="F66" s="299">
        <f t="shared" si="346"/>
        <v>1366</v>
      </c>
      <c r="G66" s="299">
        <f t="shared" si="346"/>
        <v>886</v>
      </c>
      <c r="H66" s="299">
        <f t="shared" si="346"/>
        <v>1567</v>
      </c>
      <c r="I66" s="299">
        <f t="shared" si="346"/>
        <v>2027</v>
      </c>
      <c r="J66" s="299">
        <f t="shared" si="346"/>
        <v>1417</v>
      </c>
      <c r="K66" s="299">
        <f t="shared" si="346"/>
        <v>37</v>
      </c>
      <c r="L66" s="299">
        <f t="shared" si="346"/>
        <v>2654</v>
      </c>
      <c r="M66" s="300">
        <f t="shared" si="346"/>
        <v>1169</v>
      </c>
      <c r="N66" s="300">
        <f t="shared" si="322"/>
        <v>28034</v>
      </c>
      <c r="O66" s="299">
        <f t="shared" si="346"/>
        <v>3421</v>
      </c>
      <c r="P66" s="299">
        <f t="shared" si="346"/>
        <v>4957</v>
      </c>
      <c r="Q66" s="299">
        <f t="shared" si="346"/>
        <v>2622</v>
      </c>
      <c r="R66" s="299">
        <f t="shared" si="346"/>
        <v>4087</v>
      </c>
      <c r="S66" s="299">
        <f t="shared" si="346"/>
        <v>446</v>
      </c>
      <c r="T66" s="299">
        <f t="shared" si="346"/>
        <v>-524</v>
      </c>
      <c r="U66" s="299">
        <f t="shared" si="346"/>
        <v>2530</v>
      </c>
      <c r="V66" s="299">
        <f t="shared" si="346"/>
        <v>512</v>
      </c>
      <c r="W66" s="299">
        <f t="shared" si="346"/>
        <v>257</v>
      </c>
      <c r="X66" s="299">
        <f t="shared" si="346"/>
        <v>673</v>
      </c>
      <c r="Y66" s="299">
        <f t="shared" si="346"/>
        <v>1415</v>
      </c>
      <c r="Z66" s="300">
        <f t="shared" si="346"/>
        <v>2020</v>
      </c>
      <c r="AA66" s="299">
        <f t="shared" si="341"/>
        <v>22416</v>
      </c>
      <c r="AB66" s="298">
        <f t="shared" si="346"/>
        <v>175</v>
      </c>
      <c r="AC66" s="299">
        <f t="shared" si="346"/>
        <v>3148</v>
      </c>
      <c r="AD66" s="299">
        <f t="shared" si="346"/>
        <v>9475</v>
      </c>
      <c r="AE66" s="299">
        <f t="shared" si="346"/>
        <v>0</v>
      </c>
      <c r="AF66" s="299">
        <f t="shared" si="346"/>
        <v>0</v>
      </c>
      <c r="AG66" s="299">
        <f t="shared" si="346"/>
        <v>3211</v>
      </c>
      <c r="AH66" s="299">
        <f t="shared" si="346"/>
        <v>540</v>
      </c>
      <c r="AI66" s="299">
        <f t="shared" si="346"/>
        <v>3792</v>
      </c>
      <c r="AJ66" s="299">
        <f t="shared" si="346"/>
        <v>0</v>
      </c>
      <c r="AK66" s="299">
        <f t="shared" si="346"/>
        <v>5453</v>
      </c>
      <c r="AL66" s="299">
        <f t="shared" si="346"/>
        <v>3991</v>
      </c>
      <c r="AM66" s="299">
        <f t="shared" si="346"/>
        <v>2583</v>
      </c>
      <c r="AN66" s="257">
        <f t="shared" si="342"/>
        <v>32368</v>
      </c>
      <c r="AO66" s="298">
        <f t="shared" ref="AO66:AZ66" si="347">SUM(AO67:AO71)</f>
        <v>1208</v>
      </c>
      <c r="AP66" s="299">
        <f t="shared" si="347"/>
        <v>9651</v>
      </c>
      <c r="AQ66" s="299">
        <f t="shared" si="347"/>
        <v>-35</v>
      </c>
      <c r="AR66" s="299">
        <f t="shared" si="347"/>
        <v>5412</v>
      </c>
      <c r="AS66" s="299">
        <f t="shared" si="347"/>
        <v>7239</v>
      </c>
      <c r="AT66" s="299">
        <f t="shared" si="347"/>
        <v>-240</v>
      </c>
      <c r="AU66" s="299">
        <f t="shared" si="347"/>
        <v>14627</v>
      </c>
      <c r="AV66" s="299">
        <f t="shared" si="347"/>
        <v>1246</v>
      </c>
      <c r="AW66" s="299">
        <f t="shared" si="347"/>
        <v>-596</v>
      </c>
      <c r="AX66" s="299">
        <f t="shared" si="347"/>
        <v>558</v>
      </c>
      <c r="AY66" s="299">
        <f t="shared" si="347"/>
        <v>0</v>
      </c>
      <c r="AZ66" s="300">
        <f t="shared" si="347"/>
        <v>-1399</v>
      </c>
      <c r="BA66" s="300">
        <f t="shared" si="343"/>
        <v>37671</v>
      </c>
      <c r="BB66" s="299">
        <f t="shared" ref="BB66:BH66" si="348">SUM(BB67:BB71)</f>
        <v>18979</v>
      </c>
      <c r="BC66" s="299">
        <f t="shared" si="348"/>
        <v>0</v>
      </c>
      <c r="BD66" s="299">
        <f t="shared" si="348"/>
        <v>400</v>
      </c>
      <c r="BE66" s="299">
        <f t="shared" si="348"/>
        <v>367</v>
      </c>
      <c r="BF66" s="299">
        <f t="shared" si="348"/>
        <v>582</v>
      </c>
      <c r="BG66" s="299">
        <f t="shared" si="348"/>
        <v>294</v>
      </c>
      <c r="BH66" s="299">
        <f t="shared" si="348"/>
        <v>1334</v>
      </c>
      <c r="BI66" s="299">
        <v>83</v>
      </c>
      <c r="BJ66" s="299">
        <f>SUM(BJ67:BJ71)</f>
        <v>2042</v>
      </c>
      <c r="BK66" s="299">
        <f>SUM(BK67:BK71)</f>
        <v>827</v>
      </c>
      <c r="BL66" s="299">
        <f>SUM(BL67:BL71)</f>
        <v>2011</v>
      </c>
      <c r="BM66" s="300">
        <f>SUM(BM67:BM71)</f>
        <v>583</v>
      </c>
      <c r="BN66" s="300">
        <f t="shared" si="344"/>
        <v>27502</v>
      </c>
      <c r="BO66" s="299">
        <f t="shared" ref="BO66:BZ66" si="349">SUM(BO67:BO71)</f>
        <v>651</v>
      </c>
      <c r="BP66" s="299">
        <f t="shared" si="349"/>
        <v>14259</v>
      </c>
      <c r="BQ66" s="413">
        <f t="shared" si="349"/>
        <v>1633</v>
      </c>
      <c r="BR66" s="413">
        <f t="shared" si="349"/>
        <v>2591</v>
      </c>
      <c r="BS66" s="413">
        <f t="shared" si="349"/>
        <v>130</v>
      </c>
      <c r="BT66" s="413">
        <f t="shared" si="349"/>
        <v>116</v>
      </c>
      <c r="BU66" s="413">
        <f t="shared" si="349"/>
        <v>319</v>
      </c>
      <c r="BV66" s="413">
        <f t="shared" si="349"/>
        <v>1355</v>
      </c>
      <c r="BW66" s="413">
        <f t="shared" si="349"/>
        <v>6235</v>
      </c>
      <c r="BX66" s="413">
        <f t="shared" si="349"/>
        <v>211</v>
      </c>
      <c r="BY66" s="413">
        <f t="shared" si="349"/>
        <v>2949</v>
      </c>
      <c r="BZ66" s="413">
        <f t="shared" si="349"/>
        <v>0</v>
      </c>
      <c r="CA66" s="269">
        <f t="shared" si="345"/>
        <v>30449</v>
      </c>
      <c r="CB66" s="413">
        <f>SUM(CB67:CB71)</f>
        <v>804</v>
      </c>
      <c r="CC66" s="413">
        <f t="shared" ref="CC66:CM66" si="350">SUM(CC67:CC71)</f>
        <v>13555</v>
      </c>
      <c r="CD66" s="413">
        <f t="shared" si="350"/>
        <v>1559</v>
      </c>
      <c r="CE66" s="413">
        <f t="shared" si="350"/>
        <v>109</v>
      </c>
      <c r="CF66" s="413">
        <f t="shared" si="350"/>
        <v>1461</v>
      </c>
      <c r="CG66" s="413">
        <f t="shared" si="350"/>
        <v>1860</v>
      </c>
      <c r="CH66" s="413">
        <f t="shared" si="350"/>
        <v>4365</v>
      </c>
      <c r="CI66" s="413">
        <f t="shared" si="350"/>
        <v>1486</v>
      </c>
      <c r="CJ66" s="413">
        <f t="shared" si="350"/>
        <v>905</v>
      </c>
      <c r="CK66" s="413">
        <f t="shared" si="350"/>
        <v>1093</v>
      </c>
      <c r="CL66" s="413">
        <f t="shared" si="350"/>
        <v>5379</v>
      </c>
      <c r="CM66" s="266">
        <f t="shared" si="350"/>
        <v>797</v>
      </c>
      <c r="CN66" s="266">
        <f t="shared" si="327"/>
        <v>33373</v>
      </c>
      <c r="CO66" s="267">
        <f t="shared" ref="CO66:CZ66" si="351">SUM(CO67:CO71)</f>
        <v>0</v>
      </c>
      <c r="CP66" s="229">
        <f t="shared" si="351"/>
        <v>809</v>
      </c>
      <c r="CQ66" s="229">
        <f t="shared" si="351"/>
        <v>19079</v>
      </c>
      <c r="CR66" s="229">
        <f t="shared" si="351"/>
        <v>868</v>
      </c>
      <c r="CS66" s="229">
        <f t="shared" si="351"/>
        <v>93</v>
      </c>
      <c r="CT66" s="229">
        <f t="shared" si="351"/>
        <v>2195</v>
      </c>
      <c r="CU66" s="229">
        <f t="shared" si="351"/>
        <v>2000</v>
      </c>
      <c r="CV66" s="229">
        <f t="shared" si="351"/>
        <v>3143</v>
      </c>
      <c r="CW66" s="229">
        <f t="shared" si="351"/>
        <v>5813</v>
      </c>
      <c r="CX66" s="229">
        <f t="shared" si="351"/>
        <v>925</v>
      </c>
      <c r="CY66" s="229">
        <f t="shared" si="351"/>
        <v>7333</v>
      </c>
      <c r="CZ66" s="268">
        <f t="shared" si="351"/>
        <v>956</v>
      </c>
      <c r="DA66" s="269">
        <f t="shared" si="329"/>
        <v>43214</v>
      </c>
      <c r="DB66" s="267">
        <f t="shared" ref="DB66:DM66" si="352">SUM(DB67:DB71)</f>
        <v>7730</v>
      </c>
      <c r="DC66" s="229">
        <f t="shared" si="352"/>
        <v>10870</v>
      </c>
      <c r="DD66" s="229">
        <f t="shared" si="352"/>
        <v>3078</v>
      </c>
      <c r="DE66" s="229">
        <f t="shared" si="352"/>
        <v>1393</v>
      </c>
      <c r="DF66" s="229">
        <f t="shared" si="352"/>
        <v>2793</v>
      </c>
      <c r="DG66" s="229">
        <f t="shared" si="352"/>
        <v>170</v>
      </c>
      <c r="DH66" s="229">
        <f t="shared" si="352"/>
        <v>697</v>
      </c>
      <c r="DI66" s="229">
        <f t="shared" si="352"/>
        <v>1430</v>
      </c>
      <c r="DJ66" s="229">
        <f t="shared" si="352"/>
        <v>0</v>
      </c>
      <c r="DK66" s="229">
        <f t="shared" si="352"/>
        <v>296</v>
      </c>
      <c r="DL66" s="229">
        <f t="shared" si="352"/>
        <v>4395</v>
      </c>
      <c r="DM66" s="268">
        <f t="shared" si="352"/>
        <v>1842</v>
      </c>
      <c r="DN66" s="229">
        <f t="shared" si="331"/>
        <v>34694</v>
      </c>
      <c r="DO66" s="267">
        <f t="shared" ref="DO66:DZ66" si="353">SUM(DO67:DO71)</f>
        <v>0</v>
      </c>
      <c r="DP66" s="229">
        <f t="shared" si="353"/>
        <v>25302</v>
      </c>
      <c r="DQ66" s="229">
        <f t="shared" si="353"/>
        <v>1345</v>
      </c>
      <c r="DR66" s="229">
        <f t="shared" si="353"/>
        <v>606</v>
      </c>
      <c r="DS66" s="229">
        <f t="shared" si="353"/>
        <v>2482</v>
      </c>
      <c r="DT66" s="229">
        <f t="shared" si="353"/>
        <v>0</v>
      </c>
      <c r="DU66" s="229">
        <f t="shared" si="353"/>
        <v>103</v>
      </c>
      <c r="DV66" s="229">
        <f t="shared" si="353"/>
        <v>2255</v>
      </c>
      <c r="DW66" s="229">
        <f t="shared" si="353"/>
        <v>1675</v>
      </c>
      <c r="DX66" s="229">
        <f t="shared" si="353"/>
        <v>404</v>
      </c>
      <c r="DY66" s="229">
        <f t="shared" si="353"/>
        <v>424</v>
      </c>
      <c r="DZ66" s="268">
        <f t="shared" si="353"/>
        <v>1597</v>
      </c>
      <c r="EA66" s="268">
        <f t="shared" si="333"/>
        <v>36193</v>
      </c>
      <c r="EB66" s="267">
        <f t="shared" ref="EB66:EH66" si="354">SUM(EB67:EB71)</f>
        <v>1297</v>
      </c>
      <c r="EC66" s="229">
        <f t="shared" si="354"/>
        <v>15936</v>
      </c>
      <c r="ED66" s="229">
        <f t="shared" si="354"/>
        <v>1917</v>
      </c>
      <c r="EE66" s="229">
        <f t="shared" si="354"/>
        <v>0</v>
      </c>
      <c r="EF66" s="229">
        <f t="shared" si="354"/>
        <v>0</v>
      </c>
      <c r="EG66" s="229">
        <f t="shared" si="354"/>
        <v>3967</v>
      </c>
      <c r="EH66" s="229">
        <f t="shared" si="354"/>
        <v>0</v>
      </c>
      <c r="EI66" s="229">
        <f>SUM(EI67:EI71)</f>
        <v>464</v>
      </c>
      <c r="EJ66" s="229">
        <f>SUM(EJ67:EJ71)</f>
        <v>1421</v>
      </c>
      <c r="EK66" s="229">
        <f>SUM(EK67:EK71)</f>
        <v>0</v>
      </c>
      <c r="EL66" s="229">
        <f>SUM(EL67:EL71)</f>
        <v>2967</v>
      </c>
      <c r="EM66" s="268">
        <f>SUM(EM67:EM71)</f>
        <v>1553</v>
      </c>
      <c r="EN66" s="268">
        <f t="shared" si="335"/>
        <v>29522</v>
      </c>
      <c r="EO66" s="267">
        <f>SUM(EO67:EO71)</f>
        <v>27739</v>
      </c>
      <c r="EP66" s="229">
        <f>SUM(EP67:EP71)</f>
        <v>0</v>
      </c>
      <c r="EQ66" s="229">
        <f>SUM(EQ67:EQ71)</f>
        <v>586</v>
      </c>
      <c r="ER66" s="229">
        <f>SUM(ER67:ER71)</f>
        <v>0</v>
      </c>
      <c r="ES66" s="229">
        <f>SUM(ES67:ES71)</f>
        <v>742</v>
      </c>
      <c r="ET66" s="229">
        <f t="shared" ref="ET66:EU66" si="355">SUM(ET67:ET71)</f>
        <v>0</v>
      </c>
      <c r="EU66" s="229">
        <f t="shared" si="355"/>
        <v>1583</v>
      </c>
      <c r="EV66" s="952">
        <v>1808</v>
      </c>
      <c r="EW66" s="229"/>
      <c r="EX66" s="229"/>
      <c r="EY66" s="229"/>
      <c r="EZ66" s="268"/>
      <c r="FA66" s="268"/>
      <c r="FC66" s="317">
        <f t="shared" si="337"/>
        <v>289.65517241379308</v>
      </c>
      <c r="FD66" s="301">
        <f t="shared" si="340"/>
        <v>37.644713964632537</v>
      </c>
      <c r="FE66" s="145">
        <f t="shared" si="338"/>
        <v>23581</v>
      </c>
      <c r="FF66" s="145">
        <f t="shared" si="339"/>
        <v>32458</v>
      </c>
    </row>
    <row r="67" spans="1:162" ht="15" customHeight="1" x14ac:dyDescent="0.25">
      <c r="A67" s="138" t="s">
        <v>443</v>
      </c>
      <c r="B67" s="245"/>
      <c r="C67" s="205"/>
      <c r="D67" s="205">
        <v>16786</v>
      </c>
      <c r="E67" s="205">
        <v>125</v>
      </c>
      <c r="F67" s="205">
        <v>1233</v>
      </c>
      <c r="G67" s="205">
        <v>757</v>
      </c>
      <c r="H67" s="205">
        <v>1827</v>
      </c>
      <c r="I67" s="205">
        <v>1917</v>
      </c>
      <c r="J67" s="205">
        <v>1417</v>
      </c>
      <c r="K67" s="205">
        <v>37</v>
      </c>
      <c r="L67" s="205">
        <v>1514</v>
      </c>
      <c r="M67" s="246">
        <v>1325</v>
      </c>
      <c r="N67" s="246">
        <f t="shared" si="322"/>
        <v>26938</v>
      </c>
      <c r="O67" s="205">
        <v>3421</v>
      </c>
      <c r="P67" s="205">
        <v>4957</v>
      </c>
      <c r="Q67" s="205">
        <v>2622</v>
      </c>
      <c r="R67" s="205">
        <v>4087</v>
      </c>
      <c r="S67" s="205">
        <v>446</v>
      </c>
      <c r="T67" s="205">
        <v>-524</v>
      </c>
      <c r="U67" s="205">
        <v>2298</v>
      </c>
      <c r="V67" s="205">
        <v>388</v>
      </c>
      <c r="W67" s="205">
        <v>94</v>
      </c>
      <c r="X67" s="205">
        <v>9</v>
      </c>
      <c r="Y67" s="205">
        <v>1343</v>
      </c>
      <c r="Z67" s="246">
        <v>1533</v>
      </c>
      <c r="AA67" s="205">
        <f t="shared" si="341"/>
        <v>20674</v>
      </c>
      <c r="AB67" s="245">
        <v>175</v>
      </c>
      <c r="AC67" s="205">
        <v>3148</v>
      </c>
      <c r="AD67" s="205">
        <v>9475</v>
      </c>
      <c r="AE67" s="205"/>
      <c r="AF67" s="205"/>
      <c r="AG67" s="205">
        <v>3211</v>
      </c>
      <c r="AH67" s="205">
        <v>200</v>
      </c>
      <c r="AI67" s="205">
        <v>2766</v>
      </c>
      <c r="AJ67" s="205"/>
      <c r="AK67" s="205">
        <v>5453</v>
      </c>
      <c r="AL67" s="205">
        <v>3903</v>
      </c>
      <c r="AM67" s="205">
        <v>155</v>
      </c>
      <c r="AN67" s="202">
        <f t="shared" si="342"/>
        <v>28486</v>
      </c>
      <c r="AO67" s="245"/>
      <c r="AP67" s="205">
        <v>9252</v>
      </c>
      <c r="AQ67" s="205"/>
      <c r="AR67" s="205">
        <v>5412</v>
      </c>
      <c r="AS67" s="205">
        <v>7239</v>
      </c>
      <c r="AT67" s="205">
        <v>-240</v>
      </c>
      <c r="AU67" s="205">
        <v>11145</v>
      </c>
      <c r="AV67" s="205">
        <v>783</v>
      </c>
      <c r="AW67" s="205">
        <v>-596</v>
      </c>
      <c r="AX67" s="205">
        <v>438</v>
      </c>
      <c r="AY67" s="205"/>
      <c r="AZ67" s="246">
        <v>-1399</v>
      </c>
      <c r="BA67" s="246">
        <f t="shared" si="343"/>
        <v>32034</v>
      </c>
      <c r="BB67" s="205">
        <v>18979</v>
      </c>
      <c r="BC67" s="205"/>
      <c r="BD67" s="205">
        <v>400</v>
      </c>
      <c r="BE67" s="205">
        <v>367</v>
      </c>
      <c r="BF67" s="205">
        <v>582</v>
      </c>
      <c r="BG67" s="205">
        <v>294</v>
      </c>
      <c r="BH67" s="205">
        <v>956</v>
      </c>
      <c r="BI67" s="205">
        <v>83</v>
      </c>
      <c r="BJ67" s="205">
        <v>215</v>
      </c>
      <c r="BK67" s="205">
        <v>626</v>
      </c>
      <c r="BL67" s="205">
        <v>2011</v>
      </c>
      <c r="BM67" s="246">
        <v>583</v>
      </c>
      <c r="BN67" s="246">
        <f t="shared" si="344"/>
        <v>25096</v>
      </c>
      <c r="BO67" s="205">
        <v>651</v>
      </c>
      <c r="BP67" s="205">
        <v>14259</v>
      </c>
      <c r="BQ67" s="169">
        <v>1633</v>
      </c>
      <c r="BR67" s="169">
        <v>2591</v>
      </c>
      <c r="BS67" s="169">
        <v>130</v>
      </c>
      <c r="BT67" s="169">
        <v>116</v>
      </c>
      <c r="BU67" s="169">
        <v>60</v>
      </c>
      <c r="BV67" s="169">
        <v>1355</v>
      </c>
      <c r="BW67" s="169">
        <v>6225</v>
      </c>
      <c r="BX67" s="169"/>
      <c r="BY67" s="169">
        <v>2949</v>
      </c>
      <c r="BZ67" s="169"/>
      <c r="CA67" s="150">
        <f t="shared" si="345"/>
        <v>29969</v>
      </c>
      <c r="CB67" s="169">
        <v>804</v>
      </c>
      <c r="CC67" s="169">
        <v>13555</v>
      </c>
      <c r="CD67" s="169">
        <v>1559</v>
      </c>
      <c r="CE67" s="169">
        <v>109</v>
      </c>
      <c r="CF67" s="169">
        <v>1461</v>
      </c>
      <c r="CG67" s="169">
        <v>1860</v>
      </c>
      <c r="CH67" s="169">
        <v>4365</v>
      </c>
      <c r="CI67" s="169">
        <v>1486</v>
      </c>
      <c r="CJ67" s="169">
        <v>905</v>
      </c>
      <c r="CK67" s="169">
        <v>1093</v>
      </c>
      <c r="CL67" s="169">
        <v>5379</v>
      </c>
      <c r="CM67" s="170">
        <v>797</v>
      </c>
      <c r="CN67" s="170">
        <f t="shared" si="327"/>
        <v>33373</v>
      </c>
      <c r="CO67" s="162"/>
      <c r="CP67" s="151">
        <v>809</v>
      </c>
      <c r="CQ67" s="151">
        <v>19033</v>
      </c>
      <c r="CR67" s="151">
        <v>868</v>
      </c>
      <c r="CS67" s="151">
        <v>93</v>
      </c>
      <c r="CT67" s="151">
        <v>2195</v>
      </c>
      <c r="CU67" s="151">
        <v>933</v>
      </c>
      <c r="CV67" s="151">
        <v>3143</v>
      </c>
      <c r="CW67" s="151">
        <v>5813</v>
      </c>
      <c r="CX67" s="151">
        <v>925</v>
      </c>
      <c r="CY67" s="151">
        <v>5285</v>
      </c>
      <c r="CZ67" s="241">
        <v>867</v>
      </c>
      <c r="DA67" s="150">
        <f t="shared" si="329"/>
        <v>39964</v>
      </c>
      <c r="DB67" s="162">
        <v>7730</v>
      </c>
      <c r="DC67" s="151">
        <v>10870</v>
      </c>
      <c r="DD67" s="151">
        <v>3078</v>
      </c>
      <c r="DE67" s="151">
        <v>1393</v>
      </c>
      <c r="DF67" s="151">
        <v>2793</v>
      </c>
      <c r="DG67" s="151">
        <v>170</v>
      </c>
      <c r="DH67" s="151"/>
      <c r="DI67" s="151">
        <v>1389</v>
      </c>
      <c r="DJ67" s="151"/>
      <c r="DK67" s="151">
        <v>296</v>
      </c>
      <c r="DL67" s="151">
        <v>4395</v>
      </c>
      <c r="DM67" s="241">
        <v>1842</v>
      </c>
      <c r="DN67" s="151">
        <f t="shared" si="331"/>
        <v>33956</v>
      </c>
      <c r="DO67" s="162"/>
      <c r="DP67" s="151">
        <v>25302</v>
      </c>
      <c r="DQ67" s="151">
        <v>1345</v>
      </c>
      <c r="DR67" s="151">
        <v>606</v>
      </c>
      <c r="DS67" s="151">
        <v>2482</v>
      </c>
      <c r="DT67" s="151"/>
      <c r="DU67" s="151">
        <v>103</v>
      </c>
      <c r="DV67" s="151">
        <v>645</v>
      </c>
      <c r="DW67" s="151">
        <v>1675</v>
      </c>
      <c r="DX67" s="151">
        <v>404</v>
      </c>
      <c r="DY67" s="151">
        <v>424</v>
      </c>
      <c r="DZ67" s="241">
        <v>447</v>
      </c>
      <c r="EA67" s="241">
        <f t="shared" si="333"/>
        <v>33433</v>
      </c>
      <c r="EB67" s="162">
        <v>1297</v>
      </c>
      <c r="EC67" s="151">
        <v>15936</v>
      </c>
      <c r="ED67" s="151">
        <v>1917</v>
      </c>
      <c r="EE67" s="151">
        <v>0</v>
      </c>
      <c r="EF67" s="151">
        <v>0</v>
      </c>
      <c r="EG67" s="151">
        <v>3967</v>
      </c>
      <c r="EH67" s="151">
        <v>0</v>
      </c>
      <c r="EI67" s="151">
        <v>464</v>
      </c>
      <c r="EJ67" s="151">
        <v>1421</v>
      </c>
      <c r="EK67" s="151">
        <v>0</v>
      </c>
      <c r="EL67" s="151">
        <v>600</v>
      </c>
      <c r="EM67" s="241">
        <v>1553</v>
      </c>
      <c r="EN67" s="241">
        <f t="shared" si="335"/>
        <v>27155</v>
      </c>
      <c r="EO67" s="162">
        <v>27739</v>
      </c>
      <c r="EP67" s="151">
        <v>0</v>
      </c>
      <c r="EQ67" s="151">
        <v>586</v>
      </c>
      <c r="ER67" s="151">
        <v>0</v>
      </c>
      <c r="ES67" s="151">
        <v>742</v>
      </c>
      <c r="ET67" s="151">
        <v>0</v>
      </c>
      <c r="EU67" s="151">
        <v>1583</v>
      </c>
      <c r="EV67" s="950">
        <v>1808</v>
      </c>
      <c r="EW67" s="151"/>
      <c r="EX67" s="151"/>
      <c r="EY67" s="151"/>
      <c r="EZ67" s="241"/>
      <c r="FA67" s="241"/>
      <c r="FC67" s="316">
        <f t="shared" si="337"/>
        <v>289.65517241379308</v>
      </c>
      <c r="FD67" s="264">
        <f t="shared" si="340"/>
        <v>37.644713964632537</v>
      </c>
      <c r="FE67" s="148">
        <f t="shared" si="338"/>
        <v>23581</v>
      </c>
      <c r="FF67" s="148">
        <f t="shared" si="339"/>
        <v>32458</v>
      </c>
    </row>
    <row r="68" spans="1:162" ht="15" customHeight="1" x14ac:dyDescent="0.25">
      <c r="A68" s="138" t="s">
        <v>444</v>
      </c>
      <c r="B68" s="24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46"/>
      <c r="N68" s="246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46"/>
      <c r="AA68" s="205">
        <f t="shared" si="341"/>
        <v>0</v>
      </c>
      <c r="AB68" s="24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2">
        <f t="shared" si="342"/>
        <v>0</v>
      </c>
      <c r="AO68" s="24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46"/>
      <c r="BA68" s="246">
        <f t="shared" si="343"/>
        <v>0</v>
      </c>
      <c r="BB68" s="205"/>
      <c r="BC68" s="205"/>
      <c r="BD68" s="205"/>
      <c r="BE68" s="205"/>
      <c r="BF68" s="205"/>
      <c r="BG68" s="205"/>
      <c r="BH68" s="205"/>
      <c r="BI68" s="205"/>
      <c r="BJ68" s="205"/>
      <c r="BK68" s="205"/>
      <c r="BL68" s="205"/>
      <c r="BM68" s="246"/>
      <c r="BN68" s="246">
        <f t="shared" si="344"/>
        <v>0</v>
      </c>
      <c r="BO68" s="205"/>
      <c r="BP68" s="205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50">
        <f t="shared" si="345"/>
        <v>0</v>
      </c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70"/>
      <c r="CN68" s="170">
        <f t="shared" si="327"/>
        <v>0</v>
      </c>
      <c r="CO68" s="162"/>
      <c r="CP68" s="151"/>
      <c r="CQ68" s="151"/>
      <c r="CR68" s="151"/>
      <c r="CS68" s="151"/>
      <c r="CT68" s="151"/>
      <c r="CU68" s="151"/>
      <c r="CV68" s="151"/>
      <c r="CW68" s="151"/>
      <c r="CX68" s="151"/>
      <c r="CY68" s="151"/>
      <c r="CZ68" s="241"/>
      <c r="DA68" s="150">
        <f t="shared" si="329"/>
        <v>0</v>
      </c>
      <c r="DB68" s="162"/>
      <c r="DC68" s="151"/>
      <c r="DD68" s="151"/>
      <c r="DE68" s="151"/>
      <c r="DF68" s="151"/>
      <c r="DG68" s="151"/>
      <c r="DH68" s="151"/>
      <c r="DI68" s="151"/>
      <c r="DJ68" s="151"/>
      <c r="DK68" s="151"/>
      <c r="DL68" s="151"/>
      <c r="DM68" s="241"/>
      <c r="DN68" s="151">
        <f t="shared" si="331"/>
        <v>0</v>
      </c>
      <c r="DO68" s="162"/>
      <c r="DP68" s="151"/>
      <c r="DQ68" s="151"/>
      <c r="DR68" s="151"/>
      <c r="DS68" s="151"/>
      <c r="DT68" s="151"/>
      <c r="DU68" s="151"/>
      <c r="DV68" s="151"/>
      <c r="DW68" s="151"/>
      <c r="DX68" s="151"/>
      <c r="DY68" s="151"/>
      <c r="DZ68" s="241"/>
      <c r="EA68" s="241">
        <f t="shared" si="333"/>
        <v>0</v>
      </c>
      <c r="EB68" s="162">
        <v>0</v>
      </c>
      <c r="EC68" s="151">
        <v>0</v>
      </c>
      <c r="ED68" s="151">
        <v>0</v>
      </c>
      <c r="EE68" s="151">
        <v>0</v>
      </c>
      <c r="EF68" s="151">
        <v>0</v>
      </c>
      <c r="EG68" s="151">
        <v>0</v>
      </c>
      <c r="EH68" s="151">
        <v>0</v>
      </c>
      <c r="EI68" s="151">
        <v>0</v>
      </c>
      <c r="EJ68" s="151">
        <v>0</v>
      </c>
      <c r="EK68" s="151">
        <v>0</v>
      </c>
      <c r="EL68" s="151">
        <v>0</v>
      </c>
      <c r="EM68" s="241">
        <v>0</v>
      </c>
      <c r="EN68" s="241">
        <f t="shared" si="335"/>
        <v>0</v>
      </c>
      <c r="EO68" s="162">
        <v>0</v>
      </c>
      <c r="EP68" s="151">
        <v>0</v>
      </c>
      <c r="EQ68" s="151">
        <v>0</v>
      </c>
      <c r="ER68" s="151">
        <v>0</v>
      </c>
      <c r="ES68" s="151">
        <v>0</v>
      </c>
      <c r="ET68" s="151">
        <v>0</v>
      </c>
      <c r="EU68" s="151">
        <v>0</v>
      </c>
      <c r="EV68" s="950">
        <v>0</v>
      </c>
      <c r="EW68" s="151"/>
      <c r="EX68" s="151"/>
      <c r="EY68" s="151"/>
      <c r="EZ68" s="241"/>
      <c r="FA68" s="241"/>
      <c r="FC68" s="316" t="str">
        <f t="shared" si="337"/>
        <v>-</v>
      </c>
      <c r="FD68" s="264" t="str">
        <f t="shared" si="340"/>
        <v>-</v>
      </c>
      <c r="FE68" s="148">
        <f t="shared" si="338"/>
        <v>0</v>
      </c>
      <c r="FF68" s="148">
        <f t="shared" si="339"/>
        <v>0</v>
      </c>
    </row>
    <row r="69" spans="1:162" ht="15" customHeight="1" x14ac:dyDescent="0.25">
      <c r="A69" s="138" t="s">
        <v>445</v>
      </c>
      <c r="B69" s="24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46"/>
      <c r="N69" s="246">
        <f t="shared" si="322"/>
        <v>0</v>
      </c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46"/>
      <c r="AA69" s="205">
        <f t="shared" si="341"/>
        <v>0</v>
      </c>
      <c r="AB69" s="24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2">
        <f t="shared" si="342"/>
        <v>0</v>
      </c>
      <c r="AO69" s="24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46"/>
      <c r="BA69" s="246">
        <f t="shared" si="343"/>
        <v>0</v>
      </c>
      <c r="BB69" s="205"/>
      <c r="BC69" s="205"/>
      <c r="BD69" s="205"/>
      <c r="BE69" s="205"/>
      <c r="BF69" s="205"/>
      <c r="BG69" s="205"/>
      <c r="BH69" s="205"/>
      <c r="BI69" s="205"/>
      <c r="BJ69" s="205"/>
      <c r="BK69" s="205"/>
      <c r="BL69" s="205"/>
      <c r="BM69" s="246"/>
      <c r="BN69" s="246">
        <f t="shared" si="344"/>
        <v>0</v>
      </c>
      <c r="BO69" s="205"/>
      <c r="BP69" s="205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50">
        <f t="shared" si="345"/>
        <v>0</v>
      </c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70"/>
      <c r="CN69" s="170">
        <f t="shared" si="327"/>
        <v>0</v>
      </c>
      <c r="CO69" s="162"/>
      <c r="CP69" s="151"/>
      <c r="CQ69" s="151"/>
      <c r="CR69" s="151"/>
      <c r="CS69" s="151"/>
      <c r="CT69" s="151"/>
      <c r="CU69" s="151"/>
      <c r="CV69" s="151"/>
      <c r="CW69" s="151"/>
      <c r="CX69" s="151"/>
      <c r="CY69" s="151"/>
      <c r="CZ69" s="241"/>
      <c r="DA69" s="150">
        <f t="shared" si="329"/>
        <v>0</v>
      </c>
      <c r="DB69" s="162"/>
      <c r="DC69" s="151"/>
      <c r="DD69" s="151"/>
      <c r="DE69" s="151"/>
      <c r="DF69" s="151"/>
      <c r="DG69" s="151"/>
      <c r="DH69" s="151"/>
      <c r="DI69" s="151"/>
      <c r="DJ69" s="151"/>
      <c r="DK69" s="151"/>
      <c r="DL69" s="151"/>
      <c r="DM69" s="241"/>
      <c r="DN69" s="151">
        <f t="shared" si="331"/>
        <v>0</v>
      </c>
      <c r="DO69" s="162"/>
      <c r="DP69" s="151"/>
      <c r="DQ69" s="151"/>
      <c r="DR69" s="151"/>
      <c r="DS69" s="151"/>
      <c r="DT69" s="151"/>
      <c r="DU69" s="151"/>
      <c r="DV69" s="151"/>
      <c r="DW69" s="151"/>
      <c r="DX69" s="151"/>
      <c r="DY69" s="151"/>
      <c r="DZ69" s="241"/>
      <c r="EA69" s="241">
        <f t="shared" si="333"/>
        <v>0</v>
      </c>
      <c r="EB69" s="162">
        <v>0</v>
      </c>
      <c r="EC69" s="151">
        <v>0</v>
      </c>
      <c r="ED69" s="151">
        <v>0</v>
      </c>
      <c r="EE69" s="151">
        <v>0</v>
      </c>
      <c r="EF69" s="151">
        <v>0</v>
      </c>
      <c r="EG69" s="151">
        <v>0</v>
      </c>
      <c r="EH69" s="151">
        <v>0</v>
      </c>
      <c r="EI69" s="151">
        <v>0</v>
      </c>
      <c r="EJ69" s="151">
        <v>0</v>
      </c>
      <c r="EK69" s="151">
        <v>0</v>
      </c>
      <c r="EL69" s="151">
        <v>0</v>
      </c>
      <c r="EM69" s="241">
        <v>0</v>
      </c>
      <c r="EN69" s="241">
        <f t="shared" si="335"/>
        <v>0</v>
      </c>
      <c r="EO69" s="162">
        <v>0</v>
      </c>
      <c r="EP69" s="151">
        <v>0</v>
      </c>
      <c r="EQ69" s="151">
        <v>0</v>
      </c>
      <c r="ER69" s="151">
        <v>0</v>
      </c>
      <c r="ES69" s="151">
        <v>0</v>
      </c>
      <c r="ET69" s="151">
        <v>0</v>
      </c>
      <c r="EU69" s="151">
        <v>0</v>
      </c>
      <c r="EV69" s="950">
        <v>0</v>
      </c>
      <c r="EW69" s="151"/>
      <c r="EX69" s="151"/>
      <c r="EY69" s="151"/>
      <c r="EZ69" s="241"/>
      <c r="FA69" s="241"/>
      <c r="FC69" s="316" t="str">
        <f t="shared" si="337"/>
        <v>-</v>
      </c>
      <c r="FD69" s="264" t="str">
        <f t="shared" si="340"/>
        <v>-</v>
      </c>
      <c r="FE69" s="148">
        <f t="shared" si="338"/>
        <v>0</v>
      </c>
      <c r="FF69" s="148">
        <f t="shared" si="339"/>
        <v>0</v>
      </c>
    </row>
    <row r="70" spans="1:162" ht="15" customHeight="1" x14ac:dyDescent="0.25">
      <c r="A70" s="138" t="s">
        <v>446</v>
      </c>
      <c r="B70" s="245"/>
      <c r="C70" s="205"/>
      <c r="D70" s="205"/>
      <c r="E70" s="205"/>
      <c r="F70" s="205">
        <v>133</v>
      </c>
      <c r="G70" s="205">
        <v>129</v>
      </c>
      <c r="H70" s="205">
        <v>-260</v>
      </c>
      <c r="I70" s="205"/>
      <c r="J70" s="205"/>
      <c r="K70" s="205"/>
      <c r="L70" s="205"/>
      <c r="M70" s="246"/>
      <c r="N70" s="246">
        <f t="shared" si="322"/>
        <v>2</v>
      </c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46"/>
      <c r="AA70" s="205">
        <f t="shared" si="341"/>
        <v>0</v>
      </c>
      <c r="AB70" s="24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  <c r="AN70" s="202">
        <f t="shared" si="342"/>
        <v>0</v>
      </c>
      <c r="AO70" s="24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46"/>
      <c r="BA70" s="246">
        <f t="shared" si="343"/>
        <v>0</v>
      </c>
      <c r="BB70" s="205"/>
      <c r="BC70" s="205"/>
      <c r="BD70" s="205"/>
      <c r="BE70" s="205"/>
      <c r="BF70" s="205"/>
      <c r="BG70" s="205"/>
      <c r="BH70" s="205"/>
      <c r="BI70" s="205"/>
      <c r="BJ70" s="205"/>
      <c r="BK70" s="205"/>
      <c r="BL70" s="205"/>
      <c r="BM70" s="246"/>
      <c r="BN70" s="246">
        <f t="shared" si="344"/>
        <v>0</v>
      </c>
      <c r="BO70" s="205"/>
      <c r="BP70" s="205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50">
        <f t="shared" si="345"/>
        <v>0</v>
      </c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70"/>
      <c r="CN70" s="170">
        <f t="shared" si="327"/>
        <v>0</v>
      </c>
      <c r="CO70" s="162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241"/>
      <c r="DA70" s="150">
        <f t="shared" si="329"/>
        <v>0</v>
      </c>
      <c r="DB70" s="162"/>
      <c r="DC70" s="151"/>
      <c r="DD70" s="151"/>
      <c r="DE70" s="151"/>
      <c r="DF70" s="151"/>
      <c r="DG70" s="151"/>
      <c r="DH70" s="151"/>
      <c r="DI70" s="151"/>
      <c r="DJ70" s="151"/>
      <c r="DK70" s="151"/>
      <c r="DL70" s="151"/>
      <c r="DM70" s="241"/>
      <c r="DN70" s="151">
        <f t="shared" si="331"/>
        <v>0</v>
      </c>
      <c r="DO70" s="162"/>
      <c r="DP70" s="151"/>
      <c r="DQ70" s="151"/>
      <c r="DR70" s="151"/>
      <c r="DS70" s="151"/>
      <c r="DT70" s="151"/>
      <c r="DU70" s="151"/>
      <c r="DV70" s="151"/>
      <c r="DW70" s="151"/>
      <c r="DX70" s="151"/>
      <c r="DY70" s="151"/>
      <c r="DZ70" s="241"/>
      <c r="EA70" s="241">
        <f t="shared" si="333"/>
        <v>0</v>
      </c>
      <c r="EB70" s="162">
        <v>0</v>
      </c>
      <c r="EC70" s="151">
        <v>0</v>
      </c>
      <c r="ED70" s="151">
        <v>0</v>
      </c>
      <c r="EE70" s="151">
        <v>0</v>
      </c>
      <c r="EF70" s="151">
        <v>0</v>
      </c>
      <c r="EG70" s="151">
        <v>0</v>
      </c>
      <c r="EH70" s="151">
        <v>0</v>
      </c>
      <c r="EI70" s="151">
        <v>0</v>
      </c>
      <c r="EJ70" s="151">
        <v>0</v>
      </c>
      <c r="EK70" s="151">
        <v>0</v>
      </c>
      <c r="EL70" s="151">
        <v>0</v>
      </c>
      <c r="EM70" s="241">
        <v>0</v>
      </c>
      <c r="EN70" s="241">
        <f t="shared" si="335"/>
        <v>0</v>
      </c>
      <c r="EO70" s="162">
        <v>0</v>
      </c>
      <c r="EP70" s="151">
        <v>0</v>
      </c>
      <c r="EQ70" s="151">
        <v>0</v>
      </c>
      <c r="ER70" s="151">
        <v>0</v>
      </c>
      <c r="ES70" s="151">
        <v>0</v>
      </c>
      <c r="ET70" s="151">
        <v>0</v>
      </c>
      <c r="EU70" s="151">
        <v>0</v>
      </c>
      <c r="EV70" s="950">
        <v>0</v>
      </c>
      <c r="EW70" s="151"/>
      <c r="EX70" s="151"/>
      <c r="EY70" s="151"/>
      <c r="EZ70" s="241"/>
      <c r="FA70" s="241"/>
      <c r="FC70" s="316" t="str">
        <f t="shared" si="337"/>
        <v>-</v>
      </c>
      <c r="FD70" s="264" t="str">
        <f t="shared" si="340"/>
        <v>-</v>
      </c>
      <c r="FE70" s="148">
        <f t="shared" si="338"/>
        <v>0</v>
      </c>
      <c r="FF70" s="148">
        <f t="shared" si="339"/>
        <v>0</v>
      </c>
    </row>
    <row r="71" spans="1:162" ht="15" customHeight="1" x14ac:dyDescent="0.25">
      <c r="A71" s="138" t="s">
        <v>447</v>
      </c>
      <c r="B71" s="245"/>
      <c r="C71" s="205"/>
      <c r="D71" s="205"/>
      <c r="E71" s="205"/>
      <c r="F71" s="205"/>
      <c r="G71" s="205"/>
      <c r="H71" s="205"/>
      <c r="I71" s="205">
        <v>110</v>
      </c>
      <c r="J71" s="205"/>
      <c r="K71" s="205"/>
      <c r="L71" s="205">
        <v>1140</v>
      </c>
      <c r="M71" s="246">
        <v>-156</v>
      </c>
      <c r="N71" s="246">
        <f t="shared" si="322"/>
        <v>1094</v>
      </c>
      <c r="O71" s="205"/>
      <c r="P71" s="205"/>
      <c r="Q71" s="205"/>
      <c r="R71" s="205"/>
      <c r="S71" s="205"/>
      <c r="T71" s="205"/>
      <c r="U71" s="205">
        <v>232</v>
      </c>
      <c r="V71" s="205">
        <v>124</v>
      </c>
      <c r="W71" s="205">
        <v>163</v>
      </c>
      <c r="X71" s="205">
        <v>664</v>
      </c>
      <c r="Y71" s="205">
        <v>72</v>
      </c>
      <c r="Z71" s="246">
        <v>487</v>
      </c>
      <c r="AA71" s="205">
        <f t="shared" si="341"/>
        <v>1742</v>
      </c>
      <c r="AB71" s="245"/>
      <c r="AC71" s="205"/>
      <c r="AD71" s="205"/>
      <c r="AE71" s="205"/>
      <c r="AF71" s="205"/>
      <c r="AG71" s="205"/>
      <c r="AH71" s="205">
        <v>340</v>
      </c>
      <c r="AI71" s="205">
        <v>1026</v>
      </c>
      <c r="AJ71" s="205"/>
      <c r="AK71" s="205"/>
      <c r="AL71" s="205">
        <v>88</v>
      </c>
      <c r="AM71" s="205">
        <v>2428</v>
      </c>
      <c r="AN71" s="202">
        <f t="shared" si="342"/>
        <v>3882</v>
      </c>
      <c r="AO71" s="245">
        <v>1208</v>
      </c>
      <c r="AP71" s="205">
        <v>399</v>
      </c>
      <c r="AQ71" s="205">
        <v>-35</v>
      </c>
      <c r="AR71" s="205"/>
      <c r="AS71" s="205"/>
      <c r="AT71" s="205"/>
      <c r="AU71" s="205">
        <v>3482</v>
      </c>
      <c r="AV71" s="205">
        <v>463</v>
      </c>
      <c r="AW71" s="205"/>
      <c r="AX71" s="205">
        <v>120</v>
      </c>
      <c r="AY71" s="205"/>
      <c r="AZ71" s="246"/>
      <c r="BA71" s="246">
        <f t="shared" si="343"/>
        <v>5637</v>
      </c>
      <c r="BB71" s="205"/>
      <c r="BC71" s="205"/>
      <c r="BD71" s="205"/>
      <c r="BE71" s="205"/>
      <c r="BF71" s="205"/>
      <c r="BG71" s="205"/>
      <c r="BH71" s="205">
        <v>378</v>
      </c>
      <c r="BI71" s="205"/>
      <c r="BJ71" s="205">
        <v>1827</v>
      </c>
      <c r="BK71" s="205">
        <v>201</v>
      </c>
      <c r="BL71" s="205"/>
      <c r="BM71" s="246"/>
      <c r="BN71" s="246">
        <f t="shared" si="344"/>
        <v>2406</v>
      </c>
      <c r="BO71" s="205"/>
      <c r="BP71" s="205"/>
      <c r="BQ71" s="169"/>
      <c r="BR71" s="169"/>
      <c r="BS71" s="169"/>
      <c r="BT71" s="169"/>
      <c r="BU71" s="169">
        <v>259</v>
      </c>
      <c r="BV71" s="169"/>
      <c r="BW71" s="169">
        <v>10</v>
      </c>
      <c r="BX71" s="169">
        <v>211</v>
      </c>
      <c r="BY71" s="169"/>
      <c r="BZ71" s="169"/>
      <c r="CA71" s="150">
        <f t="shared" si="345"/>
        <v>480</v>
      </c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70"/>
      <c r="CN71" s="170">
        <f t="shared" si="327"/>
        <v>0</v>
      </c>
      <c r="CO71" s="162"/>
      <c r="CP71" s="151"/>
      <c r="CQ71" s="151">
        <v>46</v>
      </c>
      <c r="CR71" s="151"/>
      <c r="CS71" s="151"/>
      <c r="CT71" s="151"/>
      <c r="CU71" s="151">
        <v>1067</v>
      </c>
      <c r="CV71" s="151"/>
      <c r="CW71" s="151"/>
      <c r="CX71" s="151"/>
      <c r="CY71" s="151">
        <v>2048</v>
      </c>
      <c r="CZ71" s="241">
        <v>89</v>
      </c>
      <c r="DA71" s="150">
        <f t="shared" si="329"/>
        <v>3250</v>
      </c>
      <c r="DB71" s="162"/>
      <c r="DC71" s="151"/>
      <c r="DD71" s="151"/>
      <c r="DE71" s="151"/>
      <c r="DF71" s="151"/>
      <c r="DG71" s="151"/>
      <c r="DH71" s="151">
        <v>697</v>
      </c>
      <c r="DI71" s="151">
        <v>41</v>
      </c>
      <c r="DJ71" s="151"/>
      <c r="DK71" s="151"/>
      <c r="DL71" s="151"/>
      <c r="DM71" s="241"/>
      <c r="DN71" s="151">
        <f t="shared" si="331"/>
        <v>738</v>
      </c>
      <c r="DO71" s="162"/>
      <c r="DP71" s="151"/>
      <c r="DQ71" s="151"/>
      <c r="DR71" s="151"/>
      <c r="DS71" s="151"/>
      <c r="DT71" s="151"/>
      <c r="DU71" s="151"/>
      <c r="DV71" s="151">
        <v>1610</v>
      </c>
      <c r="DW71" s="151"/>
      <c r="DX71" s="151"/>
      <c r="DY71" s="151"/>
      <c r="DZ71" s="241">
        <v>1150</v>
      </c>
      <c r="EA71" s="241">
        <f t="shared" si="333"/>
        <v>2760</v>
      </c>
      <c r="EB71" s="162">
        <v>0</v>
      </c>
      <c r="EC71" s="151">
        <v>0</v>
      </c>
      <c r="ED71" s="151">
        <v>0</v>
      </c>
      <c r="EE71" s="151">
        <v>0</v>
      </c>
      <c r="EF71" s="151">
        <v>0</v>
      </c>
      <c r="EG71" s="151">
        <v>0</v>
      </c>
      <c r="EH71" s="151">
        <v>0</v>
      </c>
      <c r="EI71" s="151">
        <v>0</v>
      </c>
      <c r="EJ71" s="151">
        <v>0</v>
      </c>
      <c r="EK71" s="151">
        <v>0</v>
      </c>
      <c r="EL71" s="151">
        <v>2367</v>
      </c>
      <c r="EM71" s="241">
        <v>0</v>
      </c>
      <c r="EN71" s="241">
        <f t="shared" si="335"/>
        <v>2367</v>
      </c>
      <c r="EO71" s="162">
        <v>0</v>
      </c>
      <c r="EP71" s="151">
        <v>0</v>
      </c>
      <c r="EQ71" s="151">
        <v>0</v>
      </c>
      <c r="ER71" s="151">
        <v>0</v>
      </c>
      <c r="ES71" s="151">
        <v>0</v>
      </c>
      <c r="ET71" s="151">
        <v>0</v>
      </c>
      <c r="EU71" s="151">
        <v>0</v>
      </c>
      <c r="EV71" s="950">
        <v>0</v>
      </c>
      <c r="EW71" s="151"/>
      <c r="EX71" s="151"/>
      <c r="EY71" s="151"/>
      <c r="EZ71" s="241"/>
      <c r="FA71" s="241"/>
      <c r="FC71" s="316" t="str">
        <f t="shared" si="337"/>
        <v>-</v>
      </c>
      <c r="FD71" s="264" t="str">
        <f t="shared" si="340"/>
        <v>-</v>
      </c>
      <c r="FE71" s="148">
        <f t="shared" si="338"/>
        <v>0</v>
      </c>
      <c r="FF71" s="148">
        <f t="shared" si="339"/>
        <v>0</v>
      </c>
    </row>
    <row r="72" spans="1:162" ht="15" customHeight="1" x14ac:dyDescent="0.25">
      <c r="A72" s="217" t="s">
        <v>448</v>
      </c>
      <c r="B72" s="298">
        <f t="shared" ref="B72:Z72" si="356">B73+B78+B79</f>
        <v>3148</v>
      </c>
      <c r="C72" s="299">
        <f t="shared" si="356"/>
        <v>2293</v>
      </c>
      <c r="D72" s="299">
        <f t="shared" si="356"/>
        <v>5002</v>
      </c>
      <c r="E72" s="299">
        <f t="shared" si="356"/>
        <v>4296</v>
      </c>
      <c r="F72" s="299">
        <f t="shared" si="356"/>
        <v>3524</v>
      </c>
      <c r="G72" s="299">
        <f t="shared" si="356"/>
        <v>4104</v>
      </c>
      <c r="H72" s="299">
        <f t="shared" si="356"/>
        <v>3807</v>
      </c>
      <c r="I72" s="299">
        <f t="shared" si="356"/>
        <v>5102</v>
      </c>
      <c r="J72" s="299">
        <f t="shared" si="356"/>
        <v>3845</v>
      </c>
      <c r="K72" s="299">
        <f t="shared" si="356"/>
        <v>-4929</v>
      </c>
      <c r="L72" s="299">
        <f t="shared" si="356"/>
        <v>3013</v>
      </c>
      <c r="M72" s="300">
        <f t="shared" si="356"/>
        <v>1206</v>
      </c>
      <c r="N72" s="300">
        <f>SUM(B72:M72)</f>
        <v>34411</v>
      </c>
      <c r="O72" s="299">
        <f t="shared" si="356"/>
        <v>1867</v>
      </c>
      <c r="P72" s="299">
        <f t="shared" si="356"/>
        <v>647</v>
      </c>
      <c r="Q72" s="299">
        <f t="shared" si="356"/>
        <v>2695</v>
      </c>
      <c r="R72" s="299">
        <f t="shared" si="356"/>
        <v>2408</v>
      </c>
      <c r="S72" s="299">
        <f t="shared" si="356"/>
        <v>1404</v>
      </c>
      <c r="T72" s="299">
        <f t="shared" si="356"/>
        <v>3207</v>
      </c>
      <c r="U72" s="299">
        <f t="shared" si="356"/>
        <v>642</v>
      </c>
      <c r="V72" s="299">
        <f t="shared" si="356"/>
        <v>2187</v>
      </c>
      <c r="W72" s="299">
        <f t="shared" si="356"/>
        <v>1803</v>
      </c>
      <c r="X72" s="299">
        <f t="shared" si="356"/>
        <v>306</v>
      </c>
      <c r="Y72" s="299">
        <f t="shared" si="356"/>
        <v>862</v>
      </c>
      <c r="Z72" s="299">
        <f t="shared" si="356"/>
        <v>1682</v>
      </c>
      <c r="AA72" s="299">
        <f>SUM(O72:Z72)</f>
        <v>19710</v>
      </c>
      <c r="AB72" s="298">
        <f t="shared" ref="AB72:AM72" si="357">AB73+AB78+AB79</f>
        <v>1095</v>
      </c>
      <c r="AC72" s="299">
        <f t="shared" si="357"/>
        <v>2051</v>
      </c>
      <c r="AD72" s="299">
        <f t="shared" si="357"/>
        <v>3446</v>
      </c>
      <c r="AE72" s="299">
        <f t="shared" si="357"/>
        <v>2097</v>
      </c>
      <c r="AF72" s="299">
        <f t="shared" si="357"/>
        <v>0</v>
      </c>
      <c r="AG72" s="299">
        <f t="shared" si="357"/>
        <v>1195</v>
      </c>
      <c r="AH72" s="299">
        <f t="shared" si="357"/>
        <v>2669</v>
      </c>
      <c r="AI72" s="299">
        <f t="shared" si="357"/>
        <v>-560</v>
      </c>
      <c r="AJ72" s="299">
        <f t="shared" si="357"/>
        <v>1531</v>
      </c>
      <c r="AK72" s="299">
        <f t="shared" si="357"/>
        <v>2055</v>
      </c>
      <c r="AL72" s="299">
        <f t="shared" si="357"/>
        <v>518</v>
      </c>
      <c r="AM72" s="299">
        <f t="shared" si="357"/>
        <v>2668</v>
      </c>
      <c r="AN72" s="257">
        <f>SUM(AB72:AM72)</f>
        <v>18765</v>
      </c>
      <c r="AO72" s="298">
        <f t="shared" ref="AO72:AZ72" si="358">AO73+AO78+AO79</f>
        <v>1332</v>
      </c>
      <c r="AP72" s="299">
        <f t="shared" si="358"/>
        <v>3130</v>
      </c>
      <c r="AQ72" s="299">
        <f t="shared" si="358"/>
        <v>2392</v>
      </c>
      <c r="AR72" s="299">
        <f t="shared" si="358"/>
        <v>2458</v>
      </c>
      <c r="AS72" s="299">
        <f t="shared" si="358"/>
        <v>1932</v>
      </c>
      <c r="AT72" s="299">
        <f t="shared" si="358"/>
        <v>2153</v>
      </c>
      <c r="AU72" s="299">
        <f t="shared" si="358"/>
        <v>1752</v>
      </c>
      <c r="AV72" s="299">
        <f t="shared" si="358"/>
        <v>2228</v>
      </c>
      <c r="AW72" s="299">
        <f t="shared" si="358"/>
        <v>0</v>
      </c>
      <c r="AX72" s="299">
        <f t="shared" si="358"/>
        <v>5163</v>
      </c>
      <c r="AY72" s="299">
        <f t="shared" si="358"/>
        <v>3496</v>
      </c>
      <c r="AZ72" s="300">
        <f t="shared" si="358"/>
        <v>2706</v>
      </c>
      <c r="BA72" s="300">
        <f>SUM(AO72:AZ72)</f>
        <v>28742</v>
      </c>
      <c r="BB72" s="299">
        <f t="shared" ref="BB72:BM72" si="359">BB73+BB78+BB79</f>
        <v>2607</v>
      </c>
      <c r="BC72" s="299">
        <f t="shared" si="359"/>
        <v>2540</v>
      </c>
      <c r="BD72" s="299">
        <f t="shared" si="359"/>
        <v>179</v>
      </c>
      <c r="BE72" s="299">
        <f t="shared" si="359"/>
        <v>2111</v>
      </c>
      <c r="BF72" s="299">
        <f t="shared" si="359"/>
        <v>4056</v>
      </c>
      <c r="BG72" s="299">
        <f t="shared" si="359"/>
        <v>0</v>
      </c>
      <c r="BH72" s="299">
        <f t="shared" si="359"/>
        <v>2560</v>
      </c>
      <c r="BI72" s="299">
        <f t="shared" si="359"/>
        <v>3775</v>
      </c>
      <c r="BJ72" s="299">
        <f t="shared" si="359"/>
        <v>4725</v>
      </c>
      <c r="BK72" s="299">
        <f t="shared" si="359"/>
        <v>5289</v>
      </c>
      <c r="BL72" s="299">
        <f t="shared" si="359"/>
        <v>3278</v>
      </c>
      <c r="BM72" s="300">
        <f t="shared" si="359"/>
        <v>-1602</v>
      </c>
      <c r="BN72" s="300">
        <f>SUM(BB72:BM72)</f>
        <v>29518</v>
      </c>
      <c r="BO72" s="299">
        <f>BO73+BO78+BO79+BO82</f>
        <v>2041</v>
      </c>
      <c r="BP72" s="299">
        <f t="shared" ref="BP72:BZ72" si="360">BP73+BP78+BP79+BP82</f>
        <v>489.9</v>
      </c>
      <c r="BQ72" s="299">
        <f t="shared" si="360"/>
        <v>5338</v>
      </c>
      <c r="BR72" s="299">
        <f t="shared" si="360"/>
        <v>902</v>
      </c>
      <c r="BS72" s="299">
        <f t="shared" si="360"/>
        <v>377</v>
      </c>
      <c r="BT72" s="299">
        <f t="shared" si="360"/>
        <v>273</v>
      </c>
      <c r="BU72" s="299">
        <f t="shared" si="360"/>
        <v>711</v>
      </c>
      <c r="BV72" s="299">
        <f t="shared" si="360"/>
        <v>1590</v>
      </c>
      <c r="BW72" s="299">
        <f t="shared" si="360"/>
        <v>67622</v>
      </c>
      <c r="BX72" s="299">
        <f t="shared" si="360"/>
        <v>5262</v>
      </c>
      <c r="BY72" s="299">
        <f t="shared" si="360"/>
        <v>1418</v>
      </c>
      <c r="BZ72" s="299">
        <f t="shared" si="360"/>
        <v>0</v>
      </c>
      <c r="CA72" s="269">
        <f t="shared" si="345"/>
        <v>86023.9</v>
      </c>
      <c r="CB72" s="299">
        <f>CB73+CB78+CB79+CB82</f>
        <v>3251</v>
      </c>
      <c r="CC72" s="299">
        <f>CC73+CC78+CC79+CC82</f>
        <v>27371</v>
      </c>
      <c r="CD72" s="299">
        <f>CD73+CD78+CD79+CD82</f>
        <v>3390</v>
      </c>
      <c r="CE72" s="299">
        <f>CE73+CE78+CE79+CE82</f>
        <v>11151</v>
      </c>
      <c r="CF72" s="299">
        <f>CF73+CF78+CF79+CF82</f>
        <v>2707</v>
      </c>
      <c r="CG72" s="299">
        <v>3498</v>
      </c>
      <c r="CH72" s="299">
        <v>3612</v>
      </c>
      <c r="CI72" s="299">
        <v>4303</v>
      </c>
      <c r="CJ72" s="299">
        <f>CJ73+CJ78+CJ82</f>
        <v>3760</v>
      </c>
      <c r="CK72" s="299">
        <f>CK73+CK78+CK82</f>
        <v>4185</v>
      </c>
      <c r="CL72" s="299">
        <f>CL73+CL78+CL82</f>
        <v>37782</v>
      </c>
      <c r="CM72" s="300">
        <f>CM73+CM78+CM82</f>
        <v>4570</v>
      </c>
      <c r="CN72" s="300">
        <f t="shared" si="327"/>
        <v>109580</v>
      </c>
      <c r="CO72" s="267">
        <f>CO73+CO78+CO82</f>
        <v>39471</v>
      </c>
      <c r="CP72" s="229">
        <f>CP73+CP78+CP82</f>
        <v>12327</v>
      </c>
      <c r="CQ72" s="229">
        <f>CQ73+CQ78+CQ82</f>
        <v>45309</v>
      </c>
      <c r="CR72" s="229">
        <f t="shared" ref="CR72:CZ72" si="361">CR73+CR78+CR82</f>
        <v>18842</v>
      </c>
      <c r="CS72" s="229">
        <f t="shared" si="361"/>
        <v>21380</v>
      </c>
      <c r="CT72" s="229">
        <f t="shared" si="361"/>
        <v>27155</v>
      </c>
      <c r="CU72" s="229">
        <f t="shared" si="361"/>
        <v>27592</v>
      </c>
      <c r="CV72" s="229">
        <f t="shared" si="361"/>
        <v>25680</v>
      </c>
      <c r="CW72" s="229">
        <f t="shared" si="361"/>
        <v>32888</v>
      </c>
      <c r="CX72" s="229">
        <f t="shared" si="361"/>
        <v>30204</v>
      </c>
      <c r="CY72" s="229">
        <f t="shared" si="361"/>
        <v>37085</v>
      </c>
      <c r="CZ72" s="268">
        <f t="shared" si="361"/>
        <v>27031</v>
      </c>
      <c r="DA72" s="257">
        <f t="shared" si="329"/>
        <v>344964</v>
      </c>
      <c r="DB72" s="267">
        <f t="shared" ref="DB72:DM72" si="362">DB73+DB78+DB82</f>
        <v>25103</v>
      </c>
      <c r="DC72" s="229">
        <f t="shared" si="362"/>
        <v>24840</v>
      </c>
      <c r="DD72" s="229">
        <f t="shared" si="362"/>
        <v>59817</v>
      </c>
      <c r="DE72" s="229">
        <f t="shared" si="362"/>
        <v>104352</v>
      </c>
      <c r="DF72" s="229">
        <f t="shared" si="362"/>
        <v>29586</v>
      </c>
      <c r="DG72" s="229">
        <f t="shared" si="362"/>
        <v>-54931</v>
      </c>
      <c r="DH72" s="229">
        <f t="shared" si="362"/>
        <v>26824</v>
      </c>
      <c r="DI72" s="229">
        <f t="shared" si="362"/>
        <v>21616</v>
      </c>
      <c r="DJ72" s="229">
        <f t="shared" si="362"/>
        <v>23975</v>
      </c>
      <c r="DK72" s="229">
        <f t="shared" si="362"/>
        <v>68867</v>
      </c>
      <c r="DL72" s="229">
        <f t="shared" si="362"/>
        <v>40828</v>
      </c>
      <c r="DM72" s="268">
        <f t="shared" si="362"/>
        <v>-2853</v>
      </c>
      <c r="DN72" s="229">
        <f t="shared" si="331"/>
        <v>368024</v>
      </c>
      <c r="DO72" s="267">
        <f t="shared" ref="DO72:DZ72" si="363">DO73+DO78+DO82</f>
        <v>29187</v>
      </c>
      <c r="DP72" s="229">
        <f t="shared" si="363"/>
        <v>70126</v>
      </c>
      <c r="DQ72" s="229">
        <f t="shared" si="363"/>
        <v>33775</v>
      </c>
      <c r="DR72" s="229">
        <f t="shared" si="363"/>
        <v>21119</v>
      </c>
      <c r="DS72" s="229">
        <f t="shared" si="363"/>
        <v>30417</v>
      </c>
      <c r="DT72" s="229">
        <f t="shared" si="363"/>
        <v>31231</v>
      </c>
      <c r="DU72" s="229">
        <f t="shared" si="363"/>
        <v>69891</v>
      </c>
      <c r="DV72" s="229">
        <f t="shared" si="363"/>
        <v>35931</v>
      </c>
      <c r="DW72" s="229">
        <f t="shared" si="363"/>
        <v>31992</v>
      </c>
      <c r="DX72" s="229">
        <f t="shared" si="363"/>
        <v>32484</v>
      </c>
      <c r="DY72" s="229">
        <f t="shared" si="363"/>
        <v>34447</v>
      </c>
      <c r="DZ72" s="268">
        <f t="shared" si="363"/>
        <v>19588</v>
      </c>
      <c r="EA72" s="268">
        <f t="shared" si="333"/>
        <v>440188</v>
      </c>
      <c r="EB72" s="267">
        <f>EB73+EB78+EB82</f>
        <v>37358</v>
      </c>
      <c r="EC72" s="229">
        <f t="shared" ref="EC72:EH72" si="364">EC73+EC78+EC82</f>
        <v>82161</v>
      </c>
      <c r="ED72" s="229">
        <f t="shared" si="364"/>
        <v>31414</v>
      </c>
      <c r="EE72" s="229">
        <f t="shared" si="364"/>
        <v>31576</v>
      </c>
      <c r="EF72" s="229">
        <f t="shared" si="364"/>
        <v>29082</v>
      </c>
      <c r="EG72" s="229">
        <f t="shared" si="364"/>
        <v>31003</v>
      </c>
      <c r="EH72" s="229">
        <f t="shared" si="364"/>
        <v>73468</v>
      </c>
      <c r="EI72" s="229">
        <f>EI73+EI78+EI82</f>
        <v>33490</v>
      </c>
      <c r="EJ72" s="229">
        <f>EJ73+EJ78+EJ82</f>
        <v>32226</v>
      </c>
      <c r="EK72" s="229">
        <f>EK73+EK78+EK82</f>
        <v>38212</v>
      </c>
      <c r="EL72" s="229">
        <f>EL73+EL78+EL82</f>
        <v>34136</v>
      </c>
      <c r="EM72" s="268">
        <f>EM73+EM78+EM82</f>
        <v>23798</v>
      </c>
      <c r="EN72" s="268">
        <f t="shared" si="335"/>
        <v>477924</v>
      </c>
      <c r="EO72" s="267">
        <f t="shared" ref="EO72:EU72" si="365">EO73+EO78+EO82</f>
        <v>35828</v>
      </c>
      <c r="EP72" s="229">
        <f t="shared" si="365"/>
        <v>81389</v>
      </c>
      <c r="EQ72" s="229">
        <f t="shared" si="365"/>
        <v>28787</v>
      </c>
      <c r="ER72" s="229">
        <f t="shared" si="365"/>
        <v>4679</v>
      </c>
      <c r="ES72" s="229">
        <f t="shared" si="365"/>
        <v>32608</v>
      </c>
      <c r="ET72" s="229">
        <f t="shared" si="365"/>
        <v>4885</v>
      </c>
      <c r="EU72" s="229">
        <f t="shared" si="365"/>
        <v>9125</v>
      </c>
      <c r="EV72" s="952">
        <v>96707</v>
      </c>
      <c r="EW72" s="229"/>
      <c r="EX72" s="229"/>
      <c r="EY72" s="229"/>
      <c r="EZ72" s="268"/>
      <c r="FA72" s="268"/>
      <c r="FC72" s="317">
        <f t="shared" si="337"/>
        <v>188.76381009256497</v>
      </c>
      <c r="FD72" s="301">
        <f t="shared" si="340"/>
        <v>-15.890053554263739</v>
      </c>
      <c r="FE72" s="145">
        <f t="shared" si="338"/>
        <v>349552</v>
      </c>
      <c r="FF72" s="145">
        <f t="shared" si="339"/>
        <v>294008</v>
      </c>
    </row>
    <row r="73" spans="1:162" ht="15" customHeight="1" x14ac:dyDescent="0.25">
      <c r="A73" s="302" t="s">
        <v>449</v>
      </c>
      <c r="B73" s="298">
        <f t="shared" ref="B73:Z73" si="366">SUM(B74:B77)</f>
        <v>3148</v>
      </c>
      <c r="C73" s="299">
        <f t="shared" si="366"/>
        <v>1328</v>
      </c>
      <c r="D73" s="299">
        <f t="shared" si="366"/>
        <v>4524</v>
      </c>
      <c r="E73" s="299">
        <f t="shared" si="366"/>
        <v>3750</v>
      </c>
      <c r="F73" s="299">
        <f t="shared" si="366"/>
        <v>1524</v>
      </c>
      <c r="G73" s="299">
        <f t="shared" si="366"/>
        <v>3188</v>
      </c>
      <c r="H73" s="299">
        <f t="shared" si="366"/>
        <v>3310</v>
      </c>
      <c r="I73" s="299">
        <f t="shared" si="366"/>
        <v>3039</v>
      </c>
      <c r="J73" s="299">
        <f t="shared" si="366"/>
        <v>2739</v>
      </c>
      <c r="K73" s="299">
        <f t="shared" si="366"/>
        <v>-1572</v>
      </c>
      <c r="L73" s="299">
        <f t="shared" si="366"/>
        <v>2520</v>
      </c>
      <c r="M73" s="300">
        <f t="shared" si="366"/>
        <v>1066</v>
      </c>
      <c r="N73" s="300">
        <f t="shared" ref="N73:N81" si="367">SUM(B73:M73)</f>
        <v>28564</v>
      </c>
      <c r="O73" s="299">
        <f t="shared" si="366"/>
        <v>1867</v>
      </c>
      <c r="P73" s="299">
        <f t="shared" si="366"/>
        <v>-114</v>
      </c>
      <c r="Q73" s="299">
        <f t="shared" si="366"/>
        <v>2393</v>
      </c>
      <c r="R73" s="299">
        <f t="shared" si="366"/>
        <v>1094</v>
      </c>
      <c r="S73" s="299">
        <f t="shared" si="366"/>
        <v>1258</v>
      </c>
      <c r="T73" s="299">
        <f t="shared" si="366"/>
        <v>2217</v>
      </c>
      <c r="U73" s="299">
        <f t="shared" si="366"/>
        <v>-457</v>
      </c>
      <c r="V73" s="299">
        <f t="shared" si="366"/>
        <v>1243</v>
      </c>
      <c r="W73" s="299">
        <f t="shared" si="366"/>
        <v>1229</v>
      </c>
      <c r="X73" s="299">
        <f t="shared" si="366"/>
        <v>332</v>
      </c>
      <c r="Y73" s="299">
        <f t="shared" si="366"/>
        <v>483</v>
      </c>
      <c r="Z73" s="300">
        <f t="shared" si="366"/>
        <v>1092</v>
      </c>
      <c r="AA73" s="299">
        <f t="shared" ref="AA73:AA81" si="368">SUM(O73:Z73)</f>
        <v>12637</v>
      </c>
      <c r="AB73" s="298">
        <f t="shared" ref="AB73:AM73" si="369">SUM(AB74:AB77)</f>
        <v>620</v>
      </c>
      <c r="AC73" s="299">
        <f t="shared" si="369"/>
        <v>125</v>
      </c>
      <c r="AD73" s="299">
        <f t="shared" si="369"/>
        <v>2034</v>
      </c>
      <c r="AE73" s="299">
        <f t="shared" si="369"/>
        <v>1295</v>
      </c>
      <c r="AF73" s="299">
        <f t="shared" si="369"/>
        <v>0</v>
      </c>
      <c r="AG73" s="299">
        <f t="shared" si="369"/>
        <v>722</v>
      </c>
      <c r="AH73" s="299">
        <f t="shared" si="369"/>
        <v>1074</v>
      </c>
      <c r="AI73" s="299">
        <f t="shared" si="369"/>
        <v>114</v>
      </c>
      <c r="AJ73" s="299">
        <f t="shared" si="369"/>
        <v>976</v>
      </c>
      <c r="AK73" s="299">
        <f t="shared" si="369"/>
        <v>1220</v>
      </c>
      <c r="AL73" s="299">
        <f t="shared" si="369"/>
        <v>216</v>
      </c>
      <c r="AM73" s="299">
        <f t="shared" si="369"/>
        <v>1973</v>
      </c>
      <c r="AN73" s="257">
        <f t="shared" ref="AN73:AN81" si="370">SUM(AB73:AM73)</f>
        <v>10369</v>
      </c>
      <c r="AO73" s="298">
        <f t="shared" ref="AO73:AZ73" si="371">SUM(AO74:AO77)</f>
        <v>1332</v>
      </c>
      <c r="AP73" s="299">
        <f t="shared" si="371"/>
        <v>1682</v>
      </c>
      <c r="AQ73" s="299">
        <f t="shared" si="371"/>
        <v>2006</v>
      </c>
      <c r="AR73" s="299">
        <f t="shared" si="371"/>
        <v>192</v>
      </c>
      <c r="AS73" s="299">
        <f t="shared" si="371"/>
        <v>1277</v>
      </c>
      <c r="AT73" s="299">
        <f t="shared" si="371"/>
        <v>1359</v>
      </c>
      <c r="AU73" s="299">
        <f t="shared" si="371"/>
        <v>1005</v>
      </c>
      <c r="AV73" s="299">
        <f t="shared" si="371"/>
        <v>1523</v>
      </c>
      <c r="AW73" s="299">
        <f t="shared" si="371"/>
        <v>0</v>
      </c>
      <c r="AX73" s="299">
        <f t="shared" si="371"/>
        <v>3702</v>
      </c>
      <c r="AY73" s="299">
        <f t="shared" si="371"/>
        <v>2621</v>
      </c>
      <c r="AZ73" s="300">
        <f t="shared" si="371"/>
        <v>2194</v>
      </c>
      <c r="BA73" s="300">
        <f t="shared" ref="BA73:BA81" si="372">SUM(AO73:AZ73)</f>
        <v>18893</v>
      </c>
      <c r="BB73" s="299">
        <f t="shared" ref="BB73:BM73" si="373">SUM(BB74:BB77)</f>
        <v>2607</v>
      </c>
      <c r="BC73" s="299">
        <f t="shared" si="373"/>
        <v>818</v>
      </c>
      <c r="BD73" s="299">
        <f t="shared" si="373"/>
        <v>163</v>
      </c>
      <c r="BE73" s="299">
        <f t="shared" si="373"/>
        <v>1596</v>
      </c>
      <c r="BF73" s="299">
        <f t="shared" si="373"/>
        <v>3604</v>
      </c>
      <c r="BG73" s="299">
        <f t="shared" si="373"/>
        <v>0</v>
      </c>
      <c r="BH73" s="299">
        <v>1584</v>
      </c>
      <c r="BI73" s="299">
        <f t="shared" si="373"/>
        <v>1309</v>
      </c>
      <c r="BJ73" s="299">
        <f t="shared" si="373"/>
        <v>4278</v>
      </c>
      <c r="BK73" s="299">
        <f t="shared" si="373"/>
        <v>3825</v>
      </c>
      <c r="BL73" s="299">
        <f t="shared" si="373"/>
        <v>2796</v>
      </c>
      <c r="BM73" s="300">
        <f t="shared" si="373"/>
        <v>1433</v>
      </c>
      <c r="BN73" s="300">
        <f t="shared" ref="BN73:BN81" si="374">SUM(BB73:BM73)</f>
        <v>24013</v>
      </c>
      <c r="BO73" s="299">
        <f>SUM(BO74:BO77)</f>
        <v>2038</v>
      </c>
      <c r="BP73" s="299">
        <f t="shared" ref="BP73:BV73" si="375">SUM(BP74:BP77)</f>
        <v>0.9</v>
      </c>
      <c r="BQ73" s="299">
        <f t="shared" si="375"/>
        <v>4467</v>
      </c>
      <c r="BR73" s="413">
        <f t="shared" si="375"/>
        <v>686</v>
      </c>
      <c r="BS73" s="413">
        <f t="shared" si="375"/>
        <v>277</v>
      </c>
      <c r="BT73" s="413">
        <f t="shared" si="375"/>
        <v>86</v>
      </c>
      <c r="BU73" s="413">
        <f t="shared" si="375"/>
        <v>174</v>
      </c>
      <c r="BV73" s="413">
        <f t="shared" si="375"/>
        <v>628</v>
      </c>
      <c r="BW73" s="413">
        <f>SUM(BW74:BW77)</f>
        <v>304</v>
      </c>
      <c r="BX73" s="413">
        <f>SUM(BX74:BX77)</f>
        <v>114</v>
      </c>
      <c r="BY73" s="413">
        <f>SUM(BY74:BY77)</f>
        <v>917</v>
      </c>
      <c r="BZ73" s="413">
        <f>SUM(BZ74:BZ77)</f>
        <v>0</v>
      </c>
      <c r="CA73" s="269">
        <f t="shared" si="345"/>
        <v>9691.9</v>
      </c>
      <c r="CB73" s="413">
        <f>SUM(CB74:CB77)</f>
        <v>301</v>
      </c>
      <c r="CC73" s="413">
        <f t="shared" ref="CC73:CM73" si="376">SUM(CC74:CC77)</f>
        <v>1268</v>
      </c>
      <c r="CD73" s="413">
        <f t="shared" si="376"/>
        <v>1649</v>
      </c>
      <c r="CE73" s="413">
        <f t="shared" si="376"/>
        <v>830</v>
      </c>
      <c r="CF73" s="413">
        <f t="shared" si="376"/>
        <v>1462</v>
      </c>
      <c r="CG73" s="413">
        <f t="shared" si="376"/>
        <v>1641</v>
      </c>
      <c r="CH73" s="413">
        <f t="shared" si="376"/>
        <v>2031</v>
      </c>
      <c r="CI73" s="413">
        <f t="shared" si="376"/>
        <v>1558</v>
      </c>
      <c r="CJ73" s="413">
        <f t="shared" si="376"/>
        <v>1423</v>
      </c>
      <c r="CK73" s="413">
        <f t="shared" si="376"/>
        <v>2178</v>
      </c>
      <c r="CL73" s="413">
        <f t="shared" si="376"/>
        <v>2261</v>
      </c>
      <c r="CM73" s="266">
        <f t="shared" si="376"/>
        <v>1447</v>
      </c>
      <c r="CN73" s="266">
        <f t="shared" si="327"/>
        <v>18049</v>
      </c>
      <c r="CO73" s="267">
        <f t="shared" ref="CO73:CZ73" si="377">SUM(CO74:CO77)</f>
        <v>1309</v>
      </c>
      <c r="CP73" s="229">
        <f t="shared" si="377"/>
        <v>6020</v>
      </c>
      <c r="CQ73" s="229">
        <f t="shared" si="377"/>
        <v>4336</v>
      </c>
      <c r="CR73" s="229">
        <f t="shared" si="377"/>
        <v>0</v>
      </c>
      <c r="CS73" s="229">
        <f t="shared" si="377"/>
        <v>4238</v>
      </c>
      <c r="CT73" s="229">
        <f t="shared" si="377"/>
        <v>3878</v>
      </c>
      <c r="CU73" s="229">
        <f t="shared" si="377"/>
        <v>4803</v>
      </c>
      <c r="CV73" s="229">
        <f t="shared" si="377"/>
        <v>2981</v>
      </c>
      <c r="CW73" s="229">
        <f t="shared" si="377"/>
        <v>3011</v>
      </c>
      <c r="CX73" s="229">
        <f t="shared" si="377"/>
        <v>2346</v>
      </c>
      <c r="CY73" s="229">
        <f t="shared" si="377"/>
        <v>1252</v>
      </c>
      <c r="CZ73" s="268">
        <f t="shared" si="377"/>
        <v>7816</v>
      </c>
      <c r="DA73" s="269">
        <f t="shared" si="329"/>
        <v>41990</v>
      </c>
      <c r="DB73" s="267">
        <f t="shared" ref="DB73:DM73" si="378">SUM(DB74:DB77)</f>
        <v>2833</v>
      </c>
      <c r="DC73" s="229">
        <f t="shared" si="378"/>
        <v>-21</v>
      </c>
      <c r="DD73" s="229">
        <f t="shared" si="378"/>
        <v>2566</v>
      </c>
      <c r="DE73" s="229">
        <f t="shared" si="378"/>
        <v>25</v>
      </c>
      <c r="DF73" s="229">
        <f t="shared" si="378"/>
        <v>5947</v>
      </c>
      <c r="DG73" s="229">
        <f t="shared" si="378"/>
        <v>2331</v>
      </c>
      <c r="DH73" s="229">
        <f t="shared" si="378"/>
        <v>2258</v>
      </c>
      <c r="DI73" s="229">
        <f t="shared" si="378"/>
        <v>1983</v>
      </c>
      <c r="DJ73" s="229">
        <f t="shared" si="378"/>
        <v>1898</v>
      </c>
      <c r="DK73" s="229">
        <f t="shared" si="378"/>
        <v>1855</v>
      </c>
      <c r="DL73" s="229">
        <f t="shared" si="378"/>
        <v>2788</v>
      </c>
      <c r="DM73" s="268">
        <f t="shared" si="378"/>
        <v>2179</v>
      </c>
      <c r="DN73" s="229">
        <f t="shared" si="331"/>
        <v>26642</v>
      </c>
      <c r="DO73" s="267">
        <f t="shared" ref="DO73:DZ73" si="379">SUM(DO74:DO77)</f>
        <v>3521</v>
      </c>
      <c r="DP73" s="229">
        <f t="shared" si="379"/>
        <v>-39</v>
      </c>
      <c r="DQ73" s="229">
        <f t="shared" si="379"/>
        <v>5391</v>
      </c>
      <c r="DR73" s="229">
        <f t="shared" si="379"/>
        <v>2565</v>
      </c>
      <c r="DS73" s="229">
        <f t="shared" si="379"/>
        <v>3153</v>
      </c>
      <c r="DT73" s="229">
        <f t="shared" si="379"/>
        <v>245</v>
      </c>
      <c r="DU73" s="229">
        <f t="shared" si="379"/>
        <v>5244</v>
      </c>
      <c r="DV73" s="229">
        <f t="shared" si="379"/>
        <v>3391</v>
      </c>
      <c r="DW73" s="229">
        <f t="shared" si="379"/>
        <v>2327</v>
      </c>
      <c r="DX73" s="229">
        <f t="shared" si="379"/>
        <v>1646</v>
      </c>
      <c r="DY73" s="229">
        <f t="shared" si="379"/>
        <v>3007</v>
      </c>
      <c r="DZ73" s="268">
        <f t="shared" si="379"/>
        <v>1015</v>
      </c>
      <c r="EA73" s="268">
        <f t="shared" si="333"/>
        <v>31466</v>
      </c>
      <c r="EB73" s="267">
        <f t="shared" ref="EB73:EH73" si="380">SUM(EB74:EB77)</f>
        <v>5483</v>
      </c>
      <c r="EC73" s="229">
        <f t="shared" si="380"/>
        <v>3021</v>
      </c>
      <c r="ED73" s="229">
        <f t="shared" si="380"/>
        <v>2615</v>
      </c>
      <c r="EE73" s="229">
        <f t="shared" si="380"/>
        <v>2995</v>
      </c>
      <c r="EF73" s="229">
        <f t="shared" si="380"/>
        <v>2638</v>
      </c>
      <c r="EG73" s="229">
        <f t="shared" si="380"/>
        <v>2070</v>
      </c>
      <c r="EH73" s="229">
        <f t="shared" si="380"/>
        <v>2961</v>
      </c>
      <c r="EI73" s="229">
        <f>SUM(EI74:EI77)</f>
        <v>3005</v>
      </c>
      <c r="EJ73" s="229">
        <f>SUM(EJ74:EJ77)</f>
        <v>2466</v>
      </c>
      <c r="EK73" s="229">
        <f>SUM(EK74:EK77)</f>
        <v>2200</v>
      </c>
      <c r="EL73" s="229">
        <f>SUM(EL74:EL77)</f>
        <v>1951</v>
      </c>
      <c r="EM73" s="268">
        <f>SUM(EM74:EM77)</f>
        <v>1736</v>
      </c>
      <c r="EN73" s="268">
        <f t="shared" si="335"/>
        <v>33141</v>
      </c>
      <c r="EO73" s="267">
        <f>SUM(EO74:EO77)</f>
        <v>412</v>
      </c>
      <c r="EP73" s="229">
        <f>SUM(EP74:EP77)</f>
        <v>1971</v>
      </c>
      <c r="EQ73" s="229">
        <f>SUM(EQ74:EQ77)</f>
        <v>1737</v>
      </c>
      <c r="ER73" s="229">
        <f>SUM(ER74:ER77)</f>
        <v>500</v>
      </c>
      <c r="ES73" s="229">
        <f>SUM(ES74:ES77)</f>
        <v>412</v>
      </c>
      <c r="ET73" s="229">
        <f t="shared" ref="ET73" si="381">SUM(ET74:ET77)</f>
        <v>0</v>
      </c>
      <c r="EU73" s="229">
        <f>SUM(EU74:EU77)</f>
        <v>700</v>
      </c>
      <c r="EV73" s="952">
        <v>4090</v>
      </c>
      <c r="EW73" s="229"/>
      <c r="EX73" s="229"/>
      <c r="EY73" s="229"/>
      <c r="EZ73" s="268"/>
      <c r="FA73" s="268"/>
      <c r="FC73" s="317">
        <f t="shared" si="337"/>
        <v>36.106489184692173</v>
      </c>
      <c r="FD73" s="301">
        <f>IFERROR(((FF73/FE73)-1)*100,"-")</f>
        <v>-60.375988381474912</v>
      </c>
      <c r="FE73" s="145">
        <f t="shared" si="338"/>
        <v>24788</v>
      </c>
      <c r="FF73" s="145">
        <f t="shared" si="339"/>
        <v>9822</v>
      </c>
    </row>
    <row r="74" spans="1:162" ht="15" customHeight="1" x14ac:dyDescent="0.25">
      <c r="A74" s="138" t="s">
        <v>450</v>
      </c>
      <c r="B74" s="245"/>
      <c r="C74" s="205"/>
      <c r="D74" s="205"/>
      <c r="E74" s="205"/>
      <c r="F74" s="205"/>
      <c r="G74" s="205"/>
      <c r="H74" s="205"/>
      <c r="I74" s="205"/>
      <c r="J74" s="205">
        <v>2739</v>
      </c>
      <c r="K74" s="205"/>
      <c r="L74" s="205"/>
      <c r="M74" s="246"/>
      <c r="N74" s="246">
        <f t="shared" si="367"/>
        <v>2739</v>
      </c>
      <c r="O74" s="205"/>
      <c r="P74" s="205"/>
      <c r="Q74" s="205"/>
      <c r="R74" s="205"/>
      <c r="S74" s="205"/>
      <c r="T74" s="205">
        <v>243</v>
      </c>
      <c r="U74" s="205"/>
      <c r="V74" s="205"/>
      <c r="W74" s="205"/>
      <c r="X74" s="205"/>
      <c r="Y74" s="205"/>
      <c r="Z74" s="246"/>
      <c r="AA74" s="205">
        <f t="shared" si="368"/>
        <v>243</v>
      </c>
      <c r="AB74" s="245"/>
      <c r="AC74" s="205"/>
      <c r="AD74" s="205"/>
      <c r="AE74" s="205"/>
      <c r="AF74" s="205"/>
      <c r="AG74" s="205">
        <v>722</v>
      </c>
      <c r="AH74" s="205"/>
      <c r="AI74" s="205"/>
      <c r="AJ74" s="205"/>
      <c r="AK74" s="205"/>
      <c r="AL74" s="205"/>
      <c r="AM74" s="205"/>
      <c r="AN74" s="202">
        <f t="shared" si="370"/>
        <v>722</v>
      </c>
      <c r="AO74" s="24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46"/>
      <c r="BA74" s="246">
        <f t="shared" si="372"/>
        <v>0</v>
      </c>
      <c r="BB74" s="205"/>
      <c r="BC74" s="205"/>
      <c r="BD74" s="205"/>
      <c r="BE74" s="205">
        <v>54</v>
      </c>
      <c r="BF74" s="205">
        <v>81</v>
      </c>
      <c r="BG74" s="205"/>
      <c r="BH74" s="205"/>
      <c r="BI74" s="205"/>
      <c r="BJ74" s="205"/>
      <c r="BK74" s="205"/>
      <c r="BL74" s="205"/>
      <c r="BM74" s="246"/>
      <c r="BN74" s="246">
        <f t="shared" si="374"/>
        <v>135</v>
      </c>
      <c r="BO74" s="205"/>
      <c r="BP74" s="205"/>
      <c r="BQ74" s="205"/>
      <c r="BR74" s="169"/>
      <c r="BS74" s="169"/>
      <c r="BT74" s="169"/>
      <c r="BU74" s="169"/>
      <c r="BV74" s="169"/>
      <c r="BW74" s="169"/>
      <c r="BX74" s="169"/>
      <c r="BY74" s="169"/>
      <c r="BZ74" s="169"/>
      <c r="CA74" s="150">
        <f t="shared" si="345"/>
        <v>0</v>
      </c>
      <c r="CB74" s="169"/>
      <c r="CC74" s="169"/>
      <c r="CD74" s="169">
        <v>1649</v>
      </c>
      <c r="CE74" s="169">
        <v>830</v>
      </c>
      <c r="CF74" s="169"/>
      <c r="CG74" s="169"/>
      <c r="CH74" s="169"/>
      <c r="CI74" s="169"/>
      <c r="CJ74" s="169"/>
      <c r="CK74" s="169"/>
      <c r="CL74" s="169"/>
      <c r="CM74" s="170"/>
      <c r="CN74" s="170">
        <f t="shared" si="327"/>
        <v>2479</v>
      </c>
      <c r="CO74" s="162"/>
      <c r="CP74" s="151"/>
      <c r="CQ74" s="151"/>
      <c r="CR74" s="151"/>
      <c r="CS74" s="151"/>
      <c r="CT74" s="151"/>
      <c r="CU74" s="151"/>
      <c r="CV74" s="151"/>
      <c r="CW74" s="151"/>
      <c r="CX74" s="151"/>
      <c r="CY74" s="151"/>
      <c r="CZ74" s="241"/>
      <c r="DA74" s="150">
        <f t="shared" si="329"/>
        <v>0</v>
      </c>
      <c r="DB74" s="162"/>
      <c r="DC74" s="151"/>
      <c r="DD74" s="151"/>
      <c r="DE74" s="151"/>
      <c r="DF74" s="151"/>
      <c r="DG74" s="151"/>
      <c r="DH74" s="151">
        <v>50</v>
      </c>
      <c r="DI74" s="151">
        <v>401</v>
      </c>
      <c r="DJ74" s="151">
        <v>20</v>
      </c>
      <c r="DK74" s="151">
        <v>116</v>
      </c>
      <c r="DL74" s="151"/>
      <c r="DM74" s="241">
        <v>577</v>
      </c>
      <c r="DN74" s="151">
        <f t="shared" si="331"/>
        <v>1164</v>
      </c>
      <c r="DO74" s="162"/>
      <c r="DP74" s="151"/>
      <c r="DQ74" s="151"/>
      <c r="DR74" s="151"/>
      <c r="DS74" s="151">
        <v>13</v>
      </c>
      <c r="DT74" s="151">
        <v>432</v>
      </c>
      <c r="DU74" s="151"/>
      <c r="DV74" s="151"/>
      <c r="DW74" s="151"/>
      <c r="DX74" s="151"/>
      <c r="DY74" s="151"/>
      <c r="DZ74" s="241"/>
      <c r="EA74" s="241">
        <f t="shared" si="333"/>
        <v>445</v>
      </c>
      <c r="EB74" s="162">
        <v>0</v>
      </c>
      <c r="EC74" s="151">
        <v>0</v>
      </c>
      <c r="ED74" s="151">
        <v>200</v>
      </c>
      <c r="EE74" s="151">
        <v>0</v>
      </c>
      <c r="EF74" s="151">
        <v>264</v>
      </c>
      <c r="EG74" s="151">
        <v>0</v>
      </c>
      <c r="EH74" s="151">
        <v>824</v>
      </c>
      <c r="EI74" s="151">
        <v>3003</v>
      </c>
      <c r="EJ74" s="151">
        <v>412</v>
      </c>
      <c r="EK74" s="151">
        <v>412</v>
      </c>
      <c r="EL74" s="151">
        <v>412</v>
      </c>
      <c r="EM74" s="241">
        <v>454</v>
      </c>
      <c r="EN74" s="241">
        <f t="shared" si="335"/>
        <v>5981</v>
      </c>
      <c r="EO74" s="162">
        <v>412</v>
      </c>
      <c r="EP74" s="151">
        <v>474</v>
      </c>
      <c r="EQ74" s="151">
        <v>217</v>
      </c>
      <c r="ER74" s="151">
        <v>0</v>
      </c>
      <c r="ES74" s="151">
        <v>412</v>
      </c>
      <c r="ET74" s="151">
        <v>0</v>
      </c>
      <c r="EU74" s="151">
        <v>700</v>
      </c>
      <c r="EV74" s="950">
        <v>2145</v>
      </c>
      <c r="EW74" s="151"/>
      <c r="EX74" s="151"/>
      <c r="EY74" s="151"/>
      <c r="EZ74" s="241"/>
      <c r="FA74" s="241"/>
      <c r="FC74" s="316">
        <f t="shared" si="337"/>
        <v>-28.571428571428569</v>
      </c>
      <c r="FD74" s="264">
        <f t="shared" si="340"/>
        <v>1.6080167793055322</v>
      </c>
      <c r="FE74" s="148">
        <f t="shared" si="338"/>
        <v>4291</v>
      </c>
      <c r="FF74" s="148">
        <f t="shared" si="339"/>
        <v>4360</v>
      </c>
    </row>
    <row r="75" spans="1:162" ht="15" customHeight="1" x14ac:dyDescent="0.25">
      <c r="A75" s="138" t="s">
        <v>451</v>
      </c>
      <c r="B75" s="245">
        <v>3148</v>
      </c>
      <c r="C75" s="205">
        <v>1328</v>
      </c>
      <c r="D75" s="205">
        <v>4524</v>
      </c>
      <c r="E75" s="205">
        <v>3750</v>
      </c>
      <c r="F75" s="205">
        <v>1524</v>
      </c>
      <c r="G75" s="205">
        <v>3188</v>
      </c>
      <c r="H75" s="205">
        <v>3310</v>
      </c>
      <c r="I75" s="205">
        <v>3039</v>
      </c>
      <c r="J75" s="205"/>
      <c r="K75" s="205">
        <v>-1572</v>
      </c>
      <c r="L75" s="205">
        <v>2520</v>
      </c>
      <c r="M75" s="246">
        <v>1066</v>
      </c>
      <c r="N75" s="246">
        <f t="shared" si="367"/>
        <v>25825</v>
      </c>
      <c r="O75" s="205">
        <v>1867</v>
      </c>
      <c r="P75" s="205">
        <v>-114</v>
      </c>
      <c r="Q75" s="205">
        <v>2393</v>
      </c>
      <c r="R75" s="205">
        <v>1094</v>
      </c>
      <c r="S75" s="205">
        <v>1258</v>
      </c>
      <c r="T75" s="205">
        <v>1974</v>
      </c>
      <c r="U75" s="205">
        <v>-457</v>
      </c>
      <c r="V75" s="205">
        <v>1243</v>
      </c>
      <c r="W75" s="205">
        <v>1229</v>
      </c>
      <c r="X75" s="205">
        <v>332</v>
      </c>
      <c r="Y75" s="205">
        <v>483</v>
      </c>
      <c r="Z75" s="246">
        <v>1092</v>
      </c>
      <c r="AA75" s="205">
        <f t="shared" si="368"/>
        <v>12394</v>
      </c>
      <c r="AB75" s="245">
        <v>620</v>
      </c>
      <c r="AC75" s="205">
        <v>125</v>
      </c>
      <c r="AD75" s="205">
        <v>2034</v>
      </c>
      <c r="AE75" s="205">
        <v>1295</v>
      </c>
      <c r="AF75" s="205"/>
      <c r="AG75" s="205"/>
      <c r="AH75" s="205">
        <v>1074</v>
      </c>
      <c r="AI75" s="205">
        <v>114</v>
      </c>
      <c r="AJ75" s="205">
        <v>976</v>
      </c>
      <c r="AK75" s="205">
        <v>1220</v>
      </c>
      <c r="AL75" s="205">
        <v>216</v>
      </c>
      <c r="AM75" s="205">
        <v>1973</v>
      </c>
      <c r="AN75" s="202">
        <f t="shared" si="370"/>
        <v>9647</v>
      </c>
      <c r="AO75" s="245">
        <v>1332</v>
      </c>
      <c r="AP75" s="205">
        <v>1682</v>
      </c>
      <c r="AQ75" s="205">
        <v>2006</v>
      </c>
      <c r="AR75" s="205">
        <v>192</v>
      </c>
      <c r="AS75" s="205">
        <v>1277</v>
      </c>
      <c r="AT75" s="205">
        <v>1359</v>
      </c>
      <c r="AU75" s="205">
        <v>1005</v>
      </c>
      <c r="AV75" s="205">
        <v>1523</v>
      </c>
      <c r="AW75" s="205"/>
      <c r="AX75" s="205">
        <v>3702</v>
      </c>
      <c r="AY75" s="205">
        <v>2621</v>
      </c>
      <c r="AZ75" s="246">
        <v>2194</v>
      </c>
      <c r="BA75" s="246">
        <f t="shared" si="372"/>
        <v>18893</v>
      </c>
      <c r="BB75" s="205">
        <v>2607</v>
      </c>
      <c r="BC75" s="205">
        <v>818</v>
      </c>
      <c r="BD75" s="205">
        <v>163</v>
      </c>
      <c r="BE75" s="205">
        <v>1542</v>
      </c>
      <c r="BF75" s="205">
        <v>3523</v>
      </c>
      <c r="BG75" s="205"/>
      <c r="BH75" s="205">
        <v>1584</v>
      </c>
      <c r="BI75" s="205">
        <v>1309</v>
      </c>
      <c r="BJ75" s="205">
        <v>4278</v>
      </c>
      <c r="BK75" s="205">
        <v>3825</v>
      </c>
      <c r="BL75" s="205">
        <v>2796</v>
      </c>
      <c r="BM75" s="246">
        <v>1433</v>
      </c>
      <c r="BN75" s="246">
        <f t="shared" si="374"/>
        <v>23878</v>
      </c>
      <c r="BO75" s="205">
        <v>2038</v>
      </c>
      <c r="BP75" s="205">
        <v>0.9</v>
      </c>
      <c r="BQ75" s="205">
        <v>4467</v>
      </c>
      <c r="BR75" s="169">
        <v>686</v>
      </c>
      <c r="BS75" s="169">
        <v>277</v>
      </c>
      <c r="BT75" s="169">
        <v>86</v>
      </c>
      <c r="BU75" s="169">
        <v>174</v>
      </c>
      <c r="BV75" s="169">
        <v>478</v>
      </c>
      <c r="BW75" s="169">
        <v>204</v>
      </c>
      <c r="BX75" s="169">
        <v>114</v>
      </c>
      <c r="BY75" s="169">
        <v>917</v>
      </c>
      <c r="BZ75" s="169"/>
      <c r="CA75" s="150">
        <f t="shared" si="345"/>
        <v>9441.9</v>
      </c>
      <c r="CB75" s="169">
        <v>301</v>
      </c>
      <c r="CC75" s="169">
        <v>1268</v>
      </c>
      <c r="CD75" s="169"/>
      <c r="CE75" s="169"/>
      <c r="CF75" s="169">
        <v>1462</v>
      </c>
      <c r="CG75" s="169">
        <v>1641</v>
      </c>
      <c r="CH75" s="169">
        <v>2031</v>
      </c>
      <c r="CI75" s="169">
        <v>1558</v>
      </c>
      <c r="CJ75" s="169">
        <v>1423</v>
      </c>
      <c r="CK75" s="169">
        <v>2178</v>
      </c>
      <c r="CL75" s="169">
        <v>2261</v>
      </c>
      <c r="CM75" s="170">
        <v>1447</v>
      </c>
      <c r="CN75" s="170">
        <f t="shared" si="327"/>
        <v>15570</v>
      </c>
      <c r="CO75" s="162">
        <v>1309</v>
      </c>
      <c r="CP75" s="151">
        <v>6020</v>
      </c>
      <c r="CQ75" s="151">
        <v>4336</v>
      </c>
      <c r="CR75" s="151"/>
      <c r="CS75" s="151">
        <v>4238</v>
      </c>
      <c r="CT75" s="151">
        <v>3878</v>
      </c>
      <c r="CU75" s="151">
        <v>4803</v>
      </c>
      <c r="CV75" s="151">
        <v>2981</v>
      </c>
      <c r="CW75" s="151">
        <v>3011</v>
      </c>
      <c r="CX75" s="151">
        <v>2346</v>
      </c>
      <c r="CY75" s="151">
        <v>1252</v>
      </c>
      <c r="CZ75" s="241">
        <v>7816</v>
      </c>
      <c r="DA75" s="150">
        <f t="shared" si="329"/>
        <v>41990</v>
      </c>
      <c r="DB75" s="162">
        <v>2833</v>
      </c>
      <c r="DC75" s="151">
        <v>-21</v>
      </c>
      <c r="DD75" s="151">
        <v>2566</v>
      </c>
      <c r="DE75" s="151">
        <v>25</v>
      </c>
      <c r="DF75" s="151">
        <v>5947</v>
      </c>
      <c r="DG75" s="151">
        <v>2331</v>
      </c>
      <c r="DH75" s="151">
        <v>2208</v>
      </c>
      <c r="DI75" s="151">
        <v>1582</v>
      </c>
      <c r="DJ75" s="151">
        <v>1878</v>
      </c>
      <c r="DK75" s="151">
        <v>1739</v>
      </c>
      <c r="DL75" s="151">
        <v>2788</v>
      </c>
      <c r="DM75" s="241">
        <v>1602</v>
      </c>
      <c r="DN75" s="151">
        <f t="shared" si="331"/>
        <v>25478</v>
      </c>
      <c r="DO75" s="162">
        <v>3521</v>
      </c>
      <c r="DP75" s="151">
        <v>-39</v>
      </c>
      <c r="DQ75" s="151">
        <v>5391</v>
      </c>
      <c r="DR75" s="151">
        <v>2565</v>
      </c>
      <c r="DS75" s="151">
        <v>3140</v>
      </c>
      <c r="DT75" s="151">
        <v>-187</v>
      </c>
      <c r="DU75" s="151">
        <v>5244</v>
      </c>
      <c r="DV75" s="151">
        <v>3391</v>
      </c>
      <c r="DW75" s="151">
        <v>2327</v>
      </c>
      <c r="DX75" s="151">
        <v>1646</v>
      </c>
      <c r="DY75" s="151">
        <v>3007</v>
      </c>
      <c r="DZ75" s="241">
        <v>1015</v>
      </c>
      <c r="EA75" s="241">
        <f t="shared" si="333"/>
        <v>31021</v>
      </c>
      <c r="EB75" s="162">
        <v>5483</v>
      </c>
      <c r="EC75" s="151">
        <v>3021</v>
      </c>
      <c r="ED75" s="151">
        <v>2415</v>
      </c>
      <c r="EE75" s="151">
        <v>2995</v>
      </c>
      <c r="EF75" s="151">
        <v>2374</v>
      </c>
      <c r="EG75" s="151">
        <v>2070</v>
      </c>
      <c r="EH75" s="151">
        <v>2137</v>
      </c>
      <c r="EI75" s="151">
        <v>-8</v>
      </c>
      <c r="EJ75" s="151">
        <v>2053</v>
      </c>
      <c r="EK75" s="151">
        <v>1788</v>
      </c>
      <c r="EL75" s="151">
        <v>1539</v>
      </c>
      <c r="EM75" s="241">
        <v>1282</v>
      </c>
      <c r="EN75" s="241">
        <f t="shared" si="335"/>
        <v>27149</v>
      </c>
      <c r="EO75" s="162">
        <v>0</v>
      </c>
      <c r="EP75" s="151">
        <v>1497</v>
      </c>
      <c r="EQ75" s="151">
        <v>1520</v>
      </c>
      <c r="ER75" s="151">
        <v>500</v>
      </c>
      <c r="ES75" s="151">
        <v>0</v>
      </c>
      <c r="ET75" s="151">
        <v>0</v>
      </c>
      <c r="EU75" s="151">
        <v>0</v>
      </c>
      <c r="EV75" s="950">
        <v>1945</v>
      </c>
      <c r="EW75" s="151"/>
      <c r="EX75" s="151"/>
      <c r="EY75" s="151"/>
      <c r="EZ75" s="241"/>
      <c r="FA75" s="241"/>
      <c r="FC75" s="316">
        <f t="shared" si="337"/>
        <v>-24412.5</v>
      </c>
      <c r="FD75" s="264">
        <f t="shared" si="340"/>
        <v>-73.339190706301551</v>
      </c>
      <c r="FE75" s="148">
        <f t="shared" si="338"/>
        <v>20487</v>
      </c>
      <c r="FF75" s="148">
        <f t="shared" si="339"/>
        <v>5462</v>
      </c>
    </row>
    <row r="76" spans="1:162" ht="15" customHeight="1" x14ac:dyDescent="0.25">
      <c r="A76" s="138" t="s">
        <v>452</v>
      </c>
      <c r="B76" s="24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46"/>
      <c r="N76" s="246">
        <f t="shared" si="367"/>
        <v>0</v>
      </c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46"/>
      <c r="AA76" s="205">
        <f t="shared" si="368"/>
        <v>0</v>
      </c>
      <c r="AB76" s="24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2">
        <f t="shared" si="370"/>
        <v>0</v>
      </c>
      <c r="AO76" s="24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46"/>
      <c r="BA76" s="246">
        <f t="shared" si="372"/>
        <v>0</v>
      </c>
      <c r="BB76" s="205"/>
      <c r="BC76" s="205"/>
      <c r="BD76" s="205"/>
      <c r="BE76" s="205"/>
      <c r="BF76" s="205"/>
      <c r="BG76" s="205"/>
      <c r="BH76" s="205"/>
      <c r="BI76" s="205"/>
      <c r="BJ76" s="205"/>
      <c r="BK76" s="205"/>
      <c r="BL76" s="205"/>
      <c r="BM76" s="246"/>
      <c r="BN76" s="246">
        <f t="shared" si="374"/>
        <v>0</v>
      </c>
      <c r="BO76" s="205"/>
      <c r="BP76" s="205"/>
      <c r="BQ76" s="205"/>
      <c r="BR76" s="169"/>
      <c r="BS76" s="169"/>
      <c r="BT76" s="169"/>
      <c r="BU76" s="169"/>
      <c r="BV76" s="169"/>
      <c r="BW76" s="169"/>
      <c r="BX76" s="169"/>
      <c r="BY76" s="169"/>
      <c r="BZ76" s="169"/>
      <c r="CA76" s="150">
        <f t="shared" si="345"/>
        <v>0</v>
      </c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70"/>
      <c r="CN76" s="170">
        <f t="shared" si="327"/>
        <v>0</v>
      </c>
      <c r="CO76" s="162"/>
      <c r="CP76" s="151"/>
      <c r="CQ76" s="151"/>
      <c r="CR76" s="151"/>
      <c r="CS76" s="151"/>
      <c r="CT76" s="151"/>
      <c r="CU76" s="151"/>
      <c r="CV76" s="151"/>
      <c r="CW76" s="151"/>
      <c r="CX76" s="151"/>
      <c r="CY76" s="151"/>
      <c r="CZ76" s="241"/>
      <c r="DA76" s="150">
        <f t="shared" si="329"/>
        <v>0</v>
      </c>
      <c r="DB76" s="162"/>
      <c r="DC76" s="151"/>
      <c r="DD76" s="151"/>
      <c r="DE76" s="151"/>
      <c r="DF76" s="151"/>
      <c r="DG76" s="151"/>
      <c r="DH76" s="151"/>
      <c r="DI76" s="151"/>
      <c r="DJ76" s="151"/>
      <c r="DK76" s="151"/>
      <c r="DL76" s="151"/>
      <c r="DM76" s="241"/>
      <c r="DN76" s="151">
        <f t="shared" si="331"/>
        <v>0</v>
      </c>
      <c r="DO76" s="162"/>
      <c r="DP76" s="151"/>
      <c r="DQ76" s="151"/>
      <c r="DR76" s="151"/>
      <c r="DS76" s="151"/>
      <c r="DT76" s="151"/>
      <c r="DU76" s="151"/>
      <c r="DV76" s="151"/>
      <c r="DW76" s="151"/>
      <c r="DX76" s="151"/>
      <c r="DY76" s="151"/>
      <c r="DZ76" s="241"/>
      <c r="EA76" s="241">
        <f t="shared" si="333"/>
        <v>0</v>
      </c>
      <c r="EB76" s="162">
        <v>0</v>
      </c>
      <c r="EC76" s="151">
        <v>0</v>
      </c>
      <c r="ED76" s="151">
        <v>0</v>
      </c>
      <c r="EE76" s="151">
        <v>0</v>
      </c>
      <c r="EF76" s="151">
        <v>0</v>
      </c>
      <c r="EG76" s="151">
        <v>0</v>
      </c>
      <c r="EH76" s="151">
        <v>0</v>
      </c>
      <c r="EI76" s="151">
        <v>10</v>
      </c>
      <c r="EJ76" s="151">
        <v>1</v>
      </c>
      <c r="EK76" s="151">
        <v>0</v>
      </c>
      <c r="EL76" s="151">
        <v>0</v>
      </c>
      <c r="EM76" s="241">
        <v>0</v>
      </c>
      <c r="EN76" s="241">
        <f t="shared" si="335"/>
        <v>11</v>
      </c>
      <c r="EO76" s="162">
        <v>0</v>
      </c>
      <c r="EP76" s="151">
        <v>0</v>
      </c>
      <c r="EQ76" s="151">
        <v>0</v>
      </c>
      <c r="ER76" s="151">
        <v>0</v>
      </c>
      <c r="ES76" s="151">
        <v>0</v>
      </c>
      <c r="ET76" s="151">
        <v>0</v>
      </c>
      <c r="EU76" s="151">
        <v>0</v>
      </c>
      <c r="EV76" s="950">
        <v>0</v>
      </c>
      <c r="EW76" s="151"/>
      <c r="EX76" s="151"/>
      <c r="EY76" s="151"/>
      <c r="EZ76" s="241"/>
      <c r="FA76" s="241"/>
      <c r="FC76" s="316">
        <f t="shared" si="337"/>
        <v>-100</v>
      </c>
      <c r="FD76" s="264">
        <f t="shared" si="340"/>
        <v>-100</v>
      </c>
      <c r="FE76" s="148">
        <f t="shared" si="338"/>
        <v>10</v>
      </c>
      <c r="FF76" s="148">
        <f t="shared" si="339"/>
        <v>0</v>
      </c>
    </row>
    <row r="77" spans="1:162" ht="15" customHeight="1" x14ac:dyDescent="0.25">
      <c r="A77" s="138" t="s">
        <v>453</v>
      </c>
      <c r="B77" s="24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46"/>
      <c r="N77" s="246">
        <f t="shared" si="367"/>
        <v>0</v>
      </c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46"/>
      <c r="AA77" s="205">
        <f t="shared" si="368"/>
        <v>0</v>
      </c>
      <c r="AB77" s="24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  <c r="AN77" s="202">
        <f t="shared" si="370"/>
        <v>0</v>
      </c>
      <c r="AO77" s="24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46"/>
      <c r="BA77" s="246">
        <f t="shared" si="372"/>
        <v>0</v>
      </c>
      <c r="BB77" s="205"/>
      <c r="BC77" s="205"/>
      <c r="BD77" s="205"/>
      <c r="BE77" s="205"/>
      <c r="BF77" s="205"/>
      <c r="BG77" s="205"/>
      <c r="BH77" s="205"/>
      <c r="BI77" s="205"/>
      <c r="BJ77" s="205"/>
      <c r="BK77" s="205"/>
      <c r="BL77" s="205"/>
      <c r="BM77" s="246"/>
      <c r="BN77" s="246">
        <f t="shared" si="374"/>
        <v>0</v>
      </c>
      <c r="BO77" s="205"/>
      <c r="BP77" s="205"/>
      <c r="BQ77" s="205"/>
      <c r="BR77" s="169"/>
      <c r="BS77" s="169"/>
      <c r="BT77" s="169"/>
      <c r="BU77" s="169"/>
      <c r="BV77" s="169">
        <v>150</v>
      </c>
      <c r="BW77" s="169">
        <v>100</v>
      </c>
      <c r="BX77" s="169"/>
      <c r="BY77" s="169"/>
      <c r="BZ77" s="169"/>
      <c r="CA77" s="150">
        <f t="shared" si="345"/>
        <v>250</v>
      </c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70"/>
      <c r="CN77" s="170">
        <f t="shared" si="327"/>
        <v>0</v>
      </c>
      <c r="CO77" s="162"/>
      <c r="CP77" s="151"/>
      <c r="CQ77" s="151"/>
      <c r="CR77" s="151"/>
      <c r="CS77" s="151"/>
      <c r="CT77" s="151"/>
      <c r="CU77" s="151"/>
      <c r="CV77" s="151"/>
      <c r="CW77" s="151"/>
      <c r="CX77" s="151"/>
      <c r="CY77" s="151"/>
      <c r="CZ77" s="241"/>
      <c r="DA77" s="150">
        <f t="shared" si="329"/>
        <v>0</v>
      </c>
      <c r="DB77" s="162"/>
      <c r="DC77" s="151"/>
      <c r="DD77" s="151"/>
      <c r="DE77" s="151"/>
      <c r="DF77" s="151"/>
      <c r="DG77" s="151"/>
      <c r="DH77" s="151"/>
      <c r="DI77" s="151"/>
      <c r="DJ77" s="151"/>
      <c r="DK77" s="151"/>
      <c r="DL77" s="151"/>
      <c r="DM77" s="241"/>
      <c r="DN77" s="151">
        <f t="shared" si="331"/>
        <v>0</v>
      </c>
      <c r="DO77" s="162"/>
      <c r="DP77" s="151"/>
      <c r="DQ77" s="151"/>
      <c r="DR77" s="151"/>
      <c r="DS77" s="151"/>
      <c r="DT77" s="151"/>
      <c r="DU77" s="151"/>
      <c r="DV77" s="151"/>
      <c r="DW77" s="151"/>
      <c r="DX77" s="151"/>
      <c r="DY77" s="151"/>
      <c r="DZ77" s="241"/>
      <c r="EA77" s="241">
        <f t="shared" si="333"/>
        <v>0</v>
      </c>
      <c r="EB77" s="162">
        <v>0</v>
      </c>
      <c r="EC77" s="151">
        <v>0</v>
      </c>
      <c r="ED77" s="151">
        <v>0</v>
      </c>
      <c r="EE77" s="151">
        <v>0</v>
      </c>
      <c r="EF77" s="151">
        <v>0</v>
      </c>
      <c r="EG77" s="151">
        <v>0</v>
      </c>
      <c r="EH77" s="151">
        <v>0</v>
      </c>
      <c r="EI77" s="151">
        <v>0</v>
      </c>
      <c r="EJ77" s="151">
        <v>0</v>
      </c>
      <c r="EK77" s="151">
        <v>0</v>
      </c>
      <c r="EL77" s="151">
        <v>0</v>
      </c>
      <c r="EM77" s="241">
        <v>0</v>
      </c>
      <c r="EN77" s="241">
        <f t="shared" si="335"/>
        <v>0</v>
      </c>
      <c r="EO77" s="162">
        <v>0</v>
      </c>
      <c r="EP77" s="151">
        <v>0</v>
      </c>
      <c r="EQ77" s="151">
        <v>0</v>
      </c>
      <c r="ER77" s="151">
        <v>0</v>
      </c>
      <c r="ES77" s="151">
        <v>0</v>
      </c>
      <c r="ET77" s="151">
        <v>0</v>
      </c>
      <c r="EU77" s="151">
        <v>0</v>
      </c>
      <c r="EV77" s="950">
        <v>0</v>
      </c>
      <c r="EW77" s="151"/>
      <c r="EX77" s="151"/>
      <c r="EY77" s="151"/>
      <c r="EZ77" s="241"/>
      <c r="FA77" s="241"/>
      <c r="FC77" s="316" t="str">
        <f t="shared" si="337"/>
        <v>-</v>
      </c>
      <c r="FD77" s="264" t="str">
        <f t="shared" si="340"/>
        <v>-</v>
      </c>
      <c r="FE77" s="148">
        <f t="shared" si="338"/>
        <v>0</v>
      </c>
      <c r="FF77" s="148">
        <f t="shared" si="339"/>
        <v>0</v>
      </c>
    </row>
    <row r="78" spans="1:162" s="125" customFormat="1" ht="15" customHeight="1" x14ac:dyDescent="0.25">
      <c r="A78" s="302" t="s">
        <v>454</v>
      </c>
      <c r="B78" s="298"/>
      <c r="C78" s="299">
        <v>965</v>
      </c>
      <c r="D78" s="299">
        <v>478</v>
      </c>
      <c r="E78" s="299">
        <v>546</v>
      </c>
      <c r="F78" s="299">
        <v>2000</v>
      </c>
      <c r="G78" s="299">
        <v>916</v>
      </c>
      <c r="H78" s="299">
        <v>497</v>
      </c>
      <c r="I78" s="299">
        <v>2063</v>
      </c>
      <c r="J78" s="299">
        <v>1106</v>
      </c>
      <c r="K78" s="299">
        <v>-3357</v>
      </c>
      <c r="L78" s="299">
        <v>493</v>
      </c>
      <c r="M78" s="300">
        <v>140</v>
      </c>
      <c r="N78" s="300">
        <f t="shared" si="367"/>
        <v>5847</v>
      </c>
      <c r="O78" s="299"/>
      <c r="P78" s="299">
        <v>761</v>
      </c>
      <c r="Q78" s="299">
        <v>302</v>
      </c>
      <c r="R78" s="299">
        <v>1314</v>
      </c>
      <c r="S78" s="299">
        <v>146</v>
      </c>
      <c r="T78" s="299">
        <v>990</v>
      </c>
      <c r="U78" s="299">
        <v>1099</v>
      </c>
      <c r="V78" s="299">
        <v>944</v>
      </c>
      <c r="W78" s="299">
        <v>574</v>
      </c>
      <c r="X78" s="299">
        <v>-26</v>
      </c>
      <c r="Y78" s="299">
        <v>379</v>
      </c>
      <c r="Z78" s="300">
        <v>590</v>
      </c>
      <c r="AA78" s="299">
        <f t="shared" si="368"/>
        <v>7073</v>
      </c>
      <c r="AB78" s="298">
        <v>475</v>
      </c>
      <c r="AC78" s="299">
        <v>1926</v>
      </c>
      <c r="AD78" s="299">
        <v>1412</v>
      </c>
      <c r="AE78" s="299">
        <v>802</v>
      </c>
      <c r="AF78" s="299"/>
      <c r="AG78" s="299">
        <v>473</v>
      </c>
      <c r="AH78" s="299">
        <v>1595</v>
      </c>
      <c r="AI78" s="299">
        <v>-674</v>
      </c>
      <c r="AJ78" s="299">
        <v>555</v>
      </c>
      <c r="AK78" s="299">
        <v>835</v>
      </c>
      <c r="AL78" s="299">
        <v>302</v>
      </c>
      <c r="AM78" s="299">
        <v>695</v>
      </c>
      <c r="AN78" s="257">
        <f t="shared" si="370"/>
        <v>8396</v>
      </c>
      <c r="AO78" s="298"/>
      <c r="AP78" s="299">
        <v>1448</v>
      </c>
      <c r="AQ78" s="299">
        <v>386</v>
      </c>
      <c r="AR78" s="299">
        <v>2266</v>
      </c>
      <c r="AS78" s="299">
        <v>655</v>
      </c>
      <c r="AT78" s="299">
        <v>794</v>
      </c>
      <c r="AU78" s="299">
        <v>747</v>
      </c>
      <c r="AV78" s="299">
        <v>705</v>
      </c>
      <c r="AW78" s="299"/>
      <c r="AX78" s="299">
        <v>1461</v>
      </c>
      <c r="AY78" s="299">
        <v>875</v>
      </c>
      <c r="AZ78" s="300">
        <v>512</v>
      </c>
      <c r="BA78" s="300">
        <f t="shared" si="372"/>
        <v>9849</v>
      </c>
      <c r="BB78" s="299"/>
      <c r="BC78" s="299">
        <v>1722</v>
      </c>
      <c r="BD78" s="299">
        <v>16</v>
      </c>
      <c r="BE78" s="299">
        <v>515</v>
      </c>
      <c r="BF78" s="299">
        <v>452</v>
      </c>
      <c r="BG78" s="299"/>
      <c r="BH78" s="299">
        <v>976</v>
      </c>
      <c r="BI78" s="299">
        <v>2466</v>
      </c>
      <c r="BJ78" s="299">
        <v>447</v>
      </c>
      <c r="BK78" s="299">
        <v>1464</v>
      </c>
      <c r="BL78" s="299">
        <v>482</v>
      </c>
      <c r="BM78" s="300">
        <v>-3035</v>
      </c>
      <c r="BN78" s="300">
        <f t="shared" si="374"/>
        <v>5505</v>
      </c>
      <c r="BO78" s="299">
        <v>3</v>
      </c>
      <c r="BP78" s="299">
        <v>489</v>
      </c>
      <c r="BQ78" s="299">
        <v>871</v>
      </c>
      <c r="BR78" s="413">
        <v>216</v>
      </c>
      <c r="BS78" s="413">
        <v>100</v>
      </c>
      <c r="BT78" s="413">
        <v>187</v>
      </c>
      <c r="BU78" s="413">
        <v>537</v>
      </c>
      <c r="BV78" s="413">
        <v>862</v>
      </c>
      <c r="BW78" s="413"/>
      <c r="BX78" s="413">
        <v>442</v>
      </c>
      <c r="BY78" s="413">
        <v>483</v>
      </c>
      <c r="BZ78" s="413"/>
      <c r="CA78" s="269">
        <f t="shared" si="345"/>
        <v>4190</v>
      </c>
      <c r="CB78" s="413">
        <v>781</v>
      </c>
      <c r="CC78" s="413">
        <f>1890+18977</f>
        <v>20867</v>
      </c>
      <c r="CD78" s="413"/>
      <c r="CE78" s="413">
        <v>1128</v>
      </c>
      <c r="CF78" s="413">
        <v>47</v>
      </c>
      <c r="CG78" s="413">
        <v>729</v>
      </c>
      <c r="CH78" s="413">
        <v>744</v>
      </c>
      <c r="CI78" s="413">
        <v>878</v>
      </c>
      <c r="CJ78" s="413">
        <v>1279</v>
      </c>
      <c r="CK78" s="413">
        <v>1704</v>
      </c>
      <c r="CL78" s="413">
        <v>1194</v>
      </c>
      <c r="CM78" s="266">
        <v>1730</v>
      </c>
      <c r="CN78" s="266">
        <f t="shared" si="327"/>
        <v>31081</v>
      </c>
      <c r="CO78" s="267">
        <v>2434</v>
      </c>
      <c r="CP78" s="229">
        <v>1911</v>
      </c>
      <c r="CQ78" s="229">
        <v>1696</v>
      </c>
      <c r="CR78" s="229">
        <v>2449</v>
      </c>
      <c r="CS78" s="229">
        <v>1737</v>
      </c>
      <c r="CT78" s="229">
        <v>587</v>
      </c>
      <c r="CU78" s="229">
        <v>1928</v>
      </c>
      <c r="CV78" s="229">
        <v>1577</v>
      </c>
      <c r="CW78" s="229">
        <v>1016</v>
      </c>
      <c r="CX78" s="229">
        <v>1259</v>
      </c>
      <c r="CY78" s="229">
        <v>986</v>
      </c>
      <c r="CZ78" s="268">
        <v>1535</v>
      </c>
      <c r="DA78" s="269">
        <f t="shared" si="329"/>
        <v>19115</v>
      </c>
      <c r="DB78" s="267">
        <v>1936</v>
      </c>
      <c r="DC78" s="229">
        <v>1654</v>
      </c>
      <c r="DD78" s="229">
        <v>1118</v>
      </c>
      <c r="DE78" s="229">
        <v>1145</v>
      </c>
      <c r="DF78" s="229">
        <v>944</v>
      </c>
      <c r="DG78" s="229">
        <v>822</v>
      </c>
      <c r="DH78" s="229">
        <v>883</v>
      </c>
      <c r="DI78" s="229">
        <v>647</v>
      </c>
      <c r="DJ78" s="229">
        <v>2609</v>
      </c>
      <c r="DK78" s="229">
        <v>2426</v>
      </c>
      <c r="DL78" s="229">
        <v>7334</v>
      </c>
      <c r="DM78" s="268">
        <v>-7727</v>
      </c>
      <c r="DN78" s="229">
        <f t="shared" si="331"/>
        <v>13791</v>
      </c>
      <c r="DO78" s="267"/>
      <c r="DP78" s="229">
        <v>2335</v>
      </c>
      <c r="DQ78" s="229">
        <v>615</v>
      </c>
      <c r="DR78" s="229">
        <v>511</v>
      </c>
      <c r="DS78" s="229">
        <v>844</v>
      </c>
      <c r="DT78" s="229">
        <v>882</v>
      </c>
      <c r="DU78" s="229">
        <v>941</v>
      </c>
      <c r="DV78" s="229">
        <v>565</v>
      </c>
      <c r="DW78" s="229">
        <v>1625</v>
      </c>
      <c r="DX78" s="229">
        <v>588</v>
      </c>
      <c r="DY78" s="229">
        <v>1611</v>
      </c>
      <c r="DZ78" s="268">
        <v>972</v>
      </c>
      <c r="EA78" s="268">
        <f t="shared" si="333"/>
        <v>11489</v>
      </c>
      <c r="EB78" s="267">
        <v>1</v>
      </c>
      <c r="EC78" s="229">
        <v>2006</v>
      </c>
      <c r="ED78" s="229">
        <v>964</v>
      </c>
      <c r="EE78" s="229">
        <v>1033</v>
      </c>
      <c r="EF78" s="229">
        <v>725</v>
      </c>
      <c r="EG78" s="229">
        <v>804</v>
      </c>
      <c r="EH78" s="229">
        <v>870</v>
      </c>
      <c r="EI78" s="229">
        <v>878</v>
      </c>
      <c r="EJ78" s="229">
        <v>613</v>
      </c>
      <c r="EK78" s="229">
        <v>806</v>
      </c>
      <c r="EL78" s="229">
        <v>571</v>
      </c>
      <c r="EM78" s="268">
        <v>663</v>
      </c>
      <c r="EN78" s="268">
        <f t="shared" si="335"/>
        <v>9934</v>
      </c>
      <c r="EO78" s="267">
        <v>0</v>
      </c>
      <c r="EP78" s="229">
        <v>1423</v>
      </c>
      <c r="EQ78" s="229">
        <v>0</v>
      </c>
      <c r="ER78" s="229">
        <v>144</v>
      </c>
      <c r="ES78" s="151">
        <v>0</v>
      </c>
      <c r="ET78" s="229">
        <v>1402</v>
      </c>
      <c r="EU78" s="229">
        <v>1068</v>
      </c>
      <c r="EV78" s="952">
        <v>2280</v>
      </c>
      <c r="EW78" s="229"/>
      <c r="EX78" s="229"/>
      <c r="EY78" s="229"/>
      <c r="EZ78" s="268"/>
      <c r="FA78" s="268"/>
      <c r="FB78"/>
      <c r="FC78" s="317">
        <f t="shared" si="337"/>
        <v>159.68109339407746</v>
      </c>
      <c r="FD78" s="301">
        <f t="shared" si="340"/>
        <v>-13.239939568740555</v>
      </c>
      <c r="FE78" s="145">
        <f t="shared" si="338"/>
        <v>7281</v>
      </c>
      <c r="FF78" s="145">
        <f t="shared" si="339"/>
        <v>6317</v>
      </c>
    </row>
    <row r="79" spans="1:162" s="125" customFormat="1" ht="15" customHeight="1" x14ac:dyDescent="0.25">
      <c r="A79" s="302" t="s">
        <v>455</v>
      </c>
      <c r="B79" s="298">
        <f t="shared" ref="B79:AM79" si="382">B80+B81</f>
        <v>0</v>
      </c>
      <c r="C79" s="299">
        <f t="shared" si="382"/>
        <v>0</v>
      </c>
      <c r="D79" s="299">
        <f t="shared" si="382"/>
        <v>0</v>
      </c>
      <c r="E79" s="299">
        <f t="shared" si="382"/>
        <v>0</v>
      </c>
      <c r="F79" s="299">
        <f t="shared" si="382"/>
        <v>0</v>
      </c>
      <c r="G79" s="299">
        <f t="shared" si="382"/>
        <v>0</v>
      </c>
      <c r="H79" s="299">
        <f t="shared" si="382"/>
        <v>0</v>
      </c>
      <c r="I79" s="299">
        <f t="shared" si="382"/>
        <v>0</v>
      </c>
      <c r="J79" s="299">
        <f t="shared" si="382"/>
        <v>0</v>
      </c>
      <c r="K79" s="299">
        <f t="shared" si="382"/>
        <v>0</v>
      </c>
      <c r="L79" s="299">
        <f t="shared" si="382"/>
        <v>0</v>
      </c>
      <c r="M79" s="300">
        <f t="shared" si="382"/>
        <v>0</v>
      </c>
      <c r="N79" s="300">
        <f t="shared" si="367"/>
        <v>0</v>
      </c>
      <c r="O79" s="299">
        <f t="shared" si="382"/>
        <v>0</v>
      </c>
      <c r="P79" s="299">
        <f t="shared" si="382"/>
        <v>0</v>
      </c>
      <c r="Q79" s="299">
        <f t="shared" si="382"/>
        <v>0</v>
      </c>
      <c r="R79" s="299">
        <f t="shared" si="382"/>
        <v>0</v>
      </c>
      <c r="S79" s="299">
        <f t="shared" si="382"/>
        <v>0</v>
      </c>
      <c r="T79" s="299">
        <f t="shared" si="382"/>
        <v>0</v>
      </c>
      <c r="U79" s="299">
        <f t="shared" si="382"/>
        <v>0</v>
      </c>
      <c r="V79" s="299">
        <f t="shared" si="382"/>
        <v>0</v>
      </c>
      <c r="W79" s="299">
        <f t="shared" si="382"/>
        <v>0</v>
      </c>
      <c r="X79" s="299">
        <f t="shared" si="382"/>
        <v>0</v>
      </c>
      <c r="Y79" s="299">
        <f t="shared" si="382"/>
        <v>0</v>
      </c>
      <c r="Z79" s="300">
        <f t="shared" si="382"/>
        <v>0</v>
      </c>
      <c r="AA79" s="299">
        <f t="shared" si="368"/>
        <v>0</v>
      </c>
      <c r="AB79" s="298">
        <f t="shared" si="382"/>
        <v>0</v>
      </c>
      <c r="AC79" s="299">
        <f t="shared" si="382"/>
        <v>0</v>
      </c>
      <c r="AD79" s="299">
        <f t="shared" si="382"/>
        <v>0</v>
      </c>
      <c r="AE79" s="299">
        <f t="shared" si="382"/>
        <v>0</v>
      </c>
      <c r="AF79" s="299">
        <f t="shared" si="382"/>
        <v>0</v>
      </c>
      <c r="AG79" s="299">
        <f t="shared" si="382"/>
        <v>0</v>
      </c>
      <c r="AH79" s="299">
        <f t="shared" si="382"/>
        <v>0</v>
      </c>
      <c r="AI79" s="299">
        <f t="shared" si="382"/>
        <v>0</v>
      </c>
      <c r="AJ79" s="299">
        <f t="shared" si="382"/>
        <v>0</v>
      </c>
      <c r="AK79" s="299">
        <f t="shared" si="382"/>
        <v>0</v>
      </c>
      <c r="AL79" s="299">
        <f t="shared" si="382"/>
        <v>0</v>
      </c>
      <c r="AM79" s="299">
        <f t="shared" si="382"/>
        <v>0</v>
      </c>
      <c r="AN79" s="257">
        <f t="shared" si="370"/>
        <v>0</v>
      </c>
      <c r="AO79" s="298">
        <f t="shared" ref="AO79:AZ79" si="383">AO80+AO81</f>
        <v>0</v>
      </c>
      <c r="AP79" s="299">
        <f t="shared" si="383"/>
        <v>0</v>
      </c>
      <c r="AQ79" s="299">
        <f t="shared" si="383"/>
        <v>0</v>
      </c>
      <c r="AR79" s="299">
        <f t="shared" si="383"/>
        <v>0</v>
      </c>
      <c r="AS79" s="299">
        <f t="shared" si="383"/>
        <v>0</v>
      </c>
      <c r="AT79" s="299">
        <f t="shared" si="383"/>
        <v>0</v>
      </c>
      <c r="AU79" s="299">
        <f t="shared" si="383"/>
        <v>0</v>
      </c>
      <c r="AV79" s="299">
        <f t="shared" si="383"/>
        <v>0</v>
      </c>
      <c r="AW79" s="299">
        <f t="shared" si="383"/>
        <v>0</v>
      </c>
      <c r="AX79" s="299">
        <f t="shared" si="383"/>
        <v>0</v>
      </c>
      <c r="AY79" s="299">
        <f t="shared" si="383"/>
        <v>0</v>
      </c>
      <c r="AZ79" s="300">
        <f t="shared" si="383"/>
        <v>0</v>
      </c>
      <c r="BA79" s="300">
        <f t="shared" si="372"/>
        <v>0</v>
      </c>
      <c r="BB79" s="299">
        <f t="shared" ref="BB79:BM79" si="384">BB80+BB81</f>
        <v>0</v>
      </c>
      <c r="BC79" s="299">
        <f t="shared" si="384"/>
        <v>0</v>
      </c>
      <c r="BD79" s="299">
        <f t="shared" si="384"/>
        <v>0</v>
      </c>
      <c r="BE79" s="299">
        <f t="shared" si="384"/>
        <v>0</v>
      </c>
      <c r="BF79" s="299">
        <f t="shared" si="384"/>
        <v>0</v>
      </c>
      <c r="BG79" s="299">
        <f t="shared" si="384"/>
        <v>0</v>
      </c>
      <c r="BH79" s="299">
        <f t="shared" si="384"/>
        <v>0</v>
      </c>
      <c r="BI79" s="299">
        <f t="shared" si="384"/>
        <v>0</v>
      </c>
      <c r="BJ79" s="299">
        <f t="shared" si="384"/>
        <v>0</v>
      </c>
      <c r="BK79" s="299">
        <f t="shared" si="384"/>
        <v>0</v>
      </c>
      <c r="BL79" s="299">
        <f t="shared" si="384"/>
        <v>0</v>
      </c>
      <c r="BM79" s="300">
        <f t="shared" si="384"/>
        <v>0</v>
      </c>
      <c r="BN79" s="300">
        <f t="shared" si="374"/>
        <v>0</v>
      </c>
      <c r="BO79" s="299">
        <f t="shared" ref="BO79:BZ79" si="385">BO80+BO81</f>
        <v>0</v>
      </c>
      <c r="BP79" s="299">
        <f t="shared" si="385"/>
        <v>0</v>
      </c>
      <c r="BQ79" s="299">
        <f t="shared" si="385"/>
        <v>0</v>
      </c>
      <c r="BR79" s="413">
        <f t="shared" si="385"/>
        <v>0</v>
      </c>
      <c r="BS79" s="413">
        <f t="shared" si="385"/>
        <v>0</v>
      </c>
      <c r="BT79" s="413">
        <f t="shared" si="385"/>
        <v>0</v>
      </c>
      <c r="BU79" s="413">
        <f t="shared" si="385"/>
        <v>0</v>
      </c>
      <c r="BV79" s="413">
        <f t="shared" si="385"/>
        <v>0</v>
      </c>
      <c r="BW79" s="413">
        <f t="shared" si="385"/>
        <v>0</v>
      </c>
      <c r="BX79" s="413">
        <f t="shared" si="385"/>
        <v>0</v>
      </c>
      <c r="BY79" s="413">
        <f t="shared" si="385"/>
        <v>0</v>
      </c>
      <c r="BZ79" s="413">
        <f t="shared" si="385"/>
        <v>0</v>
      </c>
      <c r="CA79" s="269">
        <f t="shared" si="345"/>
        <v>0</v>
      </c>
      <c r="CB79" s="413">
        <f t="shared" ref="CB79:CI79" si="386">CB80+CB81</f>
        <v>0</v>
      </c>
      <c r="CC79" s="413">
        <f t="shared" si="386"/>
        <v>0</v>
      </c>
      <c r="CD79" s="413">
        <f t="shared" si="386"/>
        <v>0</v>
      </c>
      <c r="CE79" s="413">
        <f t="shared" si="386"/>
        <v>0</v>
      </c>
      <c r="CF79" s="413">
        <f t="shared" si="386"/>
        <v>0</v>
      </c>
      <c r="CG79" s="413">
        <f t="shared" si="386"/>
        <v>0</v>
      </c>
      <c r="CH79" s="413">
        <f t="shared" si="386"/>
        <v>0</v>
      </c>
      <c r="CI79" s="413">
        <f t="shared" si="386"/>
        <v>0</v>
      </c>
      <c r="CJ79" s="413"/>
      <c r="CK79" s="413"/>
      <c r="CL79" s="413"/>
      <c r="CM79" s="266"/>
      <c r="CN79" s="266">
        <f t="shared" si="327"/>
        <v>0</v>
      </c>
      <c r="CO79" s="267"/>
      <c r="CP79" s="229"/>
      <c r="CQ79" s="229"/>
      <c r="CR79" s="229"/>
      <c r="CS79" s="229"/>
      <c r="CT79" s="229"/>
      <c r="CU79" s="229"/>
      <c r="CV79" s="229"/>
      <c r="CW79" s="229"/>
      <c r="CX79" s="229"/>
      <c r="CY79" s="229"/>
      <c r="CZ79" s="268"/>
      <c r="DA79" s="269">
        <f t="shared" si="329"/>
        <v>0</v>
      </c>
      <c r="DB79" s="267"/>
      <c r="DC79" s="229"/>
      <c r="DD79" s="229"/>
      <c r="DE79" s="229"/>
      <c r="DF79" s="229"/>
      <c r="DG79" s="229"/>
      <c r="DH79" s="229"/>
      <c r="DI79" s="229"/>
      <c r="DJ79" s="229"/>
      <c r="DK79" s="229"/>
      <c r="DL79" s="229"/>
      <c r="DM79" s="268"/>
      <c r="DN79" s="229">
        <f t="shared" si="331"/>
        <v>0</v>
      </c>
      <c r="DO79" s="267"/>
      <c r="DP79" s="229"/>
      <c r="DQ79" s="229"/>
      <c r="DR79" s="229"/>
      <c r="DS79" s="229"/>
      <c r="DT79" s="229"/>
      <c r="DU79" s="229"/>
      <c r="DV79" s="229"/>
      <c r="DW79" s="229"/>
      <c r="DX79" s="229"/>
      <c r="DY79" s="229"/>
      <c r="DZ79" s="268"/>
      <c r="EA79" s="268">
        <f t="shared" si="333"/>
        <v>0</v>
      </c>
      <c r="EB79" s="267">
        <v>0</v>
      </c>
      <c r="EC79" s="229">
        <v>0</v>
      </c>
      <c r="ED79" s="229">
        <v>0</v>
      </c>
      <c r="EE79" s="229">
        <v>0</v>
      </c>
      <c r="EF79" s="229">
        <v>0</v>
      </c>
      <c r="EG79" s="229">
        <v>0</v>
      </c>
      <c r="EH79" s="229">
        <v>0</v>
      </c>
      <c r="EI79" s="229">
        <v>0</v>
      </c>
      <c r="EJ79" s="229">
        <v>0</v>
      </c>
      <c r="EK79" s="229">
        <v>0</v>
      </c>
      <c r="EL79" s="229">
        <v>0</v>
      </c>
      <c r="EM79" s="268">
        <v>0</v>
      </c>
      <c r="EN79" s="268">
        <f t="shared" si="335"/>
        <v>0</v>
      </c>
      <c r="EO79" s="267">
        <f>SUM(EO80:EO81)</f>
        <v>0</v>
      </c>
      <c r="EP79" s="229">
        <f>SUM(EP80:EP81)</f>
        <v>0</v>
      </c>
      <c r="EQ79" s="229">
        <f>SUM(EQ80:EQ81)</f>
        <v>0</v>
      </c>
      <c r="ER79" s="229">
        <f>SUM(ER80:ER81)</f>
        <v>0</v>
      </c>
      <c r="ES79" s="151">
        <v>0</v>
      </c>
      <c r="ET79" s="229">
        <v>0</v>
      </c>
      <c r="EU79" s="229">
        <v>0</v>
      </c>
      <c r="EV79" s="952">
        <v>0</v>
      </c>
      <c r="EW79" s="229"/>
      <c r="EX79" s="229"/>
      <c r="EY79" s="229"/>
      <c r="EZ79" s="268"/>
      <c r="FA79" s="268"/>
      <c r="FB79"/>
      <c r="FC79" s="316" t="str">
        <f t="shared" si="337"/>
        <v>-</v>
      </c>
      <c r="FD79" s="301" t="str">
        <f t="shared" si="340"/>
        <v>-</v>
      </c>
      <c r="FE79" s="148">
        <f t="shared" si="338"/>
        <v>0</v>
      </c>
      <c r="FF79" s="148">
        <f t="shared" si="339"/>
        <v>0</v>
      </c>
    </row>
    <row r="80" spans="1:162" ht="15" customHeight="1" x14ac:dyDescent="0.25">
      <c r="A80" s="303" t="s">
        <v>456</v>
      </c>
      <c r="B80" s="24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46"/>
      <c r="N80" s="246">
        <f t="shared" si="367"/>
        <v>0</v>
      </c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46"/>
      <c r="AA80" s="205">
        <f t="shared" si="368"/>
        <v>0</v>
      </c>
      <c r="AB80" s="24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  <c r="AN80" s="202">
        <f t="shared" si="370"/>
        <v>0</v>
      </c>
      <c r="AO80" s="24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46"/>
      <c r="BA80" s="246">
        <f t="shared" si="372"/>
        <v>0</v>
      </c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46"/>
      <c r="BN80" s="246">
        <f t="shared" si="374"/>
        <v>0</v>
      </c>
      <c r="BO80" s="205"/>
      <c r="BP80" s="205"/>
      <c r="BQ80" s="205"/>
      <c r="BR80" s="169"/>
      <c r="BS80" s="169"/>
      <c r="BT80" s="169"/>
      <c r="BU80" s="169"/>
      <c r="BV80" s="169"/>
      <c r="BW80" s="169"/>
      <c r="BX80" s="169"/>
      <c r="BY80" s="169"/>
      <c r="BZ80" s="169"/>
      <c r="CA80" s="150">
        <f t="shared" si="345"/>
        <v>0</v>
      </c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70"/>
      <c r="CN80" s="170">
        <f t="shared" si="327"/>
        <v>0</v>
      </c>
      <c r="CO80" s="162"/>
      <c r="CP80" s="151"/>
      <c r="CQ80" s="151"/>
      <c r="CR80" s="151"/>
      <c r="CS80" s="151"/>
      <c r="CT80" s="151"/>
      <c r="CU80" s="151"/>
      <c r="CV80" s="151"/>
      <c r="CW80" s="151"/>
      <c r="CX80" s="151"/>
      <c r="CY80" s="151"/>
      <c r="CZ80" s="241"/>
      <c r="DA80" s="150">
        <f t="shared" si="329"/>
        <v>0</v>
      </c>
      <c r="DB80" s="162"/>
      <c r="DC80" s="151"/>
      <c r="DD80" s="151"/>
      <c r="DE80" s="151"/>
      <c r="DF80" s="151"/>
      <c r="DG80" s="151"/>
      <c r="DH80" s="151"/>
      <c r="DI80" s="151"/>
      <c r="DJ80" s="151"/>
      <c r="DK80" s="151"/>
      <c r="DL80" s="151"/>
      <c r="DM80" s="241"/>
      <c r="DN80" s="151">
        <f t="shared" si="331"/>
        <v>0</v>
      </c>
      <c r="DO80" s="162"/>
      <c r="DP80" s="151"/>
      <c r="DQ80" s="151"/>
      <c r="DR80" s="151"/>
      <c r="DS80" s="151"/>
      <c r="DT80" s="151"/>
      <c r="DU80" s="151"/>
      <c r="DV80" s="151"/>
      <c r="DW80" s="151"/>
      <c r="DX80" s="151"/>
      <c r="DY80" s="151"/>
      <c r="DZ80" s="241"/>
      <c r="EA80" s="241">
        <f t="shared" si="333"/>
        <v>0</v>
      </c>
      <c r="EB80" s="162">
        <v>0</v>
      </c>
      <c r="EC80" s="151">
        <v>0</v>
      </c>
      <c r="ED80" s="151">
        <v>0</v>
      </c>
      <c r="EE80" s="151">
        <v>0</v>
      </c>
      <c r="EF80" s="151">
        <v>0</v>
      </c>
      <c r="EG80" s="151">
        <v>0</v>
      </c>
      <c r="EH80" s="151">
        <v>0</v>
      </c>
      <c r="EI80" s="151">
        <v>0</v>
      </c>
      <c r="EJ80" s="151">
        <v>0</v>
      </c>
      <c r="EK80" s="151">
        <v>0</v>
      </c>
      <c r="EL80" s="151">
        <v>0</v>
      </c>
      <c r="EM80" s="241">
        <v>0</v>
      </c>
      <c r="EN80" s="241">
        <f t="shared" si="335"/>
        <v>0</v>
      </c>
      <c r="EO80" s="162">
        <v>0</v>
      </c>
      <c r="EP80" s="151">
        <v>0</v>
      </c>
      <c r="EQ80" s="151">
        <v>0</v>
      </c>
      <c r="ER80" s="151">
        <v>0</v>
      </c>
      <c r="ES80" s="151">
        <v>0</v>
      </c>
      <c r="ET80" s="151">
        <v>0</v>
      </c>
      <c r="EU80" s="151">
        <v>0</v>
      </c>
      <c r="EV80" s="950">
        <v>0</v>
      </c>
      <c r="EW80" s="151"/>
      <c r="EX80" s="151"/>
      <c r="EY80" s="151"/>
      <c r="EZ80" s="241"/>
      <c r="FA80" s="241"/>
      <c r="FC80" s="316" t="str">
        <f t="shared" si="337"/>
        <v>-</v>
      </c>
      <c r="FD80" s="264" t="str">
        <f t="shared" si="340"/>
        <v>-</v>
      </c>
      <c r="FE80" s="148">
        <f t="shared" si="338"/>
        <v>0</v>
      </c>
      <c r="FF80" s="148">
        <f t="shared" si="339"/>
        <v>0</v>
      </c>
    </row>
    <row r="81" spans="1:162" ht="15" customHeight="1" x14ac:dyDescent="0.25">
      <c r="A81" s="303" t="s">
        <v>457</v>
      </c>
      <c r="B81" s="24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46"/>
      <c r="N81" s="246">
        <f t="shared" si="367"/>
        <v>0</v>
      </c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46"/>
      <c r="AA81" s="205">
        <f t="shared" si="368"/>
        <v>0</v>
      </c>
      <c r="AB81" s="24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2">
        <f t="shared" si="370"/>
        <v>0</v>
      </c>
      <c r="AO81" s="24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46"/>
      <c r="BA81" s="246">
        <f t="shared" si="372"/>
        <v>0</v>
      </c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46"/>
      <c r="BN81" s="246">
        <f t="shared" si="374"/>
        <v>0</v>
      </c>
      <c r="BO81" s="205"/>
      <c r="BP81" s="205"/>
      <c r="BQ81" s="205"/>
      <c r="BR81" s="169"/>
      <c r="BS81" s="169"/>
      <c r="BT81" s="169"/>
      <c r="BU81" s="169"/>
      <c r="BV81" s="169"/>
      <c r="BW81" s="169"/>
      <c r="BX81" s="169"/>
      <c r="BY81" s="169"/>
      <c r="BZ81" s="169"/>
      <c r="CA81" s="150">
        <f t="shared" si="345"/>
        <v>0</v>
      </c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70"/>
      <c r="CN81" s="170">
        <f t="shared" si="327"/>
        <v>0</v>
      </c>
      <c r="CO81" s="162"/>
      <c r="CP81" s="151"/>
      <c r="CQ81" s="151"/>
      <c r="CR81" s="151"/>
      <c r="CS81" s="151"/>
      <c r="CT81" s="151"/>
      <c r="CU81" s="151"/>
      <c r="CV81" s="151"/>
      <c r="CW81" s="151"/>
      <c r="CX81" s="151"/>
      <c r="CY81" s="151"/>
      <c r="CZ81" s="241"/>
      <c r="DA81" s="150">
        <f t="shared" si="329"/>
        <v>0</v>
      </c>
      <c r="DB81" s="162"/>
      <c r="DC81" s="151"/>
      <c r="DD81" s="151"/>
      <c r="DE81" s="151"/>
      <c r="DF81" s="151"/>
      <c r="DG81" s="151"/>
      <c r="DH81" s="151"/>
      <c r="DI81" s="151"/>
      <c r="DJ81" s="151"/>
      <c r="DK81" s="151"/>
      <c r="DL81" s="151"/>
      <c r="DM81" s="241"/>
      <c r="DN81" s="151">
        <f t="shared" si="331"/>
        <v>0</v>
      </c>
      <c r="DO81" s="162"/>
      <c r="DP81" s="151"/>
      <c r="DQ81" s="151"/>
      <c r="DR81" s="151"/>
      <c r="DS81" s="151"/>
      <c r="DT81" s="151"/>
      <c r="DU81" s="151"/>
      <c r="DV81" s="151"/>
      <c r="DW81" s="151"/>
      <c r="DX81" s="151"/>
      <c r="DY81" s="151"/>
      <c r="DZ81" s="241"/>
      <c r="EA81" s="241">
        <f t="shared" si="333"/>
        <v>0</v>
      </c>
      <c r="EB81" s="162">
        <v>0</v>
      </c>
      <c r="EC81" s="151">
        <v>0</v>
      </c>
      <c r="ED81" s="151">
        <v>0</v>
      </c>
      <c r="EE81" s="151">
        <v>0</v>
      </c>
      <c r="EF81" s="151">
        <v>0</v>
      </c>
      <c r="EG81" s="151">
        <v>0</v>
      </c>
      <c r="EH81" s="151">
        <v>0</v>
      </c>
      <c r="EI81" s="151">
        <v>0</v>
      </c>
      <c r="EJ81" s="151">
        <v>0</v>
      </c>
      <c r="EK81" s="151">
        <v>0</v>
      </c>
      <c r="EL81" s="151">
        <v>0</v>
      </c>
      <c r="EM81" s="241">
        <v>0</v>
      </c>
      <c r="EN81" s="241">
        <f t="shared" si="335"/>
        <v>0</v>
      </c>
      <c r="EO81" s="162">
        <v>0</v>
      </c>
      <c r="EP81" s="151">
        <v>0</v>
      </c>
      <c r="EQ81" s="151">
        <v>0</v>
      </c>
      <c r="ER81" s="151">
        <v>0</v>
      </c>
      <c r="ES81" s="151">
        <v>0</v>
      </c>
      <c r="ET81" s="151">
        <v>0</v>
      </c>
      <c r="EU81" s="151">
        <v>0</v>
      </c>
      <c r="EV81" s="950">
        <v>0</v>
      </c>
      <c r="EW81" s="151"/>
      <c r="EX81" s="151"/>
      <c r="EY81" s="151"/>
      <c r="EZ81" s="241"/>
      <c r="FA81" s="241"/>
      <c r="FC81" s="316" t="str">
        <f t="shared" si="337"/>
        <v>-</v>
      </c>
      <c r="FD81" s="264" t="str">
        <f t="shared" si="340"/>
        <v>-</v>
      </c>
      <c r="FE81" s="148">
        <f t="shared" si="338"/>
        <v>0</v>
      </c>
      <c r="FF81" s="148">
        <f t="shared" si="339"/>
        <v>0</v>
      </c>
    </row>
    <row r="82" spans="1:162" ht="15" customHeight="1" x14ac:dyDescent="0.25">
      <c r="A82" s="302" t="s">
        <v>458</v>
      </c>
      <c r="B82" s="24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46"/>
      <c r="N82" s="246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46"/>
      <c r="AA82" s="205"/>
      <c r="AB82" s="24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2"/>
      <c r="AO82" s="24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46"/>
      <c r="BA82" s="246"/>
      <c r="BB82" s="299"/>
      <c r="BC82" s="299"/>
      <c r="BD82" s="299"/>
      <c r="BE82" s="299"/>
      <c r="BF82" s="299"/>
      <c r="BG82" s="299"/>
      <c r="BH82" s="299"/>
      <c r="BI82" s="299"/>
      <c r="BJ82" s="299"/>
      <c r="BK82" s="299"/>
      <c r="BL82" s="299"/>
      <c r="BM82" s="300"/>
      <c r="BN82" s="300"/>
      <c r="BO82" s="299"/>
      <c r="BP82" s="299"/>
      <c r="BQ82" s="299"/>
      <c r="BR82" s="413"/>
      <c r="BS82" s="413"/>
      <c r="BT82" s="413"/>
      <c r="BU82" s="413"/>
      <c r="BV82" s="413">
        <v>100</v>
      </c>
      <c r="BW82" s="413">
        <v>67318</v>
      </c>
      <c r="BX82" s="413">
        <v>4706</v>
      </c>
      <c r="BY82" s="413">
        <v>18</v>
      </c>
      <c r="BZ82" s="413"/>
      <c r="CA82" s="269">
        <f t="shared" si="345"/>
        <v>72142</v>
      </c>
      <c r="CB82" s="413">
        <v>2169</v>
      </c>
      <c r="CC82" s="413">
        <v>5236</v>
      </c>
      <c r="CD82" s="413">
        <v>1741</v>
      </c>
      <c r="CE82" s="413">
        <v>9193</v>
      </c>
      <c r="CF82" s="413">
        <v>1198</v>
      </c>
      <c r="CG82" s="413">
        <v>1129</v>
      </c>
      <c r="CH82" s="413">
        <v>837</v>
      </c>
      <c r="CI82" s="413">
        <v>1885</v>
      </c>
      <c r="CJ82" s="413">
        <v>1058</v>
      </c>
      <c r="CK82" s="413">
        <v>303</v>
      </c>
      <c r="CL82" s="413">
        <v>34327</v>
      </c>
      <c r="CM82" s="266">
        <v>1393</v>
      </c>
      <c r="CN82" s="266">
        <f t="shared" si="327"/>
        <v>60469</v>
      </c>
      <c r="CO82" s="267">
        <v>35728</v>
      </c>
      <c r="CP82" s="229">
        <v>4396</v>
      </c>
      <c r="CQ82" s="229">
        <v>39277</v>
      </c>
      <c r="CR82" s="229">
        <v>16393</v>
      </c>
      <c r="CS82" s="229">
        <v>15405</v>
      </c>
      <c r="CT82" s="229">
        <v>22690</v>
      </c>
      <c r="CU82" s="229">
        <f>19944+917</f>
        <v>20861</v>
      </c>
      <c r="CV82" s="229">
        <f>20887+235</f>
        <v>21122</v>
      </c>
      <c r="CW82" s="229">
        <f>27930+931</f>
        <v>28861</v>
      </c>
      <c r="CX82" s="229">
        <f>25148+1451</f>
        <v>26599</v>
      </c>
      <c r="CY82" s="229">
        <f>21062+13785</f>
        <v>34847</v>
      </c>
      <c r="CZ82" s="268">
        <f>804+16876</f>
        <v>17680</v>
      </c>
      <c r="DA82" s="269">
        <f t="shared" si="329"/>
        <v>283859</v>
      </c>
      <c r="DB82" s="267">
        <f>5+20329</f>
        <v>20334</v>
      </c>
      <c r="DC82" s="229">
        <f>54+23153</f>
        <v>23207</v>
      </c>
      <c r="DD82" s="229">
        <f>37019+19114</f>
        <v>56133</v>
      </c>
      <c r="DE82" s="229">
        <f>290+102892</f>
        <v>103182</v>
      </c>
      <c r="DF82" s="229">
        <f>2432+20263</f>
        <v>22695</v>
      </c>
      <c r="DG82" s="229">
        <f>2286+-60370</f>
        <v>-58084</v>
      </c>
      <c r="DH82" s="229">
        <f>2964+20719</f>
        <v>23683</v>
      </c>
      <c r="DI82" s="229">
        <v>18986</v>
      </c>
      <c r="DJ82" s="229">
        <f>558+18910</f>
        <v>19468</v>
      </c>
      <c r="DK82" s="229">
        <v>64586</v>
      </c>
      <c r="DL82" s="229">
        <f>2906+27800</f>
        <v>30706</v>
      </c>
      <c r="DM82" s="268">
        <f>-12037+14732</f>
        <v>2695</v>
      </c>
      <c r="DN82" s="229">
        <f t="shared" si="331"/>
        <v>327591</v>
      </c>
      <c r="DO82" s="267">
        <v>25666</v>
      </c>
      <c r="DP82" s="229">
        <v>67830</v>
      </c>
      <c r="DQ82" s="229">
        <v>27769</v>
      </c>
      <c r="DR82" s="229">
        <v>18043</v>
      </c>
      <c r="DS82" s="229">
        <v>26420</v>
      </c>
      <c r="DT82" s="229">
        <v>30104</v>
      </c>
      <c r="DU82" s="229">
        <v>63706</v>
      </c>
      <c r="DV82" s="229">
        <v>31975</v>
      </c>
      <c r="DW82" s="229">
        <v>28040</v>
      </c>
      <c r="DX82" s="229">
        <v>30250</v>
      </c>
      <c r="DY82" s="229">
        <v>29829</v>
      </c>
      <c r="DZ82" s="268">
        <v>17601</v>
      </c>
      <c r="EA82" s="268">
        <f t="shared" si="333"/>
        <v>397233</v>
      </c>
      <c r="EB82" s="267">
        <v>31874</v>
      </c>
      <c r="EC82" s="229">
        <v>77134</v>
      </c>
      <c r="ED82" s="229">
        <v>27835</v>
      </c>
      <c r="EE82" s="229">
        <v>27548</v>
      </c>
      <c r="EF82" s="229">
        <v>25719</v>
      </c>
      <c r="EG82" s="229">
        <v>28129</v>
      </c>
      <c r="EH82" s="229">
        <v>69637</v>
      </c>
      <c r="EI82" s="229">
        <v>29607</v>
      </c>
      <c r="EJ82" s="229">
        <v>29147</v>
      </c>
      <c r="EK82" s="229">
        <v>35206</v>
      </c>
      <c r="EL82" s="229">
        <v>31614</v>
      </c>
      <c r="EM82" s="268">
        <f>2562+18837</f>
        <v>21399</v>
      </c>
      <c r="EN82" s="268">
        <f t="shared" si="335"/>
        <v>434849</v>
      </c>
      <c r="EO82" s="267">
        <f>99+35317</f>
        <v>35416</v>
      </c>
      <c r="EP82" s="229">
        <f>39304+38691</f>
        <v>77995</v>
      </c>
      <c r="EQ82" s="229">
        <f>11+27039</f>
        <v>27050</v>
      </c>
      <c r="ER82" s="229">
        <f>3685+350</f>
        <v>4035</v>
      </c>
      <c r="ES82" s="229">
        <v>32196</v>
      </c>
      <c r="ET82" s="229">
        <v>3483</v>
      </c>
      <c r="EU82" s="229">
        <v>7357</v>
      </c>
      <c r="EV82" s="952">
        <v>90337</v>
      </c>
      <c r="EW82" s="229"/>
      <c r="EX82" s="229"/>
      <c r="EY82" s="229"/>
      <c r="EZ82" s="268"/>
      <c r="FA82" s="268"/>
      <c r="FC82" s="317">
        <f t="shared" si="337"/>
        <v>205.12041071368259</v>
      </c>
      <c r="FD82" s="301"/>
      <c r="FE82" s="145">
        <f t="shared" si="338"/>
        <v>317483</v>
      </c>
      <c r="FF82" s="145">
        <f t="shared" si="339"/>
        <v>277869</v>
      </c>
    </row>
    <row r="83" spans="1:162" ht="15" customHeight="1" x14ac:dyDescent="0.25">
      <c r="A83" s="141" t="s">
        <v>459</v>
      </c>
      <c r="B83" s="242">
        <f t="shared" ref="B83:AM83" si="387">SUM(B84:B86)</f>
        <v>0</v>
      </c>
      <c r="C83" s="207">
        <f t="shared" si="387"/>
        <v>0</v>
      </c>
      <c r="D83" s="207">
        <f t="shared" si="387"/>
        <v>68</v>
      </c>
      <c r="E83" s="207">
        <f t="shared" si="387"/>
        <v>0.38200000000000001</v>
      </c>
      <c r="F83" s="207">
        <f t="shared" si="387"/>
        <v>131</v>
      </c>
      <c r="G83" s="207">
        <f t="shared" si="387"/>
        <v>-913</v>
      </c>
      <c r="H83" s="207">
        <f t="shared" si="387"/>
        <v>132</v>
      </c>
      <c r="I83" s="207">
        <f t="shared" si="387"/>
        <v>9</v>
      </c>
      <c r="J83" s="207">
        <f t="shared" si="387"/>
        <v>107</v>
      </c>
      <c r="K83" s="207">
        <f t="shared" si="387"/>
        <v>0</v>
      </c>
      <c r="L83" s="207">
        <f t="shared" si="387"/>
        <v>204</v>
      </c>
      <c r="M83" s="243">
        <f t="shared" si="387"/>
        <v>325</v>
      </c>
      <c r="N83" s="243">
        <f>SUM(B83:M83)</f>
        <v>63.382000000000062</v>
      </c>
      <c r="O83" s="207">
        <f t="shared" si="387"/>
        <v>592</v>
      </c>
      <c r="P83" s="207">
        <f t="shared" si="387"/>
        <v>105</v>
      </c>
      <c r="Q83" s="207">
        <f t="shared" si="387"/>
        <v>69</v>
      </c>
      <c r="R83" s="207">
        <f t="shared" si="387"/>
        <v>276</v>
      </c>
      <c r="S83" s="207">
        <f t="shared" si="387"/>
        <v>-246</v>
      </c>
      <c r="T83" s="207">
        <f t="shared" si="387"/>
        <v>3250</v>
      </c>
      <c r="U83" s="207">
        <f t="shared" si="387"/>
        <v>495</v>
      </c>
      <c r="V83" s="207">
        <f t="shared" si="387"/>
        <v>283</v>
      </c>
      <c r="W83" s="207">
        <f t="shared" si="387"/>
        <v>38</v>
      </c>
      <c r="X83" s="207">
        <f t="shared" si="387"/>
        <v>0</v>
      </c>
      <c r="Y83" s="207">
        <f t="shared" si="387"/>
        <v>0</v>
      </c>
      <c r="Z83" s="243">
        <f t="shared" si="387"/>
        <v>399</v>
      </c>
      <c r="AA83" s="207">
        <f t="shared" ref="AA83:AA91" si="388">SUM(O83:Z83)</f>
        <v>5261</v>
      </c>
      <c r="AB83" s="242">
        <f t="shared" si="387"/>
        <v>0</v>
      </c>
      <c r="AC83" s="207">
        <f t="shared" si="387"/>
        <v>439</v>
      </c>
      <c r="AD83" s="207">
        <f t="shared" si="387"/>
        <v>0</v>
      </c>
      <c r="AE83" s="207">
        <f t="shared" si="387"/>
        <v>0</v>
      </c>
      <c r="AF83" s="207">
        <f t="shared" si="387"/>
        <v>0</v>
      </c>
      <c r="AG83" s="207">
        <f t="shared" si="387"/>
        <v>0</v>
      </c>
      <c r="AH83" s="207">
        <f t="shared" si="387"/>
        <v>142</v>
      </c>
      <c r="AI83" s="207">
        <f t="shared" si="387"/>
        <v>929</v>
      </c>
      <c r="AJ83" s="207">
        <f t="shared" si="387"/>
        <v>13</v>
      </c>
      <c r="AK83" s="207">
        <f t="shared" si="387"/>
        <v>0</v>
      </c>
      <c r="AL83" s="207">
        <f t="shared" si="387"/>
        <v>257</v>
      </c>
      <c r="AM83" s="207">
        <f t="shared" si="387"/>
        <v>272</v>
      </c>
      <c r="AN83" s="200">
        <f t="shared" ref="AN83:AN91" si="389">SUM(AB83:AM83)</f>
        <v>2052</v>
      </c>
      <c r="AO83" s="242">
        <f t="shared" ref="AO83:AZ83" si="390">SUM(AO84:AO86)</f>
        <v>208</v>
      </c>
      <c r="AP83" s="207">
        <f t="shared" si="390"/>
        <v>326</v>
      </c>
      <c r="AQ83" s="207">
        <f t="shared" si="390"/>
        <v>0</v>
      </c>
      <c r="AR83" s="207">
        <f t="shared" si="390"/>
        <v>0</v>
      </c>
      <c r="AS83" s="207">
        <f t="shared" si="390"/>
        <v>52</v>
      </c>
      <c r="AT83" s="207">
        <f t="shared" si="390"/>
        <v>90</v>
      </c>
      <c r="AU83" s="207">
        <f t="shared" si="390"/>
        <v>163</v>
      </c>
      <c r="AV83" s="207">
        <f t="shared" si="390"/>
        <v>314</v>
      </c>
      <c r="AW83" s="207">
        <f t="shared" si="390"/>
        <v>85</v>
      </c>
      <c r="AX83" s="207">
        <f t="shared" si="390"/>
        <v>0</v>
      </c>
      <c r="AY83" s="207">
        <f t="shared" si="390"/>
        <v>71</v>
      </c>
      <c r="AZ83" s="243">
        <f t="shared" si="390"/>
        <v>17</v>
      </c>
      <c r="BA83" s="243">
        <f t="shared" ref="BA83:BA91" si="391">SUM(AO83:AZ83)</f>
        <v>1326</v>
      </c>
      <c r="BB83" s="207">
        <f t="shared" ref="BB83:BM83" si="392">SUM(BB84:BB86)</f>
        <v>0</v>
      </c>
      <c r="BC83" s="207">
        <f t="shared" si="392"/>
        <v>0</v>
      </c>
      <c r="BD83" s="207">
        <f t="shared" si="392"/>
        <v>0</v>
      </c>
      <c r="BE83" s="207">
        <f t="shared" si="392"/>
        <v>0</v>
      </c>
      <c r="BF83" s="207">
        <f t="shared" si="392"/>
        <v>14</v>
      </c>
      <c r="BG83" s="207">
        <f>SUM(BG84:BG86)</f>
        <v>259</v>
      </c>
      <c r="BH83" s="207">
        <f>SUM(BH84:BH86)</f>
        <v>73</v>
      </c>
      <c r="BI83" s="207">
        <f t="shared" si="392"/>
        <v>527</v>
      </c>
      <c r="BJ83" s="207">
        <f t="shared" si="392"/>
        <v>353</v>
      </c>
      <c r="BK83" s="207">
        <f t="shared" si="392"/>
        <v>105</v>
      </c>
      <c r="BL83" s="207">
        <f t="shared" si="392"/>
        <v>146</v>
      </c>
      <c r="BM83" s="243">
        <f t="shared" si="392"/>
        <v>0</v>
      </c>
      <c r="BN83" s="243">
        <f t="shared" ref="BN83:BN91" si="393">SUM(BB83:BM83)</f>
        <v>1477</v>
      </c>
      <c r="BO83" s="207">
        <f t="shared" ref="BO83:BZ83" si="394">SUM(BO84:BO86)</f>
        <v>0</v>
      </c>
      <c r="BP83" s="207">
        <f t="shared" si="394"/>
        <v>0</v>
      </c>
      <c r="BQ83" s="207">
        <f t="shared" si="394"/>
        <v>0</v>
      </c>
      <c r="BR83" s="296">
        <f t="shared" si="394"/>
        <v>0</v>
      </c>
      <c r="BS83" s="296">
        <f t="shared" si="394"/>
        <v>0</v>
      </c>
      <c r="BT83" s="296">
        <f t="shared" si="394"/>
        <v>0</v>
      </c>
      <c r="BU83" s="296">
        <f t="shared" si="394"/>
        <v>497</v>
      </c>
      <c r="BV83" s="296">
        <f t="shared" si="394"/>
        <v>41</v>
      </c>
      <c r="BW83" s="296">
        <f t="shared" si="394"/>
        <v>912</v>
      </c>
      <c r="BX83" s="296">
        <f t="shared" si="394"/>
        <v>237</v>
      </c>
      <c r="BY83" s="296">
        <f t="shared" si="394"/>
        <v>0</v>
      </c>
      <c r="BZ83" s="296">
        <f t="shared" si="394"/>
        <v>605</v>
      </c>
      <c r="CA83" s="297">
        <f t="shared" si="345"/>
        <v>2292</v>
      </c>
      <c r="CB83" s="296">
        <f t="shared" ref="CB83:CM83" si="395">SUM(CB84:CB86)</f>
        <v>0</v>
      </c>
      <c r="CC83" s="296">
        <f t="shared" si="395"/>
        <v>0</v>
      </c>
      <c r="CD83" s="296">
        <f t="shared" si="395"/>
        <v>0</v>
      </c>
      <c r="CE83" s="296">
        <f t="shared" si="395"/>
        <v>0</v>
      </c>
      <c r="CF83" s="296">
        <f t="shared" si="395"/>
        <v>0</v>
      </c>
      <c r="CG83" s="296">
        <f t="shared" si="395"/>
        <v>0</v>
      </c>
      <c r="CH83" s="296">
        <f t="shared" si="395"/>
        <v>0</v>
      </c>
      <c r="CI83" s="296">
        <f t="shared" si="395"/>
        <v>0</v>
      </c>
      <c r="CJ83" s="296">
        <f t="shared" si="395"/>
        <v>0</v>
      </c>
      <c r="CK83" s="296">
        <f t="shared" si="395"/>
        <v>0</v>
      </c>
      <c r="CL83" s="296">
        <f t="shared" si="395"/>
        <v>0</v>
      </c>
      <c r="CM83" s="304">
        <f t="shared" si="395"/>
        <v>3640</v>
      </c>
      <c r="CN83" s="304">
        <f t="shared" si="327"/>
        <v>3640</v>
      </c>
      <c r="CO83" s="272"/>
      <c r="CP83" s="147"/>
      <c r="CQ83" s="147"/>
      <c r="CR83" s="147"/>
      <c r="CS83" s="147"/>
      <c r="CT83" s="147"/>
      <c r="CU83" s="147"/>
      <c r="CV83" s="147">
        <f>SUM(CV84:CV86)</f>
        <v>-23</v>
      </c>
      <c r="CW83" s="147">
        <f>SUM(CW84:CW86)</f>
        <v>0</v>
      </c>
      <c r="CX83" s="147">
        <f>SUM(CX84:CX86)</f>
        <v>0</v>
      </c>
      <c r="CY83" s="147">
        <f>SUM(CY84:CY86)</f>
        <v>1253</v>
      </c>
      <c r="CZ83" s="273">
        <f>SUM(CZ84:CZ86)</f>
        <v>0</v>
      </c>
      <c r="DA83" s="297">
        <f t="shared" si="329"/>
        <v>1230</v>
      </c>
      <c r="DB83" s="272"/>
      <c r="DC83" s="147"/>
      <c r="DD83" s="147"/>
      <c r="DE83" s="147"/>
      <c r="DF83" s="147">
        <f t="shared" ref="DF83:DM83" si="396">SUM(DF84:DF86)</f>
        <v>20</v>
      </c>
      <c r="DG83" s="147">
        <f t="shared" si="396"/>
        <v>0</v>
      </c>
      <c r="DH83" s="147">
        <f t="shared" si="396"/>
        <v>0</v>
      </c>
      <c r="DI83" s="147">
        <f t="shared" si="396"/>
        <v>0</v>
      </c>
      <c r="DJ83" s="147">
        <f t="shared" si="396"/>
        <v>0</v>
      </c>
      <c r="DK83" s="147">
        <f t="shared" si="396"/>
        <v>0</v>
      </c>
      <c r="DL83" s="147">
        <f t="shared" si="396"/>
        <v>0</v>
      </c>
      <c r="DM83" s="147">
        <f t="shared" si="396"/>
        <v>0</v>
      </c>
      <c r="DN83" s="147">
        <f t="shared" si="331"/>
        <v>20</v>
      </c>
      <c r="DO83" s="272">
        <f>SUM(DO84:DO86)</f>
        <v>0</v>
      </c>
      <c r="DP83" s="147">
        <f t="shared" ref="DP83:DZ83" si="397">SUM(DP84:DP86)</f>
        <v>0</v>
      </c>
      <c r="DQ83" s="147">
        <f t="shared" si="397"/>
        <v>0</v>
      </c>
      <c r="DR83" s="147">
        <f t="shared" si="397"/>
        <v>0</v>
      </c>
      <c r="DS83" s="147">
        <f t="shared" si="397"/>
        <v>0</v>
      </c>
      <c r="DT83" s="147">
        <f t="shared" si="397"/>
        <v>0</v>
      </c>
      <c r="DU83" s="147">
        <f t="shared" si="397"/>
        <v>0</v>
      </c>
      <c r="DV83" s="147">
        <f t="shared" si="397"/>
        <v>0</v>
      </c>
      <c r="DW83" s="147">
        <f t="shared" si="397"/>
        <v>0</v>
      </c>
      <c r="DX83" s="147">
        <f t="shared" si="397"/>
        <v>0</v>
      </c>
      <c r="DY83" s="147">
        <f t="shared" si="397"/>
        <v>0</v>
      </c>
      <c r="DZ83" s="273">
        <f t="shared" si="397"/>
        <v>0</v>
      </c>
      <c r="EA83" s="273">
        <f t="shared" si="333"/>
        <v>0</v>
      </c>
      <c r="EB83" s="272">
        <f t="shared" ref="EB83:EH83" si="398">SUM(EB84:EB86)</f>
        <v>101</v>
      </c>
      <c r="EC83" s="147">
        <f t="shared" si="398"/>
        <v>0</v>
      </c>
      <c r="ED83" s="147">
        <f t="shared" si="398"/>
        <v>0</v>
      </c>
      <c r="EE83" s="147">
        <f t="shared" si="398"/>
        <v>0</v>
      </c>
      <c r="EF83" s="147">
        <f t="shared" si="398"/>
        <v>0</v>
      </c>
      <c r="EG83" s="147">
        <f t="shared" si="398"/>
        <v>0</v>
      </c>
      <c r="EH83" s="147">
        <f t="shared" si="398"/>
        <v>0</v>
      </c>
      <c r="EI83" s="147">
        <f>SUM(EI84:EI86)</f>
        <v>1</v>
      </c>
      <c r="EJ83" s="147">
        <f>SUM(EJ84:EJ86)</f>
        <v>-7</v>
      </c>
      <c r="EK83" s="147">
        <f>SUM(EK84:EK86)</f>
        <v>0</v>
      </c>
      <c r="EL83" s="147">
        <f>SUM(EL84:EL86)</f>
        <v>118</v>
      </c>
      <c r="EM83" s="273">
        <f>SUM(EM84:EM86)</f>
        <v>0</v>
      </c>
      <c r="EN83" s="273">
        <f t="shared" si="335"/>
        <v>213</v>
      </c>
      <c r="EO83" s="272">
        <f t="shared" ref="EO83:EU83" si="399">SUM(EO84:EO86)</f>
        <v>56</v>
      </c>
      <c r="EP83" s="147">
        <f t="shared" si="399"/>
        <v>0</v>
      </c>
      <c r="EQ83" s="147">
        <f t="shared" si="399"/>
        <v>0</v>
      </c>
      <c r="ER83" s="147">
        <f t="shared" si="399"/>
        <v>0</v>
      </c>
      <c r="ES83" s="147">
        <f t="shared" si="399"/>
        <v>643</v>
      </c>
      <c r="ET83" s="147">
        <f t="shared" si="399"/>
        <v>0</v>
      </c>
      <c r="EU83" s="147">
        <f t="shared" si="399"/>
        <v>0</v>
      </c>
      <c r="EV83" s="951">
        <v>0</v>
      </c>
      <c r="EW83" s="147"/>
      <c r="EX83" s="147"/>
      <c r="EY83" s="147"/>
      <c r="EZ83" s="273"/>
      <c r="FA83" s="273"/>
      <c r="FC83" s="318">
        <f t="shared" si="337"/>
        <v>-100</v>
      </c>
      <c r="FD83" s="259">
        <f t="shared" si="340"/>
        <v>585.29411764705878</v>
      </c>
      <c r="FE83" s="143">
        <f t="shared" si="338"/>
        <v>102</v>
      </c>
      <c r="FF83" s="143">
        <f t="shared" si="339"/>
        <v>699</v>
      </c>
    </row>
    <row r="84" spans="1:162" ht="15" customHeight="1" x14ac:dyDescent="0.25">
      <c r="A84" s="138" t="s">
        <v>440</v>
      </c>
      <c r="B84" s="245"/>
      <c r="C84" s="205"/>
      <c r="D84" s="205"/>
      <c r="E84" s="205"/>
      <c r="F84" s="205">
        <v>124</v>
      </c>
      <c r="G84" s="205">
        <v>-1315</v>
      </c>
      <c r="H84" s="205">
        <v>73</v>
      </c>
      <c r="I84" s="205"/>
      <c r="J84" s="205">
        <v>10</v>
      </c>
      <c r="K84" s="205"/>
      <c r="L84" s="205"/>
      <c r="M84" s="246">
        <v>87</v>
      </c>
      <c r="N84" s="246">
        <f>SUM(B84:M84)</f>
        <v>-1021</v>
      </c>
      <c r="O84" s="205"/>
      <c r="P84" s="205">
        <v>1</v>
      </c>
      <c r="Q84" s="205"/>
      <c r="R84" s="205"/>
      <c r="S84" s="205"/>
      <c r="T84" s="205"/>
      <c r="U84" s="205"/>
      <c r="V84" s="205"/>
      <c r="W84" s="205">
        <v>32</v>
      </c>
      <c r="X84" s="205"/>
      <c r="Y84" s="205"/>
      <c r="Z84" s="246"/>
      <c r="AA84" s="205">
        <f t="shared" si="388"/>
        <v>33</v>
      </c>
      <c r="AB84" s="245"/>
      <c r="AC84" s="205"/>
      <c r="AD84" s="205"/>
      <c r="AE84" s="205"/>
      <c r="AF84" s="205"/>
      <c r="AG84" s="205"/>
      <c r="AH84" s="205"/>
      <c r="AI84" s="205"/>
      <c r="AJ84" s="205">
        <v>13</v>
      </c>
      <c r="AK84" s="205"/>
      <c r="AL84" s="205"/>
      <c r="AM84" s="205"/>
      <c r="AN84" s="202">
        <f t="shared" si="389"/>
        <v>13</v>
      </c>
      <c r="AO84" s="24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46"/>
      <c r="BA84" s="246">
        <f t="shared" si="391"/>
        <v>0</v>
      </c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46"/>
      <c r="BN84" s="246">
        <f t="shared" si="393"/>
        <v>0</v>
      </c>
      <c r="BO84" s="205"/>
      <c r="BP84" s="205"/>
      <c r="BQ84" s="205"/>
      <c r="BR84" s="169"/>
      <c r="BS84" s="169"/>
      <c r="BT84" s="169"/>
      <c r="BU84" s="169"/>
      <c r="BV84" s="169"/>
      <c r="BW84" s="169"/>
      <c r="BX84" s="169"/>
      <c r="BY84" s="169"/>
      <c r="BZ84" s="169"/>
      <c r="CA84" s="150">
        <f t="shared" si="345"/>
        <v>0</v>
      </c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70"/>
      <c r="CN84" s="170">
        <f t="shared" si="327"/>
        <v>0</v>
      </c>
      <c r="CO84" s="162"/>
      <c r="CP84" s="151"/>
      <c r="CQ84" s="151"/>
      <c r="CR84" s="151"/>
      <c r="CS84" s="151"/>
      <c r="CT84" s="151"/>
      <c r="CU84" s="151"/>
      <c r="CV84" s="151"/>
      <c r="CW84" s="151"/>
      <c r="CX84" s="151"/>
      <c r="CY84" s="151"/>
      <c r="CZ84" s="241"/>
      <c r="DA84" s="150">
        <f t="shared" si="329"/>
        <v>0</v>
      </c>
      <c r="DB84" s="162"/>
      <c r="DC84" s="151"/>
      <c r="DD84" s="151"/>
      <c r="DE84" s="151"/>
      <c r="DF84" s="151"/>
      <c r="DG84" s="151"/>
      <c r="DH84" s="151"/>
      <c r="DI84" s="151"/>
      <c r="DJ84" s="151"/>
      <c r="DK84" s="151"/>
      <c r="DL84" s="151"/>
      <c r="DM84" s="241"/>
      <c r="DN84" s="151">
        <f t="shared" si="331"/>
        <v>0</v>
      </c>
      <c r="DO84" s="162"/>
      <c r="DP84" s="151"/>
      <c r="DQ84" s="151"/>
      <c r="DR84" s="151"/>
      <c r="DS84" s="151"/>
      <c r="DT84" s="151"/>
      <c r="DU84" s="151"/>
      <c r="DV84" s="151"/>
      <c r="DW84" s="151"/>
      <c r="DX84" s="151"/>
      <c r="DY84" s="151"/>
      <c r="DZ84" s="241"/>
      <c r="EA84" s="241">
        <f t="shared" si="333"/>
        <v>0</v>
      </c>
      <c r="EB84" s="162">
        <v>0</v>
      </c>
      <c r="EC84" s="151">
        <v>0</v>
      </c>
      <c r="ED84" s="151">
        <v>0</v>
      </c>
      <c r="EE84" s="151">
        <v>0</v>
      </c>
      <c r="EF84" s="151">
        <v>0</v>
      </c>
      <c r="EG84" s="151">
        <v>0</v>
      </c>
      <c r="EH84" s="151">
        <v>0</v>
      </c>
      <c r="EI84" s="151">
        <v>0</v>
      </c>
      <c r="EJ84" s="151">
        <v>0</v>
      </c>
      <c r="EK84" s="151">
        <v>0</v>
      </c>
      <c r="EL84" s="151">
        <v>0</v>
      </c>
      <c r="EM84" s="241">
        <v>0</v>
      </c>
      <c r="EN84" s="241">
        <f t="shared" si="335"/>
        <v>0</v>
      </c>
      <c r="EO84" s="162">
        <v>0</v>
      </c>
      <c r="EP84" s="151">
        <v>0</v>
      </c>
      <c r="EQ84" s="151">
        <v>0</v>
      </c>
      <c r="ER84" s="151">
        <v>0</v>
      </c>
      <c r="ES84" s="151">
        <v>0</v>
      </c>
      <c r="ET84" s="151">
        <v>0</v>
      </c>
      <c r="EU84" s="151">
        <v>0</v>
      </c>
      <c r="EV84" s="950">
        <v>0</v>
      </c>
      <c r="EW84" s="151"/>
      <c r="EX84" s="151"/>
      <c r="EY84" s="151"/>
      <c r="EZ84" s="241"/>
      <c r="FA84" s="241"/>
      <c r="FC84" s="316" t="str">
        <f t="shared" si="337"/>
        <v>-</v>
      </c>
      <c r="FD84" s="264" t="str">
        <f t="shared" si="340"/>
        <v>-</v>
      </c>
      <c r="FE84" s="148">
        <f t="shared" si="338"/>
        <v>0</v>
      </c>
      <c r="FF84" s="148">
        <f t="shared" si="339"/>
        <v>0</v>
      </c>
    </row>
    <row r="85" spans="1:162" ht="15" customHeight="1" x14ac:dyDescent="0.25">
      <c r="A85" s="138" t="s">
        <v>441</v>
      </c>
      <c r="B85" s="24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46"/>
      <c r="N85" s="246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46"/>
      <c r="AA85" s="205">
        <f t="shared" si="388"/>
        <v>0</v>
      </c>
      <c r="AB85" s="245"/>
      <c r="AC85" s="205"/>
      <c r="AD85" s="205"/>
      <c r="AE85" s="205"/>
      <c r="AF85" s="205"/>
      <c r="AG85" s="205"/>
      <c r="AH85" s="205">
        <v>127</v>
      </c>
      <c r="AI85" s="205">
        <v>264</v>
      </c>
      <c r="AJ85" s="205"/>
      <c r="AK85" s="205"/>
      <c r="AL85" s="205"/>
      <c r="AM85" s="205"/>
      <c r="AN85" s="202">
        <f t="shared" si="389"/>
        <v>391</v>
      </c>
      <c r="AO85" s="245"/>
      <c r="AP85" s="205"/>
      <c r="AQ85" s="205"/>
      <c r="AR85" s="205"/>
      <c r="AS85" s="205">
        <v>52</v>
      </c>
      <c r="AT85" s="205">
        <v>90</v>
      </c>
      <c r="AU85" s="205"/>
      <c r="AV85" s="205">
        <v>58</v>
      </c>
      <c r="AW85" s="205">
        <v>85</v>
      </c>
      <c r="AX85" s="205"/>
      <c r="AY85" s="205">
        <v>71</v>
      </c>
      <c r="AZ85" s="246">
        <v>17</v>
      </c>
      <c r="BA85" s="246">
        <f t="shared" si="391"/>
        <v>373</v>
      </c>
      <c r="BB85" s="205"/>
      <c r="BC85" s="205"/>
      <c r="BD85" s="205"/>
      <c r="BE85" s="205"/>
      <c r="BF85" s="205">
        <v>14</v>
      </c>
      <c r="BG85" s="205">
        <v>259</v>
      </c>
      <c r="BH85" s="205">
        <v>14</v>
      </c>
      <c r="BI85" s="205">
        <v>485</v>
      </c>
      <c r="BJ85" s="205"/>
      <c r="BK85" s="205"/>
      <c r="BL85" s="205">
        <v>146</v>
      </c>
      <c r="BM85" s="246"/>
      <c r="BN85" s="246">
        <f t="shared" si="393"/>
        <v>918</v>
      </c>
      <c r="BO85" s="205"/>
      <c r="BP85" s="205"/>
      <c r="BQ85" s="205"/>
      <c r="BR85" s="169"/>
      <c r="BS85" s="169"/>
      <c r="BT85" s="169"/>
      <c r="BU85" s="169">
        <v>59</v>
      </c>
      <c r="BV85" s="169">
        <v>41</v>
      </c>
      <c r="BW85" s="169">
        <v>104</v>
      </c>
      <c r="BX85" s="169">
        <v>237</v>
      </c>
      <c r="BY85" s="169"/>
      <c r="BZ85" s="169"/>
      <c r="CA85" s="150">
        <f t="shared" si="345"/>
        <v>441</v>
      </c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70"/>
      <c r="CN85" s="170">
        <f t="shared" si="327"/>
        <v>0</v>
      </c>
      <c r="CO85" s="162"/>
      <c r="CP85" s="151"/>
      <c r="CQ85" s="151"/>
      <c r="CR85" s="151"/>
      <c r="CS85" s="151"/>
      <c r="CT85" s="151"/>
      <c r="CU85" s="151"/>
      <c r="CV85" s="151"/>
      <c r="CW85" s="151"/>
      <c r="CX85" s="151"/>
      <c r="CY85" s="151"/>
      <c r="CZ85" s="241"/>
      <c r="DA85" s="150">
        <f t="shared" si="329"/>
        <v>0</v>
      </c>
      <c r="DB85" s="162"/>
      <c r="DC85" s="151"/>
      <c r="DD85" s="151"/>
      <c r="DE85" s="151"/>
      <c r="DF85" s="151"/>
      <c r="DG85" s="151"/>
      <c r="DH85" s="151"/>
      <c r="DI85" s="151"/>
      <c r="DJ85" s="151"/>
      <c r="DK85" s="151"/>
      <c r="DL85" s="151"/>
      <c r="DM85" s="241"/>
      <c r="DN85" s="151">
        <f t="shared" si="331"/>
        <v>0</v>
      </c>
      <c r="DO85" s="162"/>
      <c r="DP85" s="151"/>
      <c r="DQ85" s="151"/>
      <c r="DR85" s="151"/>
      <c r="DS85" s="151"/>
      <c r="DT85" s="151"/>
      <c r="DU85" s="151"/>
      <c r="DV85" s="151"/>
      <c r="DW85" s="151"/>
      <c r="DX85" s="151"/>
      <c r="DY85" s="151"/>
      <c r="DZ85" s="241"/>
      <c r="EA85" s="241">
        <f t="shared" si="333"/>
        <v>0</v>
      </c>
      <c r="EB85" s="162">
        <v>0</v>
      </c>
      <c r="EC85" s="151">
        <v>0</v>
      </c>
      <c r="ED85" s="151">
        <v>0</v>
      </c>
      <c r="EE85" s="151">
        <v>0</v>
      </c>
      <c r="EF85" s="151">
        <v>0</v>
      </c>
      <c r="EG85" s="151">
        <v>0</v>
      </c>
      <c r="EH85" s="151">
        <v>0</v>
      </c>
      <c r="EI85" s="151">
        <v>1</v>
      </c>
      <c r="EJ85" s="151">
        <v>0</v>
      </c>
      <c r="EK85" s="151">
        <v>0</v>
      </c>
      <c r="EL85" s="151">
        <v>0</v>
      </c>
      <c r="EM85" s="241">
        <v>0</v>
      </c>
      <c r="EN85" s="241">
        <f t="shared" si="335"/>
        <v>1</v>
      </c>
      <c r="EO85" s="162">
        <v>0</v>
      </c>
      <c r="EP85" s="151">
        <v>0</v>
      </c>
      <c r="EQ85" s="151">
        <v>0</v>
      </c>
      <c r="ER85" s="151">
        <v>0</v>
      </c>
      <c r="ES85" s="151">
        <v>643</v>
      </c>
      <c r="ET85" s="151">
        <v>0</v>
      </c>
      <c r="EU85" s="151">
        <v>0</v>
      </c>
      <c r="EV85" s="950">
        <v>0</v>
      </c>
      <c r="EW85" s="151"/>
      <c r="EX85" s="151"/>
      <c r="EY85" s="151"/>
      <c r="EZ85" s="241"/>
      <c r="FA85" s="241"/>
      <c r="FC85" s="316">
        <f t="shared" si="337"/>
        <v>-100</v>
      </c>
      <c r="FD85" s="264">
        <f t="shared" si="340"/>
        <v>64200</v>
      </c>
      <c r="FE85" s="148">
        <f t="shared" si="338"/>
        <v>1</v>
      </c>
      <c r="FF85" s="148">
        <f t="shared" si="339"/>
        <v>643</v>
      </c>
    </row>
    <row r="86" spans="1:162" ht="15" customHeight="1" x14ac:dyDescent="0.25">
      <c r="A86" s="217" t="s">
        <v>442</v>
      </c>
      <c r="B86" s="298">
        <f t="shared" ref="B86:AM86" si="400">SUM(B87:B91)</f>
        <v>0</v>
      </c>
      <c r="C86" s="299">
        <f t="shared" si="400"/>
        <v>0</v>
      </c>
      <c r="D86" s="299">
        <f t="shared" si="400"/>
        <v>68</v>
      </c>
      <c r="E86" s="299">
        <f t="shared" si="400"/>
        <v>0.38200000000000001</v>
      </c>
      <c r="F86" s="299">
        <f t="shared" si="400"/>
        <v>7</v>
      </c>
      <c r="G86" s="299">
        <f t="shared" si="400"/>
        <v>402</v>
      </c>
      <c r="H86" s="299">
        <f t="shared" si="400"/>
        <v>59</v>
      </c>
      <c r="I86" s="299">
        <f t="shared" si="400"/>
        <v>9</v>
      </c>
      <c r="J86" s="299">
        <f t="shared" si="400"/>
        <v>97</v>
      </c>
      <c r="K86" s="299">
        <f t="shared" si="400"/>
        <v>0</v>
      </c>
      <c r="L86" s="299">
        <f t="shared" si="400"/>
        <v>204</v>
      </c>
      <c r="M86" s="300">
        <f t="shared" si="400"/>
        <v>238</v>
      </c>
      <c r="N86" s="300">
        <f>SUM(B86:M86)</f>
        <v>1084.3820000000001</v>
      </c>
      <c r="O86" s="299">
        <f t="shared" si="400"/>
        <v>592</v>
      </c>
      <c r="P86" s="299">
        <f t="shared" si="400"/>
        <v>104</v>
      </c>
      <c r="Q86" s="299">
        <f t="shared" si="400"/>
        <v>69</v>
      </c>
      <c r="R86" s="299">
        <f t="shared" si="400"/>
        <v>276</v>
      </c>
      <c r="S86" s="299">
        <f t="shared" si="400"/>
        <v>-246</v>
      </c>
      <c r="T86" s="299">
        <f t="shared" si="400"/>
        <v>3250</v>
      </c>
      <c r="U86" s="299">
        <f t="shared" si="400"/>
        <v>495</v>
      </c>
      <c r="V86" s="299">
        <f t="shared" si="400"/>
        <v>283</v>
      </c>
      <c r="W86" s="299">
        <f t="shared" si="400"/>
        <v>6</v>
      </c>
      <c r="X86" s="299">
        <f t="shared" si="400"/>
        <v>0</v>
      </c>
      <c r="Y86" s="299">
        <f t="shared" si="400"/>
        <v>0</v>
      </c>
      <c r="Z86" s="300">
        <f t="shared" si="400"/>
        <v>399</v>
      </c>
      <c r="AA86" s="299">
        <f t="shared" si="388"/>
        <v>5228</v>
      </c>
      <c r="AB86" s="298">
        <f t="shared" si="400"/>
        <v>0</v>
      </c>
      <c r="AC86" s="299">
        <f t="shared" si="400"/>
        <v>439</v>
      </c>
      <c r="AD86" s="299">
        <f t="shared" si="400"/>
        <v>0</v>
      </c>
      <c r="AE86" s="299">
        <f t="shared" si="400"/>
        <v>0</v>
      </c>
      <c r="AF86" s="299">
        <f t="shared" si="400"/>
        <v>0</v>
      </c>
      <c r="AG86" s="299">
        <f t="shared" si="400"/>
        <v>0</v>
      </c>
      <c r="AH86" s="299">
        <f t="shared" si="400"/>
        <v>15</v>
      </c>
      <c r="AI86" s="299">
        <f t="shared" si="400"/>
        <v>665</v>
      </c>
      <c r="AJ86" s="299">
        <f t="shared" si="400"/>
        <v>0</v>
      </c>
      <c r="AK86" s="299">
        <f t="shared" si="400"/>
        <v>0</v>
      </c>
      <c r="AL86" s="299">
        <f t="shared" si="400"/>
        <v>257</v>
      </c>
      <c r="AM86" s="299">
        <f t="shared" si="400"/>
        <v>272</v>
      </c>
      <c r="AN86" s="257">
        <f t="shared" si="389"/>
        <v>1648</v>
      </c>
      <c r="AO86" s="298">
        <f t="shared" ref="AO86:AZ86" si="401">SUM(AO87:AO91)</f>
        <v>208</v>
      </c>
      <c r="AP86" s="299">
        <f t="shared" si="401"/>
        <v>326</v>
      </c>
      <c r="AQ86" s="299">
        <f t="shared" si="401"/>
        <v>0</v>
      </c>
      <c r="AR86" s="299">
        <f t="shared" si="401"/>
        <v>0</v>
      </c>
      <c r="AS86" s="299">
        <f t="shared" si="401"/>
        <v>0</v>
      </c>
      <c r="AT86" s="299">
        <f t="shared" si="401"/>
        <v>0</v>
      </c>
      <c r="AU86" s="299">
        <f t="shared" si="401"/>
        <v>163</v>
      </c>
      <c r="AV86" s="299">
        <f t="shared" si="401"/>
        <v>256</v>
      </c>
      <c r="AW86" s="299">
        <f t="shared" si="401"/>
        <v>0</v>
      </c>
      <c r="AX86" s="299">
        <f t="shared" si="401"/>
        <v>0</v>
      </c>
      <c r="AY86" s="299">
        <f t="shared" si="401"/>
        <v>0</v>
      </c>
      <c r="AZ86" s="300">
        <f t="shared" si="401"/>
        <v>0</v>
      </c>
      <c r="BA86" s="300">
        <f t="shared" si="391"/>
        <v>953</v>
      </c>
      <c r="BB86" s="299">
        <f t="shared" ref="BB86:BM86" si="402">SUM(BB87:BB91)</f>
        <v>0</v>
      </c>
      <c r="BC86" s="299">
        <f t="shared" si="402"/>
        <v>0</v>
      </c>
      <c r="BD86" s="299">
        <f t="shared" si="402"/>
        <v>0</v>
      </c>
      <c r="BE86" s="299">
        <f t="shared" si="402"/>
        <v>0</v>
      </c>
      <c r="BF86" s="299">
        <f t="shared" si="402"/>
        <v>0</v>
      </c>
      <c r="BG86" s="299">
        <f t="shared" si="402"/>
        <v>0</v>
      </c>
      <c r="BH86" s="299">
        <f t="shared" si="402"/>
        <v>59</v>
      </c>
      <c r="BI86" s="299">
        <f>SUM(BI87:BI91)</f>
        <v>42</v>
      </c>
      <c r="BJ86" s="299">
        <f t="shared" si="402"/>
        <v>353</v>
      </c>
      <c r="BK86" s="299">
        <f t="shared" si="402"/>
        <v>105</v>
      </c>
      <c r="BL86" s="299">
        <f t="shared" si="402"/>
        <v>0</v>
      </c>
      <c r="BM86" s="300">
        <f t="shared" si="402"/>
        <v>0</v>
      </c>
      <c r="BN86" s="300">
        <f t="shared" si="393"/>
        <v>559</v>
      </c>
      <c r="BO86" s="299">
        <f>SUM(BO87:BO91)</f>
        <v>0</v>
      </c>
      <c r="BP86" s="299">
        <f>SUM(BP87:BP91)</f>
        <v>0</v>
      </c>
      <c r="BQ86" s="299">
        <f t="shared" ref="BQ86:BV86" si="403">SUM(BQ87:BQ91)</f>
        <v>0</v>
      </c>
      <c r="BR86" s="299">
        <f t="shared" si="403"/>
        <v>0</v>
      </c>
      <c r="BS86" s="299">
        <f t="shared" si="403"/>
        <v>0</v>
      </c>
      <c r="BT86" s="299">
        <f t="shared" si="403"/>
        <v>0</v>
      </c>
      <c r="BU86" s="299">
        <f t="shared" si="403"/>
        <v>438</v>
      </c>
      <c r="BV86" s="299">
        <f t="shared" si="403"/>
        <v>0</v>
      </c>
      <c r="BW86" s="299">
        <f>SUM(BW87:BW91)</f>
        <v>808</v>
      </c>
      <c r="BX86" s="299">
        <f>SUM(BX87:BX91)</f>
        <v>0</v>
      </c>
      <c r="BY86" s="299">
        <f>SUM(BY87:BY91)</f>
        <v>0</v>
      </c>
      <c r="BZ86" s="299">
        <f>SUM(BZ87:BZ91)</f>
        <v>605</v>
      </c>
      <c r="CA86" s="269">
        <f t="shared" si="345"/>
        <v>1851</v>
      </c>
      <c r="CB86" s="299">
        <f>SUM(CB87:CB91)</f>
        <v>0</v>
      </c>
      <c r="CC86" s="299">
        <f>SUM(CC87:CC91)</f>
        <v>0</v>
      </c>
      <c r="CD86" s="299">
        <f t="shared" ref="CD86:CM86" si="404">SUM(CD87:CD91)</f>
        <v>0</v>
      </c>
      <c r="CE86" s="299">
        <f t="shared" si="404"/>
        <v>0</v>
      </c>
      <c r="CF86" s="299">
        <f t="shared" si="404"/>
        <v>0</v>
      </c>
      <c r="CG86" s="299">
        <f t="shared" si="404"/>
        <v>0</v>
      </c>
      <c r="CH86" s="299">
        <f t="shared" si="404"/>
        <v>0</v>
      </c>
      <c r="CI86" s="299">
        <f t="shared" si="404"/>
        <v>0</v>
      </c>
      <c r="CJ86" s="299">
        <f t="shared" si="404"/>
        <v>0</v>
      </c>
      <c r="CK86" s="299">
        <f t="shared" si="404"/>
        <v>0</v>
      </c>
      <c r="CL86" s="299">
        <f t="shared" si="404"/>
        <v>0</v>
      </c>
      <c r="CM86" s="300">
        <f t="shared" si="404"/>
        <v>3640</v>
      </c>
      <c r="CN86" s="300">
        <f t="shared" si="327"/>
        <v>3640</v>
      </c>
      <c r="CO86" s="267"/>
      <c r="CP86" s="229"/>
      <c r="CQ86" s="229"/>
      <c r="CR86" s="229"/>
      <c r="CS86" s="229"/>
      <c r="CT86" s="229"/>
      <c r="CU86" s="229"/>
      <c r="CV86" s="229">
        <f>SUM(CV87:CV91)</f>
        <v>-23</v>
      </c>
      <c r="CW86" s="229">
        <f>SUM(CW87:CW91)</f>
        <v>0</v>
      </c>
      <c r="CX86" s="229">
        <f>SUM(CX87:CX91)</f>
        <v>0</v>
      </c>
      <c r="CY86" s="229">
        <f>SUM(CY87:CY91)</f>
        <v>1253</v>
      </c>
      <c r="CZ86" s="268">
        <f>SUM(CZ87:CZ91)</f>
        <v>0</v>
      </c>
      <c r="DA86" s="257">
        <f>SUM(CO86:CZ86)</f>
        <v>1230</v>
      </c>
      <c r="DB86" s="267"/>
      <c r="DC86" s="229"/>
      <c r="DD86" s="229"/>
      <c r="DE86" s="229"/>
      <c r="DF86" s="229">
        <f t="shared" ref="DF86:DM86" si="405">SUM(DF87:DF91)</f>
        <v>20</v>
      </c>
      <c r="DG86" s="229">
        <f t="shared" si="405"/>
        <v>0</v>
      </c>
      <c r="DH86" s="229">
        <f t="shared" si="405"/>
        <v>0</v>
      </c>
      <c r="DI86" s="229">
        <f t="shared" si="405"/>
        <v>0</v>
      </c>
      <c r="DJ86" s="229">
        <f t="shared" si="405"/>
        <v>0</v>
      </c>
      <c r="DK86" s="229">
        <f t="shared" si="405"/>
        <v>0</v>
      </c>
      <c r="DL86" s="229">
        <f t="shared" si="405"/>
        <v>0</v>
      </c>
      <c r="DM86" s="229">
        <f t="shared" si="405"/>
        <v>0</v>
      </c>
      <c r="DN86" s="229">
        <f t="shared" si="331"/>
        <v>20</v>
      </c>
      <c r="DO86" s="267">
        <f>SUM(DO87:DO91)</f>
        <v>0</v>
      </c>
      <c r="DP86" s="229">
        <f t="shared" ref="DP86:DZ86" si="406">SUM(DP87:DP91)</f>
        <v>0</v>
      </c>
      <c r="DQ86" s="229">
        <f t="shared" si="406"/>
        <v>0</v>
      </c>
      <c r="DR86" s="229">
        <f t="shared" si="406"/>
        <v>0</v>
      </c>
      <c r="DS86" s="229">
        <f t="shared" si="406"/>
        <v>0</v>
      </c>
      <c r="DT86" s="229">
        <f t="shared" si="406"/>
        <v>0</v>
      </c>
      <c r="DU86" s="229">
        <f t="shared" si="406"/>
        <v>0</v>
      </c>
      <c r="DV86" s="229">
        <f t="shared" si="406"/>
        <v>0</v>
      </c>
      <c r="DW86" s="229">
        <f t="shared" si="406"/>
        <v>0</v>
      </c>
      <c r="DX86" s="229">
        <f t="shared" si="406"/>
        <v>0</v>
      </c>
      <c r="DY86" s="229">
        <f t="shared" si="406"/>
        <v>0</v>
      </c>
      <c r="DZ86" s="268">
        <f t="shared" si="406"/>
        <v>0</v>
      </c>
      <c r="EA86" s="268">
        <f t="shared" si="333"/>
        <v>0</v>
      </c>
      <c r="EB86" s="267">
        <f t="shared" ref="EB86:EH86" si="407">SUM(EB87:EB91)</f>
        <v>101</v>
      </c>
      <c r="EC86" s="229">
        <f t="shared" si="407"/>
        <v>0</v>
      </c>
      <c r="ED86" s="229">
        <f t="shared" si="407"/>
        <v>0</v>
      </c>
      <c r="EE86" s="229">
        <f t="shared" si="407"/>
        <v>0</v>
      </c>
      <c r="EF86" s="229">
        <f t="shared" si="407"/>
        <v>0</v>
      </c>
      <c r="EG86" s="229">
        <f t="shared" si="407"/>
        <v>0</v>
      </c>
      <c r="EH86" s="229">
        <f t="shared" si="407"/>
        <v>0</v>
      </c>
      <c r="EI86" s="229">
        <f>SUM(EI87:EI91)</f>
        <v>0</v>
      </c>
      <c r="EJ86" s="229">
        <f>SUM(EJ87:EJ91)</f>
        <v>-7</v>
      </c>
      <c r="EK86" s="229">
        <f>SUM(EK87:EK91)</f>
        <v>0</v>
      </c>
      <c r="EL86" s="229">
        <f>SUM(EL87:EL91)</f>
        <v>118</v>
      </c>
      <c r="EM86" s="268">
        <f>SUM(EM87:EM91)</f>
        <v>0</v>
      </c>
      <c r="EN86" s="268">
        <f t="shared" si="335"/>
        <v>212</v>
      </c>
      <c r="EO86" s="267">
        <f>SUM(EO87:EO91)</f>
        <v>56</v>
      </c>
      <c r="EP86" s="229">
        <f>SUM(EP87:EP91)</f>
        <v>0</v>
      </c>
      <c r="EQ86" s="229">
        <f>SUM(EQ87:EQ91)</f>
        <v>0</v>
      </c>
      <c r="ER86" s="229">
        <f>SUM(ER87:ER91)</f>
        <v>0</v>
      </c>
      <c r="ES86" s="229">
        <f>SUM(ES87:ES91)</f>
        <v>0</v>
      </c>
      <c r="ET86" s="229">
        <v>0</v>
      </c>
      <c r="EU86" s="229">
        <v>0</v>
      </c>
      <c r="EV86" s="952">
        <v>0</v>
      </c>
      <c r="EW86" s="229"/>
      <c r="EX86" s="229"/>
      <c r="EY86" s="229"/>
      <c r="EZ86" s="268"/>
      <c r="FA86" s="268"/>
      <c r="FC86" s="316" t="str">
        <f t="shared" si="337"/>
        <v>-</v>
      </c>
      <c r="FD86" s="301">
        <f t="shared" si="340"/>
        <v>-44.554455445544548</v>
      </c>
      <c r="FE86" s="145">
        <f t="shared" si="338"/>
        <v>101</v>
      </c>
      <c r="FF86" s="145">
        <f t="shared" si="339"/>
        <v>56</v>
      </c>
    </row>
    <row r="87" spans="1:162" ht="15" customHeight="1" x14ac:dyDescent="0.25">
      <c r="A87" s="138" t="s">
        <v>443</v>
      </c>
      <c r="B87" s="245"/>
      <c r="C87" s="205"/>
      <c r="D87" s="205">
        <v>68</v>
      </c>
      <c r="E87" s="205">
        <v>0.38200000000000001</v>
      </c>
      <c r="F87" s="205">
        <v>7</v>
      </c>
      <c r="G87" s="205">
        <v>402</v>
      </c>
      <c r="H87" s="205">
        <v>33</v>
      </c>
      <c r="I87" s="205">
        <v>9</v>
      </c>
      <c r="J87" s="205">
        <v>97</v>
      </c>
      <c r="K87" s="205"/>
      <c r="L87" s="205">
        <v>204</v>
      </c>
      <c r="M87" s="246">
        <v>83</v>
      </c>
      <c r="N87" s="246">
        <f>SUM(B87:M87)</f>
        <v>903.38200000000006</v>
      </c>
      <c r="O87" s="205">
        <v>592</v>
      </c>
      <c r="P87" s="205">
        <v>104</v>
      </c>
      <c r="Q87" s="205">
        <v>69</v>
      </c>
      <c r="R87" s="205">
        <v>29</v>
      </c>
      <c r="S87" s="205">
        <v>1</v>
      </c>
      <c r="T87" s="205">
        <v>3218</v>
      </c>
      <c r="U87" s="205">
        <v>495</v>
      </c>
      <c r="V87" s="205">
        <v>283</v>
      </c>
      <c r="W87" s="205">
        <v>6</v>
      </c>
      <c r="X87" s="205"/>
      <c r="Y87" s="205"/>
      <c r="Z87" s="246">
        <v>2</v>
      </c>
      <c r="AA87" s="205">
        <f t="shared" si="388"/>
        <v>4799</v>
      </c>
      <c r="AB87" s="245"/>
      <c r="AC87" s="205">
        <v>439</v>
      </c>
      <c r="AD87" s="205"/>
      <c r="AE87" s="205"/>
      <c r="AF87" s="205"/>
      <c r="AG87" s="205"/>
      <c r="AH87" s="205"/>
      <c r="AI87" s="205">
        <v>588</v>
      </c>
      <c r="AJ87" s="205"/>
      <c r="AK87" s="205"/>
      <c r="AL87" s="205">
        <v>257</v>
      </c>
      <c r="AM87" s="205"/>
      <c r="AN87" s="202">
        <f t="shared" si="389"/>
        <v>1284</v>
      </c>
      <c r="AO87" s="245"/>
      <c r="AP87" s="205"/>
      <c r="AQ87" s="205"/>
      <c r="AR87" s="205"/>
      <c r="AS87" s="205"/>
      <c r="AT87" s="205"/>
      <c r="AU87" s="205">
        <v>163</v>
      </c>
      <c r="AV87" s="205">
        <v>256</v>
      </c>
      <c r="AW87" s="205"/>
      <c r="AX87" s="205"/>
      <c r="AY87" s="205"/>
      <c r="AZ87" s="246"/>
      <c r="BA87" s="246">
        <f t="shared" si="391"/>
        <v>419</v>
      </c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46"/>
      <c r="BN87" s="246">
        <f t="shared" si="393"/>
        <v>0</v>
      </c>
      <c r="BO87" s="205"/>
      <c r="BP87" s="205"/>
      <c r="BQ87" s="205"/>
      <c r="BR87" s="169"/>
      <c r="BS87" s="169"/>
      <c r="BT87" s="169"/>
      <c r="BU87" s="169"/>
      <c r="BV87" s="169"/>
      <c r="BW87" s="169">
        <v>748</v>
      </c>
      <c r="BX87" s="169"/>
      <c r="BY87" s="169"/>
      <c r="BZ87" s="169">
        <v>605</v>
      </c>
      <c r="CA87" s="150">
        <f t="shared" si="345"/>
        <v>1353</v>
      </c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70">
        <v>3640</v>
      </c>
      <c r="CN87" s="170">
        <f t="shared" si="327"/>
        <v>3640</v>
      </c>
      <c r="CO87" s="162"/>
      <c r="CP87" s="151"/>
      <c r="CQ87" s="151"/>
      <c r="CR87" s="151"/>
      <c r="CS87" s="151"/>
      <c r="CT87" s="151"/>
      <c r="CU87" s="151"/>
      <c r="CV87" s="151">
        <v>-23</v>
      </c>
      <c r="CW87" s="151"/>
      <c r="CX87" s="151"/>
      <c r="CY87" s="151">
        <v>1253</v>
      </c>
      <c r="CZ87" s="241"/>
      <c r="DA87" s="150">
        <f t="shared" si="329"/>
        <v>1230</v>
      </c>
      <c r="DB87" s="162"/>
      <c r="DC87" s="151"/>
      <c r="DD87" s="151"/>
      <c r="DE87" s="151"/>
      <c r="DF87" s="151">
        <v>20</v>
      </c>
      <c r="DG87" s="151"/>
      <c r="DH87" s="151"/>
      <c r="DI87" s="151"/>
      <c r="DJ87" s="151"/>
      <c r="DK87" s="151"/>
      <c r="DL87" s="151"/>
      <c r="DM87" s="241"/>
      <c r="DN87" s="151">
        <f t="shared" si="331"/>
        <v>20</v>
      </c>
      <c r="DO87" s="162"/>
      <c r="DP87" s="151"/>
      <c r="DQ87" s="151"/>
      <c r="DR87" s="151"/>
      <c r="DS87" s="151"/>
      <c r="DT87" s="151"/>
      <c r="DU87" s="151"/>
      <c r="DV87" s="151"/>
      <c r="DW87" s="151"/>
      <c r="DX87" s="151"/>
      <c r="DY87" s="151"/>
      <c r="DZ87" s="241"/>
      <c r="EA87" s="241">
        <f t="shared" si="333"/>
        <v>0</v>
      </c>
      <c r="EB87" s="162">
        <v>101</v>
      </c>
      <c r="EC87" s="151">
        <v>0</v>
      </c>
      <c r="ED87" s="151">
        <v>0</v>
      </c>
      <c r="EE87" s="151">
        <v>0</v>
      </c>
      <c r="EF87" s="151">
        <v>0</v>
      </c>
      <c r="EG87" s="151">
        <v>0</v>
      </c>
      <c r="EH87" s="151">
        <v>0</v>
      </c>
      <c r="EI87" s="151">
        <v>0</v>
      </c>
      <c r="EJ87" s="151">
        <v>-7</v>
      </c>
      <c r="EK87" s="151">
        <v>0</v>
      </c>
      <c r="EL87" s="151">
        <v>0</v>
      </c>
      <c r="EM87" s="241">
        <v>0</v>
      </c>
      <c r="EN87" s="241">
        <f t="shared" si="335"/>
        <v>94</v>
      </c>
      <c r="EO87" s="162">
        <v>56</v>
      </c>
      <c r="EP87" s="151">
        <v>0</v>
      </c>
      <c r="EQ87" s="151">
        <v>0</v>
      </c>
      <c r="ER87" s="151">
        <v>0</v>
      </c>
      <c r="ES87" s="151">
        <v>0</v>
      </c>
      <c r="ET87" s="151">
        <v>0</v>
      </c>
      <c r="EU87" s="151">
        <v>0</v>
      </c>
      <c r="EV87" s="950">
        <v>0</v>
      </c>
      <c r="EW87" s="151"/>
      <c r="EX87" s="151"/>
      <c r="EY87" s="151"/>
      <c r="EZ87" s="241"/>
      <c r="FA87" s="241"/>
      <c r="FC87" s="316" t="str">
        <f t="shared" si="337"/>
        <v>-</v>
      </c>
      <c r="FD87" s="264">
        <f t="shared" si="340"/>
        <v>-44.554455445544548</v>
      </c>
      <c r="FE87" s="148">
        <f t="shared" si="338"/>
        <v>101</v>
      </c>
      <c r="FF87" s="148">
        <f t="shared" si="339"/>
        <v>56</v>
      </c>
    </row>
    <row r="88" spans="1:162" ht="15" customHeight="1" x14ac:dyDescent="0.25">
      <c r="A88" s="138" t="s">
        <v>444</v>
      </c>
      <c r="B88" s="24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46"/>
      <c r="N88" s="246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46"/>
      <c r="AA88" s="205">
        <f t="shared" si="388"/>
        <v>0</v>
      </c>
      <c r="AB88" s="24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2">
        <f t="shared" si="389"/>
        <v>0</v>
      </c>
      <c r="AO88" s="24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46"/>
      <c r="BA88" s="246">
        <f t="shared" si="391"/>
        <v>0</v>
      </c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46"/>
      <c r="BN88" s="246">
        <f t="shared" si="393"/>
        <v>0</v>
      </c>
      <c r="BO88" s="205"/>
      <c r="BP88" s="205"/>
      <c r="BQ88" s="205"/>
      <c r="BR88" s="169"/>
      <c r="BS88" s="169"/>
      <c r="BT88" s="169"/>
      <c r="BU88" s="169"/>
      <c r="BV88" s="169"/>
      <c r="BW88" s="169"/>
      <c r="BX88" s="169"/>
      <c r="BY88" s="169"/>
      <c r="BZ88" s="169"/>
      <c r="CA88" s="150">
        <f t="shared" si="345"/>
        <v>0</v>
      </c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70"/>
      <c r="CN88" s="170">
        <f t="shared" si="327"/>
        <v>0</v>
      </c>
      <c r="CO88" s="162"/>
      <c r="CP88" s="151"/>
      <c r="CQ88" s="151"/>
      <c r="CR88" s="151"/>
      <c r="CS88" s="151"/>
      <c r="CT88" s="151"/>
      <c r="CU88" s="151"/>
      <c r="CV88" s="151"/>
      <c r="CW88" s="151"/>
      <c r="CX88" s="151"/>
      <c r="CY88" s="151"/>
      <c r="CZ88" s="241"/>
      <c r="DA88" s="150">
        <f t="shared" si="329"/>
        <v>0</v>
      </c>
      <c r="DB88" s="162"/>
      <c r="DC88" s="151"/>
      <c r="DD88" s="151"/>
      <c r="DE88" s="151"/>
      <c r="DF88" s="151"/>
      <c r="DG88" s="151"/>
      <c r="DH88" s="151"/>
      <c r="DI88" s="151"/>
      <c r="DJ88" s="151"/>
      <c r="DK88" s="151"/>
      <c r="DL88" s="151"/>
      <c r="DM88" s="241"/>
      <c r="DN88" s="151">
        <f t="shared" si="331"/>
        <v>0</v>
      </c>
      <c r="DO88" s="162"/>
      <c r="DP88" s="151"/>
      <c r="DQ88" s="151"/>
      <c r="DR88" s="151"/>
      <c r="DS88" s="151"/>
      <c r="DT88" s="151"/>
      <c r="DU88" s="151"/>
      <c r="DV88" s="151"/>
      <c r="DW88" s="151"/>
      <c r="DX88" s="151"/>
      <c r="DY88" s="151"/>
      <c r="DZ88" s="241"/>
      <c r="EA88" s="241">
        <f t="shared" si="333"/>
        <v>0</v>
      </c>
      <c r="EB88" s="162">
        <v>0</v>
      </c>
      <c r="EC88" s="151">
        <v>0</v>
      </c>
      <c r="ED88" s="151">
        <v>0</v>
      </c>
      <c r="EE88" s="151">
        <v>0</v>
      </c>
      <c r="EF88" s="151">
        <v>0</v>
      </c>
      <c r="EG88" s="151">
        <v>0</v>
      </c>
      <c r="EH88" s="151">
        <v>0</v>
      </c>
      <c r="EI88" s="151">
        <v>0</v>
      </c>
      <c r="EJ88" s="151">
        <v>0</v>
      </c>
      <c r="EK88" s="151">
        <v>0</v>
      </c>
      <c r="EL88" s="151">
        <v>0</v>
      </c>
      <c r="EM88" s="241">
        <v>0</v>
      </c>
      <c r="EN88" s="241">
        <f t="shared" si="335"/>
        <v>0</v>
      </c>
      <c r="EO88" s="162">
        <v>0</v>
      </c>
      <c r="EP88" s="151">
        <v>0</v>
      </c>
      <c r="EQ88" s="151">
        <v>0</v>
      </c>
      <c r="ER88" s="151">
        <v>0</v>
      </c>
      <c r="ES88" s="151">
        <v>0</v>
      </c>
      <c r="ET88" s="151">
        <v>0</v>
      </c>
      <c r="EU88" s="151">
        <v>0</v>
      </c>
      <c r="EV88" s="950">
        <v>0</v>
      </c>
      <c r="EW88" s="151"/>
      <c r="EX88" s="151"/>
      <c r="EY88" s="151"/>
      <c r="EZ88" s="241"/>
      <c r="FA88" s="241"/>
      <c r="FC88" s="316" t="str">
        <f t="shared" si="337"/>
        <v>-</v>
      </c>
      <c r="FD88" s="264" t="str">
        <f t="shared" si="340"/>
        <v>-</v>
      </c>
      <c r="FE88" s="148">
        <f t="shared" si="338"/>
        <v>0</v>
      </c>
      <c r="FF88" s="148">
        <f t="shared" si="339"/>
        <v>0</v>
      </c>
    </row>
    <row r="89" spans="1:162" ht="15" customHeight="1" x14ac:dyDescent="0.25">
      <c r="A89" s="138" t="s">
        <v>445</v>
      </c>
      <c r="B89" s="245"/>
      <c r="C89" s="205"/>
      <c r="D89" s="205"/>
      <c r="E89" s="205"/>
      <c r="F89" s="205"/>
      <c r="G89" s="205"/>
      <c r="H89" s="205">
        <v>26</v>
      </c>
      <c r="I89" s="205"/>
      <c r="J89" s="205"/>
      <c r="K89" s="205"/>
      <c r="L89" s="205"/>
      <c r="M89" s="246"/>
      <c r="N89" s="246">
        <f>SUM(B89:M89)</f>
        <v>26</v>
      </c>
      <c r="O89" s="205"/>
      <c r="P89" s="205"/>
      <c r="Q89" s="205"/>
      <c r="R89" s="205"/>
      <c r="S89" s="205"/>
      <c r="T89" s="205">
        <v>32</v>
      </c>
      <c r="U89" s="205"/>
      <c r="V89" s="205"/>
      <c r="W89" s="205"/>
      <c r="X89" s="205"/>
      <c r="Y89" s="205"/>
      <c r="Z89" s="246"/>
      <c r="AA89" s="205">
        <f t="shared" si="388"/>
        <v>32</v>
      </c>
      <c r="AB89" s="24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2">
        <f t="shared" si="389"/>
        <v>0</v>
      </c>
      <c r="AO89" s="24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46"/>
      <c r="BA89" s="246">
        <f t="shared" si="391"/>
        <v>0</v>
      </c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46"/>
      <c r="BN89" s="246">
        <f t="shared" si="393"/>
        <v>0</v>
      </c>
      <c r="BO89" s="205"/>
      <c r="BP89" s="205"/>
      <c r="BQ89" s="205"/>
      <c r="BR89" s="169"/>
      <c r="BS89" s="169"/>
      <c r="BT89" s="169"/>
      <c r="BU89" s="169"/>
      <c r="BV89" s="169"/>
      <c r="BW89" s="169"/>
      <c r="BX89" s="169"/>
      <c r="BY89" s="169"/>
      <c r="BZ89" s="169"/>
      <c r="CA89" s="150">
        <f t="shared" si="345"/>
        <v>0</v>
      </c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70"/>
      <c r="CN89" s="170">
        <f t="shared" si="327"/>
        <v>0</v>
      </c>
      <c r="CO89" s="162"/>
      <c r="CP89" s="151"/>
      <c r="CQ89" s="151"/>
      <c r="CR89" s="151"/>
      <c r="CS89" s="151"/>
      <c r="CT89" s="151"/>
      <c r="CU89" s="151"/>
      <c r="CV89" s="151"/>
      <c r="CW89" s="151"/>
      <c r="CX89" s="151"/>
      <c r="CY89" s="151"/>
      <c r="CZ89" s="241"/>
      <c r="DA89" s="150">
        <f t="shared" si="329"/>
        <v>0</v>
      </c>
      <c r="DB89" s="162"/>
      <c r="DC89" s="151"/>
      <c r="DD89" s="151"/>
      <c r="DE89" s="151"/>
      <c r="DF89" s="151"/>
      <c r="DG89" s="151"/>
      <c r="DH89" s="151"/>
      <c r="DI89" s="151"/>
      <c r="DJ89" s="151"/>
      <c r="DK89" s="151"/>
      <c r="DL89" s="151"/>
      <c r="DM89" s="241"/>
      <c r="DN89" s="151">
        <f t="shared" si="331"/>
        <v>0</v>
      </c>
      <c r="DO89" s="162"/>
      <c r="DP89" s="151"/>
      <c r="DQ89" s="151"/>
      <c r="DR89" s="151"/>
      <c r="DS89" s="151"/>
      <c r="DT89" s="151"/>
      <c r="DU89" s="151"/>
      <c r="DV89" s="151"/>
      <c r="DW89" s="151"/>
      <c r="DX89" s="151"/>
      <c r="DY89" s="151"/>
      <c r="DZ89" s="241"/>
      <c r="EA89" s="241">
        <f t="shared" si="333"/>
        <v>0</v>
      </c>
      <c r="EB89" s="162">
        <v>0</v>
      </c>
      <c r="EC89" s="151">
        <v>0</v>
      </c>
      <c r="ED89" s="151">
        <v>0</v>
      </c>
      <c r="EE89" s="151">
        <v>0</v>
      </c>
      <c r="EF89" s="151">
        <v>0</v>
      </c>
      <c r="EG89" s="151">
        <v>0</v>
      </c>
      <c r="EH89" s="151">
        <v>0</v>
      </c>
      <c r="EI89" s="151">
        <v>0</v>
      </c>
      <c r="EJ89" s="151">
        <v>0</v>
      </c>
      <c r="EK89" s="151">
        <v>0</v>
      </c>
      <c r="EL89" s="151">
        <v>0</v>
      </c>
      <c r="EM89" s="241">
        <v>0</v>
      </c>
      <c r="EN89" s="241">
        <f t="shared" si="335"/>
        <v>0</v>
      </c>
      <c r="EO89" s="162">
        <v>0</v>
      </c>
      <c r="EP89" s="151">
        <v>0</v>
      </c>
      <c r="EQ89" s="151">
        <v>0</v>
      </c>
      <c r="ER89" s="151">
        <v>0</v>
      </c>
      <c r="ES89" s="151">
        <v>0</v>
      </c>
      <c r="ET89" s="151">
        <v>0</v>
      </c>
      <c r="EU89" s="151">
        <v>0</v>
      </c>
      <c r="EV89" s="950">
        <v>0</v>
      </c>
      <c r="EW89" s="151"/>
      <c r="EX89" s="151"/>
      <c r="EY89" s="151"/>
      <c r="EZ89" s="241"/>
      <c r="FA89" s="241"/>
      <c r="FC89" s="316" t="str">
        <f t="shared" si="337"/>
        <v>-</v>
      </c>
      <c r="FD89" s="264" t="str">
        <f t="shared" si="340"/>
        <v>-</v>
      </c>
      <c r="FE89" s="148">
        <f t="shared" si="338"/>
        <v>0</v>
      </c>
      <c r="FF89" s="148">
        <f t="shared" si="339"/>
        <v>0</v>
      </c>
    </row>
    <row r="90" spans="1:162" ht="15" customHeight="1" x14ac:dyDescent="0.25">
      <c r="A90" s="138" t="s">
        <v>447</v>
      </c>
      <c r="B90" s="24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46"/>
      <c r="N90" s="246">
        <f>SUM(B90:M90)</f>
        <v>0</v>
      </c>
      <c r="O90" s="205"/>
      <c r="P90" s="205"/>
      <c r="Q90" s="205"/>
      <c r="R90" s="205">
        <v>247</v>
      </c>
      <c r="S90" s="205">
        <v>-247</v>
      </c>
      <c r="T90" s="205"/>
      <c r="U90" s="205"/>
      <c r="V90" s="205"/>
      <c r="W90" s="205"/>
      <c r="X90" s="205"/>
      <c r="Y90" s="205"/>
      <c r="Z90" s="246">
        <v>397</v>
      </c>
      <c r="AA90" s="205">
        <f t="shared" si="388"/>
        <v>397</v>
      </c>
      <c r="AB90" s="245"/>
      <c r="AC90" s="205"/>
      <c r="AD90" s="205"/>
      <c r="AE90" s="205"/>
      <c r="AF90" s="205"/>
      <c r="AG90" s="205"/>
      <c r="AH90" s="205">
        <v>15</v>
      </c>
      <c r="AI90" s="205">
        <v>77</v>
      </c>
      <c r="AJ90" s="205"/>
      <c r="AK90" s="205"/>
      <c r="AL90" s="205"/>
      <c r="AM90" s="205">
        <v>272</v>
      </c>
      <c r="AN90" s="202">
        <f t="shared" si="389"/>
        <v>364</v>
      </c>
      <c r="AO90" s="245">
        <v>208</v>
      </c>
      <c r="AP90" s="205">
        <v>326</v>
      </c>
      <c r="AQ90" s="205"/>
      <c r="AR90" s="205"/>
      <c r="AS90" s="205"/>
      <c r="AT90" s="205"/>
      <c r="AU90" s="205"/>
      <c r="AV90" s="205"/>
      <c r="AW90" s="205"/>
      <c r="AX90" s="205"/>
      <c r="AY90" s="205"/>
      <c r="AZ90" s="246"/>
      <c r="BA90" s="246">
        <f t="shared" si="391"/>
        <v>534</v>
      </c>
      <c r="BB90" s="205"/>
      <c r="BC90" s="205"/>
      <c r="BD90" s="205"/>
      <c r="BE90" s="205"/>
      <c r="BF90" s="205"/>
      <c r="BG90" s="205"/>
      <c r="BH90" s="205">
        <v>59</v>
      </c>
      <c r="BI90" s="205">
        <v>42</v>
      </c>
      <c r="BJ90" s="205">
        <v>353</v>
      </c>
      <c r="BK90" s="205">
        <v>105</v>
      </c>
      <c r="BL90" s="205"/>
      <c r="BM90" s="246"/>
      <c r="BN90" s="246">
        <f t="shared" si="393"/>
        <v>559</v>
      </c>
      <c r="BO90" s="205"/>
      <c r="BP90" s="205"/>
      <c r="BQ90" s="205"/>
      <c r="BR90" s="169"/>
      <c r="BS90" s="169"/>
      <c r="BT90" s="169"/>
      <c r="BU90" s="169">
        <v>438</v>
      </c>
      <c r="BV90" s="169"/>
      <c r="BW90" s="169">
        <v>60</v>
      </c>
      <c r="BX90" s="169"/>
      <c r="BY90" s="169"/>
      <c r="BZ90" s="169"/>
      <c r="CA90" s="150">
        <f t="shared" si="345"/>
        <v>498</v>
      </c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70"/>
      <c r="CN90" s="170">
        <f t="shared" si="327"/>
        <v>0</v>
      </c>
      <c r="CO90" s="162"/>
      <c r="CP90" s="151"/>
      <c r="CQ90" s="151"/>
      <c r="CR90" s="151"/>
      <c r="CS90" s="151"/>
      <c r="CT90" s="151"/>
      <c r="CU90" s="151"/>
      <c r="CV90" s="151"/>
      <c r="CW90" s="151"/>
      <c r="CX90" s="151"/>
      <c r="CY90" s="151"/>
      <c r="CZ90" s="241"/>
      <c r="DA90" s="150">
        <f t="shared" si="329"/>
        <v>0</v>
      </c>
      <c r="DB90" s="162"/>
      <c r="DC90" s="151"/>
      <c r="DD90" s="151"/>
      <c r="DE90" s="151"/>
      <c r="DF90" s="151"/>
      <c r="DG90" s="151"/>
      <c r="DH90" s="151"/>
      <c r="DI90" s="151"/>
      <c r="DJ90" s="151"/>
      <c r="DK90" s="151"/>
      <c r="DL90" s="151"/>
      <c r="DM90" s="241"/>
      <c r="DN90" s="151">
        <f t="shared" si="331"/>
        <v>0</v>
      </c>
      <c r="DO90" s="162"/>
      <c r="DP90" s="151"/>
      <c r="DQ90" s="151"/>
      <c r="DR90" s="151"/>
      <c r="DS90" s="151"/>
      <c r="DT90" s="151"/>
      <c r="DU90" s="151"/>
      <c r="DV90" s="151"/>
      <c r="DW90" s="151"/>
      <c r="DX90" s="151"/>
      <c r="DY90" s="151"/>
      <c r="DZ90" s="241"/>
      <c r="EA90" s="241">
        <f t="shared" si="333"/>
        <v>0</v>
      </c>
      <c r="EB90" s="162">
        <v>0</v>
      </c>
      <c r="EC90" s="151">
        <v>0</v>
      </c>
      <c r="ED90" s="151">
        <v>0</v>
      </c>
      <c r="EE90" s="151">
        <v>0</v>
      </c>
      <c r="EF90" s="151">
        <v>0</v>
      </c>
      <c r="EG90" s="151">
        <v>0</v>
      </c>
      <c r="EH90" s="151">
        <v>0</v>
      </c>
      <c r="EI90" s="151">
        <v>0</v>
      </c>
      <c r="EJ90" s="151">
        <v>0</v>
      </c>
      <c r="EK90" s="151">
        <v>0</v>
      </c>
      <c r="EL90" s="151">
        <v>118</v>
      </c>
      <c r="EM90" s="241">
        <v>0</v>
      </c>
      <c r="EN90" s="241">
        <f t="shared" si="335"/>
        <v>118</v>
      </c>
      <c r="EO90" s="162">
        <v>0</v>
      </c>
      <c r="EP90" s="151">
        <v>0</v>
      </c>
      <c r="EQ90" s="151">
        <v>0</v>
      </c>
      <c r="ER90" s="151">
        <v>0</v>
      </c>
      <c r="ES90" s="151">
        <v>0</v>
      </c>
      <c r="ET90" s="151">
        <v>0</v>
      </c>
      <c r="EU90" s="151">
        <v>0</v>
      </c>
      <c r="EV90" s="950">
        <v>0</v>
      </c>
      <c r="EW90" s="151"/>
      <c r="EX90" s="151"/>
      <c r="EY90" s="151"/>
      <c r="EZ90" s="241"/>
      <c r="FA90" s="241"/>
      <c r="FC90" s="316" t="str">
        <f t="shared" si="337"/>
        <v>-</v>
      </c>
      <c r="FD90" s="264" t="str">
        <f t="shared" si="340"/>
        <v>-</v>
      </c>
      <c r="FE90" s="148">
        <f t="shared" si="338"/>
        <v>0</v>
      </c>
      <c r="FF90" s="148">
        <f>IFERROR(SUM(EO90:EZ90),"-")</f>
        <v>0</v>
      </c>
    </row>
    <row r="91" spans="1:162" ht="15" customHeight="1" x14ac:dyDescent="0.25">
      <c r="A91" s="138" t="s">
        <v>446</v>
      </c>
      <c r="B91" s="24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46">
        <v>155</v>
      </c>
      <c r="N91" s="246">
        <f>SUM(B91:M91)</f>
        <v>155</v>
      </c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46"/>
      <c r="AA91" s="205">
        <f t="shared" si="388"/>
        <v>0</v>
      </c>
      <c r="AB91" s="24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  <c r="AN91" s="202">
        <f t="shared" si="389"/>
        <v>0</v>
      </c>
      <c r="AO91" s="24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46"/>
      <c r="BA91" s="246">
        <f t="shared" si="391"/>
        <v>0</v>
      </c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46"/>
      <c r="BN91" s="246">
        <f t="shared" si="393"/>
        <v>0</v>
      </c>
      <c r="CA91" s="150">
        <f t="shared" si="345"/>
        <v>0</v>
      </c>
      <c r="CM91" s="219"/>
      <c r="CN91" s="219">
        <f t="shared" si="327"/>
        <v>0</v>
      </c>
      <c r="CO91" s="162"/>
      <c r="CP91" s="151"/>
      <c r="CQ91" s="151"/>
      <c r="CR91" s="151"/>
      <c r="CS91" s="151"/>
      <c r="CT91" s="151"/>
      <c r="CU91" s="151"/>
      <c r="CV91" s="151"/>
      <c r="CW91" s="151"/>
      <c r="CX91" s="151"/>
      <c r="CY91" s="151"/>
      <c r="CZ91" s="241"/>
      <c r="DA91" s="161">
        <f>SUM(CO91:CZ91)</f>
        <v>0</v>
      </c>
      <c r="DB91" s="162"/>
      <c r="DC91" s="151"/>
      <c r="DD91" s="151"/>
      <c r="DE91" s="151"/>
      <c r="DF91" s="151"/>
      <c r="DG91" s="151"/>
      <c r="DH91" s="151"/>
      <c r="DI91" s="151"/>
      <c r="DJ91" s="151"/>
      <c r="DK91" s="151"/>
      <c r="DL91" s="151"/>
      <c r="DM91" s="241"/>
      <c r="DN91" s="151">
        <f t="shared" si="331"/>
        <v>0</v>
      </c>
      <c r="DO91" s="162"/>
      <c r="DP91" s="151"/>
      <c r="DQ91" s="151"/>
      <c r="DR91" s="151"/>
      <c r="DS91" s="151"/>
      <c r="DT91" s="151"/>
      <c r="DU91" s="151"/>
      <c r="DV91" s="151"/>
      <c r="DW91" s="151"/>
      <c r="DX91" s="151"/>
      <c r="DY91" s="151"/>
      <c r="DZ91" s="241"/>
      <c r="EA91" s="241">
        <f t="shared" si="333"/>
        <v>0</v>
      </c>
      <c r="EB91" s="162">
        <v>0</v>
      </c>
      <c r="EC91" s="151">
        <v>0</v>
      </c>
      <c r="ED91" s="151">
        <v>0</v>
      </c>
      <c r="EE91" s="151">
        <v>0</v>
      </c>
      <c r="EF91" s="151">
        <v>0</v>
      </c>
      <c r="EG91" s="151">
        <v>0</v>
      </c>
      <c r="EH91" s="151">
        <v>0</v>
      </c>
      <c r="EI91" s="151">
        <v>0</v>
      </c>
      <c r="EJ91" s="151">
        <v>0</v>
      </c>
      <c r="EK91" s="151">
        <v>0</v>
      </c>
      <c r="EL91" s="151">
        <v>0</v>
      </c>
      <c r="EM91" s="241">
        <v>0</v>
      </c>
      <c r="EN91" s="241">
        <f t="shared" si="335"/>
        <v>0</v>
      </c>
      <c r="EO91" s="162">
        <v>0</v>
      </c>
      <c r="EP91" s="151">
        <v>0</v>
      </c>
      <c r="EQ91" s="151">
        <v>0</v>
      </c>
      <c r="ER91" s="151">
        <v>0</v>
      </c>
      <c r="ES91" s="151">
        <v>0</v>
      </c>
      <c r="ET91" s="151">
        <v>0</v>
      </c>
      <c r="EU91" s="151">
        <v>0</v>
      </c>
      <c r="EV91" s="950">
        <v>0</v>
      </c>
      <c r="EW91" s="151"/>
      <c r="EX91" s="151"/>
      <c r="EY91" s="151"/>
      <c r="EZ91" s="241"/>
      <c r="FA91" s="241"/>
      <c r="FC91" s="316" t="str">
        <f t="shared" si="337"/>
        <v>-</v>
      </c>
      <c r="FD91" s="264" t="str">
        <f>IFERROR(((FF91/FE91)-1)*100,"-")</f>
        <v>-</v>
      </c>
      <c r="FE91" s="148">
        <f t="shared" si="338"/>
        <v>0</v>
      </c>
      <c r="FF91" s="148">
        <f t="shared" si="339"/>
        <v>0</v>
      </c>
    </row>
    <row r="92" spans="1:162" ht="15" customHeight="1" x14ac:dyDescent="0.25">
      <c r="A92" s="133"/>
      <c r="B92" s="305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8"/>
      <c r="N92" s="218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8"/>
      <c r="AA92" s="216"/>
      <c r="AB92" s="305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04"/>
      <c r="AO92" s="305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8"/>
      <c r="BA92" s="218"/>
      <c r="BB92" s="216"/>
      <c r="BC92" s="216"/>
      <c r="BD92" s="216"/>
      <c r="BE92" s="216"/>
      <c r="BF92" s="216"/>
      <c r="BG92" s="216"/>
      <c r="BH92" s="216"/>
      <c r="BI92" s="216"/>
      <c r="BJ92" s="216"/>
      <c r="BK92" s="216"/>
      <c r="BL92" s="216"/>
      <c r="BM92" s="218"/>
      <c r="BN92" s="216"/>
      <c r="BO92" s="305"/>
      <c r="BP92" s="216"/>
      <c r="BQ92" s="216"/>
      <c r="BR92" s="178"/>
      <c r="BS92" s="178"/>
      <c r="BT92" s="178"/>
      <c r="BU92" s="178"/>
      <c r="BV92" s="178"/>
      <c r="BW92" s="178"/>
      <c r="BX92" s="178"/>
      <c r="BY92" s="178"/>
      <c r="BZ92" s="178"/>
      <c r="CA92" s="196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97"/>
      <c r="CN92" s="197"/>
      <c r="CO92" s="230"/>
      <c r="CP92" s="230"/>
      <c r="CQ92" s="230"/>
      <c r="CR92" s="230"/>
      <c r="CS92" s="230"/>
      <c r="CT92" s="230"/>
      <c r="CU92" s="230"/>
      <c r="CV92" s="230"/>
      <c r="CW92" s="230"/>
      <c r="CX92" s="230"/>
      <c r="CY92" s="230"/>
      <c r="CZ92" s="199"/>
      <c r="DA92" s="196"/>
      <c r="DB92" s="230"/>
      <c r="DC92" s="230"/>
      <c r="DD92" s="230"/>
      <c r="DE92" s="230"/>
      <c r="DF92" s="230"/>
      <c r="DG92" s="230"/>
      <c r="DH92" s="230"/>
      <c r="DI92" s="230"/>
      <c r="DJ92" s="230"/>
      <c r="DK92" s="230"/>
      <c r="DL92" s="230"/>
      <c r="DM92" s="199"/>
      <c r="DN92" s="230"/>
      <c r="DO92" s="233"/>
      <c r="DP92" s="230"/>
      <c r="DQ92" s="230"/>
      <c r="DR92" s="230"/>
      <c r="DS92" s="230"/>
      <c r="DT92" s="230"/>
      <c r="DU92" s="230"/>
      <c r="DV92" s="230"/>
      <c r="DW92" s="230"/>
      <c r="DX92" s="230"/>
      <c r="DY92" s="230"/>
      <c r="DZ92" s="199"/>
      <c r="EA92" s="199"/>
      <c r="EB92" s="233"/>
      <c r="EC92" s="230"/>
      <c r="ED92" s="230"/>
      <c r="EE92" s="230"/>
      <c r="EF92" s="230"/>
      <c r="EG92" s="230"/>
      <c r="EH92" s="230"/>
      <c r="EI92" s="230"/>
      <c r="EJ92" s="230"/>
      <c r="EK92" s="230"/>
      <c r="EL92" s="230"/>
      <c r="EM92" s="199"/>
      <c r="EN92" s="199"/>
      <c r="EO92" s="233"/>
      <c r="EP92" s="230"/>
      <c r="EQ92" s="230"/>
      <c r="ER92" s="230"/>
      <c r="ES92" s="230"/>
      <c r="ET92" s="230"/>
      <c r="EU92" s="230"/>
      <c r="EV92" s="953"/>
      <c r="EW92" s="230"/>
      <c r="EX92" s="230"/>
      <c r="EY92" s="230"/>
      <c r="EZ92" s="199"/>
      <c r="FA92" s="199"/>
      <c r="FC92" s="307" t="str">
        <f t="shared" si="337"/>
        <v>-</v>
      </c>
      <c r="FD92" s="265"/>
      <c r="FE92" s="154"/>
      <c r="FF92" s="154"/>
    </row>
    <row r="93" spans="1:162" ht="15" customHeight="1" x14ac:dyDescent="0.25">
      <c r="A93" s="125"/>
      <c r="O93" s="126">
        <f t="shared" ref="O93:Z93" si="408">O62-O15</f>
        <v>0</v>
      </c>
      <c r="P93" s="126">
        <f t="shared" si="408"/>
        <v>0</v>
      </c>
      <c r="Q93" s="126">
        <f t="shared" si="408"/>
        <v>0</v>
      </c>
      <c r="R93" s="126">
        <f t="shared" si="408"/>
        <v>0</v>
      </c>
      <c r="S93" s="126">
        <f t="shared" si="408"/>
        <v>0</v>
      </c>
      <c r="T93" s="126">
        <f t="shared" si="408"/>
        <v>0</v>
      </c>
      <c r="U93" s="126">
        <f t="shared" si="408"/>
        <v>0</v>
      </c>
      <c r="V93" s="126">
        <f t="shared" si="408"/>
        <v>0</v>
      </c>
      <c r="W93" s="126">
        <f t="shared" si="408"/>
        <v>0</v>
      </c>
      <c r="X93" s="126">
        <f t="shared" si="408"/>
        <v>0</v>
      </c>
      <c r="Y93" s="126">
        <f t="shared" si="408"/>
        <v>0</v>
      </c>
      <c r="Z93" s="126">
        <f t="shared" si="408"/>
        <v>0</v>
      </c>
      <c r="AB93" s="127">
        <f t="shared" ref="AB93:AM93" si="409">AB62-AB15</f>
        <v>0</v>
      </c>
      <c r="AC93" s="127">
        <f t="shared" si="409"/>
        <v>0</v>
      </c>
      <c r="AD93" s="127">
        <f t="shared" si="409"/>
        <v>0</v>
      </c>
      <c r="AE93" s="127">
        <f t="shared" si="409"/>
        <v>0</v>
      </c>
      <c r="AF93" s="127">
        <f t="shared" si="409"/>
        <v>73</v>
      </c>
      <c r="AG93" s="127">
        <f t="shared" si="409"/>
        <v>0</v>
      </c>
      <c r="AH93" s="127">
        <f t="shared" si="409"/>
        <v>0</v>
      </c>
      <c r="AI93" s="127">
        <f t="shared" si="409"/>
        <v>0</v>
      </c>
      <c r="AJ93" s="127">
        <f t="shared" si="409"/>
        <v>0</v>
      </c>
      <c r="AK93" s="127">
        <f t="shared" si="409"/>
        <v>0</v>
      </c>
      <c r="AL93" s="127">
        <f t="shared" si="409"/>
        <v>0</v>
      </c>
      <c r="AM93" s="127">
        <f t="shared" si="409"/>
        <v>0</v>
      </c>
      <c r="AO93" s="127">
        <f t="shared" ref="AO93:AZ93" si="410">AO62-AO15</f>
        <v>0</v>
      </c>
      <c r="AP93" s="127">
        <f t="shared" si="410"/>
        <v>0</v>
      </c>
      <c r="AQ93" s="127">
        <f t="shared" si="410"/>
        <v>0</v>
      </c>
      <c r="AR93" s="127">
        <f t="shared" si="410"/>
        <v>0</v>
      </c>
      <c r="AS93" s="127">
        <f t="shared" si="410"/>
        <v>0</v>
      </c>
      <c r="AT93" s="127">
        <f t="shared" si="410"/>
        <v>0</v>
      </c>
      <c r="AU93" s="127">
        <f t="shared" si="410"/>
        <v>0</v>
      </c>
      <c r="AV93" s="127">
        <f t="shared" si="410"/>
        <v>0</v>
      </c>
      <c r="AW93" s="127">
        <f t="shared" si="410"/>
        <v>0</v>
      </c>
      <c r="AX93" s="127">
        <f t="shared" si="410"/>
        <v>0</v>
      </c>
      <c r="AY93" s="127">
        <f t="shared" si="410"/>
        <v>0</v>
      </c>
      <c r="AZ93" s="127">
        <f t="shared" si="410"/>
        <v>-2649</v>
      </c>
      <c r="BA93" s="127"/>
      <c r="BB93" s="127">
        <f t="shared" ref="BB93:BM93" si="411">BB62-BB15</f>
        <v>0</v>
      </c>
      <c r="BC93" s="127">
        <f t="shared" si="411"/>
        <v>0</v>
      </c>
      <c r="BD93" s="127">
        <f t="shared" si="411"/>
        <v>0</v>
      </c>
      <c r="BE93" s="127">
        <f t="shared" si="411"/>
        <v>0</v>
      </c>
      <c r="BF93" s="127">
        <f t="shared" si="411"/>
        <v>0</v>
      </c>
      <c r="BG93" s="127">
        <f t="shared" si="411"/>
        <v>-1</v>
      </c>
      <c r="BH93" s="127">
        <f t="shared" si="411"/>
        <v>0</v>
      </c>
      <c r="BI93" s="127">
        <f t="shared" si="411"/>
        <v>0</v>
      </c>
      <c r="BJ93" s="127">
        <f t="shared" si="411"/>
        <v>0</v>
      </c>
      <c r="BK93" s="127">
        <f t="shared" si="411"/>
        <v>0</v>
      </c>
      <c r="BL93" s="127">
        <f t="shared" si="411"/>
        <v>0</v>
      </c>
      <c r="BM93" s="127">
        <f t="shared" si="411"/>
        <v>0</v>
      </c>
      <c r="BN93" s="127"/>
      <c r="BO93" s="205"/>
      <c r="BP93" s="205"/>
      <c r="BQ93" s="205"/>
      <c r="BR93" s="169"/>
      <c r="BS93" s="169"/>
      <c r="BT93" s="169"/>
      <c r="BU93" s="169"/>
      <c r="BV93" s="169"/>
      <c r="BW93" s="169"/>
      <c r="BX93" s="169"/>
      <c r="BY93" s="306"/>
      <c r="BZ93" s="306"/>
      <c r="CA93" s="306"/>
      <c r="CB93" s="306"/>
      <c r="CC93" s="127"/>
      <c r="CD93" s="127"/>
      <c r="CE93" s="127"/>
      <c r="CF93" s="127"/>
      <c r="CG93" s="127"/>
      <c r="CH93" s="127"/>
      <c r="CI93" s="127"/>
      <c r="CJ93" s="127"/>
      <c r="CK93" s="127"/>
      <c r="CL93" s="127"/>
      <c r="CM93" s="127"/>
      <c r="CN93" s="127"/>
      <c r="CO93" s="127"/>
      <c r="CP93" s="127"/>
      <c r="CQ93" s="127"/>
      <c r="CR93" s="127"/>
      <c r="CS93" s="127"/>
      <c r="CT93" s="127"/>
      <c r="CU93" s="127"/>
      <c r="CV93" s="127"/>
      <c r="CW93" s="127"/>
      <c r="CX93" s="127"/>
    </row>
    <row r="94" spans="1:162" ht="15" customHeight="1" x14ac:dyDescent="0.25">
      <c r="A94" s="215"/>
    </row>
    <row r="95" spans="1:162" ht="15" customHeight="1" x14ac:dyDescent="0.25">
      <c r="A95" s="125"/>
    </row>
    <row r="101" spans="1:1" ht="15" customHeight="1" x14ac:dyDescent="0.25">
      <c r="A101" s="138"/>
    </row>
  </sheetData>
  <mergeCells count="3">
    <mergeCell ref="FC4:FD4"/>
    <mergeCell ref="FC39:FD39"/>
    <mergeCell ref="FC60:FD60"/>
  </mergeCells>
  <printOptions horizontalCentered="1" verticalCentered="1"/>
  <pageMargins left="0.74803149606299213" right="0.74803149606299213" top="0.98425196850393704" bottom="0.98425196850393704" header="0" footer="0"/>
  <pageSetup paperSize="9" scale="1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59999389629810485"/>
    <pageSetUpPr fitToPage="1"/>
  </sheetPr>
  <dimension ref="A1:FP124"/>
  <sheetViews>
    <sheetView showGridLines="0" view="pageBreakPreview" zoomScale="80" zoomScaleNormal="85" zoomScaleSheetLayoutView="80" workbookViewId="0">
      <pane xSplit="1" topLeftCell="EB1" activePane="topRight" state="frozen"/>
      <selection activeCell="FG21" sqref="FG21"/>
      <selection pane="topRight" activeCell="EV15" sqref="EV15"/>
    </sheetView>
  </sheetViews>
  <sheetFormatPr baseColWidth="10" defaultColWidth="10.7109375" defaultRowHeight="15" customHeight="1" x14ac:dyDescent="0.25"/>
  <cols>
    <col min="1" max="1" width="30.7109375" style="126" customWidth="1"/>
    <col min="2" max="140" width="10.7109375" style="126"/>
    <col min="141" max="141" width="11.5703125" style="126" bestFit="1" customWidth="1"/>
    <col min="142" max="142" width="10.7109375" style="126"/>
    <col min="143" max="143" width="11.5703125" style="126" bestFit="1" customWidth="1"/>
    <col min="144" max="144" width="12.85546875" style="126" customWidth="1"/>
    <col min="145" max="145" width="10" style="126" customWidth="1"/>
    <col min="146" max="146" width="9.140625" style="126" customWidth="1"/>
    <col min="147" max="147" width="9.5703125" style="126" customWidth="1"/>
    <col min="148" max="148" width="10.140625" style="126" customWidth="1"/>
    <col min="149" max="149" width="8.7109375" style="126" bestFit="1" customWidth="1"/>
    <col min="150" max="151" width="10.7109375" style="126"/>
    <col min="152" max="152" width="10.7109375" style="946"/>
    <col min="153" max="156" width="10.7109375" style="126"/>
    <col min="157" max="157" width="11.5703125" style="126" bestFit="1" customWidth="1"/>
    <col min="158" max="158" width="3.7109375" customWidth="1"/>
    <col min="159" max="159" width="15.140625" style="126" bestFit="1" customWidth="1"/>
    <col min="160" max="160" width="13.5703125" style="126" bestFit="1" customWidth="1"/>
    <col min="161" max="161" width="9.42578125" style="126" bestFit="1" customWidth="1"/>
    <col min="162" max="162" width="12.28515625" style="126" bestFit="1" customWidth="1"/>
    <col min="165" max="165" width="10.7109375" style="126"/>
  </cols>
  <sheetData>
    <row r="1" spans="1:172" ht="15" customHeight="1" x14ac:dyDescent="0.25">
      <c r="A1" s="681" t="s">
        <v>237</v>
      </c>
    </row>
    <row r="2" spans="1:172" ht="15" customHeight="1" x14ac:dyDescent="0.25">
      <c r="A2" s="681" t="s">
        <v>460</v>
      </c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  <c r="FC2" s="127"/>
      <c r="FD2" s="127"/>
      <c r="FE2" s="127"/>
      <c r="FF2" s="127"/>
    </row>
    <row r="3" spans="1:172" ht="15" customHeight="1" x14ac:dyDescent="0.25">
      <c r="A3" s="775" t="s">
        <v>305</v>
      </c>
    </row>
    <row r="4" spans="1:172" s="753" customFormat="1" ht="15" customHeight="1" x14ac:dyDescent="0.25">
      <c r="A4" s="836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976"/>
      <c r="EW4" s="474"/>
      <c r="EX4" s="474"/>
      <c r="EY4" s="474"/>
      <c r="EZ4" s="474"/>
      <c r="FA4" s="758" t="s">
        <v>83</v>
      </c>
      <c r="FC4" s="984" t="str">
        <f>CONCATENATE("Var.% ",FF4,"/",FE4)</f>
        <v>Var.% 2026/2025</v>
      </c>
      <c r="FD4" s="985"/>
      <c r="FE4" s="478">
        <f>FF4-1</f>
        <v>2025</v>
      </c>
      <c r="FF4" s="478">
        <f>YEAR(FC5)</f>
        <v>2026</v>
      </c>
      <c r="FG4"/>
      <c r="FI4" s="795"/>
      <c r="FJ4"/>
      <c r="FK4"/>
      <c r="FL4"/>
      <c r="FM4"/>
      <c r="FN4"/>
      <c r="FO4"/>
      <c r="FP4"/>
    </row>
    <row r="5" spans="1:172" s="753" customFormat="1" ht="15" customHeight="1" x14ac:dyDescent="0.25">
      <c r="A5" s="837"/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977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487" t="str">
        <f>FD5</f>
        <v>Ene.-Ago.</v>
      </c>
      <c r="FG5"/>
      <c r="FI5" s="795"/>
      <c r="FJ5"/>
      <c r="FK5"/>
      <c r="FL5"/>
      <c r="FM5"/>
      <c r="FN5"/>
      <c r="FO5"/>
      <c r="FP5"/>
    </row>
    <row r="6" spans="1:172" ht="15" customHeight="1" x14ac:dyDescent="0.25">
      <c r="A6" s="138"/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73"/>
      <c r="N6" s="874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73"/>
      <c r="AA6" s="874"/>
      <c r="AB6" s="883"/>
      <c r="AC6" s="883"/>
      <c r="AD6" s="883"/>
      <c r="AE6" s="883"/>
      <c r="AF6" s="883"/>
      <c r="AG6" s="883"/>
      <c r="AH6" s="883"/>
      <c r="AI6" s="883"/>
      <c r="AJ6" s="883"/>
      <c r="AK6" s="883"/>
      <c r="AL6" s="883"/>
      <c r="AM6" s="873"/>
      <c r="AN6" s="874"/>
      <c r="AO6" s="883"/>
      <c r="AP6" s="883"/>
      <c r="AQ6" s="883"/>
      <c r="AR6" s="883"/>
      <c r="AS6" s="883"/>
      <c r="AT6" s="883"/>
      <c r="AU6" s="883"/>
      <c r="AV6" s="883"/>
      <c r="AW6" s="883"/>
      <c r="AX6" s="883"/>
      <c r="AY6" s="883"/>
      <c r="AZ6" s="873"/>
      <c r="BA6" s="874"/>
      <c r="BB6" s="883"/>
      <c r="BC6" s="883"/>
      <c r="BD6" s="883"/>
      <c r="BE6" s="883"/>
      <c r="BF6" s="883"/>
      <c r="BG6" s="883"/>
      <c r="BH6" s="883"/>
      <c r="BI6" s="883"/>
      <c r="BJ6" s="883"/>
      <c r="BK6" s="883"/>
      <c r="BL6" s="883"/>
      <c r="BM6" s="873"/>
      <c r="BN6" s="874"/>
      <c r="BO6" s="883"/>
      <c r="BP6" s="883"/>
      <c r="BQ6" s="883"/>
      <c r="BR6" s="883"/>
      <c r="BS6" s="883"/>
      <c r="BT6" s="883"/>
      <c r="BU6" s="883"/>
      <c r="BV6" s="883"/>
      <c r="BW6" s="883"/>
      <c r="BX6" s="883"/>
      <c r="BY6" s="883"/>
      <c r="BZ6" s="873"/>
      <c r="CA6" s="874"/>
      <c r="CB6" s="883"/>
      <c r="CC6" s="883"/>
      <c r="CD6" s="883"/>
      <c r="CE6" s="883"/>
      <c r="CF6" s="883"/>
      <c r="CG6" s="883"/>
      <c r="CH6" s="883"/>
      <c r="CI6" s="883"/>
      <c r="CJ6" s="883"/>
      <c r="CK6" s="883"/>
      <c r="CL6" s="883"/>
      <c r="CM6" s="873"/>
      <c r="CN6" s="874"/>
      <c r="CO6" s="883"/>
      <c r="CP6" s="883"/>
      <c r="CQ6" s="883"/>
      <c r="CR6" s="883"/>
      <c r="CS6" s="883"/>
      <c r="CT6" s="883"/>
      <c r="CU6" s="883"/>
      <c r="CV6" s="883"/>
      <c r="CW6" s="883"/>
      <c r="CX6" s="883"/>
      <c r="CY6" s="883"/>
      <c r="CZ6" s="873"/>
      <c r="DA6" s="874"/>
      <c r="DB6" s="883"/>
      <c r="DC6" s="883"/>
      <c r="DD6" s="883"/>
      <c r="DE6" s="883"/>
      <c r="DF6" s="883"/>
      <c r="DG6" s="883"/>
      <c r="DH6" s="883"/>
      <c r="DI6" s="883"/>
      <c r="DJ6" s="883"/>
      <c r="DK6" s="883"/>
      <c r="DL6" s="883"/>
      <c r="DM6" s="873"/>
      <c r="DN6" s="874"/>
      <c r="DO6" s="883"/>
      <c r="DP6" s="883"/>
      <c r="DQ6" s="883"/>
      <c r="DR6" s="883"/>
      <c r="DS6" s="883"/>
      <c r="DT6" s="883"/>
      <c r="DU6" s="883"/>
      <c r="DV6" s="883"/>
      <c r="DW6" s="883"/>
      <c r="DX6" s="883"/>
      <c r="DY6" s="883"/>
      <c r="DZ6" s="873"/>
      <c r="EA6" s="874"/>
      <c r="EB6" s="883"/>
      <c r="EC6" s="883"/>
      <c r="ED6" s="883"/>
      <c r="EE6" s="883"/>
      <c r="EF6" s="883"/>
      <c r="EG6" s="883"/>
      <c r="EH6" s="883"/>
      <c r="EI6" s="883"/>
      <c r="EJ6" s="883"/>
      <c r="EK6" s="883"/>
      <c r="EL6" s="883"/>
      <c r="EM6" s="873"/>
      <c r="EN6" s="874"/>
      <c r="EO6" s="883"/>
      <c r="EP6" s="883"/>
      <c r="EQ6" s="883"/>
      <c r="ER6" s="883"/>
      <c r="ES6" s="883"/>
      <c r="ET6" s="883"/>
      <c r="EU6" s="883"/>
      <c r="EV6" s="973"/>
      <c r="EW6" s="883"/>
      <c r="EX6" s="883"/>
      <c r="EY6" s="883"/>
      <c r="EZ6" s="873"/>
      <c r="FA6" s="874"/>
      <c r="FC6" s="839"/>
      <c r="FD6" s="840"/>
      <c r="FE6" s="454"/>
      <c r="FF6" s="455"/>
    </row>
    <row r="7" spans="1:172" s="753" customFormat="1" ht="15" customHeight="1" x14ac:dyDescent="0.25">
      <c r="A7" s="822" t="s">
        <v>211</v>
      </c>
      <c r="B7" s="884">
        <f t="shared" ref="B7:M7" si="10">B8+B14+B19</f>
        <v>31891</v>
      </c>
      <c r="C7" s="884">
        <f t="shared" si="10"/>
        <v>35784</v>
      </c>
      <c r="D7" s="884">
        <f t="shared" si="10"/>
        <v>57075</v>
      </c>
      <c r="E7" s="884">
        <f t="shared" si="10"/>
        <v>39956</v>
      </c>
      <c r="F7" s="884">
        <f t="shared" si="10"/>
        <v>59475</v>
      </c>
      <c r="G7" s="884">
        <f t="shared" si="10"/>
        <v>62468</v>
      </c>
      <c r="H7" s="884">
        <f t="shared" si="10"/>
        <v>43478</v>
      </c>
      <c r="I7" s="884">
        <f t="shared" si="10"/>
        <v>47375</v>
      </c>
      <c r="J7" s="884">
        <f t="shared" si="10"/>
        <v>43809</v>
      </c>
      <c r="K7" s="884">
        <f t="shared" si="10"/>
        <v>48460</v>
      </c>
      <c r="L7" s="884">
        <f t="shared" si="10"/>
        <v>45006</v>
      </c>
      <c r="M7" s="875">
        <f t="shared" si="10"/>
        <v>91540</v>
      </c>
      <c r="N7" s="876">
        <f>SUM(B7:M7)</f>
        <v>606317</v>
      </c>
      <c r="O7" s="884">
        <f t="shared" ref="O7:Z7" si="11">O8+O14+O19</f>
        <v>37330</v>
      </c>
      <c r="P7" s="884">
        <f t="shared" si="11"/>
        <v>40768</v>
      </c>
      <c r="Q7" s="884">
        <f t="shared" si="11"/>
        <v>40187</v>
      </c>
      <c r="R7" s="884">
        <f t="shared" si="11"/>
        <v>40678</v>
      </c>
      <c r="S7" s="884">
        <f t="shared" si="11"/>
        <v>74625</v>
      </c>
      <c r="T7" s="884">
        <f t="shared" si="11"/>
        <v>62906</v>
      </c>
      <c r="U7" s="884">
        <f t="shared" si="11"/>
        <v>103107</v>
      </c>
      <c r="V7" s="884">
        <f t="shared" si="11"/>
        <v>39735</v>
      </c>
      <c r="W7" s="884">
        <f t="shared" si="11"/>
        <v>47886</v>
      </c>
      <c r="X7" s="884">
        <f t="shared" si="11"/>
        <v>55983</v>
      </c>
      <c r="Y7" s="884">
        <f t="shared" si="11"/>
        <v>42873</v>
      </c>
      <c r="Z7" s="875">
        <f t="shared" si="11"/>
        <v>140376</v>
      </c>
      <c r="AA7" s="876">
        <f>SUM(O7:Z7)</f>
        <v>726454</v>
      </c>
      <c r="AB7" s="884">
        <f t="shared" ref="AB7:AM7" si="12">AB8+AB14+AB19</f>
        <v>37672</v>
      </c>
      <c r="AC7" s="884">
        <f t="shared" si="12"/>
        <v>40088</v>
      </c>
      <c r="AD7" s="884">
        <f t="shared" si="12"/>
        <v>65868</v>
      </c>
      <c r="AE7" s="884">
        <f t="shared" si="12"/>
        <v>66309</v>
      </c>
      <c r="AF7" s="884">
        <f t="shared" si="12"/>
        <v>61841</v>
      </c>
      <c r="AG7" s="884">
        <f t="shared" si="12"/>
        <v>61987</v>
      </c>
      <c r="AH7" s="884">
        <f t="shared" si="12"/>
        <v>60474</v>
      </c>
      <c r="AI7" s="884">
        <f t="shared" si="12"/>
        <v>103642</v>
      </c>
      <c r="AJ7" s="884">
        <f t="shared" si="12"/>
        <v>61601</v>
      </c>
      <c r="AK7" s="884">
        <f t="shared" si="12"/>
        <v>61999</v>
      </c>
      <c r="AL7" s="884">
        <f t="shared" si="12"/>
        <v>79080</v>
      </c>
      <c r="AM7" s="875">
        <f t="shared" si="12"/>
        <v>148260</v>
      </c>
      <c r="AN7" s="876">
        <f>SUM(AB7:AM7)</f>
        <v>848821</v>
      </c>
      <c r="AO7" s="884">
        <f t="shared" ref="AO7:AZ7" si="13">AO8+AO14+AO19</f>
        <v>46800</v>
      </c>
      <c r="AP7" s="884">
        <f t="shared" si="13"/>
        <v>48560</v>
      </c>
      <c r="AQ7" s="884">
        <f t="shared" si="13"/>
        <v>58287</v>
      </c>
      <c r="AR7" s="884">
        <f t="shared" si="13"/>
        <v>75663</v>
      </c>
      <c r="AS7" s="884">
        <f t="shared" si="13"/>
        <v>71112</v>
      </c>
      <c r="AT7" s="884">
        <f t="shared" si="13"/>
        <v>76821</v>
      </c>
      <c r="AU7" s="884">
        <f t="shared" si="13"/>
        <v>80022</v>
      </c>
      <c r="AV7" s="884">
        <f t="shared" si="13"/>
        <v>80722</v>
      </c>
      <c r="AW7" s="884">
        <f t="shared" si="13"/>
        <v>72700</v>
      </c>
      <c r="AX7" s="884">
        <f t="shared" si="13"/>
        <v>62064</v>
      </c>
      <c r="AY7" s="884">
        <f t="shared" si="13"/>
        <v>107482</v>
      </c>
      <c r="AZ7" s="875">
        <f t="shared" si="13"/>
        <v>80930</v>
      </c>
      <c r="BA7" s="876">
        <f>SUM(AO7:AZ7)</f>
        <v>861163</v>
      </c>
      <c r="BB7" s="884">
        <f t="shared" ref="BB7:BM7" si="14">BB8+BB14+BB19</f>
        <v>138581</v>
      </c>
      <c r="BC7" s="884">
        <f t="shared" si="14"/>
        <v>74941</v>
      </c>
      <c r="BD7" s="884">
        <f t="shared" si="14"/>
        <v>64708</v>
      </c>
      <c r="BE7" s="884">
        <f t="shared" si="14"/>
        <v>55520</v>
      </c>
      <c r="BF7" s="884">
        <f t="shared" si="14"/>
        <v>89334</v>
      </c>
      <c r="BG7" s="884">
        <f t="shared" si="14"/>
        <v>103034</v>
      </c>
      <c r="BH7" s="884">
        <f t="shared" si="14"/>
        <v>91093</v>
      </c>
      <c r="BI7" s="884">
        <f t="shared" si="14"/>
        <v>115663</v>
      </c>
      <c r="BJ7" s="884">
        <f t="shared" si="14"/>
        <v>89475</v>
      </c>
      <c r="BK7" s="884">
        <f t="shared" si="14"/>
        <v>120822</v>
      </c>
      <c r="BL7" s="884">
        <f t="shared" si="14"/>
        <v>99058</v>
      </c>
      <c r="BM7" s="875">
        <f t="shared" si="14"/>
        <v>156151</v>
      </c>
      <c r="BN7" s="876">
        <f>SUM(BB7:BM7)</f>
        <v>1198380</v>
      </c>
      <c r="BO7" s="884">
        <f t="shared" ref="BO7:BZ7" si="15">BO8+BO14+BO19</f>
        <v>80200</v>
      </c>
      <c r="BP7" s="884">
        <f t="shared" si="15"/>
        <v>63046</v>
      </c>
      <c r="BQ7" s="884">
        <f t="shared" si="15"/>
        <v>60632</v>
      </c>
      <c r="BR7" s="884">
        <f t="shared" si="15"/>
        <v>74914</v>
      </c>
      <c r="BS7" s="884">
        <f t="shared" si="15"/>
        <v>60343</v>
      </c>
      <c r="BT7" s="884">
        <f t="shared" si="15"/>
        <v>60129</v>
      </c>
      <c r="BU7" s="884">
        <f t="shared" si="15"/>
        <v>75442</v>
      </c>
      <c r="BV7" s="884">
        <f t="shared" si="15"/>
        <v>97138</v>
      </c>
      <c r="BW7" s="884">
        <f t="shared" si="15"/>
        <v>86937</v>
      </c>
      <c r="BX7" s="884">
        <f t="shared" si="15"/>
        <v>112459</v>
      </c>
      <c r="BY7" s="884">
        <f t="shared" si="15"/>
        <v>142061</v>
      </c>
      <c r="BZ7" s="875">
        <f t="shared" si="15"/>
        <v>158375</v>
      </c>
      <c r="CA7" s="876">
        <f>SUM(BO7:BZ7)</f>
        <v>1071676</v>
      </c>
      <c r="CB7" s="884">
        <f t="shared" ref="CB7:CM7" si="16">CB8+CB14+CB19</f>
        <v>75798</v>
      </c>
      <c r="CC7" s="884">
        <f t="shared" si="16"/>
        <v>75487</v>
      </c>
      <c r="CD7" s="884">
        <f t="shared" si="16"/>
        <v>86399</v>
      </c>
      <c r="CE7" s="884">
        <f t="shared" si="16"/>
        <v>84009</v>
      </c>
      <c r="CF7" s="884">
        <f t="shared" si="16"/>
        <v>88307</v>
      </c>
      <c r="CG7" s="884">
        <f t="shared" si="16"/>
        <v>87683</v>
      </c>
      <c r="CH7" s="884">
        <f t="shared" si="16"/>
        <v>104539</v>
      </c>
      <c r="CI7" s="884">
        <f t="shared" si="16"/>
        <v>85482</v>
      </c>
      <c r="CJ7" s="884">
        <f t="shared" si="16"/>
        <v>98830</v>
      </c>
      <c r="CK7" s="884">
        <f t="shared" si="16"/>
        <v>86644</v>
      </c>
      <c r="CL7" s="884">
        <f t="shared" si="16"/>
        <v>101947</v>
      </c>
      <c r="CM7" s="875">
        <f t="shared" si="16"/>
        <v>162522</v>
      </c>
      <c r="CN7" s="876">
        <f>SUM(CB7:CM7)</f>
        <v>1137647</v>
      </c>
      <c r="CO7" s="884">
        <f t="shared" ref="CO7:CZ7" si="17">CO8+CO14+CO19</f>
        <v>60235</v>
      </c>
      <c r="CP7" s="884">
        <f t="shared" si="17"/>
        <v>94078</v>
      </c>
      <c r="CQ7" s="884">
        <f t="shared" si="17"/>
        <v>108407</v>
      </c>
      <c r="CR7" s="884">
        <f t="shared" si="17"/>
        <v>84937</v>
      </c>
      <c r="CS7" s="884">
        <f t="shared" si="17"/>
        <v>84266</v>
      </c>
      <c r="CT7" s="884">
        <f t="shared" si="17"/>
        <v>97488</v>
      </c>
      <c r="CU7" s="884">
        <f t="shared" si="17"/>
        <v>118831</v>
      </c>
      <c r="CV7" s="884">
        <f t="shared" si="17"/>
        <v>101413</v>
      </c>
      <c r="CW7" s="884">
        <f t="shared" si="17"/>
        <v>102625</v>
      </c>
      <c r="CX7" s="884">
        <f t="shared" si="17"/>
        <v>97698</v>
      </c>
      <c r="CY7" s="884">
        <f t="shared" si="17"/>
        <v>105083</v>
      </c>
      <c r="CZ7" s="875">
        <f t="shared" si="17"/>
        <v>159318</v>
      </c>
      <c r="DA7" s="876">
        <f>SUM(CO7:CZ7)</f>
        <v>1214379</v>
      </c>
      <c r="DB7" s="884">
        <f t="shared" ref="DB7:DM7" si="18">DB8+DB14+DB19</f>
        <v>86598</v>
      </c>
      <c r="DC7" s="884">
        <f t="shared" si="18"/>
        <v>92050</v>
      </c>
      <c r="DD7" s="884">
        <f t="shared" si="18"/>
        <v>92958</v>
      </c>
      <c r="DE7" s="884">
        <f t="shared" si="18"/>
        <v>92637</v>
      </c>
      <c r="DF7" s="884">
        <f t="shared" si="18"/>
        <v>106276</v>
      </c>
      <c r="DG7" s="884">
        <f t="shared" si="18"/>
        <v>127167</v>
      </c>
      <c r="DH7" s="884">
        <f t="shared" si="18"/>
        <v>127399</v>
      </c>
      <c r="DI7" s="884">
        <f t="shared" si="18"/>
        <v>115195</v>
      </c>
      <c r="DJ7" s="884">
        <f t="shared" si="18"/>
        <v>114015</v>
      </c>
      <c r="DK7" s="884">
        <f t="shared" si="18"/>
        <v>130728</v>
      </c>
      <c r="DL7" s="884">
        <f t="shared" si="18"/>
        <v>139376</v>
      </c>
      <c r="DM7" s="875">
        <f t="shared" si="18"/>
        <v>303677</v>
      </c>
      <c r="DN7" s="876">
        <f>SUM(DB7:DM7)</f>
        <v>1528076</v>
      </c>
      <c r="DO7" s="884">
        <f t="shared" ref="DO7:DZ7" si="19">DO8+DO14+DO19</f>
        <v>113904</v>
      </c>
      <c r="DP7" s="884">
        <f t="shared" si="19"/>
        <v>111087</v>
      </c>
      <c r="DQ7" s="884">
        <f t="shared" si="19"/>
        <v>131771</v>
      </c>
      <c r="DR7" s="884">
        <f t="shared" si="19"/>
        <v>135614</v>
      </c>
      <c r="DS7" s="884">
        <f t="shared" si="19"/>
        <v>182955</v>
      </c>
      <c r="DT7" s="884">
        <f t="shared" si="19"/>
        <v>133070</v>
      </c>
      <c r="DU7" s="884">
        <f t="shared" si="19"/>
        <v>152138</v>
      </c>
      <c r="DV7" s="884">
        <f t="shared" si="19"/>
        <v>179985</v>
      </c>
      <c r="DW7" s="884">
        <f t="shared" si="19"/>
        <v>123137</v>
      </c>
      <c r="DX7" s="884">
        <f t="shared" si="19"/>
        <v>166316</v>
      </c>
      <c r="DY7" s="884">
        <f t="shared" si="19"/>
        <v>184520</v>
      </c>
      <c r="DZ7" s="875">
        <f t="shared" si="19"/>
        <v>180872</v>
      </c>
      <c r="EA7" s="876">
        <f>SUM(DO7:DZ7)</f>
        <v>1795369</v>
      </c>
      <c r="EB7" s="884">
        <f>+EB8+EB14+EB19</f>
        <v>102517</v>
      </c>
      <c r="EC7" s="884">
        <f>+EC8+EC14+EC19</f>
        <v>126922</v>
      </c>
      <c r="ED7" s="884">
        <f>+ED8+ED14+ED19</f>
        <v>112816</v>
      </c>
      <c r="EE7" s="884">
        <f>+EE8+EE14+EE19</f>
        <v>129990</v>
      </c>
      <c r="EF7" s="884">
        <f>+EF8+EF14+EF19</f>
        <v>159916</v>
      </c>
      <c r="EG7" s="884">
        <f t="shared" ref="EG7:EM7" si="20">+EG8+EG14+EG19</f>
        <v>139874</v>
      </c>
      <c r="EH7" s="884">
        <f t="shared" si="20"/>
        <v>147912</v>
      </c>
      <c r="EI7" s="884">
        <f t="shared" si="20"/>
        <v>141451</v>
      </c>
      <c r="EJ7" s="884">
        <f t="shared" si="20"/>
        <v>133797</v>
      </c>
      <c r="EK7" s="884">
        <f t="shared" si="20"/>
        <v>136409</v>
      </c>
      <c r="EL7" s="884">
        <f t="shared" si="20"/>
        <v>153026</v>
      </c>
      <c r="EM7" s="875">
        <f t="shared" si="20"/>
        <v>215979</v>
      </c>
      <c r="EN7" s="876">
        <f>SUM(EB7:EM7)</f>
        <v>1700609</v>
      </c>
      <c r="EO7" s="884">
        <f t="shared" ref="EO7:ER7" si="21">+EO8+EO14+EO19</f>
        <v>137565</v>
      </c>
      <c r="EP7" s="884">
        <f t="shared" si="21"/>
        <v>174350</v>
      </c>
      <c r="EQ7" s="884">
        <f t="shared" si="21"/>
        <v>130135</v>
      </c>
      <c r="ER7" s="884">
        <f t="shared" si="21"/>
        <v>166644</v>
      </c>
      <c r="ES7" s="884">
        <f>+ES8+ES14+ES19</f>
        <v>191370</v>
      </c>
      <c r="ET7" s="884">
        <f>+ET8+ET14+ET19</f>
        <v>159142</v>
      </c>
      <c r="EU7" s="884">
        <f t="shared" ref="EU7" si="22">+EU8+EU14+EU19</f>
        <v>179240</v>
      </c>
      <c r="EV7" s="971">
        <f>+EV8+EV14+EV19</f>
        <v>179659</v>
      </c>
      <c r="EW7" s="884"/>
      <c r="EX7" s="884"/>
      <c r="EY7" s="884"/>
      <c r="EZ7" s="875"/>
      <c r="FA7" s="876">
        <f>SUM(EO7:EZ7)</f>
        <v>1318105</v>
      </c>
      <c r="FB7" s="757"/>
      <c r="FC7" s="841">
        <f>IFERROR(((
_xlfn.XLOOKUP((DATE(YEAR($FC$5),MONTH($FC$5),1)),$B$5:$FA$5,$B7:$FA7) /
_xlfn.XLOOKUP((DATE(YEAR($FC$5)-1,MONTH($FC$5),1)),$B$5:$FA$5,$B7:$FA7)
)-1)*100,"")</f>
        <v>27.011473937971452</v>
      </c>
      <c r="FD7" s="842">
        <f>IFERROR(((FF7/FE7)-1)*100,"")</f>
        <v>24.185743707826845</v>
      </c>
      <c r="FE7" s="702">
        <f>SUMIFS($B7:$FA7,$B$5:$FA$5,"&gt;="&amp;DATE(YEAR($FC$5)-1,1,1),$B$5:$FA$5,"&lt;="&amp;DATE(YEAR($FC$5)-1,MONTH($FC$5),1))</f>
        <v>1061398</v>
      </c>
      <c r="FF7" s="703">
        <f>SUMIFS($B7:$FA7,$B$5:$FA$5,"&gt;="&amp;DATE(YEAR($FC$5),1,1),$B$5:$FA$5,"&lt;="&amp;$FC$5)</f>
        <v>1318105</v>
      </c>
      <c r="FG7"/>
      <c r="FH7" s="757"/>
      <c r="FI7" s="838"/>
      <c r="FJ7"/>
      <c r="FK7"/>
      <c r="FL7"/>
      <c r="FM7"/>
      <c r="FN7"/>
      <c r="FO7"/>
      <c r="FP7"/>
    </row>
    <row r="8" spans="1:172" s="110" customFormat="1" ht="15" customHeight="1" x14ac:dyDescent="0.25">
      <c r="A8" s="440" t="s">
        <v>370</v>
      </c>
      <c r="B8" s="885">
        <f t="shared" ref="B8:M8" si="23">SUM(B9:B13)</f>
        <v>31574</v>
      </c>
      <c r="C8" s="885">
        <f t="shared" si="23"/>
        <v>28735</v>
      </c>
      <c r="D8" s="885">
        <f t="shared" si="23"/>
        <v>31293</v>
      </c>
      <c r="E8" s="885">
        <f t="shared" si="23"/>
        <v>35131</v>
      </c>
      <c r="F8" s="885">
        <f t="shared" si="23"/>
        <v>37612</v>
      </c>
      <c r="G8" s="885">
        <f t="shared" si="23"/>
        <v>36166</v>
      </c>
      <c r="H8" s="885">
        <f t="shared" si="23"/>
        <v>39931</v>
      </c>
      <c r="I8" s="885">
        <f t="shared" si="23"/>
        <v>37612</v>
      </c>
      <c r="J8" s="885">
        <f t="shared" si="23"/>
        <v>37871</v>
      </c>
      <c r="K8" s="885">
        <f t="shared" si="23"/>
        <v>36057</v>
      </c>
      <c r="L8" s="885">
        <f t="shared" si="23"/>
        <v>35407</v>
      </c>
      <c r="M8" s="877">
        <f t="shared" si="23"/>
        <v>57795</v>
      </c>
      <c r="N8" s="878">
        <f t="shared" ref="N8:N21" si="24">SUM(B8:M8)</f>
        <v>445184</v>
      </c>
      <c r="O8" s="885">
        <f>SUM(O9:O13)</f>
        <v>33651</v>
      </c>
      <c r="P8" s="885">
        <f t="shared" ref="P8:AM8" si="25">SUM(P9:P13)</f>
        <v>35094</v>
      </c>
      <c r="Q8" s="885">
        <f t="shared" si="25"/>
        <v>34343</v>
      </c>
      <c r="R8" s="885">
        <f t="shared" si="25"/>
        <v>36011</v>
      </c>
      <c r="S8" s="885">
        <f t="shared" si="25"/>
        <v>40865</v>
      </c>
      <c r="T8" s="885">
        <f>SUM(T9:T13)</f>
        <v>41876</v>
      </c>
      <c r="U8" s="885">
        <f t="shared" si="25"/>
        <v>46642</v>
      </c>
      <c r="V8" s="885">
        <f t="shared" si="25"/>
        <v>36735</v>
      </c>
      <c r="W8" s="885">
        <f t="shared" si="25"/>
        <v>40149</v>
      </c>
      <c r="X8" s="885">
        <f t="shared" si="25"/>
        <v>37833</v>
      </c>
      <c r="Y8" s="885">
        <f t="shared" si="25"/>
        <v>37986</v>
      </c>
      <c r="Z8" s="877">
        <f t="shared" si="25"/>
        <v>67949</v>
      </c>
      <c r="AA8" s="878">
        <f t="shared" ref="AA8:AA21" si="26">SUM(O8:Z8)</f>
        <v>489134</v>
      </c>
      <c r="AB8" s="885">
        <f t="shared" si="25"/>
        <v>37236</v>
      </c>
      <c r="AC8" s="885">
        <f t="shared" si="25"/>
        <v>36523</v>
      </c>
      <c r="AD8" s="885">
        <f t="shared" si="25"/>
        <v>42816</v>
      </c>
      <c r="AE8" s="885">
        <f t="shared" si="25"/>
        <v>41274</v>
      </c>
      <c r="AF8" s="885">
        <f t="shared" si="25"/>
        <v>45330</v>
      </c>
      <c r="AG8" s="885">
        <f t="shared" si="25"/>
        <v>44335</v>
      </c>
      <c r="AH8" s="885">
        <f t="shared" si="25"/>
        <v>48230</v>
      </c>
      <c r="AI8" s="885">
        <f t="shared" si="25"/>
        <v>48423</v>
      </c>
      <c r="AJ8" s="885">
        <f t="shared" si="25"/>
        <v>42591</v>
      </c>
      <c r="AK8" s="885">
        <f t="shared" si="25"/>
        <v>42443</v>
      </c>
      <c r="AL8" s="885">
        <f t="shared" si="25"/>
        <v>58628</v>
      </c>
      <c r="AM8" s="877">
        <f t="shared" si="25"/>
        <v>74530</v>
      </c>
      <c r="AN8" s="878">
        <f t="shared" ref="AN8:AN21" si="27">SUM(AB8:AM8)</f>
        <v>562359</v>
      </c>
      <c r="AO8" s="885">
        <f t="shared" ref="AO8:AZ8" si="28">SUM(AO9:AO13)</f>
        <v>46371</v>
      </c>
      <c r="AP8" s="885">
        <f t="shared" si="28"/>
        <v>45321</v>
      </c>
      <c r="AQ8" s="885">
        <f t="shared" si="28"/>
        <v>52941</v>
      </c>
      <c r="AR8" s="885">
        <f t="shared" si="28"/>
        <v>48496</v>
      </c>
      <c r="AS8" s="885">
        <f t="shared" si="28"/>
        <v>48534</v>
      </c>
      <c r="AT8" s="885">
        <f t="shared" si="28"/>
        <v>64609</v>
      </c>
      <c r="AU8" s="885">
        <f t="shared" si="28"/>
        <v>58840</v>
      </c>
      <c r="AV8" s="885">
        <f t="shared" si="28"/>
        <v>51775</v>
      </c>
      <c r="AW8" s="885">
        <f t="shared" si="28"/>
        <v>50550</v>
      </c>
      <c r="AX8" s="885">
        <f t="shared" si="28"/>
        <v>51206</v>
      </c>
      <c r="AY8" s="885">
        <f t="shared" si="28"/>
        <v>51200</v>
      </c>
      <c r="AZ8" s="877">
        <f t="shared" si="28"/>
        <v>67502</v>
      </c>
      <c r="BA8" s="878">
        <f t="shared" ref="BA8:BA21" si="29">SUM(AO8:AZ8)</f>
        <v>637345</v>
      </c>
      <c r="BB8" s="885">
        <f t="shared" ref="BB8:BM8" si="30">SUM(BB9:BB13)</f>
        <v>45548</v>
      </c>
      <c r="BC8" s="885">
        <f t="shared" si="30"/>
        <v>49518</v>
      </c>
      <c r="BD8" s="885">
        <f t="shared" si="30"/>
        <v>49442</v>
      </c>
      <c r="BE8" s="885">
        <f t="shared" si="30"/>
        <v>52813</v>
      </c>
      <c r="BF8" s="885">
        <f t="shared" si="30"/>
        <v>52636</v>
      </c>
      <c r="BG8" s="885">
        <f t="shared" si="30"/>
        <v>72295</v>
      </c>
      <c r="BH8" s="885">
        <f t="shared" si="30"/>
        <v>57597</v>
      </c>
      <c r="BI8" s="885">
        <f t="shared" si="30"/>
        <v>66091</v>
      </c>
      <c r="BJ8" s="885">
        <f t="shared" si="30"/>
        <v>43416</v>
      </c>
      <c r="BK8" s="885">
        <f t="shared" si="30"/>
        <v>58589</v>
      </c>
      <c r="BL8" s="885">
        <f t="shared" si="30"/>
        <v>56463</v>
      </c>
      <c r="BM8" s="877">
        <f t="shared" si="30"/>
        <v>91939</v>
      </c>
      <c r="BN8" s="878">
        <f t="shared" ref="BN8:BN21" si="31">SUM(BB8:BM8)</f>
        <v>696347</v>
      </c>
      <c r="BO8" s="885">
        <f t="shared" ref="BO8:BZ8" si="32">SUM(BO9:BO13)</f>
        <v>53492</v>
      </c>
      <c r="BP8" s="885">
        <f t="shared" si="32"/>
        <v>50157</v>
      </c>
      <c r="BQ8" s="885">
        <f t="shared" si="32"/>
        <v>55158</v>
      </c>
      <c r="BR8" s="885">
        <f t="shared" si="32"/>
        <v>58943</v>
      </c>
      <c r="BS8" s="885">
        <f t="shared" si="32"/>
        <v>56949</v>
      </c>
      <c r="BT8" s="885">
        <f t="shared" si="32"/>
        <v>58815</v>
      </c>
      <c r="BU8" s="885">
        <f t="shared" si="32"/>
        <v>62895</v>
      </c>
      <c r="BV8" s="885">
        <f t="shared" si="32"/>
        <v>68121</v>
      </c>
      <c r="BW8" s="885">
        <f t="shared" si="32"/>
        <v>58837</v>
      </c>
      <c r="BX8" s="885">
        <f t="shared" si="32"/>
        <v>72309</v>
      </c>
      <c r="BY8" s="885">
        <f t="shared" si="32"/>
        <v>93963</v>
      </c>
      <c r="BZ8" s="877">
        <f t="shared" si="32"/>
        <v>89976</v>
      </c>
      <c r="CA8" s="878">
        <f t="shared" ref="CA8:CA21" si="33">SUM(BO8:BZ8)</f>
        <v>779615</v>
      </c>
      <c r="CB8" s="885">
        <f t="shared" ref="CB8:CM8" si="34">SUM(CB9:CB13)</f>
        <v>60572</v>
      </c>
      <c r="CC8" s="885">
        <f t="shared" si="34"/>
        <v>56586</v>
      </c>
      <c r="CD8" s="885">
        <f t="shared" si="34"/>
        <v>67767</v>
      </c>
      <c r="CE8" s="885">
        <f t="shared" si="34"/>
        <v>66505</v>
      </c>
      <c r="CF8" s="885">
        <f t="shared" si="34"/>
        <v>65761</v>
      </c>
      <c r="CG8" s="885">
        <f t="shared" si="34"/>
        <v>67218</v>
      </c>
      <c r="CH8" s="885">
        <f t="shared" si="34"/>
        <v>70684</v>
      </c>
      <c r="CI8" s="885">
        <f t="shared" si="34"/>
        <v>66351</v>
      </c>
      <c r="CJ8" s="885">
        <f t="shared" si="34"/>
        <v>73157</v>
      </c>
      <c r="CK8" s="885">
        <f t="shared" si="34"/>
        <v>68931</v>
      </c>
      <c r="CL8" s="885">
        <f t="shared" si="34"/>
        <v>82680</v>
      </c>
      <c r="CM8" s="877">
        <f t="shared" si="34"/>
        <v>102288</v>
      </c>
      <c r="CN8" s="878">
        <f t="shared" ref="CN8:CN28" si="35">SUM(CB8:CM8)</f>
        <v>848500</v>
      </c>
      <c r="CO8" s="885">
        <f t="shared" ref="CO8:CZ8" si="36">SUM(CO9:CO13)</f>
        <v>59755</v>
      </c>
      <c r="CP8" s="885">
        <f t="shared" si="36"/>
        <v>64663</v>
      </c>
      <c r="CQ8" s="885">
        <f t="shared" si="36"/>
        <v>71966</v>
      </c>
      <c r="CR8" s="885">
        <f t="shared" si="36"/>
        <v>68861</v>
      </c>
      <c r="CS8" s="885">
        <f t="shared" si="36"/>
        <v>70468</v>
      </c>
      <c r="CT8" s="885">
        <f t="shared" si="36"/>
        <v>80756</v>
      </c>
      <c r="CU8" s="885">
        <f t="shared" si="36"/>
        <v>96575</v>
      </c>
      <c r="CV8" s="885">
        <f t="shared" si="36"/>
        <v>79401</v>
      </c>
      <c r="CW8" s="885">
        <f t="shared" si="36"/>
        <v>67342</v>
      </c>
      <c r="CX8" s="885">
        <f t="shared" si="36"/>
        <v>64691</v>
      </c>
      <c r="CY8" s="885">
        <f t="shared" si="36"/>
        <v>69670</v>
      </c>
      <c r="CZ8" s="877">
        <f t="shared" si="36"/>
        <v>111892</v>
      </c>
      <c r="DA8" s="878">
        <f t="shared" ref="DA8:DA27" si="37">SUM(CO8:CZ8)</f>
        <v>906040</v>
      </c>
      <c r="DB8" s="885">
        <f t="shared" ref="DB8:DM8" si="38">SUM(DB9:DB13)</f>
        <v>84618</v>
      </c>
      <c r="DC8" s="885">
        <f t="shared" si="38"/>
        <v>76168</v>
      </c>
      <c r="DD8" s="885">
        <f t="shared" si="38"/>
        <v>76450</v>
      </c>
      <c r="DE8" s="885">
        <f t="shared" si="38"/>
        <v>74831</v>
      </c>
      <c r="DF8" s="885">
        <f t="shared" si="38"/>
        <v>79346</v>
      </c>
      <c r="DG8" s="885">
        <f t="shared" si="38"/>
        <v>92119</v>
      </c>
      <c r="DH8" s="885">
        <f t="shared" si="38"/>
        <v>91581</v>
      </c>
      <c r="DI8" s="885">
        <f t="shared" si="38"/>
        <v>79505</v>
      </c>
      <c r="DJ8" s="885">
        <f t="shared" si="38"/>
        <v>81668</v>
      </c>
      <c r="DK8" s="885">
        <f t="shared" si="38"/>
        <v>81588</v>
      </c>
      <c r="DL8" s="885">
        <f t="shared" si="38"/>
        <v>88080</v>
      </c>
      <c r="DM8" s="877">
        <f t="shared" si="38"/>
        <v>121131</v>
      </c>
      <c r="DN8" s="878">
        <f t="shared" ref="DN8:DN31" si="39">SUM(DB8:DM8)</f>
        <v>1027085</v>
      </c>
      <c r="DO8" s="885">
        <f t="shared" ref="DO8:DZ8" si="40">SUM(DO9:DO13)</f>
        <v>101507</v>
      </c>
      <c r="DP8" s="885">
        <f t="shared" si="40"/>
        <v>82711</v>
      </c>
      <c r="DQ8" s="885">
        <f t="shared" si="40"/>
        <v>80621</v>
      </c>
      <c r="DR8" s="885">
        <f t="shared" si="40"/>
        <v>96509</v>
      </c>
      <c r="DS8" s="885">
        <f t="shared" si="40"/>
        <v>100080</v>
      </c>
      <c r="DT8" s="885">
        <f t="shared" si="40"/>
        <v>95566</v>
      </c>
      <c r="DU8" s="885">
        <f t="shared" si="40"/>
        <v>98716</v>
      </c>
      <c r="DV8" s="885">
        <f t="shared" si="40"/>
        <v>101236</v>
      </c>
      <c r="DW8" s="885">
        <f t="shared" si="40"/>
        <v>91088</v>
      </c>
      <c r="DX8" s="885">
        <f t="shared" si="40"/>
        <v>101213</v>
      </c>
      <c r="DY8" s="885">
        <f t="shared" si="40"/>
        <v>132912</v>
      </c>
      <c r="DZ8" s="877">
        <f t="shared" si="40"/>
        <v>125299</v>
      </c>
      <c r="EA8" s="878">
        <f t="shared" ref="EA8:EA31" si="41">SUM(DO8:DZ8)</f>
        <v>1207458</v>
      </c>
      <c r="EB8" s="885">
        <f t="shared" ref="EB8:EM8" si="42">SUM(EB9:EB13)</f>
        <v>94162</v>
      </c>
      <c r="EC8" s="885">
        <f t="shared" si="42"/>
        <v>88355</v>
      </c>
      <c r="ED8" s="885">
        <f t="shared" si="42"/>
        <v>90888</v>
      </c>
      <c r="EE8" s="885">
        <f t="shared" si="42"/>
        <v>96226</v>
      </c>
      <c r="EF8" s="885">
        <f t="shared" si="42"/>
        <v>118658</v>
      </c>
      <c r="EG8" s="885">
        <f t="shared" si="42"/>
        <v>102418</v>
      </c>
      <c r="EH8" s="885">
        <f t="shared" si="42"/>
        <v>110363</v>
      </c>
      <c r="EI8" s="885">
        <f t="shared" si="42"/>
        <v>104391</v>
      </c>
      <c r="EJ8" s="885">
        <f t="shared" si="42"/>
        <v>104498</v>
      </c>
      <c r="EK8" s="885">
        <f t="shared" si="42"/>
        <v>98575</v>
      </c>
      <c r="EL8" s="885">
        <f t="shared" si="42"/>
        <v>108125</v>
      </c>
      <c r="EM8" s="877">
        <f t="shared" si="42"/>
        <v>131872</v>
      </c>
      <c r="EN8" s="878">
        <f>SUM(EB8:EM8)</f>
        <v>1248531</v>
      </c>
      <c r="EO8" s="885">
        <f t="shared" ref="EO8:EV8" si="43">SUM(EO9:EO13)</f>
        <v>125584</v>
      </c>
      <c r="EP8" s="885">
        <f t="shared" si="43"/>
        <v>101965</v>
      </c>
      <c r="EQ8" s="885">
        <f t="shared" si="43"/>
        <v>105632</v>
      </c>
      <c r="ER8" s="885">
        <f t="shared" si="43"/>
        <v>108844</v>
      </c>
      <c r="ES8" s="885">
        <f t="shared" si="43"/>
        <v>108760</v>
      </c>
      <c r="ET8" s="885">
        <f t="shared" si="43"/>
        <v>109826</v>
      </c>
      <c r="EU8" s="885">
        <f t="shared" si="43"/>
        <v>115947</v>
      </c>
      <c r="EV8" s="972">
        <f t="shared" si="43"/>
        <v>108852</v>
      </c>
      <c r="EW8" s="885"/>
      <c r="EX8" s="885"/>
      <c r="EY8" s="885"/>
      <c r="EZ8" s="877"/>
      <c r="FA8" s="878">
        <f>SUM(EO8:EZ8)</f>
        <v>885410</v>
      </c>
      <c r="FC8" s="851">
        <f>IFERROR(((
_xlfn.XLOOKUP((DATE(YEAR($FC$5),MONTH($FC$5),1)),$B$5:$FA$5,$B8:$FA8) /
_xlfn.XLOOKUP((DATE(YEAR($FC$5)-1,MONTH($FC$5),1)),$B$5:$FA$5,$B8:$FA8)
)-1)*100,"")</f>
        <v>4.2733568985832138</v>
      </c>
      <c r="FD8" s="852">
        <f>IFERROR(((FF8/FE8)-1)*100,"")</f>
        <v>9.9258685398796445</v>
      </c>
      <c r="FE8" s="853">
        <f>SUMIFS($B8:$FA8,$B$5:$FA$5,"&gt;="&amp;DATE(YEAR($FC$5)-1,1,1),$B$5:$FA$5,"&lt;="&amp;DATE(YEAR($FC$5)-1,MONTH($FC$5),1))</f>
        <v>805461</v>
      </c>
      <c r="FF8" s="854">
        <f>SUMIFS($B8:$FA8,$B$5:$FA$5,"&gt;="&amp;DATE(YEAR($FC$5),1,1),$B$5:$FA$5,"&lt;="&amp;$FC$5)</f>
        <v>885410</v>
      </c>
      <c r="FG8"/>
      <c r="FI8" s="236"/>
      <c r="FJ8"/>
      <c r="FK8"/>
      <c r="FL8"/>
      <c r="FM8"/>
      <c r="FN8"/>
      <c r="FO8"/>
      <c r="FP8"/>
    </row>
    <row r="9" spans="1:172" ht="15" customHeight="1" x14ac:dyDescent="0.25">
      <c r="A9" s="403" t="s">
        <v>371</v>
      </c>
      <c r="B9" s="883">
        <v>25606</v>
      </c>
      <c r="C9" s="883">
        <v>21045</v>
      </c>
      <c r="D9" s="883">
        <v>20359</v>
      </c>
      <c r="E9" s="883">
        <v>23188</v>
      </c>
      <c r="F9" s="883">
        <v>24925</v>
      </c>
      <c r="G9" s="883">
        <v>23762</v>
      </c>
      <c r="H9" s="883">
        <v>25097</v>
      </c>
      <c r="I9" s="883">
        <v>24598</v>
      </c>
      <c r="J9" s="883">
        <v>25978</v>
      </c>
      <c r="K9" s="883">
        <v>24891</v>
      </c>
      <c r="L9" s="883">
        <v>21311</v>
      </c>
      <c r="M9" s="873">
        <v>29822</v>
      </c>
      <c r="N9" s="879">
        <f t="shared" si="24"/>
        <v>290582</v>
      </c>
      <c r="O9" s="883">
        <v>27249</v>
      </c>
      <c r="P9" s="883">
        <v>25335</v>
      </c>
      <c r="Q9" s="883">
        <v>23362</v>
      </c>
      <c r="R9" s="883">
        <v>25574</v>
      </c>
      <c r="S9" s="883">
        <v>25878</v>
      </c>
      <c r="T9" s="883">
        <v>28120</v>
      </c>
      <c r="U9" s="883">
        <v>29530</v>
      </c>
      <c r="V9" s="883">
        <v>27220</v>
      </c>
      <c r="W9" s="883">
        <v>28030</v>
      </c>
      <c r="X9" s="883">
        <v>27104</v>
      </c>
      <c r="Y9" s="883">
        <v>26527</v>
      </c>
      <c r="Z9" s="873">
        <v>37285</v>
      </c>
      <c r="AA9" s="879">
        <f t="shared" si="26"/>
        <v>331214</v>
      </c>
      <c r="AB9" s="883">
        <v>30885</v>
      </c>
      <c r="AC9" s="883">
        <v>26524</v>
      </c>
      <c r="AD9" s="883">
        <v>28852</v>
      </c>
      <c r="AE9" s="883">
        <v>29293</v>
      </c>
      <c r="AF9" s="883">
        <v>29370</v>
      </c>
      <c r="AG9" s="883">
        <v>30216</v>
      </c>
      <c r="AH9" s="883">
        <v>33878</v>
      </c>
      <c r="AI9" s="883">
        <v>31522</v>
      </c>
      <c r="AJ9" s="883">
        <v>28637</v>
      </c>
      <c r="AK9" s="883">
        <v>31017</v>
      </c>
      <c r="AL9" s="883">
        <v>40694</v>
      </c>
      <c r="AM9" s="873">
        <v>41370</v>
      </c>
      <c r="AN9" s="879">
        <f t="shared" si="27"/>
        <v>382258</v>
      </c>
      <c r="AO9" s="883">
        <v>39128</v>
      </c>
      <c r="AP9" s="883">
        <v>34608</v>
      </c>
      <c r="AQ9" s="883">
        <v>40329</v>
      </c>
      <c r="AR9" s="883">
        <v>35387</v>
      </c>
      <c r="AS9" s="883">
        <v>35554</v>
      </c>
      <c r="AT9" s="883">
        <v>36225</v>
      </c>
      <c r="AU9" s="883">
        <v>40215</v>
      </c>
      <c r="AV9" s="883">
        <v>35530</v>
      </c>
      <c r="AW9" s="883">
        <v>35993</v>
      </c>
      <c r="AX9" s="883">
        <v>35718</v>
      </c>
      <c r="AY9" s="883">
        <v>35640</v>
      </c>
      <c r="AZ9" s="873">
        <v>39699</v>
      </c>
      <c r="BA9" s="879">
        <f t="shared" si="29"/>
        <v>444026</v>
      </c>
      <c r="BB9" s="883">
        <v>39257</v>
      </c>
      <c r="BC9" s="883">
        <v>40011</v>
      </c>
      <c r="BD9" s="883">
        <v>35895</v>
      </c>
      <c r="BE9" s="883">
        <v>38513</v>
      </c>
      <c r="BF9" s="883">
        <v>37969</v>
      </c>
      <c r="BG9" s="883">
        <v>39231</v>
      </c>
      <c r="BH9" s="883">
        <v>43319</v>
      </c>
      <c r="BI9" s="883">
        <v>48543</v>
      </c>
      <c r="BJ9" s="883">
        <v>30681</v>
      </c>
      <c r="BK9" s="883">
        <v>41292</v>
      </c>
      <c r="BL9" s="883">
        <v>39215</v>
      </c>
      <c r="BM9" s="873">
        <v>54896</v>
      </c>
      <c r="BN9" s="879">
        <f t="shared" si="31"/>
        <v>488822</v>
      </c>
      <c r="BO9" s="883">
        <v>46818</v>
      </c>
      <c r="BP9" s="883">
        <v>40458</v>
      </c>
      <c r="BQ9" s="883">
        <v>40881</v>
      </c>
      <c r="BR9" s="883">
        <v>43297</v>
      </c>
      <c r="BS9" s="883">
        <v>42150</v>
      </c>
      <c r="BT9" s="883">
        <v>41960</v>
      </c>
      <c r="BU9" s="883">
        <v>46471</v>
      </c>
      <c r="BV9" s="883">
        <v>45942</v>
      </c>
      <c r="BW9" s="883">
        <v>42937</v>
      </c>
      <c r="BX9" s="883">
        <v>44573</v>
      </c>
      <c r="BY9" s="883">
        <v>66534</v>
      </c>
      <c r="BZ9" s="873">
        <v>49141</v>
      </c>
      <c r="CA9" s="879">
        <f t="shared" si="33"/>
        <v>551162</v>
      </c>
      <c r="CB9" s="883">
        <v>51356</v>
      </c>
      <c r="CC9" s="883">
        <v>43544</v>
      </c>
      <c r="CD9" s="883">
        <v>47181</v>
      </c>
      <c r="CE9" s="883">
        <v>46284</v>
      </c>
      <c r="CF9" s="883">
        <v>45908</v>
      </c>
      <c r="CG9" s="883">
        <v>48130</v>
      </c>
      <c r="CH9" s="883">
        <v>50024</v>
      </c>
      <c r="CI9" s="883">
        <v>46330</v>
      </c>
      <c r="CJ9" s="883">
        <v>46532</v>
      </c>
      <c r="CK9" s="883">
        <v>46043</v>
      </c>
      <c r="CL9" s="883">
        <v>58873</v>
      </c>
      <c r="CM9" s="873">
        <v>49960</v>
      </c>
      <c r="CN9" s="879">
        <f t="shared" si="35"/>
        <v>580165</v>
      </c>
      <c r="CO9" s="883">
        <v>48212</v>
      </c>
      <c r="CP9" s="883">
        <v>49916</v>
      </c>
      <c r="CQ9" s="883">
        <v>46248</v>
      </c>
      <c r="CR9" s="883">
        <v>48316</v>
      </c>
      <c r="CS9" s="883">
        <v>49950</v>
      </c>
      <c r="CT9" s="883">
        <v>51912</v>
      </c>
      <c r="CU9" s="883">
        <v>67234</v>
      </c>
      <c r="CV9" s="883">
        <v>55551</v>
      </c>
      <c r="CW9" s="883">
        <v>46079</v>
      </c>
      <c r="CX9" s="883">
        <v>40597</v>
      </c>
      <c r="CY9" s="883">
        <v>50821</v>
      </c>
      <c r="CZ9" s="873">
        <v>65342</v>
      </c>
      <c r="DA9" s="879">
        <f t="shared" si="37"/>
        <v>620178</v>
      </c>
      <c r="DB9" s="883">
        <v>73448</v>
      </c>
      <c r="DC9" s="883">
        <v>61502</v>
      </c>
      <c r="DD9" s="883">
        <v>54130</v>
      </c>
      <c r="DE9" s="883">
        <v>57278</v>
      </c>
      <c r="DF9" s="883">
        <v>56687</v>
      </c>
      <c r="DG9" s="883">
        <v>57865</v>
      </c>
      <c r="DH9" s="883">
        <v>61743</v>
      </c>
      <c r="DI9" s="883">
        <v>57419</v>
      </c>
      <c r="DJ9" s="883">
        <v>58665</v>
      </c>
      <c r="DK9" s="883">
        <v>57066</v>
      </c>
      <c r="DL9" s="883">
        <v>60794</v>
      </c>
      <c r="DM9" s="873">
        <v>70603</v>
      </c>
      <c r="DN9" s="879">
        <f t="shared" si="39"/>
        <v>727200</v>
      </c>
      <c r="DO9" s="883">
        <v>97339</v>
      </c>
      <c r="DP9" s="883">
        <v>72278</v>
      </c>
      <c r="DQ9" s="883">
        <v>66946</v>
      </c>
      <c r="DR9" s="883">
        <v>78420</v>
      </c>
      <c r="DS9" s="883">
        <v>80528</v>
      </c>
      <c r="DT9" s="883">
        <v>75554</v>
      </c>
      <c r="DU9" s="883">
        <v>83654</v>
      </c>
      <c r="DV9" s="883">
        <v>79346</v>
      </c>
      <c r="DW9" s="883">
        <v>74110</v>
      </c>
      <c r="DX9" s="883">
        <v>77711</v>
      </c>
      <c r="DY9" s="883">
        <v>114256</v>
      </c>
      <c r="DZ9" s="873">
        <v>91095</v>
      </c>
      <c r="EA9" s="879">
        <f t="shared" si="41"/>
        <v>991237</v>
      </c>
      <c r="EB9" s="883">
        <v>88868</v>
      </c>
      <c r="EC9" s="883">
        <v>78375</v>
      </c>
      <c r="ED9" s="883">
        <v>75109</v>
      </c>
      <c r="EE9" s="883">
        <v>80587</v>
      </c>
      <c r="EF9" s="883">
        <v>100930</v>
      </c>
      <c r="EG9" s="883">
        <v>83151</v>
      </c>
      <c r="EH9" s="883">
        <v>91991</v>
      </c>
      <c r="EI9" s="883">
        <v>82296</v>
      </c>
      <c r="EJ9" s="883">
        <v>81471</v>
      </c>
      <c r="EK9" s="883">
        <v>81057</v>
      </c>
      <c r="EL9" s="883">
        <v>92657</v>
      </c>
      <c r="EM9" s="873">
        <v>96049</v>
      </c>
      <c r="EN9" s="879">
        <f t="shared" ref="EN9:EN15" si="44">SUM(EB9:EM9)</f>
        <v>1032541</v>
      </c>
      <c r="EO9" s="883">
        <v>120416</v>
      </c>
      <c r="EP9" s="883">
        <v>88755</v>
      </c>
      <c r="EQ9" s="883">
        <v>82454</v>
      </c>
      <c r="ER9" s="883">
        <v>87475</v>
      </c>
      <c r="ES9" s="883">
        <v>87220</v>
      </c>
      <c r="ET9" s="883">
        <v>89135</v>
      </c>
      <c r="EU9" s="883">
        <v>99259</v>
      </c>
      <c r="EV9" s="973">
        <v>90029</v>
      </c>
      <c r="EW9" s="883"/>
      <c r="EX9" s="883"/>
      <c r="EY9" s="883"/>
      <c r="EZ9" s="873"/>
      <c r="FA9" s="879">
        <f t="shared" ref="FA9:FA31" si="45">SUM(EO9:EZ9)</f>
        <v>744743</v>
      </c>
      <c r="FC9" s="843">
        <f t="shared" ref="FC9:FC31" si="46">IFERROR(((
_xlfn.XLOOKUP((DATE(YEAR($FC$5),MONTH($FC$5),1)),$B$5:$FA$5,$B9:$FA9) /
_xlfn.XLOOKUP((DATE(YEAR($FC$5)-1,MONTH($FC$5),1)),$B$5:$FA$5,$B9:$FA9)
)-1)*100,"")</f>
        <v>9.3965684844949937</v>
      </c>
      <c r="FD9" s="844">
        <f t="shared" ref="FD9:FD21" si="47">IFERROR(((FF9/FE9)-1)*100,"")</f>
        <v>9.3109273792871594</v>
      </c>
      <c r="FE9" s="845">
        <f t="shared" ref="FE9:FE31" si="48">SUMIFS($B9:$FA9,$B$5:$FA$5,"&gt;="&amp;DATE(YEAR($FC$5)-1,1,1),$B$5:$FA$5,"&lt;="&amp;DATE(YEAR($FC$5)-1,MONTH($FC$5),1))</f>
        <v>681307</v>
      </c>
      <c r="FF9" s="846">
        <f t="shared" ref="FF9:FF31" si="49">SUMIFS($B9:$FA9,$B$5:$FA$5,"&gt;="&amp;DATE(YEAR($FC$5),1,1),$B$5:$FA$5,"&lt;="&amp;$FC$5)</f>
        <v>744743</v>
      </c>
      <c r="FI9" s="127"/>
    </row>
    <row r="10" spans="1:172" ht="15" customHeight="1" x14ac:dyDescent="0.25">
      <c r="A10" s="403" t="s">
        <v>372</v>
      </c>
      <c r="B10" s="883">
        <v>2519</v>
      </c>
      <c r="C10" s="883">
        <v>1829</v>
      </c>
      <c r="D10" s="883">
        <v>2275</v>
      </c>
      <c r="E10" s="883">
        <v>1883</v>
      </c>
      <c r="F10" s="883">
        <v>1740</v>
      </c>
      <c r="G10" s="883">
        <v>1763</v>
      </c>
      <c r="H10" s="883">
        <v>2275</v>
      </c>
      <c r="I10" s="883">
        <v>2104</v>
      </c>
      <c r="J10" s="883">
        <v>1743</v>
      </c>
      <c r="K10" s="883">
        <v>1786</v>
      </c>
      <c r="L10" s="883">
        <v>1850</v>
      </c>
      <c r="M10" s="873">
        <v>3499</v>
      </c>
      <c r="N10" s="879">
        <f t="shared" si="24"/>
        <v>25266</v>
      </c>
      <c r="O10" s="883">
        <v>2445</v>
      </c>
      <c r="P10" s="883">
        <v>1749</v>
      </c>
      <c r="Q10" s="883">
        <v>1852</v>
      </c>
      <c r="R10" s="883">
        <v>1762</v>
      </c>
      <c r="S10" s="883">
        <v>2569</v>
      </c>
      <c r="T10" s="883">
        <v>1864</v>
      </c>
      <c r="U10" s="883">
        <v>2290</v>
      </c>
      <c r="V10" s="883">
        <v>2034</v>
      </c>
      <c r="W10" s="883">
        <v>1834</v>
      </c>
      <c r="X10" s="883">
        <v>1839</v>
      </c>
      <c r="Y10" s="883">
        <v>1919</v>
      </c>
      <c r="Z10" s="873">
        <v>2723</v>
      </c>
      <c r="AA10" s="879">
        <f t="shared" si="26"/>
        <v>24880</v>
      </c>
      <c r="AB10" s="883">
        <v>2462</v>
      </c>
      <c r="AC10" s="883">
        <v>1761</v>
      </c>
      <c r="AD10" s="883">
        <v>1940</v>
      </c>
      <c r="AE10" s="883">
        <v>2586</v>
      </c>
      <c r="AF10" s="883">
        <v>1852</v>
      </c>
      <c r="AG10" s="883">
        <v>1987</v>
      </c>
      <c r="AH10" s="883">
        <v>2543</v>
      </c>
      <c r="AI10" s="883">
        <v>1848</v>
      </c>
      <c r="AJ10" s="883">
        <v>1894</v>
      </c>
      <c r="AK10" s="883">
        <v>1766</v>
      </c>
      <c r="AL10" s="883">
        <v>1814</v>
      </c>
      <c r="AM10" s="873">
        <v>3845</v>
      </c>
      <c r="AN10" s="879">
        <f t="shared" si="27"/>
        <v>26298</v>
      </c>
      <c r="AO10" s="883">
        <v>2502</v>
      </c>
      <c r="AP10" s="883">
        <v>2012</v>
      </c>
      <c r="AQ10" s="883">
        <v>1920</v>
      </c>
      <c r="AR10" s="883">
        <v>2066</v>
      </c>
      <c r="AS10" s="883">
        <v>3196</v>
      </c>
      <c r="AT10" s="883">
        <v>2000</v>
      </c>
      <c r="AU10" s="883">
        <v>2314</v>
      </c>
      <c r="AV10" s="883">
        <v>1922</v>
      </c>
      <c r="AW10" s="883">
        <v>1806</v>
      </c>
      <c r="AX10" s="883">
        <v>2108</v>
      </c>
      <c r="AY10" s="883">
        <v>1821</v>
      </c>
      <c r="AZ10" s="873">
        <v>2930</v>
      </c>
      <c r="BA10" s="879">
        <f t="shared" si="29"/>
        <v>26597</v>
      </c>
      <c r="BB10" s="883">
        <v>2490</v>
      </c>
      <c r="BC10" s="883">
        <v>1899</v>
      </c>
      <c r="BD10" s="883">
        <v>3430</v>
      </c>
      <c r="BE10" s="883">
        <v>1935</v>
      </c>
      <c r="BF10" s="883">
        <v>1895</v>
      </c>
      <c r="BG10" s="883">
        <v>1909</v>
      </c>
      <c r="BH10" s="883">
        <v>2299</v>
      </c>
      <c r="BI10" s="883">
        <v>1950</v>
      </c>
      <c r="BJ10" s="883">
        <v>2367</v>
      </c>
      <c r="BK10" s="883">
        <v>2482</v>
      </c>
      <c r="BL10" s="883">
        <v>1800</v>
      </c>
      <c r="BM10" s="873">
        <v>3539</v>
      </c>
      <c r="BN10" s="879">
        <f t="shared" si="31"/>
        <v>27995</v>
      </c>
      <c r="BO10" s="883">
        <v>2539</v>
      </c>
      <c r="BP10" s="883">
        <v>1983</v>
      </c>
      <c r="BQ10" s="883">
        <v>1873</v>
      </c>
      <c r="BR10" s="883">
        <v>2687</v>
      </c>
      <c r="BS10" s="883">
        <v>1862</v>
      </c>
      <c r="BT10" s="883">
        <v>2376</v>
      </c>
      <c r="BU10" s="883">
        <v>2449</v>
      </c>
      <c r="BV10" s="883">
        <v>1934</v>
      </c>
      <c r="BW10" s="883">
        <v>2190</v>
      </c>
      <c r="BX10" s="883">
        <v>2079</v>
      </c>
      <c r="BY10" s="883">
        <v>2460</v>
      </c>
      <c r="BZ10" s="873">
        <v>2781</v>
      </c>
      <c r="CA10" s="879">
        <f t="shared" si="33"/>
        <v>27213</v>
      </c>
      <c r="CB10" s="883">
        <v>2459</v>
      </c>
      <c r="CC10" s="883">
        <v>1899</v>
      </c>
      <c r="CD10" s="883">
        <v>1955</v>
      </c>
      <c r="CE10" s="883">
        <v>3430</v>
      </c>
      <c r="CF10" s="883">
        <v>2661</v>
      </c>
      <c r="CG10" s="883">
        <v>2128</v>
      </c>
      <c r="CH10" s="883">
        <v>2477</v>
      </c>
      <c r="CI10" s="883">
        <v>1833</v>
      </c>
      <c r="CJ10" s="883">
        <v>1906</v>
      </c>
      <c r="CK10" s="883">
        <v>1802</v>
      </c>
      <c r="CL10" s="883">
        <v>2205</v>
      </c>
      <c r="CM10" s="873">
        <v>2734</v>
      </c>
      <c r="CN10" s="879">
        <f t="shared" si="35"/>
        <v>27489</v>
      </c>
      <c r="CO10" s="883">
        <v>2945</v>
      </c>
      <c r="CP10" s="883">
        <v>1730</v>
      </c>
      <c r="CQ10" s="883">
        <v>2044</v>
      </c>
      <c r="CR10" s="883">
        <v>1851</v>
      </c>
      <c r="CS10" s="883">
        <v>2431</v>
      </c>
      <c r="CT10" s="883">
        <v>2548</v>
      </c>
      <c r="CU10" s="883">
        <v>2781</v>
      </c>
      <c r="CV10" s="883">
        <v>1845</v>
      </c>
      <c r="CW10" s="883">
        <v>1836</v>
      </c>
      <c r="CX10" s="883">
        <v>1814</v>
      </c>
      <c r="CY10" s="883">
        <v>1980</v>
      </c>
      <c r="CZ10" s="873">
        <v>3150</v>
      </c>
      <c r="DA10" s="879">
        <f t="shared" si="37"/>
        <v>26955</v>
      </c>
      <c r="DB10" s="883">
        <v>2416</v>
      </c>
      <c r="DC10" s="883">
        <v>2825</v>
      </c>
      <c r="DD10" s="883">
        <v>1853</v>
      </c>
      <c r="DE10" s="883">
        <v>2905</v>
      </c>
      <c r="DF10" s="883">
        <v>1991</v>
      </c>
      <c r="DG10" s="883">
        <v>1965</v>
      </c>
      <c r="DH10" s="883">
        <v>2408</v>
      </c>
      <c r="DI10" s="883">
        <v>2022</v>
      </c>
      <c r="DJ10" s="883">
        <v>1960</v>
      </c>
      <c r="DK10" s="883">
        <v>1893</v>
      </c>
      <c r="DL10" s="883">
        <v>1942</v>
      </c>
      <c r="DM10" s="873">
        <v>2531</v>
      </c>
      <c r="DN10" s="879">
        <f t="shared" si="39"/>
        <v>26711</v>
      </c>
      <c r="DO10" s="883">
        <v>2261</v>
      </c>
      <c r="DP10" s="883">
        <v>2198</v>
      </c>
      <c r="DQ10" s="883">
        <v>2007</v>
      </c>
      <c r="DR10" s="883">
        <v>1914</v>
      </c>
      <c r="DS10" s="883">
        <v>2240</v>
      </c>
      <c r="DT10" s="883">
        <v>1875</v>
      </c>
      <c r="DU10" s="883">
        <v>4122</v>
      </c>
      <c r="DV10" s="883">
        <v>5374</v>
      </c>
      <c r="DW10" s="883">
        <v>1878</v>
      </c>
      <c r="DX10" s="883">
        <v>1940</v>
      </c>
      <c r="DY10" s="883">
        <v>2259</v>
      </c>
      <c r="DZ10" s="873">
        <v>3322</v>
      </c>
      <c r="EA10" s="879">
        <f t="shared" si="41"/>
        <v>31390</v>
      </c>
      <c r="EB10" s="883">
        <v>2669</v>
      </c>
      <c r="EC10" s="883">
        <v>1935</v>
      </c>
      <c r="ED10" s="883">
        <v>1869</v>
      </c>
      <c r="EE10" s="883">
        <v>1918</v>
      </c>
      <c r="EF10" s="883">
        <v>2160</v>
      </c>
      <c r="EG10" s="883">
        <v>3219</v>
      </c>
      <c r="EH10" s="883">
        <v>4847</v>
      </c>
      <c r="EI10" s="883">
        <v>1860</v>
      </c>
      <c r="EJ10" s="883">
        <v>2680</v>
      </c>
      <c r="EK10" s="883">
        <v>1826</v>
      </c>
      <c r="EL10" s="883">
        <v>1914</v>
      </c>
      <c r="EM10" s="873">
        <v>3478</v>
      </c>
      <c r="EN10" s="879">
        <f t="shared" si="44"/>
        <v>30375</v>
      </c>
      <c r="EO10" s="883">
        <v>3119</v>
      </c>
      <c r="EP10" s="883">
        <v>1910</v>
      </c>
      <c r="EQ10" s="883">
        <v>1869</v>
      </c>
      <c r="ER10" s="883">
        <v>1891</v>
      </c>
      <c r="ES10" s="883">
        <v>1865</v>
      </c>
      <c r="ET10" s="883">
        <v>3086</v>
      </c>
      <c r="EU10" s="883">
        <v>2224</v>
      </c>
      <c r="EV10" s="973">
        <v>1949</v>
      </c>
      <c r="EW10" s="883"/>
      <c r="EX10" s="883"/>
      <c r="EY10" s="883"/>
      <c r="EZ10" s="873"/>
      <c r="FA10" s="879">
        <f t="shared" si="45"/>
        <v>17913</v>
      </c>
      <c r="FC10" s="843">
        <f t="shared" si="46"/>
        <v>4.78494623655914</v>
      </c>
      <c r="FD10" s="844">
        <f t="shared" si="47"/>
        <v>-12.521365434389809</v>
      </c>
      <c r="FE10" s="845">
        <f t="shared" si="48"/>
        <v>20477</v>
      </c>
      <c r="FF10" s="846">
        <f t="shared" si="49"/>
        <v>17913</v>
      </c>
      <c r="FI10" s="127"/>
    </row>
    <row r="11" spans="1:172" ht="15" customHeight="1" x14ac:dyDescent="0.25">
      <c r="A11" s="403" t="s">
        <v>373</v>
      </c>
      <c r="B11" s="883">
        <v>3014</v>
      </c>
      <c r="C11" s="883">
        <v>5797</v>
      </c>
      <c r="D11" s="883">
        <v>8511</v>
      </c>
      <c r="E11" s="883">
        <v>9934</v>
      </c>
      <c r="F11" s="883">
        <v>10116</v>
      </c>
      <c r="G11" s="883">
        <v>10241</v>
      </c>
      <c r="H11" s="883">
        <v>12190</v>
      </c>
      <c r="I11" s="883">
        <v>10461</v>
      </c>
      <c r="J11" s="883">
        <v>9937</v>
      </c>
      <c r="K11" s="883">
        <v>9012</v>
      </c>
      <c r="L11" s="883">
        <v>12040</v>
      </c>
      <c r="M11" s="873">
        <v>21212</v>
      </c>
      <c r="N11" s="879">
        <f t="shared" si="24"/>
        <v>122465</v>
      </c>
      <c r="O11" s="883">
        <v>3545</v>
      </c>
      <c r="P11" s="883">
        <v>7877</v>
      </c>
      <c r="Q11" s="883">
        <v>8988</v>
      </c>
      <c r="R11" s="883">
        <v>8577</v>
      </c>
      <c r="S11" s="883">
        <v>12187</v>
      </c>
      <c r="T11" s="883">
        <v>10869</v>
      </c>
      <c r="U11" s="883">
        <v>14723</v>
      </c>
      <c r="V11" s="883">
        <v>5022</v>
      </c>
      <c r="W11" s="883">
        <v>10125</v>
      </c>
      <c r="X11" s="883">
        <v>8816</v>
      </c>
      <c r="Y11" s="883">
        <v>9328</v>
      </c>
      <c r="Z11" s="873">
        <v>26580</v>
      </c>
      <c r="AA11" s="879">
        <f t="shared" si="26"/>
        <v>126637</v>
      </c>
      <c r="AB11" s="883">
        <v>3521</v>
      </c>
      <c r="AC11" s="883">
        <v>7909</v>
      </c>
      <c r="AD11" s="883">
        <v>11972</v>
      </c>
      <c r="AE11" s="883">
        <v>9327</v>
      </c>
      <c r="AF11" s="883">
        <v>10292</v>
      </c>
      <c r="AG11" s="883">
        <v>9261</v>
      </c>
      <c r="AH11" s="883">
        <v>11658</v>
      </c>
      <c r="AI11" s="883">
        <v>14916</v>
      </c>
      <c r="AJ11" s="883">
        <v>11797</v>
      </c>
      <c r="AK11" s="883">
        <v>9367</v>
      </c>
      <c r="AL11" s="883">
        <v>15724</v>
      </c>
      <c r="AM11" s="873">
        <v>27419</v>
      </c>
      <c r="AN11" s="879">
        <f t="shared" si="27"/>
        <v>143163</v>
      </c>
      <c r="AO11" s="883">
        <v>4522</v>
      </c>
      <c r="AP11" s="883">
        <v>8509</v>
      </c>
      <c r="AQ11" s="883">
        <v>10358</v>
      </c>
      <c r="AR11" s="883">
        <v>10802</v>
      </c>
      <c r="AS11" s="883">
        <v>9572</v>
      </c>
      <c r="AT11" s="883">
        <v>11373</v>
      </c>
      <c r="AU11" s="883">
        <v>12999</v>
      </c>
      <c r="AV11" s="883">
        <v>14194</v>
      </c>
      <c r="AW11" s="883">
        <v>12375</v>
      </c>
      <c r="AX11" s="883">
        <v>13223</v>
      </c>
      <c r="AY11" s="883">
        <v>13005</v>
      </c>
      <c r="AZ11" s="873">
        <v>24406</v>
      </c>
      <c r="BA11" s="879">
        <f t="shared" si="29"/>
        <v>145338</v>
      </c>
      <c r="BB11" s="883">
        <v>3279</v>
      </c>
      <c r="BC11" s="883">
        <v>7525</v>
      </c>
      <c r="BD11" s="883">
        <v>9952</v>
      </c>
      <c r="BE11" s="883">
        <v>12312</v>
      </c>
      <c r="BF11" s="883">
        <v>12183</v>
      </c>
      <c r="BG11" s="883">
        <v>11521</v>
      </c>
      <c r="BH11" s="883">
        <v>11895</v>
      </c>
      <c r="BI11" s="883">
        <v>15581</v>
      </c>
      <c r="BJ11" s="883">
        <v>10265</v>
      </c>
      <c r="BK11" s="883">
        <v>14582</v>
      </c>
      <c r="BL11" s="883">
        <v>15279</v>
      </c>
      <c r="BM11" s="873">
        <v>29650</v>
      </c>
      <c r="BN11" s="879">
        <f t="shared" si="31"/>
        <v>154024</v>
      </c>
      <c r="BO11" s="883">
        <v>4097</v>
      </c>
      <c r="BP11" s="883">
        <v>7529</v>
      </c>
      <c r="BQ11" s="883">
        <v>12359</v>
      </c>
      <c r="BR11" s="883">
        <v>12508</v>
      </c>
      <c r="BS11" s="883">
        <v>12879</v>
      </c>
      <c r="BT11" s="883">
        <v>14436</v>
      </c>
      <c r="BU11" s="883">
        <v>13938</v>
      </c>
      <c r="BV11" s="883">
        <v>20098</v>
      </c>
      <c r="BW11" s="883">
        <v>13499</v>
      </c>
      <c r="BX11" s="883">
        <v>18476</v>
      </c>
      <c r="BY11" s="883">
        <v>24668</v>
      </c>
      <c r="BZ11" s="873">
        <v>31526</v>
      </c>
      <c r="CA11" s="879">
        <f t="shared" si="33"/>
        <v>186013</v>
      </c>
      <c r="CB11" s="883">
        <v>6757</v>
      </c>
      <c r="CC11" s="883">
        <v>11130</v>
      </c>
      <c r="CD11" s="883">
        <v>18174</v>
      </c>
      <c r="CE11" s="883">
        <v>16504</v>
      </c>
      <c r="CF11" s="883">
        <v>17099</v>
      </c>
      <c r="CG11" s="883">
        <v>16749</v>
      </c>
      <c r="CH11" s="883">
        <v>18106</v>
      </c>
      <c r="CI11" s="883">
        <v>18025</v>
      </c>
      <c r="CJ11" s="883">
        <v>18934</v>
      </c>
      <c r="CK11" s="883">
        <v>20858</v>
      </c>
      <c r="CL11" s="883">
        <v>21481</v>
      </c>
      <c r="CM11" s="873">
        <v>31229</v>
      </c>
      <c r="CN11" s="879">
        <f t="shared" si="35"/>
        <v>215046</v>
      </c>
      <c r="CO11" s="883">
        <v>8598</v>
      </c>
      <c r="CP11" s="883">
        <v>12742</v>
      </c>
      <c r="CQ11" s="883">
        <v>23660</v>
      </c>
      <c r="CR11" s="883">
        <v>18294</v>
      </c>
      <c r="CS11" s="883">
        <v>17740</v>
      </c>
      <c r="CT11" s="883">
        <v>17921</v>
      </c>
      <c r="CU11" s="883">
        <v>25383</v>
      </c>
      <c r="CV11" s="883">
        <v>21633</v>
      </c>
      <c r="CW11" s="883">
        <v>19395</v>
      </c>
      <c r="CX11" s="883">
        <v>22245</v>
      </c>
      <c r="CY11" s="883">
        <v>16833</v>
      </c>
      <c r="CZ11" s="873">
        <v>43485</v>
      </c>
      <c r="DA11" s="879">
        <f t="shared" si="37"/>
        <v>247929</v>
      </c>
      <c r="DB11" s="883">
        <v>8734</v>
      </c>
      <c r="DC11" s="883">
        <v>11614</v>
      </c>
      <c r="DD11" s="883">
        <v>20028</v>
      </c>
      <c r="DE11" s="883">
        <v>14640</v>
      </c>
      <c r="DF11" s="883">
        <v>20640</v>
      </c>
      <c r="DG11" s="883">
        <v>16330</v>
      </c>
      <c r="DH11" s="883">
        <v>26560</v>
      </c>
      <c r="DI11" s="883">
        <v>19645</v>
      </c>
      <c r="DJ11" s="883">
        <v>20939</v>
      </c>
      <c r="DK11" s="883">
        <v>22695</v>
      </c>
      <c r="DL11" s="883">
        <v>25329</v>
      </c>
      <c r="DM11" s="873">
        <v>47887</v>
      </c>
      <c r="DN11" s="879">
        <f t="shared" si="39"/>
        <v>255041</v>
      </c>
      <c r="DO11" s="883">
        <v>1869</v>
      </c>
      <c r="DP11" s="883">
        <v>8061</v>
      </c>
      <c r="DQ11" s="883">
        <v>11630</v>
      </c>
      <c r="DR11" s="883">
        <v>16156</v>
      </c>
      <c r="DS11" s="883">
        <v>17113</v>
      </c>
      <c r="DT11" s="883">
        <v>17833</v>
      </c>
      <c r="DU11" s="883">
        <v>10711</v>
      </c>
      <c r="DV11" s="883">
        <v>16396</v>
      </c>
      <c r="DW11" s="883">
        <v>12308</v>
      </c>
      <c r="DX11" s="883">
        <v>21503</v>
      </c>
      <c r="DY11" s="883">
        <v>16397</v>
      </c>
      <c r="DZ11" s="873">
        <v>30763</v>
      </c>
      <c r="EA11" s="879">
        <f t="shared" si="41"/>
        <v>180740</v>
      </c>
      <c r="EB11" s="883">
        <v>2625</v>
      </c>
      <c r="EC11" s="883">
        <v>7791</v>
      </c>
      <c r="ED11" s="883">
        <v>13885</v>
      </c>
      <c r="EE11" s="883">
        <v>13546</v>
      </c>
      <c r="EF11" s="883">
        <v>15568</v>
      </c>
      <c r="EG11" s="883">
        <v>12809</v>
      </c>
      <c r="EH11" s="883">
        <v>13385</v>
      </c>
      <c r="EI11" s="883">
        <v>20213</v>
      </c>
      <c r="EJ11" s="883">
        <v>14291</v>
      </c>
      <c r="EK11" s="883">
        <v>15711</v>
      </c>
      <c r="EL11" s="883">
        <v>13554</v>
      </c>
      <c r="EM11" s="873">
        <v>32107</v>
      </c>
      <c r="EN11" s="879">
        <f t="shared" si="44"/>
        <v>175485</v>
      </c>
      <c r="EO11" s="883">
        <v>2049</v>
      </c>
      <c r="EP11" s="883">
        <v>11300</v>
      </c>
      <c r="EQ11" s="883">
        <v>17985</v>
      </c>
      <c r="ER11" s="883">
        <v>19346</v>
      </c>
      <c r="ES11" s="883">
        <v>19675</v>
      </c>
      <c r="ET11" s="883">
        <v>17523</v>
      </c>
      <c r="EU11" s="883">
        <v>14463</v>
      </c>
      <c r="EV11" s="973">
        <v>16874</v>
      </c>
      <c r="EW11" s="883"/>
      <c r="EX11" s="883"/>
      <c r="EY11" s="883"/>
      <c r="EZ11" s="873"/>
      <c r="FA11" s="879">
        <f t="shared" si="45"/>
        <v>119215</v>
      </c>
      <c r="FC11" s="843">
        <f t="shared" si="46"/>
        <v>-16.519071884430815</v>
      </c>
      <c r="FD11" s="844">
        <f t="shared" si="47"/>
        <v>19.427581094347946</v>
      </c>
      <c r="FE11" s="845">
        <f t="shared" si="48"/>
        <v>99822</v>
      </c>
      <c r="FF11" s="846">
        <f t="shared" si="49"/>
        <v>119215</v>
      </c>
      <c r="FI11" s="127"/>
    </row>
    <row r="12" spans="1:172" ht="15" customHeight="1" x14ac:dyDescent="0.25">
      <c r="A12" s="403" t="s">
        <v>374</v>
      </c>
      <c r="B12" s="883"/>
      <c r="C12" s="883"/>
      <c r="D12" s="883"/>
      <c r="E12" s="883"/>
      <c r="F12" s="883"/>
      <c r="G12" s="883"/>
      <c r="H12" s="883"/>
      <c r="I12" s="883"/>
      <c r="J12" s="883"/>
      <c r="K12" s="883"/>
      <c r="L12" s="883">
        <v>71</v>
      </c>
      <c r="M12" s="873"/>
      <c r="N12" s="879">
        <f t="shared" si="24"/>
        <v>71</v>
      </c>
      <c r="O12" s="883"/>
      <c r="P12" s="883"/>
      <c r="Q12" s="883"/>
      <c r="R12" s="883"/>
      <c r="S12" s="883"/>
      <c r="T12" s="883">
        <v>1000</v>
      </c>
      <c r="U12" s="883"/>
      <c r="V12" s="883"/>
      <c r="W12" s="883"/>
      <c r="X12" s="883"/>
      <c r="Y12" s="883"/>
      <c r="Z12" s="873"/>
      <c r="AA12" s="879">
        <f t="shared" si="26"/>
        <v>1000</v>
      </c>
      <c r="AB12" s="883"/>
      <c r="AC12" s="883"/>
      <c r="AD12" s="883"/>
      <c r="AE12" s="883"/>
      <c r="AF12" s="883"/>
      <c r="AG12" s="883"/>
      <c r="AH12" s="883"/>
      <c r="AI12" s="883"/>
      <c r="AJ12" s="883"/>
      <c r="AK12" s="883"/>
      <c r="AL12" s="883"/>
      <c r="AM12" s="873"/>
      <c r="AN12" s="879">
        <f t="shared" si="27"/>
        <v>0</v>
      </c>
      <c r="AO12" s="883"/>
      <c r="AP12" s="883"/>
      <c r="AQ12" s="883"/>
      <c r="AR12" s="883"/>
      <c r="AS12" s="883"/>
      <c r="AT12" s="883"/>
      <c r="AU12" s="883"/>
      <c r="AV12" s="883"/>
      <c r="AW12" s="883"/>
      <c r="AX12" s="883"/>
      <c r="AY12" s="883"/>
      <c r="AZ12" s="873"/>
      <c r="BA12" s="879"/>
      <c r="BB12" s="883">
        <v>214</v>
      </c>
      <c r="BC12" s="883"/>
      <c r="BD12" s="883"/>
      <c r="BE12" s="883"/>
      <c r="BF12" s="883"/>
      <c r="BG12" s="883"/>
      <c r="BH12" s="883"/>
      <c r="BI12" s="883"/>
      <c r="BJ12" s="883"/>
      <c r="BK12" s="883">
        <v>207</v>
      </c>
      <c r="BL12" s="883"/>
      <c r="BM12" s="873"/>
      <c r="BN12" s="879"/>
      <c r="BO12" s="883"/>
      <c r="BP12" s="883"/>
      <c r="BQ12" s="883"/>
      <c r="BR12" s="883"/>
      <c r="BS12" s="883"/>
      <c r="BT12" s="883"/>
      <c r="BU12" s="883"/>
      <c r="BV12" s="883"/>
      <c r="BW12" s="883"/>
      <c r="BX12" s="883"/>
      <c r="BY12" s="883"/>
      <c r="BZ12" s="873">
        <v>50</v>
      </c>
      <c r="CA12" s="879"/>
      <c r="CB12" s="883"/>
      <c r="CC12" s="883"/>
      <c r="CD12" s="883">
        <v>167</v>
      </c>
      <c r="CE12" s="883"/>
      <c r="CF12" s="883"/>
      <c r="CG12" s="883">
        <v>200</v>
      </c>
      <c r="CH12" s="883"/>
      <c r="CI12" s="883"/>
      <c r="CJ12" s="883"/>
      <c r="CK12" s="883"/>
      <c r="CL12" s="883"/>
      <c r="CM12" s="873"/>
      <c r="CN12" s="879">
        <f t="shared" si="35"/>
        <v>367</v>
      </c>
      <c r="CO12" s="883"/>
      <c r="CP12" s="883"/>
      <c r="CQ12" s="883"/>
      <c r="CR12" s="883"/>
      <c r="CS12" s="883"/>
      <c r="CT12" s="883"/>
      <c r="CU12" s="883"/>
      <c r="CV12" s="883"/>
      <c r="CW12" s="883"/>
      <c r="CX12" s="883"/>
      <c r="CY12" s="883"/>
      <c r="CZ12" s="873"/>
      <c r="DA12" s="879">
        <f t="shared" si="37"/>
        <v>0</v>
      </c>
      <c r="DB12" s="883"/>
      <c r="DC12" s="883"/>
      <c r="DD12" s="883"/>
      <c r="DE12" s="883"/>
      <c r="DF12" s="883"/>
      <c r="DG12" s="883"/>
      <c r="DH12" s="883"/>
      <c r="DI12" s="883">
        <v>408</v>
      </c>
      <c r="DJ12" s="883"/>
      <c r="DK12" s="883"/>
      <c r="DL12" s="883"/>
      <c r="DM12" s="873">
        <v>22</v>
      </c>
      <c r="DN12" s="879">
        <f t="shared" si="39"/>
        <v>430</v>
      </c>
      <c r="DO12" s="883"/>
      <c r="DP12" s="883"/>
      <c r="DQ12" s="883"/>
      <c r="DR12" s="883"/>
      <c r="DS12" s="883"/>
      <c r="DT12" s="883"/>
      <c r="DU12" s="883"/>
      <c r="DV12" s="883"/>
      <c r="DW12" s="883">
        <v>2792</v>
      </c>
      <c r="DX12" s="883"/>
      <c r="DY12" s="883"/>
      <c r="DZ12" s="873"/>
      <c r="EA12" s="879">
        <f t="shared" si="41"/>
        <v>2792</v>
      </c>
      <c r="EB12" s="883">
        <v>0</v>
      </c>
      <c r="EC12" s="883">
        <v>0</v>
      </c>
      <c r="ED12" s="883">
        <v>25</v>
      </c>
      <c r="EE12" s="883">
        <v>0</v>
      </c>
      <c r="EF12" s="883">
        <v>0</v>
      </c>
      <c r="EG12" s="883">
        <v>3239</v>
      </c>
      <c r="EH12" s="883">
        <v>0</v>
      </c>
      <c r="EI12" s="883">
        <v>0</v>
      </c>
      <c r="EJ12" s="883">
        <v>6000</v>
      </c>
      <c r="EK12" s="883">
        <v>-25</v>
      </c>
      <c r="EL12" s="883">
        <v>0</v>
      </c>
      <c r="EM12" s="873">
        <v>204</v>
      </c>
      <c r="EN12" s="879">
        <f t="shared" si="44"/>
        <v>9443</v>
      </c>
      <c r="EO12" s="883">
        <v>0</v>
      </c>
      <c r="EP12" s="883">
        <v>0</v>
      </c>
      <c r="EQ12" s="883">
        <v>3318</v>
      </c>
      <c r="ER12" s="883">
        <v>0</v>
      </c>
      <c r="ES12" s="883">
        <v>0</v>
      </c>
      <c r="ET12" s="883">
        <v>0</v>
      </c>
      <c r="EU12" s="883">
        <v>0</v>
      </c>
      <c r="EV12" s="973">
        <v>0</v>
      </c>
      <c r="EW12" s="883"/>
      <c r="EX12" s="883"/>
      <c r="EY12" s="883"/>
      <c r="EZ12" s="873"/>
      <c r="FA12" s="879">
        <f t="shared" si="45"/>
        <v>3318</v>
      </c>
      <c r="FC12" s="843" t="str">
        <f t="shared" si="46"/>
        <v/>
      </c>
      <c r="FD12" s="844">
        <f t="shared" si="47"/>
        <v>1.6544117647058876</v>
      </c>
      <c r="FE12" s="845">
        <f>SUMIFS($B12:$FA12,$B$5:$FA$5,"&gt;="&amp;DATE(YEAR($FC$5)-1,1,1),$B$5:$FA$5,"&lt;="&amp;DATE(YEAR($FC$5)-1,MONTH($FC$5),1))</f>
        <v>3264</v>
      </c>
      <c r="FF12" s="846">
        <f t="shared" si="49"/>
        <v>3318</v>
      </c>
      <c r="FI12" s="127"/>
    </row>
    <row r="13" spans="1:172" ht="15" customHeight="1" x14ac:dyDescent="0.25">
      <c r="A13" s="403" t="s">
        <v>286</v>
      </c>
      <c r="B13" s="883">
        <v>435</v>
      </c>
      <c r="C13" s="883">
        <v>64</v>
      </c>
      <c r="D13" s="883">
        <v>148</v>
      </c>
      <c r="E13" s="883">
        <v>126</v>
      </c>
      <c r="F13" s="883">
        <v>831</v>
      </c>
      <c r="G13" s="883">
        <v>400</v>
      </c>
      <c r="H13" s="883">
        <v>369</v>
      </c>
      <c r="I13" s="883">
        <v>449</v>
      </c>
      <c r="J13" s="883">
        <v>213</v>
      </c>
      <c r="K13" s="883">
        <v>368</v>
      </c>
      <c r="L13" s="883">
        <v>135</v>
      </c>
      <c r="M13" s="873">
        <v>3262</v>
      </c>
      <c r="N13" s="879">
        <f t="shared" si="24"/>
        <v>6800</v>
      </c>
      <c r="O13" s="883">
        <v>412</v>
      </c>
      <c r="P13" s="883">
        <v>133</v>
      </c>
      <c r="Q13" s="883">
        <v>141</v>
      </c>
      <c r="R13" s="883">
        <v>98</v>
      </c>
      <c r="S13" s="883">
        <v>231</v>
      </c>
      <c r="T13" s="883">
        <v>23</v>
      </c>
      <c r="U13" s="883">
        <v>99</v>
      </c>
      <c r="V13" s="883">
        <v>2459</v>
      </c>
      <c r="W13" s="883">
        <v>160</v>
      </c>
      <c r="X13" s="883">
        <v>74</v>
      </c>
      <c r="Y13" s="883">
        <v>212</v>
      </c>
      <c r="Z13" s="873">
        <v>1361</v>
      </c>
      <c r="AA13" s="879">
        <f t="shared" si="26"/>
        <v>5403</v>
      </c>
      <c r="AB13" s="883">
        <v>368</v>
      </c>
      <c r="AC13" s="883">
        <v>329</v>
      </c>
      <c r="AD13" s="883">
        <v>52</v>
      </c>
      <c r="AE13" s="883">
        <v>68</v>
      </c>
      <c r="AF13" s="883">
        <v>3816</v>
      </c>
      <c r="AG13" s="883">
        <v>2871</v>
      </c>
      <c r="AH13" s="883">
        <v>151</v>
      </c>
      <c r="AI13" s="883">
        <v>137</v>
      </c>
      <c r="AJ13" s="883">
        <v>263</v>
      </c>
      <c r="AK13" s="883">
        <v>293</v>
      </c>
      <c r="AL13" s="883">
        <v>396</v>
      </c>
      <c r="AM13" s="873">
        <v>1896</v>
      </c>
      <c r="AN13" s="879">
        <f t="shared" si="27"/>
        <v>10640</v>
      </c>
      <c r="AO13" s="883">
        <v>219</v>
      </c>
      <c r="AP13" s="883">
        <v>192</v>
      </c>
      <c r="AQ13" s="883">
        <v>334</v>
      </c>
      <c r="AR13" s="883">
        <v>241</v>
      </c>
      <c r="AS13" s="883">
        <v>212</v>
      </c>
      <c r="AT13" s="883">
        <v>15011</v>
      </c>
      <c r="AU13" s="883">
        <v>3312</v>
      </c>
      <c r="AV13" s="883">
        <v>129</v>
      </c>
      <c r="AW13" s="883">
        <v>376</v>
      </c>
      <c r="AX13" s="883">
        <v>157</v>
      </c>
      <c r="AY13" s="883">
        <v>734</v>
      </c>
      <c r="AZ13" s="873">
        <v>467</v>
      </c>
      <c r="BA13" s="879">
        <f t="shared" si="29"/>
        <v>21384</v>
      </c>
      <c r="BB13" s="883">
        <v>308</v>
      </c>
      <c r="BC13" s="883">
        <v>83</v>
      </c>
      <c r="BD13" s="883">
        <v>165</v>
      </c>
      <c r="BE13" s="883">
        <v>53</v>
      </c>
      <c r="BF13" s="883">
        <v>589</v>
      </c>
      <c r="BG13" s="883">
        <v>19634</v>
      </c>
      <c r="BH13" s="883">
        <v>84</v>
      </c>
      <c r="BI13" s="883">
        <v>17</v>
      </c>
      <c r="BJ13" s="883">
        <v>103</v>
      </c>
      <c r="BK13" s="883">
        <v>26</v>
      </c>
      <c r="BL13" s="883">
        <v>169</v>
      </c>
      <c r="BM13" s="873">
        <v>3854</v>
      </c>
      <c r="BN13" s="879">
        <f t="shared" si="31"/>
        <v>25085</v>
      </c>
      <c r="BO13" s="883">
        <v>38</v>
      </c>
      <c r="BP13" s="883">
        <v>187</v>
      </c>
      <c r="BQ13" s="883">
        <v>45</v>
      </c>
      <c r="BR13" s="883">
        <v>451</v>
      </c>
      <c r="BS13" s="883">
        <v>58</v>
      </c>
      <c r="BT13" s="883">
        <v>43</v>
      </c>
      <c r="BU13" s="883">
        <v>37</v>
      </c>
      <c r="BV13" s="883">
        <v>147</v>
      </c>
      <c r="BW13" s="883">
        <v>211</v>
      </c>
      <c r="BX13" s="883">
        <v>7181</v>
      </c>
      <c r="BY13" s="883">
        <v>301</v>
      </c>
      <c r="BZ13" s="873">
        <v>6478</v>
      </c>
      <c r="CA13" s="879">
        <f t="shared" si="33"/>
        <v>15177</v>
      </c>
      <c r="CB13" s="883"/>
      <c r="CC13" s="883">
        <v>13</v>
      </c>
      <c r="CD13" s="883">
        <v>290</v>
      </c>
      <c r="CE13" s="883">
        <v>287</v>
      </c>
      <c r="CF13" s="883">
        <v>93</v>
      </c>
      <c r="CG13" s="883">
        <v>11</v>
      </c>
      <c r="CH13" s="883">
        <v>77</v>
      </c>
      <c r="CI13" s="883">
        <v>163</v>
      </c>
      <c r="CJ13" s="883">
        <v>5785</v>
      </c>
      <c r="CK13" s="883">
        <v>228</v>
      </c>
      <c r="CL13" s="883">
        <v>121</v>
      </c>
      <c r="CM13" s="873">
        <v>18365</v>
      </c>
      <c r="CN13" s="879">
        <f t="shared" si="35"/>
        <v>25433</v>
      </c>
      <c r="CO13" s="883"/>
      <c r="CP13" s="883">
        <v>275</v>
      </c>
      <c r="CQ13" s="883">
        <v>14</v>
      </c>
      <c r="CR13" s="883">
        <v>400</v>
      </c>
      <c r="CS13" s="883">
        <v>347</v>
      </c>
      <c r="CT13" s="883">
        <v>8375</v>
      </c>
      <c r="CU13" s="883">
        <v>1177</v>
      </c>
      <c r="CV13" s="883">
        <v>372</v>
      </c>
      <c r="CW13" s="883">
        <v>32</v>
      </c>
      <c r="CX13" s="883">
        <v>35</v>
      </c>
      <c r="CY13" s="883">
        <v>36</v>
      </c>
      <c r="CZ13" s="873">
        <v>-85</v>
      </c>
      <c r="DA13" s="879">
        <f t="shared" si="37"/>
        <v>10978</v>
      </c>
      <c r="DB13" s="883">
        <v>20</v>
      </c>
      <c r="DC13" s="883">
        <v>227</v>
      </c>
      <c r="DD13" s="883">
        <v>439</v>
      </c>
      <c r="DE13" s="883">
        <v>8</v>
      </c>
      <c r="DF13" s="883">
        <v>28</v>
      </c>
      <c r="DG13" s="883">
        <v>15959</v>
      </c>
      <c r="DH13" s="883">
        <v>870</v>
      </c>
      <c r="DI13" s="883">
        <v>11</v>
      </c>
      <c r="DJ13" s="883">
        <v>104</v>
      </c>
      <c r="DK13" s="883">
        <v>-66</v>
      </c>
      <c r="DL13" s="883">
        <v>15</v>
      </c>
      <c r="DM13" s="873">
        <v>88</v>
      </c>
      <c r="DN13" s="879">
        <f t="shared" si="39"/>
        <v>17703</v>
      </c>
      <c r="DO13" s="883">
        <v>38</v>
      </c>
      <c r="DP13" s="883">
        <v>174</v>
      </c>
      <c r="DQ13" s="883">
        <v>38</v>
      </c>
      <c r="DR13" s="883">
        <v>19</v>
      </c>
      <c r="DS13" s="883">
        <v>199</v>
      </c>
      <c r="DT13" s="883">
        <v>304</v>
      </c>
      <c r="DU13" s="883">
        <v>229</v>
      </c>
      <c r="DV13" s="883">
        <v>120</v>
      </c>
      <c r="DW13" s="883"/>
      <c r="DX13" s="883">
        <v>59</v>
      </c>
      <c r="DY13" s="883"/>
      <c r="DZ13" s="873">
        <v>119</v>
      </c>
      <c r="EA13" s="879">
        <f t="shared" si="41"/>
        <v>1299</v>
      </c>
      <c r="EB13" s="883">
        <v>0</v>
      </c>
      <c r="EC13" s="883">
        <v>254</v>
      </c>
      <c r="ED13" s="883">
        <v>0</v>
      </c>
      <c r="EE13" s="883">
        <v>175</v>
      </c>
      <c r="EF13" s="883">
        <v>0</v>
      </c>
      <c r="EG13" s="883">
        <v>0</v>
      </c>
      <c r="EH13" s="883">
        <v>140</v>
      </c>
      <c r="EI13" s="883">
        <v>22</v>
      </c>
      <c r="EJ13" s="883">
        <v>56</v>
      </c>
      <c r="EK13" s="883">
        <v>6</v>
      </c>
      <c r="EL13" s="883">
        <v>0</v>
      </c>
      <c r="EM13" s="873">
        <v>34</v>
      </c>
      <c r="EN13" s="879">
        <f t="shared" si="44"/>
        <v>687</v>
      </c>
      <c r="EO13" s="883">
        <v>0</v>
      </c>
      <c r="EP13" s="883">
        <v>0</v>
      </c>
      <c r="EQ13" s="883">
        <v>6</v>
      </c>
      <c r="ER13" s="883">
        <v>132</v>
      </c>
      <c r="ES13" s="883">
        <v>0</v>
      </c>
      <c r="ET13" s="883">
        <v>82</v>
      </c>
      <c r="EU13" s="883">
        <v>1</v>
      </c>
      <c r="EV13" s="973">
        <v>0</v>
      </c>
      <c r="EW13" s="883"/>
      <c r="EX13" s="883"/>
      <c r="EY13" s="883"/>
      <c r="EZ13" s="873"/>
      <c r="FA13" s="879">
        <f t="shared" si="45"/>
        <v>221</v>
      </c>
      <c r="FC13" s="843">
        <f t="shared" si="46"/>
        <v>-100</v>
      </c>
      <c r="FD13" s="844">
        <f t="shared" si="47"/>
        <v>-62.605752961082906</v>
      </c>
      <c r="FE13" s="845">
        <f t="shared" si="48"/>
        <v>591</v>
      </c>
      <c r="FF13" s="846">
        <f t="shared" si="49"/>
        <v>221</v>
      </c>
      <c r="FI13" s="127"/>
    </row>
    <row r="14" spans="1:172" s="110" customFormat="1" ht="15" customHeight="1" x14ac:dyDescent="0.25">
      <c r="A14" s="440" t="s">
        <v>375</v>
      </c>
      <c r="B14" s="885">
        <f t="shared" ref="B14:M14" si="50">SUM(B15:B18)</f>
        <v>317</v>
      </c>
      <c r="C14" s="885">
        <f t="shared" si="50"/>
        <v>7049</v>
      </c>
      <c r="D14" s="885">
        <f t="shared" si="50"/>
        <v>25782</v>
      </c>
      <c r="E14" s="885">
        <f t="shared" si="50"/>
        <v>4825</v>
      </c>
      <c r="F14" s="885">
        <f t="shared" si="50"/>
        <v>21863</v>
      </c>
      <c r="G14" s="885">
        <f t="shared" si="50"/>
        <v>26302</v>
      </c>
      <c r="H14" s="885">
        <f t="shared" si="50"/>
        <v>3547</v>
      </c>
      <c r="I14" s="885">
        <f t="shared" si="50"/>
        <v>9763</v>
      </c>
      <c r="J14" s="885">
        <f t="shared" si="50"/>
        <v>5938</v>
      </c>
      <c r="K14" s="885">
        <f t="shared" si="50"/>
        <v>12403</v>
      </c>
      <c r="L14" s="885">
        <f t="shared" si="50"/>
        <v>9599</v>
      </c>
      <c r="M14" s="877">
        <f t="shared" si="50"/>
        <v>33745</v>
      </c>
      <c r="N14" s="878">
        <f t="shared" si="24"/>
        <v>161133</v>
      </c>
      <c r="O14" s="885">
        <f>SUM(O15:O18)</f>
        <v>3679</v>
      </c>
      <c r="P14" s="885">
        <f t="shared" ref="P14:AM14" si="51">SUM(P15:P18)</f>
        <v>5674</v>
      </c>
      <c r="Q14" s="885">
        <f t="shared" si="51"/>
        <v>5844</v>
      </c>
      <c r="R14" s="885">
        <f t="shared" si="51"/>
        <v>4667</v>
      </c>
      <c r="S14" s="885">
        <f t="shared" si="51"/>
        <v>33760</v>
      </c>
      <c r="T14" s="885">
        <f t="shared" si="51"/>
        <v>21030</v>
      </c>
      <c r="U14" s="885">
        <f t="shared" si="51"/>
        <v>56465</v>
      </c>
      <c r="V14" s="885">
        <f t="shared" si="51"/>
        <v>3000</v>
      </c>
      <c r="W14" s="885">
        <f t="shared" si="51"/>
        <v>7737</v>
      </c>
      <c r="X14" s="885">
        <f t="shared" si="51"/>
        <v>18150</v>
      </c>
      <c r="Y14" s="885">
        <f t="shared" si="51"/>
        <v>4887</v>
      </c>
      <c r="Z14" s="877">
        <f t="shared" si="51"/>
        <v>72427</v>
      </c>
      <c r="AA14" s="878">
        <f t="shared" si="26"/>
        <v>237320</v>
      </c>
      <c r="AB14" s="885">
        <f t="shared" si="51"/>
        <v>436</v>
      </c>
      <c r="AC14" s="885">
        <f t="shared" si="51"/>
        <v>3565</v>
      </c>
      <c r="AD14" s="885">
        <f t="shared" si="51"/>
        <v>23052</v>
      </c>
      <c r="AE14" s="885">
        <f t="shared" si="51"/>
        <v>25035</v>
      </c>
      <c r="AF14" s="885">
        <f t="shared" si="51"/>
        <v>16511</v>
      </c>
      <c r="AG14" s="885">
        <f t="shared" si="51"/>
        <v>17652</v>
      </c>
      <c r="AH14" s="885">
        <f t="shared" si="51"/>
        <v>12244</v>
      </c>
      <c r="AI14" s="885">
        <f t="shared" si="51"/>
        <v>55219</v>
      </c>
      <c r="AJ14" s="885">
        <f t="shared" si="51"/>
        <v>19010</v>
      </c>
      <c r="AK14" s="885">
        <f t="shared" si="51"/>
        <v>19556</v>
      </c>
      <c r="AL14" s="885">
        <f t="shared" si="51"/>
        <v>20452</v>
      </c>
      <c r="AM14" s="877">
        <f t="shared" si="51"/>
        <v>73730</v>
      </c>
      <c r="AN14" s="878">
        <f t="shared" si="27"/>
        <v>286462</v>
      </c>
      <c r="AO14" s="885">
        <f>SUM(AO15:AO18)</f>
        <v>429</v>
      </c>
      <c r="AP14" s="885">
        <f t="shared" ref="AP14:AZ14" si="52">SUM(AP15:AP18)</f>
        <v>3239</v>
      </c>
      <c r="AQ14" s="885">
        <f t="shared" si="52"/>
        <v>5346</v>
      </c>
      <c r="AR14" s="885">
        <f t="shared" si="52"/>
        <v>27167</v>
      </c>
      <c r="AS14" s="885">
        <f t="shared" si="52"/>
        <v>22578</v>
      </c>
      <c r="AT14" s="885">
        <f t="shared" si="52"/>
        <v>12212</v>
      </c>
      <c r="AU14" s="885">
        <f t="shared" si="52"/>
        <v>21182</v>
      </c>
      <c r="AV14" s="885">
        <f t="shared" si="52"/>
        <v>28947</v>
      </c>
      <c r="AW14" s="885">
        <f t="shared" si="52"/>
        <v>22150</v>
      </c>
      <c r="AX14" s="885">
        <f t="shared" si="52"/>
        <v>10858</v>
      </c>
      <c r="AY14" s="885">
        <f t="shared" si="52"/>
        <v>56282</v>
      </c>
      <c r="AZ14" s="877">
        <f t="shared" si="52"/>
        <v>13428</v>
      </c>
      <c r="BA14" s="878">
        <f t="shared" si="29"/>
        <v>223818</v>
      </c>
      <c r="BB14" s="885">
        <f>SUM(BB15:BB18)</f>
        <v>93033</v>
      </c>
      <c r="BC14" s="885">
        <f>SUM(BC15:BC18)</f>
        <v>25423</v>
      </c>
      <c r="BD14" s="885">
        <f>SUM(BD15:BD18)</f>
        <v>15266</v>
      </c>
      <c r="BE14" s="885">
        <f t="shared" ref="BE14:BM14" si="53">SUM(BE15:BE18)</f>
        <v>2707</v>
      </c>
      <c r="BF14" s="885">
        <f t="shared" si="53"/>
        <v>36698</v>
      </c>
      <c r="BG14" s="885">
        <f t="shared" si="53"/>
        <v>30739</v>
      </c>
      <c r="BH14" s="885">
        <f t="shared" si="53"/>
        <v>33496</v>
      </c>
      <c r="BI14" s="885">
        <f t="shared" si="53"/>
        <v>49572</v>
      </c>
      <c r="BJ14" s="885">
        <f t="shared" si="53"/>
        <v>46059</v>
      </c>
      <c r="BK14" s="885">
        <f t="shared" si="53"/>
        <v>62233</v>
      </c>
      <c r="BL14" s="885">
        <f t="shared" si="53"/>
        <v>42595</v>
      </c>
      <c r="BM14" s="877">
        <f t="shared" si="53"/>
        <v>64212</v>
      </c>
      <c r="BN14" s="878">
        <f t="shared" si="31"/>
        <v>502033</v>
      </c>
      <c r="BO14" s="885">
        <f t="shared" ref="BO14:BZ14" si="54">SUM(BO15:BO18)</f>
        <v>26708</v>
      </c>
      <c r="BP14" s="885">
        <f t="shared" si="54"/>
        <v>12889</v>
      </c>
      <c r="BQ14" s="885">
        <f t="shared" si="54"/>
        <v>5474</v>
      </c>
      <c r="BR14" s="885">
        <f t="shared" si="54"/>
        <v>15971</v>
      </c>
      <c r="BS14" s="885">
        <f t="shared" si="54"/>
        <v>3394</v>
      </c>
      <c r="BT14" s="885">
        <f t="shared" si="54"/>
        <v>1314</v>
      </c>
      <c r="BU14" s="885">
        <f t="shared" si="54"/>
        <v>12547</v>
      </c>
      <c r="BV14" s="885">
        <f t="shared" si="54"/>
        <v>29017</v>
      </c>
      <c r="BW14" s="885">
        <f t="shared" si="54"/>
        <v>28100</v>
      </c>
      <c r="BX14" s="885">
        <f t="shared" si="54"/>
        <v>40150</v>
      </c>
      <c r="BY14" s="885">
        <f t="shared" si="54"/>
        <v>48098</v>
      </c>
      <c r="BZ14" s="877">
        <f t="shared" si="54"/>
        <v>68399</v>
      </c>
      <c r="CA14" s="878">
        <f t="shared" si="33"/>
        <v>292061</v>
      </c>
      <c r="CB14" s="885">
        <f t="shared" ref="CB14:CM14" si="55">SUM(CB15:CB18)</f>
        <v>15226</v>
      </c>
      <c r="CC14" s="885">
        <f t="shared" si="55"/>
        <v>18901</v>
      </c>
      <c r="CD14" s="885">
        <f t="shared" si="55"/>
        <v>18632</v>
      </c>
      <c r="CE14" s="885">
        <f t="shared" si="55"/>
        <v>17504</v>
      </c>
      <c r="CF14" s="885">
        <f t="shared" si="55"/>
        <v>22546</v>
      </c>
      <c r="CG14" s="885">
        <f t="shared" si="55"/>
        <v>20465</v>
      </c>
      <c r="CH14" s="885">
        <f t="shared" si="55"/>
        <v>33855</v>
      </c>
      <c r="CI14" s="885">
        <f t="shared" si="55"/>
        <v>19131</v>
      </c>
      <c r="CJ14" s="885">
        <f t="shared" si="55"/>
        <v>25673</v>
      </c>
      <c r="CK14" s="885">
        <f t="shared" si="55"/>
        <v>17713</v>
      </c>
      <c r="CL14" s="885">
        <f t="shared" si="55"/>
        <v>19267</v>
      </c>
      <c r="CM14" s="877">
        <f t="shared" si="55"/>
        <v>60234</v>
      </c>
      <c r="CN14" s="878">
        <f t="shared" si="35"/>
        <v>289147</v>
      </c>
      <c r="CO14" s="885">
        <f t="shared" ref="CO14:CZ14" si="56">SUM(CO15:CO18)</f>
        <v>480</v>
      </c>
      <c r="CP14" s="885">
        <f t="shared" si="56"/>
        <v>29415</v>
      </c>
      <c r="CQ14" s="885">
        <f t="shared" si="56"/>
        <v>36441</v>
      </c>
      <c r="CR14" s="885">
        <f t="shared" si="56"/>
        <v>16076</v>
      </c>
      <c r="CS14" s="885">
        <f t="shared" si="56"/>
        <v>13798</v>
      </c>
      <c r="CT14" s="885">
        <f t="shared" si="56"/>
        <v>16732</v>
      </c>
      <c r="CU14" s="885">
        <f t="shared" si="56"/>
        <v>22256</v>
      </c>
      <c r="CV14" s="885">
        <f t="shared" si="56"/>
        <v>22012</v>
      </c>
      <c r="CW14" s="885">
        <f t="shared" si="56"/>
        <v>35283</v>
      </c>
      <c r="CX14" s="885">
        <f t="shared" si="56"/>
        <v>33007</v>
      </c>
      <c r="CY14" s="885">
        <f t="shared" si="56"/>
        <v>35413</v>
      </c>
      <c r="CZ14" s="877">
        <f t="shared" si="56"/>
        <v>47426</v>
      </c>
      <c r="DA14" s="878">
        <f t="shared" si="37"/>
        <v>308339</v>
      </c>
      <c r="DB14" s="885">
        <f t="shared" ref="DB14:DM14" si="57">SUM(DB15:DB18)</f>
        <v>1980</v>
      </c>
      <c r="DC14" s="885">
        <f t="shared" si="57"/>
        <v>15882</v>
      </c>
      <c r="DD14" s="885">
        <f t="shared" si="57"/>
        <v>16508</v>
      </c>
      <c r="DE14" s="885">
        <f t="shared" si="57"/>
        <v>17806</v>
      </c>
      <c r="DF14" s="885">
        <f t="shared" si="57"/>
        <v>26930</v>
      </c>
      <c r="DG14" s="885">
        <f t="shared" si="57"/>
        <v>35048</v>
      </c>
      <c r="DH14" s="885">
        <f t="shared" si="57"/>
        <v>35818</v>
      </c>
      <c r="DI14" s="885">
        <f t="shared" si="57"/>
        <v>35690</v>
      </c>
      <c r="DJ14" s="885">
        <f t="shared" si="57"/>
        <v>32347</v>
      </c>
      <c r="DK14" s="885">
        <f t="shared" si="57"/>
        <v>49140</v>
      </c>
      <c r="DL14" s="885">
        <f t="shared" si="57"/>
        <v>51296</v>
      </c>
      <c r="DM14" s="877">
        <f t="shared" si="57"/>
        <v>182546</v>
      </c>
      <c r="DN14" s="878">
        <f t="shared" si="39"/>
        <v>500991</v>
      </c>
      <c r="DO14" s="885">
        <f t="shared" ref="DO14:DZ14" si="58">SUM(DO15:DO18)</f>
        <v>12397</v>
      </c>
      <c r="DP14" s="885">
        <f t="shared" si="58"/>
        <v>28376</v>
      </c>
      <c r="DQ14" s="885">
        <f t="shared" si="58"/>
        <v>51150</v>
      </c>
      <c r="DR14" s="885">
        <f t="shared" si="58"/>
        <v>39105</v>
      </c>
      <c r="DS14" s="885">
        <f t="shared" si="58"/>
        <v>82875</v>
      </c>
      <c r="DT14" s="885">
        <f t="shared" si="58"/>
        <v>37504</v>
      </c>
      <c r="DU14" s="885">
        <f t="shared" si="58"/>
        <v>53422</v>
      </c>
      <c r="DV14" s="885">
        <f t="shared" si="58"/>
        <v>78749</v>
      </c>
      <c r="DW14" s="885">
        <f t="shared" si="58"/>
        <v>32049</v>
      </c>
      <c r="DX14" s="885">
        <f t="shared" si="58"/>
        <v>65103</v>
      </c>
      <c r="DY14" s="885">
        <f t="shared" si="58"/>
        <v>51608</v>
      </c>
      <c r="DZ14" s="877">
        <f t="shared" si="58"/>
        <v>55573</v>
      </c>
      <c r="EA14" s="878">
        <f t="shared" si="41"/>
        <v>587911</v>
      </c>
      <c r="EB14" s="885">
        <f t="shared" ref="EB14:EM14" si="59">SUM(EB15:EB18)</f>
        <v>8355</v>
      </c>
      <c r="EC14" s="885">
        <f t="shared" si="59"/>
        <v>38567</v>
      </c>
      <c r="ED14" s="885">
        <f t="shared" si="59"/>
        <v>21928</v>
      </c>
      <c r="EE14" s="885">
        <f t="shared" si="59"/>
        <v>33764</v>
      </c>
      <c r="EF14" s="885">
        <f t="shared" si="59"/>
        <v>41258</v>
      </c>
      <c r="EG14" s="885">
        <f t="shared" si="59"/>
        <v>37456</v>
      </c>
      <c r="EH14" s="885">
        <f t="shared" si="59"/>
        <v>37549</v>
      </c>
      <c r="EI14" s="885">
        <f t="shared" si="59"/>
        <v>37060</v>
      </c>
      <c r="EJ14" s="885">
        <f t="shared" si="59"/>
        <v>29299</v>
      </c>
      <c r="EK14" s="885">
        <f t="shared" si="59"/>
        <v>37834</v>
      </c>
      <c r="EL14" s="885">
        <f t="shared" si="59"/>
        <v>44901</v>
      </c>
      <c r="EM14" s="877">
        <f t="shared" si="59"/>
        <v>84107</v>
      </c>
      <c r="EN14" s="878">
        <f t="shared" si="44"/>
        <v>452078</v>
      </c>
      <c r="EO14" s="885">
        <f t="shared" ref="EO14:EV14" si="60">SUM(EO15:EO18)</f>
        <v>11981</v>
      </c>
      <c r="EP14" s="885">
        <f t="shared" si="60"/>
        <v>72385</v>
      </c>
      <c r="EQ14" s="885">
        <f t="shared" si="60"/>
        <v>24503</v>
      </c>
      <c r="ER14" s="885">
        <f t="shared" si="60"/>
        <v>57800</v>
      </c>
      <c r="ES14" s="885">
        <v>82610</v>
      </c>
      <c r="ET14" s="885">
        <f t="shared" si="60"/>
        <v>49316</v>
      </c>
      <c r="EU14" s="885">
        <f t="shared" si="60"/>
        <v>63293</v>
      </c>
      <c r="EV14" s="972">
        <f t="shared" si="60"/>
        <v>70807</v>
      </c>
      <c r="EW14" s="885"/>
      <c r="EX14" s="885"/>
      <c r="EY14" s="885"/>
      <c r="EZ14" s="877"/>
      <c r="FA14" s="878">
        <f t="shared" si="45"/>
        <v>432695</v>
      </c>
      <c r="FC14" s="851">
        <f t="shared" si="46"/>
        <v>91.060442525634102</v>
      </c>
      <c r="FD14" s="852">
        <f t="shared" si="47"/>
        <v>69.063089744741873</v>
      </c>
      <c r="FE14" s="853">
        <f t="shared" si="48"/>
        <v>255937</v>
      </c>
      <c r="FF14" s="854">
        <f t="shared" si="49"/>
        <v>432695</v>
      </c>
      <c r="FG14"/>
      <c r="FI14" s="236"/>
      <c r="FJ14"/>
      <c r="FK14"/>
      <c r="FL14"/>
      <c r="FM14"/>
      <c r="FN14"/>
      <c r="FO14"/>
      <c r="FP14"/>
    </row>
    <row r="15" spans="1:172" ht="15" customHeight="1" x14ac:dyDescent="0.25">
      <c r="A15" s="403" t="s">
        <v>378</v>
      </c>
      <c r="B15" s="883">
        <v>317</v>
      </c>
      <c r="C15" s="883">
        <v>7049</v>
      </c>
      <c r="D15" s="883">
        <v>25782</v>
      </c>
      <c r="E15" s="883">
        <v>4825</v>
      </c>
      <c r="F15" s="883">
        <v>19863</v>
      </c>
      <c r="G15" s="883">
        <v>24768</v>
      </c>
      <c r="H15" s="883">
        <v>3547</v>
      </c>
      <c r="I15" s="883">
        <v>9413</v>
      </c>
      <c r="J15" s="883">
        <v>5938</v>
      </c>
      <c r="K15" s="883">
        <v>12403</v>
      </c>
      <c r="L15" s="883">
        <v>9599</v>
      </c>
      <c r="M15" s="873">
        <v>33745</v>
      </c>
      <c r="N15" s="879">
        <f t="shared" si="24"/>
        <v>157249</v>
      </c>
      <c r="O15" s="883">
        <v>3679</v>
      </c>
      <c r="P15" s="883">
        <v>5674</v>
      </c>
      <c r="Q15" s="883">
        <v>5844</v>
      </c>
      <c r="R15" s="883">
        <v>4667</v>
      </c>
      <c r="S15" s="883">
        <v>33760</v>
      </c>
      <c r="T15" s="883">
        <v>21030</v>
      </c>
      <c r="U15" s="883">
        <v>56465</v>
      </c>
      <c r="V15" s="883">
        <v>3000</v>
      </c>
      <c r="W15" s="883">
        <v>7737</v>
      </c>
      <c r="X15" s="883">
        <v>18150</v>
      </c>
      <c r="Y15" s="883">
        <v>4887</v>
      </c>
      <c r="Z15" s="873">
        <v>72427</v>
      </c>
      <c r="AA15" s="879">
        <f t="shared" si="26"/>
        <v>237320</v>
      </c>
      <c r="AB15" s="883">
        <v>436</v>
      </c>
      <c r="AC15" s="883">
        <v>3495</v>
      </c>
      <c r="AD15" s="883">
        <v>23052</v>
      </c>
      <c r="AE15" s="883">
        <v>25035</v>
      </c>
      <c r="AF15" s="883">
        <v>16081</v>
      </c>
      <c r="AG15" s="883">
        <v>17652</v>
      </c>
      <c r="AH15" s="883">
        <v>11744</v>
      </c>
      <c r="AI15" s="883">
        <v>55219</v>
      </c>
      <c r="AJ15" s="883">
        <v>19010</v>
      </c>
      <c r="AK15" s="883">
        <v>19556</v>
      </c>
      <c r="AL15" s="883">
        <v>20452</v>
      </c>
      <c r="AM15" s="873">
        <v>71730</v>
      </c>
      <c r="AN15" s="879">
        <f t="shared" si="27"/>
        <v>283462</v>
      </c>
      <c r="AO15" s="883">
        <v>429</v>
      </c>
      <c r="AP15" s="883">
        <v>3239</v>
      </c>
      <c r="AQ15" s="883">
        <v>5346</v>
      </c>
      <c r="AR15" s="883">
        <v>26667</v>
      </c>
      <c r="AS15" s="883">
        <v>21978</v>
      </c>
      <c r="AT15" s="883">
        <v>12212</v>
      </c>
      <c r="AU15" s="883">
        <v>21182</v>
      </c>
      <c r="AV15" s="883">
        <v>28947</v>
      </c>
      <c r="AW15" s="883">
        <v>22150</v>
      </c>
      <c r="AX15" s="883">
        <v>10858</v>
      </c>
      <c r="AY15" s="883">
        <v>56282</v>
      </c>
      <c r="AZ15" s="873">
        <v>13428</v>
      </c>
      <c r="BA15" s="879">
        <f t="shared" si="29"/>
        <v>222718</v>
      </c>
      <c r="BB15" s="883">
        <v>93033</v>
      </c>
      <c r="BC15" s="883">
        <v>25423</v>
      </c>
      <c r="BD15" s="883">
        <v>15266</v>
      </c>
      <c r="BE15" s="883">
        <v>2707</v>
      </c>
      <c r="BF15" s="883">
        <v>36698</v>
      </c>
      <c r="BG15" s="883">
        <v>30739</v>
      </c>
      <c r="BH15" s="883">
        <v>33496</v>
      </c>
      <c r="BI15" s="883">
        <v>49572</v>
      </c>
      <c r="BJ15" s="883">
        <v>46059</v>
      </c>
      <c r="BK15" s="883">
        <v>62233</v>
      </c>
      <c r="BL15" s="883">
        <v>42595</v>
      </c>
      <c r="BM15" s="873">
        <v>64212</v>
      </c>
      <c r="BN15" s="879">
        <f t="shared" si="31"/>
        <v>502033</v>
      </c>
      <c r="BO15" s="883">
        <v>26708</v>
      </c>
      <c r="BP15" s="883">
        <v>12889</v>
      </c>
      <c r="BQ15" s="883">
        <v>5474</v>
      </c>
      <c r="BR15" s="883">
        <v>15971</v>
      </c>
      <c r="BS15" s="883">
        <v>3394</v>
      </c>
      <c r="BT15" s="883">
        <v>1314</v>
      </c>
      <c r="BU15" s="883">
        <v>12547</v>
      </c>
      <c r="BV15" s="883">
        <v>29017</v>
      </c>
      <c r="BW15" s="883">
        <v>28100</v>
      </c>
      <c r="BX15" s="883">
        <v>40150</v>
      </c>
      <c r="BY15" s="883">
        <v>48098</v>
      </c>
      <c r="BZ15" s="873">
        <v>68399</v>
      </c>
      <c r="CA15" s="879">
        <f t="shared" si="33"/>
        <v>292061</v>
      </c>
      <c r="CB15" s="883">
        <v>15226</v>
      </c>
      <c r="CC15" s="883">
        <v>18901</v>
      </c>
      <c r="CD15" s="883">
        <v>18632</v>
      </c>
      <c r="CE15" s="883">
        <v>17504</v>
      </c>
      <c r="CF15" s="883">
        <v>22546</v>
      </c>
      <c r="CG15" s="883">
        <v>20465</v>
      </c>
      <c r="CH15" s="883">
        <v>33855</v>
      </c>
      <c r="CI15" s="883">
        <v>19131</v>
      </c>
      <c r="CJ15" s="883">
        <v>25673</v>
      </c>
      <c r="CK15" s="883">
        <v>17713</v>
      </c>
      <c r="CL15" s="883">
        <v>19267</v>
      </c>
      <c r="CM15" s="873">
        <v>60234</v>
      </c>
      <c r="CN15" s="879">
        <f t="shared" si="35"/>
        <v>289147</v>
      </c>
      <c r="CO15" s="883">
        <v>480</v>
      </c>
      <c r="CP15" s="883">
        <v>29415</v>
      </c>
      <c r="CQ15" s="883">
        <v>36441</v>
      </c>
      <c r="CR15" s="883">
        <v>16076</v>
      </c>
      <c r="CS15" s="883">
        <v>13798</v>
      </c>
      <c r="CT15" s="883">
        <v>16732</v>
      </c>
      <c r="CU15" s="883">
        <v>22256</v>
      </c>
      <c r="CV15" s="883">
        <v>22012</v>
      </c>
      <c r="CW15" s="883">
        <v>31044</v>
      </c>
      <c r="CX15" s="883">
        <v>33007</v>
      </c>
      <c r="CY15" s="883">
        <v>35413</v>
      </c>
      <c r="CZ15" s="873">
        <v>47055</v>
      </c>
      <c r="DA15" s="879">
        <f t="shared" si="37"/>
        <v>303729</v>
      </c>
      <c r="DB15" s="883">
        <v>1980</v>
      </c>
      <c r="DC15" s="883">
        <v>15882</v>
      </c>
      <c r="DD15" s="883">
        <v>16508</v>
      </c>
      <c r="DE15" s="883">
        <v>17806</v>
      </c>
      <c r="DF15" s="883">
        <v>26930</v>
      </c>
      <c r="DG15" s="883">
        <v>35048</v>
      </c>
      <c r="DH15" s="883">
        <v>35818</v>
      </c>
      <c r="DI15" s="883">
        <v>35690</v>
      </c>
      <c r="DJ15" s="883">
        <v>32347</v>
      </c>
      <c r="DK15" s="883">
        <v>49140</v>
      </c>
      <c r="DL15" s="883">
        <v>51296</v>
      </c>
      <c r="DM15" s="873">
        <v>182546</v>
      </c>
      <c r="DN15" s="879">
        <f t="shared" si="39"/>
        <v>500991</v>
      </c>
      <c r="DO15" s="883">
        <v>12397</v>
      </c>
      <c r="DP15" s="883">
        <v>28376</v>
      </c>
      <c r="DQ15" s="883">
        <v>51150</v>
      </c>
      <c r="DR15" s="883">
        <v>39105</v>
      </c>
      <c r="DS15" s="883">
        <v>82696</v>
      </c>
      <c r="DT15" s="883">
        <v>37504</v>
      </c>
      <c r="DU15" s="883">
        <v>53422</v>
      </c>
      <c r="DV15" s="883">
        <v>78749</v>
      </c>
      <c r="DW15" s="883">
        <v>32049</v>
      </c>
      <c r="DX15" s="883">
        <v>65103</v>
      </c>
      <c r="DY15" s="883">
        <v>51608</v>
      </c>
      <c r="DZ15" s="873">
        <v>55573</v>
      </c>
      <c r="EA15" s="879">
        <f t="shared" si="41"/>
        <v>587732</v>
      </c>
      <c r="EB15" s="883">
        <v>8355</v>
      </c>
      <c r="EC15" s="883">
        <v>38567</v>
      </c>
      <c r="ED15" s="883">
        <v>21928</v>
      </c>
      <c r="EE15" s="883">
        <v>33764</v>
      </c>
      <c r="EF15" s="883">
        <v>41258</v>
      </c>
      <c r="EG15" s="883">
        <v>37456</v>
      </c>
      <c r="EH15" s="883">
        <v>37549</v>
      </c>
      <c r="EI15" s="883">
        <v>37060</v>
      </c>
      <c r="EJ15" s="883">
        <v>29299</v>
      </c>
      <c r="EK15" s="883">
        <v>37834</v>
      </c>
      <c r="EL15" s="883">
        <v>44901</v>
      </c>
      <c r="EM15" s="873">
        <v>84107</v>
      </c>
      <c r="EN15" s="879">
        <f t="shared" si="44"/>
        <v>452078</v>
      </c>
      <c r="EO15" s="883">
        <v>11981</v>
      </c>
      <c r="EP15" s="883">
        <v>72222</v>
      </c>
      <c r="EQ15" s="883">
        <v>24503</v>
      </c>
      <c r="ER15" s="883">
        <v>57800</v>
      </c>
      <c r="ES15" s="883">
        <v>82610</v>
      </c>
      <c r="ET15" s="883">
        <v>49316</v>
      </c>
      <c r="EU15" s="883">
        <v>60508</v>
      </c>
      <c r="EV15" s="973">
        <v>70807</v>
      </c>
      <c r="EW15" s="883"/>
      <c r="EX15" s="883"/>
      <c r="EY15" s="883"/>
      <c r="EZ15" s="873"/>
      <c r="FA15" s="879">
        <f t="shared" si="45"/>
        <v>429747</v>
      </c>
      <c r="FC15" s="843">
        <f t="shared" si="46"/>
        <v>91.060442525634102</v>
      </c>
      <c r="FD15" s="844">
        <f t="shared" si="47"/>
        <v>67.911243782649635</v>
      </c>
      <c r="FE15" s="845">
        <f t="shared" si="48"/>
        <v>255937</v>
      </c>
      <c r="FF15" s="846">
        <f t="shared" si="49"/>
        <v>429747</v>
      </c>
      <c r="FI15" s="127"/>
    </row>
    <row r="16" spans="1:172" ht="15" customHeight="1" x14ac:dyDescent="0.25">
      <c r="A16" s="403" t="s">
        <v>379</v>
      </c>
      <c r="B16" s="883"/>
      <c r="C16" s="883"/>
      <c r="D16" s="883"/>
      <c r="E16" s="883"/>
      <c r="F16" s="883"/>
      <c r="G16" s="883"/>
      <c r="H16" s="883"/>
      <c r="I16" s="883"/>
      <c r="J16" s="883"/>
      <c r="K16" s="883"/>
      <c r="L16" s="883"/>
      <c r="M16" s="873"/>
      <c r="N16" s="879">
        <f t="shared" si="24"/>
        <v>0</v>
      </c>
      <c r="O16" s="883"/>
      <c r="P16" s="883"/>
      <c r="Q16" s="883"/>
      <c r="R16" s="883"/>
      <c r="S16" s="883"/>
      <c r="T16" s="883"/>
      <c r="U16" s="883"/>
      <c r="V16" s="883"/>
      <c r="W16" s="883"/>
      <c r="X16" s="883"/>
      <c r="Y16" s="883"/>
      <c r="Z16" s="873"/>
      <c r="AA16" s="879">
        <f t="shared" si="26"/>
        <v>0</v>
      </c>
      <c r="AB16" s="883"/>
      <c r="AC16" s="883"/>
      <c r="AD16" s="883"/>
      <c r="AE16" s="883"/>
      <c r="AF16" s="883"/>
      <c r="AG16" s="883"/>
      <c r="AH16" s="883"/>
      <c r="AI16" s="883"/>
      <c r="AJ16" s="883"/>
      <c r="AK16" s="883"/>
      <c r="AL16" s="883"/>
      <c r="AM16" s="873"/>
      <c r="AN16" s="879">
        <f t="shared" si="27"/>
        <v>0</v>
      </c>
      <c r="AO16" s="883"/>
      <c r="AP16" s="883"/>
      <c r="AQ16" s="883"/>
      <c r="AR16" s="883"/>
      <c r="AS16" s="883"/>
      <c r="AT16" s="883"/>
      <c r="AU16" s="883"/>
      <c r="AV16" s="883"/>
      <c r="AW16" s="883"/>
      <c r="AX16" s="883"/>
      <c r="AY16" s="883"/>
      <c r="AZ16" s="873"/>
      <c r="BA16" s="879">
        <f t="shared" si="29"/>
        <v>0</v>
      </c>
      <c r="BB16" s="883"/>
      <c r="BC16" s="883"/>
      <c r="BD16" s="883"/>
      <c r="BE16" s="883"/>
      <c r="BF16" s="883"/>
      <c r="BG16" s="883"/>
      <c r="BH16" s="883"/>
      <c r="BI16" s="883"/>
      <c r="BJ16" s="883"/>
      <c r="BK16" s="883"/>
      <c r="BL16" s="883"/>
      <c r="BM16" s="873"/>
      <c r="BN16" s="879">
        <f t="shared" si="31"/>
        <v>0</v>
      </c>
      <c r="BO16" s="883"/>
      <c r="BP16" s="883"/>
      <c r="BQ16" s="883"/>
      <c r="BR16" s="883"/>
      <c r="BS16" s="883"/>
      <c r="BT16" s="883"/>
      <c r="BU16" s="883"/>
      <c r="BV16" s="883"/>
      <c r="BW16" s="883"/>
      <c r="BX16" s="883"/>
      <c r="BY16" s="883"/>
      <c r="BZ16" s="873"/>
      <c r="CA16" s="879">
        <f t="shared" si="33"/>
        <v>0</v>
      </c>
      <c r="CB16" s="883"/>
      <c r="CC16" s="883"/>
      <c r="CD16" s="883"/>
      <c r="CE16" s="883"/>
      <c r="CF16" s="883"/>
      <c r="CG16" s="883"/>
      <c r="CH16" s="883"/>
      <c r="CI16" s="883"/>
      <c r="CJ16" s="883"/>
      <c r="CK16" s="883"/>
      <c r="CL16" s="883"/>
      <c r="CM16" s="873"/>
      <c r="CN16" s="879">
        <f t="shared" si="35"/>
        <v>0</v>
      </c>
      <c r="CO16" s="883"/>
      <c r="CP16" s="883"/>
      <c r="CQ16" s="883"/>
      <c r="CR16" s="883"/>
      <c r="CS16" s="883"/>
      <c r="CT16" s="883"/>
      <c r="CU16" s="883"/>
      <c r="CV16" s="883"/>
      <c r="CW16" s="883"/>
      <c r="CX16" s="883"/>
      <c r="CY16" s="883"/>
      <c r="CZ16" s="873"/>
      <c r="DA16" s="879">
        <f t="shared" si="37"/>
        <v>0</v>
      </c>
      <c r="DB16" s="883"/>
      <c r="DC16" s="883"/>
      <c r="DD16" s="883"/>
      <c r="DE16" s="883"/>
      <c r="DF16" s="883"/>
      <c r="DG16" s="883"/>
      <c r="DH16" s="883"/>
      <c r="DI16" s="883"/>
      <c r="DJ16" s="883"/>
      <c r="DK16" s="883"/>
      <c r="DL16" s="883"/>
      <c r="DM16" s="873"/>
      <c r="DN16" s="879">
        <f t="shared" si="39"/>
        <v>0</v>
      </c>
      <c r="DO16" s="883"/>
      <c r="DP16" s="883"/>
      <c r="DQ16" s="883"/>
      <c r="DR16" s="883"/>
      <c r="DS16" s="883"/>
      <c r="DT16" s="883"/>
      <c r="DU16" s="883"/>
      <c r="DV16" s="883"/>
      <c r="DW16" s="883"/>
      <c r="DX16" s="883"/>
      <c r="DY16" s="883"/>
      <c r="DZ16" s="873"/>
      <c r="EA16" s="879">
        <f t="shared" si="41"/>
        <v>0</v>
      </c>
      <c r="EB16" s="883">
        <v>0</v>
      </c>
      <c r="EC16" s="883">
        <v>0</v>
      </c>
      <c r="ED16" s="883">
        <v>0</v>
      </c>
      <c r="EE16" s="883">
        <v>0</v>
      </c>
      <c r="EF16" s="883">
        <v>0</v>
      </c>
      <c r="EG16" s="883">
        <v>0</v>
      </c>
      <c r="EH16" s="883">
        <v>0</v>
      </c>
      <c r="EI16" s="883">
        <v>0</v>
      </c>
      <c r="EJ16" s="883">
        <v>0</v>
      </c>
      <c r="EK16" s="883">
        <v>0</v>
      </c>
      <c r="EL16" s="883">
        <v>0</v>
      </c>
      <c r="EM16" s="873">
        <v>0</v>
      </c>
      <c r="EN16" s="879">
        <f>SUM(EB16:EM16)</f>
        <v>0</v>
      </c>
      <c r="EO16" s="883">
        <v>0</v>
      </c>
      <c r="EP16" s="883">
        <v>0</v>
      </c>
      <c r="EQ16" s="883">
        <v>0</v>
      </c>
      <c r="ER16" s="883">
        <v>0</v>
      </c>
      <c r="ES16" s="883">
        <v>0</v>
      </c>
      <c r="ET16" s="883">
        <v>0</v>
      </c>
      <c r="EU16" s="883">
        <v>0</v>
      </c>
      <c r="EV16" s="973">
        <v>0</v>
      </c>
      <c r="EW16" s="883"/>
      <c r="EX16" s="883"/>
      <c r="EY16" s="883"/>
      <c r="EZ16" s="873"/>
      <c r="FA16" s="879">
        <f>SUM(EO16:EZ16)</f>
        <v>0</v>
      </c>
      <c r="FC16" s="843" t="str">
        <f t="shared" si="46"/>
        <v/>
      </c>
      <c r="FD16" s="844" t="str">
        <f t="shared" si="47"/>
        <v/>
      </c>
      <c r="FE16" s="845">
        <f t="shared" si="48"/>
        <v>0</v>
      </c>
      <c r="FF16" s="846">
        <f t="shared" si="49"/>
        <v>0</v>
      </c>
      <c r="FI16" s="127"/>
    </row>
    <row r="17" spans="1:172" ht="15" customHeight="1" x14ac:dyDescent="0.25">
      <c r="A17" s="403" t="s">
        <v>376</v>
      </c>
      <c r="B17" s="883"/>
      <c r="C17" s="883"/>
      <c r="D17" s="883"/>
      <c r="E17" s="883"/>
      <c r="F17" s="883">
        <v>2000</v>
      </c>
      <c r="G17" s="883">
        <v>1534</v>
      </c>
      <c r="H17" s="883"/>
      <c r="I17" s="883"/>
      <c r="J17" s="883"/>
      <c r="K17" s="883"/>
      <c r="L17" s="883"/>
      <c r="M17" s="873"/>
      <c r="N17" s="879">
        <f t="shared" si="24"/>
        <v>3534</v>
      </c>
      <c r="O17" s="883"/>
      <c r="P17" s="883"/>
      <c r="Q17" s="883"/>
      <c r="R17" s="883"/>
      <c r="S17" s="883"/>
      <c r="T17" s="883"/>
      <c r="U17" s="883"/>
      <c r="V17" s="883"/>
      <c r="W17" s="883"/>
      <c r="X17" s="883"/>
      <c r="Y17" s="883"/>
      <c r="Z17" s="873"/>
      <c r="AA17" s="879">
        <f t="shared" si="26"/>
        <v>0</v>
      </c>
      <c r="AB17" s="883"/>
      <c r="AC17" s="883">
        <v>70</v>
      </c>
      <c r="AD17" s="883"/>
      <c r="AE17" s="883"/>
      <c r="AF17" s="883">
        <v>430</v>
      </c>
      <c r="AG17" s="883"/>
      <c r="AH17" s="883">
        <v>500</v>
      </c>
      <c r="AI17" s="883"/>
      <c r="AJ17" s="883"/>
      <c r="AK17" s="883"/>
      <c r="AL17" s="883"/>
      <c r="AM17" s="873">
        <v>2000</v>
      </c>
      <c r="AN17" s="879">
        <f t="shared" si="27"/>
        <v>3000</v>
      </c>
      <c r="AO17" s="883"/>
      <c r="AP17" s="883"/>
      <c r="AQ17" s="883"/>
      <c r="AR17" s="883">
        <v>500</v>
      </c>
      <c r="AS17" s="883">
        <v>600</v>
      </c>
      <c r="AT17" s="883"/>
      <c r="AU17" s="883"/>
      <c r="AV17" s="883"/>
      <c r="AW17" s="883"/>
      <c r="AX17" s="883"/>
      <c r="AY17" s="883"/>
      <c r="AZ17" s="873"/>
      <c r="BA17" s="879">
        <f t="shared" si="29"/>
        <v>1100</v>
      </c>
      <c r="BB17" s="883"/>
      <c r="BC17" s="883"/>
      <c r="BD17" s="883"/>
      <c r="BE17" s="883"/>
      <c r="BF17" s="883"/>
      <c r="BG17" s="883"/>
      <c r="BH17" s="883"/>
      <c r="BI17" s="883"/>
      <c r="BJ17" s="883"/>
      <c r="BK17" s="883"/>
      <c r="BL17" s="883"/>
      <c r="BM17" s="873"/>
      <c r="BN17" s="879">
        <f t="shared" si="31"/>
        <v>0</v>
      </c>
      <c r="BO17" s="883"/>
      <c r="BP17" s="883"/>
      <c r="BQ17" s="883"/>
      <c r="BR17" s="883"/>
      <c r="BS17" s="883"/>
      <c r="BT17" s="883"/>
      <c r="BU17" s="883"/>
      <c r="BV17" s="883"/>
      <c r="BW17" s="883"/>
      <c r="BX17" s="883"/>
      <c r="BY17" s="883"/>
      <c r="BZ17" s="873"/>
      <c r="CA17" s="879">
        <f t="shared" si="33"/>
        <v>0</v>
      </c>
      <c r="CB17" s="883"/>
      <c r="CC17" s="883"/>
      <c r="CD17" s="883"/>
      <c r="CE17" s="883"/>
      <c r="CF17" s="883"/>
      <c r="CG17" s="883"/>
      <c r="CH17" s="883"/>
      <c r="CI17" s="883"/>
      <c r="CJ17" s="883"/>
      <c r="CK17" s="883"/>
      <c r="CL17" s="883"/>
      <c r="CM17" s="873"/>
      <c r="CN17" s="879">
        <f t="shared" si="35"/>
        <v>0</v>
      </c>
      <c r="CO17" s="883"/>
      <c r="CP17" s="883"/>
      <c r="CQ17" s="883"/>
      <c r="CR17" s="883"/>
      <c r="CS17" s="883"/>
      <c r="CT17" s="883"/>
      <c r="CU17" s="883"/>
      <c r="CV17" s="883"/>
      <c r="CW17" s="883">
        <v>4239</v>
      </c>
      <c r="CX17" s="883"/>
      <c r="CY17" s="883"/>
      <c r="CZ17" s="873">
        <v>371</v>
      </c>
      <c r="DA17" s="879">
        <f t="shared" si="37"/>
        <v>4610</v>
      </c>
      <c r="DB17" s="883"/>
      <c r="DC17" s="883"/>
      <c r="DD17" s="883"/>
      <c r="DE17" s="883"/>
      <c r="DF17" s="883"/>
      <c r="DG17" s="883"/>
      <c r="DH17" s="883"/>
      <c r="DI17" s="883"/>
      <c r="DJ17" s="883"/>
      <c r="DK17" s="883"/>
      <c r="DL17" s="883"/>
      <c r="DM17" s="873"/>
      <c r="DN17" s="879">
        <f t="shared" si="39"/>
        <v>0</v>
      </c>
      <c r="DO17" s="883"/>
      <c r="DP17" s="883"/>
      <c r="DQ17" s="883"/>
      <c r="DR17" s="883"/>
      <c r="DS17" s="883">
        <v>179</v>
      </c>
      <c r="DT17" s="883"/>
      <c r="DU17" s="883"/>
      <c r="DV17" s="883"/>
      <c r="DW17" s="883"/>
      <c r="DX17" s="883"/>
      <c r="DY17" s="883"/>
      <c r="DZ17" s="873"/>
      <c r="EA17" s="879">
        <f t="shared" si="41"/>
        <v>179</v>
      </c>
      <c r="EB17" s="883">
        <v>0</v>
      </c>
      <c r="EC17" s="883">
        <v>0</v>
      </c>
      <c r="ED17" s="883">
        <v>0</v>
      </c>
      <c r="EE17" s="883">
        <v>0</v>
      </c>
      <c r="EF17" s="883">
        <v>0</v>
      </c>
      <c r="EG17" s="883">
        <v>0</v>
      </c>
      <c r="EH17" s="883">
        <v>0</v>
      </c>
      <c r="EI17" s="883">
        <v>0</v>
      </c>
      <c r="EJ17" s="883">
        <v>0</v>
      </c>
      <c r="EK17" s="883">
        <v>0</v>
      </c>
      <c r="EL17" s="883">
        <v>0</v>
      </c>
      <c r="EM17" s="873">
        <v>0</v>
      </c>
      <c r="EN17" s="879">
        <f t="shared" ref="EN17:EN21" si="61">SUM(EB17:EM17)</f>
        <v>0</v>
      </c>
      <c r="EO17" s="883">
        <v>0</v>
      </c>
      <c r="EP17" s="883">
        <v>0</v>
      </c>
      <c r="EQ17" s="883">
        <v>0</v>
      </c>
      <c r="ER17" s="883">
        <v>0</v>
      </c>
      <c r="ES17" s="883">
        <v>0</v>
      </c>
      <c r="ET17" s="883">
        <v>0</v>
      </c>
      <c r="EU17" s="883">
        <v>2785</v>
      </c>
      <c r="EV17" s="973">
        <v>0</v>
      </c>
      <c r="EW17" s="883"/>
      <c r="EX17" s="883"/>
      <c r="EY17" s="883"/>
      <c r="EZ17" s="873"/>
      <c r="FA17" s="879">
        <f t="shared" si="45"/>
        <v>2785</v>
      </c>
      <c r="FC17" s="843" t="str">
        <f t="shared" si="46"/>
        <v/>
      </c>
      <c r="FD17" s="844" t="str">
        <f t="shared" si="47"/>
        <v/>
      </c>
      <c r="FE17" s="845">
        <f t="shared" si="48"/>
        <v>0</v>
      </c>
      <c r="FF17" s="846">
        <f t="shared" si="49"/>
        <v>2785</v>
      </c>
      <c r="FI17" s="127"/>
    </row>
    <row r="18" spans="1:172" ht="15" customHeight="1" x14ac:dyDescent="0.25">
      <c r="A18" s="403" t="s">
        <v>377</v>
      </c>
      <c r="B18" s="883"/>
      <c r="C18" s="883"/>
      <c r="D18" s="883"/>
      <c r="E18" s="883"/>
      <c r="F18" s="883"/>
      <c r="G18" s="883"/>
      <c r="H18" s="883"/>
      <c r="I18" s="883">
        <v>350</v>
      </c>
      <c r="J18" s="883"/>
      <c r="K18" s="883"/>
      <c r="L18" s="883"/>
      <c r="M18" s="873"/>
      <c r="N18" s="879">
        <f t="shared" si="24"/>
        <v>350</v>
      </c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73"/>
      <c r="AA18" s="879">
        <f t="shared" si="26"/>
        <v>0</v>
      </c>
      <c r="AB18" s="883"/>
      <c r="AC18" s="883"/>
      <c r="AD18" s="883"/>
      <c r="AE18" s="883"/>
      <c r="AF18" s="883"/>
      <c r="AG18" s="883"/>
      <c r="AH18" s="883"/>
      <c r="AI18" s="883"/>
      <c r="AJ18" s="883"/>
      <c r="AK18" s="883"/>
      <c r="AL18" s="883"/>
      <c r="AM18" s="873"/>
      <c r="AN18" s="879">
        <f t="shared" si="27"/>
        <v>0</v>
      </c>
      <c r="AO18" s="883"/>
      <c r="AP18" s="883"/>
      <c r="AQ18" s="883"/>
      <c r="AR18" s="883"/>
      <c r="AS18" s="883"/>
      <c r="AT18" s="883"/>
      <c r="AU18" s="883"/>
      <c r="AV18" s="883"/>
      <c r="AW18" s="883"/>
      <c r="AX18" s="883"/>
      <c r="AY18" s="883"/>
      <c r="AZ18" s="873"/>
      <c r="BA18" s="879">
        <f t="shared" si="29"/>
        <v>0</v>
      </c>
      <c r="BB18" s="883"/>
      <c r="BC18" s="883"/>
      <c r="BD18" s="883"/>
      <c r="BE18" s="883"/>
      <c r="BF18" s="883"/>
      <c r="BG18" s="883"/>
      <c r="BH18" s="883"/>
      <c r="BI18" s="883"/>
      <c r="BJ18" s="883"/>
      <c r="BK18" s="883"/>
      <c r="BL18" s="883"/>
      <c r="BM18" s="873"/>
      <c r="BN18" s="879">
        <f t="shared" si="31"/>
        <v>0</v>
      </c>
      <c r="BO18" s="883"/>
      <c r="BP18" s="883"/>
      <c r="BQ18" s="883"/>
      <c r="BR18" s="883"/>
      <c r="BS18" s="883"/>
      <c r="BT18" s="883"/>
      <c r="BU18" s="883"/>
      <c r="BV18" s="883"/>
      <c r="BW18" s="883"/>
      <c r="BX18" s="883"/>
      <c r="BY18" s="883"/>
      <c r="BZ18" s="873"/>
      <c r="CA18" s="879">
        <f t="shared" si="33"/>
        <v>0</v>
      </c>
      <c r="CB18" s="883"/>
      <c r="CC18" s="883"/>
      <c r="CD18" s="883"/>
      <c r="CE18" s="883"/>
      <c r="CF18" s="883"/>
      <c r="CG18" s="883"/>
      <c r="CH18" s="883"/>
      <c r="CI18" s="883"/>
      <c r="CJ18" s="883"/>
      <c r="CK18" s="883"/>
      <c r="CL18" s="883"/>
      <c r="CM18" s="873"/>
      <c r="CN18" s="879">
        <f t="shared" si="35"/>
        <v>0</v>
      </c>
      <c r="CO18" s="883"/>
      <c r="CP18" s="883"/>
      <c r="CQ18" s="883"/>
      <c r="CR18" s="883"/>
      <c r="CS18" s="883"/>
      <c r="CT18" s="883"/>
      <c r="CU18" s="883"/>
      <c r="CV18" s="883"/>
      <c r="CW18" s="883"/>
      <c r="CX18" s="883"/>
      <c r="CY18" s="883"/>
      <c r="CZ18" s="873"/>
      <c r="DA18" s="879">
        <f t="shared" si="37"/>
        <v>0</v>
      </c>
      <c r="DB18" s="883"/>
      <c r="DC18" s="883"/>
      <c r="DD18" s="883"/>
      <c r="DE18" s="883"/>
      <c r="DF18" s="883"/>
      <c r="DG18" s="883"/>
      <c r="DH18" s="883"/>
      <c r="DI18" s="883"/>
      <c r="DJ18" s="883"/>
      <c r="DK18" s="883"/>
      <c r="DL18" s="883"/>
      <c r="DM18" s="873"/>
      <c r="DN18" s="879">
        <f t="shared" si="39"/>
        <v>0</v>
      </c>
      <c r="DO18" s="883"/>
      <c r="DP18" s="883"/>
      <c r="DQ18" s="883"/>
      <c r="DR18" s="883"/>
      <c r="DS18" s="883"/>
      <c r="DT18" s="883"/>
      <c r="DU18" s="883"/>
      <c r="DV18" s="883"/>
      <c r="DW18" s="883"/>
      <c r="DX18" s="883"/>
      <c r="DY18" s="883"/>
      <c r="DZ18" s="873"/>
      <c r="EA18" s="879">
        <f t="shared" si="41"/>
        <v>0</v>
      </c>
      <c r="EB18" s="883">
        <v>0</v>
      </c>
      <c r="EC18" s="883">
        <v>0</v>
      </c>
      <c r="ED18" s="883">
        <v>0</v>
      </c>
      <c r="EE18" s="883">
        <v>0</v>
      </c>
      <c r="EF18" s="883">
        <v>0</v>
      </c>
      <c r="EG18" s="883">
        <v>0</v>
      </c>
      <c r="EH18" s="883">
        <v>0</v>
      </c>
      <c r="EI18" s="883">
        <v>0</v>
      </c>
      <c r="EJ18" s="883">
        <v>0</v>
      </c>
      <c r="EK18" s="883">
        <v>0</v>
      </c>
      <c r="EL18" s="883">
        <v>0</v>
      </c>
      <c r="EM18" s="873">
        <v>0</v>
      </c>
      <c r="EN18" s="879">
        <f t="shared" si="61"/>
        <v>0</v>
      </c>
      <c r="EO18" s="883">
        <v>0</v>
      </c>
      <c r="EP18" s="883">
        <v>163</v>
      </c>
      <c r="EQ18" s="883">
        <v>0</v>
      </c>
      <c r="ER18" s="883">
        <v>0</v>
      </c>
      <c r="ES18" s="883">
        <v>0</v>
      </c>
      <c r="ET18" s="883">
        <v>0</v>
      </c>
      <c r="EU18" s="883">
        <v>0</v>
      </c>
      <c r="EV18" s="973">
        <v>0</v>
      </c>
      <c r="EW18" s="883"/>
      <c r="EX18" s="883"/>
      <c r="EY18" s="883"/>
      <c r="EZ18" s="873"/>
      <c r="FA18" s="879">
        <f t="shared" si="45"/>
        <v>163</v>
      </c>
      <c r="FC18" s="843" t="str">
        <f t="shared" si="46"/>
        <v/>
      </c>
      <c r="FD18" s="844" t="str">
        <f t="shared" si="47"/>
        <v/>
      </c>
      <c r="FE18" s="845">
        <f t="shared" si="48"/>
        <v>0</v>
      </c>
      <c r="FF18" s="846">
        <f t="shared" si="49"/>
        <v>163</v>
      </c>
      <c r="FI18" s="127"/>
    </row>
    <row r="19" spans="1:172" s="110" customFormat="1" ht="15" customHeight="1" x14ac:dyDescent="0.25">
      <c r="A19" s="440" t="s">
        <v>380</v>
      </c>
      <c r="B19" s="885">
        <f t="shared" ref="B19:M19" si="62">SUM(B20:B21)</f>
        <v>0</v>
      </c>
      <c r="C19" s="885">
        <f t="shared" si="62"/>
        <v>0</v>
      </c>
      <c r="D19" s="885">
        <f t="shared" si="62"/>
        <v>0</v>
      </c>
      <c r="E19" s="885">
        <f t="shared" si="62"/>
        <v>0</v>
      </c>
      <c r="F19" s="885">
        <f t="shared" si="62"/>
        <v>0</v>
      </c>
      <c r="G19" s="885">
        <f t="shared" si="62"/>
        <v>0</v>
      </c>
      <c r="H19" s="885">
        <f t="shared" si="62"/>
        <v>0</v>
      </c>
      <c r="I19" s="885">
        <f t="shared" si="62"/>
        <v>0</v>
      </c>
      <c r="J19" s="885">
        <f t="shared" si="62"/>
        <v>0</v>
      </c>
      <c r="K19" s="885">
        <f t="shared" si="62"/>
        <v>0</v>
      </c>
      <c r="L19" s="885">
        <f t="shared" si="62"/>
        <v>0</v>
      </c>
      <c r="M19" s="877">
        <f t="shared" si="62"/>
        <v>0</v>
      </c>
      <c r="N19" s="878">
        <f t="shared" si="24"/>
        <v>0</v>
      </c>
      <c r="O19" s="885">
        <f>SUM(O20:O21)</f>
        <v>0</v>
      </c>
      <c r="P19" s="885">
        <f t="shared" ref="P19:AM19" si="63">SUM(P20:P21)</f>
        <v>0</v>
      </c>
      <c r="Q19" s="885">
        <f t="shared" si="63"/>
        <v>0</v>
      </c>
      <c r="R19" s="885">
        <f t="shared" si="63"/>
        <v>0</v>
      </c>
      <c r="S19" s="885">
        <f t="shared" si="63"/>
        <v>0</v>
      </c>
      <c r="T19" s="885">
        <f t="shared" si="63"/>
        <v>0</v>
      </c>
      <c r="U19" s="885">
        <f t="shared" si="63"/>
        <v>0</v>
      </c>
      <c r="V19" s="885">
        <f t="shared" si="63"/>
        <v>0</v>
      </c>
      <c r="W19" s="885">
        <f t="shared" si="63"/>
        <v>0</v>
      </c>
      <c r="X19" s="885">
        <f t="shared" si="63"/>
        <v>0</v>
      </c>
      <c r="Y19" s="885">
        <f t="shared" si="63"/>
        <v>0</v>
      </c>
      <c r="Z19" s="877">
        <f t="shared" si="63"/>
        <v>0</v>
      </c>
      <c r="AA19" s="878">
        <f t="shared" si="26"/>
        <v>0</v>
      </c>
      <c r="AB19" s="885">
        <f t="shared" si="63"/>
        <v>0</v>
      </c>
      <c r="AC19" s="885">
        <f t="shared" si="63"/>
        <v>0</v>
      </c>
      <c r="AD19" s="885">
        <f t="shared" si="63"/>
        <v>0</v>
      </c>
      <c r="AE19" s="885">
        <f t="shared" si="63"/>
        <v>0</v>
      </c>
      <c r="AF19" s="885">
        <f t="shared" si="63"/>
        <v>0</v>
      </c>
      <c r="AG19" s="885">
        <f t="shared" si="63"/>
        <v>0</v>
      </c>
      <c r="AH19" s="885">
        <f t="shared" si="63"/>
        <v>0</v>
      </c>
      <c r="AI19" s="885">
        <f t="shared" si="63"/>
        <v>0</v>
      </c>
      <c r="AJ19" s="885">
        <f t="shared" si="63"/>
        <v>0</v>
      </c>
      <c r="AK19" s="885">
        <f t="shared" si="63"/>
        <v>0</v>
      </c>
      <c r="AL19" s="885">
        <f t="shared" si="63"/>
        <v>0</v>
      </c>
      <c r="AM19" s="877">
        <f t="shared" si="63"/>
        <v>0</v>
      </c>
      <c r="AN19" s="878">
        <f t="shared" si="27"/>
        <v>0</v>
      </c>
      <c r="AO19" s="885">
        <f>SUM(AO20:AO21)</f>
        <v>0</v>
      </c>
      <c r="AP19" s="885">
        <f t="shared" ref="AP19:AZ19" si="64">SUM(AP20:AP21)</f>
        <v>0</v>
      </c>
      <c r="AQ19" s="885">
        <f t="shared" si="64"/>
        <v>0</v>
      </c>
      <c r="AR19" s="885">
        <f t="shared" si="64"/>
        <v>0</v>
      </c>
      <c r="AS19" s="885">
        <f t="shared" si="64"/>
        <v>0</v>
      </c>
      <c r="AT19" s="885">
        <f t="shared" si="64"/>
        <v>0</v>
      </c>
      <c r="AU19" s="885">
        <f t="shared" si="64"/>
        <v>0</v>
      </c>
      <c r="AV19" s="885">
        <f t="shared" si="64"/>
        <v>0</v>
      </c>
      <c r="AW19" s="885">
        <f t="shared" si="64"/>
        <v>0</v>
      </c>
      <c r="AX19" s="885">
        <f t="shared" si="64"/>
        <v>0</v>
      </c>
      <c r="AY19" s="885">
        <f t="shared" si="64"/>
        <v>0</v>
      </c>
      <c r="AZ19" s="877">
        <f t="shared" si="64"/>
        <v>0</v>
      </c>
      <c r="BA19" s="878">
        <f t="shared" si="29"/>
        <v>0</v>
      </c>
      <c r="BB19" s="885">
        <f>SUM(BB20:BB21)</f>
        <v>0</v>
      </c>
      <c r="BC19" s="885">
        <f>SUM(BC20:BC21)</f>
        <v>0</v>
      </c>
      <c r="BD19" s="885">
        <f>SUM(BD20:BD21)</f>
        <v>0</v>
      </c>
      <c r="BE19" s="885">
        <f t="shared" ref="BE19:BM19" si="65">SUM(BE20:BE21)</f>
        <v>0</v>
      </c>
      <c r="BF19" s="885">
        <f t="shared" si="65"/>
        <v>0</v>
      </c>
      <c r="BG19" s="885">
        <f t="shared" si="65"/>
        <v>0</v>
      </c>
      <c r="BH19" s="885">
        <f t="shared" si="65"/>
        <v>0</v>
      </c>
      <c r="BI19" s="885">
        <f t="shared" si="65"/>
        <v>0</v>
      </c>
      <c r="BJ19" s="885">
        <f t="shared" si="65"/>
        <v>0</v>
      </c>
      <c r="BK19" s="885">
        <f t="shared" si="65"/>
        <v>0</v>
      </c>
      <c r="BL19" s="885">
        <f t="shared" si="65"/>
        <v>0</v>
      </c>
      <c r="BM19" s="877">
        <f t="shared" si="65"/>
        <v>0</v>
      </c>
      <c r="BN19" s="878">
        <f t="shared" si="31"/>
        <v>0</v>
      </c>
      <c r="BO19" s="885">
        <f>SUM(BO20:BO21)</f>
        <v>0</v>
      </c>
      <c r="BP19" s="885">
        <f>SUM(BP20:BP21)</f>
        <v>0</v>
      </c>
      <c r="BQ19" s="885"/>
      <c r="BR19" s="885"/>
      <c r="BS19" s="885"/>
      <c r="BT19" s="885"/>
      <c r="BU19" s="885"/>
      <c r="BV19" s="885"/>
      <c r="BW19" s="885"/>
      <c r="BX19" s="885"/>
      <c r="BY19" s="885"/>
      <c r="BZ19" s="877"/>
      <c r="CA19" s="878">
        <f t="shared" si="33"/>
        <v>0</v>
      </c>
      <c r="CB19" s="885">
        <f>SUM(CB20:CB21)</f>
        <v>0</v>
      </c>
      <c r="CC19" s="885">
        <f>SUM(CC20:CC21)</f>
        <v>0</v>
      </c>
      <c r="CD19" s="885"/>
      <c r="CE19" s="885"/>
      <c r="CF19" s="885"/>
      <c r="CG19" s="885"/>
      <c r="CH19" s="885"/>
      <c r="CI19" s="885"/>
      <c r="CJ19" s="885"/>
      <c r="CK19" s="885"/>
      <c r="CL19" s="885"/>
      <c r="CM19" s="877"/>
      <c r="CN19" s="878">
        <f t="shared" si="35"/>
        <v>0</v>
      </c>
      <c r="CO19" s="885"/>
      <c r="CP19" s="885"/>
      <c r="CQ19" s="885"/>
      <c r="CR19" s="885"/>
      <c r="CS19" s="885"/>
      <c r="CT19" s="885"/>
      <c r="CU19" s="885"/>
      <c r="CV19" s="885"/>
      <c r="CW19" s="885"/>
      <c r="CX19" s="885"/>
      <c r="CY19" s="885"/>
      <c r="CZ19" s="877"/>
      <c r="DA19" s="878">
        <f t="shared" si="37"/>
        <v>0</v>
      </c>
      <c r="DB19" s="885"/>
      <c r="DC19" s="885"/>
      <c r="DD19" s="885"/>
      <c r="DE19" s="885"/>
      <c r="DF19" s="885"/>
      <c r="DG19" s="885"/>
      <c r="DH19" s="885"/>
      <c r="DI19" s="885"/>
      <c r="DJ19" s="885"/>
      <c r="DK19" s="885"/>
      <c r="DL19" s="885"/>
      <c r="DM19" s="877"/>
      <c r="DN19" s="878">
        <f t="shared" si="39"/>
        <v>0</v>
      </c>
      <c r="DO19" s="885"/>
      <c r="DP19" s="885"/>
      <c r="DQ19" s="885"/>
      <c r="DR19" s="885"/>
      <c r="DS19" s="885"/>
      <c r="DT19" s="885"/>
      <c r="DU19" s="885"/>
      <c r="DV19" s="885"/>
      <c r="DW19" s="885"/>
      <c r="DX19" s="885"/>
      <c r="DY19" s="885"/>
      <c r="DZ19" s="877"/>
      <c r="EA19" s="878">
        <f t="shared" si="41"/>
        <v>0</v>
      </c>
      <c r="EB19" s="885">
        <v>0</v>
      </c>
      <c r="EC19" s="885">
        <v>0</v>
      </c>
      <c r="ED19" s="885">
        <v>0</v>
      </c>
      <c r="EE19" s="885">
        <v>0</v>
      </c>
      <c r="EF19" s="885">
        <v>0</v>
      </c>
      <c r="EG19" s="885">
        <v>0</v>
      </c>
      <c r="EH19" s="885">
        <v>0</v>
      </c>
      <c r="EI19" s="885">
        <v>0</v>
      </c>
      <c r="EJ19" s="885">
        <v>0</v>
      </c>
      <c r="EK19" s="885">
        <v>0</v>
      </c>
      <c r="EL19" s="885">
        <v>0</v>
      </c>
      <c r="EM19" s="877">
        <v>0</v>
      </c>
      <c r="EN19" s="878">
        <f t="shared" si="61"/>
        <v>0</v>
      </c>
      <c r="EO19" s="885">
        <v>0</v>
      </c>
      <c r="EP19" s="885">
        <v>0</v>
      </c>
      <c r="EQ19" s="885">
        <v>0</v>
      </c>
      <c r="ER19" s="885">
        <v>0</v>
      </c>
      <c r="ES19" s="885">
        <v>0</v>
      </c>
      <c r="ET19" s="885">
        <v>0</v>
      </c>
      <c r="EU19" s="885">
        <v>0</v>
      </c>
      <c r="EV19" s="972">
        <v>0</v>
      </c>
      <c r="EW19" s="885"/>
      <c r="EX19" s="885"/>
      <c r="EY19" s="885"/>
      <c r="EZ19" s="877"/>
      <c r="FA19" s="878">
        <f t="shared" si="45"/>
        <v>0</v>
      </c>
      <c r="FC19" s="851" t="str">
        <f t="shared" si="46"/>
        <v/>
      </c>
      <c r="FD19" s="852" t="str">
        <f t="shared" si="47"/>
        <v/>
      </c>
      <c r="FE19" s="853">
        <f t="shared" si="48"/>
        <v>0</v>
      </c>
      <c r="FF19" s="854">
        <f t="shared" si="49"/>
        <v>0</v>
      </c>
      <c r="FG19"/>
      <c r="FI19" s="236"/>
      <c r="FJ19"/>
      <c r="FK19"/>
      <c r="FL19"/>
      <c r="FM19"/>
      <c r="FN19"/>
      <c r="FO19"/>
      <c r="FP19"/>
    </row>
    <row r="20" spans="1:172" ht="15" customHeight="1" x14ac:dyDescent="0.25">
      <c r="A20" s="403" t="s">
        <v>381</v>
      </c>
      <c r="B20" s="883"/>
      <c r="C20" s="883"/>
      <c r="D20" s="883"/>
      <c r="E20" s="883"/>
      <c r="F20" s="883"/>
      <c r="G20" s="883"/>
      <c r="H20" s="883"/>
      <c r="I20" s="883"/>
      <c r="J20" s="883"/>
      <c r="K20" s="883"/>
      <c r="L20" s="883"/>
      <c r="M20" s="873"/>
      <c r="N20" s="879">
        <f t="shared" si="24"/>
        <v>0</v>
      </c>
      <c r="O20" s="883"/>
      <c r="P20" s="883"/>
      <c r="Q20" s="883"/>
      <c r="R20" s="883"/>
      <c r="S20" s="883"/>
      <c r="T20" s="883"/>
      <c r="U20" s="883"/>
      <c r="V20" s="883"/>
      <c r="W20" s="883"/>
      <c r="X20" s="883"/>
      <c r="Y20" s="883"/>
      <c r="Z20" s="873"/>
      <c r="AA20" s="879">
        <f t="shared" si="26"/>
        <v>0</v>
      </c>
      <c r="AB20" s="883"/>
      <c r="AC20" s="883"/>
      <c r="AD20" s="883"/>
      <c r="AE20" s="883"/>
      <c r="AF20" s="883"/>
      <c r="AG20" s="883"/>
      <c r="AH20" s="883"/>
      <c r="AI20" s="883"/>
      <c r="AJ20" s="883"/>
      <c r="AK20" s="883"/>
      <c r="AL20" s="883"/>
      <c r="AM20" s="873"/>
      <c r="AN20" s="879">
        <f t="shared" si="27"/>
        <v>0</v>
      </c>
      <c r="AO20" s="883"/>
      <c r="AP20" s="883"/>
      <c r="AQ20" s="883"/>
      <c r="AR20" s="883"/>
      <c r="AS20" s="883"/>
      <c r="AT20" s="883"/>
      <c r="AU20" s="883"/>
      <c r="AV20" s="883"/>
      <c r="AW20" s="883"/>
      <c r="AX20" s="883"/>
      <c r="AY20" s="883"/>
      <c r="AZ20" s="873"/>
      <c r="BA20" s="879">
        <f t="shared" si="29"/>
        <v>0</v>
      </c>
      <c r="BB20" s="883"/>
      <c r="BC20" s="883"/>
      <c r="BD20" s="883"/>
      <c r="BE20" s="883"/>
      <c r="BF20" s="883"/>
      <c r="BG20" s="883"/>
      <c r="BH20" s="883"/>
      <c r="BI20" s="883"/>
      <c r="BJ20" s="883"/>
      <c r="BK20" s="883"/>
      <c r="BL20" s="883"/>
      <c r="BM20" s="873"/>
      <c r="BN20" s="879">
        <f t="shared" si="31"/>
        <v>0</v>
      </c>
      <c r="BO20" s="883"/>
      <c r="BP20" s="883"/>
      <c r="BQ20" s="883"/>
      <c r="BR20" s="883"/>
      <c r="BS20" s="883"/>
      <c r="BT20" s="883"/>
      <c r="BU20" s="883"/>
      <c r="BV20" s="883"/>
      <c r="BW20" s="883"/>
      <c r="BX20" s="883"/>
      <c r="BY20" s="883"/>
      <c r="BZ20" s="873"/>
      <c r="CA20" s="879">
        <f t="shared" si="33"/>
        <v>0</v>
      </c>
      <c r="CB20" s="883"/>
      <c r="CC20" s="883"/>
      <c r="CD20" s="883"/>
      <c r="CE20" s="883"/>
      <c r="CF20" s="883"/>
      <c r="CG20" s="883"/>
      <c r="CH20" s="883"/>
      <c r="CI20" s="883"/>
      <c r="CJ20" s="883"/>
      <c r="CK20" s="883"/>
      <c r="CL20" s="883"/>
      <c r="CM20" s="873"/>
      <c r="CN20" s="879">
        <f t="shared" si="35"/>
        <v>0</v>
      </c>
      <c r="CO20" s="883"/>
      <c r="CP20" s="883"/>
      <c r="CQ20" s="883"/>
      <c r="CR20" s="883"/>
      <c r="CS20" s="883"/>
      <c r="CT20" s="883"/>
      <c r="CU20" s="883"/>
      <c r="CV20" s="883"/>
      <c r="CW20" s="883"/>
      <c r="CX20" s="883"/>
      <c r="CY20" s="883"/>
      <c r="CZ20" s="873"/>
      <c r="DA20" s="879">
        <f t="shared" si="37"/>
        <v>0</v>
      </c>
      <c r="DB20" s="883"/>
      <c r="DC20" s="883"/>
      <c r="DD20" s="883"/>
      <c r="DE20" s="883"/>
      <c r="DF20" s="883"/>
      <c r="DG20" s="883"/>
      <c r="DH20" s="883"/>
      <c r="DI20" s="883"/>
      <c r="DJ20" s="883"/>
      <c r="DK20" s="883"/>
      <c r="DL20" s="883"/>
      <c r="DM20" s="873"/>
      <c r="DN20" s="879">
        <f t="shared" si="39"/>
        <v>0</v>
      </c>
      <c r="DO20" s="883"/>
      <c r="DP20" s="883"/>
      <c r="DQ20" s="883"/>
      <c r="DR20" s="883"/>
      <c r="DS20" s="883"/>
      <c r="DT20" s="883"/>
      <c r="DU20" s="883"/>
      <c r="DV20" s="883"/>
      <c r="DW20" s="883"/>
      <c r="DX20" s="883"/>
      <c r="DY20" s="883"/>
      <c r="DZ20" s="873"/>
      <c r="EA20" s="879">
        <f t="shared" si="41"/>
        <v>0</v>
      </c>
      <c r="EB20" s="883">
        <v>0</v>
      </c>
      <c r="EC20" s="883">
        <v>0</v>
      </c>
      <c r="ED20" s="883">
        <v>0</v>
      </c>
      <c r="EE20" s="883">
        <v>0</v>
      </c>
      <c r="EF20" s="883">
        <v>0</v>
      </c>
      <c r="EG20" s="883">
        <v>0</v>
      </c>
      <c r="EH20" s="883">
        <v>0</v>
      </c>
      <c r="EI20" s="883">
        <v>0</v>
      </c>
      <c r="EJ20" s="883">
        <v>0</v>
      </c>
      <c r="EK20" s="883">
        <v>0</v>
      </c>
      <c r="EL20" s="883">
        <v>0</v>
      </c>
      <c r="EM20" s="873">
        <v>0</v>
      </c>
      <c r="EN20" s="879">
        <f t="shared" si="61"/>
        <v>0</v>
      </c>
      <c r="EO20" s="883">
        <v>0</v>
      </c>
      <c r="EP20" s="883">
        <v>0</v>
      </c>
      <c r="EQ20" s="883">
        <v>0</v>
      </c>
      <c r="ER20" s="883">
        <v>0</v>
      </c>
      <c r="ES20" s="883">
        <v>0</v>
      </c>
      <c r="ET20" s="883">
        <v>0</v>
      </c>
      <c r="EU20" s="883">
        <v>0</v>
      </c>
      <c r="EV20" s="973">
        <v>0</v>
      </c>
      <c r="EW20" s="883"/>
      <c r="EX20" s="883"/>
      <c r="EY20" s="883"/>
      <c r="EZ20" s="873"/>
      <c r="FA20" s="879">
        <f t="shared" si="45"/>
        <v>0</v>
      </c>
      <c r="FC20" s="843" t="str">
        <f t="shared" si="46"/>
        <v/>
      </c>
      <c r="FD20" s="844" t="str">
        <f t="shared" si="47"/>
        <v/>
      </c>
      <c r="FE20" s="845">
        <f t="shared" si="48"/>
        <v>0</v>
      </c>
      <c r="FF20" s="846">
        <f t="shared" si="49"/>
        <v>0</v>
      </c>
      <c r="FI20" s="127"/>
    </row>
    <row r="21" spans="1:172" ht="15" customHeight="1" x14ac:dyDescent="0.25">
      <c r="A21" s="403" t="s">
        <v>382</v>
      </c>
      <c r="B21" s="883"/>
      <c r="C21" s="883"/>
      <c r="D21" s="883"/>
      <c r="E21" s="883"/>
      <c r="F21" s="883"/>
      <c r="G21" s="883"/>
      <c r="H21" s="883"/>
      <c r="I21" s="883"/>
      <c r="J21" s="883"/>
      <c r="K21" s="883"/>
      <c r="L21" s="883"/>
      <c r="M21" s="873"/>
      <c r="N21" s="879">
        <f t="shared" si="24"/>
        <v>0</v>
      </c>
      <c r="O21" s="883"/>
      <c r="P21" s="883"/>
      <c r="Q21" s="883"/>
      <c r="R21" s="883"/>
      <c r="S21" s="883"/>
      <c r="T21" s="883"/>
      <c r="U21" s="883"/>
      <c r="V21" s="883"/>
      <c r="W21" s="883"/>
      <c r="X21" s="883"/>
      <c r="Y21" s="883"/>
      <c r="Z21" s="873"/>
      <c r="AA21" s="879">
        <f t="shared" si="26"/>
        <v>0</v>
      </c>
      <c r="AB21" s="883"/>
      <c r="AC21" s="883"/>
      <c r="AD21" s="883"/>
      <c r="AE21" s="883"/>
      <c r="AF21" s="883"/>
      <c r="AG21" s="883"/>
      <c r="AH21" s="883"/>
      <c r="AI21" s="883"/>
      <c r="AJ21" s="883"/>
      <c r="AK21" s="883"/>
      <c r="AL21" s="883"/>
      <c r="AM21" s="873"/>
      <c r="AN21" s="879">
        <f t="shared" si="27"/>
        <v>0</v>
      </c>
      <c r="AO21" s="883"/>
      <c r="AP21" s="883"/>
      <c r="AQ21" s="883"/>
      <c r="AR21" s="883"/>
      <c r="AS21" s="883"/>
      <c r="AT21" s="883"/>
      <c r="AU21" s="883"/>
      <c r="AV21" s="883"/>
      <c r="AW21" s="883"/>
      <c r="AX21" s="883"/>
      <c r="AY21" s="883"/>
      <c r="AZ21" s="873"/>
      <c r="BA21" s="879">
        <f t="shared" si="29"/>
        <v>0</v>
      </c>
      <c r="BB21" s="883"/>
      <c r="BC21" s="883"/>
      <c r="BD21" s="883"/>
      <c r="BE21" s="883"/>
      <c r="BF21" s="883"/>
      <c r="BG21" s="883"/>
      <c r="BH21" s="883"/>
      <c r="BI21" s="883"/>
      <c r="BJ21" s="883"/>
      <c r="BK21" s="883"/>
      <c r="BL21" s="883"/>
      <c r="BM21" s="873"/>
      <c r="BN21" s="879">
        <f t="shared" si="31"/>
        <v>0</v>
      </c>
      <c r="BO21" s="883"/>
      <c r="BP21" s="883"/>
      <c r="BQ21" s="883"/>
      <c r="BR21" s="883"/>
      <c r="BS21" s="883"/>
      <c r="BT21" s="883"/>
      <c r="BU21" s="883"/>
      <c r="BV21" s="883"/>
      <c r="BW21" s="883"/>
      <c r="BX21" s="883"/>
      <c r="BY21" s="883"/>
      <c r="BZ21" s="873"/>
      <c r="CA21" s="879">
        <f t="shared" si="33"/>
        <v>0</v>
      </c>
      <c r="CB21" s="883"/>
      <c r="CC21" s="883"/>
      <c r="CD21" s="883"/>
      <c r="CE21" s="883"/>
      <c r="CF21" s="883"/>
      <c r="CG21" s="883"/>
      <c r="CH21" s="883"/>
      <c r="CI21" s="883"/>
      <c r="CJ21" s="883"/>
      <c r="CK21" s="883"/>
      <c r="CL21" s="883"/>
      <c r="CM21" s="873"/>
      <c r="CN21" s="879">
        <f t="shared" si="35"/>
        <v>0</v>
      </c>
      <c r="CO21" s="883"/>
      <c r="CP21" s="883"/>
      <c r="CQ21" s="883"/>
      <c r="CR21" s="883"/>
      <c r="CS21" s="883"/>
      <c r="CT21" s="883"/>
      <c r="CU21" s="883"/>
      <c r="CV21" s="883"/>
      <c r="CW21" s="883"/>
      <c r="CX21" s="883"/>
      <c r="CY21" s="883"/>
      <c r="CZ21" s="873"/>
      <c r="DA21" s="879">
        <f t="shared" si="37"/>
        <v>0</v>
      </c>
      <c r="DB21" s="883"/>
      <c r="DC21" s="883"/>
      <c r="DD21" s="883"/>
      <c r="DE21" s="883"/>
      <c r="DF21" s="883"/>
      <c r="DG21" s="883"/>
      <c r="DH21" s="883"/>
      <c r="DI21" s="883"/>
      <c r="DJ21" s="883"/>
      <c r="DK21" s="883"/>
      <c r="DL21" s="883"/>
      <c r="DM21" s="873"/>
      <c r="DN21" s="879">
        <f t="shared" si="39"/>
        <v>0</v>
      </c>
      <c r="DO21" s="883"/>
      <c r="DP21" s="883"/>
      <c r="DQ21" s="883"/>
      <c r="DR21" s="883"/>
      <c r="DS21" s="883"/>
      <c r="DT21" s="883"/>
      <c r="DU21" s="883"/>
      <c r="DV21" s="883"/>
      <c r="DW21" s="883"/>
      <c r="DX21" s="883"/>
      <c r="DY21" s="883"/>
      <c r="DZ21" s="873"/>
      <c r="EA21" s="879">
        <f t="shared" si="41"/>
        <v>0</v>
      </c>
      <c r="EB21" s="883">
        <v>0</v>
      </c>
      <c r="EC21" s="883">
        <v>0</v>
      </c>
      <c r="ED21" s="883">
        <v>0</v>
      </c>
      <c r="EE21" s="883">
        <v>0</v>
      </c>
      <c r="EF21" s="883">
        <v>0</v>
      </c>
      <c r="EG21" s="883">
        <v>0</v>
      </c>
      <c r="EH21" s="883">
        <v>0</v>
      </c>
      <c r="EI21" s="883">
        <v>0</v>
      </c>
      <c r="EJ21" s="883">
        <v>0</v>
      </c>
      <c r="EK21" s="883">
        <v>0</v>
      </c>
      <c r="EL21" s="883">
        <v>0</v>
      </c>
      <c r="EM21" s="873">
        <v>0</v>
      </c>
      <c r="EN21" s="879">
        <f t="shared" si="61"/>
        <v>0</v>
      </c>
      <c r="EO21" s="883">
        <v>0</v>
      </c>
      <c r="EP21" s="883">
        <v>0</v>
      </c>
      <c r="EQ21" s="883">
        <v>0</v>
      </c>
      <c r="ER21" s="883">
        <v>0</v>
      </c>
      <c r="ES21" s="883">
        <v>0</v>
      </c>
      <c r="ET21" s="883">
        <v>0</v>
      </c>
      <c r="EU21" s="883">
        <v>0</v>
      </c>
      <c r="EV21" s="973">
        <v>0</v>
      </c>
      <c r="EW21" s="883"/>
      <c r="EX21" s="883"/>
      <c r="EY21" s="883"/>
      <c r="EZ21" s="873"/>
      <c r="FA21" s="879">
        <f t="shared" si="45"/>
        <v>0</v>
      </c>
      <c r="FC21" s="843" t="str">
        <f t="shared" si="46"/>
        <v/>
      </c>
      <c r="FD21" s="844" t="str">
        <f t="shared" si="47"/>
        <v/>
      </c>
      <c r="FE21" s="845">
        <f t="shared" si="48"/>
        <v>0</v>
      </c>
      <c r="FF21" s="846">
        <f t="shared" si="49"/>
        <v>0</v>
      </c>
      <c r="FI21" s="127"/>
    </row>
    <row r="22" spans="1:172" ht="15" customHeight="1" x14ac:dyDescent="0.25">
      <c r="A22" s="403"/>
      <c r="B22" s="883"/>
      <c r="C22" s="883"/>
      <c r="D22" s="883"/>
      <c r="E22" s="883"/>
      <c r="F22" s="883"/>
      <c r="G22" s="883"/>
      <c r="H22" s="883"/>
      <c r="I22" s="883"/>
      <c r="J22" s="883"/>
      <c r="K22" s="883"/>
      <c r="L22" s="883"/>
      <c r="M22" s="873"/>
      <c r="N22" s="879"/>
      <c r="O22" s="883"/>
      <c r="P22" s="883"/>
      <c r="Q22" s="883"/>
      <c r="R22" s="883"/>
      <c r="S22" s="883"/>
      <c r="T22" s="883"/>
      <c r="U22" s="883"/>
      <c r="V22" s="883"/>
      <c r="W22" s="883"/>
      <c r="X22" s="883"/>
      <c r="Y22" s="883"/>
      <c r="Z22" s="873"/>
      <c r="AA22" s="879"/>
      <c r="AB22" s="883"/>
      <c r="AC22" s="883"/>
      <c r="AD22" s="883"/>
      <c r="AE22" s="883"/>
      <c r="AF22" s="883"/>
      <c r="AG22" s="883"/>
      <c r="AH22" s="883"/>
      <c r="AI22" s="883"/>
      <c r="AJ22" s="883"/>
      <c r="AK22" s="883"/>
      <c r="AL22" s="883"/>
      <c r="AM22" s="873"/>
      <c r="AN22" s="879"/>
      <c r="AO22" s="883"/>
      <c r="AP22" s="883"/>
      <c r="AQ22" s="883"/>
      <c r="AR22" s="883"/>
      <c r="AS22" s="883"/>
      <c r="AT22" s="883"/>
      <c r="AU22" s="883"/>
      <c r="AV22" s="883"/>
      <c r="AW22" s="883"/>
      <c r="AX22" s="883"/>
      <c r="AY22" s="883"/>
      <c r="AZ22" s="873"/>
      <c r="BA22" s="879"/>
      <c r="BB22" s="883"/>
      <c r="BC22" s="883"/>
      <c r="BD22" s="883"/>
      <c r="BE22" s="883"/>
      <c r="BF22" s="883"/>
      <c r="BG22" s="883"/>
      <c r="BH22" s="883"/>
      <c r="BI22" s="883"/>
      <c r="BJ22" s="883"/>
      <c r="BK22" s="883"/>
      <c r="BL22" s="883"/>
      <c r="BM22" s="873"/>
      <c r="BN22" s="879"/>
      <c r="BO22" s="883"/>
      <c r="BP22" s="883"/>
      <c r="BQ22" s="883"/>
      <c r="BR22" s="883"/>
      <c r="BS22" s="883"/>
      <c r="BT22" s="883"/>
      <c r="BU22" s="883"/>
      <c r="BV22" s="883"/>
      <c r="BW22" s="883"/>
      <c r="BX22" s="883"/>
      <c r="BY22" s="883"/>
      <c r="BZ22" s="873"/>
      <c r="CA22" s="879"/>
      <c r="CB22" s="883"/>
      <c r="CC22" s="883"/>
      <c r="CD22" s="883"/>
      <c r="CE22" s="883"/>
      <c r="CF22" s="883"/>
      <c r="CG22" s="883"/>
      <c r="CH22" s="883"/>
      <c r="CI22" s="883"/>
      <c r="CJ22" s="883"/>
      <c r="CK22" s="883"/>
      <c r="CL22" s="883"/>
      <c r="CM22" s="873"/>
      <c r="CN22" s="879"/>
      <c r="CO22" s="883"/>
      <c r="CP22" s="883"/>
      <c r="CQ22" s="883"/>
      <c r="CR22" s="883"/>
      <c r="CS22" s="883"/>
      <c r="CT22" s="883"/>
      <c r="CU22" s="883"/>
      <c r="CV22" s="883"/>
      <c r="CW22" s="883"/>
      <c r="CX22" s="883"/>
      <c r="CY22" s="883"/>
      <c r="CZ22" s="873"/>
      <c r="DA22" s="879"/>
      <c r="DB22" s="883"/>
      <c r="DC22" s="883"/>
      <c r="DD22" s="883"/>
      <c r="DE22" s="883"/>
      <c r="DF22" s="883"/>
      <c r="DG22" s="883"/>
      <c r="DH22" s="883"/>
      <c r="DI22" s="883"/>
      <c r="DJ22" s="883"/>
      <c r="DK22" s="883"/>
      <c r="DL22" s="883"/>
      <c r="DM22" s="873"/>
      <c r="DN22" s="879"/>
      <c r="DO22" s="883"/>
      <c r="DP22" s="883"/>
      <c r="DQ22" s="883"/>
      <c r="DR22" s="883"/>
      <c r="DS22" s="883"/>
      <c r="DT22" s="883"/>
      <c r="DU22" s="883"/>
      <c r="DV22" s="883"/>
      <c r="DW22" s="883"/>
      <c r="DX22" s="883"/>
      <c r="DY22" s="883"/>
      <c r="DZ22" s="873"/>
      <c r="EA22" s="879"/>
      <c r="EB22" s="883"/>
      <c r="EC22" s="883"/>
      <c r="ED22" s="883"/>
      <c r="EE22" s="883"/>
      <c r="EF22" s="883"/>
      <c r="EG22" s="883"/>
      <c r="EH22" s="883"/>
      <c r="EI22" s="883"/>
      <c r="EJ22" s="883"/>
      <c r="EK22" s="883"/>
      <c r="EL22" s="883"/>
      <c r="EM22" s="873"/>
      <c r="EN22" s="879"/>
      <c r="EO22" s="883"/>
      <c r="EP22" s="883"/>
      <c r="EQ22" s="883"/>
      <c r="ER22" s="883"/>
      <c r="ES22" s="883"/>
      <c r="ET22" s="883"/>
      <c r="EU22" s="883"/>
      <c r="EV22" s="973"/>
      <c r="EW22" s="883"/>
      <c r="EX22" s="883"/>
      <c r="EY22" s="883"/>
      <c r="EZ22" s="873"/>
      <c r="FA22" s="879"/>
      <c r="FC22" s="843" t="str">
        <f t="shared" ref="FC22" si="66">IFERROR((((EY22/DY22)-1)*100),"")</f>
        <v/>
      </c>
      <c r="FD22" s="844"/>
      <c r="FE22" s="845"/>
      <c r="FF22" s="846"/>
      <c r="FI22" s="127"/>
    </row>
    <row r="23" spans="1:172" s="753" customFormat="1" ht="15" customHeight="1" x14ac:dyDescent="0.25">
      <c r="A23" s="822" t="s">
        <v>383</v>
      </c>
      <c r="B23" s="884">
        <f t="shared" ref="B23:M23" si="67">SUM(B24:B28)</f>
        <v>31891</v>
      </c>
      <c r="C23" s="884">
        <f t="shared" si="67"/>
        <v>35784</v>
      </c>
      <c r="D23" s="884">
        <f t="shared" si="67"/>
        <v>57075</v>
      </c>
      <c r="E23" s="884">
        <f t="shared" si="67"/>
        <v>39956</v>
      </c>
      <c r="F23" s="884">
        <f t="shared" si="67"/>
        <v>59475</v>
      </c>
      <c r="G23" s="884">
        <f t="shared" si="67"/>
        <v>62467</v>
      </c>
      <c r="H23" s="884">
        <f t="shared" si="67"/>
        <v>43478</v>
      </c>
      <c r="I23" s="884">
        <f t="shared" si="67"/>
        <v>47375</v>
      </c>
      <c r="J23" s="884">
        <f t="shared" si="67"/>
        <v>43809</v>
      </c>
      <c r="K23" s="884">
        <f t="shared" si="67"/>
        <v>48460</v>
      </c>
      <c r="L23" s="884">
        <f t="shared" si="67"/>
        <v>45006</v>
      </c>
      <c r="M23" s="875">
        <f t="shared" si="67"/>
        <v>91540</v>
      </c>
      <c r="N23" s="876">
        <f t="shared" ref="N23:N28" si="68">SUM(B23:M23)</f>
        <v>606316</v>
      </c>
      <c r="O23" s="884">
        <f>SUM(O24:O28)</f>
        <v>37330</v>
      </c>
      <c r="P23" s="884">
        <f t="shared" ref="P23:AM23" si="69">SUM(P24:P28)</f>
        <v>40768</v>
      </c>
      <c r="Q23" s="884">
        <f t="shared" si="69"/>
        <v>40187</v>
      </c>
      <c r="R23" s="884">
        <f t="shared" si="69"/>
        <v>40678</v>
      </c>
      <c r="S23" s="884">
        <f t="shared" si="69"/>
        <v>74625</v>
      </c>
      <c r="T23" s="884">
        <f t="shared" si="69"/>
        <v>62906</v>
      </c>
      <c r="U23" s="884">
        <f t="shared" si="69"/>
        <v>103107</v>
      </c>
      <c r="V23" s="884">
        <f t="shared" si="69"/>
        <v>39735</v>
      </c>
      <c r="W23" s="884">
        <f t="shared" si="69"/>
        <v>47886</v>
      </c>
      <c r="X23" s="884">
        <f t="shared" si="69"/>
        <v>55983</v>
      </c>
      <c r="Y23" s="884">
        <f t="shared" si="69"/>
        <v>42873</v>
      </c>
      <c r="Z23" s="875">
        <f t="shared" si="69"/>
        <v>140376</v>
      </c>
      <c r="AA23" s="876">
        <f t="shared" ref="AA23:AA28" si="70">SUM(O23:Z23)</f>
        <v>726454</v>
      </c>
      <c r="AB23" s="884">
        <f t="shared" si="69"/>
        <v>37672</v>
      </c>
      <c r="AC23" s="884">
        <f t="shared" si="69"/>
        <v>40088</v>
      </c>
      <c r="AD23" s="884">
        <f t="shared" si="69"/>
        <v>65868</v>
      </c>
      <c r="AE23" s="884">
        <f t="shared" si="69"/>
        <v>66309</v>
      </c>
      <c r="AF23" s="884">
        <f t="shared" si="69"/>
        <v>61841</v>
      </c>
      <c r="AG23" s="884">
        <f t="shared" si="69"/>
        <v>61987</v>
      </c>
      <c r="AH23" s="884">
        <f t="shared" si="69"/>
        <v>60474</v>
      </c>
      <c r="AI23" s="884">
        <f t="shared" si="69"/>
        <v>103642</v>
      </c>
      <c r="AJ23" s="884">
        <f t="shared" si="69"/>
        <v>61601</v>
      </c>
      <c r="AK23" s="884">
        <f t="shared" si="69"/>
        <v>61999</v>
      </c>
      <c r="AL23" s="884">
        <f t="shared" si="69"/>
        <v>79080</v>
      </c>
      <c r="AM23" s="875">
        <f t="shared" si="69"/>
        <v>148260</v>
      </c>
      <c r="AN23" s="876">
        <f t="shared" ref="AN23:AN28" si="71">SUM(AB23:AM23)</f>
        <v>848821</v>
      </c>
      <c r="AO23" s="884">
        <f t="shared" ref="AO23:AZ23" si="72">SUM(AO24:AO28)</f>
        <v>46800</v>
      </c>
      <c r="AP23" s="884">
        <f t="shared" si="72"/>
        <v>48560</v>
      </c>
      <c r="AQ23" s="884">
        <f t="shared" si="72"/>
        <v>58287</v>
      </c>
      <c r="AR23" s="884">
        <f t="shared" si="72"/>
        <v>75663</v>
      </c>
      <c r="AS23" s="884">
        <f t="shared" si="72"/>
        <v>71112</v>
      </c>
      <c r="AT23" s="884">
        <f t="shared" si="72"/>
        <v>76821</v>
      </c>
      <c r="AU23" s="884">
        <f t="shared" si="72"/>
        <v>80022</v>
      </c>
      <c r="AV23" s="884">
        <f t="shared" si="72"/>
        <v>80722</v>
      </c>
      <c r="AW23" s="884">
        <f t="shared" si="72"/>
        <v>72700</v>
      </c>
      <c r="AX23" s="884">
        <f t="shared" si="72"/>
        <v>62064</v>
      </c>
      <c r="AY23" s="884">
        <f t="shared" si="72"/>
        <v>107482</v>
      </c>
      <c r="AZ23" s="875">
        <f t="shared" si="72"/>
        <v>80930</v>
      </c>
      <c r="BA23" s="876">
        <f t="shared" ref="BA23:BA28" si="73">SUM(AO23:AZ23)</f>
        <v>861163</v>
      </c>
      <c r="BB23" s="884">
        <f t="shared" ref="BB23:BM23" si="74">SUM(BB24:BB28)</f>
        <v>138581</v>
      </c>
      <c r="BC23" s="884">
        <f t="shared" si="74"/>
        <v>74941</v>
      </c>
      <c r="BD23" s="884">
        <f t="shared" si="74"/>
        <v>64708</v>
      </c>
      <c r="BE23" s="884">
        <f t="shared" si="74"/>
        <v>55520</v>
      </c>
      <c r="BF23" s="884">
        <f t="shared" si="74"/>
        <v>89334</v>
      </c>
      <c r="BG23" s="884">
        <f t="shared" si="74"/>
        <v>103034</v>
      </c>
      <c r="BH23" s="884">
        <f t="shared" si="74"/>
        <v>91093</v>
      </c>
      <c r="BI23" s="884">
        <f t="shared" si="74"/>
        <v>115663</v>
      </c>
      <c r="BJ23" s="884">
        <f t="shared" si="74"/>
        <v>89475</v>
      </c>
      <c r="BK23" s="884">
        <f t="shared" si="74"/>
        <v>120822</v>
      </c>
      <c r="BL23" s="884">
        <f t="shared" si="74"/>
        <v>99058</v>
      </c>
      <c r="BM23" s="875">
        <f t="shared" si="74"/>
        <v>156151</v>
      </c>
      <c r="BN23" s="876">
        <f t="shared" ref="BN23:BN28" si="75">SUM(BB23:BM23)</f>
        <v>1198380</v>
      </c>
      <c r="BO23" s="884">
        <f t="shared" ref="BO23:BZ23" si="76">SUM(BO24:BO28)</f>
        <v>80200</v>
      </c>
      <c r="BP23" s="884">
        <f t="shared" si="76"/>
        <v>63046</v>
      </c>
      <c r="BQ23" s="884">
        <f t="shared" si="76"/>
        <v>60632</v>
      </c>
      <c r="BR23" s="884">
        <f t="shared" si="76"/>
        <v>74914</v>
      </c>
      <c r="BS23" s="884">
        <f t="shared" si="76"/>
        <v>60343</v>
      </c>
      <c r="BT23" s="884">
        <f t="shared" si="76"/>
        <v>60129</v>
      </c>
      <c r="BU23" s="884">
        <f t="shared" si="76"/>
        <v>75442</v>
      </c>
      <c r="BV23" s="884">
        <f t="shared" si="76"/>
        <v>97138</v>
      </c>
      <c r="BW23" s="884">
        <f t="shared" si="76"/>
        <v>86937</v>
      </c>
      <c r="BX23" s="884">
        <f t="shared" si="76"/>
        <v>112459</v>
      </c>
      <c r="BY23" s="884">
        <f t="shared" si="76"/>
        <v>142061</v>
      </c>
      <c r="BZ23" s="875">
        <f t="shared" si="76"/>
        <v>158375</v>
      </c>
      <c r="CA23" s="876">
        <f t="shared" ref="CA23:CA28" si="77">SUM(BO23:BZ23)</f>
        <v>1071676</v>
      </c>
      <c r="CB23" s="884">
        <f t="shared" ref="CB23:CM23" si="78">SUM(CB24:CB28)</f>
        <v>75798</v>
      </c>
      <c r="CC23" s="884">
        <f t="shared" si="78"/>
        <v>75487</v>
      </c>
      <c r="CD23" s="884">
        <f t="shared" si="78"/>
        <v>86399</v>
      </c>
      <c r="CE23" s="884">
        <f t="shared" si="78"/>
        <v>84009</v>
      </c>
      <c r="CF23" s="884">
        <f t="shared" si="78"/>
        <v>88307</v>
      </c>
      <c r="CG23" s="884">
        <f t="shared" si="78"/>
        <v>87683</v>
      </c>
      <c r="CH23" s="884">
        <f t="shared" si="78"/>
        <v>104539</v>
      </c>
      <c r="CI23" s="884">
        <f t="shared" si="78"/>
        <v>85482</v>
      </c>
      <c r="CJ23" s="884">
        <f t="shared" si="78"/>
        <v>98830</v>
      </c>
      <c r="CK23" s="884">
        <f t="shared" si="78"/>
        <v>86644</v>
      </c>
      <c r="CL23" s="884">
        <f t="shared" si="78"/>
        <v>101947</v>
      </c>
      <c r="CM23" s="875">
        <f t="shared" si="78"/>
        <v>162536</v>
      </c>
      <c r="CN23" s="876">
        <f t="shared" si="35"/>
        <v>1137661</v>
      </c>
      <c r="CO23" s="884">
        <f t="shared" ref="CO23:CZ23" si="79">SUM(CO24:CO28)</f>
        <v>60235</v>
      </c>
      <c r="CP23" s="884">
        <f t="shared" si="79"/>
        <v>94078</v>
      </c>
      <c r="CQ23" s="884">
        <f t="shared" si="79"/>
        <v>108407</v>
      </c>
      <c r="CR23" s="884">
        <f t="shared" si="79"/>
        <v>84937</v>
      </c>
      <c r="CS23" s="884">
        <f t="shared" si="79"/>
        <v>84266</v>
      </c>
      <c r="CT23" s="884">
        <f t="shared" si="79"/>
        <v>97488</v>
      </c>
      <c r="CU23" s="884">
        <f t="shared" si="79"/>
        <v>118831</v>
      </c>
      <c r="CV23" s="884">
        <f t="shared" si="79"/>
        <v>101413</v>
      </c>
      <c r="CW23" s="884">
        <f t="shared" si="79"/>
        <v>102625</v>
      </c>
      <c r="CX23" s="884">
        <f t="shared" si="79"/>
        <v>97698</v>
      </c>
      <c r="CY23" s="884">
        <f t="shared" si="79"/>
        <v>105083</v>
      </c>
      <c r="CZ23" s="875">
        <f t="shared" si="79"/>
        <v>159318</v>
      </c>
      <c r="DA23" s="876">
        <f t="shared" si="37"/>
        <v>1214379</v>
      </c>
      <c r="DB23" s="884">
        <f t="shared" ref="DB23:DM23" si="80">SUM(DB24:DB28)</f>
        <v>86598</v>
      </c>
      <c r="DC23" s="884">
        <f t="shared" si="80"/>
        <v>92050</v>
      </c>
      <c r="DD23" s="884">
        <f t="shared" si="80"/>
        <v>92958</v>
      </c>
      <c r="DE23" s="884">
        <f t="shared" si="80"/>
        <v>92637</v>
      </c>
      <c r="DF23" s="884">
        <f t="shared" si="80"/>
        <v>106276</v>
      </c>
      <c r="DG23" s="884">
        <f t="shared" si="80"/>
        <v>127167</v>
      </c>
      <c r="DH23" s="884">
        <f t="shared" si="80"/>
        <v>127399</v>
      </c>
      <c r="DI23" s="884">
        <f t="shared" si="80"/>
        <v>115195</v>
      </c>
      <c r="DJ23" s="884">
        <f t="shared" si="80"/>
        <v>114015</v>
      </c>
      <c r="DK23" s="884">
        <f t="shared" si="80"/>
        <v>130728</v>
      </c>
      <c r="DL23" s="884">
        <f t="shared" si="80"/>
        <v>139376</v>
      </c>
      <c r="DM23" s="875">
        <f t="shared" si="80"/>
        <v>303677</v>
      </c>
      <c r="DN23" s="876">
        <f t="shared" si="39"/>
        <v>1528076</v>
      </c>
      <c r="DO23" s="884">
        <f t="shared" ref="DO23:DZ23" si="81">SUM(DO24:DO28)</f>
        <v>113904</v>
      </c>
      <c r="DP23" s="884">
        <f t="shared" si="81"/>
        <v>111087</v>
      </c>
      <c r="DQ23" s="884">
        <f t="shared" si="81"/>
        <v>131771</v>
      </c>
      <c r="DR23" s="884">
        <f t="shared" si="81"/>
        <v>135614</v>
      </c>
      <c r="DS23" s="884">
        <f t="shared" si="81"/>
        <v>182955</v>
      </c>
      <c r="DT23" s="884">
        <f t="shared" si="81"/>
        <v>133070</v>
      </c>
      <c r="DU23" s="884">
        <f t="shared" si="81"/>
        <v>152138</v>
      </c>
      <c r="DV23" s="884">
        <f t="shared" si="81"/>
        <v>179985</v>
      </c>
      <c r="DW23" s="884">
        <f t="shared" si="81"/>
        <v>123137</v>
      </c>
      <c r="DX23" s="884">
        <f t="shared" si="81"/>
        <v>166316</v>
      </c>
      <c r="DY23" s="884">
        <f t="shared" si="81"/>
        <v>184520</v>
      </c>
      <c r="DZ23" s="875">
        <f t="shared" si="81"/>
        <v>180872</v>
      </c>
      <c r="EA23" s="876">
        <f t="shared" si="41"/>
        <v>1795369</v>
      </c>
      <c r="EB23" s="884">
        <f t="shared" ref="EB23:EM23" si="82">SUM(EB24:EB28)</f>
        <v>102517</v>
      </c>
      <c r="EC23" s="884">
        <f t="shared" si="82"/>
        <v>126922</v>
      </c>
      <c r="ED23" s="884">
        <f t="shared" si="82"/>
        <v>112816</v>
      </c>
      <c r="EE23" s="884">
        <f t="shared" si="82"/>
        <v>129990</v>
      </c>
      <c r="EF23" s="884">
        <f t="shared" si="82"/>
        <v>159916</v>
      </c>
      <c r="EG23" s="884">
        <f t="shared" si="82"/>
        <v>139874</v>
      </c>
      <c r="EH23" s="884">
        <f t="shared" si="82"/>
        <v>147912</v>
      </c>
      <c r="EI23" s="884">
        <f t="shared" si="82"/>
        <v>141451</v>
      </c>
      <c r="EJ23" s="884">
        <f t="shared" si="82"/>
        <v>133797</v>
      </c>
      <c r="EK23" s="884">
        <f t="shared" si="82"/>
        <v>136409</v>
      </c>
      <c r="EL23" s="884">
        <f t="shared" si="82"/>
        <v>153026</v>
      </c>
      <c r="EM23" s="875">
        <f t="shared" si="82"/>
        <v>215979</v>
      </c>
      <c r="EN23" s="876">
        <f t="shared" ref="EN23:EN27" si="83">SUM(EB23:EM23)</f>
        <v>1700609</v>
      </c>
      <c r="EO23" s="884">
        <f t="shared" ref="EO23:EV23" si="84">SUM(EO24:EO28)</f>
        <v>137565</v>
      </c>
      <c r="EP23" s="884">
        <f t="shared" si="84"/>
        <v>174350</v>
      </c>
      <c r="EQ23" s="884">
        <f t="shared" si="84"/>
        <v>130135</v>
      </c>
      <c r="ER23" s="884">
        <f t="shared" si="84"/>
        <v>166644</v>
      </c>
      <c r="ES23" s="884">
        <f t="shared" si="84"/>
        <v>191370</v>
      </c>
      <c r="ET23" s="884">
        <f t="shared" si="84"/>
        <v>159142</v>
      </c>
      <c r="EU23" s="884">
        <f t="shared" si="84"/>
        <v>179240</v>
      </c>
      <c r="EV23" s="971">
        <f t="shared" si="84"/>
        <v>179659</v>
      </c>
      <c r="EW23" s="884"/>
      <c r="EX23" s="884"/>
      <c r="EY23" s="884"/>
      <c r="EZ23" s="875"/>
      <c r="FA23" s="876">
        <f t="shared" si="45"/>
        <v>1318105</v>
      </c>
      <c r="FB23" s="757"/>
      <c r="FC23" s="841">
        <f t="shared" si="46"/>
        <v>27.011473937971452</v>
      </c>
      <c r="FD23" s="842">
        <f t="shared" ref="FD23:FD31" si="85">IFERROR(((FF23/FE23)-1)*100,"")</f>
        <v>24.185743707826845</v>
      </c>
      <c r="FE23" s="702">
        <f t="shared" si="48"/>
        <v>1061398</v>
      </c>
      <c r="FF23" s="703">
        <f t="shared" si="49"/>
        <v>1318105</v>
      </c>
      <c r="FG23"/>
      <c r="FH23" s="757"/>
      <c r="FI23" s="838"/>
      <c r="FJ23"/>
      <c r="FK23"/>
      <c r="FL23"/>
      <c r="FM23"/>
      <c r="FN23"/>
      <c r="FO23"/>
      <c r="FP23"/>
    </row>
    <row r="24" spans="1:172" ht="15" customHeight="1" x14ac:dyDescent="0.25">
      <c r="A24" s="403" t="s">
        <v>384</v>
      </c>
      <c r="B24" s="883">
        <v>31351</v>
      </c>
      <c r="C24" s="883">
        <v>33664</v>
      </c>
      <c r="D24" s="883">
        <v>42996</v>
      </c>
      <c r="E24" s="883">
        <v>36448</v>
      </c>
      <c r="F24" s="883">
        <v>48075</v>
      </c>
      <c r="G24" s="883">
        <v>52226</v>
      </c>
      <c r="H24" s="883">
        <v>40309</v>
      </c>
      <c r="I24" s="883">
        <v>38673</v>
      </c>
      <c r="J24" s="883">
        <v>37060</v>
      </c>
      <c r="K24" s="883">
        <v>41686</v>
      </c>
      <c r="L24" s="883">
        <v>38219</v>
      </c>
      <c r="M24" s="873">
        <v>78706</v>
      </c>
      <c r="N24" s="879">
        <f t="shared" si="68"/>
        <v>519413</v>
      </c>
      <c r="O24" s="883">
        <v>36360</v>
      </c>
      <c r="P24" s="883">
        <v>36886</v>
      </c>
      <c r="Q24" s="883">
        <v>35584</v>
      </c>
      <c r="R24" s="883">
        <v>37101</v>
      </c>
      <c r="S24" s="883">
        <v>66673</v>
      </c>
      <c r="T24" s="883">
        <v>42737</v>
      </c>
      <c r="U24" s="883">
        <v>85403</v>
      </c>
      <c r="V24" s="883">
        <v>34646</v>
      </c>
      <c r="W24" s="883">
        <v>40712</v>
      </c>
      <c r="X24" s="883">
        <v>51961</v>
      </c>
      <c r="Y24" s="883">
        <v>38760</v>
      </c>
      <c r="Z24" s="873">
        <v>114645</v>
      </c>
      <c r="AA24" s="879">
        <f t="shared" si="70"/>
        <v>621468</v>
      </c>
      <c r="AB24" s="883">
        <v>36894</v>
      </c>
      <c r="AC24" s="883">
        <v>36372</v>
      </c>
      <c r="AD24" s="883">
        <v>57345</v>
      </c>
      <c r="AE24" s="883">
        <v>60160</v>
      </c>
      <c r="AF24" s="883">
        <v>56724</v>
      </c>
      <c r="AG24" s="883">
        <v>55421</v>
      </c>
      <c r="AH24" s="883">
        <v>49661</v>
      </c>
      <c r="AI24" s="883">
        <v>92991</v>
      </c>
      <c r="AJ24" s="883">
        <v>51659</v>
      </c>
      <c r="AK24" s="883">
        <v>56055</v>
      </c>
      <c r="AL24" s="883">
        <v>69556</v>
      </c>
      <c r="AM24" s="873">
        <v>109543</v>
      </c>
      <c r="AN24" s="879">
        <f t="shared" si="71"/>
        <v>732381</v>
      </c>
      <c r="AO24" s="883">
        <v>45758</v>
      </c>
      <c r="AP24" s="883">
        <v>44818</v>
      </c>
      <c r="AQ24" s="883">
        <v>52150</v>
      </c>
      <c r="AR24" s="883">
        <v>65191</v>
      </c>
      <c r="AS24" s="883">
        <v>64459</v>
      </c>
      <c r="AT24" s="883">
        <v>67116</v>
      </c>
      <c r="AU24" s="883">
        <v>70988</v>
      </c>
      <c r="AV24" s="883">
        <v>52251</v>
      </c>
      <c r="AW24" s="883">
        <v>52258</v>
      </c>
      <c r="AX24" s="883">
        <v>48563</v>
      </c>
      <c r="AY24" s="883">
        <v>57173</v>
      </c>
      <c r="AZ24" s="873">
        <v>65874</v>
      </c>
      <c r="BA24" s="879">
        <f t="shared" si="73"/>
        <v>686599</v>
      </c>
      <c r="BB24" s="883">
        <v>138179</v>
      </c>
      <c r="BC24" s="883">
        <v>71531</v>
      </c>
      <c r="BD24" s="883">
        <v>53389</v>
      </c>
      <c r="BE24" s="883">
        <v>51296</v>
      </c>
      <c r="BF24" s="883">
        <v>74347</v>
      </c>
      <c r="BG24" s="883">
        <v>88854</v>
      </c>
      <c r="BH24" s="883">
        <v>70390</v>
      </c>
      <c r="BI24" s="883">
        <v>78934</v>
      </c>
      <c r="BJ24" s="883">
        <v>42151</v>
      </c>
      <c r="BK24" s="883">
        <v>64947</v>
      </c>
      <c r="BL24" s="883">
        <v>59521</v>
      </c>
      <c r="BM24" s="873">
        <v>98879</v>
      </c>
      <c r="BN24" s="879">
        <f t="shared" si="75"/>
        <v>892418</v>
      </c>
      <c r="BO24" s="883">
        <v>74151</v>
      </c>
      <c r="BP24" s="883">
        <v>61765</v>
      </c>
      <c r="BQ24" s="883">
        <v>55704</v>
      </c>
      <c r="BR24" s="883">
        <v>61242</v>
      </c>
      <c r="BS24" s="883">
        <v>54767</v>
      </c>
      <c r="BT24" s="883">
        <v>55779</v>
      </c>
      <c r="BU24" s="883">
        <v>66162</v>
      </c>
      <c r="BV24" s="883">
        <v>73694</v>
      </c>
      <c r="BW24" s="883">
        <v>74224</v>
      </c>
      <c r="BX24" s="883">
        <v>85188</v>
      </c>
      <c r="BY24" s="883">
        <v>118601</v>
      </c>
      <c r="BZ24" s="873">
        <v>97413</v>
      </c>
      <c r="CA24" s="879">
        <f t="shared" si="77"/>
        <v>878690</v>
      </c>
      <c r="CB24" s="883">
        <v>63045</v>
      </c>
      <c r="CC24" s="883">
        <v>54201</v>
      </c>
      <c r="CD24" s="883">
        <v>64042</v>
      </c>
      <c r="CE24" s="883">
        <v>60161</v>
      </c>
      <c r="CF24" s="883">
        <v>60272</v>
      </c>
      <c r="CG24" s="883">
        <v>60234</v>
      </c>
      <c r="CH24" s="883">
        <v>59756</v>
      </c>
      <c r="CI24" s="883">
        <v>55228</v>
      </c>
      <c r="CJ24" s="883">
        <v>63751</v>
      </c>
      <c r="CK24" s="883">
        <v>55181</v>
      </c>
      <c r="CL24" s="883">
        <v>73308</v>
      </c>
      <c r="CM24" s="873">
        <v>90678</v>
      </c>
      <c r="CN24" s="879">
        <f t="shared" si="35"/>
        <v>759857</v>
      </c>
      <c r="CO24" s="883">
        <v>54578</v>
      </c>
      <c r="CP24" s="883">
        <v>60000</v>
      </c>
      <c r="CQ24" s="883">
        <v>65655</v>
      </c>
      <c r="CR24" s="883">
        <v>64880</v>
      </c>
      <c r="CS24" s="883">
        <v>66973</v>
      </c>
      <c r="CT24" s="883">
        <v>78891</v>
      </c>
      <c r="CU24" s="883">
        <v>92652</v>
      </c>
      <c r="CV24" s="883">
        <v>69841</v>
      </c>
      <c r="CW24" s="883">
        <v>69862</v>
      </c>
      <c r="CX24" s="883">
        <v>62128</v>
      </c>
      <c r="CY24" s="883">
        <v>65929</v>
      </c>
      <c r="CZ24" s="873">
        <v>105792</v>
      </c>
      <c r="DA24" s="879">
        <f t="shared" si="37"/>
        <v>857181</v>
      </c>
      <c r="DB24" s="883">
        <v>84755</v>
      </c>
      <c r="DC24" s="883">
        <v>76229</v>
      </c>
      <c r="DD24" s="883">
        <v>71959</v>
      </c>
      <c r="DE24" s="883">
        <v>72691</v>
      </c>
      <c r="DF24" s="883">
        <v>73725</v>
      </c>
      <c r="DG24" s="883">
        <v>88382</v>
      </c>
      <c r="DH24" s="883">
        <v>86045</v>
      </c>
      <c r="DI24" s="883">
        <v>84655</v>
      </c>
      <c r="DJ24" s="883">
        <v>84154</v>
      </c>
      <c r="DK24" s="883">
        <v>81589</v>
      </c>
      <c r="DL24" s="883">
        <v>88143</v>
      </c>
      <c r="DM24" s="873">
        <v>117433</v>
      </c>
      <c r="DN24" s="879">
        <f t="shared" si="39"/>
        <v>1009760</v>
      </c>
      <c r="DO24" s="883">
        <v>101807</v>
      </c>
      <c r="DP24" s="883">
        <v>82832</v>
      </c>
      <c r="DQ24" s="883">
        <v>79244</v>
      </c>
      <c r="DR24" s="883">
        <v>91341</v>
      </c>
      <c r="DS24" s="883">
        <v>95446</v>
      </c>
      <c r="DT24" s="883">
        <v>90879</v>
      </c>
      <c r="DU24" s="883">
        <v>102792</v>
      </c>
      <c r="DV24" s="883">
        <v>97393</v>
      </c>
      <c r="DW24" s="883">
        <v>85715</v>
      </c>
      <c r="DX24" s="883">
        <v>91825</v>
      </c>
      <c r="DY24" s="883">
        <v>125984</v>
      </c>
      <c r="DZ24" s="873">
        <v>117077</v>
      </c>
      <c r="EA24" s="879">
        <f t="shared" si="41"/>
        <v>1162335</v>
      </c>
      <c r="EB24" s="883">
        <v>95238</v>
      </c>
      <c r="EC24" s="883">
        <v>88814</v>
      </c>
      <c r="ED24" s="883">
        <v>87222</v>
      </c>
      <c r="EE24" s="883">
        <v>92813</v>
      </c>
      <c r="EF24" s="883">
        <v>113689</v>
      </c>
      <c r="EG24" s="883">
        <v>105510</v>
      </c>
      <c r="EH24" s="883">
        <v>108565</v>
      </c>
      <c r="EI24" s="883">
        <v>97449</v>
      </c>
      <c r="EJ24" s="883">
        <v>97004</v>
      </c>
      <c r="EK24" s="883">
        <v>94937</v>
      </c>
      <c r="EL24" s="883">
        <v>104670</v>
      </c>
      <c r="EM24" s="873">
        <v>129818</v>
      </c>
      <c r="EN24" s="879">
        <f t="shared" si="83"/>
        <v>1215729</v>
      </c>
      <c r="EO24" s="883">
        <v>126182</v>
      </c>
      <c r="EP24" s="883">
        <v>101023</v>
      </c>
      <c r="EQ24" s="883">
        <v>99537</v>
      </c>
      <c r="ER24" s="883">
        <v>102721</v>
      </c>
      <c r="ES24" s="883">
        <v>103430</v>
      </c>
      <c r="ET24" s="883">
        <v>104519</v>
      </c>
      <c r="EU24" s="883">
        <v>113643</v>
      </c>
      <c r="EV24" s="973">
        <v>103154</v>
      </c>
      <c r="EW24" s="883"/>
      <c r="EX24" s="883"/>
      <c r="EY24" s="883"/>
      <c r="EZ24" s="873"/>
      <c r="FA24" s="879">
        <f t="shared" si="45"/>
        <v>854209</v>
      </c>
      <c r="FC24" s="843">
        <f t="shared" si="46"/>
        <v>5.8543443236975135</v>
      </c>
      <c r="FD24" s="844">
        <f t="shared" si="85"/>
        <v>8.2236158621563415</v>
      </c>
      <c r="FE24" s="845">
        <f t="shared" si="48"/>
        <v>789300</v>
      </c>
      <c r="FF24" s="846">
        <f t="shared" si="49"/>
        <v>854209</v>
      </c>
      <c r="FI24" s="127"/>
    </row>
    <row r="25" spans="1:172" ht="15" customHeight="1" x14ac:dyDescent="0.25">
      <c r="A25" s="403" t="s">
        <v>387</v>
      </c>
      <c r="B25" s="883">
        <v>318</v>
      </c>
      <c r="C25" s="883">
        <v>1343</v>
      </c>
      <c r="D25" s="883">
        <v>12059</v>
      </c>
      <c r="E25" s="883">
        <v>448</v>
      </c>
      <c r="F25" s="883">
        <v>7070</v>
      </c>
      <c r="G25" s="883">
        <v>6300</v>
      </c>
      <c r="H25" s="883">
        <v>-2211</v>
      </c>
      <c r="I25" s="883">
        <v>4717</v>
      </c>
      <c r="J25" s="883">
        <v>2246</v>
      </c>
      <c r="K25" s="883">
        <v>2590</v>
      </c>
      <c r="L25" s="883">
        <v>1747</v>
      </c>
      <c r="M25" s="873">
        <v>4329</v>
      </c>
      <c r="N25" s="879">
        <f t="shared" si="68"/>
        <v>40956</v>
      </c>
      <c r="O25" s="883">
        <v>445</v>
      </c>
      <c r="P25" s="883">
        <v>681</v>
      </c>
      <c r="Q25" s="883">
        <v>2612</v>
      </c>
      <c r="R25" s="883">
        <v>1590</v>
      </c>
      <c r="S25" s="883">
        <v>2685</v>
      </c>
      <c r="T25" s="883">
        <v>4069</v>
      </c>
      <c r="U25" s="883">
        <v>1287</v>
      </c>
      <c r="V25" s="883">
        <v>1624</v>
      </c>
      <c r="W25" s="883">
        <v>1816</v>
      </c>
      <c r="X25" s="883">
        <v>1274</v>
      </c>
      <c r="Y25" s="883">
        <v>223</v>
      </c>
      <c r="Z25" s="873">
        <v>2232</v>
      </c>
      <c r="AA25" s="879">
        <f t="shared" si="70"/>
        <v>20538</v>
      </c>
      <c r="AB25" s="883">
        <v>435</v>
      </c>
      <c r="AC25" s="883">
        <v>1373</v>
      </c>
      <c r="AD25" s="883">
        <v>1596</v>
      </c>
      <c r="AE25" s="883">
        <v>1030</v>
      </c>
      <c r="AF25" s="883">
        <v>1285</v>
      </c>
      <c r="AG25" s="883">
        <v>1924</v>
      </c>
      <c r="AH25" s="883">
        <v>1495</v>
      </c>
      <c r="AI25" s="883">
        <v>2062</v>
      </c>
      <c r="AJ25" s="883">
        <v>1420</v>
      </c>
      <c r="AK25" s="883">
        <v>1422</v>
      </c>
      <c r="AL25" s="883">
        <v>1599</v>
      </c>
      <c r="AM25" s="873">
        <v>2908</v>
      </c>
      <c r="AN25" s="879">
        <f t="shared" si="71"/>
        <v>18549</v>
      </c>
      <c r="AO25" s="883">
        <v>490</v>
      </c>
      <c r="AP25" s="883">
        <v>770</v>
      </c>
      <c r="AQ25" s="883">
        <v>1916</v>
      </c>
      <c r="AR25" s="883">
        <v>4634</v>
      </c>
      <c r="AS25" s="883">
        <v>1986</v>
      </c>
      <c r="AT25" s="883">
        <v>1645</v>
      </c>
      <c r="AU25" s="883">
        <v>1680</v>
      </c>
      <c r="AV25" s="883">
        <v>2207</v>
      </c>
      <c r="AW25" s="883">
        <v>2661</v>
      </c>
      <c r="AX25" s="883">
        <v>2028</v>
      </c>
      <c r="AY25" s="883">
        <v>5000</v>
      </c>
      <c r="AZ25" s="873">
        <v>2297</v>
      </c>
      <c r="BA25" s="879">
        <f t="shared" si="73"/>
        <v>27314</v>
      </c>
      <c r="BB25" s="883">
        <v>52</v>
      </c>
      <c r="BC25" s="883">
        <v>1313</v>
      </c>
      <c r="BD25" s="883">
        <v>3620</v>
      </c>
      <c r="BE25" s="883">
        <v>1303</v>
      </c>
      <c r="BF25" s="883">
        <v>2353</v>
      </c>
      <c r="BG25" s="883">
        <v>2574</v>
      </c>
      <c r="BH25" s="883">
        <v>5556</v>
      </c>
      <c r="BI25" s="883">
        <v>2362</v>
      </c>
      <c r="BJ25" s="883">
        <v>2964</v>
      </c>
      <c r="BK25" s="883">
        <v>2295</v>
      </c>
      <c r="BL25" s="883">
        <v>7742</v>
      </c>
      <c r="BM25" s="873">
        <v>5257</v>
      </c>
      <c r="BN25" s="879">
        <f t="shared" si="75"/>
        <v>37391</v>
      </c>
      <c r="BO25" s="883">
        <v>3414</v>
      </c>
      <c r="BP25" s="883">
        <v>420</v>
      </c>
      <c r="BQ25" s="883">
        <v>1565</v>
      </c>
      <c r="BR25" s="883">
        <v>2076</v>
      </c>
      <c r="BS25" s="883">
        <v>1415</v>
      </c>
      <c r="BT25" s="883">
        <v>866</v>
      </c>
      <c r="BU25" s="883">
        <v>6748</v>
      </c>
      <c r="BV25" s="883">
        <v>16307</v>
      </c>
      <c r="BW25" s="883">
        <v>6027</v>
      </c>
      <c r="BX25" s="883">
        <v>6272</v>
      </c>
      <c r="BY25" s="883">
        <v>8979</v>
      </c>
      <c r="BZ25" s="873">
        <v>11558</v>
      </c>
      <c r="CA25" s="879">
        <f t="shared" si="77"/>
        <v>65647</v>
      </c>
      <c r="CB25" s="883">
        <v>1711</v>
      </c>
      <c r="CC25" s="883">
        <v>14602</v>
      </c>
      <c r="CD25" s="883">
        <v>11720</v>
      </c>
      <c r="CE25" s="883">
        <v>6236</v>
      </c>
      <c r="CF25" s="883">
        <v>11453</v>
      </c>
      <c r="CG25" s="883">
        <v>5544</v>
      </c>
      <c r="CH25" s="883">
        <v>8803</v>
      </c>
      <c r="CI25" s="883">
        <v>7776</v>
      </c>
      <c r="CJ25" s="883">
        <v>11969</v>
      </c>
      <c r="CK25" s="883">
        <v>6124</v>
      </c>
      <c r="CL25" s="883">
        <v>7374</v>
      </c>
      <c r="CM25" s="873">
        <v>20379</v>
      </c>
      <c r="CN25" s="879">
        <f t="shared" si="35"/>
        <v>113691</v>
      </c>
      <c r="CO25" s="883">
        <v>314</v>
      </c>
      <c r="CP25" s="883">
        <v>14494</v>
      </c>
      <c r="CQ25" s="883">
        <v>23063</v>
      </c>
      <c r="CR25" s="883">
        <v>13116</v>
      </c>
      <c r="CS25" s="883">
        <v>12704</v>
      </c>
      <c r="CT25" s="883">
        <v>12588</v>
      </c>
      <c r="CU25" s="883">
        <v>16541</v>
      </c>
      <c r="CV25" s="883">
        <v>18669</v>
      </c>
      <c r="CW25" s="883">
        <v>30007</v>
      </c>
      <c r="CX25" s="883">
        <v>30764</v>
      </c>
      <c r="CY25" s="883">
        <v>32421</v>
      </c>
      <c r="CZ25" s="873">
        <v>34992</v>
      </c>
      <c r="DA25" s="879">
        <f t="shared" si="37"/>
        <v>239673</v>
      </c>
      <c r="DB25" s="883">
        <v>1662</v>
      </c>
      <c r="DC25" s="883">
        <v>14857</v>
      </c>
      <c r="DD25" s="883">
        <v>16487</v>
      </c>
      <c r="DE25" s="883">
        <v>16247</v>
      </c>
      <c r="DF25" s="883">
        <v>26633</v>
      </c>
      <c r="DG25" s="883">
        <v>34425</v>
      </c>
      <c r="DH25" s="883">
        <v>32492</v>
      </c>
      <c r="DI25" s="883">
        <v>26907</v>
      </c>
      <c r="DJ25" s="883">
        <v>23531</v>
      </c>
      <c r="DK25" s="883">
        <v>45666</v>
      </c>
      <c r="DL25" s="883">
        <v>47157</v>
      </c>
      <c r="DM25" s="873">
        <v>149952</v>
      </c>
      <c r="DN25" s="879">
        <f t="shared" si="39"/>
        <v>436016</v>
      </c>
      <c r="DO25" s="883">
        <v>11912</v>
      </c>
      <c r="DP25" s="883">
        <v>27439</v>
      </c>
      <c r="DQ25" s="883">
        <v>50517</v>
      </c>
      <c r="DR25" s="883">
        <v>39526</v>
      </c>
      <c r="DS25" s="883">
        <v>61415</v>
      </c>
      <c r="DT25" s="883">
        <v>33946</v>
      </c>
      <c r="DU25" s="883">
        <v>46853</v>
      </c>
      <c r="DV25" s="883">
        <v>48422</v>
      </c>
      <c r="DW25" s="883">
        <v>35872</v>
      </c>
      <c r="DX25" s="883">
        <v>46527</v>
      </c>
      <c r="DY25" s="883">
        <v>52879</v>
      </c>
      <c r="DZ25" s="873">
        <v>57132</v>
      </c>
      <c r="EA25" s="879">
        <f t="shared" si="41"/>
        <v>512440</v>
      </c>
      <c r="EB25" s="883">
        <v>7052</v>
      </c>
      <c r="EC25" s="883">
        <v>37626</v>
      </c>
      <c r="ED25" s="883">
        <v>22135</v>
      </c>
      <c r="EE25" s="883">
        <v>33903</v>
      </c>
      <c r="EF25" s="883">
        <v>41602</v>
      </c>
      <c r="EG25" s="883">
        <v>30454</v>
      </c>
      <c r="EH25" s="883">
        <v>35988</v>
      </c>
      <c r="EI25" s="883">
        <v>40404</v>
      </c>
      <c r="EJ25" s="883">
        <v>33996</v>
      </c>
      <c r="EK25" s="883">
        <v>37537</v>
      </c>
      <c r="EL25" s="883">
        <v>43212</v>
      </c>
      <c r="EM25" s="873">
        <v>62075</v>
      </c>
      <c r="EN25" s="879">
        <f t="shared" si="83"/>
        <v>425984</v>
      </c>
      <c r="EO25" s="883">
        <v>10088</v>
      </c>
      <c r="EP25" s="883">
        <v>30005</v>
      </c>
      <c r="EQ25" s="883">
        <v>20869</v>
      </c>
      <c r="ER25" s="883">
        <v>42709</v>
      </c>
      <c r="ES25" s="883">
        <v>64498</v>
      </c>
      <c r="ET25" s="883">
        <v>26106</v>
      </c>
      <c r="EU25" s="883">
        <v>47423</v>
      </c>
      <c r="EV25" s="973">
        <v>57136</v>
      </c>
      <c r="EW25" s="883"/>
      <c r="EX25" s="883"/>
      <c r="EY25" s="883"/>
      <c r="EZ25" s="873"/>
      <c r="FA25" s="879">
        <f t="shared" si="45"/>
        <v>298834</v>
      </c>
      <c r="FC25" s="843">
        <f t="shared" si="46"/>
        <v>41.411741411741417</v>
      </c>
      <c r="FD25" s="844">
        <f t="shared" si="85"/>
        <v>19.934661508083028</v>
      </c>
      <c r="FE25" s="845">
        <f t="shared" si="48"/>
        <v>249164</v>
      </c>
      <c r="FF25" s="846">
        <f t="shared" si="49"/>
        <v>298834</v>
      </c>
      <c r="FI25" s="127"/>
    </row>
    <row r="26" spans="1:172" ht="15" customHeight="1" x14ac:dyDescent="0.25">
      <c r="A26" s="403" t="s">
        <v>461</v>
      </c>
      <c r="B26" s="883">
        <v>222</v>
      </c>
      <c r="C26" s="883">
        <v>777</v>
      </c>
      <c r="D26" s="883">
        <v>867</v>
      </c>
      <c r="E26" s="883">
        <v>918</v>
      </c>
      <c r="F26" s="883">
        <v>1104</v>
      </c>
      <c r="G26" s="883">
        <v>1026</v>
      </c>
      <c r="H26" s="883">
        <v>1419</v>
      </c>
      <c r="I26" s="883">
        <v>1115</v>
      </c>
      <c r="J26" s="883">
        <v>1105</v>
      </c>
      <c r="K26" s="883">
        <v>1416</v>
      </c>
      <c r="L26" s="883">
        <v>1879</v>
      </c>
      <c r="M26" s="873">
        <v>2746</v>
      </c>
      <c r="N26" s="879">
        <f t="shared" si="68"/>
        <v>14594</v>
      </c>
      <c r="O26" s="883">
        <v>525</v>
      </c>
      <c r="P26" s="883">
        <v>672</v>
      </c>
      <c r="Q26" s="883">
        <v>774</v>
      </c>
      <c r="R26" s="883">
        <v>859</v>
      </c>
      <c r="S26" s="883">
        <v>1327</v>
      </c>
      <c r="T26" s="883">
        <v>962</v>
      </c>
      <c r="U26" s="883">
        <v>1186</v>
      </c>
      <c r="V26" s="883">
        <v>1277</v>
      </c>
      <c r="W26" s="883">
        <v>1003</v>
      </c>
      <c r="X26" s="883">
        <v>1125</v>
      </c>
      <c r="Y26" s="883">
        <v>1095</v>
      </c>
      <c r="Z26" s="873">
        <v>2031</v>
      </c>
      <c r="AA26" s="879">
        <f t="shared" si="70"/>
        <v>12836</v>
      </c>
      <c r="AB26" s="883">
        <v>343</v>
      </c>
      <c r="AC26" s="883">
        <v>945</v>
      </c>
      <c r="AD26" s="883">
        <v>735</v>
      </c>
      <c r="AE26" s="883">
        <v>821</v>
      </c>
      <c r="AF26" s="883">
        <v>1112</v>
      </c>
      <c r="AG26" s="883">
        <v>1005</v>
      </c>
      <c r="AH26" s="883">
        <v>1320</v>
      </c>
      <c r="AI26" s="883">
        <v>1104</v>
      </c>
      <c r="AJ26" s="883">
        <v>1068</v>
      </c>
      <c r="AK26" s="883">
        <v>1117</v>
      </c>
      <c r="AL26" s="883">
        <v>726</v>
      </c>
      <c r="AM26" s="873">
        <v>1348</v>
      </c>
      <c r="AN26" s="879">
        <f t="shared" si="71"/>
        <v>11644</v>
      </c>
      <c r="AO26" s="883">
        <v>547</v>
      </c>
      <c r="AP26" s="883">
        <v>1086</v>
      </c>
      <c r="AQ26" s="883">
        <v>1151</v>
      </c>
      <c r="AR26" s="883">
        <v>881</v>
      </c>
      <c r="AS26" s="883">
        <v>870</v>
      </c>
      <c r="AT26" s="883">
        <v>1360</v>
      </c>
      <c r="AU26" s="883">
        <v>1443</v>
      </c>
      <c r="AV26" s="883">
        <v>1314</v>
      </c>
      <c r="AW26" s="883">
        <v>822</v>
      </c>
      <c r="AX26" s="883">
        <v>1090</v>
      </c>
      <c r="AY26" s="883">
        <v>1310</v>
      </c>
      <c r="AZ26" s="873">
        <v>1931</v>
      </c>
      <c r="BA26" s="879">
        <f t="shared" si="73"/>
        <v>13805</v>
      </c>
      <c r="BB26" s="883">
        <v>350</v>
      </c>
      <c r="BC26" s="883">
        <v>774</v>
      </c>
      <c r="BD26" s="883">
        <v>914</v>
      </c>
      <c r="BE26" s="883">
        <v>817</v>
      </c>
      <c r="BF26" s="883">
        <v>927</v>
      </c>
      <c r="BG26" s="883">
        <v>792</v>
      </c>
      <c r="BH26" s="883">
        <v>1392</v>
      </c>
      <c r="BI26" s="883">
        <v>1980</v>
      </c>
      <c r="BJ26" s="883">
        <v>1507</v>
      </c>
      <c r="BK26" s="883">
        <v>1498</v>
      </c>
      <c r="BL26" s="883">
        <v>1859</v>
      </c>
      <c r="BM26" s="873">
        <v>2699</v>
      </c>
      <c r="BN26" s="879">
        <f t="shared" si="75"/>
        <v>15509</v>
      </c>
      <c r="BO26" s="883">
        <v>239</v>
      </c>
      <c r="BP26" s="883">
        <v>822</v>
      </c>
      <c r="BQ26" s="883">
        <v>1130</v>
      </c>
      <c r="BR26" s="883">
        <v>671</v>
      </c>
      <c r="BS26" s="883">
        <v>668</v>
      </c>
      <c r="BT26" s="883">
        <v>468</v>
      </c>
      <c r="BU26" s="883">
        <v>931</v>
      </c>
      <c r="BV26" s="883">
        <v>1117</v>
      </c>
      <c r="BW26" s="883">
        <v>1188</v>
      </c>
      <c r="BX26" s="883">
        <v>1060</v>
      </c>
      <c r="BY26" s="883">
        <v>1698</v>
      </c>
      <c r="BZ26" s="873">
        <v>2594</v>
      </c>
      <c r="CA26" s="879">
        <f t="shared" si="77"/>
        <v>12586</v>
      </c>
      <c r="CB26" s="883">
        <v>209</v>
      </c>
      <c r="CC26" s="883">
        <v>590</v>
      </c>
      <c r="CD26" s="883">
        <v>1156</v>
      </c>
      <c r="CE26" s="883">
        <v>702</v>
      </c>
      <c r="CF26" s="883">
        <v>1163</v>
      </c>
      <c r="CG26" s="883">
        <v>1023</v>
      </c>
      <c r="CH26" s="883">
        <v>1008</v>
      </c>
      <c r="CI26" s="883">
        <v>1523</v>
      </c>
      <c r="CJ26" s="883">
        <v>1366</v>
      </c>
      <c r="CK26" s="883">
        <v>1566</v>
      </c>
      <c r="CL26" s="883">
        <v>1236</v>
      </c>
      <c r="CM26" s="873">
        <v>1438</v>
      </c>
      <c r="CN26" s="879">
        <f t="shared" si="35"/>
        <v>12980</v>
      </c>
      <c r="CO26" s="883">
        <v>52</v>
      </c>
      <c r="CP26" s="883">
        <v>846</v>
      </c>
      <c r="CQ26" s="883">
        <v>1128</v>
      </c>
      <c r="CR26" s="883">
        <v>1097</v>
      </c>
      <c r="CS26" s="883">
        <v>984</v>
      </c>
      <c r="CT26" s="883">
        <v>1040</v>
      </c>
      <c r="CU26" s="883">
        <v>1156</v>
      </c>
      <c r="CV26" s="883">
        <v>1189</v>
      </c>
      <c r="CW26" s="883">
        <v>845</v>
      </c>
      <c r="CX26" s="883">
        <v>884</v>
      </c>
      <c r="CY26" s="883">
        <v>655</v>
      </c>
      <c r="CZ26" s="873">
        <v>2254</v>
      </c>
      <c r="DA26" s="879">
        <f t="shared" si="37"/>
        <v>12130</v>
      </c>
      <c r="DB26" s="883">
        <v>181</v>
      </c>
      <c r="DC26" s="883">
        <v>434</v>
      </c>
      <c r="DD26" s="883">
        <v>1885</v>
      </c>
      <c r="DE26" s="883">
        <v>1015</v>
      </c>
      <c r="DF26" s="883">
        <v>1720</v>
      </c>
      <c r="DG26" s="883">
        <v>916</v>
      </c>
      <c r="DH26" s="883">
        <v>2050</v>
      </c>
      <c r="DI26" s="883">
        <v>2107</v>
      </c>
      <c r="DJ26" s="883">
        <v>1058</v>
      </c>
      <c r="DK26" s="883">
        <v>1094</v>
      </c>
      <c r="DL26" s="883">
        <v>1434</v>
      </c>
      <c r="DM26" s="873">
        <v>2145</v>
      </c>
      <c r="DN26" s="879">
        <f t="shared" si="39"/>
        <v>16039</v>
      </c>
      <c r="DO26" s="883">
        <v>185</v>
      </c>
      <c r="DP26" s="883">
        <v>705</v>
      </c>
      <c r="DQ26" s="883">
        <v>506</v>
      </c>
      <c r="DR26" s="883">
        <v>671</v>
      </c>
      <c r="DS26" s="883">
        <v>1555</v>
      </c>
      <c r="DT26" s="883">
        <v>1372</v>
      </c>
      <c r="DU26" s="883">
        <v>1197</v>
      </c>
      <c r="DV26" s="883">
        <v>1438</v>
      </c>
      <c r="DW26" s="883">
        <v>940</v>
      </c>
      <c r="DX26" s="883">
        <v>1668</v>
      </c>
      <c r="DY26" s="883">
        <v>1994</v>
      </c>
      <c r="DZ26" s="873">
        <v>2738</v>
      </c>
      <c r="EA26" s="879">
        <f t="shared" si="41"/>
        <v>14969</v>
      </c>
      <c r="EB26" s="883">
        <v>227</v>
      </c>
      <c r="EC26" s="883">
        <v>480</v>
      </c>
      <c r="ED26" s="883">
        <v>771</v>
      </c>
      <c r="EE26" s="883">
        <v>932</v>
      </c>
      <c r="EF26" s="883">
        <v>1026</v>
      </c>
      <c r="EG26" s="883">
        <v>859</v>
      </c>
      <c r="EH26" s="883">
        <v>1079</v>
      </c>
      <c r="EI26" s="883">
        <v>1045</v>
      </c>
      <c r="EJ26" s="883">
        <v>1102</v>
      </c>
      <c r="EK26" s="883">
        <v>1059</v>
      </c>
      <c r="EL26" s="883">
        <v>945</v>
      </c>
      <c r="EM26" s="873">
        <v>2132</v>
      </c>
      <c r="EN26" s="879">
        <f t="shared" si="83"/>
        <v>11657</v>
      </c>
      <c r="EO26" s="883">
        <v>224</v>
      </c>
      <c r="EP26" s="883">
        <v>526</v>
      </c>
      <c r="EQ26" s="883">
        <v>964</v>
      </c>
      <c r="ER26" s="883">
        <v>1179</v>
      </c>
      <c r="ES26" s="883">
        <v>1071</v>
      </c>
      <c r="ET26" s="883">
        <v>916</v>
      </c>
      <c r="EU26" s="883">
        <v>845</v>
      </c>
      <c r="EV26" s="973">
        <v>1320</v>
      </c>
      <c r="EW26" s="883"/>
      <c r="EX26" s="883"/>
      <c r="EY26" s="883"/>
      <c r="EZ26" s="873"/>
      <c r="FA26" s="879">
        <f t="shared" si="45"/>
        <v>7045</v>
      </c>
      <c r="FC26" s="843">
        <f t="shared" si="46"/>
        <v>26.315789473684205</v>
      </c>
      <c r="FD26" s="844">
        <f t="shared" si="85"/>
        <v>9.7522978657111672</v>
      </c>
      <c r="FE26" s="845">
        <f t="shared" si="48"/>
        <v>6419</v>
      </c>
      <c r="FF26" s="846">
        <f t="shared" si="49"/>
        <v>7045</v>
      </c>
      <c r="FI26" s="127"/>
    </row>
    <row r="27" spans="1:172" ht="15" customHeight="1" x14ac:dyDescent="0.25">
      <c r="A27" s="403" t="s">
        <v>462</v>
      </c>
      <c r="B27" s="883"/>
      <c r="C27" s="883"/>
      <c r="D27" s="883"/>
      <c r="E27" s="883"/>
      <c r="F27" s="883"/>
      <c r="G27" s="883"/>
      <c r="H27" s="883"/>
      <c r="I27" s="883"/>
      <c r="J27" s="883"/>
      <c r="K27" s="883"/>
      <c r="L27" s="883">
        <v>299</v>
      </c>
      <c r="M27" s="873">
        <v>1204</v>
      </c>
      <c r="N27" s="879">
        <f t="shared" si="68"/>
        <v>1503</v>
      </c>
      <c r="O27" s="883"/>
      <c r="P27" s="883"/>
      <c r="Q27" s="883">
        <v>1217</v>
      </c>
      <c r="R27" s="883"/>
      <c r="S27" s="883"/>
      <c r="T27" s="883">
        <v>12123</v>
      </c>
      <c r="U27" s="883">
        <v>13168</v>
      </c>
      <c r="V27" s="883">
        <v>346</v>
      </c>
      <c r="W27" s="883">
        <v>1552</v>
      </c>
      <c r="X27" s="883">
        <v>-25</v>
      </c>
      <c r="Y27" s="883">
        <v>1052</v>
      </c>
      <c r="Z27" s="873">
        <v>16596</v>
      </c>
      <c r="AA27" s="879">
        <f t="shared" si="70"/>
        <v>46029</v>
      </c>
      <c r="AB27" s="883"/>
      <c r="AC27" s="883">
        <v>274</v>
      </c>
      <c r="AD27" s="883">
        <v>3780</v>
      </c>
      <c r="AE27" s="883">
        <v>2639</v>
      </c>
      <c r="AF27" s="883">
        <v>1575</v>
      </c>
      <c r="AG27" s="883">
        <v>2905</v>
      </c>
      <c r="AH27" s="883">
        <v>4901</v>
      </c>
      <c r="AI27" s="883">
        <v>4897</v>
      </c>
      <c r="AJ27" s="883">
        <v>5008</v>
      </c>
      <c r="AK27" s="883">
        <v>1844</v>
      </c>
      <c r="AL27" s="883">
        <v>3985</v>
      </c>
      <c r="AM27" s="873">
        <v>22509</v>
      </c>
      <c r="AN27" s="879">
        <f t="shared" si="71"/>
        <v>54317</v>
      </c>
      <c r="AO27" s="883"/>
      <c r="AP27" s="883">
        <v>1062</v>
      </c>
      <c r="AQ27" s="883">
        <v>1070</v>
      </c>
      <c r="AR27" s="883">
        <v>1840</v>
      </c>
      <c r="AS27" s="883">
        <v>1179</v>
      </c>
      <c r="AT27" s="883">
        <v>2837</v>
      </c>
      <c r="AU27" s="883">
        <v>2207</v>
      </c>
      <c r="AV27" s="883">
        <v>19831</v>
      </c>
      <c r="AW27" s="883">
        <v>13326</v>
      </c>
      <c r="AX27" s="883">
        <v>5877</v>
      </c>
      <c r="AY27" s="883">
        <v>40922</v>
      </c>
      <c r="AZ27" s="873">
        <v>6156</v>
      </c>
      <c r="BA27" s="879">
        <f t="shared" si="73"/>
        <v>96307</v>
      </c>
      <c r="BB27" s="883"/>
      <c r="BC27" s="883"/>
      <c r="BD27" s="883">
        <v>4417</v>
      </c>
      <c r="BE27" s="883">
        <v>-729</v>
      </c>
      <c r="BF27" s="883">
        <v>8721</v>
      </c>
      <c r="BG27" s="883">
        <v>8230</v>
      </c>
      <c r="BH27" s="883">
        <v>11892</v>
      </c>
      <c r="BI27" s="883">
        <v>29696</v>
      </c>
      <c r="BJ27" s="883">
        <v>40559</v>
      </c>
      <c r="BK27" s="883">
        <v>49702</v>
      </c>
      <c r="BL27" s="883">
        <v>27320</v>
      </c>
      <c r="BM27" s="873">
        <v>43977</v>
      </c>
      <c r="BN27" s="879">
        <f t="shared" si="75"/>
        <v>223785</v>
      </c>
      <c r="BO27" s="883">
        <v>2396</v>
      </c>
      <c r="BP27" s="883"/>
      <c r="BQ27" s="883"/>
      <c r="BR27" s="883">
        <v>7590</v>
      </c>
      <c r="BS27" s="883"/>
      <c r="BT27" s="883">
        <v>345</v>
      </c>
      <c r="BU27" s="883"/>
      <c r="BV27" s="883">
        <v>3818</v>
      </c>
      <c r="BW27" s="883">
        <v>2587</v>
      </c>
      <c r="BX27" s="883">
        <v>15779</v>
      </c>
      <c r="BY27" s="883">
        <v>8856</v>
      </c>
      <c r="BZ27" s="873">
        <v>36953</v>
      </c>
      <c r="CA27" s="879">
        <f t="shared" si="77"/>
        <v>78324</v>
      </c>
      <c r="CB27" s="883">
        <v>10833</v>
      </c>
      <c r="CC27" s="883">
        <v>5881</v>
      </c>
      <c r="CD27" s="883">
        <v>6706</v>
      </c>
      <c r="CE27" s="883">
        <v>14014</v>
      </c>
      <c r="CF27" s="883">
        <v>12145</v>
      </c>
      <c r="CG27" s="883">
        <v>17714</v>
      </c>
      <c r="CH27" s="883">
        <v>32044</v>
      </c>
      <c r="CI27" s="883">
        <v>18625</v>
      </c>
      <c r="CJ27" s="883">
        <v>18950</v>
      </c>
      <c r="CK27" s="883">
        <v>21732</v>
      </c>
      <c r="CL27" s="883">
        <v>17664</v>
      </c>
      <c r="CM27" s="873">
        <v>43071</v>
      </c>
      <c r="CN27" s="879">
        <f t="shared" si="35"/>
        <v>219379</v>
      </c>
      <c r="CO27" s="883">
        <v>5291</v>
      </c>
      <c r="CP27" s="883">
        <v>18700</v>
      </c>
      <c r="CQ27" s="883">
        <v>16233</v>
      </c>
      <c r="CR27" s="883">
        <v>3886</v>
      </c>
      <c r="CS27" s="883">
        <v>1755</v>
      </c>
      <c r="CT27" s="883">
        <v>2211</v>
      </c>
      <c r="CU27" s="883">
        <v>3030</v>
      </c>
      <c r="CV27" s="883">
        <v>10708</v>
      </c>
      <c r="CW27" s="883">
        <v>291</v>
      </c>
      <c r="CX27" s="883">
        <v>541</v>
      </c>
      <c r="CY27" s="883">
        <v>1028</v>
      </c>
      <c r="CZ27" s="873">
        <v>4456</v>
      </c>
      <c r="DA27" s="879">
        <f t="shared" si="37"/>
        <v>68130</v>
      </c>
      <c r="DB27" s="883"/>
      <c r="DC27" s="883"/>
      <c r="DD27" s="883"/>
      <c r="DE27" s="883">
        <v>409</v>
      </c>
      <c r="DF27" s="883"/>
      <c r="DG27" s="883"/>
      <c r="DH27" s="883"/>
      <c r="DI27" s="883">
        <v>692</v>
      </c>
      <c r="DJ27" s="883">
        <v>2037</v>
      </c>
      <c r="DK27" s="883">
        <v>314</v>
      </c>
      <c r="DL27" s="883">
        <v>-16</v>
      </c>
      <c r="DM27" s="873">
        <v>24511</v>
      </c>
      <c r="DN27" s="879">
        <f t="shared" si="39"/>
        <v>27947</v>
      </c>
      <c r="DO27" s="883"/>
      <c r="DP27" s="883"/>
      <c r="DQ27" s="883"/>
      <c r="DR27" s="883"/>
      <c r="DS27" s="883">
        <v>20524</v>
      </c>
      <c r="DT27" s="883"/>
      <c r="DU27" s="883"/>
      <c r="DV27" s="883">
        <v>29394</v>
      </c>
      <c r="DW27" s="883"/>
      <c r="DX27" s="883">
        <v>21649</v>
      </c>
      <c r="DY27" s="883"/>
      <c r="DZ27" s="873"/>
      <c r="EA27" s="879">
        <f t="shared" si="41"/>
        <v>71567</v>
      </c>
      <c r="EB27" s="883">
        <v>0</v>
      </c>
      <c r="EC27" s="883">
        <v>0</v>
      </c>
      <c r="ED27" s="883">
        <v>0</v>
      </c>
      <c r="EE27" s="883">
        <v>0</v>
      </c>
      <c r="EF27" s="883">
        <v>0</v>
      </c>
      <c r="EG27" s="883">
        <v>0</v>
      </c>
      <c r="EH27" s="883">
        <v>0</v>
      </c>
      <c r="EI27" s="883">
        <v>0</v>
      </c>
      <c r="EJ27" s="883">
        <v>465</v>
      </c>
      <c r="EK27" s="883">
        <v>661</v>
      </c>
      <c r="EL27" s="883">
        <v>919</v>
      </c>
      <c r="EM27" s="873">
        <v>17570</v>
      </c>
      <c r="EN27" s="879">
        <f t="shared" si="83"/>
        <v>19615</v>
      </c>
      <c r="EO27" s="883">
        <v>1071</v>
      </c>
      <c r="EP27" s="883">
        <v>40892</v>
      </c>
      <c r="EQ27" s="883">
        <v>4620</v>
      </c>
      <c r="ER27" s="883">
        <v>13071</v>
      </c>
      <c r="ES27" s="883">
        <v>17648</v>
      </c>
      <c r="ET27" s="883">
        <v>23516</v>
      </c>
      <c r="EU27" s="883">
        <v>16254</v>
      </c>
      <c r="EV27" s="973">
        <v>16115</v>
      </c>
      <c r="EW27" s="883"/>
      <c r="EX27" s="883"/>
      <c r="EY27" s="883"/>
      <c r="EZ27" s="873"/>
      <c r="FA27" s="879">
        <f t="shared" si="45"/>
        <v>133187</v>
      </c>
      <c r="FC27" s="843" t="str">
        <f t="shared" si="46"/>
        <v/>
      </c>
      <c r="FD27" s="844" t="str">
        <f t="shared" si="85"/>
        <v/>
      </c>
      <c r="FE27" s="845">
        <f t="shared" si="48"/>
        <v>0</v>
      </c>
      <c r="FF27" s="846">
        <f t="shared" si="49"/>
        <v>133187</v>
      </c>
      <c r="FI27" s="127"/>
    </row>
    <row r="28" spans="1:172" ht="15" customHeight="1" x14ac:dyDescent="0.25">
      <c r="A28" s="403" t="s">
        <v>299</v>
      </c>
      <c r="B28" s="883"/>
      <c r="C28" s="883"/>
      <c r="D28" s="883">
        <v>1153</v>
      </c>
      <c r="E28" s="883">
        <v>2142</v>
      </c>
      <c r="F28" s="883">
        <v>3226</v>
      </c>
      <c r="G28" s="883">
        <v>2915</v>
      </c>
      <c r="H28" s="883">
        <v>3961</v>
      </c>
      <c r="I28" s="883">
        <v>2870</v>
      </c>
      <c r="J28" s="883">
        <v>3398</v>
      </c>
      <c r="K28" s="883">
        <v>2768</v>
      </c>
      <c r="L28" s="883">
        <v>2862</v>
      </c>
      <c r="M28" s="873">
        <v>4555</v>
      </c>
      <c r="N28" s="879">
        <f t="shared" si="68"/>
        <v>29850</v>
      </c>
      <c r="O28" s="883"/>
      <c r="P28" s="883">
        <v>2529</v>
      </c>
      <c r="Q28" s="883"/>
      <c r="R28" s="883">
        <v>1128</v>
      </c>
      <c r="S28" s="883">
        <v>3940</v>
      </c>
      <c r="T28" s="883">
        <v>3015</v>
      </c>
      <c r="U28" s="883">
        <v>2063</v>
      </c>
      <c r="V28" s="883">
        <v>1842</v>
      </c>
      <c r="W28" s="883">
        <v>2803</v>
      </c>
      <c r="X28" s="883">
        <v>1648</v>
      </c>
      <c r="Y28" s="883">
        <v>1743</v>
      </c>
      <c r="Z28" s="873">
        <v>4872</v>
      </c>
      <c r="AA28" s="879">
        <f t="shared" si="70"/>
        <v>25583</v>
      </c>
      <c r="AB28" s="883"/>
      <c r="AC28" s="883">
        <v>1124</v>
      </c>
      <c r="AD28" s="883">
        <v>2412</v>
      </c>
      <c r="AE28" s="883">
        <v>1659</v>
      </c>
      <c r="AF28" s="883">
        <v>1145</v>
      </c>
      <c r="AG28" s="883">
        <v>732</v>
      </c>
      <c r="AH28" s="883">
        <v>3097</v>
      </c>
      <c r="AI28" s="883">
        <v>2588</v>
      </c>
      <c r="AJ28" s="883">
        <v>2446</v>
      </c>
      <c r="AK28" s="883">
        <v>1561</v>
      </c>
      <c r="AL28" s="883">
        <v>3214</v>
      </c>
      <c r="AM28" s="873">
        <v>11952</v>
      </c>
      <c r="AN28" s="879">
        <f t="shared" si="71"/>
        <v>31930</v>
      </c>
      <c r="AO28" s="883">
        <v>5</v>
      </c>
      <c r="AP28" s="883">
        <v>824</v>
      </c>
      <c r="AQ28" s="883">
        <v>2000</v>
      </c>
      <c r="AR28" s="883">
        <v>3117</v>
      </c>
      <c r="AS28" s="883">
        <v>2618</v>
      </c>
      <c r="AT28" s="883">
        <v>3863</v>
      </c>
      <c r="AU28" s="883">
        <v>3704</v>
      </c>
      <c r="AV28" s="883">
        <v>5119</v>
      </c>
      <c r="AW28" s="883">
        <v>3633</v>
      </c>
      <c r="AX28" s="883">
        <v>4506</v>
      </c>
      <c r="AY28" s="883">
        <v>3077</v>
      </c>
      <c r="AZ28" s="873">
        <v>4672</v>
      </c>
      <c r="BA28" s="879">
        <f t="shared" si="73"/>
        <v>37138</v>
      </c>
      <c r="BB28" s="883"/>
      <c r="BC28" s="883">
        <v>1323</v>
      </c>
      <c r="BD28" s="883">
        <v>2368</v>
      </c>
      <c r="BE28" s="883">
        <v>2833</v>
      </c>
      <c r="BF28" s="883">
        <v>2986</v>
      </c>
      <c r="BG28" s="883">
        <v>2584</v>
      </c>
      <c r="BH28" s="883">
        <v>1863</v>
      </c>
      <c r="BI28" s="883">
        <v>2691</v>
      </c>
      <c r="BJ28" s="883">
        <v>2294</v>
      </c>
      <c r="BK28" s="883">
        <v>2380</v>
      </c>
      <c r="BL28" s="883">
        <v>2616</v>
      </c>
      <c r="BM28" s="873">
        <v>5339</v>
      </c>
      <c r="BN28" s="879">
        <f t="shared" si="75"/>
        <v>29277</v>
      </c>
      <c r="BO28" s="883"/>
      <c r="BP28" s="883">
        <v>39</v>
      </c>
      <c r="BQ28" s="883">
        <v>2233</v>
      </c>
      <c r="BR28" s="883">
        <v>3335</v>
      </c>
      <c r="BS28" s="883">
        <v>3493</v>
      </c>
      <c r="BT28" s="883">
        <v>2671</v>
      </c>
      <c r="BU28" s="883">
        <v>1601</v>
      </c>
      <c r="BV28" s="883">
        <v>2202</v>
      </c>
      <c r="BW28" s="883">
        <v>2911</v>
      </c>
      <c r="BX28" s="883">
        <v>4160</v>
      </c>
      <c r="BY28" s="883">
        <v>3927</v>
      </c>
      <c r="BZ28" s="873">
        <v>9857</v>
      </c>
      <c r="CA28" s="879">
        <f t="shared" si="77"/>
        <v>36429</v>
      </c>
      <c r="CB28" s="883"/>
      <c r="CC28" s="883">
        <v>213</v>
      </c>
      <c r="CD28" s="883">
        <v>2775</v>
      </c>
      <c r="CE28" s="883">
        <v>2896</v>
      </c>
      <c r="CF28" s="883">
        <v>3274</v>
      </c>
      <c r="CG28" s="883">
        <v>3168</v>
      </c>
      <c r="CH28" s="883">
        <v>2928</v>
      </c>
      <c r="CI28" s="883">
        <v>2330</v>
      </c>
      <c r="CJ28" s="883">
        <v>2794</v>
      </c>
      <c r="CK28" s="883">
        <v>2041</v>
      </c>
      <c r="CL28" s="883">
        <v>2365</v>
      </c>
      <c r="CM28" s="873">
        <v>6970</v>
      </c>
      <c r="CN28" s="879">
        <f t="shared" si="35"/>
        <v>31754</v>
      </c>
      <c r="CO28" s="883"/>
      <c r="CP28" s="883">
        <v>38</v>
      </c>
      <c r="CQ28" s="883">
        <v>2328</v>
      </c>
      <c r="CR28" s="883">
        <v>1958</v>
      </c>
      <c r="CS28" s="883">
        <v>1850</v>
      </c>
      <c r="CT28" s="883">
        <v>2758</v>
      </c>
      <c r="CU28" s="883">
        <v>5452</v>
      </c>
      <c r="CV28" s="883">
        <v>1006</v>
      </c>
      <c r="CW28" s="883">
        <v>1620</v>
      </c>
      <c r="CX28" s="883">
        <v>3381</v>
      </c>
      <c r="CY28" s="883">
        <v>5050</v>
      </c>
      <c r="CZ28" s="873">
        <v>11824</v>
      </c>
      <c r="DA28" s="879">
        <f>SUM(CO28:CZ28)</f>
        <v>37265</v>
      </c>
      <c r="DB28" s="883"/>
      <c r="DC28" s="883">
        <v>530</v>
      </c>
      <c r="DD28" s="883">
        <v>2627</v>
      </c>
      <c r="DE28" s="883">
        <v>2275</v>
      </c>
      <c r="DF28" s="883">
        <v>4198</v>
      </c>
      <c r="DG28" s="883">
        <v>3444</v>
      </c>
      <c r="DH28" s="883">
        <v>6812</v>
      </c>
      <c r="DI28" s="883">
        <v>834</v>
      </c>
      <c r="DJ28" s="883">
        <v>3235</v>
      </c>
      <c r="DK28" s="883">
        <v>2065</v>
      </c>
      <c r="DL28" s="883">
        <v>2658</v>
      </c>
      <c r="DM28" s="873">
        <v>9636</v>
      </c>
      <c r="DN28" s="879">
        <f t="shared" si="39"/>
        <v>38314</v>
      </c>
      <c r="DO28" s="883"/>
      <c r="DP28" s="883">
        <v>111</v>
      </c>
      <c r="DQ28" s="883">
        <v>1504</v>
      </c>
      <c r="DR28" s="883">
        <v>4076</v>
      </c>
      <c r="DS28" s="883">
        <v>4015</v>
      </c>
      <c r="DT28" s="883">
        <v>6873</v>
      </c>
      <c r="DU28" s="883">
        <v>1296</v>
      </c>
      <c r="DV28" s="883">
        <v>3338</v>
      </c>
      <c r="DW28" s="883">
        <v>610</v>
      </c>
      <c r="DX28" s="883">
        <v>4647</v>
      </c>
      <c r="DY28" s="883">
        <v>3663</v>
      </c>
      <c r="DZ28" s="873">
        <v>3925</v>
      </c>
      <c r="EA28" s="879">
        <f t="shared" si="41"/>
        <v>34058</v>
      </c>
      <c r="EB28" s="883">
        <v>0</v>
      </c>
      <c r="EC28" s="883">
        <v>2</v>
      </c>
      <c r="ED28" s="883">
        <v>2688</v>
      </c>
      <c r="EE28" s="883">
        <v>2342</v>
      </c>
      <c r="EF28" s="883">
        <v>3599</v>
      </c>
      <c r="EG28" s="883">
        <v>3051</v>
      </c>
      <c r="EH28" s="883">
        <v>2280</v>
      </c>
      <c r="EI28" s="883">
        <v>2553</v>
      </c>
      <c r="EJ28" s="883">
        <v>1230</v>
      </c>
      <c r="EK28" s="883">
        <v>2215</v>
      </c>
      <c r="EL28" s="883">
        <v>3280</v>
      </c>
      <c r="EM28" s="873">
        <v>4384</v>
      </c>
      <c r="EN28" s="879">
        <f>SUM(EB28:EM28)</f>
        <v>27624</v>
      </c>
      <c r="EO28" s="883">
        <v>0</v>
      </c>
      <c r="EP28" s="883">
        <v>1904</v>
      </c>
      <c r="EQ28" s="883">
        <v>4145</v>
      </c>
      <c r="ER28" s="883">
        <v>6964</v>
      </c>
      <c r="ES28" s="883">
        <v>4723</v>
      </c>
      <c r="ET28" s="883">
        <v>4085</v>
      </c>
      <c r="EU28" s="883">
        <v>1075</v>
      </c>
      <c r="EV28" s="973">
        <v>1934</v>
      </c>
      <c r="EW28" s="883"/>
      <c r="EX28" s="883"/>
      <c r="EY28" s="883"/>
      <c r="EZ28" s="873"/>
      <c r="FA28" s="879">
        <f>SUM(EO28:EZ28)</f>
        <v>24830</v>
      </c>
      <c r="FC28" s="843">
        <f t="shared" si="46"/>
        <v>-24.245985115550329</v>
      </c>
      <c r="FD28" s="844">
        <f t="shared" si="85"/>
        <v>50.348168331819565</v>
      </c>
      <c r="FE28" s="845">
        <f t="shared" si="48"/>
        <v>16515</v>
      </c>
      <c r="FF28" s="846">
        <f t="shared" si="49"/>
        <v>24830</v>
      </c>
      <c r="FI28" s="127"/>
    </row>
    <row r="29" spans="1:172" ht="15" customHeight="1" x14ac:dyDescent="0.25">
      <c r="A29" s="403" t="s">
        <v>388</v>
      </c>
      <c r="B29" s="883"/>
      <c r="C29" s="883"/>
      <c r="D29" s="883"/>
      <c r="E29" s="883"/>
      <c r="F29" s="883"/>
      <c r="G29" s="883"/>
      <c r="H29" s="883"/>
      <c r="I29" s="883"/>
      <c r="J29" s="883"/>
      <c r="K29" s="883"/>
      <c r="L29" s="883"/>
      <c r="M29" s="873"/>
      <c r="N29" s="879"/>
      <c r="O29" s="883"/>
      <c r="P29" s="883"/>
      <c r="Q29" s="883"/>
      <c r="R29" s="883"/>
      <c r="S29" s="883"/>
      <c r="T29" s="883"/>
      <c r="U29" s="883"/>
      <c r="V29" s="883"/>
      <c r="W29" s="883"/>
      <c r="X29" s="883"/>
      <c r="Y29" s="883"/>
      <c r="Z29" s="873"/>
      <c r="AA29" s="879"/>
      <c r="AB29" s="883"/>
      <c r="AC29" s="883"/>
      <c r="AD29" s="883"/>
      <c r="AE29" s="883"/>
      <c r="AF29" s="883"/>
      <c r="AG29" s="883"/>
      <c r="AH29" s="883"/>
      <c r="AI29" s="883"/>
      <c r="AJ29" s="883"/>
      <c r="AK29" s="883"/>
      <c r="AL29" s="883"/>
      <c r="AM29" s="873"/>
      <c r="AN29" s="879"/>
      <c r="AO29" s="883"/>
      <c r="AP29" s="883"/>
      <c r="AQ29" s="883"/>
      <c r="AR29" s="883"/>
      <c r="AS29" s="883"/>
      <c r="AT29" s="883"/>
      <c r="AU29" s="883"/>
      <c r="AV29" s="883"/>
      <c r="AW29" s="883"/>
      <c r="AX29" s="883"/>
      <c r="AY29" s="883"/>
      <c r="AZ29" s="873"/>
      <c r="BA29" s="879"/>
      <c r="BB29" s="883"/>
      <c r="BC29" s="883"/>
      <c r="BD29" s="883"/>
      <c r="BE29" s="883"/>
      <c r="BF29" s="883"/>
      <c r="BG29" s="883"/>
      <c r="BH29" s="883"/>
      <c r="BI29" s="883"/>
      <c r="BJ29" s="883"/>
      <c r="BK29" s="883"/>
      <c r="BL29" s="883"/>
      <c r="BM29" s="873"/>
      <c r="BN29" s="879"/>
      <c r="BO29" s="883"/>
      <c r="BP29" s="883"/>
      <c r="BQ29" s="883"/>
      <c r="BR29" s="883"/>
      <c r="BS29" s="883"/>
      <c r="BT29" s="883"/>
      <c r="BU29" s="883"/>
      <c r="BV29" s="883"/>
      <c r="BW29" s="883"/>
      <c r="BX29" s="883"/>
      <c r="BY29" s="883"/>
      <c r="BZ29" s="873"/>
      <c r="CA29" s="879"/>
      <c r="CB29" s="883"/>
      <c r="CC29" s="883"/>
      <c r="CD29" s="883"/>
      <c r="CE29" s="883"/>
      <c r="CF29" s="883"/>
      <c r="CG29" s="883"/>
      <c r="CH29" s="883"/>
      <c r="CI29" s="883"/>
      <c r="CJ29" s="883"/>
      <c r="CK29" s="883"/>
      <c r="CL29" s="883"/>
      <c r="CM29" s="873"/>
      <c r="CN29" s="879"/>
      <c r="CO29" s="883"/>
      <c r="CP29" s="883"/>
      <c r="CQ29" s="883"/>
      <c r="CR29" s="883"/>
      <c r="CS29" s="883"/>
      <c r="CT29" s="883"/>
      <c r="CU29" s="883"/>
      <c r="CV29" s="883"/>
      <c r="CW29" s="883"/>
      <c r="CX29" s="883"/>
      <c r="CY29" s="883"/>
      <c r="CZ29" s="873"/>
      <c r="DA29" s="879"/>
      <c r="DB29" s="883"/>
      <c r="DC29" s="883"/>
      <c r="DD29" s="883"/>
      <c r="DE29" s="883"/>
      <c r="DF29" s="883"/>
      <c r="DG29" s="883"/>
      <c r="DH29" s="883"/>
      <c r="DI29" s="883"/>
      <c r="DJ29" s="883"/>
      <c r="DK29" s="883"/>
      <c r="DL29" s="883"/>
      <c r="DM29" s="873"/>
      <c r="DN29" s="879">
        <f t="shared" si="39"/>
        <v>0</v>
      </c>
      <c r="DO29" s="883"/>
      <c r="DP29" s="883"/>
      <c r="DQ29" s="883"/>
      <c r="DR29" s="883"/>
      <c r="DS29" s="883"/>
      <c r="DT29" s="883"/>
      <c r="DU29" s="883"/>
      <c r="DV29" s="883"/>
      <c r="DW29" s="883"/>
      <c r="DX29" s="883"/>
      <c r="DY29" s="883"/>
      <c r="DZ29" s="873"/>
      <c r="EA29" s="879">
        <f t="shared" si="41"/>
        <v>0</v>
      </c>
      <c r="EB29" s="883"/>
      <c r="EC29" s="883"/>
      <c r="ED29" s="883"/>
      <c r="EE29" s="883"/>
      <c r="EF29" s="883"/>
      <c r="EG29" s="883"/>
      <c r="EH29" s="883"/>
      <c r="EI29" s="883"/>
      <c r="EJ29" s="883"/>
      <c r="EK29" s="883"/>
      <c r="EL29" s="883"/>
      <c r="EM29" s="873"/>
      <c r="EN29" s="879">
        <f t="shared" ref="EN29:EN31" si="86">SUM(EB29:EM29)</f>
        <v>0</v>
      </c>
      <c r="EO29" s="883"/>
      <c r="EP29" s="883"/>
      <c r="EQ29" s="883"/>
      <c r="ER29" s="883"/>
      <c r="ES29" s="883"/>
      <c r="ET29" s="883"/>
      <c r="EU29" s="883"/>
      <c r="EV29" s="973"/>
      <c r="EW29" s="883"/>
      <c r="EX29" s="883"/>
      <c r="EY29" s="883"/>
      <c r="EZ29" s="873"/>
      <c r="FA29" s="879">
        <f t="shared" si="45"/>
        <v>0</v>
      </c>
      <c r="FC29" s="843" t="str">
        <f t="shared" si="46"/>
        <v/>
      </c>
      <c r="FD29" s="844" t="str">
        <f t="shared" si="85"/>
        <v/>
      </c>
      <c r="FE29" s="845">
        <f t="shared" si="48"/>
        <v>0</v>
      </c>
      <c r="FF29" s="846">
        <f t="shared" si="49"/>
        <v>0</v>
      </c>
      <c r="FI29" s="127"/>
    </row>
    <row r="30" spans="1:172" ht="15" customHeight="1" x14ac:dyDescent="0.25">
      <c r="A30" s="403" t="s">
        <v>389</v>
      </c>
      <c r="B30" s="883"/>
      <c r="C30" s="883"/>
      <c r="D30" s="883"/>
      <c r="E30" s="883"/>
      <c r="F30" s="883"/>
      <c r="G30" s="883"/>
      <c r="H30" s="883"/>
      <c r="I30" s="883"/>
      <c r="J30" s="883"/>
      <c r="K30" s="883"/>
      <c r="L30" s="883"/>
      <c r="M30" s="873"/>
      <c r="N30" s="879"/>
      <c r="O30" s="883"/>
      <c r="P30" s="883"/>
      <c r="Q30" s="883"/>
      <c r="R30" s="883"/>
      <c r="S30" s="883"/>
      <c r="T30" s="883"/>
      <c r="U30" s="883"/>
      <c r="V30" s="883"/>
      <c r="W30" s="883"/>
      <c r="X30" s="883"/>
      <c r="Y30" s="883"/>
      <c r="Z30" s="873"/>
      <c r="AA30" s="879"/>
      <c r="AB30" s="883"/>
      <c r="AC30" s="883"/>
      <c r="AD30" s="883"/>
      <c r="AE30" s="883"/>
      <c r="AF30" s="883"/>
      <c r="AG30" s="883"/>
      <c r="AH30" s="883"/>
      <c r="AI30" s="883"/>
      <c r="AJ30" s="883"/>
      <c r="AK30" s="883"/>
      <c r="AL30" s="883"/>
      <c r="AM30" s="873"/>
      <c r="AN30" s="879"/>
      <c r="AO30" s="883"/>
      <c r="AP30" s="883"/>
      <c r="AQ30" s="883"/>
      <c r="AR30" s="883"/>
      <c r="AS30" s="883"/>
      <c r="AT30" s="883"/>
      <c r="AU30" s="883"/>
      <c r="AV30" s="883"/>
      <c r="AW30" s="883"/>
      <c r="AX30" s="883"/>
      <c r="AY30" s="883"/>
      <c r="AZ30" s="873"/>
      <c r="BA30" s="879"/>
      <c r="BB30" s="883"/>
      <c r="BC30" s="883"/>
      <c r="BD30" s="883"/>
      <c r="BE30" s="883"/>
      <c r="BF30" s="883"/>
      <c r="BG30" s="883"/>
      <c r="BH30" s="883"/>
      <c r="BI30" s="883"/>
      <c r="BJ30" s="883"/>
      <c r="BK30" s="883"/>
      <c r="BL30" s="883"/>
      <c r="BM30" s="873"/>
      <c r="BN30" s="879"/>
      <c r="BO30" s="883"/>
      <c r="BP30" s="883"/>
      <c r="BQ30" s="883"/>
      <c r="BR30" s="883"/>
      <c r="BS30" s="883"/>
      <c r="BT30" s="883"/>
      <c r="BU30" s="883"/>
      <c r="BV30" s="883"/>
      <c r="BW30" s="883"/>
      <c r="BX30" s="883"/>
      <c r="BY30" s="883"/>
      <c r="BZ30" s="873"/>
      <c r="CA30" s="879"/>
      <c r="CB30" s="883"/>
      <c r="CC30" s="883"/>
      <c r="CD30" s="883"/>
      <c r="CE30" s="883"/>
      <c r="CF30" s="883"/>
      <c r="CG30" s="883"/>
      <c r="CH30" s="883"/>
      <c r="CI30" s="883"/>
      <c r="CJ30" s="883"/>
      <c r="CK30" s="883"/>
      <c r="CL30" s="883"/>
      <c r="CM30" s="873"/>
      <c r="CN30" s="879"/>
      <c r="CO30" s="883"/>
      <c r="CP30" s="883"/>
      <c r="CQ30" s="883"/>
      <c r="CR30" s="883"/>
      <c r="CS30" s="883"/>
      <c r="CT30" s="883"/>
      <c r="CU30" s="883"/>
      <c r="CV30" s="883"/>
      <c r="CW30" s="883"/>
      <c r="CX30" s="883"/>
      <c r="CY30" s="883"/>
      <c r="CZ30" s="873"/>
      <c r="DA30" s="879"/>
      <c r="DB30" s="883"/>
      <c r="DC30" s="883"/>
      <c r="DD30" s="883"/>
      <c r="DE30" s="883"/>
      <c r="DF30" s="883"/>
      <c r="DG30" s="883"/>
      <c r="DH30" s="883"/>
      <c r="DI30" s="883"/>
      <c r="DJ30" s="883"/>
      <c r="DK30" s="883"/>
      <c r="DL30" s="883"/>
      <c r="DM30" s="873"/>
      <c r="DN30" s="879">
        <f t="shared" si="39"/>
        <v>0</v>
      </c>
      <c r="DO30" s="883"/>
      <c r="DP30" s="883"/>
      <c r="DQ30" s="883"/>
      <c r="DR30" s="883"/>
      <c r="DS30" s="883"/>
      <c r="DT30" s="883"/>
      <c r="DU30" s="883"/>
      <c r="DV30" s="883"/>
      <c r="DW30" s="883"/>
      <c r="DX30" s="883"/>
      <c r="DY30" s="883"/>
      <c r="DZ30" s="873"/>
      <c r="EA30" s="879">
        <f t="shared" si="41"/>
        <v>0</v>
      </c>
      <c r="EB30" s="883"/>
      <c r="EC30" s="883"/>
      <c r="ED30" s="883"/>
      <c r="EE30" s="883"/>
      <c r="EF30" s="883"/>
      <c r="EG30" s="883"/>
      <c r="EH30" s="883"/>
      <c r="EI30" s="883"/>
      <c r="EJ30" s="883"/>
      <c r="EK30" s="883"/>
      <c r="EL30" s="883"/>
      <c r="EM30" s="873"/>
      <c r="EN30" s="879">
        <f t="shared" si="86"/>
        <v>0</v>
      </c>
      <c r="EO30" s="883"/>
      <c r="EP30" s="883"/>
      <c r="EQ30" s="883"/>
      <c r="ER30" s="883"/>
      <c r="ES30" s="883"/>
      <c r="ET30" s="883"/>
      <c r="EU30" s="883"/>
      <c r="EV30" s="973"/>
      <c r="EW30" s="883"/>
      <c r="EX30" s="883"/>
      <c r="EY30" s="883"/>
      <c r="EZ30" s="873"/>
      <c r="FA30" s="879">
        <f t="shared" si="45"/>
        <v>0</v>
      </c>
      <c r="FC30" s="843" t="str">
        <f t="shared" si="46"/>
        <v/>
      </c>
      <c r="FD30" s="844" t="str">
        <f t="shared" si="85"/>
        <v/>
      </c>
      <c r="FE30" s="845">
        <f t="shared" si="48"/>
        <v>0</v>
      </c>
      <c r="FF30" s="846">
        <f t="shared" si="49"/>
        <v>0</v>
      </c>
      <c r="FI30" s="127"/>
    </row>
    <row r="31" spans="1:172" ht="15" customHeight="1" x14ac:dyDescent="0.25">
      <c r="A31" s="403" t="s">
        <v>463</v>
      </c>
      <c r="B31" s="883"/>
      <c r="C31" s="883"/>
      <c r="D31" s="883"/>
      <c r="E31" s="883"/>
      <c r="F31" s="883"/>
      <c r="G31" s="883"/>
      <c r="H31" s="883"/>
      <c r="I31" s="883"/>
      <c r="J31" s="883"/>
      <c r="K31" s="883"/>
      <c r="L31" s="883"/>
      <c r="M31" s="873"/>
      <c r="N31" s="879"/>
      <c r="O31" s="883"/>
      <c r="P31" s="883"/>
      <c r="Q31" s="883"/>
      <c r="R31" s="883"/>
      <c r="S31" s="883"/>
      <c r="T31" s="883"/>
      <c r="U31" s="883"/>
      <c r="V31" s="883"/>
      <c r="W31" s="883"/>
      <c r="X31" s="883"/>
      <c r="Y31" s="883"/>
      <c r="Z31" s="873"/>
      <c r="AA31" s="879"/>
      <c r="AB31" s="883"/>
      <c r="AC31" s="883"/>
      <c r="AD31" s="883"/>
      <c r="AE31" s="883"/>
      <c r="AF31" s="883"/>
      <c r="AG31" s="883"/>
      <c r="AH31" s="883"/>
      <c r="AI31" s="883"/>
      <c r="AJ31" s="883"/>
      <c r="AK31" s="883"/>
      <c r="AL31" s="883"/>
      <c r="AM31" s="873"/>
      <c r="AN31" s="879"/>
      <c r="AO31" s="883"/>
      <c r="AP31" s="883"/>
      <c r="AQ31" s="883"/>
      <c r="AR31" s="883"/>
      <c r="AS31" s="883"/>
      <c r="AT31" s="883"/>
      <c r="AU31" s="883"/>
      <c r="AV31" s="883"/>
      <c r="AW31" s="883"/>
      <c r="AX31" s="883"/>
      <c r="AY31" s="883"/>
      <c r="AZ31" s="873"/>
      <c r="BA31" s="879"/>
      <c r="BB31" s="883"/>
      <c r="BC31" s="883"/>
      <c r="BD31" s="883"/>
      <c r="BE31" s="883"/>
      <c r="BF31" s="883"/>
      <c r="BG31" s="883"/>
      <c r="BH31" s="883"/>
      <c r="BI31" s="883"/>
      <c r="BJ31" s="883"/>
      <c r="BK31" s="883"/>
      <c r="BL31" s="883"/>
      <c r="BM31" s="873"/>
      <c r="BN31" s="879"/>
      <c r="BO31" s="883"/>
      <c r="BP31" s="883"/>
      <c r="BQ31" s="883"/>
      <c r="BR31" s="883"/>
      <c r="BS31" s="883"/>
      <c r="BT31" s="883"/>
      <c r="BU31" s="883"/>
      <c r="BV31" s="883"/>
      <c r="BW31" s="883"/>
      <c r="BX31" s="883"/>
      <c r="BY31" s="883"/>
      <c r="BZ31" s="873"/>
      <c r="CA31" s="879"/>
      <c r="CB31" s="883"/>
      <c r="CC31" s="883"/>
      <c r="CD31" s="883"/>
      <c r="CE31" s="883"/>
      <c r="CF31" s="883"/>
      <c r="CG31" s="883"/>
      <c r="CH31" s="883"/>
      <c r="CI31" s="883"/>
      <c r="CJ31" s="883"/>
      <c r="CK31" s="883"/>
      <c r="CL31" s="883"/>
      <c r="CM31" s="873"/>
      <c r="CN31" s="879"/>
      <c r="CO31" s="883"/>
      <c r="CP31" s="883"/>
      <c r="CQ31" s="883"/>
      <c r="CR31" s="883"/>
      <c r="CS31" s="883"/>
      <c r="CT31" s="883"/>
      <c r="CU31" s="883"/>
      <c r="CV31" s="883"/>
      <c r="CW31" s="883"/>
      <c r="CX31" s="883"/>
      <c r="CY31" s="883"/>
      <c r="CZ31" s="873"/>
      <c r="DA31" s="879"/>
      <c r="DB31" s="883"/>
      <c r="DC31" s="883"/>
      <c r="DD31" s="883"/>
      <c r="DE31" s="883"/>
      <c r="DF31" s="883"/>
      <c r="DG31" s="883"/>
      <c r="DH31" s="883"/>
      <c r="DI31" s="883"/>
      <c r="DJ31" s="883"/>
      <c r="DK31" s="883"/>
      <c r="DL31" s="883"/>
      <c r="DM31" s="873"/>
      <c r="DN31" s="879">
        <f t="shared" si="39"/>
        <v>0</v>
      </c>
      <c r="DO31" s="883"/>
      <c r="DP31" s="883"/>
      <c r="DQ31" s="883"/>
      <c r="DR31" s="883"/>
      <c r="DS31" s="883"/>
      <c r="DT31" s="883"/>
      <c r="DU31" s="883"/>
      <c r="DV31" s="883"/>
      <c r="DW31" s="883"/>
      <c r="DX31" s="883"/>
      <c r="DY31" s="883"/>
      <c r="DZ31" s="873"/>
      <c r="EA31" s="879">
        <f t="shared" si="41"/>
        <v>0</v>
      </c>
      <c r="EB31" s="883"/>
      <c r="EC31" s="883"/>
      <c r="ED31" s="883"/>
      <c r="EE31" s="883"/>
      <c r="EF31" s="883"/>
      <c r="EG31" s="883"/>
      <c r="EH31" s="883"/>
      <c r="EI31" s="883"/>
      <c r="EJ31" s="883"/>
      <c r="EK31" s="883"/>
      <c r="EL31" s="883"/>
      <c r="EM31" s="873"/>
      <c r="EN31" s="879">
        <f t="shared" si="86"/>
        <v>0</v>
      </c>
      <c r="EO31" s="883"/>
      <c r="EP31" s="883"/>
      <c r="EQ31" s="883"/>
      <c r="ER31" s="883"/>
      <c r="ES31" s="883"/>
      <c r="ET31" s="883"/>
      <c r="EU31" s="883"/>
      <c r="EV31" s="973"/>
      <c r="EW31" s="883"/>
      <c r="EX31" s="883"/>
      <c r="EY31" s="883"/>
      <c r="EZ31" s="873"/>
      <c r="FA31" s="879">
        <f t="shared" si="45"/>
        <v>0</v>
      </c>
      <c r="FC31" s="843" t="str">
        <f t="shared" si="46"/>
        <v/>
      </c>
      <c r="FD31" s="844" t="str">
        <f t="shared" si="85"/>
        <v/>
      </c>
      <c r="FE31" s="845">
        <f t="shared" si="48"/>
        <v>0</v>
      </c>
      <c r="FF31" s="846">
        <f t="shared" si="49"/>
        <v>0</v>
      </c>
      <c r="FI31" s="127"/>
    </row>
    <row r="32" spans="1:172" ht="15" customHeight="1" x14ac:dyDescent="0.25">
      <c r="A32" s="133"/>
      <c r="B32" s="880"/>
      <c r="C32" s="880"/>
      <c r="D32" s="880"/>
      <c r="E32" s="880"/>
      <c r="F32" s="880"/>
      <c r="G32" s="880"/>
      <c r="H32" s="880"/>
      <c r="I32" s="880"/>
      <c r="J32" s="880"/>
      <c r="K32" s="880"/>
      <c r="L32" s="880"/>
      <c r="M32" s="881"/>
      <c r="N32" s="882"/>
      <c r="O32" s="880"/>
      <c r="P32" s="880"/>
      <c r="Q32" s="880"/>
      <c r="R32" s="880"/>
      <c r="S32" s="880"/>
      <c r="T32" s="880"/>
      <c r="U32" s="880"/>
      <c r="V32" s="880"/>
      <c r="W32" s="880"/>
      <c r="X32" s="880"/>
      <c r="Y32" s="880"/>
      <c r="Z32" s="881"/>
      <c r="AA32" s="882"/>
      <c r="AB32" s="880"/>
      <c r="AC32" s="880"/>
      <c r="AD32" s="880"/>
      <c r="AE32" s="880"/>
      <c r="AF32" s="880"/>
      <c r="AG32" s="880"/>
      <c r="AH32" s="880"/>
      <c r="AI32" s="880"/>
      <c r="AJ32" s="880"/>
      <c r="AK32" s="880"/>
      <c r="AL32" s="880"/>
      <c r="AM32" s="881"/>
      <c r="AN32" s="882"/>
      <c r="AO32" s="880"/>
      <c r="AP32" s="880"/>
      <c r="AQ32" s="880"/>
      <c r="AR32" s="880"/>
      <c r="AS32" s="880"/>
      <c r="AT32" s="880"/>
      <c r="AU32" s="880"/>
      <c r="AV32" s="880"/>
      <c r="AW32" s="880"/>
      <c r="AX32" s="880"/>
      <c r="AY32" s="880"/>
      <c r="AZ32" s="881"/>
      <c r="BA32" s="882"/>
      <c r="BB32" s="880"/>
      <c r="BC32" s="880"/>
      <c r="BD32" s="880"/>
      <c r="BE32" s="880"/>
      <c r="BF32" s="880"/>
      <c r="BG32" s="880"/>
      <c r="BH32" s="880"/>
      <c r="BI32" s="880"/>
      <c r="BJ32" s="880"/>
      <c r="BK32" s="880"/>
      <c r="BL32" s="880"/>
      <c r="BM32" s="881"/>
      <c r="BN32" s="882"/>
      <c r="BO32" s="880"/>
      <c r="BP32" s="880"/>
      <c r="BQ32" s="880"/>
      <c r="BR32" s="880"/>
      <c r="BS32" s="880"/>
      <c r="BT32" s="880"/>
      <c r="BU32" s="880"/>
      <c r="BV32" s="880"/>
      <c r="BW32" s="880"/>
      <c r="BX32" s="880"/>
      <c r="BY32" s="880"/>
      <c r="BZ32" s="881"/>
      <c r="CA32" s="882"/>
      <c r="CB32" s="880"/>
      <c r="CC32" s="880"/>
      <c r="CD32" s="880"/>
      <c r="CE32" s="880"/>
      <c r="CF32" s="880"/>
      <c r="CG32" s="880"/>
      <c r="CH32" s="880"/>
      <c r="CI32" s="880"/>
      <c r="CJ32" s="880"/>
      <c r="CK32" s="880"/>
      <c r="CL32" s="880"/>
      <c r="CM32" s="881"/>
      <c r="CN32" s="882"/>
      <c r="CO32" s="880"/>
      <c r="CP32" s="880"/>
      <c r="CQ32" s="880"/>
      <c r="CR32" s="880"/>
      <c r="CS32" s="880"/>
      <c r="CT32" s="880"/>
      <c r="CU32" s="880"/>
      <c r="CV32" s="880"/>
      <c r="CW32" s="880"/>
      <c r="CX32" s="880"/>
      <c r="CY32" s="880"/>
      <c r="CZ32" s="881"/>
      <c r="DA32" s="882"/>
      <c r="DB32" s="880"/>
      <c r="DC32" s="880"/>
      <c r="DD32" s="880"/>
      <c r="DE32" s="880"/>
      <c r="DF32" s="880"/>
      <c r="DG32" s="880"/>
      <c r="DH32" s="880"/>
      <c r="DI32" s="880"/>
      <c r="DJ32" s="880"/>
      <c r="DK32" s="880"/>
      <c r="DL32" s="880"/>
      <c r="DM32" s="881"/>
      <c r="DN32" s="882"/>
      <c r="DO32" s="880"/>
      <c r="DP32" s="880"/>
      <c r="DQ32" s="880"/>
      <c r="DR32" s="880"/>
      <c r="DS32" s="880"/>
      <c r="DT32" s="880"/>
      <c r="DU32" s="880"/>
      <c r="DV32" s="880"/>
      <c r="DW32" s="880"/>
      <c r="DX32" s="880"/>
      <c r="DY32" s="880"/>
      <c r="DZ32" s="881"/>
      <c r="EA32" s="882"/>
      <c r="EB32" s="880"/>
      <c r="EC32" s="880"/>
      <c r="ED32" s="880"/>
      <c r="EE32" s="880"/>
      <c r="EF32" s="880"/>
      <c r="EG32" s="880"/>
      <c r="EH32" s="880"/>
      <c r="EI32" s="880"/>
      <c r="EJ32" s="880"/>
      <c r="EK32" s="880"/>
      <c r="EL32" s="880"/>
      <c r="EM32" s="881"/>
      <c r="EN32" s="882"/>
      <c r="EO32" s="880"/>
      <c r="EP32" s="880"/>
      <c r="EQ32" s="880"/>
      <c r="ER32" s="880"/>
      <c r="ES32" s="880"/>
      <c r="ET32" s="880"/>
      <c r="EU32" s="880"/>
      <c r="EV32" s="978"/>
      <c r="EW32" s="880"/>
      <c r="EX32" s="880"/>
      <c r="EY32" s="880"/>
      <c r="EZ32" s="881"/>
      <c r="FA32" s="882"/>
      <c r="FC32" s="340"/>
      <c r="FD32" s="228"/>
      <c r="FE32" s="305"/>
      <c r="FF32" s="218"/>
    </row>
    <row r="33" spans="1:172" ht="15" customHeight="1" x14ac:dyDescent="0.25">
      <c r="A33" s="131" t="s">
        <v>244</v>
      </c>
      <c r="FC33" s="205"/>
      <c r="FD33" s="205"/>
    </row>
    <row r="34" spans="1:172" ht="15" customHeight="1" x14ac:dyDescent="0.25">
      <c r="A34" s="175" t="s">
        <v>145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FC34" s="205"/>
      <c r="FD34" s="205"/>
    </row>
    <row r="35" spans="1:172" ht="1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 s="961"/>
      <c r="EW35"/>
      <c r="EX35"/>
      <c r="EY35"/>
      <c r="EZ35"/>
      <c r="FA35"/>
      <c r="FC35"/>
      <c r="FD35"/>
      <c r="FE35"/>
      <c r="FF35"/>
      <c r="FI35"/>
    </row>
    <row r="36" spans="1:172" ht="1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 s="961"/>
      <c r="EW36"/>
      <c r="EX36"/>
      <c r="EY36"/>
      <c r="EZ36"/>
      <c r="FA36"/>
      <c r="FC36"/>
      <c r="FD36"/>
      <c r="FE36"/>
      <c r="FF36"/>
      <c r="FI36"/>
    </row>
    <row r="37" spans="1:172" ht="15" customHeight="1" x14ac:dyDescent="0.25">
      <c r="A37" s="681" t="s">
        <v>167</v>
      </c>
      <c r="BO37" s="886">
        <f>((BO38/BM39)-1)*100</f>
        <v>4.9999999999994493E-2</v>
      </c>
      <c r="BP37" s="886">
        <f t="shared" ref="BP37:BZ37" si="87">((BP38/BO38)-1)*100</f>
        <v>0.14000000000000679</v>
      </c>
      <c r="BQ37" s="886">
        <f t="shared" si="87"/>
        <v>0.64999999999999503</v>
      </c>
      <c r="BR37" s="886">
        <f t="shared" si="87"/>
        <v>9.9999999999988987E-2</v>
      </c>
      <c r="BS37" s="886">
        <f t="shared" si="87"/>
        <v>0.20000000000000018</v>
      </c>
      <c r="BT37" s="886">
        <f t="shared" si="87"/>
        <v>-0.27000000000000357</v>
      </c>
      <c r="BU37" s="886">
        <f t="shared" si="87"/>
        <v>0.45999999999999375</v>
      </c>
      <c r="BV37" s="886">
        <f t="shared" si="87"/>
        <v>-0.11000000000038757</v>
      </c>
      <c r="BW37" s="886">
        <f t="shared" si="87"/>
        <v>0.14000000000031765</v>
      </c>
      <c r="BX37" s="886">
        <f t="shared" si="87"/>
        <v>2.0000000000131024E-2</v>
      </c>
      <c r="BY37" s="886">
        <f t="shared" si="87"/>
        <v>0.52000000000000934</v>
      </c>
      <c r="BZ37" s="886">
        <f t="shared" si="87"/>
        <v>4.9999999999994493E-2</v>
      </c>
      <c r="CA37" s="886"/>
      <c r="CB37" s="886">
        <f>((CB38/BZ38)-1)*100</f>
        <v>0.74000000000000732</v>
      </c>
      <c r="CC37" s="886">
        <f>((CC38/CB38)-1)*100</f>
        <v>-0.12999999999998568</v>
      </c>
      <c r="CD37" s="886">
        <f t="shared" ref="CD37:CM37" si="88">((CD38/CC38)-1)*100</f>
        <v>0.83999999999999631</v>
      </c>
      <c r="CE37" s="886">
        <f t="shared" si="88"/>
        <v>-0.10000000000000009</v>
      </c>
      <c r="CF37" s="886">
        <f t="shared" si="88"/>
        <v>0.26999999999999247</v>
      </c>
      <c r="CG37" s="886">
        <f t="shared" si="88"/>
        <v>0.52000000000009816</v>
      </c>
      <c r="CH37" s="886">
        <f t="shared" si="88"/>
        <v>1.009999999999911</v>
      </c>
      <c r="CI37" s="886">
        <f t="shared" si="88"/>
        <v>0.98000000000000309</v>
      </c>
      <c r="CJ37" s="886">
        <f t="shared" si="88"/>
        <v>0.40000000000000036</v>
      </c>
      <c r="CK37" s="886">
        <f t="shared" si="88"/>
        <v>0.58000000000000274</v>
      </c>
      <c r="CL37" s="886">
        <f t="shared" si="88"/>
        <v>0.36000000000000476</v>
      </c>
      <c r="CM37" s="886">
        <f t="shared" si="88"/>
        <v>0.78000000000000291</v>
      </c>
      <c r="CN37" s="886"/>
      <c r="CO37" s="886">
        <f>((CO38/CM38)-1)*100</f>
        <v>3.9999999999995595E-2</v>
      </c>
      <c r="CP37" s="886">
        <f t="shared" ref="CP37:CZ37" si="89">((CP38/CO38)-1)*100</f>
        <v>0.31145630976847638</v>
      </c>
      <c r="CQ37" s="886">
        <f t="shared" si="89"/>
        <v>1.4799999999999924</v>
      </c>
      <c r="CR37" s="886">
        <f t="shared" si="89"/>
        <v>0.96000000000000529</v>
      </c>
      <c r="CS37" s="886">
        <f t="shared" si="89"/>
        <v>0.38000000000000256</v>
      </c>
      <c r="CT37" s="886">
        <f t="shared" si="89"/>
        <v>1.1900000000000022</v>
      </c>
      <c r="CU37" s="886">
        <f t="shared" si="89"/>
        <v>0.9400000000000075</v>
      </c>
      <c r="CV37" s="886">
        <f t="shared" si="89"/>
        <v>0.66999999999999282</v>
      </c>
      <c r="CW37" s="886">
        <f t="shared" si="89"/>
        <v>0.52000000000000934</v>
      </c>
      <c r="CX37" s="886">
        <f t="shared" si="89"/>
        <v>0.35000000000000586</v>
      </c>
      <c r="CY37" s="886">
        <f t="shared" si="89"/>
        <v>0.52000000000000934</v>
      </c>
      <c r="CZ37" s="886">
        <f t="shared" si="89"/>
        <v>0.79000000000000181</v>
      </c>
      <c r="DA37" s="886"/>
      <c r="DB37" s="886">
        <f>((DB38/CZ38)-1)*100</f>
        <v>0.22999999999999687</v>
      </c>
      <c r="DC37" s="886">
        <f t="shared" ref="DC37:DM37" si="90">((DC38/DB38)-1)*100</f>
        <v>0.28999999999999027</v>
      </c>
      <c r="DD37" s="886">
        <f t="shared" si="90"/>
        <v>1.2499999999999956</v>
      </c>
      <c r="DE37" s="886">
        <f t="shared" si="90"/>
        <v>0.56000000000000494</v>
      </c>
      <c r="DF37" s="886">
        <f t="shared" si="90"/>
        <v>0.32000000000000917</v>
      </c>
      <c r="DG37" s="886">
        <f t="shared" si="90"/>
        <v>-0.14999999999999458</v>
      </c>
      <c r="DH37" s="886">
        <f t="shared" si="90"/>
        <v>0.39000000000000146</v>
      </c>
      <c r="DI37" s="886">
        <f t="shared" si="90"/>
        <v>0.38000000000000256</v>
      </c>
      <c r="DJ37" s="886">
        <f>((DJ38/DI38)-1)*100</f>
        <v>1.9999999999953388E-2</v>
      </c>
      <c r="DK37" s="886">
        <f t="shared" si="90"/>
        <v>-0.31999999999995365</v>
      </c>
      <c r="DL37" s="886">
        <f>((DL38/DK38)-1)*100</f>
        <v>-0.16000000000000458</v>
      </c>
      <c r="DM37" s="886">
        <f t="shared" si="90"/>
        <v>0.40999999999999925</v>
      </c>
      <c r="DN37" s="886"/>
      <c r="DO37" s="886">
        <f>((DO38/DM38)-1)*100</f>
        <v>1.9999999999864571E-2</v>
      </c>
      <c r="DP37" s="886">
        <f t="shared" ref="DP37:DZ37" si="91">((DP38/DO38)-1)*100</f>
        <v>0.56000000000013817</v>
      </c>
      <c r="DQ37" s="886">
        <f t="shared" si="91"/>
        <v>1.0099999999999998</v>
      </c>
      <c r="DR37" s="886">
        <f t="shared" si="91"/>
        <v>-4.9999999999994493E-2</v>
      </c>
      <c r="DS37" s="886">
        <f t="shared" si="91"/>
        <v>-9.000000000000119E-2</v>
      </c>
      <c r="DT37" s="886">
        <f t="shared" si="91"/>
        <v>0.12000000000000899</v>
      </c>
      <c r="DU37" s="886">
        <f t="shared" si="91"/>
        <v>0.23999999999999577</v>
      </c>
      <c r="DV37" s="886">
        <f t="shared" si="91"/>
        <v>0.27999999999999137</v>
      </c>
      <c r="DW37" s="886">
        <f t="shared" si="91"/>
        <v>-0.23999999999999577</v>
      </c>
      <c r="DX37" s="886">
        <f t="shared" si="91"/>
        <v>-8.9999999999990088E-2</v>
      </c>
      <c r="DY37" s="886">
        <f t="shared" si="91"/>
        <v>8.9999999999990088E-2</v>
      </c>
      <c r="DZ37" s="886">
        <f t="shared" si="91"/>
        <v>0.11000000000001009</v>
      </c>
      <c r="EA37" s="886"/>
      <c r="EB37" s="886">
        <f>((EB38/DM38)-1)*100</f>
        <v>1.8795402983314169</v>
      </c>
      <c r="EC37" s="886">
        <f>((EC38/EB38)-1)*100</f>
        <v>0.19000000000000128</v>
      </c>
      <c r="ED37" s="886">
        <f>((ED38/EC38)-1)*100</f>
        <v>0.80999999999999961</v>
      </c>
      <c r="EE37" s="886">
        <f>((EE38/ED38)-1)*100</f>
        <v>0.32000000000000917</v>
      </c>
      <c r="EF37" s="886">
        <f>((EF38/EE38)-1)*100</f>
        <v>-6.0000000000004494E-2</v>
      </c>
      <c r="EG37" s="886">
        <f t="shared" ref="EG37:EK37" si="92">((EG38/EF38)-1)*100</f>
        <v>0.13000000000000789</v>
      </c>
      <c r="EH37" s="886">
        <f t="shared" si="92"/>
        <v>0.22999999999999687</v>
      </c>
      <c r="EI37" s="886">
        <f t="shared" si="92"/>
        <v>-0.29000000000000137</v>
      </c>
      <c r="EJ37" s="886">
        <f t="shared" si="92"/>
        <v>9.9999999999988987E-3</v>
      </c>
      <c r="EK37" s="886">
        <f t="shared" si="92"/>
        <v>-0.10000000000000009</v>
      </c>
      <c r="EL37" s="886">
        <f>((EL38/EK38)-1)*100</f>
        <v>0.11000000000001009</v>
      </c>
      <c r="EM37" s="886">
        <f>((EM38/EL38)-1)*100</f>
        <v>0.23999999999999577</v>
      </c>
      <c r="EO37" s="886">
        <f>((EO38/EM38)-1)*100</f>
        <v>0.1000000000000778</v>
      </c>
      <c r="EP37" s="886">
        <f t="shared" ref="EP37:EV37" si="93">((EP38/EO38)-1)*100</f>
        <v>0.68999999999976858</v>
      </c>
      <c r="EQ37" s="886">
        <f t="shared" si="93"/>
        <v>2.3800000000001154</v>
      </c>
      <c r="ER37" s="886">
        <f t="shared" si="93"/>
        <v>0.52000000000000934</v>
      </c>
      <c r="ES37" s="886">
        <f t="shared" si="93"/>
        <v>-0.16000000000000458</v>
      </c>
      <c r="ET37" s="886">
        <f t="shared" si="93"/>
        <v>0.22999999999999687</v>
      </c>
      <c r="EU37" s="886">
        <f t="shared" si="93"/>
        <v>0.28999999999999027</v>
      </c>
      <c r="EV37" s="974">
        <f t="shared" si="93"/>
        <v>6.9999999999992291E-2</v>
      </c>
      <c r="EW37" s="886"/>
      <c r="EX37" s="886"/>
      <c r="EY37" s="886"/>
      <c r="EZ37" s="886"/>
    </row>
    <row r="38" spans="1:172" ht="15" customHeight="1" x14ac:dyDescent="0.25">
      <c r="A38" s="681" t="s">
        <v>464</v>
      </c>
      <c r="BO38" s="886">
        <v>1.4452361286656796</v>
      </c>
      <c r="BP38" s="886">
        <v>1.4472594592458117</v>
      </c>
      <c r="BQ38" s="886">
        <v>1.4566666457309094</v>
      </c>
      <c r="BR38" s="886">
        <v>1.4581233123766402</v>
      </c>
      <c r="BS38" s="886">
        <v>1.4610395590013934</v>
      </c>
      <c r="BT38" s="886">
        <v>1.4570947521920896</v>
      </c>
      <c r="BU38" s="886">
        <v>1.4637973880521731</v>
      </c>
      <c r="BV38" s="886">
        <v>1.46218721092531</v>
      </c>
      <c r="BW38" s="886">
        <v>1.4642342730206099</v>
      </c>
      <c r="BX38" s="886">
        <v>1.4645271198752159</v>
      </c>
      <c r="BY38" s="886">
        <v>1.472142660898567</v>
      </c>
      <c r="BZ38" s="886">
        <v>1.4728787322290162</v>
      </c>
      <c r="CA38" s="886"/>
      <c r="CB38" s="886">
        <v>1.4837780348475111</v>
      </c>
      <c r="CC38" s="886">
        <v>1.4818491234022095</v>
      </c>
      <c r="CD38" s="886">
        <v>1.494296656038788</v>
      </c>
      <c r="CE38" s="886">
        <v>1.4928023593827493</v>
      </c>
      <c r="CF38" s="886">
        <v>1.4968329257530826</v>
      </c>
      <c r="CG38" s="886">
        <v>1.504616456967</v>
      </c>
      <c r="CH38" s="886">
        <v>1.5198130831823653</v>
      </c>
      <c r="CI38" s="886">
        <v>1.5347072513975526</v>
      </c>
      <c r="CJ38" s="886">
        <v>1.5408460804031427</v>
      </c>
      <c r="CK38" s="886">
        <v>1.5497829876694811</v>
      </c>
      <c r="CL38" s="886">
        <v>1.5553622064250914</v>
      </c>
      <c r="CM38" s="886">
        <v>1.5674940316352071</v>
      </c>
      <c r="CN38" s="886"/>
      <c r="CO38" s="886">
        <v>1.5681210292478611</v>
      </c>
      <c r="CP38" s="886">
        <v>1.5730050411382599</v>
      </c>
      <c r="CQ38" s="886">
        <v>1.5962855157471061</v>
      </c>
      <c r="CR38" s="886">
        <v>1.6116098566982784</v>
      </c>
      <c r="CS38" s="886">
        <v>1.617733974153732</v>
      </c>
      <c r="CT38" s="886">
        <v>1.6369850084461615</v>
      </c>
      <c r="CU38" s="886">
        <v>1.6523726675255554</v>
      </c>
      <c r="CV38" s="886">
        <v>1.6634435643979766</v>
      </c>
      <c r="CW38" s="886">
        <v>1.6720934709328463</v>
      </c>
      <c r="CX38" s="886">
        <v>1.6779457980811114</v>
      </c>
      <c r="CY38" s="886">
        <v>1.6866711162311334</v>
      </c>
      <c r="CZ38" s="886">
        <v>1.6999958180493595</v>
      </c>
      <c r="DA38" s="886"/>
      <c r="DB38" s="886">
        <v>1.7039058084308729</v>
      </c>
      <c r="DC38" s="886">
        <v>1.7088471352753223</v>
      </c>
      <c r="DD38" s="886">
        <v>1.7302077244662637</v>
      </c>
      <c r="DE38" s="886">
        <v>1.7398968877232748</v>
      </c>
      <c r="DF38" s="886">
        <v>1.7454645577639893</v>
      </c>
      <c r="DG38" s="886">
        <v>1.7428463609273435</v>
      </c>
      <c r="DH38" s="886">
        <v>1.7496434617349601</v>
      </c>
      <c r="DI38" s="886">
        <v>1.756292106889553</v>
      </c>
      <c r="DJ38" s="886">
        <v>1.7566433653109299</v>
      </c>
      <c r="DK38" s="886">
        <v>1.7510221065419358</v>
      </c>
      <c r="DL38" s="886">
        <v>1.7482204711714686</v>
      </c>
      <c r="DM38" s="886">
        <v>1.7553881751032716</v>
      </c>
      <c r="DN38" s="886"/>
      <c r="DO38" s="886">
        <v>1.75573925273829</v>
      </c>
      <c r="DP38" s="886">
        <v>1.7655713925536267</v>
      </c>
      <c r="DQ38" s="886">
        <v>1.7834036636184183</v>
      </c>
      <c r="DR38" s="886">
        <v>1.7825119617866092</v>
      </c>
      <c r="DS38" s="886">
        <v>1.7809077010210013</v>
      </c>
      <c r="DT38" s="886">
        <v>1.7830447902622266</v>
      </c>
      <c r="DU38" s="886">
        <v>1.7873240977588558</v>
      </c>
      <c r="DV38" s="886">
        <v>1.7923286052325804</v>
      </c>
      <c r="DW38" s="886">
        <v>1.7880270165800223</v>
      </c>
      <c r="DX38" s="886">
        <v>1.7864177922651003</v>
      </c>
      <c r="DY38" s="886">
        <v>1.7880255682781387</v>
      </c>
      <c r="DZ38" s="886">
        <v>1.7899923964032449</v>
      </c>
      <c r="EA38" s="886"/>
      <c r="EB38" s="886">
        <v>1.788381403246482</v>
      </c>
      <c r="EC38" s="886">
        <v>1.7917793279126504</v>
      </c>
      <c r="ED38" s="886">
        <v>1.8062927404687428</v>
      </c>
      <c r="EE38" s="886">
        <v>1.8120728772382428</v>
      </c>
      <c r="EF38" s="886">
        <v>1.8109856335118999</v>
      </c>
      <c r="EG38" s="886">
        <v>1.8133399148354654</v>
      </c>
      <c r="EH38" s="886">
        <v>1.817510596639587</v>
      </c>
      <c r="EI38" s="886">
        <v>1.8122398159093323</v>
      </c>
      <c r="EJ38" s="886">
        <v>1.8124210398909231</v>
      </c>
      <c r="EK38" s="886">
        <v>1.8106086188510322</v>
      </c>
      <c r="EL38" s="886">
        <v>1.8126002883317684</v>
      </c>
      <c r="EM38" s="886">
        <v>1.8169505290237646</v>
      </c>
      <c r="EN38" s="253"/>
      <c r="EO38" s="886">
        <v>1.8187674795527899</v>
      </c>
      <c r="EP38" s="886">
        <v>1.8313169751617</v>
      </c>
      <c r="EQ38" s="886">
        <v>1.8749023191705507</v>
      </c>
      <c r="ER38" s="886">
        <v>1.8846518112302377</v>
      </c>
      <c r="ES38" s="886">
        <v>1.8816363683322692</v>
      </c>
      <c r="ET38" s="886">
        <v>1.8859641319794334</v>
      </c>
      <c r="EU38" s="886">
        <v>1.8914334279621736</v>
      </c>
      <c r="EV38" s="974">
        <v>1.892757431361747</v>
      </c>
      <c r="EW38" s="886"/>
      <c r="EX38" s="886"/>
      <c r="EY38" s="886"/>
      <c r="EZ38" s="886"/>
      <c r="FA38" s="253"/>
      <c r="FC38" s="127"/>
      <c r="FD38" s="127"/>
      <c r="FE38" s="127"/>
      <c r="FF38" s="127"/>
    </row>
    <row r="39" spans="1:172" ht="15" customHeight="1" x14ac:dyDescent="0.25">
      <c r="A39" s="775" t="s">
        <v>634</v>
      </c>
      <c r="B39" s="126">
        <v>1.2724457879714965</v>
      </c>
      <c r="C39" s="126">
        <v>1.2762631253354111</v>
      </c>
      <c r="D39" s="126">
        <v>1.2859627250879599</v>
      </c>
      <c r="E39" s="126">
        <v>1.290977979715803</v>
      </c>
      <c r="F39" s="126">
        <v>1.2982074564022117</v>
      </c>
      <c r="G39" s="126">
        <v>1.3024915410083393</v>
      </c>
      <c r="H39" s="126">
        <v>1.3083527529428765</v>
      </c>
      <c r="I39" s="126">
        <v>1.3133244934040593</v>
      </c>
      <c r="J39" s="126">
        <v>1.3137184907520796</v>
      </c>
      <c r="K39" s="126">
        <v>1.3155576966391334</v>
      </c>
      <c r="L39" s="126">
        <v>1.3200305928077065</v>
      </c>
      <c r="M39" s="126">
        <v>1.3259707304753412</v>
      </c>
      <c r="O39" s="126">
        <v>1.3308768221781</v>
      </c>
      <c r="P39" s="126">
        <v>1.3331393127758029</v>
      </c>
      <c r="Q39" s="126">
        <v>1.3411381486524576</v>
      </c>
      <c r="R39" s="126">
        <v>1.3412722624673228</v>
      </c>
      <c r="S39" s="126">
        <v>1.3440889342185038</v>
      </c>
      <c r="T39" s="126">
        <v>1.3459706587264098</v>
      </c>
      <c r="U39" s="126">
        <v>1.3470474352533908</v>
      </c>
      <c r="V39" s="126">
        <v>1.3518968060203032</v>
      </c>
      <c r="W39" s="126">
        <v>1.3547357893129455</v>
      </c>
      <c r="X39" s="126">
        <v>1.3602902060491286</v>
      </c>
      <c r="Y39" s="126">
        <v>1.3642350476466711</v>
      </c>
      <c r="Z39" s="126">
        <v>1.3687370233039053</v>
      </c>
      <c r="AB39" s="126">
        <v>1.3720219921598344</v>
      </c>
      <c r="AC39" s="126">
        <v>1.376412462534746</v>
      </c>
      <c r="AD39" s="126">
        <v>1.3943058245476976</v>
      </c>
      <c r="AE39" s="126">
        <v>1.3906806294038736</v>
      </c>
      <c r="AF39" s="126">
        <v>1.3848397707603775</v>
      </c>
      <c r="AG39" s="126">
        <v>1.382624027127161</v>
      </c>
      <c r="AH39" s="126">
        <v>1.3853892751814154</v>
      </c>
      <c r="AI39" s="126">
        <v>1.394671383325131</v>
      </c>
      <c r="AJ39" s="126">
        <v>1.3943924490484658</v>
      </c>
      <c r="AK39" s="126">
        <v>1.3878388045379382</v>
      </c>
      <c r="AL39" s="126">
        <v>1.385063126928862</v>
      </c>
      <c r="AM39" s="126">
        <v>1.3872792279319484</v>
      </c>
      <c r="AO39" s="126">
        <v>1.3890826909282596</v>
      </c>
      <c r="AP39" s="126">
        <v>1.3925553976555805</v>
      </c>
      <c r="AQ39" s="126">
        <v>1.3993789191040926</v>
      </c>
      <c r="AR39" s="126">
        <v>1.3974197886173472</v>
      </c>
      <c r="AS39" s="126">
        <v>1.3976992725750705</v>
      </c>
      <c r="AT39" s="126">
        <v>1.4023116801745681</v>
      </c>
      <c r="AU39" s="126">
        <v>1.4076404645592313</v>
      </c>
      <c r="AV39" s="126">
        <v>1.4094703971631584</v>
      </c>
      <c r="AW39" s="126">
        <v>1.4121483909177683</v>
      </c>
      <c r="AX39" s="126">
        <v>1.4132781096305025</v>
      </c>
      <c r="AY39" s="126">
        <v>1.414974043362059</v>
      </c>
      <c r="AZ39" s="126">
        <v>1.4175209966401108</v>
      </c>
      <c r="BB39" s="126">
        <v>1.4185132613377587</v>
      </c>
      <c r="BC39" s="126">
        <v>1.4203573285774977</v>
      </c>
      <c r="BD39" s="126">
        <v>1.4307259370761134</v>
      </c>
      <c r="BE39" s="126">
        <v>1.4335873889502657</v>
      </c>
      <c r="BF39" s="126">
        <v>1.4357377700336911</v>
      </c>
      <c r="BG39" s="126">
        <v>1.4344456060406601</v>
      </c>
      <c r="BH39" s="126">
        <v>1.4373144972527421</v>
      </c>
      <c r="BI39" s="126">
        <v>1.4381768859510939</v>
      </c>
      <c r="BJ39" s="126">
        <v>1.438320703639689</v>
      </c>
      <c r="BK39" s="126">
        <v>1.4399028564136926</v>
      </c>
      <c r="BL39" s="126">
        <v>1.4414867495557475</v>
      </c>
      <c r="BM39" s="126">
        <v>1.4445138717298147</v>
      </c>
    </row>
    <row r="40" spans="1:172" s="753" customFormat="1" ht="15" customHeight="1" x14ac:dyDescent="0.25">
      <c r="A40" s="836"/>
      <c r="B40" s="474">
        <v>2015</v>
      </c>
      <c r="C40" s="474"/>
      <c r="D40" s="474"/>
      <c r="E40" s="474"/>
      <c r="F40" s="474"/>
      <c r="G40" s="474"/>
      <c r="H40" s="474"/>
      <c r="I40" s="474"/>
      <c r="J40" s="474"/>
      <c r="K40" s="474"/>
      <c r="L40" s="474"/>
      <c r="M40" s="474"/>
      <c r="N40" s="758" t="s">
        <v>83</v>
      </c>
      <c r="O40" s="474">
        <v>2016</v>
      </c>
      <c r="P40" s="474"/>
      <c r="Q40" s="474"/>
      <c r="R40" s="474"/>
      <c r="S40" s="474"/>
      <c r="T40" s="474"/>
      <c r="U40" s="474"/>
      <c r="V40" s="474"/>
      <c r="W40" s="474"/>
      <c r="X40" s="474"/>
      <c r="Y40" s="474"/>
      <c r="Z40" s="474"/>
      <c r="AA40" s="758" t="s">
        <v>83</v>
      </c>
      <c r="AB40" s="474">
        <v>2017</v>
      </c>
      <c r="AC40" s="474"/>
      <c r="AD40" s="474"/>
      <c r="AE40" s="474"/>
      <c r="AF40" s="474"/>
      <c r="AG40" s="474"/>
      <c r="AH40" s="474"/>
      <c r="AI40" s="474"/>
      <c r="AJ40" s="474"/>
      <c r="AK40" s="474"/>
      <c r="AL40" s="474"/>
      <c r="AM40" s="474"/>
      <c r="AN40" s="758" t="s">
        <v>83</v>
      </c>
      <c r="AO40" s="474">
        <v>2018</v>
      </c>
      <c r="AP40" s="474"/>
      <c r="AQ40" s="474"/>
      <c r="AR40" s="474"/>
      <c r="AS40" s="474"/>
      <c r="AT40" s="474"/>
      <c r="AU40" s="474"/>
      <c r="AV40" s="474"/>
      <c r="AW40" s="474"/>
      <c r="AX40" s="474"/>
      <c r="AY40" s="474"/>
      <c r="AZ40" s="474"/>
      <c r="BA40" s="758" t="s">
        <v>83</v>
      </c>
      <c r="BB40" s="474">
        <v>2019</v>
      </c>
      <c r="BC40" s="474"/>
      <c r="BD40" s="474"/>
      <c r="BE40" s="474"/>
      <c r="BF40" s="474"/>
      <c r="BG40" s="474"/>
      <c r="BH40" s="474"/>
      <c r="BI40" s="474"/>
      <c r="BJ40" s="474"/>
      <c r="BK40" s="474"/>
      <c r="BL40" s="474"/>
      <c r="BM40" s="474"/>
      <c r="BN40" s="758" t="s">
        <v>83</v>
      </c>
      <c r="BO40" s="474">
        <v>2020</v>
      </c>
      <c r="BP40" s="474"/>
      <c r="BQ40" s="474"/>
      <c r="BR40" s="474"/>
      <c r="BS40" s="474"/>
      <c r="BT40" s="474"/>
      <c r="BU40" s="474"/>
      <c r="BV40" s="474"/>
      <c r="BW40" s="474"/>
      <c r="BX40" s="474"/>
      <c r="BY40" s="474"/>
      <c r="BZ40" s="474"/>
      <c r="CA40" s="758" t="s">
        <v>83</v>
      </c>
      <c r="CB40" s="474">
        <v>2021</v>
      </c>
      <c r="CC40" s="474"/>
      <c r="CD40" s="474"/>
      <c r="CE40" s="474"/>
      <c r="CF40" s="474"/>
      <c r="CG40" s="474"/>
      <c r="CH40" s="474"/>
      <c r="CI40" s="474"/>
      <c r="CJ40" s="474"/>
      <c r="CK40" s="474"/>
      <c r="CL40" s="474"/>
      <c r="CM40" s="474"/>
      <c r="CN40" s="758" t="s">
        <v>83</v>
      </c>
      <c r="CO40" s="474">
        <v>2022</v>
      </c>
      <c r="CP40" s="474"/>
      <c r="CQ40" s="474"/>
      <c r="CR40" s="474"/>
      <c r="CS40" s="474"/>
      <c r="CT40" s="474"/>
      <c r="CU40" s="474"/>
      <c r="CV40" s="474"/>
      <c r="CW40" s="474"/>
      <c r="CX40" s="474"/>
      <c r="CY40" s="474"/>
      <c r="CZ40" s="474"/>
      <c r="DA40" s="758" t="s">
        <v>83</v>
      </c>
      <c r="DB40" s="474">
        <v>2023</v>
      </c>
      <c r="DC40" s="474"/>
      <c r="DD40" s="474"/>
      <c r="DE40" s="474"/>
      <c r="DF40" s="474"/>
      <c r="DG40" s="474"/>
      <c r="DH40" s="474"/>
      <c r="DI40" s="474"/>
      <c r="DJ40" s="474"/>
      <c r="DK40" s="474"/>
      <c r="DL40" s="474"/>
      <c r="DM40" s="474"/>
      <c r="DN40" s="758" t="s">
        <v>83</v>
      </c>
      <c r="DO40" s="474">
        <v>2024</v>
      </c>
      <c r="DP40" s="474"/>
      <c r="DQ40" s="474"/>
      <c r="DR40" s="474"/>
      <c r="DS40" s="474"/>
      <c r="DT40" s="474"/>
      <c r="DU40" s="474"/>
      <c r="DV40" s="474"/>
      <c r="DW40" s="474"/>
      <c r="DX40" s="474"/>
      <c r="DY40" s="474"/>
      <c r="DZ40" s="474"/>
      <c r="EA40" s="758" t="s">
        <v>83</v>
      </c>
      <c r="EB40" s="474">
        <v>2025</v>
      </c>
      <c r="EC40" s="474"/>
      <c r="ED40" s="474"/>
      <c r="EE40" s="474"/>
      <c r="EF40" s="474"/>
      <c r="EG40" s="474"/>
      <c r="EH40" s="474"/>
      <c r="EI40" s="474"/>
      <c r="EJ40" s="474"/>
      <c r="EK40" s="474"/>
      <c r="EL40" s="474"/>
      <c r="EM40" s="474"/>
      <c r="EN40" s="758" t="s">
        <v>83</v>
      </c>
      <c r="EO40" s="474">
        <v>2026</v>
      </c>
      <c r="EP40" s="474"/>
      <c r="EQ40" s="474"/>
      <c r="ER40" s="474"/>
      <c r="ES40" s="474"/>
      <c r="ET40" s="474"/>
      <c r="EU40" s="944"/>
      <c r="EV40" s="976"/>
      <c r="EW40" s="474"/>
      <c r="EX40" s="474"/>
      <c r="EY40" s="474"/>
      <c r="EZ40" s="474"/>
      <c r="FA40" s="758" t="s">
        <v>83</v>
      </c>
      <c r="FC40" s="984" t="str">
        <f>CONCATENATE("Var.% ",FF40,"/",FE40)</f>
        <v>Var.% 2026/2025</v>
      </c>
      <c r="FD40" s="985"/>
      <c r="FE40" s="478">
        <f>FF40-1</f>
        <v>2025</v>
      </c>
      <c r="FF40" s="478">
        <f>YEAR(EZ41)</f>
        <v>2026</v>
      </c>
      <c r="FG40"/>
      <c r="FI40" s="795"/>
      <c r="FJ40"/>
      <c r="FK40"/>
      <c r="FL40"/>
      <c r="FM40"/>
      <c r="FN40"/>
      <c r="FO40"/>
      <c r="FP40"/>
    </row>
    <row r="41" spans="1:172" s="753" customFormat="1" ht="15" customHeight="1" x14ac:dyDescent="0.25">
      <c r="A41" s="837"/>
      <c r="B41" s="645">
        <v>42005</v>
      </c>
      <c r="C41" s="645">
        <v>42036</v>
      </c>
      <c r="D41" s="645">
        <v>42064</v>
      </c>
      <c r="E41" s="645">
        <v>42095</v>
      </c>
      <c r="F41" s="645">
        <v>42125</v>
      </c>
      <c r="G41" s="645">
        <v>42156</v>
      </c>
      <c r="H41" s="645">
        <v>42186</v>
      </c>
      <c r="I41" s="645">
        <v>42217</v>
      </c>
      <c r="J41" s="645">
        <v>42248</v>
      </c>
      <c r="K41" s="645">
        <v>42278</v>
      </c>
      <c r="L41" s="645">
        <v>42309</v>
      </c>
      <c r="M41" s="645">
        <v>42339</v>
      </c>
      <c r="N41" s="759">
        <f t="shared" ref="N41" si="94">YEAR(M41)</f>
        <v>2015</v>
      </c>
      <c r="O41" s="645">
        <v>42370</v>
      </c>
      <c r="P41" s="645">
        <v>42401</v>
      </c>
      <c r="Q41" s="645">
        <v>42430</v>
      </c>
      <c r="R41" s="645">
        <v>42461</v>
      </c>
      <c r="S41" s="645">
        <v>42491</v>
      </c>
      <c r="T41" s="645">
        <v>42522</v>
      </c>
      <c r="U41" s="645">
        <v>42552</v>
      </c>
      <c r="V41" s="645">
        <v>42583</v>
      </c>
      <c r="W41" s="645">
        <v>42614</v>
      </c>
      <c r="X41" s="645">
        <v>42644</v>
      </c>
      <c r="Y41" s="645">
        <v>42675</v>
      </c>
      <c r="Z41" s="645">
        <v>42705</v>
      </c>
      <c r="AA41" s="759">
        <f t="shared" ref="AA41" si="95">YEAR(Z41)</f>
        <v>2016</v>
      </c>
      <c r="AB41" s="645">
        <v>42736</v>
      </c>
      <c r="AC41" s="645">
        <v>42767</v>
      </c>
      <c r="AD41" s="645">
        <v>42795</v>
      </c>
      <c r="AE41" s="645">
        <v>42826</v>
      </c>
      <c r="AF41" s="645">
        <v>42856</v>
      </c>
      <c r="AG41" s="645">
        <v>42887</v>
      </c>
      <c r="AH41" s="645">
        <v>42917</v>
      </c>
      <c r="AI41" s="645">
        <v>42948</v>
      </c>
      <c r="AJ41" s="645">
        <v>42979</v>
      </c>
      <c r="AK41" s="645">
        <v>43009</v>
      </c>
      <c r="AL41" s="645">
        <v>43040</v>
      </c>
      <c r="AM41" s="645">
        <v>43070</v>
      </c>
      <c r="AN41" s="759">
        <f t="shared" ref="AN41" si="96">YEAR(AM41)</f>
        <v>2017</v>
      </c>
      <c r="AO41" s="645">
        <v>43101</v>
      </c>
      <c r="AP41" s="645">
        <v>43132</v>
      </c>
      <c r="AQ41" s="645">
        <v>43160</v>
      </c>
      <c r="AR41" s="645">
        <v>43191</v>
      </c>
      <c r="AS41" s="645">
        <v>43221</v>
      </c>
      <c r="AT41" s="645">
        <v>43252</v>
      </c>
      <c r="AU41" s="645">
        <v>43282</v>
      </c>
      <c r="AV41" s="645">
        <v>43313</v>
      </c>
      <c r="AW41" s="645">
        <v>43344</v>
      </c>
      <c r="AX41" s="645">
        <v>43374</v>
      </c>
      <c r="AY41" s="645">
        <v>43405</v>
      </c>
      <c r="AZ41" s="645">
        <v>43435</v>
      </c>
      <c r="BA41" s="759">
        <f t="shared" ref="BA41" si="97">YEAR(AZ41)</f>
        <v>2018</v>
      </c>
      <c r="BB41" s="645">
        <v>43466</v>
      </c>
      <c r="BC41" s="645">
        <v>43497</v>
      </c>
      <c r="BD41" s="645">
        <v>43525</v>
      </c>
      <c r="BE41" s="645">
        <v>43556</v>
      </c>
      <c r="BF41" s="645">
        <v>43586</v>
      </c>
      <c r="BG41" s="645">
        <v>43617</v>
      </c>
      <c r="BH41" s="645">
        <v>43647</v>
      </c>
      <c r="BI41" s="645">
        <v>43678</v>
      </c>
      <c r="BJ41" s="645">
        <v>43709</v>
      </c>
      <c r="BK41" s="645">
        <v>43739</v>
      </c>
      <c r="BL41" s="645">
        <v>43770</v>
      </c>
      <c r="BM41" s="645">
        <v>43800</v>
      </c>
      <c r="BN41" s="759">
        <f t="shared" ref="BN41" si="98">YEAR(BM41)</f>
        <v>2019</v>
      </c>
      <c r="BO41" s="645">
        <v>43831</v>
      </c>
      <c r="BP41" s="645">
        <v>43862</v>
      </c>
      <c r="BQ41" s="645">
        <v>43891</v>
      </c>
      <c r="BR41" s="645">
        <v>43922</v>
      </c>
      <c r="BS41" s="645">
        <v>43952</v>
      </c>
      <c r="BT41" s="645">
        <v>43983</v>
      </c>
      <c r="BU41" s="645">
        <v>44013</v>
      </c>
      <c r="BV41" s="645">
        <v>44044</v>
      </c>
      <c r="BW41" s="645">
        <v>44075</v>
      </c>
      <c r="BX41" s="645">
        <v>44105</v>
      </c>
      <c r="BY41" s="645">
        <v>44136</v>
      </c>
      <c r="BZ41" s="645">
        <v>44166</v>
      </c>
      <c r="CA41" s="759">
        <f t="shared" ref="CA41" si="99">YEAR(BZ41)</f>
        <v>2020</v>
      </c>
      <c r="CB41" s="645">
        <v>44197</v>
      </c>
      <c r="CC41" s="645">
        <v>44228</v>
      </c>
      <c r="CD41" s="645">
        <v>44256</v>
      </c>
      <c r="CE41" s="645">
        <v>44287</v>
      </c>
      <c r="CF41" s="645">
        <v>44317</v>
      </c>
      <c r="CG41" s="645">
        <v>44348</v>
      </c>
      <c r="CH41" s="645">
        <v>44378</v>
      </c>
      <c r="CI41" s="645">
        <v>44409</v>
      </c>
      <c r="CJ41" s="645">
        <v>44440</v>
      </c>
      <c r="CK41" s="645">
        <v>44470</v>
      </c>
      <c r="CL41" s="645">
        <v>44501</v>
      </c>
      <c r="CM41" s="645">
        <v>44531</v>
      </c>
      <c r="CN41" s="759">
        <f t="shared" ref="CN41" si="100">YEAR(CM41)</f>
        <v>2021</v>
      </c>
      <c r="CO41" s="645">
        <v>44562</v>
      </c>
      <c r="CP41" s="645">
        <v>44593</v>
      </c>
      <c r="CQ41" s="645">
        <v>44621</v>
      </c>
      <c r="CR41" s="645">
        <v>44652</v>
      </c>
      <c r="CS41" s="645">
        <v>44682</v>
      </c>
      <c r="CT41" s="645">
        <v>44713</v>
      </c>
      <c r="CU41" s="645">
        <v>44743</v>
      </c>
      <c r="CV41" s="645">
        <v>44774</v>
      </c>
      <c r="CW41" s="645">
        <v>44805</v>
      </c>
      <c r="CX41" s="645">
        <v>44835</v>
      </c>
      <c r="CY41" s="645">
        <v>44866</v>
      </c>
      <c r="CZ41" s="645">
        <v>44896</v>
      </c>
      <c r="DA41" s="759">
        <f t="shared" ref="DA41" si="101">YEAR(CZ41)</f>
        <v>2022</v>
      </c>
      <c r="DB41" s="645">
        <v>44927</v>
      </c>
      <c r="DC41" s="645">
        <v>44958</v>
      </c>
      <c r="DD41" s="645">
        <v>44986</v>
      </c>
      <c r="DE41" s="645">
        <v>45017</v>
      </c>
      <c r="DF41" s="645">
        <v>45047</v>
      </c>
      <c r="DG41" s="645">
        <v>45078</v>
      </c>
      <c r="DH41" s="645">
        <v>45108</v>
      </c>
      <c r="DI41" s="645">
        <v>45139</v>
      </c>
      <c r="DJ41" s="645">
        <v>45170</v>
      </c>
      <c r="DK41" s="645">
        <v>45200</v>
      </c>
      <c r="DL41" s="645">
        <v>45231</v>
      </c>
      <c r="DM41" s="645">
        <v>45261</v>
      </c>
      <c r="DN41" s="759">
        <f t="shared" ref="DN41" si="102">YEAR(DM41)</f>
        <v>2023</v>
      </c>
      <c r="DO41" s="645">
        <v>45292</v>
      </c>
      <c r="DP41" s="645">
        <v>45323</v>
      </c>
      <c r="DQ41" s="645">
        <v>45352</v>
      </c>
      <c r="DR41" s="645">
        <v>45383</v>
      </c>
      <c r="DS41" s="645">
        <v>45413</v>
      </c>
      <c r="DT41" s="645">
        <v>45444</v>
      </c>
      <c r="DU41" s="645">
        <v>45474</v>
      </c>
      <c r="DV41" s="645">
        <v>45505</v>
      </c>
      <c r="DW41" s="645">
        <v>45536</v>
      </c>
      <c r="DX41" s="645">
        <v>45566</v>
      </c>
      <c r="DY41" s="645">
        <v>45597</v>
      </c>
      <c r="DZ41" s="645">
        <v>45627</v>
      </c>
      <c r="EA41" s="759">
        <f t="shared" ref="EA41" si="103">YEAR(DZ41)</f>
        <v>2024</v>
      </c>
      <c r="EB41" s="645">
        <v>45658</v>
      </c>
      <c r="EC41" s="645">
        <v>45689</v>
      </c>
      <c r="ED41" s="645">
        <v>45717</v>
      </c>
      <c r="EE41" s="645">
        <v>45748</v>
      </c>
      <c r="EF41" s="645">
        <v>45778</v>
      </c>
      <c r="EG41" s="645">
        <v>45809</v>
      </c>
      <c r="EH41" s="645">
        <v>45839</v>
      </c>
      <c r="EI41" s="645">
        <v>45870</v>
      </c>
      <c r="EJ41" s="645">
        <v>45901</v>
      </c>
      <c r="EK41" s="645">
        <v>45931</v>
      </c>
      <c r="EL41" s="645">
        <v>45962</v>
      </c>
      <c r="EM41" s="645">
        <v>45992</v>
      </c>
      <c r="EN41" s="759">
        <f>YEAR(EM41)</f>
        <v>2025</v>
      </c>
      <c r="EO41" s="645">
        <v>46023</v>
      </c>
      <c r="EP41" s="645">
        <v>46054</v>
      </c>
      <c r="EQ41" s="645">
        <v>46082</v>
      </c>
      <c r="ER41" s="645">
        <v>46113</v>
      </c>
      <c r="ES41" s="645">
        <v>46143</v>
      </c>
      <c r="ET41" s="645">
        <v>46174</v>
      </c>
      <c r="EU41" s="645">
        <v>46204</v>
      </c>
      <c r="EV41" s="977">
        <v>46235</v>
      </c>
      <c r="EW41" s="645">
        <v>46266</v>
      </c>
      <c r="EX41" s="645">
        <v>46296</v>
      </c>
      <c r="EY41" s="645">
        <v>46327</v>
      </c>
      <c r="EZ41" s="645">
        <v>46357</v>
      </c>
      <c r="FA41" s="759">
        <f>YEAR(EZ41)</f>
        <v>2026</v>
      </c>
      <c r="FC41" s="485">
        <f>EV41</f>
        <v>46235</v>
      </c>
      <c r="FD41" s="487" t="str">
        <f>CONCATENATE("Ene.-",TEXT(FC41,"MMM."))</f>
        <v>Ene.-Ago.</v>
      </c>
      <c r="FE41" s="487" t="str">
        <f>FD41</f>
        <v>Ene.-Ago.</v>
      </c>
      <c r="FF41" s="487" t="str">
        <f>FD41</f>
        <v>Ene.-Ago.</v>
      </c>
      <c r="FG41"/>
      <c r="FI41" s="795"/>
      <c r="FJ41"/>
      <c r="FK41"/>
      <c r="FL41"/>
      <c r="FM41"/>
      <c r="FN41"/>
      <c r="FO41"/>
      <c r="FP41"/>
    </row>
    <row r="42" spans="1:172" ht="15" customHeight="1" x14ac:dyDescent="0.25">
      <c r="A42" s="138"/>
      <c r="B42" s="883"/>
      <c r="C42" s="883"/>
      <c r="D42" s="883"/>
      <c r="E42" s="883"/>
      <c r="F42" s="883"/>
      <c r="G42" s="883"/>
      <c r="H42" s="883"/>
      <c r="I42" s="883"/>
      <c r="J42" s="883"/>
      <c r="K42" s="883"/>
      <c r="L42" s="883"/>
      <c r="M42" s="873"/>
      <c r="N42" s="874"/>
      <c r="O42" s="883"/>
      <c r="P42" s="883"/>
      <c r="Q42" s="883"/>
      <c r="R42" s="883"/>
      <c r="S42" s="883"/>
      <c r="T42" s="883"/>
      <c r="U42" s="883"/>
      <c r="V42" s="883"/>
      <c r="W42" s="883"/>
      <c r="X42" s="883"/>
      <c r="Y42" s="883"/>
      <c r="Z42" s="873"/>
      <c r="AA42" s="874"/>
      <c r="AB42" s="883"/>
      <c r="AC42" s="883"/>
      <c r="AD42" s="883"/>
      <c r="AE42" s="883"/>
      <c r="AF42" s="883"/>
      <c r="AG42" s="883"/>
      <c r="AH42" s="883"/>
      <c r="AI42" s="883"/>
      <c r="AJ42" s="883"/>
      <c r="AK42" s="883"/>
      <c r="AL42" s="883"/>
      <c r="AM42" s="873"/>
      <c r="AN42" s="874"/>
      <c r="AO42" s="883"/>
      <c r="AP42" s="883"/>
      <c r="AQ42" s="883"/>
      <c r="AR42" s="883"/>
      <c r="AS42" s="883"/>
      <c r="AT42" s="883"/>
      <c r="AU42" s="883"/>
      <c r="AV42" s="883"/>
      <c r="AW42" s="883"/>
      <c r="AX42" s="883"/>
      <c r="AY42" s="883"/>
      <c r="AZ42" s="873"/>
      <c r="BA42" s="874"/>
      <c r="BB42" s="883"/>
      <c r="BC42" s="883"/>
      <c r="BD42" s="883"/>
      <c r="BE42" s="883"/>
      <c r="BF42" s="883"/>
      <c r="BG42" s="883"/>
      <c r="BH42" s="883"/>
      <c r="BI42" s="883"/>
      <c r="BJ42" s="883"/>
      <c r="BK42" s="883"/>
      <c r="BL42" s="883"/>
      <c r="BM42" s="873"/>
      <c r="BN42" s="874"/>
      <c r="BO42" s="883"/>
      <c r="BP42" s="883"/>
      <c r="BQ42" s="883"/>
      <c r="BR42" s="883"/>
      <c r="BS42" s="883"/>
      <c r="BT42" s="883"/>
      <c r="BU42" s="883"/>
      <c r="BV42" s="883"/>
      <c r="BW42" s="883"/>
      <c r="BX42" s="883"/>
      <c r="BY42" s="883"/>
      <c r="BZ42" s="873"/>
      <c r="CA42" s="874"/>
      <c r="CB42" s="883"/>
      <c r="CC42" s="883"/>
      <c r="CD42" s="883"/>
      <c r="CE42" s="883"/>
      <c r="CF42" s="883"/>
      <c r="CG42" s="883"/>
      <c r="CH42" s="883"/>
      <c r="CI42" s="883"/>
      <c r="CJ42" s="883"/>
      <c r="CK42" s="883"/>
      <c r="CL42" s="883"/>
      <c r="CM42" s="873"/>
      <c r="CN42" s="874"/>
      <c r="CO42" s="883"/>
      <c r="CP42" s="883"/>
      <c r="CQ42" s="883"/>
      <c r="CR42" s="883"/>
      <c r="CS42" s="883"/>
      <c r="CT42" s="883"/>
      <c r="CU42" s="883"/>
      <c r="CV42" s="883"/>
      <c r="CW42" s="883"/>
      <c r="CX42" s="883"/>
      <c r="CY42" s="883"/>
      <c r="CZ42" s="873"/>
      <c r="DA42" s="874"/>
      <c r="DB42" s="883"/>
      <c r="DC42" s="883"/>
      <c r="DD42" s="883"/>
      <c r="DE42" s="883"/>
      <c r="DF42" s="883"/>
      <c r="DG42" s="883"/>
      <c r="DH42" s="883"/>
      <c r="DI42" s="883"/>
      <c r="DJ42" s="883"/>
      <c r="DK42" s="883"/>
      <c r="DL42" s="883"/>
      <c r="DM42" s="873"/>
      <c r="DN42" s="874"/>
      <c r="DO42" s="883"/>
      <c r="DP42" s="883"/>
      <c r="DQ42" s="883"/>
      <c r="DR42" s="883"/>
      <c r="DS42" s="883"/>
      <c r="DT42" s="883"/>
      <c r="DU42" s="883"/>
      <c r="DV42" s="883"/>
      <c r="DW42" s="883"/>
      <c r="DX42" s="883"/>
      <c r="DY42" s="883"/>
      <c r="DZ42" s="873"/>
      <c r="EA42" s="874"/>
      <c r="EB42" s="883"/>
      <c r="EC42" s="883"/>
      <c r="ED42" s="883"/>
      <c r="EE42" s="883"/>
      <c r="EF42" s="883"/>
      <c r="EG42" s="883"/>
      <c r="EH42" s="883"/>
      <c r="EI42" s="883"/>
      <c r="EJ42" s="883"/>
      <c r="EK42" s="883"/>
      <c r="EL42" s="883"/>
      <c r="EM42" s="873"/>
      <c r="EN42" s="874"/>
      <c r="EO42" s="883"/>
      <c r="EP42" s="883"/>
      <c r="EQ42" s="883"/>
      <c r="ER42" s="883"/>
      <c r="ES42" s="883"/>
      <c r="ET42" s="883"/>
      <c r="EU42" s="883"/>
      <c r="EV42" s="973"/>
      <c r="EW42" s="883"/>
      <c r="EX42" s="883"/>
      <c r="EY42" s="883"/>
      <c r="EZ42" s="873"/>
      <c r="FA42" s="874"/>
      <c r="FC42" s="839"/>
      <c r="FD42" s="840"/>
      <c r="FE42" s="454"/>
      <c r="FF42" s="455"/>
    </row>
    <row r="43" spans="1:172" s="753" customFormat="1" ht="15" customHeight="1" x14ac:dyDescent="0.25">
      <c r="A43" s="822" t="s">
        <v>211</v>
      </c>
      <c r="B43" s="884">
        <f t="shared" ref="B43:B57" si="104">B7/$B$39</f>
        <v>25062.757330384888</v>
      </c>
      <c r="C43" s="884">
        <f t="shared" ref="C43:C57" si="105">C7/$C$39</f>
        <v>28038.105379402627</v>
      </c>
      <c r="D43" s="884">
        <f t="shared" ref="D43:D57" si="106">D7/$D$39</f>
        <v>44383.090494396769</v>
      </c>
      <c r="E43" s="884">
        <f t="shared" ref="E43:E57" si="107">E7/$E$39</f>
        <v>30950.179342947391</v>
      </c>
      <c r="F43" s="884">
        <f t="shared" ref="F43:F57" si="108">F7/$F$39</f>
        <v>45813.170850848517</v>
      </c>
      <c r="G43" s="884">
        <f t="shared" ref="G43:G57" si="109">G7/$G$39</f>
        <v>47960.388250690405</v>
      </c>
      <c r="H43" s="884">
        <f t="shared" ref="H43:H57" si="110">H7/$H$39</f>
        <v>33231.099107029797</v>
      </c>
      <c r="I43" s="884">
        <f t="shared" ref="I43:I57" si="111">I7/$I$39</f>
        <v>36072.577826677705</v>
      </c>
      <c r="J43" s="884">
        <f t="shared" ref="J43:J57" si="112">J7/$J$39</f>
        <v>33347.326926121103</v>
      </c>
      <c r="K43" s="884">
        <f t="shared" ref="K43:K57" si="113">K7/$K$39</f>
        <v>36836.088697440777</v>
      </c>
      <c r="L43" s="884">
        <f t="shared" ref="L43:L57" si="114">L7/$L$39</f>
        <v>34094.664354916342</v>
      </c>
      <c r="M43" s="875">
        <f t="shared" ref="M43:M57" si="115">M7/$M$39</f>
        <v>69036.214673595576</v>
      </c>
      <c r="N43" s="876">
        <f>SUM(B43:M43)</f>
        <v>464825.66323445184</v>
      </c>
      <c r="O43" s="884">
        <f t="shared" ref="O43:O57" si="116">O7/$O$39</f>
        <v>28049.177337769012</v>
      </c>
      <c r="P43" s="884">
        <f t="shared" ref="P43:P57" si="117">P7/$P$39</f>
        <v>30580.44992695827</v>
      </c>
      <c r="Q43" s="884">
        <f t="shared" ref="Q43:Q57" si="118">Q7/$Q$39</f>
        <v>29964.847424837553</v>
      </c>
      <c r="R43" s="884">
        <f t="shared" ref="R43:R57" si="119">R7/$R$39</f>
        <v>30327.921584817708</v>
      </c>
      <c r="S43" s="884">
        <f t="shared" ref="S43:S57" si="120">S7/$S$39</f>
        <v>55520.879683002044</v>
      </c>
      <c r="T43" s="884">
        <f t="shared" ref="T43:T57" si="121">T7/$T$39</f>
        <v>46736.531433399294</v>
      </c>
      <c r="U43" s="884">
        <f t="shared" ref="U43:U57" si="122">U7/$U$39</f>
        <v>76542.961518355674</v>
      </c>
      <c r="V43" s="884">
        <f t="shared" ref="V43:V57" si="123">V7/$V$39</f>
        <v>29392.036302660847</v>
      </c>
      <c r="W43" s="884">
        <f t="shared" ref="W43:W57" si="124">W7/$W$39</f>
        <v>35347.113716014981</v>
      </c>
      <c r="X43" s="884">
        <f t="shared" ref="X43:X57" si="125">X7/$X$39</f>
        <v>41155.18861419936</v>
      </c>
      <c r="Y43" s="884">
        <f t="shared" ref="Y43:Y57" si="126">Y7/$Y$39</f>
        <v>31426.402711143259</v>
      </c>
      <c r="Z43" s="875">
        <f t="shared" ref="Z43:Z57" si="127">Z7/$Z$39</f>
        <v>102558.7805473074</v>
      </c>
      <c r="AA43" s="876">
        <f>SUM(O43:Z43)</f>
        <v>537602.29080046539</v>
      </c>
      <c r="AB43" s="884">
        <f t="shared" ref="AB43:AB57" si="128">AB7/$AB$39</f>
        <v>27457.285827245967</v>
      </c>
      <c r="AC43" s="884">
        <f t="shared" ref="AC43:AC57" si="129">AC7/$AC$39</f>
        <v>29124.990575990243</v>
      </c>
      <c r="AD43" s="884">
        <f t="shared" ref="AD43:AD57" si="130">AD7/$AD$39</f>
        <v>47240.712073599127</v>
      </c>
      <c r="AE43" s="884">
        <f t="shared" ref="AE43:AE57" si="131">AE7/$AE$39</f>
        <v>47680.969014736249</v>
      </c>
      <c r="AF43" s="884">
        <f t="shared" ref="AF43:AF57" si="132">AF7/$AF$39</f>
        <v>44655.707689594157</v>
      </c>
      <c r="AG43" s="884">
        <f t="shared" ref="AG43:AG57" si="133">AG7/$AG$39</f>
        <v>44832.867637052143</v>
      </c>
      <c r="AH43" s="884">
        <f t="shared" ref="AH43:AH57" si="134">AH7/$AH$39</f>
        <v>43651.269057269834</v>
      </c>
      <c r="AI43" s="884">
        <f t="shared" ref="AI43:AI57" si="135">AI7/$AI$39</f>
        <v>74312.846193846795</v>
      </c>
      <c r="AJ43" s="884">
        <f t="shared" ref="AJ43:AJ57" si="136">AJ7/$AJ$39</f>
        <v>44177.663212416672</v>
      </c>
      <c r="AK43" s="884">
        <f t="shared" ref="AK43:AK57" si="137">AK7/$AK$39</f>
        <v>44673.055543105176</v>
      </c>
      <c r="AL43" s="884">
        <f t="shared" ref="AL43:AL57" si="138">AL7/$AL$39</f>
        <v>57094.870596509361</v>
      </c>
      <c r="AM43" s="875">
        <f t="shared" ref="AM43:AM57" si="139">AM7/$AM$39</f>
        <v>106871.05884300946</v>
      </c>
      <c r="AN43" s="876">
        <f>SUM(AB43:AM43)</f>
        <v>611773.29626437521</v>
      </c>
      <c r="AO43" s="884">
        <f t="shared" ref="AO43:AO57" si="140">AO7/$AO$39</f>
        <v>33691.298801459925</v>
      </c>
      <c r="AP43" s="884">
        <f t="shared" ref="AP43:AP57" si="141">AP7/$AP$39</f>
        <v>34871.144143890138</v>
      </c>
      <c r="AQ43" s="884">
        <f t="shared" ref="AQ43:AQ57" si="142">AQ7/$AQ$39</f>
        <v>41652.049494440274</v>
      </c>
      <c r="AR43" s="884">
        <f t="shared" ref="AR43:AR57" si="143">AR7/$AR$39</f>
        <v>54144.789286878098</v>
      </c>
      <c r="AS43" s="884">
        <f t="shared" ref="AS43:AS57" si="144">AS7/$AS$39</f>
        <v>50877.897266831817</v>
      </c>
      <c r="AT43" s="884">
        <f t="shared" ref="AT43:AT57" si="145">AT7/$AT$39</f>
        <v>54781.687328195731</v>
      </c>
      <c r="AU43" s="884">
        <f t="shared" ref="AU43:AU57" si="146">AU7/$AU$39</f>
        <v>56848.323144118309</v>
      </c>
      <c r="AV43" s="884">
        <f t="shared" ref="AV43:AV57" si="147">AV7/$AV$39</f>
        <v>57271.156714230536</v>
      </c>
      <c r="AW43" s="884">
        <f t="shared" ref="AW43:AW57" si="148">AW7/$AW$39</f>
        <v>51481.84175796964</v>
      </c>
      <c r="AX43" s="884">
        <f t="shared" ref="AX43:AX57" si="149">AX7/$AX$39</f>
        <v>43914.923451426315</v>
      </c>
      <c r="AY43" s="884">
        <f t="shared" ref="AY43:AY57" si="150">AY7/$AY$39</f>
        <v>75960.404011805498</v>
      </c>
      <c r="AZ43" s="875">
        <f t="shared" ref="AZ43:AZ57" si="151">AZ7/$AZ$39</f>
        <v>57092.628745411821</v>
      </c>
      <c r="BA43" s="876">
        <f>SUM(AO43:AZ43)</f>
        <v>612588.14414665813</v>
      </c>
      <c r="BB43" s="884">
        <f t="shared" ref="BB43:BB57" si="152">BB7/$BB$39</f>
        <v>97694.539612064167</v>
      </c>
      <c r="BC43" s="884">
        <f t="shared" ref="BC43:BC57" si="153">BC7/$BC$39</f>
        <v>52762.075072372223</v>
      </c>
      <c r="BD43" s="884">
        <f t="shared" ref="BD43:BD57" si="154">BD7/$BD$39</f>
        <v>45227.39004245618</v>
      </c>
      <c r="BE43" s="884">
        <f t="shared" ref="BE43:BE57" si="155">BE7/$BE$39</f>
        <v>38728.019252913582</v>
      </c>
      <c r="BF43" s="884">
        <f t="shared" ref="BF43:BF57" si="156">BF7/$BF$39</f>
        <v>62221.668792556513</v>
      </c>
      <c r="BG43" s="884">
        <f t="shared" ref="BG43:BG57" si="157">BG7/$BG$39</f>
        <v>71828.446869026448</v>
      </c>
      <c r="BH43" s="884">
        <f t="shared" ref="BH43:BH57" si="158">BH7/$BH$39</f>
        <v>63377.222016554886</v>
      </c>
      <c r="BI43" s="884">
        <f t="shared" ref="BI43:BI57" si="159">BI7/$BI$39</f>
        <v>80423.347871781327</v>
      </c>
      <c r="BJ43" s="884">
        <f t="shared" ref="BJ43:BJ57" si="160">BJ7/$BJ$39</f>
        <v>62207.962225380172</v>
      </c>
      <c r="BK43" s="884">
        <f t="shared" ref="BK43:BK57" si="161">BK7/$BK$39</f>
        <v>83909.827292742804</v>
      </c>
      <c r="BL43" s="884">
        <f t="shared" ref="BL43:BL57" si="162">BL7/$BL$39</f>
        <v>68719.327479443527</v>
      </c>
      <c r="BM43" s="875">
        <f t="shared" ref="BM43:BM57" si="163">BM7/$BM$39</f>
        <v>108099.34266190755</v>
      </c>
      <c r="BN43" s="876">
        <f>SUM(BB43:BM43)</f>
        <v>835199.16918919934</v>
      </c>
      <c r="BO43" s="884">
        <f t="shared" ref="BO43:BO57" si="164">BO7/$BO$38</f>
        <v>55492.66200122259</v>
      </c>
      <c r="BP43" s="884">
        <f t="shared" ref="BP43:BP57" si="165">BP7/$BP$38</f>
        <v>43562.334035705113</v>
      </c>
      <c r="BQ43" s="884">
        <f t="shared" ref="BQ43:BQ57" si="166">BQ7/$BQ$38</f>
        <v>41623.799225235074</v>
      </c>
      <c r="BR43" s="884">
        <f t="shared" ref="BR43:BR57" si="167">BR7/$BR$38</f>
        <v>51376.999026162855</v>
      </c>
      <c r="BS43" s="884">
        <f t="shared" ref="BS43:BS57" si="168">BS7/$BS$38</f>
        <v>41301.414207596041</v>
      </c>
      <c r="BT43" s="884">
        <f t="shared" ref="BT43:BT57" si="169">BT7/$BT$38</f>
        <v>41266.362334735226</v>
      </c>
      <c r="BU43" s="884">
        <f t="shared" ref="BU43:BU57" si="170">BU7/$BU$38</f>
        <v>51538.553501853276</v>
      </c>
      <c r="BV43" s="884">
        <f t="shared" ref="BV43:BV57" si="171">BV7/$BV$38</f>
        <v>66433.353591246734</v>
      </c>
      <c r="BW43" s="884">
        <f t="shared" ref="BW43:BW57" si="172">BW7/$BW$38</f>
        <v>59373.69559083959</v>
      </c>
      <c r="BX43" s="884">
        <f t="shared" ref="BX43:BX57" si="173">BX7/$BX$38</f>
        <v>76788.608741900258</v>
      </c>
      <c r="BY43" s="884">
        <f t="shared" ref="BY43:BY57" si="174">BY7/$BY$38</f>
        <v>96499.479142387427</v>
      </c>
      <c r="BZ43" s="875">
        <f t="shared" ref="BZ43:BZ57" si="175">BZ7/$BZ$38</f>
        <v>107527.52180779976</v>
      </c>
      <c r="CA43" s="876">
        <f>SUM(BO43:BZ43)</f>
        <v>732784.78320668405</v>
      </c>
      <c r="CB43" s="884">
        <f t="shared" ref="CB43:CB57" si="176">CB7/$CB$38</f>
        <v>51084.460222374037</v>
      </c>
      <c r="CC43" s="884">
        <f t="shared" ref="CC43:CC57" si="177">CC7/$CC$38</f>
        <v>50941.083547485425</v>
      </c>
      <c r="CD43" s="884">
        <f t="shared" ref="CD43:CD57" si="178">CD7/$CD$38</f>
        <v>57819.175095415128</v>
      </c>
      <c r="CE43" s="884">
        <f t="shared" ref="CE43:CE57" si="179">CE7/$CE$38</f>
        <v>56276.036457188093</v>
      </c>
      <c r="CF43" s="884">
        <f t="shared" ref="CF43:CF57" si="180">CF7/$CF$38</f>
        <v>58995.896255803709</v>
      </c>
      <c r="CG43" s="884">
        <f t="shared" ref="CG43:CG57" si="181">CG7/$CG$38</f>
        <v>58275.980961122179</v>
      </c>
      <c r="CH43" s="884">
        <f t="shared" ref="CH43:CH57" si="182">CH7/$CH$38</f>
        <v>68784.116386933456</v>
      </c>
      <c r="CI43" s="884">
        <f t="shared" ref="CI43:CI57" si="183">CI7/$CI$38</f>
        <v>55699.222064766691</v>
      </c>
      <c r="CJ43" s="884">
        <f t="shared" ref="CJ43:CJ57" si="184">CJ7/$CJ$38</f>
        <v>64140.085928727152</v>
      </c>
      <c r="CK43" s="884">
        <f t="shared" ref="CK43:CK57" si="185">CK7/$CK$38</f>
        <v>55907.182288981472</v>
      </c>
      <c r="CL43" s="884">
        <f t="shared" ref="CL43:CL57" si="186">CL7/$CL$38</f>
        <v>65545.504178296309</v>
      </c>
      <c r="CM43" s="875">
        <f t="shared" ref="CM43:CM57" si="187">CM7/$CM$38</f>
        <v>103682.69142974493</v>
      </c>
      <c r="CN43" s="876">
        <f>SUM(CB43:CM43)</f>
        <v>747151.43481683871</v>
      </c>
      <c r="CO43" s="884">
        <f t="shared" ref="CO43:CO57" si="188">CO7/$CO$38</f>
        <v>38412.213647113269</v>
      </c>
      <c r="CP43" s="884">
        <f t="shared" ref="CP43:CP57" si="189">CP7/$CP$38</f>
        <v>59807.818500011388</v>
      </c>
      <c r="CQ43" s="884">
        <f t="shared" ref="CQ43:CQ57" si="190">CQ7/$CQ$38</f>
        <v>67912.036368545581</v>
      </c>
      <c r="CR43" s="884">
        <f t="shared" ref="CR43:CR57" si="191">CR7/$CR$38</f>
        <v>52703.20210997673</v>
      </c>
      <c r="CS43" s="884">
        <f t="shared" ref="CS43:CS57" si="192">CS7/$CS$38</f>
        <v>52088.910381004505</v>
      </c>
      <c r="CT43" s="884">
        <f t="shared" ref="CT43:CT57" si="193">CT7/$CT$38</f>
        <v>59553.385948559386</v>
      </c>
      <c r="CU43" s="884">
        <f t="shared" ref="CU43:CU57" si="194">CU7/$CU$38</f>
        <v>71915.374984960625</v>
      </c>
      <c r="CV43" s="884">
        <f t="shared" ref="CV43:CV57" si="195">CV7/$CV$38</f>
        <v>60965.699210061735</v>
      </c>
      <c r="CW43" s="884">
        <f t="shared" ref="CW43:CW57" si="196">CW7/$CW$38</f>
        <v>61375.157420324358</v>
      </c>
      <c r="CX43" s="884">
        <f t="shared" ref="CX43:CX57" si="197">CX7/$CX$38</f>
        <v>58224.765133490509</v>
      </c>
      <c r="CY43" s="884">
        <f t="shared" ref="CY43:CY57" si="198">CY7/$CY$38</f>
        <v>62302.009555252218</v>
      </c>
      <c r="CZ43" s="875">
        <f t="shared" ref="CZ43:CZ57" si="199">CZ7/$CZ$38</f>
        <v>93716.701128599001</v>
      </c>
      <c r="DA43" s="876">
        <f>SUM(CO43:CZ43)</f>
        <v>738977.27438789944</v>
      </c>
      <c r="DB43" s="884">
        <f t="shared" ref="DB43:DB57" si="200">DB7/$DB$38</f>
        <v>50823.231877910031</v>
      </c>
      <c r="DC43" s="884">
        <f t="shared" ref="DC43:DC57" si="201">DC7/$DC$38</f>
        <v>53866.725759041808</v>
      </c>
      <c r="DD43" s="884">
        <f t="shared" ref="DD43:DD57" si="202">DD7/$DD$38</f>
        <v>53726.496931850066</v>
      </c>
      <c r="DE43" s="884">
        <f t="shared" ref="DE43:DE57" si="203">DE7/$DE$38</f>
        <v>53242.810337582276</v>
      </c>
      <c r="DF43" s="884">
        <f t="shared" ref="DF43:DF57" si="204">DF7/$DF$38</f>
        <v>60886.942405833695</v>
      </c>
      <c r="DG43" s="884">
        <f t="shared" ref="DG43:DG57" si="205">DG7/$DG$38</f>
        <v>72965.123519170258</v>
      </c>
      <c r="DH43" s="884">
        <f t="shared" ref="DH43:DH57" si="206">DH7/$DH$38</f>
        <v>72814.263469238562</v>
      </c>
      <c r="DI43" s="884">
        <f t="shared" ref="DI43:DI57" si="207">DI7/$DI$38</f>
        <v>65589.886527483104</v>
      </c>
      <c r="DJ43" s="884">
        <f t="shared" ref="DJ43:DJ57" si="208">DJ7/$DJ$38</f>
        <v>64905.035507773136</v>
      </c>
      <c r="DK43" s="884">
        <f t="shared" ref="DK43:DK57" si="209">DK7/$DK$38</f>
        <v>74658.109404553747</v>
      </c>
      <c r="DL43" s="884">
        <f t="shared" ref="DL43:DL57" si="210">DL7/$DL$38</f>
        <v>79724.498310333394</v>
      </c>
      <c r="DM43" s="875">
        <f t="shared" ref="DM43:DM57" si="211">DM7/$DM$38</f>
        <v>172997.06373043917</v>
      </c>
      <c r="DN43" s="876">
        <f>SUM(DB43:DM43)</f>
        <v>876200.18778120936</v>
      </c>
      <c r="DO43" s="884">
        <f t="shared" ref="DO43:DO57" si="212">DO7/$DO$38</f>
        <v>64875.23692504612</v>
      </c>
      <c r="DP43" s="884">
        <f t="shared" ref="DP43:DP57" si="213">DP7/$DP$38</f>
        <v>62918.441286777866</v>
      </c>
      <c r="DQ43" s="884">
        <f t="shared" ref="DQ43:DQ57" si="214">DQ7/$DQ$38</f>
        <v>73887.366437637902</v>
      </c>
      <c r="DR43" s="884">
        <f t="shared" ref="DR43:DR57" si="215">DR7/$DR$38</f>
        <v>76080.274863386774</v>
      </c>
      <c r="DS43" s="884">
        <f t="shared" ref="DS43:DS57" si="216">DS7/$DS$38</f>
        <v>102731.32060415663</v>
      </c>
      <c r="DT43" s="884">
        <f t="shared" ref="DT43:DT57" si="217">DT7/$DT$38</f>
        <v>74630.766835885166</v>
      </c>
      <c r="DU43" s="884">
        <f t="shared" ref="DU43:DU57" si="218">DU7/$DU$38</f>
        <v>85120.544276646528</v>
      </c>
      <c r="DV43" s="884">
        <f t="shared" ref="DV43:DV57" si="219">DV7/$DV$38</f>
        <v>100419.64373862368</v>
      </c>
      <c r="DW43" s="884">
        <f t="shared" ref="DW43:DW57" si="220">DW7/$DW$38</f>
        <v>68867.527648170217</v>
      </c>
      <c r="DX43" s="884">
        <f t="shared" ref="DX43:DX57" si="221">DX7/$DX$38</f>
        <v>93100.281871419633</v>
      </c>
      <c r="DY43" s="884">
        <f t="shared" ref="DY43:DY57" si="222">DY7/$DY$38</f>
        <v>103197.62942634651</v>
      </c>
      <c r="DZ43" s="875">
        <f t="shared" ref="DZ43:DZ57" si="223">DZ7/$DZ$38</f>
        <v>101046.23928204308</v>
      </c>
      <c r="EA43" s="876">
        <f>SUM(DO43:DZ43)</f>
        <v>1006875.2731961402</v>
      </c>
      <c r="EB43" s="884">
        <f>EB7/$EB$38</f>
        <v>57323.901833187811</v>
      </c>
      <c r="EC43" s="884">
        <f>EC7/$EC$38</f>
        <v>70835.731846431634</v>
      </c>
      <c r="ED43" s="884">
        <f>ED7/$ED$38</f>
        <v>62457.207224740123</v>
      </c>
      <c r="EE43" s="884">
        <f>EE7/$EE$38</f>
        <v>71735.525448687302</v>
      </c>
      <c r="EF43" s="884">
        <f>EF7/$EF$38</f>
        <v>88303.295752759601</v>
      </c>
      <c r="EG43" s="884">
        <f>EG7/$EG$38</f>
        <v>77136.11709291226</v>
      </c>
      <c r="EH43" s="884">
        <f>EH7/$EH$38</f>
        <v>81381.643811857779</v>
      </c>
      <c r="EI43" s="884">
        <f>EI7/$EI$38</f>
        <v>78053.135549846513</v>
      </c>
      <c r="EJ43" s="884">
        <f>EJ7/$EJ$38</f>
        <v>73822.250489903992</v>
      </c>
      <c r="EK43" s="884">
        <f>EK7/$EK$38</f>
        <v>75338.755476907987</v>
      </c>
      <c r="EL43" s="884">
        <f>EL7/$EL$38</f>
        <v>84423.466654547374</v>
      </c>
      <c r="EM43" s="875">
        <f>EM7/$EM$38</f>
        <v>118868.94912655881</v>
      </c>
      <c r="EN43" s="876">
        <f>SUM(EB43:EM43)</f>
        <v>939679.98030834121</v>
      </c>
      <c r="EO43" s="884">
        <f>EO7/$EO$38</f>
        <v>75636.386479609457</v>
      </c>
      <c r="EP43" s="884">
        <f>EP7/$EP$38</f>
        <v>95204.709159977836</v>
      </c>
      <c r="EQ43" s="884">
        <f>EQ7/$EQ$38</f>
        <v>69408.949292660327</v>
      </c>
      <c r="ER43" s="884">
        <f>ER7/$ER$38</f>
        <v>88421.637889292862</v>
      </c>
      <c r="ES43" s="884">
        <f>ES7/$ES$38</f>
        <v>101704.02912100118</v>
      </c>
      <c r="ET43" s="884">
        <f>ET7/$ET$38</f>
        <v>84382.304679872599</v>
      </c>
      <c r="EU43" s="884">
        <f>EU7/$EU$38</f>
        <v>94764.107131760276</v>
      </c>
      <c r="EV43" s="971">
        <f>EV7/$EV$38</f>
        <v>94919.188810551423</v>
      </c>
      <c r="EW43" s="884"/>
      <c r="EX43" s="884"/>
      <c r="EY43" s="884"/>
      <c r="EZ43" s="875"/>
      <c r="FA43" s="876">
        <f>SUM(EO43:EZ43)</f>
        <v>704441.31256472587</v>
      </c>
      <c r="FB43" s="757"/>
      <c r="FC43" s="841">
        <f>IFERROR(((
_xlfn.XLOOKUP((DATE(YEAR($FC$5),MONTH($FC$5),1)),$B$5:$FA$5,$B43:$FA43) /
_xlfn.XLOOKUP((DATE(YEAR($FC$5)-1,MONTH($FC$5),1)),$B$5:$FA$5,$B43:$FA43)
)-1)*100,"")</f>
        <v>21.608425006749243</v>
      </c>
      <c r="FD43" s="842">
        <f t="shared" ref="FD43:FD57" si="224">IFERROR(((FF43/FE43)-1)*100,"")</f>
        <v>19.960737860980426</v>
      </c>
      <c r="FE43" s="702">
        <f>SUMIFS($B43:$FA43,$B$5:$FA$5,"&gt;="&amp;DATE(YEAR($FC$5)-1,1,1),$B$5:$FA$5,"&lt;="&amp;DATE(YEAR($FC$5)-1,MONTH($FC$5),1))</f>
        <v>587226.55856042309</v>
      </c>
      <c r="FF43" s="703">
        <f t="shared" ref="FF43:FF57" si="225">SUMIFS($B43:$FA43,$B$5:$FA$5,"&gt;="&amp;DATE(YEAR($FC$5),1,1),$B$5:$FA$5,"&lt;="&amp;$FC$5)</f>
        <v>704441.31256472587</v>
      </c>
      <c r="FG43"/>
      <c r="FH43" s="757">
        <f>EV43-EI43</f>
        <v>16866.05326070491</v>
      </c>
      <c r="FI43" s="838"/>
      <c r="FJ43"/>
      <c r="FK43"/>
      <c r="FL43"/>
      <c r="FM43"/>
      <c r="FN43"/>
      <c r="FO43"/>
      <c r="FP43"/>
    </row>
    <row r="44" spans="1:172" s="110" customFormat="1" ht="15" customHeight="1" x14ac:dyDescent="0.25">
      <c r="A44" s="440" t="s">
        <v>370</v>
      </c>
      <c r="B44" s="885">
        <f t="shared" si="104"/>
        <v>24813.630803348042</v>
      </c>
      <c r="C44" s="885">
        <f t="shared" si="105"/>
        <v>22514.949644453791</v>
      </c>
      <c r="D44" s="885">
        <f t="shared" si="106"/>
        <v>24334.297868439036</v>
      </c>
      <c r="E44" s="885">
        <f t="shared" si="107"/>
        <v>27212.702735436098</v>
      </c>
      <c r="F44" s="885">
        <f t="shared" si="108"/>
        <v>28972.256949005707</v>
      </c>
      <c r="G44" s="885">
        <f t="shared" si="109"/>
        <v>27766.783016495956</v>
      </c>
      <c r="H44" s="885">
        <f t="shared" si="110"/>
        <v>30520.056544523824</v>
      </c>
      <c r="I44" s="885">
        <f t="shared" si="111"/>
        <v>28638.771445213759</v>
      </c>
      <c r="J44" s="885">
        <f t="shared" si="112"/>
        <v>28827.332694631976</v>
      </c>
      <c r="K44" s="885">
        <f t="shared" si="113"/>
        <v>27408.147960454437</v>
      </c>
      <c r="L44" s="885">
        <f t="shared" si="114"/>
        <v>26822.863191897144</v>
      </c>
      <c r="M44" s="877">
        <f t="shared" si="115"/>
        <v>43586.934968980298</v>
      </c>
      <c r="N44" s="878">
        <f t="shared" ref="N44:N57" si="226">SUM(B44:M44)</f>
        <v>341418.72782288014</v>
      </c>
      <c r="O44" s="885">
        <f t="shared" si="116"/>
        <v>25284.834358244439</v>
      </c>
      <c r="P44" s="885">
        <f t="shared" si="117"/>
        <v>26324.330595974134</v>
      </c>
      <c r="Q44" s="885">
        <f t="shared" si="118"/>
        <v>25607.354495513377</v>
      </c>
      <c r="R44" s="885">
        <f t="shared" si="119"/>
        <v>26848.389404367728</v>
      </c>
      <c r="S44" s="885">
        <f t="shared" si="120"/>
        <v>30403.494113847617</v>
      </c>
      <c r="T44" s="885">
        <f t="shared" si="121"/>
        <v>31112.119516501269</v>
      </c>
      <c r="U44" s="885">
        <f t="shared" si="122"/>
        <v>34625.358231149636</v>
      </c>
      <c r="V44" s="885">
        <f t="shared" si="123"/>
        <v>27172.932014049231</v>
      </c>
      <c r="W44" s="885">
        <f t="shared" si="124"/>
        <v>29636.037016754075</v>
      </c>
      <c r="X44" s="885">
        <f t="shared" si="125"/>
        <v>27812.447543736569</v>
      </c>
      <c r="Y44" s="885">
        <f t="shared" si="126"/>
        <v>27844.175434084107</v>
      </c>
      <c r="Z44" s="877">
        <f t="shared" si="127"/>
        <v>49643.575678242654</v>
      </c>
      <c r="AA44" s="878">
        <f t="shared" ref="AA44:AA57" si="227">SUM(O44:Z44)</f>
        <v>362315.04840246483</v>
      </c>
      <c r="AB44" s="885">
        <f t="shared" si="128"/>
        <v>27139.506664454526</v>
      </c>
      <c r="AC44" s="885">
        <f t="shared" si="129"/>
        <v>26534.923937509768</v>
      </c>
      <c r="AD44" s="885">
        <f t="shared" si="130"/>
        <v>30707.753812825958</v>
      </c>
      <c r="AE44" s="885">
        <f t="shared" si="131"/>
        <v>29678.992521591699</v>
      </c>
      <c r="AF44" s="885">
        <f t="shared" si="132"/>
        <v>32733.028728017063</v>
      </c>
      <c r="AG44" s="885">
        <f t="shared" si="133"/>
        <v>32065.839396788146</v>
      </c>
      <c r="AH44" s="885">
        <f t="shared" si="134"/>
        <v>34813.319883456097</v>
      </c>
      <c r="AI44" s="885">
        <f t="shared" si="135"/>
        <v>34720.006862513685</v>
      </c>
      <c r="AJ44" s="885">
        <f t="shared" si="136"/>
        <v>30544.485542118447</v>
      </c>
      <c r="AK44" s="885">
        <f t="shared" si="137"/>
        <v>30582.081911256842</v>
      </c>
      <c r="AL44" s="885">
        <f t="shared" si="138"/>
        <v>42328.75661775608</v>
      </c>
      <c r="AM44" s="877">
        <f t="shared" si="139"/>
        <v>53723.863588085092</v>
      </c>
      <c r="AN44" s="878">
        <f t="shared" ref="AN44:AN57" si="228">SUM(AB44:AM44)</f>
        <v>405572.55946637347</v>
      </c>
      <c r="AO44" s="885">
        <f t="shared" si="140"/>
        <v>33382.461895779874</v>
      </c>
      <c r="AP44" s="885">
        <f t="shared" si="141"/>
        <v>32545.204360486925</v>
      </c>
      <c r="AQ44" s="885">
        <f t="shared" si="142"/>
        <v>37831.783284182799</v>
      </c>
      <c r="AR44" s="885">
        <f t="shared" si="143"/>
        <v>34703.959679849337</v>
      </c>
      <c r="AS44" s="885">
        <f t="shared" si="144"/>
        <v>34724.207812301938</v>
      </c>
      <c r="AT44" s="885">
        <f t="shared" si="145"/>
        <v>46073.209624808296</v>
      </c>
      <c r="AU44" s="885">
        <f t="shared" si="146"/>
        <v>41800.446549697852</v>
      </c>
      <c r="AV44" s="885">
        <f t="shared" si="147"/>
        <v>36733.655495147374</v>
      </c>
      <c r="AW44" s="885">
        <f t="shared" si="148"/>
        <v>35796.521332398421</v>
      </c>
      <c r="AX44" s="885">
        <f t="shared" si="149"/>
        <v>36232.076086841582</v>
      </c>
      <c r="AY44" s="885">
        <f t="shared" si="150"/>
        <v>36184.409346722627</v>
      </c>
      <c r="AZ44" s="877">
        <f t="shared" si="151"/>
        <v>47619.753188839597</v>
      </c>
      <c r="BA44" s="878">
        <f t="shared" ref="BA44:BA57" si="229">SUM(AO44:AZ44)</f>
        <v>453627.6886570566</v>
      </c>
      <c r="BB44" s="885">
        <f t="shared" si="152"/>
        <v>32109.675137647289</v>
      </c>
      <c r="BC44" s="885">
        <f t="shared" si="153"/>
        <v>34863.058051450178</v>
      </c>
      <c r="BD44" s="885">
        <f t="shared" si="154"/>
        <v>34557.282229077064</v>
      </c>
      <c r="BE44" s="885">
        <f t="shared" si="155"/>
        <v>36839.749294022426</v>
      </c>
      <c r="BF44" s="885">
        <f t="shared" si="156"/>
        <v>36661.290869825651</v>
      </c>
      <c r="BG44" s="885">
        <f t="shared" si="157"/>
        <v>50399.262053266568</v>
      </c>
      <c r="BH44" s="885">
        <f t="shared" si="158"/>
        <v>40072.6494515222</v>
      </c>
      <c r="BI44" s="885">
        <f t="shared" si="159"/>
        <v>45954.708802243578</v>
      </c>
      <c r="BJ44" s="885">
        <f t="shared" si="160"/>
        <v>30185.201318548257</v>
      </c>
      <c r="BK44" s="885">
        <f t="shared" si="161"/>
        <v>40689.550506153748</v>
      </c>
      <c r="BL44" s="885">
        <f t="shared" si="162"/>
        <v>39169.975039591147</v>
      </c>
      <c r="BM44" s="877">
        <f t="shared" si="163"/>
        <v>63647.017726387392</v>
      </c>
      <c r="BN44" s="878">
        <f t="shared" ref="BN44:BN57" si="230">SUM(BB44:BM44)</f>
        <v>485149.42047973548</v>
      </c>
      <c r="BO44" s="885">
        <f t="shared" si="164"/>
        <v>37012.636854980032</v>
      </c>
      <c r="BP44" s="885">
        <f t="shared" si="165"/>
        <v>34656.536310453659</v>
      </c>
      <c r="BQ44" s="885">
        <f t="shared" si="166"/>
        <v>37865.904434383097</v>
      </c>
      <c r="BR44" s="885">
        <f t="shared" si="167"/>
        <v>40423.878762302338</v>
      </c>
      <c r="BS44" s="885">
        <f t="shared" si="168"/>
        <v>38978.41071389203</v>
      </c>
      <c r="BT44" s="885">
        <f t="shared" si="169"/>
        <v>40364.567857730086</v>
      </c>
      <c r="BU44" s="885">
        <f t="shared" si="170"/>
        <v>42967.012042351234</v>
      </c>
      <c r="BV44" s="885">
        <f t="shared" si="171"/>
        <v>46588.425538814052</v>
      </c>
      <c r="BW44" s="885">
        <f t="shared" si="172"/>
        <v>40182.777499548283</v>
      </c>
      <c r="BX44" s="885">
        <f t="shared" si="173"/>
        <v>49373.616246970589</v>
      </c>
      <c r="BY44" s="885">
        <f t="shared" si="174"/>
        <v>63827.373865143498</v>
      </c>
      <c r="BZ44" s="877">
        <f t="shared" si="175"/>
        <v>61088.532294734592</v>
      </c>
      <c r="CA44" s="878">
        <f t="shared" ref="CA44:CA57" si="231">SUM(BO44:BZ44)</f>
        <v>533329.67242130346</v>
      </c>
      <c r="CB44" s="885">
        <f t="shared" si="176"/>
        <v>40822.817549139028</v>
      </c>
      <c r="CC44" s="885">
        <f t="shared" si="177"/>
        <v>38186.073808973866</v>
      </c>
      <c r="CD44" s="885">
        <f t="shared" si="178"/>
        <v>45350.432744487749</v>
      </c>
      <c r="CE44" s="885">
        <f t="shared" si="179"/>
        <v>44550.438698059661</v>
      </c>
      <c r="CF44" s="885">
        <f t="shared" si="180"/>
        <v>43933.426950048219</v>
      </c>
      <c r="CG44" s="885">
        <f t="shared" si="181"/>
        <v>44674.508037415588</v>
      </c>
      <c r="CH44" s="885">
        <f t="shared" si="182"/>
        <v>46508.350784817194</v>
      </c>
      <c r="CI44" s="885">
        <f t="shared" si="183"/>
        <v>43233.652502507364</v>
      </c>
      <c r="CJ44" s="885">
        <f t="shared" si="184"/>
        <v>47478.460652513328</v>
      </c>
      <c r="CK44" s="885">
        <f t="shared" si="185"/>
        <v>44477.8401546764</v>
      </c>
      <c r="CL44" s="885">
        <f t="shared" si="186"/>
        <v>53158.035895725618</v>
      </c>
      <c r="CM44" s="877">
        <f t="shared" si="187"/>
        <v>65255.750858134583</v>
      </c>
      <c r="CN44" s="878">
        <f t="shared" ref="CN44:CN64" si="232">SUM(CB44:CM44)</f>
        <v>557629.7886364985</v>
      </c>
      <c r="CO44" s="885">
        <f t="shared" si="188"/>
        <v>38106.11482498968</v>
      </c>
      <c r="CP44" s="885">
        <f t="shared" si="189"/>
        <v>41107.942002022115</v>
      </c>
      <c r="CQ44" s="885">
        <f t="shared" si="190"/>
        <v>45083.413518488203</v>
      </c>
      <c r="CR44" s="885">
        <f t="shared" si="191"/>
        <v>42728.083173353283</v>
      </c>
      <c r="CS44" s="885">
        <f t="shared" si="192"/>
        <v>43559.695923962514</v>
      </c>
      <c r="CT44" s="885">
        <f t="shared" si="193"/>
        <v>49332.15611831058</v>
      </c>
      <c r="CU44" s="885">
        <f t="shared" si="194"/>
        <v>58446.258460945151</v>
      </c>
      <c r="CV44" s="885">
        <f t="shared" si="195"/>
        <v>47732.908828040898</v>
      </c>
      <c r="CW44" s="885">
        <f t="shared" si="196"/>
        <v>40274.06432155404</v>
      </c>
      <c r="CX44" s="885">
        <f t="shared" si="197"/>
        <v>38553.688727001929</v>
      </c>
      <c r="CY44" s="885">
        <f t="shared" si="198"/>
        <v>41306.215141501692</v>
      </c>
      <c r="CZ44" s="877">
        <f t="shared" si="199"/>
        <v>65818.985442204896</v>
      </c>
      <c r="DA44" s="878">
        <f t="shared" ref="DA44:DA64" si="233">SUM(CO44:CZ44)</f>
        <v>552049.52648237499</v>
      </c>
      <c r="DB44" s="885">
        <f t="shared" si="200"/>
        <v>49661.195813355858</v>
      </c>
      <c r="DC44" s="885">
        <f t="shared" si="201"/>
        <v>44572.740549860908</v>
      </c>
      <c r="DD44" s="885">
        <f t="shared" si="202"/>
        <v>44185.446012607172</v>
      </c>
      <c r="DE44" s="885">
        <f t="shared" si="203"/>
        <v>43008.87054170169</v>
      </c>
      <c r="DF44" s="885">
        <f t="shared" si="204"/>
        <v>45458.385074083337</v>
      </c>
      <c r="DG44" s="885">
        <f t="shared" si="205"/>
        <v>52855.490917159681</v>
      </c>
      <c r="DH44" s="885">
        <f t="shared" si="206"/>
        <v>52342.664092939005</v>
      </c>
      <c r="DI44" s="885">
        <f t="shared" si="207"/>
        <v>45268.665552910665</v>
      </c>
      <c r="DJ44" s="885">
        <f t="shared" si="208"/>
        <v>46490.939261051761</v>
      </c>
      <c r="DK44" s="885">
        <f t="shared" si="209"/>
        <v>46594.500260837238</v>
      </c>
      <c r="DL44" s="885">
        <f t="shared" si="210"/>
        <v>50382.661370495392</v>
      </c>
      <c r="DM44" s="877">
        <f t="shared" si="211"/>
        <v>69005.250074032039</v>
      </c>
      <c r="DN44" s="878">
        <f t="shared" ref="DN44:DN66" si="234">SUM(DB44:DM44)</f>
        <v>589826.80952103471</v>
      </c>
      <c r="DO44" s="885">
        <f t="shared" si="212"/>
        <v>57814.393476529855</v>
      </c>
      <c r="DP44" s="885">
        <f t="shared" si="213"/>
        <v>46846.590485571527</v>
      </c>
      <c r="DQ44" s="885">
        <f t="shared" si="214"/>
        <v>45206.25455956778</v>
      </c>
      <c r="DR44" s="885">
        <f t="shared" si="215"/>
        <v>54142.13316317337</v>
      </c>
      <c r="DS44" s="885">
        <f t="shared" si="216"/>
        <v>56196.062234232435</v>
      </c>
      <c r="DT44" s="885">
        <f t="shared" si="217"/>
        <v>53597.083215136408</v>
      </c>
      <c r="DU44" s="885">
        <f t="shared" si="218"/>
        <v>55231.169391036026</v>
      </c>
      <c r="DV44" s="885">
        <f t="shared" si="219"/>
        <v>56482.946098415458</v>
      </c>
      <c r="DW44" s="885">
        <f t="shared" si="220"/>
        <v>50943.301837924664</v>
      </c>
      <c r="DX44" s="885">
        <f t="shared" si="221"/>
        <v>56656.959216503492</v>
      </c>
      <c r="DY44" s="885">
        <f t="shared" si="222"/>
        <v>74334.5074914078</v>
      </c>
      <c r="DZ44" s="877">
        <f t="shared" si="223"/>
        <v>69999.738687031248</v>
      </c>
      <c r="EA44" s="878">
        <f t="shared" ref="EA44:EA66" si="235">SUM(DO44:DZ44)</f>
        <v>677451.13985653012</v>
      </c>
      <c r="EB44" s="885">
        <f t="shared" ref="EB44:EB65" si="236">EB8/$EB$38</f>
        <v>52652.079600618737</v>
      </c>
      <c r="EC44" s="885">
        <f t="shared" ref="EC44:EC65" si="237">EC8/$EC$38</f>
        <v>49311.317874690496</v>
      </c>
      <c r="ED44" s="885">
        <f t="shared" ref="ED44:ED65" si="238">ED8/$ED$38</f>
        <v>50317.425278703202</v>
      </c>
      <c r="EE44" s="885">
        <f t="shared" ref="EE44:EE65" si="239">EE8/$EE$38</f>
        <v>53102.720761792327</v>
      </c>
      <c r="EF44" s="885">
        <f t="shared" ref="EF44:EF65" si="240">EF8/$EF$38</f>
        <v>65521.226565390258</v>
      </c>
      <c r="EG44" s="885">
        <f t="shared" ref="EG44:EG65" si="241">EG8/$EG$38</f>
        <v>56480.309710324203</v>
      </c>
      <c r="EH44" s="885">
        <f t="shared" ref="EH44:EH65" si="242">EH8/$EH$38</f>
        <v>60722.066877657395</v>
      </c>
      <c r="EI44" s="885">
        <f t="shared" ref="EI44:EI65" si="243">EI8/$EI$38</f>
        <v>57603.303427929299</v>
      </c>
      <c r="EJ44" s="885">
        <f t="shared" ref="EJ44:EJ65" si="244">EJ8/$EJ$38</f>
        <v>57656.580728222514</v>
      </c>
      <c r="EK44" s="885">
        <f t="shared" ref="EK44:EK65" si="245">EK8/$EK$38</f>
        <v>54443.019310574848</v>
      </c>
      <c r="EL44" s="885">
        <f t="shared" ref="EL44:EL65" si="246">EL8/$EL$38</f>
        <v>59651.871786643671</v>
      </c>
      <c r="EM44" s="877">
        <f t="shared" ref="EM44:EM65" si="247">EM8/$EM$38</f>
        <v>72578.75098605681</v>
      </c>
      <c r="EN44" s="878">
        <f>SUM(EB44:EM44)</f>
        <v>690040.67290860368</v>
      </c>
      <c r="EO44" s="885">
        <f t="shared" ref="EO44:EO57" si="248">EO8/$EO$38</f>
        <v>69048.958380803786</v>
      </c>
      <c r="EP44" s="885">
        <f t="shared" ref="EP44:EP57" si="249">EP8/$EP$38</f>
        <v>55678.50971893972</v>
      </c>
      <c r="EQ44" s="885">
        <f t="shared" ref="EQ44:EQ64" si="250">EQ8/$EQ$38</f>
        <v>56340.001780322709</v>
      </c>
      <c r="ER44" s="885">
        <f t="shared" ref="ER44:ER64" si="251">ER8/$ER$38</f>
        <v>57752.842913169341</v>
      </c>
      <c r="ES44" s="885">
        <f t="shared" ref="ES44:ES65" si="252">ES8/$ES$38</f>
        <v>57800.753551758833</v>
      </c>
      <c r="ET44" s="885">
        <f t="shared" ref="ET44:ET65" si="253">ET8/$ET$38</f>
        <v>58233.34502376298</v>
      </c>
      <c r="EU44" s="885">
        <f t="shared" ref="EU44:EU65" si="254">EU8/$EU$38</f>
        <v>61301.12658784986</v>
      </c>
      <c r="EV44" s="972">
        <f t="shared" ref="EV44:EV65" si="255">EV8/$EV$38</f>
        <v>57509.746466395474</v>
      </c>
      <c r="EW44" s="885"/>
      <c r="EX44" s="885"/>
      <c r="EY44" s="885"/>
      <c r="EZ44" s="877"/>
      <c r="FA44" s="878">
        <f>SUM(EO44:EZ44)</f>
        <v>473665.28442300274</v>
      </c>
      <c r="FC44" s="851">
        <f t="shared" ref="FC44:FC57" si="256">IFERROR(((
_xlfn.XLOOKUP((DATE(YEAR($FC$5),MONTH($FC$5),1)),$B$5:$FA$5,$B44:$FA44) /
_xlfn.XLOOKUP((DATE(YEAR($FC$5)-1,MONTH($FC$5),1)),$B$5:$FA$5,$B44:$FA44)
)-1)*100,"")</f>
        <v>-0.16241596569349648</v>
      </c>
      <c r="FD44" s="852">
        <f t="shared" si="224"/>
        <v>6.2719719315098788</v>
      </c>
      <c r="FE44" s="853">
        <f t="shared" ref="FE44:FE57" si="257">SUMIFS($B44:$FA44,$B$5:$FA$5,"&gt;="&amp;DATE(YEAR($FC$5)-1,1,1),$B$5:$FA$5,"&lt;="&amp;DATE(YEAR($FC$5)-1,MONTH($FC$5),1))</f>
        <v>445710.45009710587</v>
      </c>
      <c r="FF44" s="854">
        <f t="shared" si="225"/>
        <v>473665.28442300274</v>
      </c>
      <c r="FG44"/>
      <c r="FH44" s="110">
        <f t="shared" ref="FH44:FH54" si="258">EV44-EI44</f>
        <v>-93.556961533824506</v>
      </c>
      <c r="FI44" s="236"/>
      <c r="FJ44"/>
      <c r="FK44"/>
      <c r="FL44"/>
      <c r="FM44"/>
      <c r="FN44"/>
      <c r="FO44"/>
      <c r="FP44"/>
    </row>
    <row r="45" spans="1:172" ht="15" customHeight="1" x14ac:dyDescent="0.25">
      <c r="A45" s="403" t="s">
        <v>371</v>
      </c>
      <c r="B45" s="883">
        <f t="shared" si="104"/>
        <v>20123.450635032939</v>
      </c>
      <c r="C45" s="883">
        <f t="shared" si="105"/>
        <v>16489.546381330434</v>
      </c>
      <c r="D45" s="883">
        <f t="shared" si="106"/>
        <v>15831.718604913251</v>
      </c>
      <c r="E45" s="883">
        <f t="shared" si="107"/>
        <v>17961.576699476027</v>
      </c>
      <c r="F45" s="883">
        <f t="shared" si="108"/>
        <v>19199.550793735169</v>
      </c>
      <c r="G45" s="883">
        <f t="shared" si="109"/>
        <v>18243.496600065722</v>
      </c>
      <c r="H45" s="883">
        <f t="shared" si="110"/>
        <v>19182.135661463886</v>
      </c>
      <c r="I45" s="883">
        <f t="shared" si="111"/>
        <v>18729.567691411467</v>
      </c>
      <c r="J45" s="883">
        <f t="shared" si="112"/>
        <v>19774.403864200827</v>
      </c>
      <c r="K45" s="883">
        <f t="shared" si="113"/>
        <v>18920.49285530331</v>
      </c>
      <c r="L45" s="883">
        <f t="shared" si="114"/>
        <v>16144.322802906772</v>
      </c>
      <c r="M45" s="873">
        <f t="shared" si="115"/>
        <v>22490.692527812622</v>
      </c>
      <c r="N45" s="879">
        <f t="shared" si="226"/>
        <v>223090.95511765243</v>
      </c>
      <c r="O45" s="883">
        <f t="shared" si="116"/>
        <v>20474.471826329165</v>
      </c>
      <c r="P45" s="883">
        <f t="shared" si="117"/>
        <v>19004.015377244108</v>
      </c>
      <c r="Q45" s="883">
        <f t="shared" si="118"/>
        <v>17419.53282253104</v>
      </c>
      <c r="R45" s="883">
        <f t="shared" si="119"/>
        <v>19066.971498356066</v>
      </c>
      <c r="S45" s="883">
        <f t="shared" si="120"/>
        <v>19253.190277209069</v>
      </c>
      <c r="T45" s="883">
        <f t="shared" si="121"/>
        <v>20891.985882224082</v>
      </c>
      <c r="U45" s="883">
        <f t="shared" si="122"/>
        <v>21922.019393804912</v>
      </c>
      <c r="V45" s="883">
        <f t="shared" si="123"/>
        <v>20134.672912002723</v>
      </c>
      <c r="W45" s="883">
        <f t="shared" si="124"/>
        <v>20690.381269262416</v>
      </c>
      <c r="X45" s="883">
        <f t="shared" si="125"/>
        <v>19925.159998557767</v>
      </c>
      <c r="Y45" s="883">
        <f t="shared" si="126"/>
        <v>19444.596476068789</v>
      </c>
      <c r="Z45" s="873">
        <f t="shared" si="127"/>
        <v>27240.440906610507</v>
      </c>
      <c r="AA45" s="879">
        <f t="shared" si="227"/>
        <v>245467.43864020062</v>
      </c>
      <c r="AB45" s="883">
        <f t="shared" si="128"/>
        <v>22510.572116545223</v>
      </c>
      <c r="AC45" s="883">
        <f t="shared" si="129"/>
        <v>19270.386400857242</v>
      </c>
      <c r="AD45" s="883">
        <f t="shared" si="130"/>
        <v>20692.734328467268</v>
      </c>
      <c r="AE45" s="883">
        <f t="shared" si="131"/>
        <v>21063.786595313893</v>
      </c>
      <c r="AF45" s="883">
        <f t="shared" si="132"/>
        <v>21208.229731786039</v>
      </c>
      <c r="AG45" s="883">
        <f t="shared" si="133"/>
        <v>21854.097286869302</v>
      </c>
      <c r="AH45" s="883">
        <f t="shared" si="134"/>
        <v>24453.776715980213</v>
      </c>
      <c r="AI45" s="883">
        <f t="shared" si="135"/>
        <v>22601.740006198634</v>
      </c>
      <c r="AJ45" s="883">
        <f t="shared" si="136"/>
        <v>20537.259807697541</v>
      </c>
      <c r="AK45" s="883">
        <f t="shared" si="137"/>
        <v>22349.13730512578</v>
      </c>
      <c r="AL45" s="883">
        <f t="shared" si="138"/>
        <v>29380.610319351948</v>
      </c>
      <c r="AM45" s="873">
        <f t="shared" si="139"/>
        <v>29820.961178573463</v>
      </c>
      <c r="AN45" s="879">
        <f t="shared" si="228"/>
        <v>275743.2917927666</v>
      </c>
      <c r="AO45" s="883">
        <f t="shared" si="140"/>
        <v>28168.229476571025</v>
      </c>
      <c r="AP45" s="883">
        <f t="shared" si="141"/>
        <v>24852.153141098639</v>
      </c>
      <c r="AQ45" s="883">
        <f t="shared" si="142"/>
        <v>28819.213616437315</v>
      </c>
      <c r="AR45" s="883">
        <f t="shared" si="143"/>
        <v>25323.099249233514</v>
      </c>
      <c r="AS45" s="883">
        <f t="shared" si="144"/>
        <v>25437.517710441814</v>
      </c>
      <c r="AT45" s="883">
        <f t="shared" si="145"/>
        <v>25832.345627678504</v>
      </c>
      <c r="AU45" s="883">
        <f t="shared" si="146"/>
        <v>28569.084942149882</v>
      </c>
      <c r="AV45" s="883">
        <f t="shared" si="147"/>
        <v>25208.049826027738</v>
      </c>
      <c r="AW45" s="883">
        <f t="shared" si="148"/>
        <v>25488.114585895477</v>
      </c>
      <c r="AX45" s="883">
        <f t="shared" si="149"/>
        <v>25273.157318865124</v>
      </c>
      <c r="AY45" s="883">
        <f t="shared" si="150"/>
        <v>25187.741193695205</v>
      </c>
      <c r="AZ45" s="873">
        <f t="shared" si="151"/>
        <v>28005.934370000046</v>
      </c>
      <c r="BA45" s="879">
        <f t="shared" si="229"/>
        <v>316164.64105809428</v>
      </c>
      <c r="BB45" s="883">
        <f t="shared" si="152"/>
        <v>27674.750085154552</v>
      </c>
      <c r="BC45" s="883">
        <f t="shared" si="153"/>
        <v>28169.671951544351</v>
      </c>
      <c r="BD45" s="883">
        <f t="shared" si="154"/>
        <v>25088.662384465053</v>
      </c>
      <c r="BE45" s="883">
        <f t="shared" si="155"/>
        <v>26864.773153592592</v>
      </c>
      <c r="BF45" s="883">
        <f t="shared" si="156"/>
        <v>26445.637074177561</v>
      </c>
      <c r="BG45" s="883">
        <f t="shared" si="157"/>
        <v>27349.241989234397</v>
      </c>
      <c r="BH45" s="883">
        <f t="shared" si="158"/>
        <v>30138.84580083147</v>
      </c>
      <c r="BI45" s="883">
        <f t="shared" si="159"/>
        <v>33753.149890110762</v>
      </c>
      <c r="BJ45" s="883">
        <f t="shared" si="160"/>
        <v>21331.125890325668</v>
      </c>
      <c r="BK45" s="883">
        <f t="shared" si="161"/>
        <v>28676.93456963083</v>
      </c>
      <c r="BL45" s="883">
        <f t="shared" si="162"/>
        <v>27204.551142829227</v>
      </c>
      <c r="BM45" s="873">
        <f t="shared" si="163"/>
        <v>38003.096456430481</v>
      </c>
      <c r="BN45" s="879">
        <f t="shared" si="230"/>
        <v>340700.440388327</v>
      </c>
      <c r="BO45" s="883">
        <f t="shared" si="164"/>
        <v>32394.706353781035</v>
      </c>
      <c r="BP45" s="883">
        <f t="shared" si="165"/>
        <v>27954.904520771459</v>
      </c>
      <c r="BQ45" s="883">
        <f t="shared" si="166"/>
        <v>28064.760128757669</v>
      </c>
      <c r="BR45" s="883">
        <f t="shared" si="167"/>
        <v>29693.647740552809</v>
      </c>
      <c r="BS45" s="883">
        <f t="shared" si="168"/>
        <v>28849.321526111944</v>
      </c>
      <c r="BT45" s="883">
        <f t="shared" si="169"/>
        <v>28797.02911349748</v>
      </c>
      <c r="BU45" s="883">
        <f t="shared" si="170"/>
        <v>31746.879984420131</v>
      </c>
      <c r="BV45" s="883">
        <f t="shared" si="171"/>
        <v>31420.053230342994</v>
      </c>
      <c r="BW45" s="883">
        <f t="shared" si="172"/>
        <v>29323.859433657472</v>
      </c>
      <c r="BX45" s="883">
        <f t="shared" si="173"/>
        <v>30435.079962054791</v>
      </c>
      <c r="BY45" s="883">
        <f t="shared" si="174"/>
        <v>45195.348091732463</v>
      </c>
      <c r="BZ45" s="873">
        <f t="shared" si="175"/>
        <v>33363.914438245229</v>
      </c>
      <c r="CA45" s="879">
        <f t="shared" si="231"/>
        <v>377239.50452392554</v>
      </c>
      <c r="CB45" s="883">
        <f t="shared" si="176"/>
        <v>34611.645942904048</v>
      </c>
      <c r="CC45" s="883">
        <f t="shared" si="177"/>
        <v>29384.907891315135</v>
      </c>
      <c r="CD45" s="883">
        <f t="shared" si="178"/>
        <v>31574.051785052849</v>
      </c>
      <c r="CE45" s="883">
        <f t="shared" si="179"/>
        <v>31004.774147823373</v>
      </c>
      <c r="CF45" s="883">
        <f t="shared" si="180"/>
        <v>30670.089634020369</v>
      </c>
      <c r="CG45" s="883">
        <f t="shared" si="181"/>
        <v>31988.218510530096</v>
      </c>
      <c r="CH45" s="883">
        <f t="shared" si="182"/>
        <v>32914.573873290923</v>
      </c>
      <c r="CI45" s="883">
        <f t="shared" si="183"/>
        <v>30188.167781060816</v>
      </c>
      <c r="CJ45" s="883">
        <f t="shared" si="184"/>
        <v>30198.993002484385</v>
      </c>
      <c r="CK45" s="883">
        <f t="shared" si="185"/>
        <v>29709.320831581805</v>
      </c>
      <c r="CL45" s="883">
        <f t="shared" si="186"/>
        <v>37851.633373113858</v>
      </c>
      <c r="CM45" s="873">
        <f t="shared" si="187"/>
        <v>31872.52965032461</v>
      </c>
      <c r="CN45" s="879">
        <f t="shared" si="232"/>
        <v>381968.90642350231</v>
      </c>
      <c r="CO45" s="883">
        <f t="shared" si="188"/>
        <v>30745.075858796798</v>
      </c>
      <c r="CP45" s="883">
        <f t="shared" si="189"/>
        <v>31732.892581119588</v>
      </c>
      <c r="CQ45" s="883">
        <f t="shared" si="190"/>
        <v>28972.260628672462</v>
      </c>
      <c r="CR45" s="883">
        <f t="shared" si="191"/>
        <v>29979.960596037483</v>
      </c>
      <c r="CS45" s="883">
        <f t="shared" si="192"/>
        <v>30876.522838762667</v>
      </c>
      <c r="CT45" s="883">
        <f t="shared" si="193"/>
        <v>31711.958101116186</v>
      </c>
      <c r="CU45" s="883">
        <f t="shared" si="194"/>
        <v>40689.368277123336</v>
      </c>
      <c r="CV45" s="883">
        <f t="shared" si="195"/>
        <v>33395.181651446459</v>
      </c>
      <c r="CW45" s="883">
        <f t="shared" si="196"/>
        <v>27557.669951484786</v>
      </c>
      <c r="CX45" s="883">
        <f t="shared" si="197"/>
        <v>24194.4644734213</v>
      </c>
      <c r="CY45" s="883">
        <f t="shared" si="198"/>
        <v>30130.948180081203</v>
      </c>
      <c r="CZ45" s="873">
        <f t="shared" si="199"/>
        <v>38436.565141069535</v>
      </c>
      <c r="DA45" s="879">
        <f t="shared" si="233"/>
        <v>378422.86827913177</v>
      </c>
      <c r="DB45" s="883">
        <f t="shared" si="200"/>
        <v>43105.669125946741</v>
      </c>
      <c r="DC45" s="883">
        <f t="shared" si="201"/>
        <v>35990.346199159037</v>
      </c>
      <c r="DD45" s="883">
        <f t="shared" si="202"/>
        <v>31285.260858893736</v>
      </c>
      <c r="DE45" s="883">
        <f t="shared" si="203"/>
        <v>32920.341661712249</v>
      </c>
      <c r="DF45" s="883">
        <f t="shared" si="204"/>
        <v>32476.740789637308</v>
      </c>
      <c r="DG45" s="883">
        <f t="shared" si="205"/>
        <v>33201.434903998575</v>
      </c>
      <c r="DH45" s="883">
        <f t="shared" si="206"/>
        <v>35288.903911186091</v>
      </c>
      <c r="DI45" s="883">
        <f t="shared" si="207"/>
        <v>32693.308689800357</v>
      </c>
      <c r="DJ45" s="883">
        <f t="shared" si="208"/>
        <v>33396.07865687419</v>
      </c>
      <c r="DK45" s="883">
        <f t="shared" si="209"/>
        <v>32590.108249803132</v>
      </c>
      <c r="DL45" s="883">
        <f t="shared" si="210"/>
        <v>34774.790138032433</v>
      </c>
      <c r="DM45" s="873">
        <f t="shared" si="211"/>
        <v>40220.73351146184</v>
      </c>
      <c r="DN45" s="879">
        <f t="shared" si="234"/>
        <v>417943.71669650573</v>
      </c>
      <c r="DO45" s="883">
        <f t="shared" si="212"/>
        <v>55440.46466363837</v>
      </c>
      <c r="DP45" s="883">
        <f t="shared" si="213"/>
        <v>40937.455321736394</v>
      </c>
      <c r="DQ45" s="883">
        <f t="shared" si="214"/>
        <v>37538.332664502108</v>
      </c>
      <c r="DR45" s="883">
        <f t="shared" si="215"/>
        <v>43994.094671544168</v>
      </c>
      <c r="DS45" s="883">
        <f t="shared" si="216"/>
        <v>45217.391083116207</v>
      </c>
      <c r="DT45" s="883">
        <f t="shared" si="217"/>
        <v>42373.585011786789</v>
      </c>
      <c r="DU45" s="883">
        <f t="shared" si="218"/>
        <v>46804.046398129256</v>
      </c>
      <c r="DV45" s="883">
        <f t="shared" si="219"/>
        <v>44269.783882461503</v>
      </c>
      <c r="DW45" s="883">
        <f t="shared" si="220"/>
        <v>41447.919585550204</v>
      </c>
      <c r="DX45" s="883">
        <f t="shared" si="221"/>
        <v>43501.022177721272</v>
      </c>
      <c r="DY45" s="883">
        <f t="shared" si="222"/>
        <v>63900.652220554126</v>
      </c>
      <c r="DZ45" s="873">
        <f t="shared" si="223"/>
        <v>50891.277629471195</v>
      </c>
      <c r="EA45" s="879">
        <f t="shared" si="235"/>
        <v>556316.02531021158</v>
      </c>
      <c r="EB45" s="883">
        <f t="shared" si="236"/>
        <v>49691.860941226667</v>
      </c>
      <c r="EC45" s="883">
        <f t="shared" si="237"/>
        <v>43741.435554624724</v>
      </c>
      <c r="ED45" s="883">
        <f t="shared" si="238"/>
        <v>41581.853437836886</v>
      </c>
      <c r="EE45" s="883">
        <f t="shared" si="239"/>
        <v>44472.273169731241</v>
      </c>
      <c r="EF45" s="883">
        <f t="shared" si="240"/>
        <v>55732.082095137608</v>
      </c>
      <c r="EG45" s="883">
        <f t="shared" si="241"/>
        <v>45855.164450811069</v>
      </c>
      <c r="EH45" s="883">
        <f t="shared" si="242"/>
        <v>50613.73516615697</v>
      </c>
      <c r="EI45" s="883">
        <f t="shared" si="243"/>
        <v>45411.208427018319</v>
      </c>
      <c r="EJ45" s="883">
        <f t="shared" si="244"/>
        <v>44951.475516364102</v>
      </c>
      <c r="EK45" s="883">
        <f t="shared" si="245"/>
        <v>44767.819591755164</v>
      </c>
      <c r="EL45" s="883">
        <f t="shared" si="246"/>
        <v>51118.27499778074</v>
      </c>
      <c r="EM45" s="873">
        <f t="shared" si="247"/>
        <v>52862.74913142874</v>
      </c>
      <c r="EN45" s="879">
        <f>SUM(EB45:EM45)</f>
        <v>570799.93247987225</v>
      </c>
      <c r="EO45" s="883">
        <f t="shared" si="248"/>
        <v>66207.473662113553</v>
      </c>
      <c r="EP45" s="883">
        <f t="shared" si="249"/>
        <v>48465.121660417739</v>
      </c>
      <c r="EQ45" s="883">
        <f t="shared" si="250"/>
        <v>43977.75775138905</v>
      </c>
      <c r="ER45" s="883">
        <f t="shared" si="251"/>
        <v>46414.409005820147</v>
      </c>
      <c r="ES45" s="883">
        <f t="shared" si="252"/>
        <v>46353.270731743338</v>
      </c>
      <c r="ET45" s="883">
        <f t="shared" si="253"/>
        <v>47262.29862412464</v>
      </c>
      <c r="EU45" s="883">
        <f t="shared" si="254"/>
        <v>52478.188517024064</v>
      </c>
      <c r="EV45" s="973">
        <f t="shared" si="255"/>
        <v>47564.996184021591</v>
      </c>
      <c r="EW45" s="883"/>
      <c r="EX45" s="883"/>
      <c r="EY45" s="883"/>
      <c r="EZ45" s="873"/>
      <c r="FA45" s="879">
        <f>SUM(EO45:EZ45)</f>
        <v>398723.51613665407</v>
      </c>
      <c r="FC45" s="843">
        <f t="shared" si="256"/>
        <v>4.7428549726103109</v>
      </c>
      <c r="FD45" s="844">
        <f t="shared" si="224"/>
        <v>5.7342681176929533</v>
      </c>
      <c r="FE45" s="845">
        <f t="shared" si="257"/>
        <v>377099.61324254348</v>
      </c>
      <c r="FF45" s="846">
        <f t="shared" si="225"/>
        <v>398723.51613665407</v>
      </c>
      <c r="FH45" s="961">
        <f t="shared" si="258"/>
        <v>2153.7877570032724</v>
      </c>
      <c r="FI45" s="127"/>
    </row>
    <row r="46" spans="1:172" ht="15" customHeight="1" x14ac:dyDescent="0.25">
      <c r="A46" s="403" t="s">
        <v>465</v>
      </c>
      <c r="B46" s="883">
        <f t="shared" si="104"/>
        <v>1979.6521186303198</v>
      </c>
      <c r="C46" s="883">
        <f t="shared" si="105"/>
        <v>1433.0900608911079</v>
      </c>
      <c r="D46" s="883">
        <f t="shared" si="106"/>
        <v>1769.1025996452502</v>
      </c>
      <c r="E46" s="883">
        <f t="shared" si="107"/>
        <v>1458.5841351178781</v>
      </c>
      <c r="F46" s="883">
        <f t="shared" si="108"/>
        <v>1340.3096642366779</v>
      </c>
      <c r="G46" s="883">
        <f t="shared" si="109"/>
        <v>1353.5596543184861</v>
      </c>
      <c r="H46" s="883">
        <f t="shared" si="110"/>
        <v>1738.8276937414967</v>
      </c>
      <c r="I46" s="883">
        <f t="shared" si="111"/>
        <v>1602.0412400491798</v>
      </c>
      <c r="J46" s="883">
        <f t="shared" si="112"/>
        <v>1326.768262964895</v>
      </c>
      <c r="K46" s="883">
        <f t="shared" si="113"/>
        <v>1357.5991418412964</v>
      </c>
      <c r="L46" s="883">
        <f t="shared" si="114"/>
        <v>1401.482670234974</v>
      </c>
      <c r="M46" s="873">
        <f t="shared" si="115"/>
        <v>2638.8214457385943</v>
      </c>
      <c r="N46" s="879">
        <f t="shared" si="226"/>
        <v>19399.838687410156</v>
      </c>
      <c r="O46" s="883">
        <f t="shared" si="116"/>
        <v>1837.1347064249994</v>
      </c>
      <c r="P46" s="883">
        <f t="shared" si="117"/>
        <v>1311.9409076297591</v>
      </c>
      <c r="Q46" s="883">
        <f t="shared" si="118"/>
        <v>1380.9166504292223</v>
      </c>
      <c r="R46" s="883">
        <f t="shared" si="119"/>
        <v>1313.6781019826146</v>
      </c>
      <c r="S46" s="883">
        <f t="shared" si="120"/>
        <v>1911.331858031923</v>
      </c>
      <c r="T46" s="883">
        <f t="shared" si="121"/>
        <v>1384.8741708558211</v>
      </c>
      <c r="U46" s="883">
        <f t="shared" si="122"/>
        <v>1700.0143722253049</v>
      </c>
      <c r="V46" s="883">
        <f t="shared" si="123"/>
        <v>1504.5527076786752</v>
      </c>
      <c r="W46" s="883">
        <f t="shared" si="124"/>
        <v>1353.7695058090355</v>
      </c>
      <c r="X46" s="883">
        <f t="shared" si="125"/>
        <v>1351.9174010237505</v>
      </c>
      <c r="Y46" s="883">
        <f t="shared" si="126"/>
        <v>1406.6490985628232</v>
      </c>
      <c r="Z46" s="873">
        <f t="shared" si="127"/>
        <v>1989.4252538205822</v>
      </c>
      <c r="AA46" s="879">
        <f t="shared" si="227"/>
        <v>18446.204734474515</v>
      </c>
      <c r="AB46" s="883">
        <f t="shared" si="128"/>
        <v>1794.4318779645246</v>
      </c>
      <c r="AC46" s="883">
        <f t="shared" si="129"/>
        <v>1279.4130015046601</v>
      </c>
      <c r="AD46" s="883">
        <f t="shared" si="130"/>
        <v>1391.3733743666469</v>
      </c>
      <c r="AE46" s="883">
        <f t="shared" si="131"/>
        <v>1859.5211188844341</v>
      </c>
      <c r="AF46" s="883">
        <f t="shared" si="132"/>
        <v>1337.3388308909684</v>
      </c>
      <c r="AG46" s="883">
        <f t="shared" si="133"/>
        <v>1437.1224288128576</v>
      </c>
      <c r="AH46" s="883">
        <f t="shared" si="134"/>
        <v>1835.5851640810461</v>
      </c>
      <c r="AI46" s="883">
        <f t="shared" si="135"/>
        <v>1325.0433199497199</v>
      </c>
      <c r="AJ46" s="883">
        <f t="shared" si="136"/>
        <v>1358.2976595236632</v>
      </c>
      <c r="AK46" s="883">
        <f t="shared" si="137"/>
        <v>1272.4820737289915</v>
      </c>
      <c r="AL46" s="883">
        <f t="shared" si="138"/>
        <v>1309.6875981546279</v>
      </c>
      <c r="AM46" s="873">
        <f t="shared" si="139"/>
        <v>2771.6121762536854</v>
      </c>
      <c r="AN46" s="879">
        <f t="shared" si="228"/>
        <v>18971.908624115826</v>
      </c>
      <c r="AO46" s="883">
        <f t="shared" si="140"/>
        <v>1801.1886666934345</v>
      </c>
      <c r="AP46" s="883">
        <f t="shared" si="141"/>
        <v>1444.8258240837513</v>
      </c>
      <c r="AQ46" s="883">
        <f t="shared" si="142"/>
        <v>1372.0372472305201</v>
      </c>
      <c r="AR46" s="883">
        <f t="shared" si="143"/>
        <v>1478.4390609239676</v>
      </c>
      <c r="AS46" s="883">
        <f t="shared" si="144"/>
        <v>2286.6149125997649</v>
      </c>
      <c r="AT46" s="883">
        <f t="shared" si="145"/>
        <v>1426.2164597752108</v>
      </c>
      <c r="AU46" s="883">
        <f t="shared" si="146"/>
        <v>1643.885678382067</v>
      </c>
      <c r="AV46" s="883">
        <f t="shared" si="147"/>
        <v>1363.6327544504732</v>
      </c>
      <c r="AW46" s="883">
        <f t="shared" si="148"/>
        <v>1278.9024238637301</v>
      </c>
      <c r="AX46" s="883">
        <f t="shared" si="149"/>
        <v>1491.5677145463821</v>
      </c>
      <c r="AY46" s="883">
        <f t="shared" si="150"/>
        <v>1286.9494027418341</v>
      </c>
      <c r="AZ46" s="873">
        <f t="shared" si="151"/>
        <v>2066.9887831960536</v>
      </c>
      <c r="BA46" s="879">
        <f t="shared" si="229"/>
        <v>18941.248928487188</v>
      </c>
      <c r="BB46" s="883">
        <f t="shared" si="152"/>
        <v>1755.358985965174</v>
      </c>
      <c r="BC46" s="883">
        <f t="shared" si="153"/>
        <v>1336.9875043358757</v>
      </c>
      <c r="BD46" s="883">
        <f t="shared" si="154"/>
        <v>2397.3843704893475</v>
      </c>
      <c r="BE46" s="883">
        <f t="shared" si="155"/>
        <v>1349.7607574637568</v>
      </c>
      <c r="BF46" s="883">
        <f t="shared" si="156"/>
        <v>1319.8789079398057</v>
      </c>
      <c r="BG46" s="883">
        <f t="shared" si="157"/>
        <v>1330.8277371835657</v>
      </c>
      <c r="BH46" s="883">
        <f t="shared" si="158"/>
        <v>1599.510757314609</v>
      </c>
      <c r="BI46" s="883">
        <f t="shared" si="159"/>
        <v>1355.8832846283908</v>
      </c>
      <c r="BJ46" s="883">
        <f t="shared" si="160"/>
        <v>1645.6691431961426</v>
      </c>
      <c r="BK46" s="883">
        <f t="shared" si="161"/>
        <v>1723.727395181239</v>
      </c>
      <c r="BL46" s="883">
        <f t="shared" si="162"/>
        <v>1248.7107498939847</v>
      </c>
      <c r="BM46" s="873">
        <f t="shared" si="163"/>
        <v>2449.9591656825173</v>
      </c>
      <c r="BN46" s="879">
        <f t="shared" si="230"/>
        <v>19513.658759274411</v>
      </c>
      <c r="BO46" s="883">
        <f t="shared" si="164"/>
        <v>1756.8063444027948</v>
      </c>
      <c r="BP46" s="883">
        <f t="shared" si="165"/>
        <v>1370.1758778162491</v>
      </c>
      <c r="BQ46" s="883">
        <f t="shared" si="166"/>
        <v>1285.8123754595806</v>
      </c>
      <c r="BR46" s="883">
        <f t="shared" si="167"/>
        <v>1842.7796724684251</v>
      </c>
      <c r="BS46" s="883">
        <f t="shared" si="168"/>
        <v>1274.4350339648977</v>
      </c>
      <c r="BT46" s="883">
        <f t="shared" si="169"/>
        <v>1630.6420680092949</v>
      </c>
      <c r="BU46" s="883">
        <f t="shared" si="170"/>
        <v>1673.0457507229219</v>
      </c>
      <c r="BV46" s="883">
        <f t="shared" si="171"/>
        <v>1322.6760469174906</v>
      </c>
      <c r="BW46" s="883">
        <f t="shared" si="172"/>
        <v>1495.6622996415647</v>
      </c>
      <c r="BX46" s="883">
        <f t="shared" si="173"/>
        <v>1419.5708442580017</v>
      </c>
      <c r="BY46" s="883">
        <f t="shared" si="174"/>
        <v>1671.0337016512137</v>
      </c>
      <c r="BZ46" s="873">
        <f t="shared" si="175"/>
        <v>1888.1391516810804</v>
      </c>
      <c r="CA46" s="879">
        <f t="shared" si="231"/>
        <v>18630.779166993514</v>
      </c>
      <c r="CB46" s="883">
        <f t="shared" si="176"/>
        <v>1657.2559656827061</v>
      </c>
      <c r="CC46" s="883">
        <f t="shared" si="177"/>
        <v>1281.506983410055</v>
      </c>
      <c r="CD46" s="883">
        <f t="shared" si="178"/>
        <v>1308.3078196684751</v>
      </c>
      <c r="CE46" s="883">
        <f t="shared" si="179"/>
        <v>2297.6919740522462</v>
      </c>
      <c r="CF46" s="883">
        <f t="shared" si="180"/>
        <v>1777.7535182566917</v>
      </c>
      <c r="CG46" s="883">
        <f t="shared" si="181"/>
        <v>1414.3139204323302</v>
      </c>
      <c r="CH46" s="883">
        <f t="shared" si="182"/>
        <v>1629.8056829550137</v>
      </c>
      <c r="CI46" s="883">
        <f t="shared" si="183"/>
        <v>1194.3645918990821</v>
      </c>
      <c r="CJ46" s="883">
        <f t="shared" si="184"/>
        <v>1236.9827358105226</v>
      </c>
      <c r="CK46" s="883">
        <f t="shared" si="185"/>
        <v>1162.743438492505</v>
      </c>
      <c r="CL46" s="883">
        <f t="shared" si="186"/>
        <v>1417.676211297472</v>
      </c>
      <c r="CM46" s="873">
        <f t="shared" si="187"/>
        <v>1744.1852694953459</v>
      </c>
      <c r="CN46" s="879">
        <f t="shared" si="232"/>
        <v>18122.588111452445</v>
      </c>
      <c r="CO46" s="883">
        <f t="shared" si="188"/>
        <v>1878.043814904102</v>
      </c>
      <c r="CP46" s="883">
        <f t="shared" si="189"/>
        <v>1099.8057569784617</v>
      </c>
      <c r="CQ46" s="883">
        <f t="shared" si="190"/>
        <v>1280.4726847648874</v>
      </c>
      <c r="CR46" s="883">
        <f t="shared" si="191"/>
        <v>1148.5410022200799</v>
      </c>
      <c r="CS46" s="883">
        <f t="shared" si="192"/>
        <v>1502.7192596803211</v>
      </c>
      <c r="CT46" s="883">
        <f t="shared" si="193"/>
        <v>1556.5200578217762</v>
      </c>
      <c r="CU46" s="883">
        <f t="shared" si="194"/>
        <v>1683.034375147693</v>
      </c>
      <c r="CV46" s="883">
        <f t="shared" si="195"/>
        <v>1109.1449325290041</v>
      </c>
      <c r="CW46" s="883">
        <f t="shared" si="196"/>
        <v>1098.0247407913814</v>
      </c>
      <c r="CX46" s="883">
        <f t="shared" si="197"/>
        <v>1081.083788328848</v>
      </c>
      <c r="CY46" s="883">
        <f t="shared" si="198"/>
        <v>1173.9099466079138</v>
      </c>
      <c r="CZ46" s="873">
        <f t="shared" si="199"/>
        <v>1852.9457346632953</v>
      </c>
      <c r="DA46" s="879">
        <f t="shared" si="233"/>
        <v>16464.246094437764</v>
      </c>
      <c r="DB46" s="883">
        <f t="shared" si="200"/>
        <v>1417.9187535166011</v>
      </c>
      <c r="DC46" s="883">
        <f t="shared" si="201"/>
        <v>1653.1613282921576</v>
      </c>
      <c r="DD46" s="883">
        <f t="shared" si="202"/>
        <v>1070.9696724834675</v>
      </c>
      <c r="DE46" s="883">
        <f t="shared" si="203"/>
        <v>1669.6391725841349</v>
      </c>
      <c r="DF46" s="883">
        <f t="shared" si="204"/>
        <v>1140.6705401973625</v>
      </c>
      <c r="DG46" s="883">
        <f t="shared" si="205"/>
        <v>1127.4659912962447</v>
      </c>
      <c r="DH46" s="883">
        <f t="shared" si="206"/>
        <v>1376.280398071621</v>
      </c>
      <c r="DI46" s="883">
        <f t="shared" si="207"/>
        <v>1151.2891233002372</v>
      </c>
      <c r="DJ46" s="883">
        <f t="shared" si="208"/>
        <v>1115.7643257048226</v>
      </c>
      <c r="DK46" s="883">
        <f t="shared" si="209"/>
        <v>1081.0828675021437</v>
      </c>
      <c r="DL46" s="883">
        <f t="shared" si="210"/>
        <v>1110.8438735411223</v>
      </c>
      <c r="DM46" s="873">
        <f t="shared" si="211"/>
        <v>1441.8463311404603</v>
      </c>
      <c r="DN46" s="879">
        <f t="shared" si="234"/>
        <v>15356.932377630375</v>
      </c>
      <c r="DO46" s="883">
        <f t="shared" si="212"/>
        <v>1287.7766425018374</v>
      </c>
      <c r="DP46" s="883">
        <f t="shared" si="213"/>
        <v>1244.9227537726085</v>
      </c>
      <c r="DQ46" s="883">
        <f t="shared" si="214"/>
        <v>1125.3761786761827</v>
      </c>
      <c r="DR46" s="883">
        <f t="shared" si="215"/>
        <v>1073.7655853269005</v>
      </c>
      <c r="DS46" s="883">
        <f t="shared" si="216"/>
        <v>1257.785565594331</v>
      </c>
      <c r="DT46" s="883">
        <f t="shared" si="217"/>
        <v>1051.5720133560133</v>
      </c>
      <c r="DU46" s="883">
        <f t="shared" si="218"/>
        <v>2306.2409359156622</v>
      </c>
      <c r="DV46" s="883">
        <f t="shared" si="219"/>
        <v>2998.3341136837162</v>
      </c>
      <c r="DW46" s="883">
        <f t="shared" si="220"/>
        <v>1050.3197001978583</v>
      </c>
      <c r="DX46" s="883">
        <f t="shared" si="221"/>
        <v>1085.9721664214753</v>
      </c>
      <c r="DY46" s="883">
        <f t="shared" si="222"/>
        <v>1263.4047521900975</v>
      </c>
      <c r="DZ46" s="873">
        <f t="shared" si="223"/>
        <v>1855.8738052044932</v>
      </c>
      <c r="EA46" s="879">
        <f t="shared" si="235"/>
        <v>17601.344212841177</v>
      </c>
      <c r="EB46" s="883">
        <f t="shared" si="236"/>
        <v>1492.4109561612051</v>
      </c>
      <c r="EC46" s="883">
        <f t="shared" si="237"/>
        <v>1079.9320931189645</v>
      </c>
      <c r="ED46" s="883">
        <f t="shared" si="238"/>
        <v>1034.7160004169559</v>
      </c>
      <c r="EE46" s="883">
        <f t="shared" si="239"/>
        <v>1058.4563259526292</v>
      </c>
      <c r="EF46" s="883">
        <f t="shared" si="240"/>
        <v>1192.7206710145372</v>
      </c>
      <c r="EG46" s="883">
        <f t="shared" si="241"/>
        <v>1775.1773805144956</v>
      </c>
      <c r="EH46" s="883">
        <f t="shared" si="242"/>
        <v>2666.8345202287487</v>
      </c>
      <c r="EI46" s="883">
        <f t="shared" si="243"/>
        <v>1026.3542295403674</v>
      </c>
      <c r="EJ46" s="883">
        <f t="shared" si="244"/>
        <v>1478.6851073861351</v>
      </c>
      <c r="EK46" s="883">
        <f t="shared" si="245"/>
        <v>1008.5006671175214</v>
      </c>
      <c r="EL46" s="883">
        <f t="shared" si="246"/>
        <v>1055.941573175824</v>
      </c>
      <c r="EM46" s="873">
        <f t="shared" si="247"/>
        <v>1914.1963110402935</v>
      </c>
      <c r="EN46" s="879">
        <f t="shared" ref="EN46:EN51" si="259">SUM(EB46:EM46)</f>
        <v>16783.925835667676</v>
      </c>
      <c r="EO46" s="883">
        <f>EO10/$EO$38</f>
        <v>1714.8976078937367</v>
      </c>
      <c r="EP46" s="883">
        <f>EP10/$EP$38</f>
        <v>1042.9652681133218</v>
      </c>
      <c r="EQ46" s="883">
        <f>EQ10/$EQ$38</f>
        <v>996.85193243925266</v>
      </c>
      <c r="ER46" s="883">
        <f>ER10/$ER$38</f>
        <v>1003.3683615890928</v>
      </c>
      <c r="ES46" s="883">
        <f t="shared" si="252"/>
        <v>991.15856357144378</v>
      </c>
      <c r="ET46" s="883">
        <f t="shared" si="253"/>
        <v>1636.2983514225461</v>
      </c>
      <c r="EU46" s="883">
        <f t="shared" si="254"/>
        <v>1175.8277965913571</v>
      </c>
      <c r="EV46" s="973">
        <f t="shared" si="255"/>
        <v>1029.714620429618</v>
      </c>
      <c r="EW46" s="883"/>
      <c r="EX46" s="883"/>
      <c r="EY46" s="883"/>
      <c r="EZ46" s="873"/>
      <c r="FA46" s="879">
        <f t="shared" ref="FA46:FA66" si="260">SUM(EO46:EZ46)</f>
        <v>9591.0825020503707</v>
      </c>
      <c r="FC46" s="843">
        <f t="shared" si="256"/>
        <v>0.32741043906014955</v>
      </c>
      <c r="FD46" s="844">
        <f t="shared" si="224"/>
        <v>-15.322509326139254</v>
      </c>
      <c r="FE46" s="845">
        <f t="shared" si="257"/>
        <v>11326.602176947905</v>
      </c>
      <c r="FF46" s="846">
        <f t="shared" si="225"/>
        <v>9591.0825020503707</v>
      </c>
      <c r="FH46" s="961">
        <f t="shared" si="258"/>
        <v>3.3603908892505387</v>
      </c>
      <c r="FI46" s="127"/>
    </row>
    <row r="47" spans="1:172" ht="15" customHeight="1" x14ac:dyDescent="0.25">
      <c r="A47" s="403" t="s">
        <v>373</v>
      </c>
      <c r="B47" s="883">
        <f t="shared" si="104"/>
        <v>2368.6667270947933</v>
      </c>
      <c r="C47" s="883">
        <f t="shared" si="105"/>
        <v>4542.1668031633417</v>
      </c>
      <c r="D47" s="883">
        <f t="shared" si="106"/>
        <v>6618.3877914640543</v>
      </c>
      <c r="E47" s="883">
        <f t="shared" si="107"/>
        <v>7694.9414754439731</v>
      </c>
      <c r="F47" s="883">
        <f t="shared" si="108"/>
        <v>7792.2830824242719</v>
      </c>
      <c r="G47" s="883">
        <f t="shared" si="109"/>
        <v>7862.6230402017109</v>
      </c>
      <c r="H47" s="883">
        <f t="shared" si="110"/>
        <v>9317.059158992899</v>
      </c>
      <c r="I47" s="883">
        <f t="shared" si="111"/>
        <v>7965.2820399973716</v>
      </c>
      <c r="J47" s="883">
        <f t="shared" si="112"/>
        <v>7564.0253752622839</v>
      </c>
      <c r="K47" s="883">
        <f t="shared" si="113"/>
        <v>6850.3266888430926</v>
      </c>
      <c r="L47" s="883">
        <f t="shared" si="114"/>
        <v>9121.0007295292344</v>
      </c>
      <c r="M47" s="873">
        <f t="shared" si="115"/>
        <v>15997.336526723941</v>
      </c>
      <c r="N47" s="879">
        <f t="shared" si="226"/>
        <v>93694.099439140962</v>
      </c>
      <c r="O47" s="883">
        <f t="shared" si="116"/>
        <v>2663.6574782317475</v>
      </c>
      <c r="P47" s="883">
        <f t="shared" si="117"/>
        <v>5908.6097938248204</v>
      </c>
      <c r="Q47" s="883">
        <f t="shared" si="118"/>
        <v>6701.7704395560741</v>
      </c>
      <c r="R47" s="883">
        <f t="shared" si="119"/>
        <v>6394.674847165089</v>
      </c>
      <c r="S47" s="883">
        <f t="shared" si="120"/>
        <v>9067.1083510451717</v>
      </c>
      <c r="T47" s="883">
        <f t="shared" si="121"/>
        <v>8075.2131775922317</v>
      </c>
      <c r="U47" s="883">
        <f t="shared" si="122"/>
        <v>10929.830394005749</v>
      </c>
      <c r="V47" s="883">
        <f t="shared" si="123"/>
        <v>3714.7805791358442</v>
      </c>
      <c r="W47" s="883">
        <f t="shared" si="124"/>
        <v>7473.7820317974292</v>
      </c>
      <c r="X47" s="883">
        <f t="shared" si="125"/>
        <v>6480.9699877245157</v>
      </c>
      <c r="Y47" s="883">
        <f t="shared" si="126"/>
        <v>6837.5314181313261</v>
      </c>
      <c r="Z47" s="873">
        <f t="shared" si="127"/>
        <v>19419.362191168224</v>
      </c>
      <c r="AA47" s="879">
        <f t="shared" si="227"/>
        <v>93667.29068937822</v>
      </c>
      <c r="AB47" s="883">
        <f t="shared" si="128"/>
        <v>2566.2853949281443</v>
      </c>
      <c r="AC47" s="883">
        <f t="shared" si="129"/>
        <v>5746.0973474732291</v>
      </c>
      <c r="AD47" s="883">
        <f t="shared" si="130"/>
        <v>8586.351565936855</v>
      </c>
      <c r="AE47" s="883">
        <f t="shared" si="131"/>
        <v>6706.7878870205395</v>
      </c>
      <c r="AF47" s="883">
        <f t="shared" si="132"/>
        <v>7431.9067211284273</v>
      </c>
      <c r="AG47" s="883">
        <f t="shared" si="133"/>
        <v>6698.1332728917332</v>
      </c>
      <c r="AH47" s="883">
        <f t="shared" si="134"/>
        <v>8414.963367226439</v>
      </c>
      <c r="AI47" s="883">
        <f t="shared" si="135"/>
        <v>10694.99251102274</v>
      </c>
      <c r="AJ47" s="883">
        <f t="shared" si="136"/>
        <v>8460.3154643086891</v>
      </c>
      <c r="AK47" s="883">
        <f t="shared" si="137"/>
        <v>6749.3429131480534</v>
      </c>
      <c r="AL47" s="883">
        <f t="shared" si="138"/>
        <v>11352.551154015089</v>
      </c>
      <c r="AM47" s="873">
        <f t="shared" si="139"/>
        <v>19764.586283667049</v>
      </c>
      <c r="AN47" s="879">
        <f t="shared" si="228"/>
        <v>103172.31388276699</v>
      </c>
      <c r="AO47" s="883">
        <f t="shared" si="140"/>
        <v>3255.385751713713</v>
      </c>
      <c r="AP47" s="883">
        <f t="shared" si="141"/>
        <v>6110.3493723303382</v>
      </c>
      <c r="AQ47" s="883">
        <f t="shared" si="142"/>
        <v>7401.8551077154834</v>
      </c>
      <c r="AR47" s="883">
        <f t="shared" si="143"/>
        <v>7729.9606660700374</v>
      </c>
      <c r="AS47" s="883">
        <f t="shared" si="144"/>
        <v>6848.3973540065554</v>
      </c>
      <c r="AT47" s="883">
        <f t="shared" si="145"/>
        <v>8110.1798985117357</v>
      </c>
      <c r="AU47" s="883">
        <f t="shared" si="146"/>
        <v>9234.6023912223372</v>
      </c>
      <c r="AV47" s="883">
        <f t="shared" si="147"/>
        <v>10070.449176207085</v>
      </c>
      <c r="AW47" s="883">
        <f t="shared" si="148"/>
        <v>8763.2433528868532</v>
      </c>
      <c r="AX47" s="883">
        <f t="shared" si="149"/>
        <v>9356.2618071379566</v>
      </c>
      <c r="AY47" s="883">
        <f t="shared" si="150"/>
        <v>9190.9813194165581</v>
      </c>
      <c r="AZ47" s="873">
        <f t="shared" si="151"/>
        <v>17217.381652792796</v>
      </c>
      <c r="BA47" s="879">
        <f t="shared" si="229"/>
        <v>103289.04785001146</v>
      </c>
      <c r="BB47" s="883">
        <f t="shared" si="152"/>
        <v>2311.575146578235</v>
      </c>
      <c r="BC47" s="883">
        <f t="shared" si="153"/>
        <v>5297.9625961703341</v>
      </c>
      <c r="BD47" s="883">
        <f t="shared" si="154"/>
        <v>6955.9094038221538</v>
      </c>
      <c r="BE47" s="883">
        <f t="shared" si="155"/>
        <v>8588.2451916763694</v>
      </c>
      <c r="BF47" s="883">
        <f t="shared" si="156"/>
        <v>8485.5328419159123</v>
      </c>
      <c r="BG47" s="883">
        <f t="shared" si="157"/>
        <v>8031.6743635892399</v>
      </c>
      <c r="BH47" s="883">
        <f t="shared" si="158"/>
        <v>8275.8505690549264</v>
      </c>
      <c r="BI47" s="883">
        <f t="shared" si="159"/>
        <v>10833.855106561517</v>
      </c>
      <c r="BJ47" s="883">
        <f t="shared" si="160"/>
        <v>7136.7949957365463</v>
      </c>
      <c r="BK47" s="883">
        <f t="shared" si="161"/>
        <v>10127.07206951363</v>
      </c>
      <c r="BL47" s="883">
        <f t="shared" si="162"/>
        <v>10599.473082016773</v>
      </c>
      <c r="BM47" s="873">
        <f t="shared" si="163"/>
        <v>20525.936496888004</v>
      </c>
      <c r="BN47" s="879">
        <f t="shared" si="230"/>
        <v>107169.88186352365</v>
      </c>
      <c r="BO47" s="883">
        <f t="shared" si="164"/>
        <v>2834.8308755487401</v>
      </c>
      <c r="BP47" s="883">
        <f t="shared" si="165"/>
        <v>5202.2461846084416</v>
      </c>
      <c r="BQ47" s="883">
        <f t="shared" si="166"/>
        <v>8484.4394812092669</v>
      </c>
      <c r="BR47" s="883">
        <f t="shared" si="167"/>
        <v>8578.1496625363088</v>
      </c>
      <c r="BS47" s="883">
        <f t="shared" si="168"/>
        <v>8814.9563922845955</v>
      </c>
      <c r="BT47" s="883">
        <f t="shared" si="169"/>
        <v>9907.3858980564728</v>
      </c>
      <c r="BU47" s="883">
        <f t="shared" si="170"/>
        <v>9521.8095849636939</v>
      </c>
      <c r="BV47" s="883">
        <f t="shared" si="171"/>
        <v>13745.161939476589</v>
      </c>
      <c r="BW47" s="883">
        <f t="shared" si="172"/>
        <v>9219.1531428591243</v>
      </c>
      <c r="BX47" s="883">
        <f t="shared" si="173"/>
        <v>12615.676247479962</v>
      </c>
      <c r="BY47" s="883">
        <f t="shared" si="174"/>
        <v>16756.528192004935</v>
      </c>
      <c r="BZ47" s="873">
        <f t="shared" si="175"/>
        <v>21404.341925889155</v>
      </c>
      <c r="CA47" s="879">
        <f t="shared" si="231"/>
        <v>127084.67952691729</v>
      </c>
      <c r="CB47" s="883">
        <f t="shared" si="176"/>
        <v>4553.9156405522754</v>
      </c>
      <c r="CC47" s="883">
        <f t="shared" si="177"/>
        <v>7510.8861112974791</v>
      </c>
      <c r="CD47" s="883">
        <f t="shared" si="178"/>
        <v>12162.24363920965</v>
      </c>
      <c r="CE47" s="883">
        <f t="shared" si="179"/>
        <v>11055.716717130692</v>
      </c>
      <c r="CF47" s="883">
        <f t="shared" si="180"/>
        <v>11423.45261505869</v>
      </c>
      <c r="CG47" s="883">
        <f t="shared" si="181"/>
        <v>11131.740532575703</v>
      </c>
      <c r="CH47" s="883">
        <f t="shared" si="182"/>
        <v>11913.307103586387</v>
      </c>
      <c r="CI47" s="883">
        <f t="shared" si="183"/>
        <v>11744.910948707558</v>
      </c>
      <c r="CJ47" s="883">
        <f t="shared" si="184"/>
        <v>12288.054102747343</v>
      </c>
      <c r="CK47" s="883">
        <f t="shared" si="185"/>
        <v>13458.658512806143</v>
      </c>
      <c r="CL47" s="883">
        <f t="shared" si="186"/>
        <v>13810.930927383672</v>
      </c>
      <c r="CM47" s="873">
        <f t="shared" si="187"/>
        <v>19922.882875299983</v>
      </c>
      <c r="CN47" s="879">
        <f t="shared" si="232"/>
        <v>140976.69972635555</v>
      </c>
      <c r="CO47" s="883">
        <f t="shared" si="188"/>
        <v>5482.9951512887837</v>
      </c>
      <c r="CP47" s="883">
        <f t="shared" si="189"/>
        <v>8100.4190493754668</v>
      </c>
      <c r="CQ47" s="883">
        <f t="shared" si="190"/>
        <v>14821.9098441963</v>
      </c>
      <c r="CR47" s="883">
        <f t="shared" si="191"/>
        <v>11351.382547063286</v>
      </c>
      <c r="CS47" s="883">
        <f t="shared" si="192"/>
        <v>10965.956259452447</v>
      </c>
      <c r="CT47" s="883">
        <f t="shared" si="193"/>
        <v>10947.565131956064</v>
      </c>
      <c r="CU47" s="883">
        <f t="shared" si="194"/>
        <v>15361.546761730993</v>
      </c>
      <c r="CV47" s="883">
        <f t="shared" si="195"/>
        <v>13004.94976986447</v>
      </c>
      <c r="CW47" s="883">
        <f t="shared" si="196"/>
        <v>11599.231943163859</v>
      </c>
      <c r="CX47" s="883">
        <f t="shared" si="197"/>
        <v>13257.281626998469</v>
      </c>
      <c r="CY47" s="883">
        <f t="shared" si="198"/>
        <v>9980.01319760152</v>
      </c>
      <c r="CZ47" s="873">
        <f t="shared" si="199"/>
        <v>25579.474689470917</v>
      </c>
      <c r="DA47" s="879">
        <f t="shared" si="233"/>
        <v>150452.72597216259</v>
      </c>
      <c r="DB47" s="883">
        <f t="shared" si="200"/>
        <v>5125.8701958667198</v>
      </c>
      <c r="DC47" s="883">
        <f t="shared" si="201"/>
        <v>6796.3949262956166</v>
      </c>
      <c r="DD47" s="883">
        <f t="shared" si="202"/>
        <v>11575.488721262216</v>
      </c>
      <c r="DE47" s="883">
        <f t="shared" si="203"/>
        <v>8414.2917337802883</v>
      </c>
      <c r="DF47" s="883">
        <f t="shared" si="204"/>
        <v>11824.932169599981</v>
      </c>
      <c r="DG47" s="883">
        <f t="shared" si="205"/>
        <v>9369.7300956069594</v>
      </c>
      <c r="DH47" s="883">
        <f t="shared" si="206"/>
        <v>15180.235619926187</v>
      </c>
      <c r="DI47" s="883">
        <f t="shared" si="207"/>
        <v>11185.496947197409</v>
      </c>
      <c r="DJ47" s="883">
        <f t="shared" si="208"/>
        <v>11919.892457108816</v>
      </c>
      <c r="DK47" s="883">
        <f t="shared" si="209"/>
        <v>12961.001414665161</v>
      </c>
      <c r="DL47" s="883">
        <f t="shared" si="210"/>
        <v>14488.447205418684</v>
      </c>
      <c r="DM47" s="873">
        <f t="shared" si="211"/>
        <v>27280.00602897006</v>
      </c>
      <c r="DN47" s="879">
        <f t="shared" si="234"/>
        <v>146121.78751569809</v>
      </c>
      <c r="DO47" s="883">
        <f t="shared" si="212"/>
        <v>1064.5088654736551</v>
      </c>
      <c r="DP47" s="883">
        <f t="shared" si="213"/>
        <v>4565.6607452961771</v>
      </c>
      <c r="DQ47" s="883">
        <f t="shared" si="214"/>
        <v>6521.2381454927781</v>
      </c>
      <c r="DR47" s="883">
        <f t="shared" si="215"/>
        <v>9063.6137912964496</v>
      </c>
      <c r="DS47" s="883">
        <f t="shared" si="216"/>
        <v>9609.144814292762</v>
      </c>
      <c r="DT47" s="883">
        <f t="shared" si="217"/>
        <v>10001.431314228152</v>
      </c>
      <c r="DU47" s="883">
        <f t="shared" si="218"/>
        <v>5992.7575605513484</v>
      </c>
      <c r="DV47" s="883">
        <f t="shared" si="219"/>
        <v>9147.8760937771131</v>
      </c>
      <c r="DW47" s="883">
        <f t="shared" si="220"/>
        <v>6883.5648935224917</v>
      </c>
      <c r="DX47" s="883">
        <f t="shared" si="221"/>
        <v>12036.93788379432</v>
      </c>
      <c r="DY47" s="883">
        <f t="shared" si="222"/>
        <v>9170.4505186635797</v>
      </c>
      <c r="DZ47" s="873">
        <f t="shared" si="223"/>
        <v>17186.106523030052</v>
      </c>
      <c r="EA47" s="879">
        <f t="shared" si="235"/>
        <v>101243.29114941889</v>
      </c>
      <c r="EB47" s="883">
        <f t="shared" si="236"/>
        <v>1467.8077032308593</v>
      </c>
      <c r="EC47" s="883">
        <f t="shared" si="237"/>
        <v>4348.1916989611645</v>
      </c>
      <c r="ED47" s="883">
        <f t="shared" si="238"/>
        <v>7687.0153375010341</v>
      </c>
      <c r="EE47" s="883">
        <f t="shared" si="239"/>
        <v>7475.4167838135108</v>
      </c>
      <c r="EF47" s="883">
        <f t="shared" si="240"/>
        <v>8596.4237992381095</v>
      </c>
      <c r="EG47" s="883">
        <f t="shared" si="241"/>
        <v>7063.7611267505972</v>
      </c>
      <c r="EH47" s="883">
        <f t="shared" si="242"/>
        <v>7364.4687545413253</v>
      </c>
      <c r="EI47" s="883">
        <f t="shared" si="243"/>
        <v>11153.601097687875</v>
      </c>
      <c r="EJ47" s="883">
        <f t="shared" si="244"/>
        <v>7885.0331603191253</v>
      </c>
      <c r="EK47" s="883">
        <f t="shared" si="245"/>
        <v>8677.1927607247417</v>
      </c>
      <c r="EL47" s="883">
        <f t="shared" si="246"/>
        <v>7477.6552156871057</v>
      </c>
      <c r="EM47" s="873">
        <f t="shared" si="247"/>
        <v>17670.816836851842</v>
      </c>
      <c r="EN47" s="879">
        <f t="shared" si="259"/>
        <v>96867.384275307282</v>
      </c>
      <c r="EO47" s="883">
        <f t="shared" si="248"/>
        <v>1126.5871107964945</v>
      </c>
      <c r="EP47" s="883">
        <f t="shared" si="249"/>
        <v>6170.4227904086583</v>
      </c>
      <c r="EQ47" s="883">
        <f>EQ11/$EQ$38</f>
        <v>9592.4997351096627</v>
      </c>
      <c r="ER47" s="883">
        <f t="shared" si="251"/>
        <v>10265.026083184872</v>
      </c>
      <c r="ES47" s="883">
        <f t="shared" si="252"/>
        <v>10456.324256444052</v>
      </c>
      <c r="ET47" s="883">
        <f t="shared" si="253"/>
        <v>9291.2689604592597</v>
      </c>
      <c r="EU47" s="883">
        <f t="shared" si="254"/>
        <v>7646.5815746856106</v>
      </c>
      <c r="EV47" s="973">
        <f t="shared" si="255"/>
        <v>8915.0356619442664</v>
      </c>
      <c r="EW47" s="883"/>
      <c r="EX47" s="883"/>
      <c r="EY47" s="883"/>
      <c r="EZ47" s="873"/>
      <c r="FA47" s="879">
        <f t="shared" si="260"/>
        <v>63463.746173032872</v>
      </c>
      <c r="FC47" s="843">
        <f t="shared" si="256"/>
        <v>-20.0703379665215</v>
      </c>
      <c r="FD47" s="844">
        <f t="shared" si="224"/>
        <v>15.060839271355352</v>
      </c>
      <c r="FE47" s="845">
        <f t="shared" si="257"/>
        <v>55156.686301724476</v>
      </c>
      <c r="FF47" s="846">
        <f t="shared" si="225"/>
        <v>63463.746173032872</v>
      </c>
      <c r="FH47">
        <f t="shared" si="258"/>
        <v>-2238.5654357436088</v>
      </c>
      <c r="FI47" s="127"/>
    </row>
    <row r="48" spans="1:172" ht="15" customHeight="1" x14ac:dyDescent="0.25">
      <c r="A48" s="403" t="s">
        <v>299</v>
      </c>
      <c r="B48" s="883">
        <f t="shared" si="104"/>
        <v>0</v>
      </c>
      <c r="C48" s="883">
        <f t="shared" si="105"/>
        <v>0</v>
      </c>
      <c r="D48" s="883">
        <f t="shared" si="106"/>
        <v>0</v>
      </c>
      <c r="E48" s="883">
        <f t="shared" si="107"/>
        <v>0</v>
      </c>
      <c r="F48" s="883">
        <f t="shared" si="108"/>
        <v>0</v>
      </c>
      <c r="G48" s="883">
        <f t="shared" si="109"/>
        <v>0</v>
      </c>
      <c r="H48" s="883">
        <f t="shared" si="110"/>
        <v>0</v>
      </c>
      <c r="I48" s="883">
        <f t="shared" si="111"/>
        <v>0</v>
      </c>
      <c r="J48" s="883">
        <f t="shared" si="112"/>
        <v>0</v>
      </c>
      <c r="K48" s="883">
        <f t="shared" si="113"/>
        <v>0</v>
      </c>
      <c r="L48" s="883">
        <f t="shared" si="114"/>
        <v>53.786632209017917</v>
      </c>
      <c r="M48" s="873">
        <f t="shared" si="115"/>
        <v>0</v>
      </c>
      <c r="N48" s="879">
        <f t="shared" si="226"/>
        <v>53.786632209017917</v>
      </c>
      <c r="O48" s="883">
        <f t="shared" si="116"/>
        <v>0</v>
      </c>
      <c r="P48" s="883">
        <f t="shared" si="117"/>
        <v>0</v>
      </c>
      <c r="Q48" s="883">
        <f t="shared" si="118"/>
        <v>0</v>
      </c>
      <c r="R48" s="883">
        <f t="shared" si="119"/>
        <v>0</v>
      </c>
      <c r="S48" s="883">
        <f t="shared" si="120"/>
        <v>0</v>
      </c>
      <c r="T48" s="883">
        <f t="shared" si="121"/>
        <v>742.95824616728601</v>
      </c>
      <c r="U48" s="883">
        <f t="shared" si="122"/>
        <v>0</v>
      </c>
      <c r="V48" s="883">
        <f t="shared" si="123"/>
        <v>0</v>
      </c>
      <c r="W48" s="883">
        <f t="shared" si="124"/>
        <v>0</v>
      </c>
      <c r="X48" s="883">
        <f t="shared" si="125"/>
        <v>0</v>
      </c>
      <c r="Y48" s="883">
        <f t="shared" si="126"/>
        <v>0</v>
      </c>
      <c r="Z48" s="873">
        <f t="shared" si="127"/>
        <v>0</v>
      </c>
      <c r="AA48" s="879">
        <f t="shared" si="227"/>
        <v>742.95824616728601</v>
      </c>
      <c r="AB48" s="883">
        <f t="shared" si="128"/>
        <v>0</v>
      </c>
      <c r="AC48" s="883">
        <f t="shared" si="129"/>
        <v>0</v>
      </c>
      <c r="AD48" s="883">
        <f t="shared" si="130"/>
        <v>0</v>
      </c>
      <c r="AE48" s="883">
        <f t="shared" si="131"/>
        <v>0</v>
      </c>
      <c r="AF48" s="883">
        <f t="shared" si="132"/>
        <v>0</v>
      </c>
      <c r="AG48" s="883">
        <f t="shared" si="133"/>
        <v>0</v>
      </c>
      <c r="AH48" s="883">
        <f t="shared" si="134"/>
        <v>0</v>
      </c>
      <c r="AI48" s="883">
        <f t="shared" si="135"/>
        <v>0</v>
      </c>
      <c r="AJ48" s="883">
        <f t="shared" si="136"/>
        <v>0</v>
      </c>
      <c r="AK48" s="883">
        <f t="shared" si="137"/>
        <v>0</v>
      </c>
      <c r="AL48" s="883">
        <f t="shared" si="138"/>
        <v>0</v>
      </c>
      <c r="AM48" s="873">
        <f t="shared" si="139"/>
        <v>0</v>
      </c>
      <c r="AN48" s="879">
        <f t="shared" si="228"/>
        <v>0</v>
      </c>
      <c r="AO48" s="883">
        <f t="shared" si="140"/>
        <v>0</v>
      </c>
      <c r="AP48" s="883">
        <f t="shared" si="141"/>
        <v>0</v>
      </c>
      <c r="AQ48" s="883">
        <f t="shared" si="142"/>
        <v>0</v>
      </c>
      <c r="AR48" s="883">
        <f t="shared" si="143"/>
        <v>0</v>
      </c>
      <c r="AS48" s="883">
        <f t="shared" si="144"/>
        <v>0</v>
      </c>
      <c r="AT48" s="883">
        <f t="shared" si="145"/>
        <v>0</v>
      </c>
      <c r="AU48" s="883">
        <f t="shared" si="146"/>
        <v>0</v>
      </c>
      <c r="AV48" s="883">
        <f t="shared" si="147"/>
        <v>0</v>
      </c>
      <c r="AW48" s="883">
        <f t="shared" si="148"/>
        <v>0</v>
      </c>
      <c r="AX48" s="883">
        <f t="shared" si="149"/>
        <v>0</v>
      </c>
      <c r="AY48" s="883">
        <f t="shared" si="150"/>
        <v>0</v>
      </c>
      <c r="AZ48" s="873">
        <f t="shared" si="151"/>
        <v>0</v>
      </c>
      <c r="BA48" s="879">
        <f t="shared" si="229"/>
        <v>0</v>
      </c>
      <c r="BB48" s="883">
        <f t="shared" si="152"/>
        <v>150.86217791025993</v>
      </c>
      <c r="BC48" s="883">
        <f t="shared" si="153"/>
        <v>0</v>
      </c>
      <c r="BD48" s="883">
        <f t="shared" si="154"/>
        <v>0</v>
      </c>
      <c r="BE48" s="883">
        <f t="shared" si="155"/>
        <v>0</v>
      </c>
      <c r="BF48" s="883">
        <f t="shared" si="156"/>
        <v>0</v>
      </c>
      <c r="BG48" s="883">
        <f t="shared" si="157"/>
        <v>0</v>
      </c>
      <c r="BH48" s="883">
        <f t="shared" si="158"/>
        <v>0</v>
      </c>
      <c r="BI48" s="883">
        <f t="shared" si="159"/>
        <v>0</v>
      </c>
      <c r="BJ48" s="883">
        <f t="shared" si="160"/>
        <v>0</v>
      </c>
      <c r="BK48" s="883">
        <f t="shared" si="161"/>
        <v>143.75969814766981</v>
      </c>
      <c r="BL48" s="883">
        <f t="shared" si="162"/>
        <v>0</v>
      </c>
      <c r="BM48" s="873">
        <f t="shared" si="163"/>
        <v>0</v>
      </c>
      <c r="BN48" s="879">
        <f t="shared" si="230"/>
        <v>294.62187605792974</v>
      </c>
      <c r="BO48" s="883">
        <f t="shared" si="164"/>
        <v>0</v>
      </c>
      <c r="BP48" s="883">
        <f t="shared" si="165"/>
        <v>0</v>
      </c>
      <c r="BQ48" s="883">
        <f t="shared" si="166"/>
        <v>0</v>
      </c>
      <c r="BR48" s="883">
        <f t="shared" si="167"/>
        <v>0</v>
      </c>
      <c r="BS48" s="883">
        <f t="shared" si="168"/>
        <v>0</v>
      </c>
      <c r="BT48" s="883">
        <f t="shared" si="169"/>
        <v>0</v>
      </c>
      <c r="BU48" s="883">
        <f t="shared" si="170"/>
        <v>0</v>
      </c>
      <c r="BV48" s="883">
        <f t="shared" si="171"/>
        <v>0</v>
      </c>
      <c r="BW48" s="883">
        <f t="shared" si="172"/>
        <v>0</v>
      </c>
      <c r="BX48" s="883">
        <f t="shared" si="173"/>
        <v>0</v>
      </c>
      <c r="BY48" s="883">
        <f t="shared" si="174"/>
        <v>0</v>
      </c>
      <c r="BZ48" s="873">
        <f t="shared" si="175"/>
        <v>33.947126064025177</v>
      </c>
      <c r="CA48" s="879">
        <f t="shared" si="231"/>
        <v>33.947126064025177</v>
      </c>
      <c r="CB48" s="883">
        <f t="shared" si="176"/>
        <v>0</v>
      </c>
      <c r="CC48" s="883">
        <f t="shared" si="177"/>
        <v>0</v>
      </c>
      <c r="CD48" s="883">
        <f t="shared" si="178"/>
        <v>111.75826387960886</v>
      </c>
      <c r="CE48" s="883">
        <f t="shared" si="179"/>
        <v>0</v>
      </c>
      <c r="CF48" s="883">
        <f t="shared" si="180"/>
        <v>0</v>
      </c>
      <c r="CG48" s="883">
        <f t="shared" si="181"/>
        <v>132.92424064213628</v>
      </c>
      <c r="CH48" s="883">
        <f t="shared" si="182"/>
        <v>0</v>
      </c>
      <c r="CI48" s="883">
        <f t="shared" si="183"/>
        <v>0</v>
      </c>
      <c r="CJ48" s="883">
        <f t="shared" si="184"/>
        <v>0</v>
      </c>
      <c r="CK48" s="883">
        <f t="shared" si="185"/>
        <v>0</v>
      </c>
      <c r="CL48" s="883">
        <f t="shared" si="186"/>
        <v>0</v>
      </c>
      <c r="CM48" s="873">
        <f t="shared" si="187"/>
        <v>0</v>
      </c>
      <c r="CN48" s="879">
        <f t="shared" si="232"/>
        <v>244.68250452174516</v>
      </c>
      <c r="CO48" s="883">
        <f t="shared" si="188"/>
        <v>0</v>
      </c>
      <c r="CP48" s="883">
        <f t="shared" si="189"/>
        <v>0</v>
      </c>
      <c r="CQ48" s="883">
        <f t="shared" si="190"/>
        <v>0</v>
      </c>
      <c r="CR48" s="883">
        <f t="shared" si="191"/>
        <v>0</v>
      </c>
      <c r="CS48" s="883">
        <f t="shared" si="192"/>
        <v>0</v>
      </c>
      <c r="CT48" s="883">
        <f t="shared" si="193"/>
        <v>0</v>
      </c>
      <c r="CU48" s="883">
        <f t="shared" si="194"/>
        <v>0</v>
      </c>
      <c r="CV48" s="883">
        <f t="shared" si="195"/>
        <v>0</v>
      </c>
      <c r="CW48" s="883">
        <f t="shared" si="196"/>
        <v>0</v>
      </c>
      <c r="CX48" s="883">
        <f t="shared" si="197"/>
        <v>0</v>
      </c>
      <c r="CY48" s="883">
        <f t="shared" si="198"/>
        <v>0</v>
      </c>
      <c r="CZ48" s="873">
        <f t="shared" si="199"/>
        <v>0</v>
      </c>
      <c r="DA48" s="879">
        <f t="shared" si="233"/>
        <v>0</v>
      </c>
      <c r="DB48" s="883">
        <f t="shared" si="200"/>
        <v>0</v>
      </c>
      <c r="DC48" s="883">
        <f t="shared" si="201"/>
        <v>0</v>
      </c>
      <c r="DD48" s="883">
        <f t="shared" si="202"/>
        <v>0</v>
      </c>
      <c r="DE48" s="883">
        <f t="shared" si="203"/>
        <v>0</v>
      </c>
      <c r="DF48" s="883">
        <f t="shared" si="204"/>
        <v>0</v>
      </c>
      <c r="DG48" s="883">
        <f t="shared" si="205"/>
        <v>0</v>
      </c>
      <c r="DH48" s="883">
        <f t="shared" si="206"/>
        <v>0</v>
      </c>
      <c r="DI48" s="883">
        <f t="shared" si="207"/>
        <v>232.30759757986982</v>
      </c>
      <c r="DJ48" s="883">
        <f t="shared" si="208"/>
        <v>0</v>
      </c>
      <c r="DK48" s="883">
        <f t="shared" si="209"/>
        <v>0</v>
      </c>
      <c r="DL48" s="883">
        <f t="shared" si="210"/>
        <v>0</v>
      </c>
      <c r="DM48" s="873">
        <f t="shared" si="211"/>
        <v>12.532840491936044</v>
      </c>
      <c r="DN48" s="879">
        <f t="shared" si="234"/>
        <v>244.84043807180586</v>
      </c>
      <c r="DO48" s="883">
        <f t="shared" si="212"/>
        <v>0</v>
      </c>
      <c r="DP48" s="883">
        <f t="shared" si="213"/>
        <v>0</v>
      </c>
      <c r="DQ48" s="883">
        <f t="shared" si="214"/>
        <v>0</v>
      </c>
      <c r="DR48" s="883">
        <f t="shared" si="215"/>
        <v>0</v>
      </c>
      <c r="DS48" s="883">
        <f t="shared" si="216"/>
        <v>0</v>
      </c>
      <c r="DT48" s="883">
        <f t="shared" si="217"/>
        <v>0</v>
      </c>
      <c r="DU48" s="883">
        <f t="shared" si="218"/>
        <v>0</v>
      </c>
      <c r="DV48" s="883">
        <f t="shared" si="219"/>
        <v>0</v>
      </c>
      <c r="DW48" s="883">
        <f t="shared" si="220"/>
        <v>1561.4976586541109</v>
      </c>
      <c r="DX48" s="883">
        <f t="shared" si="221"/>
        <v>0</v>
      </c>
      <c r="DY48" s="883">
        <f t="shared" si="222"/>
        <v>0</v>
      </c>
      <c r="DZ48" s="873">
        <f t="shared" si="223"/>
        <v>0</v>
      </c>
      <c r="EA48" s="879">
        <f t="shared" si="235"/>
        <v>1561.4976586541109</v>
      </c>
      <c r="EB48" s="883">
        <f t="shared" si="236"/>
        <v>0</v>
      </c>
      <c r="EC48" s="883">
        <f t="shared" si="237"/>
        <v>0</v>
      </c>
      <c r="ED48" s="883">
        <f t="shared" si="238"/>
        <v>13.840502948327392</v>
      </c>
      <c r="EE48" s="883">
        <f t="shared" si="239"/>
        <v>0</v>
      </c>
      <c r="EF48" s="883">
        <f t="shared" si="240"/>
        <v>0</v>
      </c>
      <c r="EG48" s="883">
        <f t="shared" si="241"/>
        <v>1786.2067522480431</v>
      </c>
      <c r="EH48" s="883">
        <f t="shared" si="242"/>
        <v>0</v>
      </c>
      <c r="EI48" s="883">
        <f t="shared" si="243"/>
        <v>0</v>
      </c>
      <c r="EJ48" s="883">
        <f t="shared" si="244"/>
        <v>3310.4890463868692</v>
      </c>
      <c r="EK48" s="883">
        <f t="shared" si="245"/>
        <v>-13.807511871817105</v>
      </c>
      <c r="EL48" s="883">
        <f t="shared" si="246"/>
        <v>0</v>
      </c>
      <c r="EM48" s="873">
        <f t="shared" si="247"/>
        <v>112.2760343450891</v>
      </c>
      <c r="EN48" s="879">
        <f t="shared" si="259"/>
        <v>5209.004824056512</v>
      </c>
      <c r="EO48" s="883">
        <f t="shared" si="248"/>
        <v>0</v>
      </c>
      <c r="EP48" s="883">
        <f t="shared" si="249"/>
        <v>0</v>
      </c>
      <c r="EQ48" s="883">
        <f t="shared" si="250"/>
        <v>1769.6921946674374</v>
      </c>
      <c r="ER48" s="883">
        <f t="shared" si="251"/>
        <v>0</v>
      </c>
      <c r="ES48" s="883">
        <f t="shared" si="252"/>
        <v>0</v>
      </c>
      <c r="ET48" s="883">
        <f t="shared" si="253"/>
        <v>0</v>
      </c>
      <c r="EU48" s="883">
        <f t="shared" si="254"/>
        <v>0</v>
      </c>
      <c r="EV48" s="973">
        <f t="shared" si="255"/>
        <v>0</v>
      </c>
      <c r="EW48" s="883"/>
      <c r="EX48" s="883"/>
      <c r="EY48" s="883"/>
      <c r="EZ48" s="873"/>
      <c r="FA48" s="879">
        <f t="shared" si="260"/>
        <v>1769.6921946674374</v>
      </c>
      <c r="FC48" s="843" t="str">
        <f t="shared" si="256"/>
        <v/>
      </c>
      <c r="FD48" s="844">
        <f t="shared" si="224"/>
        <v>-1.686347980104641</v>
      </c>
      <c r="FE48" s="845">
        <f t="shared" si="257"/>
        <v>1800.0472551963705</v>
      </c>
      <c r="FF48" s="846">
        <f t="shared" si="225"/>
        <v>1769.6921946674374</v>
      </c>
      <c r="FH48">
        <f t="shared" si="258"/>
        <v>0</v>
      </c>
      <c r="FI48" s="127"/>
    </row>
    <row r="49" spans="1:172" ht="15" customHeight="1" x14ac:dyDescent="0.25">
      <c r="A49" s="403" t="s">
        <v>286</v>
      </c>
      <c r="B49" s="883">
        <f t="shared" si="104"/>
        <v>341.86132258999174</v>
      </c>
      <c r="C49" s="883">
        <f t="shared" si="105"/>
        <v>50.146399068907002</v>
      </c>
      <c r="D49" s="883">
        <f t="shared" si="106"/>
        <v>115.0888724164822</v>
      </c>
      <c r="E49" s="883">
        <f t="shared" si="107"/>
        <v>97.600425398222328</v>
      </c>
      <c r="F49" s="883">
        <f t="shared" si="108"/>
        <v>640.1134086095858</v>
      </c>
      <c r="G49" s="883">
        <f t="shared" si="109"/>
        <v>307.10372191003654</v>
      </c>
      <c r="H49" s="883">
        <f t="shared" si="110"/>
        <v>282.03403032554382</v>
      </c>
      <c r="I49" s="883">
        <f t="shared" si="111"/>
        <v>341.88047375574223</v>
      </c>
      <c r="J49" s="883">
        <f t="shared" si="112"/>
        <v>162.13519220397166</v>
      </c>
      <c r="K49" s="883">
        <f t="shared" si="113"/>
        <v>279.7292744667397</v>
      </c>
      <c r="L49" s="883">
        <f t="shared" si="114"/>
        <v>102.27035701714674</v>
      </c>
      <c r="M49" s="873">
        <f t="shared" si="115"/>
        <v>2460.0844687051431</v>
      </c>
      <c r="N49" s="879">
        <f t="shared" si="226"/>
        <v>5180.0479464675127</v>
      </c>
      <c r="O49" s="883">
        <f t="shared" si="116"/>
        <v>309.57034725852753</v>
      </c>
      <c r="P49" s="883">
        <f t="shared" si="117"/>
        <v>99.764517275447659</v>
      </c>
      <c r="Q49" s="883">
        <f t="shared" si="118"/>
        <v>105.13458299704121</v>
      </c>
      <c r="R49" s="883">
        <f t="shared" si="119"/>
        <v>73.064956863959267</v>
      </c>
      <c r="S49" s="883">
        <f t="shared" si="120"/>
        <v>171.86362756145357</v>
      </c>
      <c r="T49" s="883">
        <f t="shared" si="121"/>
        <v>17.088039661847578</v>
      </c>
      <c r="U49" s="883">
        <f t="shared" si="122"/>
        <v>73.494071113670387</v>
      </c>
      <c r="V49" s="883">
        <f t="shared" si="123"/>
        <v>1818.9258152319876</v>
      </c>
      <c r="W49" s="883">
        <f t="shared" si="124"/>
        <v>118.10420988519395</v>
      </c>
      <c r="X49" s="883">
        <f t="shared" si="125"/>
        <v>54.400156430536995</v>
      </c>
      <c r="Y49" s="883">
        <f t="shared" si="126"/>
        <v>155.3984413211665</v>
      </c>
      <c r="Z49" s="873">
        <f t="shared" si="127"/>
        <v>994.3473266433391</v>
      </c>
      <c r="AA49" s="879">
        <f t="shared" si="227"/>
        <v>3991.1560922441713</v>
      </c>
      <c r="AB49" s="883">
        <f t="shared" si="128"/>
        <v>268.21727501663082</v>
      </c>
      <c r="AC49" s="883">
        <f t="shared" si="129"/>
        <v>239.02718767463554</v>
      </c>
      <c r="AD49" s="883">
        <f t="shared" si="130"/>
        <v>37.294544055188474</v>
      </c>
      <c r="AE49" s="883">
        <f t="shared" si="131"/>
        <v>48.896920372831211</v>
      </c>
      <c r="AF49" s="883">
        <f t="shared" si="132"/>
        <v>2755.5534442116282</v>
      </c>
      <c r="AG49" s="883">
        <f t="shared" si="133"/>
        <v>2076.4864082142499</v>
      </c>
      <c r="AH49" s="883">
        <f t="shared" si="134"/>
        <v>108.99463616839873</v>
      </c>
      <c r="AI49" s="883">
        <f t="shared" si="135"/>
        <v>98.231025342592872</v>
      </c>
      <c r="AJ49" s="883">
        <f t="shared" si="136"/>
        <v>188.61261058855513</v>
      </c>
      <c r="AK49" s="883">
        <f t="shared" si="137"/>
        <v>211.11961925401727</v>
      </c>
      <c r="AL49" s="883">
        <f t="shared" si="138"/>
        <v>285.90754623441717</v>
      </c>
      <c r="AM49" s="873">
        <f t="shared" si="139"/>
        <v>1366.7039495908941</v>
      </c>
      <c r="AN49" s="879">
        <f t="shared" si="228"/>
        <v>7685.0451667240395</v>
      </c>
      <c r="AO49" s="883">
        <f t="shared" si="140"/>
        <v>157.65800080170348</v>
      </c>
      <c r="AP49" s="883">
        <f t="shared" si="141"/>
        <v>137.87602297419497</v>
      </c>
      <c r="AQ49" s="883">
        <f t="shared" si="142"/>
        <v>238.67731279947591</v>
      </c>
      <c r="AR49" s="883">
        <f t="shared" si="143"/>
        <v>172.46070362181808</v>
      </c>
      <c r="AS49" s="883">
        <f t="shared" si="144"/>
        <v>151.67783525380167</v>
      </c>
      <c r="AT49" s="883">
        <f t="shared" si="145"/>
        <v>10704.467638842843</v>
      </c>
      <c r="AU49" s="883">
        <f t="shared" si="146"/>
        <v>2352.8735379435634</v>
      </c>
      <c r="AV49" s="883">
        <f t="shared" si="147"/>
        <v>91.523738462076508</v>
      </c>
      <c r="AW49" s="883">
        <f t="shared" si="148"/>
        <v>266.26096975236015</v>
      </c>
      <c r="AX49" s="883">
        <f t="shared" si="149"/>
        <v>111.0892462921167</v>
      </c>
      <c r="AY49" s="883">
        <f t="shared" si="150"/>
        <v>518.73743086903141</v>
      </c>
      <c r="AZ49" s="873">
        <f t="shared" si="151"/>
        <v>329.4483828507021</v>
      </c>
      <c r="BA49" s="879">
        <f t="shared" si="229"/>
        <v>15232.750820463689</v>
      </c>
      <c r="BB49" s="883">
        <f t="shared" si="152"/>
        <v>217.12874203906571</v>
      </c>
      <c r="BC49" s="883">
        <f t="shared" si="153"/>
        <v>58.435999399619632</v>
      </c>
      <c r="BD49" s="883">
        <f t="shared" si="154"/>
        <v>115.32607030050798</v>
      </c>
      <c r="BE49" s="883">
        <f t="shared" si="155"/>
        <v>36.970191289704964</v>
      </c>
      <c r="BF49" s="883">
        <f t="shared" si="156"/>
        <v>410.24204579237232</v>
      </c>
      <c r="BG49" s="883">
        <f t="shared" si="157"/>
        <v>13687.517963259364</v>
      </c>
      <c r="BH49" s="883">
        <f t="shared" si="158"/>
        <v>58.442324321194938</v>
      </c>
      <c r="BI49" s="883">
        <f t="shared" si="159"/>
        <v>11.820520942914177</v>
      </c>
      <c r="BJ49" s="883">
        <f t="shared" si="160"/>
        <v>71.611289289903965</v>
      </c>
      <c r="BK49" s="883">
        <f t="shared" si="161"/>
        <v>18.056773680383646</v>
      </c>
      <c r="BL49" s="883">
        <f t="shared" si="162"/>
        <v>117.24006485115746</v>
      </c>
      <c r="BM49" s="873">
        <f t="shared" si="163"/>
        <v>2668.0256073863866</v>
      </c>
      <c r="BN49" s="879">
        <f t="shared" si="230"/>
        <v>17470.817592552576</v>
      </c>
      <c r="BO49" s="883">
        <f t="shared" si="164"/>
        <v>26.293281247462076</v>
      </c>
      <c r="BP49" s="883">
        <f t="shared" si="165"/>
        <v>129.20972725750812</v>
      </c>
      <c r="BQ49" s="883">
        <f t="shared" si="166"/>
        <v>30.892448956583625</v>
      </c>
      <c r="BR49" s="883">
        <f t="shared" si="167"/>
        <v>309.30168674479336</v>
      </c>
      <c r="BS49" s="883">
        <f t="shared" si="168"/>
        <v>39.697761530592949</v>
      </c>
      <c r="BT49" s="883">
        <f t="shared" si="169"/>
        <v>29.510778166834882</v>
      </c>
      <c r="BU49" s="883">
        <f t="shared" si="170"/>
        <v>25.276722244486773</v>
      </c>
      <c r="BV49" s="883">
        <f t="shared" si="171"/>
        <v>100.53432207697576</v>
      </c>
      <c r="BW49" s="883">
        <f t="shared" si="172"/>
        <v>144.10262339012334</v>
      </c>
      <c r="BX49" s="883">
        <f t="shared" si="173"/>
        <v>4903.2891931778313</v>
      </c>
      <c r="BY49" s="883">
        <f t="shared" si="174"/>
        <v>204.46387975488429</v>
      </c>
      <c r="BZ49" s="873">
        <f t="shared" si="175"/>
        <v>4398.1896528551024</v>
      </c>
      <c r="CA49" s="879">
        <f t="shared" si="231"/>
        <v>10340.762077403178</v>
      </c>
      <c r="CB49" s="883">
        <f t="shared" si="176"/>
        <v>0</v>
      </c>
      <c r="CC49" s="883">
        <f t="shared" si="177"/>
        <v>8.7728229512010092</v>
      </c>
      <c r="CD49" s="883">
        <f t="shared" si="178"/>
        <v>194.0712366771651</v>
      </c>
      <c r="CE49" s="883">
        <f t="shared" si="179"/>
        <v>192.25585905335123</v>
      </c>
      <c r="CF49" s="883">
        <f t="shared" si="180"/>
        <v>62.131182712466114</v>
      </c>
      <c r="CG49" s="883">
        <f t="shared" si="181"/>
        <v>7.3108332353174958</v>
      </c>
      <c r="CH49" s="883">
        <f t="shared" si="182"/>
        <v>50.664124984875279</v>
      </c>
      <c r="CI49" s="883">
        <f t="shared" si="183"/>
        <v>106.20918083990748</v>
      </c>
      <c r="CJ49" s="883">
        <f t="shared" si="184"/>
        <v>3754.430811471077</v>
      </c>
      <c r="CK49" s="883">
        <f t="shared" si="185"/>
        <v>147.11737179594402</v>
      </c>
      <c r="CL49" s="883">
        <f t="shared" si="186"/>
        <v>77.795383930609574</v>
      </c>
      <c r="CM49" s="873">
        <f t="shared" si="187"/>
        <v>11716.153063014641</v>
      </c>
      <c r="CN49" s="879">
        <f t="shared" si="232"/>
        <v>16316.911870666554</v>
      </c>
      <c r="CO49" s="883">
        <f t="shared" si="188"/>
        <v>0</v>
      </c>
      <c r="CP49" s="883">
        <f t="shared" si="189"/>
        <v>174.82461454859938</v>
      </c>
      <c r="CQ49" s="883">
        <f t="shared" si="190"/>
        <v>8.7703608545540241</v>
      </c>
      <c r="CR49" s="883">
        <f t="shared" si="191"/>
        <v>248.19902803243218</v>
      </c>
      <c r="CS49" s="883">
        <f t="shared" si="192"/>
        <v>214.49756606707999</v>
      </c>
      <c r="CT49" s="883">
        <f t="shared" si="193"/>
        <v>5116.1128274165521</v>
      </c>
      <c r="CU49" s="883">
        <f t="shared" si="194"/>
        <v>712.30904694312653</v>
      </c>
      <c r="CV49" s="883">
        <f t="shared" si="195"/>
        <v>223.63247420096997</v>
      </c>
      <c r="CW49" s="883">
        <f t="shared" si="196"/>
        <v>19.137686114011007</v>
      </c>
      <c r="CX49" s="883">
        <f t="shared" si="197"/>
        <v>20.858838253312943</v>
      </c>
      <c r="CY49" s="883">
        <f t="shared" si="198"/>
        <v>21.343817211052976</v>
      </c>
      <c r="CZ49" s="873">
        <f t="shared" si="199"/>
        <v>-50.00012299885082</v>
      </c>
      <c r="DA49" s="879">
        <f t="shared" si="233"/>
        <v>6709.6861366428393</v>
      </c>
      <c r="DB49" s="883">
        <f t="shared" si="200"/>
        <v>11.737738025799679</v>
      </c>
      <c r="DC49" s="883">
        <f t="shared" si="201"/>
        <v>132.83809611409549</v>
      </c>
      <c r="DD49" s="883">
        <f t="shared" si="202"/>
        <v>253.72675996775081</v>
      </c>
      <c r="DE49" s="883">
        <f t="shared" si="203"/>
        <v>4.5979736250165502</v>
      </c>
      <c r="DF49" s="883">
        <f t="shared" si="204"/>
        <v>16.041574648682143</v>
      </c>
      <c r="DG49" s="883">
        <f t="shared" si="205"/>
        <v>9156.8599262578973</v>
      </c>
      <c r="DH49" s="883">
        <f t="shared" si="206"/>
        <v>497.24416375511225</v>
      </c>
      <c r="DI49" s="883">
        <f t="shared" si="207"/>
        <v>6.2631950327906081</v>
      </c>
      <c r="DJ49" s="883">
        <f t="shared" si="208"/>
        <v>59.203821363929357</v>
      </c>
      <c r="DK49" s="883">
        <f t="shared" si="209"/>
        <v>-37.692271133196769</v>
      </c>
      <c r="DL49" s="883">
        <f t="shared" si="210"/>
        <v>8.5801535031497593</v>
      </c>
      <c r="DM49" s="873">
        <f t="shared" si="211"/>
        <v>50.131361967744176</v>
      </c>
      <c r="DN49" s="879">
        <f t="shared" si="234"/>
        <v>10159.532493128771</v>
      </c>
      <c r="DO49" s="883">
        <f t="shared" si="212"/>
        <v>21.643304915997266</v>
      </c>
      <c r="DP49" s="883">
        <f t="shared" si="213"/>
        <v>98.551664766348438</v>
      </c>
      <c r="DQ49" s="883">
        <f t="shared" si="214"/>
        <v>21.307570896708992</v>
      </c>
      <c r="DR49" s="883">
        <f t="shared" si="215"/>
        <v>10.659115005857423</v>
      </c>
      <c r="DS49" s="883">
        <f t="shared" si="216"/>
        <v>111.74077122913924</v>
      </c>
      <c r="DT49" s="883">
        <f t="shared" si="217"/>
        <v>170.49487576545494</v>
      </c>
      <c r="DU49" s="883">
        <f t="shared" si="218"/>
        <v>128.12449643975901</v>
      </c>
      <c r="DV49" s="883">
        <f t="shared" si="219"/>
        <v>66.952008493123543</v>
      </c>
      <c r="DW49" s="883">
        <f t="shared" si="220"/>
        <v>0</v>
      </c>
      <c r="DX49" s="883">
        <f t="shared" si="221"/>
        <v>33.026988566426311</v>
      </c>
      <c r="DY49" s="883">
        <f t="shared" si="222"/>
        <v>0</v>
      </c>
      <c r="DZ49" s="873">
        <f t="shared" si="223"/>
        <v>66.480729325507141</v>
      </c>
      <c r="EA49" s="879">
        <f t="shared" si="235"/>
        <v>728.98152540432227</v>
      </c>
      <c r="EB49" s="883">
        <f t="shared" si="236"/>
        <v>0</v>
      </c>
      <c r="EC49" s="883">
        <f t="shared" si="237"/>
        <v>141.75852798564185</v>
      </c>
      <c r="ED49" s="883">
        <f t="shared" si="238"/>
        <v>0</v>
      </c>
      <c r="EE49" s="883">
        <f t="shared" si="239"/>
        <v>96.574482294947913</v>
      </c>
      <c r="EF49" s="883">
        <f t="shared" si="240"/>
        <v>0</v>
      </c>
      <c r="EG49" s="883">
        <f t="shared" si="241"/>
        <v>0</v>
      </c>
      <c r="EH49" s="883">
        <f t="shared" si="242"/>
        <v>77.028436730353789</v>
      </c>
      <c r="EI49" s="883">
        <f t="shared" si="243"/>
        <v>12.139673682735529</v>
      </c>
      <c r="EJ49" s="883">
        <f t="shared" si="244"/>
        <v>30.897897766277449</v>
      </c>
      <c r="EK49" s="883">
        <f t="shared" si="245"/>
        <v>3.3138028492361054</v>
      </c>
      <c r="EL49" s="883">
        <f t="shared" si="246"/>
        <v>0</v>
      </c>
      <c r="EM49" s="873">
        <f t="shared" si="247"/>
        <v>18.712672390848184</v>
      </c>
      <c r="EN49" s="879">
        <f t="shared" si="259"/>
        <v>380.42549370004076</v>
      </c>
      <c r="EO49" s="883">
        <f t="shared" si="248"/>
        <v>0</v>
      </c>
      <c r="EP49" s="883">
        <f t="shared" si="249"/>
        <v>0</v>
      </c>
      <c r="EQ49" s="883">
        <f t="shared" si="250"/>
        <v>3.2001667173009718</v>
      </c>
      <c r="ER49" s="883">
        <f>ER13/$ER$38</f>
        <v>70.039462575230175</v>
      </c>
      <c r="ES49" s="883">
        <f t="shared" si="252"/>
        <v>0</v>
      </c>
      <c r="ET49" s="883">
        <f t="shared" si="253"/>
        <v>43.47908775652909</v>
      </c>
      <c r="EU49" s="883">
        <f t="shared" si="254"/>
        <v>0.52869954882704906</v>
      </c>
      <c r="EV49" s="973">
        <f t="shared" si="255"/>
        <v>0</v>
      </c>
      <c r="EW49" s="883"/>
      <c r="EX49" s="883"/>
      <c r="EY49" s="883"/>
      <c r="EZ49" s="873"/>
      <c r="FA49" s="879">
        <f t="shared" si="260"/>
        <v>117.24741659788729</v>
      </c>
      <c r="FC49" s="843">
        <f t="shared" si="256"/>
        <v>-100</v>
      </c>
      <c r="FD49" s="844">
        <f t="shared" si="224"/>
        <v>-64.199384615983618</v>
      </c>
      <c r="FE49" s="845">
        <f t="shared" si="257"/>
        <v>327.50112069367907</v>
      </c>
      <c r="FF49" s="846">
        <f t="shared" si="225"/>
        <v>117.24741659788729</v>
      </c>
      <c r="FH49">
        <f t="shared" si="258"/>
        <v>-12.139673682735529</v>
      </c>
      <c r="FI49" s="127"/>
    </row>
    <row r="50" spans="1:172" s="110" customFormat="1" ht="15" customHeight="1" x14ac:dyDescent="0.25">
      <c r="A50" s="440" t="s">
        <v>375</v>
      </c>
      <c r="B50" s="885">
        <f t="shared" si="104"/>
        <v>249.12652703684455</v>
      </c>
      <c r="C50" s="885">
        <f t="shared" si="105"/>
        <v>5523.1557349488357</v>
      </c>
      <c r="D50" s="885">
        <f t="shared" si="106"/>
        <v>20048.792625957733</v>
      </c>
      <c r="E50" s="885">
        <f t="shared" si="107"/>
        <v>3737.4766075112911</v>
      </c>
      <c r="F50" s="885">
        <f t="shared" si="108"/>
        <v>16840.91390184281</v>
      </c>
      <c r="G50" s="885">
        <f t="shared" si="109"/>
        <v>20193.605234194452</v>
      </c>
      <c r="H50" s="885">
        <f t="shared" si="110"/>
        <v>2711.0425625059729</v>
      </c>
      <c r="I50" s="885">
        <f t="shared" si="111"/>
        <v>7433.8063814639454</v>
      </c>
      <c r="J50" s="885">
        <f t="shared" si="112"/>
        <v>4519.9942314891259</v>
      </c>
      <c r="K50" s="885">
        <f t="shared" si="113"/>
        <v>9427.9407369863384</v>
      </c>
      <c r="L50" s="885">
        <f t="shared" si="114"/>
        <v>7271.8011630191968</v>
      </c>
      <c r="M50" s="877">
        <f t="shared" si="115"/>
        <v>25449.279704615281</v>
      </c>
      <c r="N50" s="878">
        <f t="shared" si="226"/>
        <v>123406.93541157182</v>
      </c>
      <c r="O50" s="885">
        <f t="shared" si="116"/>
        <v>2764.3429795245697</v>
      </c>
      <c r="P50" s="885">
        <f t="shared" si="117"/>
        <v>4256.1193309841356</v>
      </c>
      <c r="Q50" s="885">
        <f t="shared" si="118"/>
        <v>4357.4929293241757</v>
      </c>
      <c r="R50" s="885">
        <f t="shared" si="119"/>
        <v>3479.532180449979</v>
      </c>
      <c r="S50" s="885">
        <f t="shared" si="120"/>
        <v>25117.385569154427</v>
      </c>
      <c r="T50" s="885">
        <f t="shared" si="121"/>
        <v>15624.411916898023</v>
      </c>
      <c r="U50" s="885">
        <f t="shared" si="122"/>
        <v>41917.603287206039</v>
      </c>
      <c r="V50" s="885">
        <f t="shared" si="123"/>
        <v>2219.1042886116156</v>
      </c>
      <c r="W50" s="885">
        <f t="shared" si="124"/>
        <v>5711.0766992609097</v>
      </c>
      <c r="X50" s="885">
        <f t="shared" si="125"/>
        <v>13342.741070462789</v>
      </c>
      <c r="Y50" s="885">
        <f t="shared" si="126"/>
        <v>3582.2272770591539</v>
      </c>
      <c r="Z50" s="877">
        <f t="shared" si="127"/>
        <v>52915.20486906475</v>
      </c>
      <c r="AA50" s="878">
        <f t="shared" si="227"/>
        <v>175287.24239800056</v>
      </c>
      <c r="AB50" s="885">
        <f t="shared" si="128"/>
        <v>317.77916279144301</v>
      </c>
      <c r="AC50" s="885">
        <f t="shared" si="129"/>
        <v>2590.0666384804731</v>
      </c>
      <c r="AD50" s="885">
        <f t="shared" si="130"/>
        <v>16532.958260773168</v>
      </c>
      <c r="AE50" s="885">
        <f t="shared" si="131"/>
        <v>18001.97649314455</v>
      </c>
      <c r="AF50" s="885">
        <f t="shared" si="132"/>
        <v>11922.678961577096</v>
      </c>
      <c r="AG50" s="885">
        <f t="shared" si="133"/>
        <v>12767.028240263997</v>
      </c>
      <c r="AH50" s="885">
        <f t="shared" si="134"/>
        <v>8837.9491738137349</v>
      </c>
      <c r="AI50" s="885">
        <f t="shared" si="135"/>
        <v>39592.839331333111</v>
      </c>
      <c r="AJ50" s="885">
        <f t="shared" si="136"/>
        <v>13633.177670298226</v>
      </c>
      <c r="AK50" s="885">
        <f t="shared" si="137"/>
        <v>14090.973631848334</v>
      </c>
      <c r="AL50" s="885">
        <f t="shared" si="138"/>
        <v>14766.113978753281</v>
      </c>
      <c r="AM50" s="877">
        <f t="shared" si="139"/>
        <v>53147.19525492438</v>
      </c>
      <c r="AN50" s="878">
        <f t="shared" si="228"/>
        <v>206200.73679800177</v>
      </c>
      <c r="AO50" s="885">
        <f t="shared" si="140"/>
        <v>308.83690568004931</v>
      </c>
      <c r="AP50" s="885">
        <f t="shared" si="141"/>
        <v>2325.9397834032161</v>
      </c>
      <c r="AQ50" s="885">
        <f t="shared" si="142"/>
        <v>3820.2662102574795</v>
      </c>
      <c r="AR50" s="885">
        <f t="shared" si="143"/>
        <v>19440.829607028765</v>
      </c>
      <c r="AS50" s="885">
        <f t="shared" si="144"/>
        <v>16153.689454529878</v>
      </c>
      <c r="AT50" s="885">
        <f t="shared" si="145"/>
        <v>8708.4777033874361</v>
      </c>
      <c r="AU50" s="885">
        <f t="shared" si="146"/>
        <v>15047.876594420461</v>
      </c>
      <c r="AV50" s="885">
        <f t="shared" si="147"/>
        <v>20537.501219083166</v>
      </c>
      <c r="AW50" s="885">
        <f t="shared" si="148"/>
        <v>15685.320425571217</v>
      </c>
      <c r="AX50" s="885">
        <f t="shared" si="149"/>
        <v>7682.8473645847334</v>
      </c>
      <c r="AY50" s="885">
        <f t="shared" si="150"/>
        <v>39775.994665082872</v>
      </c>
      <c r="AZ50" s="877">
        <f t="shared" si="151"/>
        <v>9472.8755565722222</v>
      </c>
      <c r="BA50" s="878">
        <f t="shared" si="229"/>
        <v>158960.45548960147</v>
      </c>
      <c r="BB50" s="885">
        <f t="shared" si="152"/>
        <v>65584.864474416885</v>
      </c>
      <c r="BC50" s="885">
        <f t="shared" si="153"/>
        <v>17899.017020922045</v>
      </c>
      <c r="BD50" s="885">
        <f t="shared" si="154"/>
        <v>10670.10781337912</v>
      </c>
      <c r="BE50" s="885">
        <f t="shared" si="155"/>
        <v>1888.2699588911576</v>
      </c>
      <c r="BF50" s="885">
        <f t="shared" si="156"/>
        <v>25560.377922730866</v>
      </c>
      <c r="BG50" s="885">
        <f t="shared" si="157"/>
        <v>21429.184815759887</v>
      </c>
      <c r="BH50" s="885">
        <f t="shared" si="158"/>
        <v>23304.572565032686</v>
      </c>
      <c r="BI50" s="885">
        <f t="shared" si="159"/>
        <v>34468.639069537741</v>
      </c>
      <c r="BJ50" s="885">
        <f t="shared" si="160"/>
        <v>32022.760906831911</v>
      </c>
      <c r="BK50" s="885">
        <f t="shared" si="161"/>
        <v>43220.276786589056</v>
      </c>
      <c r="BL50" s="885">
        <f t="shared" si="162"/>
        <v>29549.352439852377</v>
      </c>
      <c r="BM50" s="877">
        <f t="shared" si="163"/>
        <v>44452.324935520148</v>
      </c>
      <c r="BN50" s="878">
        <f t="shared" si="230"/>
        <v>350049.74870946386</v>
      </c>
      <c r="BO50" s="885">
        <f t="shared" si="164"/>
        <v>18480.025146242555</v>
      </c>
      <c r="BP50" s="885">
        <f t="shared" si="165"/>
        <v>8905.7977252514538</v>
      </c>
      <c r="BQ50" s="885">
        <f t="shared" si="166"/>
        <v>3757.8947908519722</v>
      </c>
      <c r="BR50" s="885">
        <f t="shared" si="167"/>
        <v>10953.120263860519</v>
      </c>
      <c r="BS50" s="885">
        <f t="shared" si="168"/>
        <v>2323.0034937040082</v>
      </c>
      <c r="BT50" s="885">
        <f t="shared" si="169"/>
        <v>901.79447700514038</v>
      </c>
      <c r="BU50" s="885">
        <f t="shared" si="170"/>
        <v>8571.5414595020411</v>
      </c>
      <c r="BV50" s="885">
        <f t="shared" si="171"/>
        <v>19844.92805243269</v>
      </c>
      <c r="BW50" s="885">
        <f t="shared" si="172"/>
        <v>19190.918091291307</v>
      </c>
      <c r="BX50" s="885">
        <f t="shared" si="173"/>
        <v>27414.992494929666</v>
      </c>
      <c r="BY50" s="885">
        <f t="shared" si="174"/>
        <v>32672.105277243933</v>
      </c>
      <c r="BZ50" s="877">
        <f t="shared" si="175"/>
        <v>46438.989513065164</v>
      </c>
      <c r="CA50" s="878">
        <f t="shared" si="231"/>
        <v>199455.11078538047</v>
      </c>
      <c r="CB50" s="885">
        <f t="shared" si="176"/>
        <v>10261.642673235006</v>
      </c>
      <c r="CC50" s="885">
        <f t="shared" si="177"/>
        <v>12755.009738511559</v>
      </c>
      <c r="CD50" s="885">
        <f t="shared" si="178"/>
        <v>12468.742350927379</v>
      </c>
      <c r="CE50" s="885">
        <f t="shared" si="179"/>
        <v>11725.597759128432</v>
      </c>
      <c r="CF50" s="885">
        <f t="shared" si="180"/>
        <v>15062.469305755494</v>
      </c>
      <c r="CG50" s="885">
        <f t="shared" si="181"/>
        <v>13601.472923706595</v>
      </c>
      <c r="CH50" s="885">
        <f t="shared" si="182"/>
        <v>22275.765602116266</v>
      </c>
      <c r="CI50" s="885">
        <f t="shared" si="183"/>
        <v>12465.569562259325</v>
      </c>
      <c r="CJ50" s="885">
        <f t="shared" si="184"/>
        <v>16661.625276213825</v>
      </c>
      <c r="CK50" s="885">
        <f t="shared" si="185"/>
        <v>11429.342134305074</v>
      </c>
      <c r="CL50" s="885">
        <f t="shared" si="186"/>
        <v>12387.468282570699</v>
      </c>
      <c r="CM50" s="877">
        <f t="shared" si="187"/>
        <v>38426.940571610343</v>
      </c>
      <c r="CN50" s="878">
        <f t="shared" si="232"/>
        <v>189521.64618033997</v>
      </c>
      <c r="CO50" s="885">
        <f t="shared" si="188"/>
        <v>306.09882212358877</v>
      </c>
      <c r="CP50" s="885">
        <f t="shared" si="189"/>
        <v>18699.876497989277</v>
      </c>
      <c r="CQ50" s="885">
        <f t="shared" si="190"/>
        <v>22828.622850057371</v>
      </c>
      <c r="CR50" s="885">
        <f t="shared" si="191"/>
        <v>9975.1189366234485</v>
      </c>
      <c r="CS50" s="885">
        <f t="shared" si="192"/>
        <v>8529.2144570419878</v>
      </c>
      <c r="CT50" s="885">
        <f t="shared" si="193"/>
        <v>10221.229830248807</v>
      </c>
      <c r="CU50" s="885">
        <f t="shared" si="194"/>
        <v>13469.116524015482</v>
      </c>
      <c r="CV50" s="885">
        <f t="shared" si="195"/>
        <v>13232.790382020836</v>
      </c>
      <c r="CW50" s="885">
        <f t="shared" si="196"/>
        <v>21101.093098770325</v>
      </c>
      <c r="CX50" s="885">
        <f t="shared" si="197"/>
        <v>19671.076406488577</v>
      </c>
      <c r="CY50" s="885">
        <f t="shared" si="198"/>
        <v>20995.794413750529</v>
      </c>
      <c r="CZ50" s="877">
        <f t="shared" si="199"/>
        <v>27897.715686394109</v>
      </c>
      <c r="DA50" s="878">
        <f t="shared" si="233"/>
        <v>186927.74790552433</v>
      </c>
      <c r="DB50" s="885">
        <f t="shared" si="200"/>
        <v>1162.0360645541682</v>
      </c>
      <c r="DC50" s="885">
        <f t="shared" si="201"/>
        <v>9293.9852091809007</v>
      </c>
      <c r="DD50" s="885">
        <f t="shared" si="202"/>
        <v>9541.0509192428926</v>
      </c>
      <c r="DE50" s="885">
        <f t="shared" si="203"/>
        <v>10233.939795880588</v>
      </c>
      <c r="DF50" s="885">
        <f t="shared" si="204"/>
        <v>15428.557331750362</v>
      </c>
      <c r="DG50" s="885">
        <f t="shared" si="205"/>
        <v>20109.632602010577</v>
      </c>
      <c r="DH50" s="885">
        <f t="shared" si="206"/>
        <v>20471.599376299553</v>
      </c>
      <c r="DI50" s="885">
        <f t="shared" si="207"/>
        <v>20321.220974572436</v>
      </c>
      <c r="DJ50" s="885">
        <f t="shared" si="208"/>
        <v>18414.096246721376</v>
      </c>
      <c r="DK50" s="885">
        <f t="shared" si="209"/>
        <v>28063.609143716501</v>
      </c>
      <c r="DL50" s="885">
        <f t="shared" si="210"/>
        <v>29341.836939838005</v>
      </c>
      <c r="DM50" s="877">
        <f t="shared" si="211"/>
        <v>103991.81365640713</v>
      </c>
      <c r="DN50" s="878">
        <f t="shared" si="234"/>
        <v>286373.37826017448</v>
      </c>
      <c r="DO50" s="885">
        <f t="shared" si="212"/>
        <v>7060.8434485162661</v>
      </c>
      <c r="DP50" s="885">
        <f t="shared" si="213"/>
        <v>16071.850801206341</v>
      </c>
      <c r="DQ50" s="885">
        <f t="shared" si="214"/>
        <v>28681.111878070129</v>
      </c>
      <c r="DR50" s="885">
        <f t="shared" si="215"/>
        <v>21938.141700213397</v>
      </c>
      <c r="DS50" s="885">
        <f t="shared" si="216"/>
        <v>46535.258369924195</v>
      </c>
      <c r="DT50" s="885">
        <f t="shared" si="217"/>
        <v>21033.683620748758</v>
      </c>
      <c r="DU50" s="885">
        <f t="shared" si="218"/>
        <v>29889.374885610505</v>
      </c>
      <c r="DV50" s="885">
        <f t="shared" si="219"/>
        <v>43936.697640208215</v>
      </c>
      <c r="DW50" s="885">
        <f t="shared" si="220"/>
        <v>17924.22581024556</v>
      </c>
      <c r="DX50" s="885">
        <f t="shared" si="221"/>
        <v>36443.322654916134</v>
      </c>
      <c r="DY50" s="885">
        <f t="shared" si="222"/>
        <v>28863.12193493871</v>
      </c>
      <c r="DZ50" s="877">
        <f t="shared" si="223"/>
        <v>31046.500595011832</v>
      </c>
      <c r="EA50" s="878">
        <f t="shared" si="235"/>
        <v>329424.13333961001</v>
      </c>
      <c r="EB50" s="885">
        <f t="shared" si="236"/>
        <v>4671.8222325690776</v>
      </c>
      <c r="EC50" s="885">
        <f t="shared" si="237"/>
        <v>21524.413971741138</v>
      </c>
      <c r="ED50" s="885">
        <f t="shared" si="238"/>
        <v>12139.781946036923</v>
      </c>
      <c r="EE50" s="885">
        <f t="shared" si="239"/>
        <v>18632.804686894979</v>
      </c>
      <c r="EF50" s="885">
        <f t="shared" si="240"/>
        <v>22782.069187369339</v>
      </c>
      <c r="EG50" s="885">
        <f t="shared" si="241"/>
        <v>20655.807382588053</v>
      </c>
      <c r="EH50" s="885">
        <f t="shared" si="242"/>
        <v>20659.576934200388</v>
      </c>
      <c r="EI50" s="885">
        <f t="shared" si="243"/>
        <v>20449.832121917214</v>
      </c>
      <c r="EJ50" s="885">
        <f t="shared" si="244"/>
        <v>16165.66976168148</v>
      </c>
      <c r="EK50" s="885">
        <f t="shared" si="245"/>
        <v>20895.736166333136</v>
      </c>
      <c r="EL50" s="885">
        <f t="shared" si="246"/>
        <v>24771.594867903699</v>
      </c>
      <c r="EM50" s="877">
        <f t="shared" si="247"/>
        <v>46290.198140502005</v>
      </c>
      <c r="EN50" s="878">
        <f t="shared" si="259"/>
        <v>249639.30739973747</v>
      </c>
      <c r="EO50" s="885">
        <f t="shared" si="248"/>
        <v>6587.4280988056616</v>
      </c>
      <c r="EP50" s="885">
        <f t="shared" si="249"/>
        <v>39526.199441038116</v>
      </c>
      <c r="EQ50" s="885">
        <f t="shared" si="250"/>
        <v>13068.947512337618</v>
      </c>
      <c r="ER50" s="885">
        <f t="shared" si="251"/>
        <v>30668.794976123518</v>
      </c>
      <c r="ES50" s="885">
        <f t="shared" si="252"/>
        <v>43903.275569242345</v>
      </c>
      <c r="ET50" s="885">
        <f t="shared" si="253"/>
        <v>26148.959656109619</v>
      </c>
      <c r="EU50" s="885">
        <f t="shared" si="254"/>
        <v>33462.980543910417</v>
      </c>
      <c r="EV50" s="972">
        <f t="shared" si="255"/>
        <v>37409.442344155956</v>
      </c>
      <c r="EW50" s="885"/>
      <c r="EX50" s="885"/>
      <c r="EY50" s="885"/>
      <c r="EZ50" s="877"/>
      <c r="FA50" s="878">
        <f t="shared" si="260"/>
        <v>230776.02814172325</v>
      </c>
      <c r="FC50" s="851">
        <f t="shared" si="256"/>
        <v>82.932760137733325</v>
      </c>
      <c r="FD50" s="852">
        <f t="shared" si="224"/>
        <v>63.07403492623844</v>
      </c>
      <c r="FE50" s="853">
        <f t="shared" si="257"/>
        <v>141516.10846331713</v>
      </c>
      <c r="FF50" s="854">
        <f t="shared" si="225"/>
        <v>230776.02814172325</v>
      </c>
      <c r="FG50"/>
      <c r="FH50" s="110">
        <f t="shared" si="258"/>
        <v>16959.610222238742</v>
      </c>
      <c r="FI50" s="236"/>
      <c r="FJ50"/>
      <c r="FK50"/>
      <c r="FL50"/>
      <c r="FM50"/>
      <c r="FN50"/>
      <c r="FO50"/>
      <c r="FP50"/>
    </row>
    <row r="51" spans="1:172" ht="15" customHeight="1" x14ac:dyDescent="0.25">
      <c r="A51" s="403" t="s">
        <v>378</v>
      </c>
      <c r="B51" s="883">
        <f t="shared" si="104"/>
        <v>249.12652703684455</v>
      </c>
      <c r="C51" s="883">
        <f t="shared" si="105"/>
        <v>5523.1557349488357</v>
      </c>
      <c r="D51" s="883">
        <f t="shared" si="106"/>
        <v>20048.792625957733</v>
      </c>
      <c r="E51" s="883">
        <f t="shared" si="107"/>
        <v>3737.4766075112911</v>
      </c>
      <c r="F51" s="883">
        <f t="shared" si="108"/>
        <v>15300.328080881111</v>
      </c>
      <c r="G51" s="883">
        <f t="shared" si="109"/>
        <v>19015.862460669465</v>
      </c>
      <c r="H51" s="883">
        <f t="shared" si="110"/>
        <v>2711.0425625059729</v>
      </c>
      <c r="I51" s="883">
        <f t="shared" si="111"/>
        <v>7167.3071257523425</v>
      </c>
      <c r="J51" s="883">
        <f t="shared" si="112"/>
        <v>4519.9942314891259</v>
      </c>
      <c r="K51" s="883">
        <f t="shared" si="113"/>
        <v>9427.9407369863384</v>
      </c>
      <c r="L51" s="883">
        <f t="shared" si="114"/>
        <v>7271.8011630191968</v>
      </c>
      <c r="M51" s="873">
        <f t="shared" si="115"/>
        <v>25449.279704615281</v>
      </c>
      <c r="N51" s="879">
        <f t="shared" si="226"/>
        <v>120422.10756137353</v>
      </c>
      <c r="O51" s="883">
        <f t="shared" si="116"/>
        <v>2764.3429795245697</v>
      </c>
      <c r="P51" s="883">
        <f t="shared" si="117"/>
        <v>4256.1193309841356</v>
      </c>
      <c r="Q51" s="883">
        <f t="shared" si="118"/>
        <v>4357.4929293241757</v>
      </c>
      <c r="R51" s="883">
        <f t="shared" si="119"/>
        <v>3479.532180449979</v>
      </c>
      <c r="S51" s="883">
        <f t="shared" si="120"/>
        <v>25117.385569154427</v>
      </c>
      <c r="T51" s="883">
        <f t="shared" si="121"/>
        <v>15624.411916898023</v>
      </c>
      <c r="U51" s="883">
        <f t="shared" si="122"/>
        <v>41917.603287206039</v>
      </c>
      <c r="V51" s="883">
        <f t="shared" si="123"/>
        <v>2219.1042886116156</v>
      </c>
      <c r="W51" s="883">
        <f t="shared" si="124"/>
        <v>5711.0766992609097</v>
      </c>
      <c r="X51" s="883">
        <f t="shared" si="125"/>
        <v>13342.741070462789</v>
      </c>
      <c r="Y51" s="883">
        <f t="shared" si="126"/>
        <v>3582.2272770591539</v>
      </c>
      <c r="Z51" s="873">
        <f t="shared" si="127"/>
        <v>52915.20486906475</v>
      </c>
      <c r="AA51" s="879">
        <f t="shared" si="227"/>
        <v>175287.24239800056</v>
      </c>
      <c r="AB51" s="883">
        <f t="shared" si="128"/>
        <v>317.77916279144301</v>
      </c>
      <c r="AC51" s="883">
        <f t="shared" si="129"/>
        <v>2539.2097900390613</v>
      </c>
      <c r="AD51" s="883">
        <f t="shared" si="130"/>
        <v>16532.958260773168</v>
      </c>
      <c r="AE51" s="883">
        <f t="shared" si="131"/>
        <v>18001.97649314455</v>
      </c>
      <c r="AF51" s="883">
        <f t="shared" si="132"/>
        <v>11612.173725463103</v>
      </c>
      <c r="AG51" s="883">
        <f t="shared" si="133"/>
        <v>12767.028240263997</v>
      </c>
      <c r="AH51" s="883">
        <f t="shared" si="134"/>
        <v>8477.0397825276468</v>
      </c>
      <c r="AI51" s="883">
        <f t="shared" si="135"/>
        <v>39592.839331333111</v>
      </c>
      <c r="AJ51" s="883">
        <f t="shared" si="136"/>
        <v>13633.177670298226</v>
      </c>
      <c r="AK51" s="883">
        <f t="shared" si="137"/>
        <v>14090.973631848334</v>
      </c>
      <c r="AL51" s="883">
        <f t="shared" si="138"/>
        <v>14766.113978753281</v>
      </c>
      <c r="AM51" s="873">
        <f t="shared" si="139"/>
        <v>51705.524422022594</v>
      </c>
      <c r="AN51" s="879">
        <f t="shared" si="228"/>
        <v>204036.79448925852</v>
      </c>
      <c r="AO51" s="883">
        <f t="shared" si="140"/>
        <v>308.83690568004931</v>
      </c>
      <c r="AP51" s="883">
        <f t="shared" si="141"/>
        <v>2325.9397834032161</v>
      </c>
      <c r="AQ51" s="883">
        <f t="shared" si="142"/>
        <v>3820.2662102574795</v>
      </c>
      <c r="AR51" s="883">
        <f t="shared" si="143"/>
        <v>19083.027317356944</v>
      </c>
      <c r="AS51" s="883">
        <f t="shared" si="144"/>
        <v>15724.412562302139</v>
      </c>
      <c r="AT51" s="883">
        <f t="shared" si="145"/>
        <v>8708.4777033874361</v>
      </c>
      <c r="AU51" s="883">
        <f t="shared" si="146"/>
        <v>15047.876594420461</v>
      </c>
      <c r="AV51" s="883">
        <f t="shared" si="147"/>
        <v>20537.501219083166</v>
      </c>
      <c r="AW51" s="883">
        <f t="shared" si="148"/>
        <v>15685.320425571217</v>
      </c>
      <c r="AX51" s="883">
        <f t="shared" si="149"/>
        <v>7682.8473645847334</v>
      </c>
      <c r="AY51" s="883">
        <f t="shared" si="150"/>
        <v>39775.994665082872</v>
      </c>
      <c r="AZ51" s="873">
        <f t="shared" si="151"/>
        <v>9472.8755565722222</v>
      </c>
      <c r="BA51" s="879">
        <f t="shared" si="229"/>
        <v>158173.37630770192</v>
      </c>
      <c r="BB51" s="883">
        <f t="shared" si="152"/>
        <v>65584.864474416885</v>
      </c>
      <c r="BC51" s="883">
        <f t="shared" si="153"/>
        <v>17899.017020922045</v>
      </c>
      <c r="BD51" s="883">
        <f t="shared" si="154"/>
        <v>10670.10781337912</v>
      </c>
      <c r="BE51" s="883">
        <f t="shared" si="155"/>
        <v>1888.2699588911576</v>
      </c>
      <c r="BF51" s="883">
        <f t="shared" si="156"/>
        <v>25560.377922730866</v>
      </c>
      <c r="BG51" s="883">
        <f t="shared" si="157"/>
        <v>21429.184815759887</v>
      </c>
      <c r="BH51" s="883">
        <f t="shared" si="158"/>
        <v>23304.572565032686</v>
      </c>
      <c r="BI51" s="883">
        <f t="shared" si="159"/>
        <v>34468.639069537741</v>
      </c>
      <c r="BJ51" s="883">
        <f t="shared" si="160"/>
        <v>32022.760906831911</v>
      </c>
      <c r="BK51" s="883">
        <f t="shared" si="161"/>
        <v>43220.276786589056</v>
      </c>
      <c r="BL51" s="883">
        <f t="shared" si="162"/>
        <v>29549.352439852377</v>
      </c>
      <c r="BM51" s="873">
        <f t="shared" si="163"/>
        <v>44452.324935520148</v>
      </c>
      <c r="BN51" s="879">
        <f t="shared" si="230"/>
        <v>350049.74870946386</v>
      </c>
      <c r="BO51" s="883">
        <f t="shared" si="164"/>
        <v>18480.025146242555</v>
      </c>
      <c r="BP51" s="883">
        <f t="shared" si="165"/>
        <v>8905.7977252514538</v>
      </c>
      <c r="BQ51" s="883">
        <f t="shared" si="166"/>
        <v>3757.8947908519722</v>
      </c>
      <c r="BR51" s="883">
        <f t="shared" si="167"/>
        <v>10953.120263860519</v>
      </c>
      <c r="BS51" s="883">
        <f t="shared" si="168"/>
        <v>2323.0034937040082</v>
      </c>
      <c r="BT51" s="883">
        <f t="shared" si="169"/>
        <v>901.79447700514038</v>
      </c>
      <c r="BU51" s="883">
        <f t="shared" si="170"/>
        <v>8571.5414595020411</v>
      </c>
      <c r="BV51" s="883">
        <f t="shared" si="171"/>
        <v>19844.92805243269</v>
      </c>
      <c r="BW51" s="883">
        <f t="shared" si="172"/>
        <v>19190.918091291307</v>
      </c>
      <c r="BX51" s="883">
        <f t="shared" si="173"/>
        <v>27414.992494929666</v>
      </c>
      <c r="BY51" s="883">
        <f t="shared" si="174"/>
        <v>32672.105277243933</v>
      </c>
      <c r="BZ51" s="873">
        <f t="shared" si="175"/>
        <v>46438.989513065164</v>
      </c>
      <c r="CA51" s="879">
        <f t="shared" si="231"/>
        <v>199455.11078538047</v>
      </c>
      <c r="CB51" s="883">
        <f t="shared" si="176"/>
        <v>10261.642673235006</v>
      </c>
      <c r="CC51" s="883">
        <f t="shared" si="177"/>
        <v>12755.009738511559</v>
      </c>
      <c r="CD51" s="883">
        <f t="shared" si="178"/>
        <v>12468.742350927379</v>
      </c>
      <c r="CE51" s="883">
        <f t="shared" si="179"/>
        <v>11725.597759128432</v>
      </c>
      <c r="CF51" s="883">
        <f t="shared" si="180"/>
        <v>15062.469305755494</v>
      </c>
      <c r="CG51" s="883">
        <f t="shared" si="181"/>
        <v>13601.472923706595</v>
      </c>
      <c r="CH51" s="883">
        <f t="shared" si="182"/>
        <v>22275.765602116266</v>
      </c>
      <c r="CI51" s="883">
        <f t="shared" si="183"/>
        <v>12465.569562259325</v>
      </c>
      <c r="CJ51" s="883">
        <f t="shared" si="184"/>
        <v>16661.625276213825</v>
      </c>
      <c r="CK51" s="883">
        <f t="shared" si="185"/>
        <v>11429.342134305074</v>
      </c>
      <c r="CL51" s="883">
        <f t="shared" si="186"/>
        <v>12387.468282570699</v>
      </c>
      <c r="CM51" s="873">
        <f t="shared" si="187"/>
        <v>38426.940571610343</v>
      </c>
      <c r="CN51" s="879">
        <f t="shared" si="232"/>
        <v>189521.64618033997</v>
      </c>
      <c r="CO51" s="883">
        <f t="shared" si="188"/>
        <v>306.09882212358877</v>
      </c>
      <c r="CP51" s="883">
        <f t="shared" si="189"/>
        <v>18699.876497989277</v>
      </c>
      <c r="CQ51" s="883">
        <f t="shared" si="190"/>
        <v>22828.622850057371</v>
      </c>
      <c r="CR51" s="883">
        <f t="shared" si="191"/>
        <v>9975.1189366234485</v>
      </c>
      <c r="CS51" s="883">
        <f t="shared" si="192"/>
        <v>8529.2144570419878</v>
      </c>
      <c r="CT51" s="883">
        <f t="shared" si="193"/>
        <v>10221.229830248807</v>
      </c>
      <c r="CU51" s="883">
        <f t="shared" si="194"/>
        <v>13469.116524015482</v>
      </c>
      <c r="CV51" s="883">
        <f t="shared" si="195"/>
        <v>13232.790382020836</v>
      </c>
      <c r="CW51" s="883">
        <f t="shared" si="196"/>
        <v>18565.947741354928</v>
      </c>
      <c r="CX51" s="883">
        <f t="shared" si="197"/>
        <v>19671.076406488577</v>
      </c>
      <c r="CY51" s="883">
        <f t="shared" si="198"/>
        <v>20995.794413750529</v>
      </c>
      <c r="CZ51" s="873">
        <f t="shared" si="199"/>
        <v>27679.479855422655</v>
      </c>
      <c r="DA51" s="879">
        <f t="shared" si="233"/>
        <v>184174.36671713748</v>
      </c>
      <c r="DB51" s="883">
        <f t="shared" si="200"/>
        <v>1162.0360645541682</v>
      </c>
      <c r="DC51" s="883">
        <f t="shared" si="201"/>
        <v>9293.9852091809007</v>
      </c>
      <c r="DD51" s="883">
        <f t="shared" si="202"/>
        <v>9541.0509192428926</v>
      </c>
      <c r="DE51" s="883">
        <f t="shared" si="203"/>
        <v>10233.939795880588</v>
      </c>
      <c r="DF51" s="883">
        <f t="shared" si="204"/>
        <v>15428.557331750362</v>
      </c>
      <c r="DG51" s="883">
        <f t="shared" si="205"/>
        <v>20109.632602010577</v>
      </c>
      <c r="DH51" s="883">
        <f t="shared" si="206"/>
        <v>20471.599376299553</v>
      </c>
      <c r="DI51" s="883">
        <f t="shared" si="207"/>
        <v>20321.220974572436</v>
      </c>
      <c r="DJ51" s="883">
        <f t="shared" si="208"/>
        <v>18414.096246721376</v>
      </c>
      <c r="DK51" s="883">
        <f t="shared" si="209"/>
        <v>28063.609143716501</v>
      </c>
      <c r="DL51" s="883">
        <f t="shared" si="210"/>
        <v>29341.836939838005</v>
      </c>
      <c r="DM51" s="873">
        <f t="shared" si="211"/>
        <v>103991.81365640713</v>
      </c>
      <c r="DN51" s="879">
        <f t="shared" si="234"/>
        <v>286373.37826017448</v>
      </c>
      <c r="DO51" s="883">
        <f t="shared" si="212"/>
        <v>7060.8434485162661</v>
      </c>
      <c r="DP51" s="883">
        <f t="shared" si="213"/>
        <v>16071.850801206341</v>
      </c>
      <c r="DQ51" s="883">
        <f t="shared" si="214"/>
        <v>28681.111878070129</v>
      </c>
      <c r="DR51" s="883">
        <f t="shared" si="215"/>
        <v>21938.141700213397</v>
      </c>
      <c r="DS51" s="883">
        <f t="shared" si="216"/>
        <v>46434.74782695929</v>
      </c>
      <c r="DT51" s="883">
        <f t="shared" si="217"/>
        <v>21033.683620748758</v>
      </c>
      <c r="DU51" s="883">
        <f t="shared" si="218"/>
        <v>29889.374885610505</v>
      </c>
      <c r="DV51" s="883">
        <f t="shared" si="219"/>
        <v>43936.697640208215</v>
      </c>
      <c r="DW51" s="883">
        <f t="shared" si="220"/>
        <v>17924.22581024556</v>
      </c>
      <c r="DX51" s="883">
        <f t="shared" si="221"/>
        <v>36443.322654916134</v>
      </c>
      <c r="DY51" s="883">
        <f t="shared" si="222"/>
        <v>28863.12193493871</v>
      </c>
      <c r="DZ51" s="873">
        <f t="shared" si="223"/>
        <v>31046.500595011832</v>
      </c>
      <c r="EA51" s="879">
        <f t="shared" si="235"/>
        <v>329323.6227966451</v>
      </c>
      <c r="EB51" s="883">
        <f t="shared" si="236"/>
        <v>4671.8222325690776</v>
      </c>
      <c r="EC51" s="883">
        <f t="shared" si="237"/>
        <v>21524.413971741138</v>
      </c>
      <c r="ED51" s="883">
        <f t="shared" si="238"/>
        <v>12139.781946036923</v>
      </c>
      <c r="EE51" s="883">
        <f t="shared" si="239"/>
        <v>18632.804686894979</v>
      </c>
      <c r="EF51" s="883">
        <f t="shared" si="240"/>
        <v>22782.069187369339</v>
      </c>
      <c r="EG51" s="883">
        <f t="shared" si="241"/>
        <v>20655.807382588053</v>
      </c>
      <c r="EH51" s="883">
        <f t="shared" si="242"/>
        <v>20659.576934200388</v>
      </c>
      <c r="EI51" s="883">
        <f t="shared" si="243"/>
        <v>20449.832121917214</v>
      </c>
      <c r="EJ51" s="883">
        <f t="shared" si="244"/>
        <v>16165.66976168148</v>
      </c>
      <c r="EK51" s="883">
        <f t="shared" si="245"/>
        <v>20895.736166333136</v>
      </c>
      <c r="EL51" s="883">
        <f t="shared" si="246"/>
        <v>24771.594867903699</v>
      </c>
      <c r="EM51" s="873">
        <f t="shared" si="247"/>
        <v>46290.198140502005</v>
      </c>
      <c r="EN51" s="879">
        <f t="shared" si="259"/>
        <v>249639.30739973747</v>
      </c>
      <c r="EO51" s="883">
        <f t="shared" si="248"/>
        <v>6587.4280988056616</v>
      </c>
      <c r="EP51" s="883">
        <f t="shared" si="249"/>
        <v>39437.192457424258</v>
      </c>
      <c r="EQ51" s="883">
        <f t="shared" si="250"/>
        <v>13068.947512337618</v>
      </c>
      <c r="ER51" s="883">
        <f t="shared" si="251"/>
        <v>30668.794976123518</v>
      </c>
      <c r="ES51" s="883">
        <f t="shared" si="252"/>
        <v>43903.275569242345</v>
      </c>
      <c r="ET51" s="883">
        <f t="shared" si="253"/>
        <v>26148.959656109619</v>
      </c>
      <c r="EU51" s="883">
        <f t="shared" si="254"/>
        <v>31990.552300427084</v>
      </c>
      <c r="EV51" s="973">
        <f t="shared" si="255"/>
        <v>37409.442344155956</v>
      </c>
      <c r="EW51" s="883"/>
      <c r="EX51" s="883"/>
      <c r="EY51" s="883"/>
      <c r="EZ51" s="873"/>
      <c r="FA51" s="879">
        <f t="shared" si="260"/>
        <v>229214.59291462606</v>
      </c>
      <c r="FC51" s="843">
        <f t="shared" si="256"/>
        <v>82.932760137733325</v>
      </c>
      <c r="FD51" s="844">
        <f t="shared" si="224"/>
        <v>61.970672740793709</v>
      </c>
      <c r="FE51" s="845">
        <f t="shared" si="257"/>
        <v>141516.10846331713</v>
      </c>
      <c r="FF51" s="846">
        <f t="shared" si="225"/>
        <v>229214.59291462606</v>
      </c>
      <c r="FH51">
        <f t="shared" si="258"/>
        <v>16959.610222238742</v>
      </c>
      <c r="FI51" s="127"/>
    </row>
    <row r="52" spans="1:172" ht="15" customHeight="1" x14ac:dyDescent="0.25">
      <c r="A52" s="403" t="s">
        <v>379</v>
      </c>
      <c r="B52" s="883">
        <f t="shared" si="104"/>
        <v>0</v>
      </c>
      <c r="C52" s="883">
        <f t="shared" si="105"/>
        <v>0</v>
      </c>
      <c r="D52" s="883">
        <f t="shared" si="106"/>
        <v>0</v>
      </c>
      <c r="E52" s="883">
        <f t="shared" si="107"/>
        <v>0</v>
      </c>
      <c r="F52" s="883">
        <f t="shared" si="108"/>
        <v>0</v>
      </c>
      <c r="G52" s="883">
        <f t="shared" si="109"/>
        <v>0</v>
      </c>
      <c r="H52" s="883">
        <f t="shared" si="110"/>
        <v>0</v>
      </c>
      <c r="I52" s="883">
        <f t="shared" si="111"/>
        <v>0</v>
      </c>
      <c r="J52" s="883">
        <f t="shared" si="112"/>
        <v>0</v>
      </c>
      <c r="K52" s="883">
        <f t="shared" si="113"/>
        <v>0</v>
      </c>
      <c r="L52" s="883">
        <f t="shared" si="114"/>
        <v>0</v>
      </c>
      <c r="M52" s="873">
        <f t="shared" si="115"/>
        <v>0</v>
      </c>
      <c r="N52" s="879">
        <f t="shared" si="226"/>
        <v>0</v>
      </c>
      <c r="O52" s="883">
        <f t="shared" si="116"/>
        <v>0</v>
      </c>
      <c r="P52" s="883">
        <f t="shared" si="117"/>
        <v>0</v>
      </c>
      <c r="Q52" s="883">
        <f t="shared" si="118"/>
        <v>0</v>
      </c>
      <c r="R52" s="883">
        <f t="shared" si="119"/>
        <v>0</v>
      </c>
      <c r="S52" s="883">
        <f t="shared" si="120"/>
        <v>0</v>
      </c>
      <c r="T52" s="883">
        <f t="shared" si="121"/>
        <v>0</v>
      </c>
      <c r="U52" s="883">
        <f t="shared" si="122"/>
        <v>0</v>
      </c>
      <c r="V52" s="883">
        <f t="shared" si="123"/>
        <v>0</v>
      </c>
      <c r="W52" s="883">
        <f t="shared" si="124"/>
        <v>0</v>
      </c>
      <c r="X52" s="883">
        <f t="shared" si="125"/>
        <v>0</v>
      </c>
      <c r="Y52" s="883">
        <f t="shared" si="126"/>
        <v>0</v>
      </c>
      <c r="Z52" s="873">
        <f t="shared" si="127"/>
        <v>0</v>
      </c>
      <c r="AA52" s="879">
        <f t="shared" si="227"/>
        <v>0</v>
      </c>
      <c r="AB52" s="883">
        <f t="shared" si="128"/>
        <v>0</v>
      </c>
      <c r="AC52" s="883">
        <f t="shared" si="129"/>
        <v>0</v>
      </c>
      <c r="AD52" s="883">
        <f t="shared" si="130"/>
        <v>0</v>
      </c>
      <c r="AE52" s="883">
        <f t="shared" si="131"/>
        <v>0</v>
      </c>
      <c r="AF52" s="883">
        <f t="shared" si="132"/>
        <v>0</v>
      </c>
      <c r="AG52" s="883">
        <f t="shared" si="133"/>
        <v>0</v>
      </c>
      <c r="AH52" s="883">
        <f t="shared" si="134"/>
        <v>0</v>
      </c>
      <c r="AI52" s="883">
        <f t="shared" si="135"/>
        <v>0</v>
      </c>
      <c r="AJ52" s="883">
        <f t="shared" si="136"/>
        <v>0</v>
      </c>
      <c r="AK52" s="883">
        <f t="shared" si="137"/>
        <v>0</v>
      </c>
      <c r="AL52" s="883">
        <f t="shared" si="138"/>
        <v>0</v>
      </c>
      <c r="AM52" s="873">
        <f t="shared" si="139"/>
        <v>0</v>
      </c>
      <c r="AN52" s="879">
        <f t="shared" si="228"/>
        <v>0</v>
      </c>
      <c r="AO52" s="883">
        <f t="shared" si="140"/>
        <v>0</v>
      </c>
      <c r="AP52" s="883">
        <f t="shared" si="141"/>
        <v>0</v>
      </c>
      <c r="AQ52" s="883">
        <f t="shared" si="142"/>
        <v>0</v>
      </c>
      <c r="AR52" s="883">
        <f t="shared" si="143"/>
        <v>0</v>
      </c>
      <c r="AS52" s="883">
        <f t="shared" si="144"/>
        <v>0</v>
      </c>
      <c r="AT52" s="883">
        <f t="shared" si="145"/>
        <v>0</v>
      </c>
      <c r="AU52" s="883">
        <f t="shared" si="146"/>
        <v>0</v>
      </c>
      <c r="AV52" s="883">
        <f t="shared" si="147"/>
        <v>0</v>
      </c>
      <c r="AW52" s="883">
        <f t="shared" si="148"/>
        <v>0</v>
      </c>
      <c r="AX52" s="883">
        <f t="shared" si="149"/>
        <v>0</v>
      </c>
      <c r="AY52" s="883">
        <f t="shared" si="150"/>
        <v>0</v>
      </c>
      <c r="AZ52" s="873">
        <f t="shared" si="151"/>
        <v>0</v>
      </c>
      <c r="BA52" s="879">
        <f t="shared" si="229"/>
        <v>0</v>
      </c>
      <c r="BB52" s="883">
        <f t="shared" si="152"/>
        <v>0</v>
      </c>
      <c r="BC52" s="883">
        <f t="shared" si="153"/>
        <v>0</v>
      </c>
      <c r="BD52" s="883">
        <f t="shared" si="154"/>
        <v>0</v>
      </c>
      <c r="BE52" s="883">
        <f t="shared" si="155"/>
        <v>0</v>
      </c>
      <c r="BF52" s="883">
        <f t="shared" si="156"/>
        <v>0</v>
      </c>
      <c r="BG52" s="883">
        <f t="shared" si="157"/>
        <v>0</v>
      </c>
      <c r="BH52" s="883">
        <f t="shared" si="158"/>
        <v>0</v>
      </c>
      <c r="BI52" s="883">
        <f t="shared" si="159"/>
        <v>0</v>
      </c>
      <c r="BJ52" s="883">
        <f t="shared" si="160"/>
        <v>0</v>
      </c>
      <c r="BK52" s="883">
        <f t="shared" si="161"/>
        <v>0</v>
      </c>
      <c r="BL52" s="883">
        <f t="shared" si="162"/>
        <v>0</v>
      </c>
      <c r="BM52" s="873">
        <f t="shared" si="163"/>
        <v>0</v>
      </c>
      <c r="BN52" s="879">
        <f t="shared" si="230"/>
        <v>0</v>
      </c>
      <c r="BO52" s="883">
        <f t="shared" si="164"/>
        <v>0</v>
      </c>
      <c r="BP52" s="883">
        <f t="shared" si="165"/>
        <v>0</v>
      </c>
      <c r="BQ52" s="883">
        <f t="shared" si="166"/>
        <v>0</v>
      </c>
      <c r="BR52" s="883">
        <f t="shared" si="167"/>
        <v>0</v>
      </c>
      <c r="BS52" s="883">
        <f t="shared" si="168"/>
        <v>0</v>
      </c>
      <c r="BT52" s="883">
        <f t="shared" si="169"/>
        <v>0</v>
      </c>
      <c r="BU52" s="883">
        <f t="shared" si="170"/>
        <v>0</v>
      </c>
      <c r="BV52" s="883">
        <f t="shared" si="171"/>
        <v>0</v>
      </c>
      <c r="BW52" s="883">
        <f t="shared" si="172"/>
        <v>0</v>
      </c>
      <c r="BX52" s="883">
        <f t="shared" si="173"/>
        <v>0</v>
      </c>
      <c r="BY52" s="883">
        <f t="shared" si="174"/>
        <v>0</v>
      </c>
      <c r="BZ52" s="873">
        <f t="shared" si="175"/>
        <v>0</v>
      </c>
      <c r="CA52" s="879">
        <f t="shared" si="231"/>
        <v>0</v>
      </c>
      <c r="CB52" s="883">
        <f t="shared" si="176"/>
        <v>0</v>
      </c>
      <c r="CC52" s="883">
        <f t="shared" si="177"/>
        <v>0</v>
      </c>
      <c r="CD52" s="883">
        <f t="shared" si="178"/>
        <v>0</v>
      </c>
      <c r="CE52" s="883">
        <f t="shared" si="179"/>
        <v>0</v>
      </c>
      <c r="CF52" s="883">
        <f t="shared" si="180"/>
        <v>0</v>
      </c>
      <c r="CG52" s="883">
        <f t="shared" si="181"/>
        <v>0</v>
      </c>
      <c r="CH52" s="883">
        <f t="shared" si="182"/>
        <v>0</v>
      </c>
      <c r="CI52" s="883">
        <f t="shared" si="183"/>
        <v>0</v>
      </c>
      <c r="CJ52" s="883">
        <f t="shared" si="184"/>
        <v>0</v>
      </c>
      <c r="CK52" s="883">
        <f t="shared" si="185"/>
        <v>0</v>
      </c>
      <c r="CL52" s="883">
        <f t="shared" si="186"/>
        <v>0</v>
      </c>
      <c r="CM52" s="873">
        <f t="shared" si="187"/>
        <v>0</v>
      </c>
      <c r="CN52" s="879">
        <f t="shared" si="232"/>
        <v>0</v>
      </c>
      <c r="CO52" s="883">
        <f t="shared" si="188"/>
        <v>0</v>
      </c>
      <c r="CP52" s="883">
        <f t="shared" si="189"/>
        <v>0</v>
      </c>
      <c r="CQ52" s="883">
        <f t="shared" si="190"/>
        <v>0</v>
      </c>
      <c r="CR52" s="883">
        <f t="shared" si="191"/>
        <v>0</v>
      </c>
      <c r="CS52" s="883">
        <f t="shared" si="192"/>
        <v>0</v>
      </c>
      <c r="CT52" s="883">
        <f t="shared" si="193"/>
        <v>0</v>
      </c>
      <c r="CU52" s="883">
        <f t="shared" si="194"/>
        <v>0</v>
      </c>
      <c r="CV52" s="883">
        <f t="shared" si="195"/>
        <v>0</v>
      </c>
      <c r="CW52" s="883">
        <f t="shared" si="196"/>
        <v>0</v>
      </c>
      <c r="CX52" s="883">
        <f t="shared" si="197"/>
        <v>0</v>
      </c>
      <c r="CY52" s="883">
        <f t="shared" si="198"/>
        <v>0</v>
      </c>
      <c r="CZ52" s="873">
        <f t="shared" si="199"/>
        <v>0</v>
      </c>
      <c r="DA52" s="879">
        <f t="shared" si="233"/>
        <v>0</v>
      </c>
      <c r="DB52" s="883">
        <f t="shared" si="200"/>
        <v>0</v>
      </c>
      <c r="DC52" s="883">
        <f t="shared" si="201"/>
        <v>0</v>
      </c>
      <c r="DD52" s="883">
        <f t="shared" si="202"/>
        <v>0</v>
      </c>
      <c r="DE52" s="883">
        <f t="shared" si="203"/>
        <v>0</v>
      </c>
      <c r="DF52" s="883">
        <f t="shared" si="204"/>
        <v>0</v>
      </c>
      <c r="DG52" s="883">
        <f t="shared" si="205"/>
        <v>0</v>
      </c>
      <c r="DH52" s="883">
        <f t="shared" si="206"/>
        <v>0</v>
      </c>
      <c r="DI52" s="883">
        <f t="shared" si="207"/>
        <v>0</v>
      </c>
      <c r="DJ52" s="883">
        <f t="shared" si="208"/>
        <v>0</v>
      </c>
      <c r="DK52" s="883">
        <f t="shared" si="209"/>
        <v>0</v>
      </c>
      <c r="DL52" s="883">
        <f t="shared" si="210"/>
        <v>0</v>
      </c>
      <c r="DM52" s="873">
        <f t="shared" si="211"/>
        <v>0</v>
      </c>
      <c r="DN52" s="879">
        <f t="shared" si="234"/>
        <v>0</v>
      </c>
      <c r="DO52" s="883">
        <f t="shared" si="212"/>
        <v>0</v>
      </c>
      <c r="DP52" s="883">
        <f t="shared" si="213"/>
        <v>0</v>
      </c>
      <c r="DQ52" s="883">
        <f t="shared" si="214"/>
        <v>0</v>
      </c>
      <c r="DR52" s="883">
        <f t="shared" si="215"/>
        <v>0</v>
      </c>
      <c r="DS52" s="883">
        <f t="shared" si="216"/>
        <v>0</v>
      </c>
      <c r="DT52" s="883">
        <f t="shared" si="217"/>
        <v>0</v>
      </c>
      <c r="DU52" s="883">
        <f t="shared" si="218"/>
        <v>0</v>
      </c>
      <c r="DV52" s="883">
        <f t="shared" si="219"/>
        <v>0</v>
      </c>
      <c r="DW52" s="883">
        <f t="shared" si="220"/>
        <v>0</v>
      </c>
      <c r="DX52" s="883">
        <f t="shared" si="221"/>
        <v>0</v>
      </c>
      <c r="DY52" s="883">
        <f t="shared" si="222"/>
        <v>0</v>
      </c>
      <c r="DZ52" s="873">
        <f t="shared" si="223"/>
        <v>0</v>
      </c>
      <c r="EA52" s="879">
        <f t="shared" si="235"/>
        <v>0</v>
      </c>
      <c r="EB52" s="883">
        <f t="shared" si="236"/>
        <v>0</v>
      </c>
      <c r="EC52" s="883">
        <f t="shared" si="237"/>
        <v>0</v>
      </c>
      <c r="ED52" s="883">
        <f t="shared" si="238"/>
        <v>0</v>
      </c>
      <c r="EE52" s="883">
        <f t="shared" si="239"/>
        <v>0</v>
      </c>
      <c r="EF52" s="883">
        <f t="shared" si="240"/>
        <v>0</v>
      </c>
      <c r="EG52" s="883">
        <f t="shared" si="241"/>
        <v>0</v>
      </c>
      <c r="EH52" s="883">
        <f t="shared" si="242"/>
        <v>0</v>
      </c>
      <c r="EI52" s="883">
        <f t="shared" si="243"/>
        <v>0</v>
      </c>
      <c r="EJ52" s="883">
        <f t="shared" si="244"/>
        <v>0</v>
      </c>
      <c r="EK52" s="883">
        <f t="shared" si="245"/>
        <v>0</v>
      </c>
      <c r="EL52" s="883">
        <f t="shared" si="246"/>
        <v>0</v>
      </c>
      <c r="EM52" s="873">
        <f t="shared" si="247"/>
        <v>0</v>
      </c>
      <c r="EN52" s="879">
        <f>SUM(EB52:EM52)</f>
        <v>0</v>
      </c>
      <c r="EO52" s="883">
        <f t="shared" si="248"/>
        <v>0</v>
      </c>
      <c r="EP52" s="883">
        <f t="shared" si="249"/>
        <v>0</v>
      </c>
      <c r="EQ52" s="883">
        <f t="shared" si="250"/>
        <v>0</v>
      </c>
      <c r="ER52" s="883">
        <f t="shared" si="251"/>
        <v>0</v>
      </c>
      <c r="ES52" s="883">
        <f t="shared" si="252"/>
        <v>0</v>
      </c>
      <c r="ET52" s="883">
        <f t="shared" si="253"/>
        <v>0</v>
      </c>
      <c r="EU52" s="883">
        <f t="shared" si="254"/>
        <v>0</v>
      </c>
      <c r="EV52" s="973">
        <f t="shared" si="255"/>
        <v>0</v>
      </c>
      <c r="EW52" s="883"/>
      <c r="EX52" s="883"/>
      <c r="EY52" s="883"/>
      <c r="EZ52" s="873"/>
      <c r="FA52" s="879">
        <f>SUM(EO52:EZ52)</f>
        <v>0</v>
      </c>
      <c r="FC52" s="843" t="str">
        <f t="shared" si="256"/>
        <v/>
      </c>
      <c r="FD52" s="844" t="str">
        <f t="shared" si="224"/>
        <v/>
      </c>
      <c r="FE52" s="845">
        <f t="shared" si="257"/>
        <v>0</v>
      </c>
      <c r="FF52" s="846">
        <f t="shared" si="225"/>
        <v>0</v>
      </c>
      <c r="FH52">
        <f t="shared" si="258"/>
        <v>0</v>
      </c>
      <c r="FI52" s="127"/>
    </row>
    <row r="53" spans="1:172" ht="15" customHeight="1" x14ac:dyDescent="0.25">
      <c r="A53" s="403" t="s">
        <v>466</v>
      </c>
      <c r="B53" s="883">
        <f t="shared" si="104"/>
        <v>0</v>
      </c>
      <c r="C53" s="883">
        <f t="shared" si="105"/>
        <v>0</v>
      </c>
      <c r="D53" s="883">
        <f t="shared" si="106"/>
        <v>0</v>
      </c>
      <c r="E53" s="883">
        <f t="shared" si="107"/>
        <v>0</v>
      </c>
      <c r="F53" s="883">
        <f t="shared" si="108"/>
        <v>1540.5858209616988</v>
      </c>
      <c r="G53" s="883">
        <f t="shared" si="109"/>
        <v>1177.7427735249901</v>
      </c>
      <c r="H53" s="883">
        <f t="shared" si="110"/>
        <v>0</v>
      </c>
      <c r="I53" s="883">
        <f t="shared" si="111"/>
        <v>0</v>
      </c>
      <c r="J53" s="883">
        <f t="shared" si="112"/>
        <v>0</v>
      </c>
      <c r="K53" s="883">
        <f t="shared" si="113"/>
        <v>0</v>
      </c>
      <c r="L53" s="883">
        <f t="shared" si="114"/>
        <v>0</v>
      </c>
      <c r="M53" s="873">
        <f t="shared" si="115"/>
        <v>0</v>
      </c>
      <c r="N53" s="879">
        <f t="shared" si="226"/>
        <v>2718.3285944866889</v>
      </c>
      <c r="O53" s="883">
        <f t="shared" si="116"/>
        <v>0</v>
      </c>
      <c r="P53" s="883">
        <f t="shared" si="117"/>
        <v>0</v>
      </c>
      <c r="Q53" s="883">
        <f t="shared" si="118"/>
        <v>0</v>
      </c>
      <c r="R53" s="883">
        <f t="shared" si="119"/>
        <v>0</v>
      </c>
      <c r="S53" s="883">
        <f t="shared" si="120"/>
        <v>0</v>
      </c>
      <c r="T53" s="883">
        <f t="shared" si="121"/>
        <v>0</v>
      </c>
      <c r="U53" s="883">
        <f t="shared" si="122"/>
        <v>0</v>
      </c>
      <c r="V53" s="883">
        <f t="shared" si="123"/>
        <v>0</v>
      </c>
      <c r="W53" s="883">
        <f t="shared" si="124"/>
        <v>0</v>
      </c>
      <c r="X53" s="883">
        <f t="shared" si="125"/>
        <v>0</v>
      </c>
      <c r="Y53" s="883">
        <f t="shared" si="126"/>
        <v>0</v>
      </c>
      <c r="Z53" s="873">
        <f t="shared" si="127"/>
        <v>0</v>
      </c>
      <c r="AA53" s="879">
        <f t="shared" si="227"/>
        <v>0</v>
      </c>
      <c r="AB53" s="883">
        <f t="shared" si="128"/>
        <v>0</v>
      </c>
      <c r="AC53" s="883">
        <f t="shared" si="129"/>
        <v>50.85684844141182</v>
      </c>
      <c r="AD53" s="883">
        <f t="shared" si="130"/>
        <v>0</v>
      </c>
      <c r="AE53" s="883">
        <f t="shared" si="131"/>
        <v>0</v>
      </c>
      <c r="AF53" s="883">
        <f t="shared" si="132"/>
        <v>310.50523611399376</v>
      </c>
      <c r="AG53" s="883">
        <f t="shared" si="133"/>
        <v>0</v>
      </c>
      <c r="AH53" s="883">
        <f t="shared" si="134"/>
        <v>360.90939128608852</v>
      </c>
      <c r="AI53" s="883">
        <f t="shared" si="135"/>
        <v>0</v>
      </c>
      <c r="AJ53" s="883">
        <f t="shared" si="136"/>
        <v>0</v>
      </c>
      <c r="AK53" s="883">
        <f t="shared" si="137"/>
        <v>0</v>
      </c>
      <c r="AL53" s="883">
        <f t="shared" si="138"/>
        <v>0</v>
      </c>
      <c r="AM53" s="873">
        <f t="shared" si="139"/>
        <v>1441.670832901787</v>
      </c>
      <c r="AN53" s="879">
        <f t="shared" si="228"/>
        <v>2163.942308743281</v>
      </c>
      <c r="AO53" s="883">
        <f t="shared" si="140"/>
        <v>0</v>
      </c>
      <c r="AP53" s="883">
        <f t="shared" si="141"/>
        <v>0</v>
      </c>
      <c r="AQ53" s="883">
        <f t="shared" si="142"/>
        <v>0</v>
      </c>
      <c r="AR53" s="883">
        <f t="shared" si="143"/>
        <v>357.80228967182177</v>
      </c>
      <c r="AS53" s="883">
        <f t="shared" si="144"/>
        <v>429.27689222774063</v>
      </c>
      <c r="AT53" s="883">
        <f t="shared" si="145"/>
        <v>0</v>
      </c>
      <c r="AU53" s="883">
        <f t="shared" si="146"/>
        <v>0</v>
      </c>
      <c r="AV53" s="883">
        <f t="shared" si="147"/>
        <v>0</v>
      </c>
      <c r="AW53" s="883">
        <f t="shared" si="148"/>
        <v>0</v>
      </c>
      <c r="AX53" s="883">
        <f t="shared" si="149"/>
        <v>0</v>
      </c>
      <c r="AY53" s="883">
        <f t="shared" si="150"/>
        <v>0</v>
      </c>
      <c r="AZ53" s="873">
        <f t="shared" si="151"/>
        <v>0</v>
      </c>
      <c r="BA53" s="879">
        <f t="shared" si="229"/>
        <v>787.0791818995624</v>
      </c>
      <c r="BB53" s="883">
        <f t="shared" si="152"/>
        <v>0</v>
      </c>
      <c r="BC53" s="883">
        <f t="shared" si="153"/>
        <v>0</v>
      </c>
      <c r="BD53" s="883">
        <f t="shared" si="154"/>
        <v>0</v>
      </c>
      <c r="BE53" s="883">
        <f t="shared" si="155"/>
        <v>0</v>
      </c>
      <c r="BF53" s="883">
        <f t="shared" si="156"/>
        <v>0</v>
      </c>
      <c r="BG53" s="883">
        <f t="shared" si="157"/>
        <v>0</v>
      </c>
      <c r="BH53" s="883">
        <f t="shared" si="158"/>
        <v>0</v>
      </c>
      <c r="BI53" s="883">
        <f t="shared" si="159"/>
        <v>0</v>
      </c>
      <c r="BJ53" s="883">
        <f t="shared" si="160"/>
        <v>0</v>
      </c>
      <c r="BK53" s="883">
        <f t="shared" si="161"/>
        <v>0</v>
      </c>
      <c r="BL53" s="883">
        <f t="shared" si="162"/>
        <v>0</v>
      </c>
      <c r="BM53" s="873">
        <f t="shared" si="163"/>
        <v>0</v>
      </c>
      <c r="BN53" s="879">
        <f t="shared" si="230"/>
        <v>0</v>
      </c>
      <c r="BO53" s="883">
        <f t="shared" si="164"/>
        <v>0</v>
      </c>
      <c r="BP53" s="883">
        <f t="shared" si="165"/>
        <v>0</v>
      </c>
      <c r="BQ53" s="883">
        <f t="shared" si="166"/>
        <v>0</v>
      </c>
      <c r="BR53" s="883">
        <f t="shared" si="167"/>
        <v>0</v>
      </c>
      <c r="BS53" s="883">
        <f t="shared" si="168"/>
        <v>0</v>
      </c>
      <c r="BT53" s="883">
        <f t="shared" si="169"/>
        <v>0</v>
      </c>
      <c r="BU53" s="883">
        <f t="shared" si="170"/>
        <v>0</v>
      </c>
      <c r="BV53" s="883">
        <f t="shared" si="171"/>
        <v>0</v>
      </c>
      <c r="BW53" s="883">
        <f t="shared" si="172"/>
        <v>0</v>
      </c>
      <c r="BX53" s="883">
        <f t="shared" si="173"/>
        <v>0</v>
      </c>
      <c r="BY53" s="883">
        <f t="shared" si="174"/>
        <v>0</v>
      </c>
      <c r="BZ53" s="873">
        <f t="shared" si="175"/>
        <v>0</v>
      </c>
      <c r="CA53" s="879">
        <f t="shared" si="231"/>
        <v>0</v>
      </c>
      <c r="CB53" s="883">
        <f t="shared" si="176"/>
        <v>0</v>
      </c>
      <c r="CC53" s="883">
        <f t="shared" si="177"/>
        <v>0</v>
      </c>
      <c r="CD53" s="883">
        <f t="shared" si="178"/>
        <v>0</v>
      </c>
      <c r="CE53" s="883">
        <f t="shared" si="179"/>
        <v>0</v>
      </c>
      <c r="CF53" s="883">
        <f t="shared" si="180"/>
        <v>0</v>
      </c>
      <c r="CG53" s="883">
        <f t="shared" si="181"/>
        <v>0</v>
      </c>
      <c r="CH53" s="883">
        <f t="shared" si="182"/>
        <v>0</v>
      </c>
      <c r="CI53" s="883">
        <f t="shared" si="183"/>
        <v>0</v>
      </c>
      <c r="CJ53" s="883">
        <f t="shared" si="184"/>
        <v>0</v>
      </c>
      <c r="CK53" s="883">
        <f t="shared" si="185"/>
        <v>0</v>
      </c>
      <c r="CL53" s="883">
        <f t="shared" si="186"/>
        <v>0</v>
      </c>
      <c r="CM53" s="873">
        <f t="shared" si="187"/>
        <v>0</v>
      </c>
      <c r="CN53" s="879">
        <f t="shared" si="232"/>
        <v>0</v>
      </c>
      <c r="CO53" s="883">
        <f t="shared" si="188"/>
        <v>0</v>
      </c>
      <c r="CP53" s="883">
        <f t="shared" si="189"/>
        <v>0</v>
      </c>
      <c r="CQ53" s="883">
        <f t="shared" si="190"/>
        <v>0</v>
      </c>
      <c r="CR53" s="883">
        <f t="shared" si="191"/>
        <v>0</v>
      </c>
      <c r="CS53" s="883">
        <f t="shared" si="192"/>
        <v>0</v>
      </c>
      <c r="CT53" s="883">
        <f t="shared" si="193"/>
        <v>0</v>
      </c>
      <c r="CU53" s="883">
        <f t="shared" si="194"/>
        <v>0</v>
      </c>
      <c r="CV53" s="883">
        <f t="shared" si="195"/>
        <v>0</v>
      </c>
      <c r="CW53" s="883">
        <f t="shared" si="196"/>
        <v>2535.1453574153957</v>
      </c>
      <c r="CX53" s="883">
        <f t="shared" si="197"/>
        <v>0</v>
      </c>
      <c r="CY53" s="883">
        <f t="shared" si="198"/>
        <v>0</v>
      </c>
      <c r="CZ53" s="873">
        <f t="shared" si="199"/>
        <v>218.23583097145476</v>
      </c>
      <c r="DA53" s="879">
        <f t="shared" si="233"/>
        <v>2753.3811883868502</v>
      </c>
      <c r="DB53" s="883">
        <f t="shared" si="200"/>
        <v>0</v>
      </c>
      <c r="DC53" s="883">
        <f t="shared" si="201"/>
        <v>0</v>
      </c>
      <c r="DD53" s="883">
        <f t="shared" si="202"/>
        <v>0</v>
      </c>
      <c r="DE53" s="883">
        <f t="shared" si="203"/>
        <v>0</v>
      </c>
      <c r="DF53" s="883">
        <f t="shared" si="204"/>
        <v>0</v>
      </c>
      <c r="DG53" s="883">
        <f t="shared" si="205"/>
        <v>0</v>
      </c>
      <c r="DH53" s="883">
        <f t="shared" si="206"/>
        <v>0</v>
      </c>
      <c r="DI53" s="883">
        <f t="shared" si="207"/>
        <v>0</v>
      </c>
      <c r="DJ53" s="883">
        <f t="shared" si="208"/>
        <v>0</v>
      </c>
      <c r="DK53" s="883">
        <f t="shared" si="209"/>
        <v>0</v>
      </c>
      <c r="DL53" s="883">
        <f t="shared" si="210"/>
        <v>0</v>
      </c>
      <c r="DM53" s="873">
        <f t="shared" si="211"/>
        <v>0</v>
      </c>
      <c r="DN53" s="879">
        <f t="shared" si="234"/>
        <v>0</v>
      </c>
      <c r="DO53" s="883">
        <f t="shared" si="212"/>
        <v>0</v>
      </c>
      <c r="DP53" s="883">
        <f t="shared" si="213"/>
        <v>0</v>
      </c>
      <c r="DQ53" s="883">
        <f t="shared" si="214"/>
        <v>0</v>
      </c>
      <c r="DR53" s="883">
        <f t="shared" si="215"/>
        <v>0</v>
      </c>
      <c r="DS53" s="883">
        <f t="shared" si="216"/>
        <v>100.51054296490413</v>
      </c>
      <c r="DT53" s="883">
        <f t="shared" si="217"/>
        <v>0</v>
      </c>
      <c r="DU53" s="883">
        <f t="shared" si="218"/>
        <v>0</v>
      </c>
      <c r="DV53" s="883">
        <f t="shared" si="219"/>
        <v>0</v>
      </c>
      <c r="DW53" s="883">
        <f t="shared" si="220"/>
        <v>0</v>
      </c>
      <c r="DX53" s="883">
        <f t="shared" si="221"/>
        <v>0</v>
      </c>
      <c r="DY53" s="883">
        <f t="shared" si="222"/>
        <v>0</v>
      </c>
      <c r="DZ53" s="873">
        <f t="shared" si="223"/>
        <v>0</v>
      </c>
      <c r="EA53" s="879">
        <f t="shared" si="235"/>
        <v>100.51054296490413</v>
      </c>
      <c r="EB53" s="883">
        <f t="shared" si="236"/>
        <v>0</v>
      </c>
      <c r="EC53" s="883">
        <f t="shared" si="237"/>
        <v>0</v>
      </c>
      <c r="ED53" s="883">
        <f t="shared" si="238"/>
        <v>0</v>
      </c>
      <c r="EE53" s="883">
        <f t="shared" si="239"/>
        <v>0</v>
      </c>
      <c r="EF53" s="883">
        <f t="shared" si="240"/>
        <v>0</v>
      </c>
      <c r="EG53" s="883">
        <f t="shared" si="241"/>
        <v>0</v>
      </c>
      <c r="EH53" s="883">
        <f t="shared" si="242"/>
        <v>0</v>
      </c>
      <c r="EI53" s="883">
        <f t="shared" si="243"/>
        <v>0</v>
      </c>
      <c r="EJ53" s="883">
        <f t="shared" si="244"/>
        <v>0</v>
      </c>
      <c r="EK53" s="883">
        <f t="shared" si="245"/>
        <v>0</v>
      </c>
      <c r="EL53" s="883">
        <f t="shared" si="246"/>
        <v>0</v>
      </c>
      <c r="EM53" s="873">
        <f t="shared" si="247"/>
        <v>0</v>
      </c>
      <c r="EN53" s="879">
        <f t="shared" ref="EN53:EN57" si="261">SUM(EB53:EM53)</f>
        <v>0</v>
      </c>
      <c r="EO53" s="883">
        <f t="shared" si="248"/>
        <v>0</v>
      </c>
      <c r="EP53" s="883">
        <f t="shared" si="249"/>
        <v>0</v>
      </c>
      <c r="EQ53" s="883">
        <f t="shared" si="250"/>
        <v>0</v>
      </c>
      <c r="ER53" s="883">
        <f t="shared" si="251"/>
        <v>0</v>
      </c>
      <c r="ES53" s="883">
        <f t="shared" si="252"/>
        <v>0</v>
      </c>
      <c r="ET53" s="883">
        <f t="shared" si="253"/>
        <v>0</v>
      </c>
      <c r="EU53" s="883">
        <f t="shared" si="254"/>
        <v>1472.4282434833317</v>
      </c>
      <c r="EV53" s="973">
        <f t="shared" si="255"/>
        <v>0</v>
      </c>
      <c r="EW53" s="883"/>
      <c r="EX53" s="883"/>
      <c r="EY53" s="883"/>
      <c r="EZ53" s="873"/>
      <c r="FA53" s="879">
        <f t="shared" si="260"/>
        <v>1472.4282434833317</v>
      </c>
      <c r="FC53" s="843" t="str">
        <f t="shared" si="256"/>
        <v/>
      </c>
      <c r="FD53" s="844" t="str">
        <f t="shared" si="224"/>
        <v/>
      </c>
      <c r="FE53" s="845">
        <f t="shared" si="257"/>
        <v>0</v>
      </c>
      <c r="FF53" s="846">
        <f t="shared" si="225"/>
        <v>1472.4282434833317</v>
      </c>
      <c r="FH53">
        <f t="shared" si="258"/>
        <v>0</v>
      </c>
      <c r="FI53" s="127"/>
    </row>
    <row r="54" spans="1:172" ht="15" customHeight="1" x14ac:dyDescent="0.25">
      <c r="A54" s="403" t="s">
        <v>377</v>
      </c>
      <c r="B54" s="883">
        <f t="shared" si="104"/>
        <v>0</v>
      </c>
      <c r="C54" s="883">
        <f t="shared" si="105"/>
        <v>0</v>
      </c>
      <c r="D54" s="883">
        <f t="shared" si="106"/>
        <v>0</v>
      </c>
      <c r="E54" s="883">
        <f t="shared" si="107"/>
        <v>0</v>
      </c>
      <c r="F54" s="883">
        <f t="shared" si="108"/>
        <v>0</v>
      </c>
      <c r="G54" s="883">
        <f t="shared" si="109"/>
        <v>0</v>
      </c>
      <c r="H54" s="883">
        <f t="shared" si="110"/>
        <v>0</v>
      </c>
      <c r="I54" s="883">
        <f t="shared" si="111"/>
        <v>266.4992557116031</v>
      </c>
      <c r="J54" s="883">
        <f t="shared" si="112"/>
        <v>0</v>
      </c>
      <c r="K54" s="883">
        <f t="shared" si="113"/>
        <v>0</v>
      </c>
      <c r="L54" s="883">
        <f t="shared" si="114"/>
        <v>0</v>
      </c>
      <c r="M54" s="873">
        <f t="shared" si="115"/>
        <v>0</v>
      </c>
      <c r="N54" s="879">
        <f t="shared" si="226"/>
        <v>266.4992557116031</v>
      </c>
      <c r="O54" s="883">
        <f t="shared" si="116"/>
        <v>0</v>
      </c>
      <c r="P54" s="883">
        <f t="shared" si="117"/>
        <v>0</v>
      </c>
      <c r="Q54" s="883">
        <f t="shared" si="118"/>
        <v>0</v>
      </c>
      <c r="R54" s="883">
        <f t="shared" si="119"/>
        <v>0</v>
      </c>
      <c r="S54" s="883">
        <f t="shared" si="120"/>
        <v>0</v>
      </c>
      <c r="T54" s="883">
        <f t="shared" si="121"/>
        <v>0</v>
      </c>
      <c r="U54" s="883">
        <f t="shared" si="122"/>
        <v>0</v>
      </c>
      <c r="V54" s="883">
        <f t="shared" si="123"/>
        <v>0</v>
      </c>
      <c r="W54" s="883">
        <f t="shared" si="124"/>
        <v>0</v>
      </c>
      <c r="X54" s="883">
        <f t="shared" si="125"/>
        <v>0</v>
      </c>
      <c r="Y54" s="883">
        <f t="shared" si="126"/>
        <v>0</v>
      </c>
      <c r="Z54" s="873">
        <f t="shared" si="127"/>
        <v>0</v>
      </c>
      <c r="AA54" s="879">
        <f t="shared" si="227"/>
        <v>0</v>
      </c>
      <c r="AB54" s="883">
        <f t="shared" si="128"/>
        <v>0</v>
      </c>
      <c r="AC54" s="883">
        <f t="shared" si="129"/>
        <v>0</v>
      </c>
      <c r="AD54" s="883">
        <f t="shared" si="130"/>
        <v>0</v>
      </c>
      <c r="AE54" s="883">
        <f t="shared" si="131"/>
        <v>0</v>
      </c>
      <c r="AF54" s="883">
        <f t="shared" si="132"/>
        <v>0</v>
      </c>
      <c r="AG54" s="883">
        <f t="shared" si="133"/>
        <v>0</v>
      </c>
      <c r="AH54" s="883">
        <f t="shared" si="134"/>
        <v>0</v>
      </c>
      <c r="AI54" s="883">
        <f t="shared" si="135"/>
        <v>0</v>
      </c>
      <c r="AJ54" s="883">
        <f t="shared" si="136"/>
        <v>0</v>
      </c>
      <c r="AK54" s="883">
        <f t="shared" si="137"/>
        <v>0</v>
      </c>
      <c r="AL54" s="883">
        <f t="shared" si="138"/>
        <v>0</v>
      </c>
      <c r="AM54" s="873">
        <f t="shared" si="139"/>
        <v>0</v>
      </c>
      <c r="AN54" s="879">
        <f t="shared" si="228"/>
        <v>0</v>
      </c>
      <c r="AO54" s="883">
        <f t="shared" si="140"/>
        <v>0</v>
      </c>
      <c r="AP54" s="883">
        <f t="shared" si="141"/>
        <v>0</v>
      </c>
      <c r="AQ54" s="883">
        <f t="shared" si="142"/>
        <v>0</v>
      </c>
      <c r="AR54" s="883">
        <f t="shared" si="143"/>
        <v>0</v>
      </c>
      <c r="AS54" s="883">
        <f t="shared" si="144"/>
        <v>0</v>
      </c>
      <c r="AT54" s="883">
        <f t="shared" si="145"/>
        <v>0</v>
      </c>
      <c r="AU54" s="883">
        <f t="shared" si="146"/>
        <v>0</v>
      </c>
      <c r="AV54" s="883">
        <f t="shared" si="147"/>
        <v>0</v>
      </c>
      <c r="AW54" s="883">
        <f t="shared" si="148"/>
        <v>0</v>
      </c>
      <c r="AX54" s="883">
        <f t="shared" si="149"/>
        <v>0</v>
      </c>
      <c r="AY54" s="883">
        <f t="shared" si="150"/>
        <v>0</v>
      </c>
      <c r="AZ54" s="873">
        <f t="shared" si="151"/>
        <v>0</v>
      </c>
      <c r="BA54" s="879">
        <f t="shared" si="229"/>
        <v>0</v>
      </c>
      <c r="BB54" s="883">
        <f t="shared" si="152"/>
        <v>0</v>
      </c>
      <c r="BC54" s="883">
        <f t="shared" si="153"/>
        <v>0</v>
      </c>
      <c r="BD54" s="883">
        <f t="shared" si="154"/>
        <v>0</v>
      </c>
      <c r="BE54" s="883">
        <f t="shared" si="155"/>
        <v>0</v>
      </c>
      <c r="BF54" s="883">
        <f t="shared" si="156"/>
        <v>0</v>
      </c>
      <c r="BG54" s="883">
        <f t="shared" si="157"/>
        <v>0</v>
      </c>
      <c r="BH54" s="883">
        <f t="shared" si="158"/>
        <v>0</v>
      </c>
      <c r="BI54" s="883">
        <f t="shared" si="159"/>
        <v>0</v>
      </c>
      <c r="BJ54" s="883">
        <f t="shared" si="160"/>
        <v>0</v>
      </c>
      <c r="BK54" s="883">
        <f t="shared" si="161"/>
        <v>0</v>
      </c>
      <c r="BL54" s="883">
        <f t="shared" si="162"/>
        <v>0</v>
      </c>
      <c r="BM54" s="873">
        <f t="shared" si="163"/>
        <v>0</v>
      </c>
      <c r="BN54" s="879">
        <f t="shared" si="230"/>
        <v>0</v>
      </c>
      <c r="BO54" s="883">
        <f t="shared" si="164"/>
        <v>0</v>
      </c>
      <c r="BP54" s="883">
        <f t="shared" si="165"/>
        <v>0</v>
      </c>
      <c r="BQ54" s="883">
        <f t="shared" si="166"/>
        <v>0</v>
      </c>
      <c r="BR54" s="883">
        <f t="shared" si="167"/>
        <v>0</v>
      </c>
      <c r="BS54" s="883">
        <f t="shared" si="168"/>
        <v>0</v>
      </c>
      <c r="BT54" s="883">
        <f t="shared" si="169"/>
        <v>0</v>
      </c>
      <c r="BU54" s="883">
        <f t="shared" si="170"/>
        <v>0</v>
      </c>
      <c r="BV54" s="883">
        <f t="shared" si="171"/>
        <v>0</v>
      </c>
      <c r="BW54" s="883">
        <f t="shared" si="172"/>
        <v>0</v>
      </c>
      <c r="BX54" s="883">
        <f t="shared" si="173"/>
        <v>0</v>
      </c>
      <c r="BY54" s="883">
        <f t="shared" si="174"/>
        <v>0</v>
      </c>
      <c r="BZ54" s="873">
        <f t="shared" si="175"/>
        <v>0</v>
      </c>
      <c r="CA54" s="879">
        <f t="shared" si="231"/>
        <v>0</v>
      </c>
      <c r="CB54" s="883">
        <f t="shared" si="176"/>
        <v>0</v>
      </c>
      <c r="CC54" s="883">
        <f t="shared" si="177"/>
        <v>0</v>
      </c>
      <c r="CD54" s="883">
        <f t="shared" si="178"/>
        <v>0</v>
      </c>
      <c r="CE54" s="883">
        <f t="shared" si="179"/>
        <v>0</v>
      </c>
      <c r="CF54" s="883">
        <f t="shared" si="180"/>
        <v>0</v>
      </c>
      <c r="CG54" s="883">
        <f t="shared" si="181"/>
        <v>0</v>
      </c>
      <c r="CH54" s="883">
        <f t="shared" si="182"/>
        <v>0</v>
      </c>
      <c r="CI54" s="883">
        <f t="shared" si="183"/>
        <v>0</v>
      </c>
      <c r="CJ54" s="883">
        <f t="shared" si="184"/>
        <v>0</v>
      </c>
      <c r="CK54" s="883">
        <f t="shared" si="185"/>
        <v>0</v>
      </c>
      <c r="CL54" s="883">
        <f t="shared" si="186"/>
        <v>0</v>
      </c>
      <c r="CM54" s="873">
        <f t="shared" si="187"/>
        <v>0</v>
      </c>
      <c r="CN54" s="879">
        <f t="shared" si="232"/>
        <v>0</v>
      </c>
      <c r="CO54" s="883">
        <f t="shared" si="188"/>
        <v>0</v>
      </c>
      <c r="CP54" s="883">
        <f t="shared" si="189"/>
        <v>0</v>
      </c>
      <c r="CQ54" s="883">
        <f t="shared" si="190"/>
        <v>0</v>
      </c>
      <c r="CR54" s="883">
        <f t="shared" si="191"/>
        <v>0</v>
      </c>
      <c r="CS54" s="883">
        <f t="shared" si="192"/>
        <v>0</v>
      </c>
      <c r="CT54" s="883">
        <f t="shared" si="193"/>
        <v>0</v>
      </c>
      <c r="CU54" s="883">
        <f t="shared" si="194"/>
        <v>0</v>
      </c>
      <c r="CV54" s="883">
        <f t="shared" si="195"/>
        <v>0</v>
      </c>
      <c r="CW54" s="883">
        <f t="shared" si="196"/>
        <v>0</v>
      </c>
      <c r="CX54" s="883">
        <f t="shared" si="197"/>
        <v>0</v>
      </c>
      <c r="CY54" s="883">
        <f t="shared" si="198"/>
        <v>0</v>
      </c>
      <c r="CZ54" s="873">
        <f t="shared" si="199"/>
        <v>0</v>
      </c>
      <c r="DA54" s="879">
        <f t="shared" si="233"/>
        <v>0</v>
      </c>
      <c r="DB54" s="883">
        <f t="shared" si="200"/>
        <v>0</v>
      </c>
      <c r="DC54" s="883">
        <f t="shared" si="201"/>
        <v>0</v>
      </c>
      <c r="DD54" s="883">
        <f t="shared" si="202"/>
        <v>0</v>
      </c>
      <c r="DE54" s="883">
        <f t="shared" si="203"/>
        <v>0</v>
      </c>
      <c r="DF54" s="883">
        <f t="shared" si="204"/>
        <v>0</v>
      </c>
      <c r="DG54" s="883">
        <f t="shared" si="205"/>
        <v>0</v>
      </c>
      <c r="DH54" s="883">
        <f t="shared" si="206"/>
        <v>0</v>
      </c>
      <c r="DI54" s="883">
        <f t="shared" si="207"/>
        <v>0</v>
      </c>
      <c r="DJ54" s="883">
        <f t="shared" si="208"/>
        <v>0</v>
      </c>
      <c r="DK54" s="883">
        <f t="shared" si="209"/>
        <v>0</v>
      </c>
      <c r="DL54" s="883">
        <f t="shared" si="210"/>
        <v>0</v>
      </c>
      <c r="DM54" s="873">
        <f t="shared" si="211"/>
        <v>0</v>
      </c>
      <c r="DN54" s="879">
        <f t="shared" si="234"/>
        <v>0</v>
      </c>
      <c r="DO54" s="883">
        <f t="shared" si="212"/>
        <v>0</v>
      </c>
      <c r="DP54" s="883">
        <f t="shared" si="213"/>
        <v>0</v>
      </c>
      <c r="DQ54" s="883">
        <f t="shared" si="214"/>
        <v>0</v>
      </c>
      <c r="DR54" s="883">
        <f t="shared" si="215"/>
        <v>0</v>
      </c>
      <c r="DS54" s="883">
        <f t="shared" si="216"/>
        <v>0</v>
      </c>
      <c r="DT54" s="883">
        <f t="shared" si="217"/>
        <v>0</v>
      </c>
      <c r="DU54" s="883">
        <f t="shared" si="218"/>
        <v>0</v>
      </c>
      <c r="DV54" s="883">
        <f t="shared" si="219"/>
        <v>0</v>
      </c>
      <c r="DW54" s="883">
        <f t="shared" si="220"/>
        <v>0</v>
      </c>
      <c r="DX54" s="883">
        <f t="shared" si="221"/>
        <v>0</v>
      </c>
      <c r="DY54" s="883">
        <f t="shared" si="222"/>
        <v>0</v>
      </c>
      <c r="DZ54" s="873">
        <f t="shared" si="223"/>
        <v>0</v>
      </c>
      <c r="EA54" s="879">
        <f t="shared" si="235"/>
        <v>0</v>
      </c>
      <c r="EB54" s="883">
        <f t="shared" si="236"/>
        <v>0</v>
      </c>
      <c r="EC54" s="883">
        <f t="shared" si="237"/>
        <v>0</v>
      </c>
      <c r="ED54" s="883">
        <f t="shared" si="238"/>
        <v>0</v>
      </c>
      <c r="EE54" s="883">
        <f t="shared" si="239"/>
        <v>0</v>
      </c>
      <c r="EF54" s="883">
        <f t="shared" si="240"/>
        <v>0</v>
      </c>
      <c r="EG54" s="883">
        <f t="shared" si="241"/>
        <v>0</v>
      </c>
      <c r="EH54" s="883">
        <f t="shared" si="242"/>
        <v>0</v>
      </c>
      <c r="EI54" s="883">
        <f t="shared" si="243"/>
        <v>0</v>
      </c>
      <c r="EJ54" s="883">
        <f t="shared" si="244"/>
        <v>0</v>
      </c>
      <c r="EK54" s="883">
        <f t="shared" si="245"/>
        <v>0</v>
      </c>
      <c r="EL54" s="883">
        <f t="shared" si="246"/>
        <v>0</v>
      </c>
      <c r="EM54" s="873">
        <f t="shared" si="247"/>
        <v>0</v>
      </c>
      <c r="EN54" s="879">
        <f t="shared" si="261"/>
        <v>0</v>
      </c>
      <c r="EO54" s="883">
        <f t="shared" si="248"/>
        <v>0</v>
      </c>
      <c r="EP54" s="883">
        <f t="shared" si="249"/>
        <v>89.006983613859404</v>
      </c>
      <c r="EQ54" s="883">
        <f t="shared" si="250"/>
        <v>0</v>
      </c>
      <c r="ER54" s="883">
        <f t="shared" si="251"/>
        <v>0</v>
      </c>
      <c r="ES54" s="883">
        <f t="shared" si="252"/>
        <v>0</v>
      </c>
      <c r="ET54" s="883">
        <f t="shared" si="253"/>
        <v>0</v>
      </c>
      <c r="EU54" s="883">
        <f t="shared" si="254"/>
        <v>0</v>
      </c>
      <c r="EV54" s="973">
        <f t="shared" si="255"/>
        <v>0</v>
      </c>
      <c r="EW54" s="883"/>
      <c r="EX54" s="883"/>
      <c r="EY54" s="883"/>
      <c r="EZ54" s="873"/>
      <c r="FA54" s="879">
        <f t="shared" si="260"/>
        <v>89.006983613859404</v>
      </c>
      <c r="FC54" s="843" t="str">
        <f t="shared" si="256"/>
        <v/>
      </c>
      <c r="FD54" s="844" t="str">
        <f t="shared" si="224"/>
        <v/>
      </c>
      <c r="FE54" s="845">
        <f t="shared" si="257"/>
        <v>0</v>
      </c>
      <c r="FF54" s="846">
        <f t="shared" si="225"/>
        <v>89.006983613859404</v>
      </c>
      <c r="FH54">
        <f t="shared" si="258"/>
        <v>0</v>
      </c>
      <c r="FI54" s="127"/>
    </row>
    <row r="55" spans="1:172" s="110" customFormat="1" ht="15" customHeight="1" x14ac:dyDescent="0.25">
      <c r="A55" s="440" t="s">
        <v>380</v>
      </c>
      <c r="B55" s="885">
        <f t="shared" si="104"/>
        <v>0</v>
      </c>
      <c r="C55" s="885">
        <f t="shared" si="105"/>
        <v>0</v>
      </c>
      <c r="D55" s="885">
        <f t="shared" si="106"/>
        <v>0</v>
      </c>
      <c r="E55" s="885">
        <f t="shared" si="107"/>
        <v>0</v>
      </c>
      <c r="F55" s="885">
        <f t="shared" si="108"/>
        <v>0</v>
      </c>
      <c r="G55" s="885">
        <f t="shared" si="109"/>
        <v>0</v>
      </c>
      <c r="H55" s="885">
        <f t="shared" si="110"/>
        <v>0</v>
      </c>
      <c r="I55" s="885">
        <f t="shared" si="111"/>
        <v>0</v>
      </c>
      <c r="J55" s="885">
        <f t="shared" si="112"/>
        <v>0</v>
      </c>
      <c r="K55" s="885">
        <f t="shared" si="113"/>
        <v>0</v>
      </c>
      <c r="L55" s="885">
        <f t="shared" si="114"/>
        <v>0</v>
      </c>
      <c r="M55" s="877">
        <f t="shared" si="115"/>
        <v>0</v>
      </c>
      <c r="N55" s="878">
        <f t="shared" si="226"/>
        <v>0</v>
      </c>
      <c r="O55" s="885">
        <f t="shared" si="116"/>
        <v>0</v>
      </c>
      <c r="P55" s="885">
        <f t="shared" si="117"/>
        <v>0</v>
      </c>
      <c r="Q55" s="885">
        <f t="shared" si="118"/>
        <v>0</v>
      </c>
      <c r="R55" s="885">
        <f t="shared" si="119"/>
        <v>0</v>
      </c>
      <c r="S55" s="885">
        <f t="shared" si="120"/>
        <v>0</v>
      </c>
      <c r="T55" s="885">
        <f t="shared" si="121"/>
        <v>0</v>
      </c>
      <c r="U55" s="885">
        <f t="shared" si="122"/>
        <v>0</v>
      </c>
      <c r="V55" s="885">
        <f t="shared" si="123"/>
        <v>0</v>
      </c>
      <c r="W55" s="885">
        <f t="shared" si="124"/>
        <v>0</v>
      </c>
      <c r="X55" s="885">
        <f t="shared" si="125"/>
        <v>0</v>
      </c>
      <c r="Y55" s="885">
        <f t="shared" si="126"/>
        <v>0</v>
      </c>
      <c r="Z55" s="877">
        <f t="shared" si="127"/>
        <v>0</v>
      </c>
      <c r="AA55" s="878">
        <f t="shared" si="227"/>
        <v>0</v>
      </c>
      <c r="AB55" s="885">
        <f t="shared" si="128"/>
        <v>0</v>
      </c>
      <c r="AC55" s="885">
        <f t="shared" si="129"/>
        <v>0</v>
      </c>
      <c r="AD55" s="885">
        <f t="shared" si="130"/>
        <v>0</v>
      </c>
      <c r="AE55" s="885">
        <f t="shared" si="131"/>
        <v>0</v>
      </c>
      <c r="AF55" s="885">
        <f t="shared" si="132"/>
        <v>0</v>
      </c>
      <c r="AG55" s="885">
        <f t="shared" si="133"/>
        <v>0</v>
      </c>
      <c r="AH55" s="885">
        <f t="shared" si="134"/>
        <v>0</v>
      </c>
      <c r="AI55" s="885">
        <f t="shared" si="135"/>
        <v>0</v>
      </c>
      <c r="AJ55" s="885">
        <f t="shared" si="136"/>
        <v>0</v>
      </c>
      <c r="AK55" s="885">
        <f t="shared" si="137"/>
        <v>0</v>
      </c>
      <c r="AL55" s="885">
        <f t="shared" si="138"/>
        <v>0</v>
      </c>
      <c r="AM55" s="877">
        <f t="shared" si="139"/>
        <v>0</v>
      </c>
      <c r="AN55" s="878">
        <f t="shared" si="228"/>
        <v>0</v>
      </c>
      <c r="AO55" s="885">
        <f t="shared" si="140"/>
        <v>0</v>
      </c>
      <c r="AP55" s="885">
        <f t="shared" si="141"/>
        <v>0</v>
      </c>
      <c r="AQ55" s="885">
        <f t="shared" si="142"/>
        <v>0</v>
      </c>
      <c r="AR55" s="885">
        <f t="shared" si="143"/>
        <v>0</v>
      </c>
      <c r="AS55" s="885">
        <f t="shared" si="144"/>
        <v>0</v>
      </c>
      <c r="AT55" s="885">
        <f t="shared" si="145"/>
        <v>0</v>
      </c>
      <c r="AU55" s="885">
        <f t="shared" si="146"/>
        <v>0</v>
      </c>
      <c r="AV55" s="885">
        <f t="shared" si="147"/>
        <v>0</v>
      </c>
      <c r="AW55" s="885">
        <f t="shared" si="148"/>
        <v>0</v>
      </c>
      <c r="AX55" s="885">
        <f t="shared" si="149"/>
        <v>0</v>
      </c>
      <c r="AY55" s="885">
        <f t="shared" si="150"/>
        <v>0</v>
      </c>
      <c r="AZ55" s="877">
        <f t="shared" si="151"/>
        <v>0</v>
      </c>
      <c r="BA55" s="878">
        <f t="shared" si="229"/>
        <v>0</v>
      </c>
      <c r="BB55" s="885">
        <f t="shared" si="152"/>
        <v>0</v>
      </c>
      <c r="BC55" s="885">
        <f t="shared" si="153"/>
        <v>0</v>
      </c>
      <c r="BD55" s="885">
        <f t="shared" si="154"/>
        <v>0</v>
      </c>
      <c r="BE55" s="885">
        <f t="shared" si="155"/>
        <v>0</v>
      </c>
      <c r="BF55" s="885">
        <f t="shared" si="156"/>
        <v>0</v>
      </c>
      <c r="BG55" s="885">
        <f t="shared" si="157"/>
        <v>0</v>
      </c>
      <c r="BH55" s="885">
        <f t="shared" si="158"/>
        <v>0</v>
      </c>
      <c r="BI55" s="885">
        <f t="shared" si="159"/>
        <v>0</v>
      </c>
      <c r="BJ55" s="885">
        <f t="shared" si="160"/>
        <v>0</v>
      </c>
      <c r="BK55" s="885">
        <f t="shared" si="161"/>
        <v>0</v>
      </c>
      <c r="BL55" s="885">
        <f t="shared" si="162"/>
        <v>0</v>
      </c>
      <c r="BM55" s="877">
        <f t="shared" si="163"/>
        <v>0</v>
      </c>
      <c r="BN55" s="878">
        <f t="shared" si="230"/>
        <v>0</v>
      </c>
      <c r="BO55" s="885">
        <f t="shared" si="164"/>
        <v>0</v>
      </c>
      <c r="BP55" s="885">
        <f t="shared" si="165"/>
        <v>0</v>
      </c>
      <c r="BQ55" s="885">
        <f t="shared" si="166"/>
        <v>0</v>
      </c>
      <c r="BR55" s="885">
        <f t="shared" si="167"/>
        <v>0</v>
      </c>
      <c r="BS55" s="885">
        <f t="shared" si="168"/>
        <v>0</v>
      </c>
      <c r="BT55" s="885">
        <f t="shared" si="169"/>
        <v>0</v>
      </c>
      <c r="BU55" s="885">
        <f t="shared" si="170"/>
        <v>0</v>
      </c>
      <c r="BV55" s="885">
        <f t="shared" si="171"/>
        <v>0</v>
      </c>
      <c r="BW55" s="885">
        <f t="shared" si="172"/>
        <v>0</v>
      </c>
      <c r="BX55" s="885">
        <f t="shared" si="173"/>
        <v>0</v>
      </c>
      <c r="BY55" s="885">
        <f t="shared" si="174"/>
        <v>0</v>
      </c>
      <c r="BZ55" s="877">
        <f t="shared" si="175"/>
        <v>0</v>
      </c>
      <c r="CA55" s="878">
        <f t="shared" si="231"/>
        <v>0</v>
      </c>
      <c r="CB55" s="885">
        <f t="shared" si="176"/>
        <v>0</v>
      </c>
      <c r="CC55" s="885">
        <f t="shared" si="177"/>
        <v>0</v>
      </c>
      <c r="CD55" s="885">
        <f t="shared" si="178"/>
        <v>0</v>
      </c>
      <c r="CE55" s="885">
        <f t="shared" si="179"/>
        <v>0</v>
      </c>
      <c r="CF55" s="885">
        <f t="shared" si="180"/>
        <v>0</v>
      </c>
      <c r="CG55" s="885">
        <f t="shared" si="181"/>
        <v>0</v>
      </c>
      <c r="CH55" s="885">
        <f t="shared" si="182"/>
        <v>0</v>
      </c>
      <c r="CI55" s="885">
        <f t="shared" si="183"/>
        <v>0</v>
      </c>
      <c r="CJ55" s="885">
        <f t="shared" si="184"/>
        <v>0</v>
      </c>
      <c r="CK55" s="885">
        <f t="shared" si="185"/>
        <v>0</v>
      </c>
      <c r="CL55" s="885">
        <f t="shared" si="186"/>
        <v>0</v>
      </c>
      <c r="CM55" s="877">
        <f t="shared" si="187"/>
        <v>0</v>
      </c>
      <c r="CN55" s="878">
        <f t="shared" si="232"/>
        <v>0</v>
      </c>
      <c r="CO55" s="885">
        <f t="shared" si="188"/>
        <v>0</v>
      </c>
      <c r="CP55" s="885">
        <f t="shared" si="189"/>
        <v>0</v>
      </c>
      <c r="CQ55" s="885">
        <f t="shared" si="190"/>
        <v>0</v>
      </c>
      <c r="CR55" s="885">
        <f t="shared" si="191"/>
        <v>0</v>
      </c>
      <c r="CS55" s="885">
        <f t="shared" si="192"/>
        <v>0</v>
      </c>
      <c r="CT55" s="885">
        <f t="shared" si="193"/>
        <v>0</v>
      </c>
      <c r="CU55" s="885">
        <f t="shared" si="194"/>
        <v>0</v>
      </c>
      <c r="CV55" s="885">
        <f t="shared" si="195"/>
        <v>0</v>
      </c>
      <c r="CW55" s="885">
        <f t="shared" si="196"/>
        <v>0</v>
      </c>
      <c r="CX55" s="885">
        <f t="shared" si="197"/>
        <v>0</v>
      </c>
      <c r="CY55" s="885">
        <f t="shared" si="198"/>
        <v>0</v>
      </c>
      <c r="CZ55" s="877">
        <f t="shared" si="199"/>
        <v>0</v>
      </c>
      <c r="DA55" s="878">
        <f t="shared" si="233"/>
        <v>0</v>
      </c>
      <c r="DB55" s="885">
        <f t="shared" si="200"/>
        <v>0</v>
      </c>
      <c r="DC55" s="885">
        <f t="shared" si="201"/>
        <v>0</v>
      </c>
      <c r="DD55" s="885">
        <f t="shared" si="202"/>
        <v>0</v>
      </c>
      <c r="DE55" s="885">
        <f t="shared" si="203"/>
        <v>0</v>
      </c>
      <c r="DF55" s="885">
        <f t="shared" si="204"/>
        <v>0</v>
      </c>
      <c r="DG55" s="885">
        <f t="shared" si="205"/>
        <v>0</v>
      </c>
      <c r="DH55" s="885">
        <f t="shared" si="206"/>
        <v>0</v>
      </c>
      <c r="DI55" s="885">
        <f t="shared" si="207"/>
        <v>0</v>
      </c>
      <c r="DJ55" s="885">
        <f t="shared" si="208"/>
        <v>0</v>
      </c>
      <c r="DK55" s="885">
        <f t="shared" si="209"/>
        <v>0</v>
      </c>
      <c r="DL55" s="885">
        <f t="shared" si="210"/>
        <v>0</v>
      </c>
      <c r="DM55" s="877">
        <f t="shared" si="211"/>
        <v>0</v>
      </c>
      <c r="DN55" s="878">
        <f t="shared" si="234"/>
        <v>0</v>
      </c>
      <c r="DO55" s="885">
        <f t="shared" si="212"/>
        <v>0</v>
      </c>
      <c r="DP55" s="885">
        <f t="shared" si="213"/>
        <v>0</v>
      </c>
      <c r="DQ55" s="885">
        <f t="shared" si="214"/>
        <v>0</v>
      </c>
      <c r="DR55" s="885">
        <f t="shared" si="215"/>
        <v>0</v>
      </c>
      <c r="DS55" s="885">
        <f t="shared" si="216"/>
        <v>0</v>
      </c>
      <c r="DT55" s="885">
        <f t="shared" si="217"/>
        <v>0</v>
      </c>
      <c r="DU55" s="885">
        <f t="shared" si="218"/>
        <v>0</v>
      </c>
      <c r="DV55" s="885">
        <f t="shared" si="219"/>
        <v>0</v>
      </c>
      <c r="DW55" s="885">
        <f t="shared" si="220"/>
        <v>0</v>
      </c>
      <c r="DX55" s="885">
        <f t="shared" si="221"/>
        <v>0</v>
      </c>
      <c r="DY55" s="885">
        <f t="shared" si="222"/>
        <v>0</v>
      </c>
      <c r="DZ55" s="877">
        <f t="shared" si="223"/>
        <v>0</v>
      </c>
      <c r="EA55" s="878">
        <f t="shared" si="235"/>
        <v>0</v>
      </c>
      <c r="EB55" s="885">
        <f t="shared" si="236"/>
        <v>0</v>
      </c>
      <c r="EC55" s="885">
        <f t="shared" si="237"/>
        <v>0</v>
      </c>
      <c r="ED55" s="885">
        <f t="shared" si="238"/>
        <v>0</v>
      </c>
      <c r="EE55" s="885">
        <f t="shared" si="239"/>
        <v>0</v>
      </c>
      <c r="EF55" s="885">
        <f t="shared" si="240"/>
        <v>0</v>
      </c>
      <c r="EG55" s="885">
        <f t="shared" si="241"/>
        <v>0</v>
      </c>
      <c r="EH55" s="885">
        <f t="shared" si="242"/>
        <v>0</v>
      </c>
      <c r="EI55" s="885">
        <f t="shared" si="243"/>
        <v>0</v>
      </c>
      <c r="EJ55" s="885">
        <f t="shared" si="244"/>
        <v>0</v>
      </c>
      <c r="EK55" s="885">
        <f t="shared" si="245"/>
        <v>0</v>
      </c>
      <c r="EL55" s="885">
        <f t="shared" si="246"/>
        <v>0</v>
      </c>
      <c r="EM55" s="877">
        <f t="shared" si="247"/>
        <v>0</v>
      </c>
      <c r="EN55" s="878">
        <f t="shared" si="261"/>
        <v>0</v>
      </c>
      <c r="EO55" s="885">
        <f t="shared" si="248"/>
        <v>0</v>
      </c>
      <c r="EP55" s="885">
        <f t="shared" si="249"/>
        <v>0</v>
      </c>
      <c r="EQ55" s="885">
        <f t="shared" si="250"/>
        <v>0</v>
      </c>
      <c r="ER55" s="885">
        <f t="shared" si="251"/>
        <v>0</v>
      </c>
      <c r="ES55" s="885">
        <f t="shared" si="252"/>
        <v>0</v>
      </c>
      <c r="ET55" s="885">
        <f t="shared" si="253"/>
        <v>0</v>
      </c>
      <c r="EU55" s="885">
        <f t="shared" si="254"/>
        <v>0</v>
      </c>
      <c r="EV55" s="972">
        <f t="shared" si="255"/>
        <v>0</v>
      </c>
      <c r="EW55" s="885"/>
      <c r="EX55" s="885"/>
      <c r="EY55" s="885"/>
      <c r="EZ55" s="877"/>
      <c r="FA55" s="878">
        <f t="shared" si="260"/>
        <v>0</v>
      </c>
      <c r="FC55" s="851" t="str">
        <f t="shared" si="256"/>
        <v/>
      </c>
      <c r="FD55" s="852" t="str">
        <f t="shared" si="224"/>
        <v/>
      </c>
      <c r="FE55" s="853">
        <f t="shared" si="257"/>
        <v>0</v>
      </c>
      <c r="FF55" s="854">
        <f t="shared" si="225"/>
        <v>0</v>
      </c>
      <c r="FG55"/>
      <c r="FI55" s="236"/>
      <c r="FJ55"/>
      <c r="FK55"/>
      <c r="FL55"/>
      <c r="FM55"/>
      <c r="FN55"/>
      <c r="FO55"/>
      <c r="FP55"/>
    </row>
    <row r="56" spans="1:172" ht="15" customHeight="1" x14ac:dyDescent="0.25">
      <c r="A56" s="403" t="s">
        <v>381</v>
      </c>
      <c r="B56" s="883">
        <f t="shared" si="104"/>
        <v>0</v>
      </c>
      <c r="C56" s="883">
        <f t="shared" si="105"/>
        <v>0</v>
      </c>
      <c r="D56" s="883">
        <f t="shared" si="106"/>
        <v>0</v>
      </c>
      <c r="E56" s="883">
        <f t="shared" si="107"/>
        <v>0</v>
      </c>
      <c r="F56" s="883">
        <f t="shared" si="108"/>
        <v>0</v>
      </c>
      <c r="G56" s="883">
        <f t="shared" si="109"/>
        <v>0</v>
      </c>
      <c r="H56" s="883">
        <f t="shared" si="110"/>
        <v>0</v>
      </c>
      <c r="I56" s="883">
        <f t="shared" si="111"/>
        <v>0</v>
      </c>
      <c r="J56" s="883">
        <f t="shared" si="112"/>
        <v>0</v>
      </c>
      <c r="K56" s="883">
        <f t="shared" si="113"/>
        <v>0</v>
      </c>
      <c r="L56" s="883">
        <f t="shared" si="114"/>
        <v>0</v>
      </c>
      <c r="M56" s="873">
        <f t="shared" si="115"/>
        <v>0</v>
      </c>
      <c r="N56" s="879">
        <f t="shared" si="226"/>
        <v>0</v>
      </c>
      <c r="O56" s="883">
        <f t="shared" si="116"/>
        <v>0</v>
      </c>
      <c r="P56" s="883">
        <f t="shared" si="117"/>
        <v>0</v>
      </c>
      <c r="Q56" s="883">
        <f t="shared" si="118"/>
        <v>0</v>
      </c>
      <c r="R56" s="883">
        <f t="shared" si="119"/>
        <v>0</v>
      </c>
      <c r="S56" s="883">
        <f t="shared" si="120"/>
        <v>0</v>
      </c>
      <c r="T56" s="883">
        <f t="shared" si="121"/>
        <v>0</v>
      </c>
      <c r="U56" s="883">
        <f t="shared" si="122"/>
        <v>0</v>
      </c>
      <c r="V56" s="883">
        <f t="shared" si="123"/>
        <v>0</v>
      </c>
      <c r="W56" s="883">
        <f t="shared" si="124"/>
        <v>0</v>
      </c>
      <c r="X56" s="883">
        <f t="shared" si="125"/>
        <v>0</v>
      </c>
      <c r="Y56" s="883">
        <f t="shared" si="126"/>
        <v>0</v>
      </c>
      <c r="Z56" s="873">
        <f t="shared" si="127"/>
        <v>0</v>
      </c>
      <c r="AA56" s="879">
        <f t="shared" si="227"/>
        <v>0</v>
      </c>
      <c r="AB56" s="883">
        <f t="shared" si="128"/>
        <v>0</v>
      </c>
      <c r="AC56" s="883">
        <f t="shared" si="129"/>
        <v>0</v>
      </c>
      <c r="AD56" s="883">
        <f t="shared" si="130"/>
        <v>0</v>
      </c>
      <c r="AE56" s="883">
        <f t="shared" si="131"/>
        <v>0</v>
      </c>
      <c r="AF56" s="883">
        <f t="shared" si="132"/>
        <v>0</v>
      </c>
      <c r="AG56" s="883">
        <f t="shared" si="133"/>
        <v>0</v>
      </c>
      <c r="AH56" s="883">
        <f t="shared" si="134"/>
        <v>0</v>
      </c>
      <c r="AI56" s="883">
        <f t="shared" si="135"/>
        <v>0</v>
      </c>
      <c r="AJ56" s="883">
        <f t="shared" si="136"/>
        <v>0</v>
      </c>
      <c r="AK56" s="883">
        <f t="shared" si="137"/>
        <v>0</v>
      </c>
      <c r="AL56" s="883">
        <f t="shared" si="138"/>
        <v>0</v>
      </c>
      <c r="AM56" s="873">
        <f t="shared" si="139"/>
        <v>0</v>
      </c>
      <c r="AN56" s="879">
        <f t="shared" si="228"/>
        <v>0</v>
      </c>
      <c r="AO56" s="883">
        <f t="shared" si="140"/>
        <v>0</v>
      </c>
      <c r="AP56" s="883">
        <f t="shared" si="141"/>
        <v>0</v>
      </c>
      <c r="AQ56" s="883">
        <f t="shared" si="142"/>
        <v>0</v>
      </c>
      <c r="AR56" s="883">
        <f t="shared" si="143"/>
        <v>0</v>
      </c>
      <c r="AS56" s="883">
        <f t="shared" si="144"/>
        <v>0</v>
      </c>
      <c r="AT56" s="883">
        <f t="shared" si="145"/>
        <v>0</v>
      </c>
      <c r="AU56" s="883">
        <f t="shared" si="146"/>
        <v>0</v>
      </c>
      <c r="AV56" s="883">
        <f t="shared" si="147"/>
        <v>0</v>
      </c>
      <c r="AW56" s="883">
        <f t="shared" si="148"/>
        <v>0</v>
      </c>
      <c r="AX56" s="883">
        <f t="shared" si="149"/>
        <v>0</v>
      </c>
      <c r="AY56" s="883">
        <f t="shared" si="150"/>
        <v>0</v>
      </c>
      <c r="AZ56" s="873">
        <f t="shared" si="151"/>
        <v>0</v>
      </c>
      <c r="BA56" s="879">
        <f t="shared" si="229"/>
        <v>0</v>
      </c>
      <c r="BB56" s="883">
        <f t="shared" si="152"/>
        <v>0</v>
      </c>
      <c r="BC56" s="883">
        <f t="shared" si="153"/>
        <v>0</v>
      </c>
      <c r="BD56" s="883">
        <f t="shared" si="154"/>
        <v>0</v>
      </c>
      <c r="BE56" s="883">
        <f t="shared" si="155"/>
        <v>0</v>
      </c>
      <c r="BF56" s="883">
        <f t="shared" si="156"/>
        <v>0</v>
      </c>
      <c r="BG56" s="883">
        <f t="shared" si="157"/>
        <v>0</v>
      </c>
      <c r="BH56" s="883">
        <f t="shared" si="158"/>
        <v>0</v>
      </c>
      <c r="BI56" s="883">
        <f t="shared" si="159"/>
        <v>0</v>
      </c>
      <c r="BJ56" s="883">
        <f t="shared" si="160"/>
        <v>0</v>
      </c>
      <c r="BK56" s="883">
        <f t="shared" si="161"/>
        <v>0</v>
      </c>
      <c r="BL56" s="883">
        <f t="shared" si="162"/>
        <v>0</v>
      </c>
      <c r="BM56" s="873">
        <f t="shared" si="163"/>
        <v>0</v>
      </c>
      <c r="BN56" s="879">
        <f t="shared" si="230"/>
        <v>0</v>
      </c>
      <c r="BO56" s="883">
        <f t="shared" si="164"/>
        <v>0</v>
      </c>
      <c r="BP56" s="883">
        <f t="shared" si="165"/>
        <v>0</v>
      </c>
      <c r="BQ56" s="883">
        <f t="shared" si="166"/>
        <v>0</v>
      </c>
      <c r="BR56" s="883">
        <f t="shared" si="167"/>
        <v>0</v>
      </c>
      <c r="BS56" s="883">
        <f t="shared" si="168"/>
        <v>0</v>
      </c>
      <c r="BT56" s="883">
        <f t="shared" si="169"/>
        <v>0</v>
      </c>
      <c r="BU56" s="883">
        <f t="shared" si="170"/>
        <v>0</v>
      </c>
      <c r="BV56" s="883">
        <f t="shared" si="171"/>
        <v>0</v>
      </c>
      <c r="BW56" s="883">
        <f t="shared" si="172"/>
        <v>0</v>
      </c>
      <c r="BX56" s="883">
        <f t="shared" si="173"/>
        <v>0</v>
      </c>
      <c r="BY56" s="883">
        <f t="shared" si="174"/>
        <v>0</v>
      </c>
      <c r="BZ56" s="873">
        <f t="shared" si="175"/>
        <v>0</v>
      </c>
      <c r="CA56" s="879">
        <f t="shared" si="231"/>
        <v>0</v>
      </c>
      <c r="CB56" s="883">
        <f t="shared" si="176"/>
        <v>0</v>
      </c>
      <c r="CC56" s="883">
        <f t="shared" si="177"/>
        <v>0</v>
      </c>
      <c r="CD56" s="883">
        <f t="shared" si="178"/>
        <v>0</v>
      </c>
      <c r="CE56" s="883">
        <f t="shared" si="179"/>
        <v>0</v>
      </c>
      <c r="CF56" s="883">
        <f t="shared" si="180"/>
        <v>0</v>
      </c>
      <c r="CG56" s="883">
        <f t="shared" si="181"/>
        <v>0</v>
      </c>
      <c r="CH56" s="883">
        <f t="shared" si="182"/>
        <v>0</v>
      </c>
      <c r="CI56" s="883">
        <f t="shared" si="183"/>
        <v>0</v>
      </c>
      <c r="CJ56" s="883">
        <f t="shared" si="184"/>
        <v>0</v>
      </c>
      <c r="CK56" s="883">
        <f t="shared" si="185"/>
        <v>0</v>
      </c>
      <c r="CL56" s="883">
        <f t="shared" si="186"/>
        <v>0</v>
      </c>
      <c r="CM56" s="873">
        <f t="shared" si="187"/>
        <v>0</v>
      </c>
      <c r="CN56" s="879">
        <f t="shared" si="232"/>
        <v>0</v>
      </c>
      <c r="CO56" s="883">
        <f t="shared" si="188"/>
        <v>0</v>
      </c>
      <c r="CP56" s="883">
        <f t="shared" si="189"/>
        <v>0</v>
      </c>
      <c r="CQ56" s="883">
        <f t="shared" si="190"/>
        <v>0</v>
      </c>
      <c r="CR56" s="883">
        <f t="shared" si="191"/>
        <v>0</v>
      </c>
      <c r="CS56" s="883">
        <f t="shared" si="192"/>
        <v>0</v>
      </c>
      <c r="CT56" s="883">
        <f t="shared" si="193"/>
        <v>0</v>
      </c>
      <c r="CU56" s="883">
        <f t="shared" si="194"/>
        <v>0</v>
      </c>
      <c r="CV56" s="883">
        <f t="shared" si="195"/>
        <v>0</v>
      </c>
      <c r="CW56" s="883">
        <f t="shared" si="196"/>
        <v>0</v>
      </c>
      <c r="CX56" s="883">
        <f t="shared" si="197"/>
        <v>0</v>
      </c>
      <c r="CY56" s="883">
        <f t="shared" si="198"/>
        <v>0</v>
      </c>
      <c r="CZ56" s="873">
        <f t="shared" si="199"/>
        <v>0</v>
      </c>
      <c r="DA56" s="879">
        <f t="shared" si="233"/>
        <v>0</v>
      </c>
      <c r="DB56" s="883">
        <f t="shared" si="200"/>
        <v>0</v>
      </c>
      <c r="DC56" s="883">
        <f t="shared" si="201"/>
        <v>0</v>
      </c>
      <c r="DD56" s="883">
        <f t="shared" si="202"/>
        <v>0</v>
      </c>
      <c r="DE56" s="883">
        <f t="shared" si="203"/>
        <v>0</v>
      </c>
      <c r="DF56" s="883">
        <f t="shared" si="204"/>
        <v>0</v>
      </c>
      <c r="DG56" s="883">
        <f t="shared" si="205"/>
        <v>0</v>
      </c>
      <c r="DH56" s="883">
        <f t="shared" si="206"/>
        <v>0</v>
      </c>
      <c r="DI56" s="883">
        <f t="shared" si="207"/>
        <v>0</v>
      </c>
      <c r="DJ56" s="883">
        <f t="shared" si="208"/>
        <v>0</v>
      </c>
      <c r="DK56" s="883">
        <f t="shared" si="209"/>
        <v>0</v>
      </c>
      <c r="DL56" s="883">
        <f t="shared" si="210"/>
        <v>0</v>
      </c>
      <c r="DM56" s="873">
        <f t="shared" si="211"/>
        <v>0</v>
      </c>
      <c r="DN56" s="879">
        <f t="shared" si="234"/>
        <v>0</v>
      </c>
      <c r="DO56" s="883">
        <f t="shared" si="212"/>
        <v>0</v>
      </c>
      <c r="DP56" s="883">
        <f t="shared" si="213"/>
        <v>0</v>
      </c>
      <c r="DQ56" s="883">
        <f t="shared" si="214"/>
        <v>0</v>
      </c>
      <c r="DR56" s="883">
        <f t="shared" si="215"/>
        <v>0</v>
      </c>
      <c r="DS56" s="883">
        <f t="shared" si="216"/>
        <v>0</v>
      </c>
      <c r="DT56" s="883">
        <f t="shared" si="217"/>
        <v>0</v>
      </c>
      <c r="DU56" s="883">
        <f t="shared" si="218"/>
        <v>0</v>
      </c>
      <c r="DV56" s="883">
        <f t="shared" si="219"/>
        <v>0</v>
      </c>
      <c r="DW56" s="883">
        <f t="shared" si="220"/>
        <v>0</v>
      </c>
      <c r="DX56" s="883">
        <f t="shared" si="221"/>
        <v>0</v>
      </c>
      <c r="DY56" s="883">
        <f t="shared" si="222"/>
        <v>0</v>
      </c>
      <c r="DZ56" s="873">
        <f t="shared" si="223"/>
        <v>0</v>
      </c>
      <c r="EA56" s="879">
        <f t="shared" si="235"/>
        <v>0</v>
      </c>
      <c r="EB56" s="883">
        <f t="shared" si="236"/>
        <v>0</v>
      </c>
      <c r="EC56" s="883">
        <f t="shared" si="237"/>
        <v>0</v>
      </c>
      <c r="ED56" s="883">
        <f t="shared" si="238"/>
        <v>0</v>
      </c>
      <c r="EE56" s="883">
        <f t="shared" si="239"/>
        <v>0</v>
      </c>
      <c r="EF56" s="883">
        <f t="shared" si="240"/>
        <v>0</v>
      </c>
      <c r="EG56" s="883">
        <f t="shared" si="241"/>
        <v>0</v>
      </c>
      <c r="EH56" s="883">
        <f t="shared" si="242"/>
        <v>0</v>
      </c>
      <c r="EI56" s="883">
        <f t="shared" si="243"/>
        <v>0</v>
      </c>
      <c r="EJ56" s="883">
        <f t="shared" si="244"/>
        <v>0</v>
      </c>
      <c r="EK56" s="883">
        <f t="shared" si="245"/>
        <v>0</v>
      </c>
      <c r="EL56" s="883">
        <f t="shared" si="246"/>
        <v>0</v>
      </c>
      <c r="EM56" s="873">
        <f t="shared" si="247"/>
        <v>0</v>
      </c>
      <c r="EN56" s="879">
        <f t="shared" si="261"/>
        <v>0</v>
      </c>
      <c r="EO56" s="883">
        <f t="shared" si="248"/>
        <v>0</v>
      </c>
      <c r="EP56" s="883">
        <f t="shared" si="249"/>
        <v>0</v>
      </c>
      <c r="EQ56" s="883">
        <f t="shared" si="250"/>
        <v>0</v>
      </c>
      <c r="ER56" s="883">
        <f t="shared" si="251"/>
        <v>0</v>
      </c>
      <c r="ES56" s="883">
        <f t="shared" si="252"/>
        <v>0</v>
      </c>
      <c r="ET56" s="883">
        <f t="shared" si="253"/>
        <v>0</v>
      </c>
      <c r="EU56" s="883">
        <f t="shared" si="254"/>
        <v>0</v>
      </c>
      <c r="EV56" s="973">
        <f t="shared" si="255"/>
        <v>0</v>
      </c>
      <c r="EW56" s="883"/>
      <c r="EX56" s="883"/>
      <c r="EY56" s="883"/>
      <c r="EZ56" s="873"/>
      <c r="FA56" s="879">
        <f t="shared" si="260"/>
        <v>0</v>
      </c>
      <c r="FC56" s="843" t="str">
        <f t="shared" si="256"/>
        <v/>
      </c>
      <c r="FD56" s="844" t="str">
        <f t="shared" si="224"/>
        <v/>
      </c>
      <c r="FE56" s="845">
        <f t="shared" si="257"/>
        <v>0</v>
      </c>
      <c r="FF56" s="846">
        <f t="shared" si="225"/>
        <v>0</v>
      </c>
      <c r="FI56" s="127"/>
    </row>
    <row r="57" spans="1:172" ht="15" customHeight="1" x14ac:dyDescent="0.25">
      <c r="A57" s="403" t="s">
        <v>382</v>
      </c>
      <c r="B57" s="883">
        <f t="shared" si="104"/>
        <v>0</v>
      </c>
      <c r="C57" s="883">
        <f t="shared" si="105"/>
        <v>0</v>
      </c>
      <c r="D57" s="883">
        <f t="shared" si="106"/>
        <v>0</v>
      </c>
      <c r="E57" s="883">
        <f t="shared" si="107"/>
        <v>0</v>
      </c>
      <c r="F57" s="883">
        <f t="shared" si="108"/>
        <v>0</v>
      </c>
      <c r="G57" s="883">
        <f t="shared" si="109"/>
        <v>0</v>
      </c>
      <c r="H57" s="883">
        <f t="shared" si="110"/>
        <v>0</v>
      </c>
      <c r="I57" s="883">
        <f t="shared" si="111"/>
        <v>0</v>
      </c>
      <c r="J57" s="883">
        <f t="shared" si="112"/>
        <v>0</v>
      </c>
      <c r="K57" s="883">
        <f t="shared" si="113"/>
        <v>0</v>
      </c>
      <c r="L57" s="883">
        <f t="shared" si="114"/>
        <v>0</v>
      </c>
      <c r="M57" s="873">
        <f t="shared" si="115"/>
        <v>0</v>
      </c>
      <c r="N57" s="879">
        <f t="shared" si="226"/>
        <v>0</v>
      </c>
      <c r="O57" s="883">
        <f t="shared" si="116"/>
        <v>0</v>
      </c>
      <c r="P57" s="883">
        <f t="shared" si="117"/>
        <v>0</v>
      </c>
      <c r="Q57" s="883">
        <f t="shared" si="118"/>
        <v>0</v>
      </c>
      <c r="R57" s="883">
        <f t="shared" si="119"/>
        <v>0</v>
      </c>
      <c r="S57" s="883">
        <f t="shared" si="120"/>
        <v>0</v>
      </c>
      <c r="T57" s="883">
        <f t="shared" si="121"/>
        <v>0</v>
      </c>
      <c r="U57" s="883">
        <f t="shared" si="122"/>
        <v>0</v>
      </c>
      <c r="V57" s="883">
        <f t="shared" si="123"/>
        <v>0</v>
      </c>
      <c r="W57" s="883">
        <f t="shared" si="124"/>
        <v>0</v>
      </c>
      <c r="X57" s="883">
        <f t="shared" si="125"/>
        <v>0</v>
      </c>
      <c r="Y57" s="883">
        <f t="shared" si="126"/>
        <v>0</v>
      </c>
      <c r="Z57" s="873">
        <f t="shared" si="127"/>
        <v>0</v>
      </c>
      <c r="AA57" s="879">
        <f t="shared" si="227"/>
        <v>0</v>
      </c>
      <c r="AB57" s="883">
        <f t="shared" si="128"/>
        <v>0</v>
      </c>
      <c r="AC57" s="883">
        <f t="shared" si="129"/>
        <v>0</v>
      </c>
      <c r="AD57" s="883">
        <f t="shared" si="130"/>
        <v>0</v>
      </c>
      <c r="AE57" s="883">
        <f t="shared" si="131"/>
        <v>0</v>
      </c>
      <c r="AF57" s="883">
        <f t="shared" si="132"/>
        <v>0</v>
      </c>
      <c r="AG57" s="883">
        <f t="shared" si="133"/>
        <v>0</v>
      </c>
      <c r="AH57" s="883">
        <f t="shared" si="134"/>
        <v>0</v>
      </c>
      <c r="AI57" s="883">
        <f t="shared" si="135"/>
        <v>0</v>
      </c>
      <c r="AJ57" s="883">
        <f t="shared" si="136"/>
        <v>0</v>
      </c>
      <c r="AK57" s="883">
        <f t="shared" si="137"/>
        <v>0</v>
      </c>
      <c r="AL57" s="883">
        <f t="shared" si="138"/>
        <v>0</v>
      </c>
      <c r="AM57" s="873">
        <f t="shared" si="139"/>
        <v>0</v>
      </c>
      <c r="AN57" s="879">
        <f t="shared" si="228"/>
        <v>0</v>
      </c>
      <c r="AO57" s="883">
        <f t="shared" si="140"/>
        <v>0</v>
      </c>
      <c r="AP57" s="883">
        <f t="shared" si="141"/>
        <v>0</v>
      </c>
      <c r="AQ57" s="883">
        <f t="shared" si="142"/>
        <v>0</v>
      </c>
      <c r="AR57" s="883">
        <f t="shared" si="143"/>
        <v>0</v>
      </c>
      <c r="AS57" s="883">
        <f t="shared" si="144"/>
        <v>0</v>
      </c>
      <c r="AT57" s="883">
        <f t="shared" si="145"/>
        <v>0</v>
      </c>
      <c r="AU57" s="883">
        <f t="shared" si="146"/>
        <v>0</v>
      </c>
      <c r="AV57" s="883">
        <f t="shared" si="147"/>
        <v>0</v>
      </c>
      <c r="AW57" s="883">
        <f t="shared" si="148"/>
        <v>0</v>
      </c>
      <c r="AX57" s="883">
        <f t="shared" si="149"/>
        <v>0</v>
      </c>
      <c r="AY57" s="883">
        <f t="shared" si="150"/>
        <v>0</v>
      </c>
      <c r="AZ57" s="873">
        <f t="shared" si="151"/>
        <v>0</v>
      </c>
      <c r="BA57" s="879">
        <f t="shared" si="229"/>
        <v>0</v>
      </c>
      <c r="BB57" s="883">
        <f t="shared" si="152"/>
        <v>0</v>
      </c>
      <c r="BC57" s="883">
        <f t="shared" si="153"/>
        <v>0</v>
      </c>
      <c r="BD57" s="883">
        <f t="shared" si="154"/>
        <v>0</v>
      </c>
      <c r="BE57" s="883">
        <f t="shared" si="155"/>
        <v>0</v>
      </c>
      <c r="BF57" s="883">
        <f t="shared" si="156"/>
        <v>0</v>
      </c>
      <c r="BG57" s="883">
        <f t="shared" si="157"/>
        <v>0</v>
      </c>
      <c r="BH57" s="883">
        <f t="shared" si="158"/>
        <v>0</v>
      </c>
      <c r="BI57" s="883">
        <f t="shared" si="159"/>
        <v>0</v>
      </c>
      <c r="BJ57" s="883">
        <f t="shared" si="160"/>
        <v>0</v>
      </c>
      <c r="BK57" s="883">
        <f t="shared" si="161"/>
        <v>0</v>
      </c>
      <c r="BL57" s="883">
        <f t="shared" si="162"/>
        <v>0</v>
      </c>
      <c r="BM57" s="873">
        <f t="shared" si="163"/>
        <v>0</v>
      </c>
      <c r="BN57" s="879">
        <f t="shared" si="230"/>
        <v>0</v>
      </c>
      <c r="BO57" s="883">
        <f t="shared" si="164"/>
        <v>0</v>
      </c>
      <c r="BP57" s="883">
        <f t="shared" si="165"/>
        <v>0</v>
      </c>
      <c r="BQ57" s="883">
        <f t="shared" si="166"/>
        <v>0</v>
      </c>
      <c r="BR57" s="883">
        <f t="shared" si="167"/>
        <v>0</v>
      </c>
      <c r="BS57" s="883">
        <f t="shared" si="168"/>
        <v>0</v>
      </c>
      <c r="BT57" s="883">
        <f t="shared" si="169"/>
        <v>0</v>
      </c>
      <c r="BU57" s="883">
        <f t="shared" si="170"/>
        <v>0</v>
      </c>
      <c r="BV57" s="883">
        <f t="shared" si="171"/>
        <v>0</v>
      </c>
      <c r="BW57" s="883">
        <f t="shared" si="172"/>
        <v>0</v>
      </c>
      <c r="BX57" s="883">
        <f t="shared" si="173"/>
        <v>0</v>
      </c>
      <c r="BY57" s="883">
        <f t="shared" si="174"/>
        <v>0</v>
      </c>
      <c r="BZ57" s="873">
        <f t="shared" si="175"/>
        <v>0</v>
      </c>
      <c r="CA57" s="879">
        <f t="shared" si="231"/>
        <v>0</v>
      </c>
      <c r="CB57" s="883">
        <f t="shared" si="176"/>
        <v>0</v>
      </c>
      <c r="CC57" s="883">
        <f t="shared" si="177"/>
        <v>0</v>
      </c>
      <c r="CD57" s="883">
        <f t="shared" si="178"/>
        <v>0</v>
      </c>
      <c r="CE57" s="883">
        <f t="shared" si="179"/>
        <v>0</v>
      </c>
      <c r="CF57" s="883">
        <f t="shared" si="180"/>
        <v>0</v>
      </c>
      <c r="CG57" s="883">
        <f t="shared" si="181"/>
        <v>0</v>
      </c>
      <c r="CH57" s="883">
        <f t="shared" si="182"/>
        <v>0</v>
      </c>
      <c r="CI57" s="883">
        <f t="shared" si="183"/>
        <v>0</v>
      </c>
      <c r="CJ57" s="883">
        <f t="shared" si="184"/>
        <v>0</v>
      </c>
      <c r="CK57" s="883">
        <f t="shared" si="185"/>
        <v>0</v>
      </c>
      <c r="CL57" s="883">
        <f t="shared" si="186"/>
        <v>0</v>
      </c>
      <c r="CM57" s="873">
        <f t="shared" si="187"/>
        <v>0</v>
      </c>
      <c r="CN57" s="879">
        <f t="shared" si="232"/>
        <v>0</v>
      </c>
      <c r="CO57" s="883">
        <f t="shared" si="188"/>
        <v>0</v>
      </c>
      <c r="CP57" s="883">
        <f t="shared" si="189"/>
        <v>0</v>
      </c>
      <c r="CQ57" s="883">
        <f t="shared" si="190"/>
        <v>0</v>
      </c>
      <c r="CR57" s="883">
        <f t="shared" si="191"/>
        <v>0</v>
      </c>
      <c r="CS57" s="883">
        <f t="shared" si="192"/>
        <v>0</v>
      </c>
      <c r="CT57" s="883">
        <f t="shared" si="193"/>
        <v>0</v>
      </c>
      <c r="CU57" s="883">
        <f t="shared" si="194"/>
        <v>0</v>
      </c>
      <c r="CV57" s="883">
        <f t="shared" si="195"/>
        <v>0</v>
      </c>
      <c r="CW57" s="883">
        <f t="shared" si="196"/>
        <v>0</v>
      </c>
      <c r="CX57" s="883">
        <f t="shared" si="197"/>
        <v>0</v>
      </c>
      <c r="CY57" s="883">
        <f t="shared" si="198"/>
        <v>0</v>
      </c>
      <c r="CZ57" s="873">
        <f t="shared" si="199"/>
        <v>0</v>
      </c>
      <c r="DA57" s="879">
        <f t="shared" si="233"/>
        <v>0</v>
      </c>
      <c r="DB57" s="883">
        <f t="shared" si="200"/>
        <v>0</v>
      </c>
      <c r="DC57" s="883">
        <f t="shared" si="201"/>
        <v>0</v>
      </c>
      <c r="DD57" s="883">
        <f t="shared" si="202"/>
        <v>0</v>
      </c>
      <c r="DE57" s="883">
        <f t="shared" si="203"/>
        <v>0</v>
      </c>
      <c r="DF57" s="883">
        <f t="shared" si="204"/>
        <v>0</v>
      </c>
      <c r="DG57" s="883">
        <f t="shared" si="205"/>
        <v>0</v>
      </c>
      <c r="DH57" s="883">
        <f t="shared" si="206"/>
        <v>0</v>
      </c>
      <c r="DI57" s="883">
        <f t="shared" si="207"/>
        <v>0</v>
      </c>
      <c r="DJ57" s="883">
        <f t="shared" si="208"/>
        <v>0</v>
      </c>
      <c r="DK57" s="883">
        <f t="shared" si="209"/>
        <v>0</v>
      </c>
      <c r="DL57" s="883">
        <f t="shared" si="210"/>
        <v>0</v>
      </c>
      <c r="DM57" s="873">
        <f t="shared" si="211"/>
        <v>0</v>
      </c>
      <c r="DN57" s="879">
        <f t="shared" si="234"/>
        <v>0</v>
      </c>
      <c r="DO57" s="883">
        <f t="shared" si="212"/>
        <v>0</v>
      </c>
      <c r="DP57" s="883">
        <f t="shared" si="213"/>
        <v>0</v>
      </c>
      <c r="DQ57" s="883">
        <f t="shared" si="214"/>
        <v>0</v>
      </c>
      <c r="DR57" s="883">
        <f t="shared" si="215"/>
        <v>0</v>
      </c>
      <c r="DS57" s="883">
        <f t="shared" si="216"/>
        <v>0</v>
      </c>
      <c r="DT57" s="883">
        <f t="shared" si="217"/>
        <v>0</v>
      </c>
      <c r="DU57" s="883">
        <f t="shared" si="218"/>
        <v>0</v>
      </c>
      <c r="DV57" s="883">
        <f t="shared" si="219"/>
        <v>0</v>
      </c>
      <c r="DW57" s="883">
        <f t="shared" si="220"/>
        <v>0</v>
      </c>
      <c r="DX57" s="883">
        <f t="shared" si="221"/>
        <v>0</v>
      </c>
      <c r="DY57" s="883">
        <f t="shared" si="222"/>
        <v>0</v>
      </c>
      <c r="DZ57" s="873">
        <f t="shared" si="223"/>
        <v>0</v>
      </c>
      <c r="EA57" s="879">
        <f t="shared" si="235"/>
        <v>0</v>
      </c>
      <c r="EB57" s="883">
        <f t="shared" si="236"/>
        <v>0</v>
      </c>
      <c r="EC57" s="883">
        <f t="shared" si="237"/>
        <v>0</v>
      </c>
      <c r="ED57" s="883">
        <f t="shared" si="238"/>
        <v>0</v>
      </c>
      <c r="EE57" s="883">
        <f t="shared" si="239"/>
        <v>0</v>
      </c>
      <c r="EF57" s="883">
        <f t="shared" si="240"/>
        <v>0</v>
      </c>
      <c r="EG57" s="883">
        <f t="shared" si="241"/>
        <v>0</v>
      </c>
      <c r="EH57" s="883">
        <f t="shared" si="242"/>
        <v>0</v>
      </c>
      <c r="EI57" s="883">
        <f t="shared" si="243"/>
        <v>0</v>
      </c>
      <c r="EJ57" s="883">
        <f t="shared" si="244"/>
        <v>0</v>
      </c>
      <c r="EK57" s="883">
        <f t="shared" si="245"/>
        <v>0</v>
      </c>
      <c r="EL57" s="883">
        <f t="shared" si="246"/>
        <v>0</v>
      </c>
      <c r="EM57" s="873">
        <f t="shared" si="247"/>
        <v>0</v>
      </c>
      <c r="EN57" s="879">
        <f t="shared" si="261"/>
        <v>0</v>
      </c>
      <c r="EO57" s="883">
        <f t="shared" si="248"/>
        <v>0</v>
      </c>
      <c r="EP57" s="883">
        <f t="shared" si="249"/>
        <v>0</v>
      </c>
      <c r="EQ57" s="883">
        <f t="shared" si="250"/>
        <v>0</v>
      </c>
      <c r="ER57" s="883">
        <f t="shared" si="251"/>
        <v>0</v>
      </c>
      <c r="ES57" s="883">
        <f t="shared" si="252"/>
        <v>0</v>
      </c>
      <c r="ET57" s="883">
        <f t="shared" si="253"/>
        <v>0</v>
      </c>
      <c r="EU57" s="883">
        <f t="shared" si="254"/>
        <v>0</v>
      </c>
      <c r="EV57" s="973">
        <f t="shared" si="255"/>
        <v>0</v>
      </c>
      <c r="EW57" s="883"/>
      <c r="EX57" s="883"/>
      <c r="EY57" s="883"/>
      <c r="EZ57" s="873"/>
      <c r="FA57" s="879">
        <f t="shared" si="260"/>
        <v>0</v>
      </c>
      <c r="FC57" s="843" t="str">
        <f t="shared" si="256"/>
        <v/>
      </c>
      <c r="FD57" s="844" t="str">
        <f t="shared" si="224"/>
        <v/>
      </c>
      <c r="FE57" s="845">
        <f t="shared" si="257"/>
        <v>0</v>
      </c>
      <c r="FF57" s="846">
        <f t="shared" si="225"/>
        <v>0</v>
      </c>
      <c r="FI57" s="127"/>
    </row>
    <row r="58" spans="1:172" ht="15" customHeight="1" x14ac:dyDescent="0.25">
      <c r="A58" s="403"/>
      <c r="B58" s="883"/>
      <c r="C58" s="883"/>
      <c r="D58" s="883"/>
      <c r="E58" s="883"/>
      <c r="F58" s="883"/>
      <c r="G58" s="883"/>
      <c r="H58" s="883"/>
      <c r="I58" s="883"/>
      <c r="J58" s="883"/>
      <c r="K58" s="883"/>
      <c r="L58" s="883"/>
      <c r="M58" s="873"/>
      <c r="N58" s="879"/>
      <c r="O58" s="883"/>
      <c r="P58" s="883"/>
      <c r="Q58" s="883"/>
      <c r="R58" s="883"/>
      <c r="S58" s="883"/>
      <c r="T58" s="883"/>
      <c r="U58" s="883"/>
      <c r="V58" s="883"/>
      <c r="W58" s="883"/>
      <c r="X58" s="883"/>
      <c r="Y58" s="883"/>
      <c r="Z58" s="873"/>
      <c r="AA58" s="879"/>
      <c r="AB58" s="883"/>
      <c r="AC58" s="883"/>
      <c r="AD58" s="883"/>
      <c r="AE58" s="883"/>
      <c r="AF58" s="883"/>
      <c r="AG58" s="883"/>
      <c r="AH58" s="883"/>
      <c r="AI58" s="883"/>
      <c r="AJ58" s="883"/>
      <c r="AK58" s="883"/>
      <c r="AL58" s="883"/>
      <c r="AM58" s="873"/>
      <c r="AN58" s="879"/>
      <c r="AO58" s="883"/>
      <c r="AP58" s="883"/>
      <c r="AQ58" s="883"/>
      <c r="AR58" s="883"/>
      <c r="AS58" s="883"/>
      <c r="AT58" s="883"/>
      <c r="AU58" s="883"/>
      <c r="AV58" s="883"/>
      <c r="AW58" s="883"/>
      <c r="AX58" s="883"/>
      <c r="AY58" s="883"/>
      <c r="AZ58" s="873"/>
      <c r="BA58" s="879"/>
      <c r="BB58" s="883"/>
      <c r="BC58" s="883"/>
      <c r="BD58" s="883"/>
      <c r="BE58" s="883"/>
      <c r="BF58" s="883"/>
      <c r="BG58" s="883"/>
      <c r="BH58" s="883"/>
      <c r="BI58" s="883"/>
      <c r="BJ58" s="883"/>
      <c r="BK58" s="883"/>
      <c r="BL58" s="883"/>
      <c r="BM58" s="873"/>
      <c r="BN58" s="879"/>
      <c r="BO58" s="883"/>
      <c r="BP58" s="883"/>
      <c r="BQ58" s="883"/>
      <c r="BR58" s="883"/>
      <c r="BS58" s="883"/>
      <c r="BT58" s="883"/>
      <c r="BU58" s="883"/>
      <c r="BV58" s="883"/>
      <c r="BW58" s="883"/>
      <c r="BX58" s="883"/>
      <c r="BY58" s="883"/>
      <c r="BZ58" s="873"/>
      <c r="CA58" s="879"/>
      <c r="CB58" s="883"/>
      <c r="CC58" s="883"/>
      <c r="CD58" s="883"/>
      <c r="CE58" s="883"/>
      <c r="CF58" s="883"/>
      <c r="CG58" s="883"/>
      <c r="CH58" s="883"/>
      <c r="CI58" s="883"/>
      <c r="CJ58" s="883"/>
      <c r="CK58" s="883"/>
      <c r="CL58" s="883"/>
      <c r="CM58" s="873"/>
      <c r="CN58" s="879"/>
      <c r="CO58" s="883"/>
      <c r="CP58" s="883"/>
      <c r="CQ58" s="883"/>
      <c r="CR58" s="883"/>
      <c r="CS58" s="883"/>
      <c r="CT58" s="883"/>
      <c r="CU58" s="883"/>
      <c r="CV58" s="883"/>
      <c r="CW58" s="883"/>
      <c r="CX58" s="883"/>
      <c r="CY58" s="883"/>
      <c r="CZ58" s="873"/>
      <c r="DA58" s="879"/>
      <c r="DB58" s="883"/>
      <c r="DC58" s="883"/>
      <c r="DD58" s="883"/>
      <c r="DE58" s="883"/>
      <c r="DF58" s="883"/>
      <c r="DG58" s="883"/>
      <c r="DH58" s="883"/>
      <c r="DI58" s="883"/>
      <c r="DJ58" s="883"/>
      <c r="DK58" s="883"/>
      <c r="DL58" s="883"/>
      <c r="DM58" s="873"/>
      <c r="DN58" s="879"/>
      <c r="DO58" s="883"/>
      <c r="DP58" s="883"/>
      <c r="DQ58" s="883"/>
      <c r="DR58" s="883"/>
      <c r="DS58" s="883"/>
      <c r="DT58" s="883"/>
      <c r="DU58" s="883"/>
      <c r="DV58" s="883"/>
      <c r="DW58" s="883"/>
      <c r="DX58" s="883"/>
      <c r="DY58" s="883"/>
      <c r="DZ58" s="873"/>
      <c r="EA58" s="879"/>
      <c r="EB58" s="883"/>
      <c r="EC58" s="883"/>
      <c r="ED58" s="883"/>
      <c r="EE58" s="883"/>
      <c r="EF58" s="883"/>
      <c r="EG58" s="883"/>
      <c r="EH58" s="883"/>
      <c r="EI58" s="883"/>
      <c r="EJ58" s="883"/>
      <c r="EK58" s="883"/>
      <c r="EL58" s="883"/>
      <c r="EM58" s="873"/>
      <c r="EN58" s="879"/>
      <c r="EO58" s="883"/>
      <c r="EP58" s="883"/>
      <c r="EQ58" s="883"/>
      <c r="ER58" s="883"/>
      <c r="ES58" s="883"/>
      <c r="ET58" s="883">
        <f t="shared" si="253"/>
        <v>0</v>
      </c>
      <c r="EU58" s="883">
        <f t="shared" si="254"/>
        <v>0</v>
      </c>
      <c r="EV58" s="973">
        <f t="shared" si="255"/>
        <v>0</v>
      </c>
      <c r="EW58" s="883"/>
      <c r="EX58" s="883"/>
      <c r="EY58" s="883"/>
      <c r="EZ58" s="873"/>
      <c r="FA58" s="879"/>
      <c r="FC58" s="843" t="str">
        <f t="shared" ref="FC58" si="262">IFERROR((((EY58/DY58)-1)*100),"")</f>
        <v/>
      </c>
      <c r="FD58" s="844"/>
      <c r="FE58" s="845"/>
      <c r="FF58" s="846"/>
      <c r="FI58" s="127"/>
    </row>
    <row r="59" spans="1:172" s="753" customFormat="1" ht="15" customHeight="1" x14ac:dyDescent="0.25">
      <c r="A59" s="822" t="s">
        <v>383</v>
      </c>
      <c r="B59" s="884">
        <f t="shared" ref="B59:B64" si="263">B23/$B$39</f>
        <v>25062.757330384888</v>
      </c>
      <c r="C59" s="884">
        <f t="shared" ref="C59:C64" si="264">C23/$C$39</f>
        <v>28038.105379402627</v>
      </c>
      <c r="D59" s="884">
        <f t="shared" ref="D59:D64" si="265">D23/$D$39</f>
        <v>44383.090494396769</v>
      </c>
      <c r="E59" s="884">
        <f t="shared" ref="E59:E64" si="266">E23/$E$39</f>
        <v>30950.179342947391</v>
      </c>
      <c r="F59" s="884">
        <f t="shared" ref="F59:F64" si="267">F23/$F$39</f>
        <v>45813.170850848517</v>
      </c>
      <c r="G59" s="884">
        <f t="shared" ref="G59:G64" si="268">G23/$G$39</f>
        <v>47959.620491385635</v>
      </c>
      <c r="H59" s="884">
        <f t="shared" ref="H59:H64" si="269">H23/$H$39</f>
        <v>33231.099107029797</v>
      </c>
      <c r="I59" s="884">
        <f t="shared" ref="I59:I64" si="270">I23/$I$39</f>
        <v>36072.577826677705</v>
      </c>
      <c r="J59" s="884">
        <f t="shared" ref="J59:J64" si="271">J23/$J$39</f>
        <v>33347.326926121103</v>
      </c>
      <c r="K59" s="884">
        <f t="shared" ref="K59:K64" si="272">K23/$K$39</f>
        <v>36836.088697440777</v>
      </c>
      <c r="L59" s="884">
        <f t="shared" ref="L59:L64" si="273">L23/$L$39</f>
        <v>34094.664354916342</v>
      </c>
      <c r="M59" s="875">
        <f t="shared" ref="M59:M64" si="274">M23/$M$39</f>
        <v>69036.214673595576</v>
      </c>
      <c r="N59" s="876">
        <f t="shared" ref="N59:N64" si="275">SUM(B59:M59)</f>
        <v>464824.895475147</v>
      </c>
      <c r="O59" s="884">
        <f t="shared" ref="O59:O64" si="276">O23/$O$39</f>
        <v>28049.177337769012</v>
      </c>
      <c r="P59" s="884">
        <f t="shared" ref="P59:P64" si="277">P23/$P$39</f>
        <v>30580.44992695827</v>
      </c>
      <c r="Q59" s="884">
        <f t="shared" ref="Q59:Q64" si="278">Q23/$Q$39</f>
        <v>29964.847424837553</v>
      </c>
      <c r="R59" s="884">
        <f t="shared" ref="R59:R64" si="279">R23/$R$39</f>
        <v>30327.921584817708</v>
      </c>
      <c r="S59" s="884">
        <f t="shared" ref="S59:S64" si="280">S23/$S$39</f>
        <v>55520.879683002044</v>
      </c>
      <c r="T59" s="884">
        <f t="shared" ref="T59:T64" si="281">T23/$T$39</f>
        <v>46736.531433399294</v>
      </c>
      <c r="U59" s="884">
        <f t="shared" ref="U59:U64" si="282">U23/$U$39</f>
        <v>76542.961518355674</v>
      </c>
      <c r="V59" s="884">
        <f t="shared" ref="V59:V64" si="283">V23/$V$39</f>
        <v>29392.036302660847</v>
      </c>
      <c r="W59" s="884">
        <f t="shared" ref="W59:W64" si="284">W23/$W$39</f>
        <v>35347.113716014981</v>
      </c>
      <c r="X59" s="884">
        <f t="shared" ref="X59:X64" si="285">X23/$X$39</f>
        <v>41155.18861419936</v>
      </c>
      <c r="Y59" s="884">
        <f t="shared" ref="Y59:Y64" si="286">Y23/$Y$39</f>
        <v>31426.402711143259</v>
      </c>
      <c r="Z59" s="875">
        <f t="shared" ref="Z59:Z64" si="287">Z23/$Z$39</f>
        <v>102558.7805473074</v>
      </c>
      <c r="AA59" s="876">
        <f t="shared" ref="AA59:AA64" si="288">SUM(O59:Z59)</f>
        <v>537602.29080046539</v>
      </c>
      <c r="AB59" s="884">
        <f t="shared" ref="AB59:AB64" si="289">AB23/$AB$39</f>
        <v>27457.285827245967</v>
      </c>
      <c r="AC59" s="884">
        <f t="shared" ref="AC59:AC64" si="290">AC23/$AC$39</f>
        <v>29124.990575990243</v>
      </c>
      <c r="AD59" s="884">
        <f t="shared" ref="AD59:AD64" si="291">AD23/$AD$39</f>
        <v>47240.712073599127</v>
      </c>
      <c r="AE59" s="884">
        <f t="shared" ref="AE59:AE64" si="292">AE23/$AE$39</f>
        <v>47680.969014736249</v>
      </c>
      <c r="AF59" s="884">
        <f t="shared" ref="AF59:AF64" si="293">AF23/$AF$39</f>
        <v>44655.707689594157</v>
      </c>
      <c r="AG59" s="884">
        <f t="shared" ref="AG59:AG64" si="294">AG23/$AG$39</f>
        <v>44832.867637052143</v>
      </c>
      <c r="AH59" s="884">
        <f t="shared" ref="AH59:AH64" si="295">AH23/$AH$39</f>
        <v>43651.269057269834</v>
      </c>
      <c r="AI59" s="884">
        <f t="shared" ref="AI59:AI64" si="296">AI23/$AI$39</f>
        <v>74312.846193846795</v>
      </c>
      <c r="AJ59" s="884">
        <f t="shared" ref="AJ59:AJ64" si="297">AJ23/$AJ$39</f>
        <v>44177.663212416672</v>
      </c>
      <c r="AK59" s="884">
        <f t="shared" ref="AK59:AK64" si="298">AK23/$AK$39</f>
        <v>44673.055543105176</v>
      </c>
      <c r="AL59" s="884">
        <f t="shared" ref="AL59:AL64" si="299">AL23/$AL$39</f>
        <v>57094.870596509361</v>
      </c>
      <c r="AM59" s="875">
        <f t="shared" ref="AM59:AM64" si="300">AM23/$AM$39</f>
        <v>106871.05884300946</v>
      </c>
      <c r="AN59" s="876">
        <f t="shared" ref="AN59:AN64" si="301">SUM(AB59:AM59)</f>
        <v>611773.29626437521</v>
      </c>
      <c r="AO59" s="884">
        <f t="shared" ref="AO59:AO64" si="302">AO23/$AO$39</f>
        <v>33691.298801459925</v>
      </c>
      <c r="AP59" s="884">
        <f t="shared" ref="AP59:AP64" si="303">AP23/$AP$39</f>
        <v>34871.144143890138</v>
      </c>
      <c r="AQ59" s="884">
        <f t="shared" ref="AQ59:AQ64" si="304">AQ23/$AQ$39</f>
        <v>41652.049494440274</v>
      </c>
      <c r="AR59" s="884">
        <f t="shared" ref="AR59:AR64" si="305">AR23/$AR$39</f>
        <v>54144.789286878098</v>
      </c>
      <c r="AS59" s="884">
        <f t="shared" ref="AS59:AS64" si="306">AS23/$AS$39</f>
        <v>50877.897266831817</v>
      </c>
      <c r="AT59" s="884">
        <f t="shared" ref="AT59:AT64" si="307">AT23/$AT$39</f>
        <v>54781.687328195731</v>
      </c>
      <c r="AU59" s="884">
        <f t="shared" ref="AU59:AU64" si="308">AU23/$AU$39</f>
        <v>56848.323144118309</v>
      </c>
      <c r="AV59" s="884">
        <f t="shared" ref="AV59:AV64" si="309">AV23/$AV$39</f>
        <v>57271.156714230536</v>
      </c>
      <c r="AW59" s="884">
        <f t="shared" ref="AW59:AW64" si="310">AW23/$AW$39</f>
        <v>51481.84175796964</v>
      </c>
      <c r="AX59" s="884">
        <f t="shared" ref="AX59:AX64" si="311">AX23/$AX$39</f>
        <v>43914.923451426315</v>
      </c>
      <c r="AY59" s="884">
        <f t="shared" ref="AY59:AY64" si="312">AY23/$AY$39</f>
        <v>75960.404011805498</v>
      </c>
      <c r="AZ59" s="875">
        <f t="shared" ref="AZ59:AZ64" si="313">AZ23/$AZ$39</f>
        <v>57092.628745411821</v>
      </c>
      <c r="BA59" s="876">
        <f t="shared" ref="BA59:BA64" si="314">SUM(AO59:AZ59)</f>
        <v>612588.14414665813</v>
      </c>
      <c r="BB59" s="884">
        <f t="shared" ref="BB59:BB64" si="315">BB23/$BB$39</f>
        <v>97694.539612064167</v>
      </c>
      <c r="BC59" s="884">
        <f t="shared" ref="BC59:BC64" si="316">BC23/$BC$39</f>
        <v>52762.075072372223</v>
      </c>
      <c r="BD59" s="884">
        <f t="shared" ref="BD59:BD64" si="317">BD23/$BD$39</f>
        <v>45227.39004245618</v>
      </c>
      <c r="BE59" s="884">
        <f t="shared" ref="BE59:BE64" si="318">BE23/$BE$39</f>
        <v>38728.019252913582</v>
      </c>
      <c r="BF59" s="884">
        <f t="shared" ref="BF59:BF64" si="319">BF23/$BF$39</f>
        <v>62221.668792556513</v>
      </c>
      <c r="BG59" s="884">
        <f t="shared" ref="BG59:BG64" si="320">BG23/$BG$39</f>
        <v>71828.446869026448</v>
      </c>
      <c r="BH59" s="884">
        <f t="shared" ref="BH59:BH64" si="321">BH23/$BH$39</f>
        <v>63377.222016554886</v>
      </c>
      <c r="BI59" s="884">
        <f t="shared" ref="BI59:BI64" si="322">BI23/$BI$39</f>
        <v>80423.347871781327</v>
      </c>
      <c r="BJ59" s="884">
        <f t="shared" ref="BJ59:BJ64" si="323">BJ23/$BJ$39</f>
        <v>62207.962225380172</v>
      </c>
      <c r="BK59" s="884">
        <f t="shared" ref="BK59:BK64" si="324">BK23/$BK$39</f>
        <v>83909.827292742804</v>
      </c>
      <c r="BL59" s="884">
        <f t="shared" ref="BL59:BL64" si="325">BL23/$BL$39</f>
        <v>68719.327479443527</v>
      </c>
      <c r="BM59" s="875">
        <f t="shared" ref="BM59:BM64" si="326">BM23/$BM$39</f>
        <v>108099.34266190755</v>
      </c>
      <c r="BN59" s="876">
        <f t="shared" ref="BN59:BN64" si="327">SUM(BB59:BM59)</f>
        <v>835199.16918919934</v>
      </c>
      <c r="BO59" s="884">
        <f t="shared" ref="BO59:BO64" si="328">BO23/$BO$38</f>
        <v>55492.66200122259</v>
      </c>
      <c r="BP59" s="884">
        <f t="shared" ref="BP59:BP64" si="329">BP23/$BP$38</f>
        <v>43562.334035705113</v>
      </c>
      <c r="BQ59" s="884">
        <f t="shared" ref="BQ59:BQ64" si="330">BQ23/$BQ$38</f>
        <v>41623.799225235074</v>
      </c>
      <c r="BR59" s="884">
        <f t="shared" ref="BR59:BR64" si="331">BR23/$BR$38</f>
        <v>51376.999026162855</v>
      </c>
      <c r="BS59" s="884">
        <f t="shared" ref="BS59:BS64" si="332">BS23/$BS$38</f>
        <v>41301.414207596041</v>
      </c>
      <c r="BT59" s="884">
        <f t="shared" ref="BT59:BT64" si="333">BT23/$BT$38</f>
        <v>41266.362334735226</v>
      </c>
      <c r="BU59" s="884">
        <f t="shared" ref="BU59:BU64" si="334">BU23/$BU$38</f>
        <v>51538.553501853276</v>
      </c>
      <c r="BV59" s="884">
        <f t="shared" ref="BV59:BV64" si="335">BV23/$BV$38</f>
        <v>66433.353591246734</v>
      </c>
      <c r="BW59" s="884">
        <f t="shared" ref="BW59:BW64" si="336">BW23/$BW$38</f>
        <v>59373.69559083959</v>
      </c>
      <c r="BX59" s="884">
        <f t="shared" ref="BX59:BX64" si="337">BX23/$BX$38</f>
        <v>76788.608741900258</v>
      </c>
      <c r="BY59" s="884">
        <f t="shared" ref="BY59:BY64" si="338">BY23/$BY$38</f>
        <v>96499.479142387427</v>
      </c>
      <c r="BZ59" s="875">
        <f t="shared" ref="BZ59:BZ64" si="339">BZ23/$BZ$38</f>
        <v>107527.52180779976</v>
      </c>
      <c r="CA59" s="876">
        <f t="shared" ref="CA59:CA64" si="340">SUM(BO59:BZ59)</f>
        <v>732784.78320668405</v>
      </c>
      <c r="CB59" s="884">
        <f t="shared" ref="CB59:CB64" si="341">CB23/$CB$38</f>
        <v>51084.460222374037</v>
      </c>
      <c r="CC59" s="884">
        <f t="shared" ref="CC59:CC64" si="342">CC23/$CC$38</f>
        <v>50941.083547485425</v>
      </c>
      <c r="CD59" s="884">
        <f t="shared" ref="CD59:CD64" si="343">CD23/$CD$38</f>
        <v>57819.175095415128</v>
      </c>
      <c r="CE59" s="884">
        <f t="shared" ref="CE59:CE64" si="344">CE23/$CE$38</f>
        <v>56276.036457188093</v>
      </c>
      <c r="CF59" s="884">
        <f t="shared" ref="CF59:CF64" si="345">CF23/$CF$38</f>
        <v>58995.896255803709</v>
      </c>
      <c r="CG59" s="884">
        <f t="shared" ref="CG59:CG64" si="346">CG23/$CG$38</f>
        <v>58275.980961122179</v>
      </c>
      <c r="CH59" s="884">
        <f t="shared" ref="CH59:CH64" si="347">CH23/$CH$38</f>
        <v>68784.116386933456</v>
      </c>
      <c r="CI59" s="884">
        <f t="shared" ref="CI59:CI64" si="348">CI23/$CI$38</f>
        <v>55699.222064766691</v>
      </c>
      <c r="CJ59" s="884">
        <f t="shared" ref="CJ59:CJ64" si="349">CJ23/$CJ$38</f>
        <v>64140.085928727152</v>
      </c>
      <c r="CK59" s="884">
        <f t="shared" ref="CK59:CK64" si="350">CK23/$CK$38</f>
        <v>55907.182288981472</v>
      </c>
      <c r="CL59" s="884">
        <f t="shared" ref="CL59:CL64" si="351">CL23/$CL$38</f>
        <v>65545.504178296309</v>
      </c>
      <c r="CM59" s="875">
        <f t="shared" ref="CM59:CM64" si="352">CM23/$CM$38</f>
        <v>103691.62288320978</v>
      </c>
      <c r="CN59" s="876">
        <f t="shared" si="232"/>
        <v>747160.36627030349</v>
      </c>
      <c r="CO59" s="884">
        <f t="shared" ref="CO59:CO64" si="353">CO23/$CO$38</f>
        <v>38412.213647113269</v>
      </c>
      <c r="CP59" s="884">
        <f t="shared" ref="CP59:CP64" si="354">CP23/$CP$38</f>
        <v>59807.818500011388</v>
      </c>
      <c r="CQ59" s="884">
        <f t="shared" ref="CQ59:CQ64" si="355">CQ23/$CQ$38</f>
        <v>67912.036368545581</v>
      </c>
      <c r="CR59" s="884">
        <f t="shared" ref="CR59:CR64" si="356">CR23/$CR$38</f>
        <v>52703.20210997673</v>
      </c>
      <c r="CS59" s="884">
        <f t="shared" ref="CS59:CS64" si="357">CS23/$CS$38</f>
        <v>52088.910381004505</v>
      </c>
      <c r="CT59" s="884">
        <f t="shared" ref="CT59:CT64" si="358">CT23/$CT$38</f>
        <v>59553.385948559386</v>
      </c>
      <c r="CU59" s="884">
        <f t="shared" ref="CU59:CU64" si="359">CU23/$CU$38</f>
        <v>71915.374984960625</v>
      </c>
      <c r="CV59" s="884">
        <f t="shared" ref="CV59:CV64" si="360">CV23/$CV$38</f>
        <v>60965.699210061735</v>
      </c>
      <c r="CW59" s="884">
        <f t="shared" ref="CW59:CW64" si="361">CW23/$CW$38</f>
        <v>61375.157420324358</v>
      </c>
      <c r="CX59" s="884">
        <f t="shared" ref="CX59:CX64" si="362">CX23/$CX$38</f>
        <v>58224.765133490509</v>
      </c>
      <c r="CY59" s="884">
        <f t="shared" ref="CY59:CY64" si="363">CY23/$CY$38</f>
        <v>62302.009555252218</v>
      </c>
      <c r="CZ59" s="875">
        <f t="shared" ref="CZ59:CZ64" si="364">CZ23/$CZ$38</f>
        <v>93716.701128599001</v>
      </c>
      <c r="DA59" s="876">
        <f t="shared" si="233"/>
        <v>738977.27438789944</v>
      </c>
      <c r="DB59" s="884">
        <f t="shared" ref="DB59:DB66" si="365">DB23/$DB$38</f>
        <v>50823.231877910031</v>
      </c>
      <c r="DC59" s="884">
        <f t="shared" ref="DC59:DC64" si="366">DC23/$DC$38</f>
        <v>53866.725759041808</v>
      </c>
      <c r="DD59" s="884">
        <f t="shared" ref="DD59:DD64" si="367">DD23/$DD$38</f>
        <v>53726.496931850066</v>
      </c>
      <c r="DE59" s="884">
        <f t="shared" ref="DE59:DE64" si="368">DE23/$DE$38</f>
        <v>53242.810337582276</v>
      </c>
      <c r="DF59" s="884">
        <f t="shared" ref="DF59:DF64" si="369">DF23/$DF$38</f>
        <v>60886.942405833695</v>
      </c>
      <c r="DG59" s="884">
        <f t="shared" ref="DG59:DG64" si="370">DG23/$DG$38</f>
        <v>72965.123519170258</v>
      </c>
      <c r="DH59" s="884">
        <f t="shared" ref="DH59:DH64" si="371">DH23/$DH$38</f>
        <v>72814.263469238562</v>
      </c>
      <c r="DI59" s="884">
        <f t="shared" ref="DI59:DI66" si="372">DI23/$DI$38</f>
        <v>65589.886527483104</v>
      </c>
      <c r="DJ59" s="884">
        <f t="shared" ref="DJ59:DJ64" si="373">DJ23/$DJ$38</f>
        <v>64905.035507773136</v>
      </c>
      <c r="DK59" s="884">
        <f t="shared" ref="DK59:DK64" si="374">DK23/$DK$38</f>
        <v>74658.109404553747</v>
      </c>
      <c r="DL59" s="884">
        <f t="shared" ref="DL59:DL64" si="375">DL23/$DL$38</f>
        <v>79724.498310333394</v>
      </c>
      <c r="DM59" s="875">
        <f t="shared" ref="DM59:DM66" si="376">DM23/$DM$38</f>
        <v>172997.06373043917</v>
      </c>
      <c r="DN59" s="876">
        <f t="shared" si="234"/>
        <v>876200.18778120936</v>
      </c>
      <c r="DO59" s="884">
        <f t="shared" ref="DO59:DO66" si="377">DO23/$DO$38</f>
        <v>64875.23692504612</v>
      </c>
      <c r="DP59" s="884">
        <f t="shared" ref="DP59:DP64" si="378">DP23/$DP$38</f>
        <v>62918.441286777866</v>
      </c>
      <c r="DQ59" s="884">
        <f t="shared" ref="DQ59:DQ66" si="379">DQ23/$DQ$38</f>
        <v>73887.366437637902</v>
      </c>
      <c r="DR59" s="884">
        <f t="shared" ref="DR59:DR66" si="380">DR23/$DR$38</f>
        <v>76080.274863386774</v>
      </c>
      <c r="DS59" s="884">
        <f t="shared" ref="DS59:DS64" si="381">DS23/$DS$38</f>
        <v>102731.32060415663</v>
      </c>
      <c r="DT59" s="884">
        <f t="shared" ref="DT59:DT64" si="382">DT23/$DT$38</f>
        <v>74630.766835885166</v>
      </c>
      <c r="DU59" s="884">
        <f t="shared" ref="DU59:DU64" si="383">DU23/$DU$38</f>
        <v>85120.544276646528</v>
      </c>
      <c r="DV59" s="884">
        <f t="shared" ref="DV59:DV64" si="384">DV23/$DV$38</f>
        <v>100419.64373862368</v>
      </c>
      <c r="DW59" s="884">
        <f t="shared" ref="DW59:DW64" si="385">DW23/$DW$38</f>
        <v>68867.527648170217</v>
      </c>
      <c r="DX59" s="884">
        <f t="shared" ref="DX59:DX64" si="386">DX23/$DX$38</f>
        <v>93100.281871419633</v>
      </c>
      <c r="DY59" s="884">
        <f t="shared" ref="DY59:DY66" si="387">DY23/$DY$38</f>
        <v>103197.62942634651</v>
      </c>
      <c r="DZ59" s="875">
        <f t="shared" ref="DZ59:DZ64" si="388">DZ23/$DZ$38</f>
        <v>101046.23928204308</v>
      </c>
      <c r="EA59" s="876">
        <f t="shared" si="235"/>
        <v>1006875.2731961402</v>
      </c>
      <c r="EB59" s="884">
        <f t="shared" si="236"/>
        <v>57323.901833187811</v>
      </c>
      <c r="EC59" s="884">
        <f t="shared" si="237"/>
        <v>70835.731846431634</v>
      </c>
      <c r="ED59" s="884">
        <f t="shared" si="238"/>
        <v>62457.207224740123</v>
      </c>
      <c r="EE59" s="884">
        <f t="shared" si="239"/>
        <v>71735.525448687302</v>
      </c>
      <c r="EF59" s="884">
        <f t="shared" si="240"/>
        <v>88303.295752759601</v>
      </c>
      <c r="EG59" s="884">
        <f t="shared" si="241"/>
        <v>77136.11709291226</v>
      </c>
      <c r="EH59" s="884">
        <f t="shared" si="242"/>
        <v>81381.643811857779</v>
      </c>
      <c r="EI59" s="884">
        <f t="shared" si="243"/>
        <v>78053.135549846513</v>
      </c>
      <c r="EJ59" s="884">
        <f t="shared" si="244"/>
        <v>73822.250489903992</v>
      </c>
      <c r="EK59" s="884">
        <f t="shared" si="245"/>
        <v>75338.755476907987</v>
      </c>
      <c r="EL59" s="884">
        <f t="shared" si="246"/>
        <v>84423.466654547374</v>
      </c>
      <c r="EM59" s="875">
        <f t="shared" si="247"/>
        <v>118868.94912655881</v>
      </c>
      <c r="EN59" s="876">
        <f t="shared" ref="EN59:EN61" si="389">SUM(EB59:EM59)</f>
        <v>939679.98030834121</v>
      </c>
      <c r="EO59" s="884">
        <f t="shared" ref="EO59:EO64" si="390">EO23/$EO$38</f>
        <v>75636.386479609457</v>
      </c>
      <c r="EP59" s="884">
        <f t="shared" ref="EP59:EP64" si="391">EP23/$EP$38</f>
        <v>95204.709159977836</v>
      </c>
      <c r="EQ59" s="884">
        <f t="shared" si="250"/>
        <v>69408.949292660327</v>
      </c>
      <c r="ER59" s="884">
        <f t="shared" si="251"/>
        <v>88421.637889292862</v>
      </c>
      <c r="ES59" s="884">
        <f t="shared" si="252"/>
        <v>101704.02912100118</v>
      </c>
      <c r="ET59" s="884">
        <f t="shared" si="253"/>
        <v>84382.304679872599</v>
      </c>
      <c r="EU59" s="884">
        <f t="shared" si="254"/>
        <v>94764.107131760276</v>
      </c>
      <c r="EV59" s="971">
        <f>EV23/$EV$38</f>
        <v>94919.188810551423</v>
      </c>
      <c r="EW59" s="884"/>
      <c r="EX59" s="884"/>
      <c r="EY59" s="884"/>
      <c r="EZ59" s="875"/>
      <c r="FA59" s="876">
        <f t="shared" si="260"/>
        <v>704441.31256472587</v>
      </c>
      <c r="FB59" s="757"/>
      <c r="FC59" s="841">
        <f>IFERROR(((
_xlfn.XLOOKUP((DATE(YEAR($FC$5),MONTH($FC$5),1)),$B$5:$FA$5,$B59:$FA59) /
_xlfn.XLOOKUP((DATE(YEAR($FC$5)-1,MONTH($FC$5),1)),$B$5:$FA$5,$B59:$FA59)
)-1)*100,"")</f>
        <v>21.608425006749243</v>
      </c>
      <c r="FD59" s="842">
        <f t="shared" ref="FD59:FD66" si="392">IFERROR(((FF59/FE59)-1)*100,"")</f>
        <v>19.960737860980426</v>
      </c>
      <c r="FE59" s="702">
        <f>SUMIFS($B59:$FA59,$B$5:$FA$5,"&gt;="&amp;DATE(YEAR($FC$5)-1,1,1),$B$5:$FA$5,"&lt;="&amp;DATE(YEAR($FC$5)-1,MONTH($FC$5),1))</f>
        <v>587226.55856042309</v>
      </c>
      <c r="FF59" s="703">
        <f t="shared" ref="FF59:FF66" si="393">SUMIFS($B59:$FA59,$B$5:$FA$5,"&gt;="&amp;DATE(YEAR($FC$5),1,1),$B$5:$FA$5,"&lt;="&amp;$FC$5)</f>
        <v>704441.31256472587</v>
      </c>
      <c r="FG59"/>
      <c r="FH59" s="757"/>
      <c r="FI59" s="838"/>
      <c r="FJ59"/>
      <c r="FK59"/>
      <c r="FL59"/>
      <c r="FM59"/>
      <c r="FN59"/>
      <c r="FO59"/>
      <c r="FP59"/>
    </row>
    <row r="60" spans="1:172" ht="15" customHeight="1" x14ac:dyDescent="0.25">
      <c r="A60" s="403" t="s">
        <v>384</v>
      </c>
      <c r="B60" s="883">
        <f t="shared" si="263"/>
        <v>24638.377757514554</v>
      </c>
      <c r="C60" s="883">
        <f t="shared" si="264"/>
        <v>26377.005910245083</v>
      </c>
      <c r="D60" s="883">
        <f t="shared" si="265"/>
        <v>33434.872692020734</v>
      </c>
      <c r="E60" s="883">
        <f t="shared" si="266"/>
        <v>28232.859562812755</v>
      </c>
      <c r="F60" s="883">
        <f t="shared" si="267"/>
        <v>37031.831671366832</v>
      </c>
      <c r="G60" s="883">
        <f t="shared" si="268"/>
        <v>40096.997451183925</v>
      </c>
      <c r="H60" s="883">
        <f t="shared" si="269"/>
        <v>30808.969453637797</v>
      </c>
      <c r="I60" s="883">
        <f t="shared" si="270"/>
        <v>29446.644903242362</v>
      </c>
      <c r="J60" s="883">
        <f t="shared" si="271"/>
        <v>28210.00104732014</v>
      </c>
      <c r="K60" s="883">
        <f t="shared" si="272"/>
        <v>31686.941672338344</v>
      </c>
      <c r="L60" s="883">
        <f t="shared" si="273"/>
        <v>28953.116850654307</v>
      </c>
      <c r="M60" s="873">
        <f t="shared" si="274"/>
        <v>59357.267993227157</v>
      </c>
      <c r="N60" s="879">
        <f t="shared" si="275"/>
        <v>398274.88696556404</v>
      </c>
      <c r="O60" s="883">
        <f t="shared" si="276"/>
        <v>27320.334529903059</v>
      </c>
      <c r="P60" s="883">
        <f t="shared" si="277"/>
        <v>27668.526197159114</v>
      </c>
      <c r="Q60" s="883">
        <f t="shared" si="278"/>
        <v>26532.687952955421</v>
      </c>
      <c r="R60" s="883">
        <f t="shared" si="279"/>
        <v>27661.050659283195</v>
      </c>
      <c r="S60" s="883">
        <f t="shared" si="280"/>
        <v>49604.604503916853</v>
      </c>
      <c r="T60" s="883">
        <f t="shared" si="281"/>
        <v>31751.806566451301</v>
      </c>
      <c r="U60" s="883">
        <f t="shared" si="282"/>
        <v>63400.142983038299</v>
      </c>
      <c r="V60" s="883">
        <f t="shared" si="283"/>
        <v>25627.69572774601</v>
      </c>
      <c r="W60" s="883">
        <f t="shared" si="284"/>
        <v>30051.616205287599</v>
      </c>
      <c r="X60" s="883">
        <f t="shared" si="285"/>
        <v>38198.46659847477</v>
      </c>
      <c r="Y60" s="883">
        <f t="shared" si="286"/>
        <v>28411.526347209496</v>
      </c>
      <c r="Z60" s="873">
        <f t="shared" si="287"/>
        <v>83759.698209423674</v>
      </c>
      <c r="AA60" s="879">
        <f t="shared" si="288"/>
        <v>459988.15648084879</v>
      </c>
      <c r="AB60" s="883">
        <f t="shared" si="289"/>
        <v>26890.239522998851</v>
      </c>
      <c r="AC60" s="883">
        <f t="shared" si="290"/>
        <v>26425.218450157579</v>
      </c>
      <c r="AD60" s="883">
        <f t="shared" si="291"/>
        <v>41127.992862399675</v>
      </c>
      <c r="AE60" s="883">
        <f t="shared" si="292"/>
        <v>43259.393082787145</v>
      </c>
      <c r="AF60" s="883">
        <f t="shared" si="293"/>
        <v>40960.695379837634</v>
      </c>
      <c r="AG60" s="883">
        <f t="shared" si="294"/>
        <v>40083.926586430491</v>
      </c>
      <c r="AH60" s="883">
        <f t="shared" si="295"/>
        <v>35846.242561316882</v>
      </c>
      <c r="AI60" s="883">
        <f t="shared" si="296"/>
        <v>66675.921734547839</v>
      </c>
      <c r="AJ60" s="883">
        <f t="shared" si="297"/>
        <v>37047.676237240194</v>
      </c>
      <c r="AK60" s="883">
        <f t="shared" si="298"/>
        <v>40390.137396873506</v>
      </c>
      <c r="AL60" s="883">
        <f t="shared" si="299"/>
        <v>50218.64971182101</v>
      </c>
      <c r="AM60" s="873">
        <f t="shared" si="300"/>
        <v>78962.474024280222</v>
      </c>
      <c r="AN60" s="879">
        <f t="shared" si="301"/>
        <v>527888.56755069108</v>
      </c>
      <c r="AO60" s="883">
        <f t="shared" si="302"/>
        <v>32941.163473444511</v>
      </c>
      <c r="AP60" s="883">
        <f t="shared" si="303"/>
        <v>32183.997904465985</v>
      </c>
      <c r="AQ60" s="883">
        <f t="shared" si="304"/>
        <v>37266.532522433139</v>
      </c>
      <c r="AR60" s="883">
        <f t="shared" si="305"/>
        <v>46650.978131991469</v>
      </c>
      <c r="AS60" s="883">
        <f t="shared" si="306"/>
        <v>46117.931993513223</v>
      </c>
      <c r="AT60" s="883">
        <f t="shared" si="307"/>
        <v>47860.97195713652</v>
      </c>
      <c r="AU60" s="883">
        <f t="shared" si="308"/>
        <v>50430.491156865246</v>
      </c>
      <c r="AV60" s="883">
        <f t="shared" si="309"/>
        <v>37071.370995208985</v>
      </c>
      <c r="AW60" s="883">
        <f t="shared" si="310"/>
        <v>37006.025950316056</v>
      </c>
      <c r="AX60" s="883">
        <f t="shared" si="311"/>
        <v>34361.955845121425</v>
      </c>
      <c r="AY60" s="883">
        <f t="shared" si="312"/>
        <v>40405.688194925249</v>
      </c>
      <c r="AZ60" s="873">
        <f t="shared" si="313"/>
        <v>46471.269318858991</v>
      </c>
      <c r="BA60" s="879">
        <f t="shared" si="314"/>
        <v>488768.37744428078</v>
      </c>
      <c r="BB60" s="883">
        <f t="shared" si="315"/>
        <v>97411.144305896305</v>
      </c>
      <c r="BC60" s="883">
        <f t="shared" si="316"/>
        <v>50361.270759689054</v>
      </c>
      <c r="BD60" s="883">
        <f t="shared" si="317"/>
        <v>37316.021619841333</v>
      </c>
      <c r="BE60" s="883">
        <f t="shared" si="318"/>
        <v>35781.564762201997</v>
      </c>
      <c r="BF60" s="883">
        <f t="shared" si="319"/>
        <v>51783.133070501703</v>
      </c>
      <c r="BG60" s="883">
        <f t="shared" si="320"/>
        <v>61943.094688165809</v>
      </c>
      <c r="BH60" s="883">
        <f t="shared" si="321"/>
        <v>48973.276297248944</v>
      </c>
      <c r="BI60" s="883">
        <f t="shared" si="322"/>
        <v>54884.764712234566</v>
      </c>
      <c r="BJ60" s="883">
        <f t="shared" si="323"/>
        <v>29305.703445230505</v>
      </c>
      <c r="BK60" s="883">
        <f t="shared" si="324"/>
        <v>45105.12616230295</v>
      </c>
      <c r="BL60" s="883">
        <f t="shared" si="325"/>
        <v>41291.395858022144</v>
      </c>
      <c r="BM60" s="873">
        <f t="shared" si="326"/>
        <v>68451.402188053587</v>
      </c>
      <c r="BN60" s="879">
        <f t="shared" si="327"/>
        <v>622607.89786938892</v>
      </c>
      <c r="BO60" s="883">
        <f t="shared" si="328"/>
        <v>51307.186783698955</v>
      </c>
      <c r="BP60" s="883">
        <f t="shared" si="329"/>
        <v>42677.212855935766</v>
      </c>
      <c r="BQ60" s="883">
        <f t="shared" si="330"/>
        <v>38240.732815056312</v>
      </c>
      <c r="BR60" s="883">
        <f t="shared" si="331"/>
        <v>42000.562970342871</v>
      </c>
      <c r="BS60" s="883">
        <f t="shared" si="332"/>
        <v>37484.95354734455</v>
      </c>
      <c r="BT60" s="883">
        <f t="shared" si="333"/>
        <v>38280.969659718205</v>
      </c>
      <c r="BU60" s="883">
        <f t="shared" si="334"/>
        <v>45198.878301073892</v>
      </c>
      <c r="BV60" s="883">
        <f t="shared" si="335"/>
        <v>50399.838987351366</v>
      </c>
      <c r="BW60" s="883">
        <f t="shared" si="336"/>
        <v>50691.341793879219</v>
      </c>
      <c r="BX60" s="883">
        <f t="shared" si="337"/>
        <v>58167.581087374056</v>
      </c>
      <c r="BY60" s="883">
        <f t="shared" si="338"/>
        <v>80563.523597372201</v>
      </c>
      <c r="BZ60" s="873">
        <f t="shared" si="339"/>
        <v>66137.82782549769</v>
      </c>
      <c r="CA60" s="879">
        <f t="shared" si="340"/>
        <v>601150.61022464524</v>
      </c>
      <c r="CB60" s="883">
        <f t="shared" si="341"/>
        <v>42489.508888355515</v>
      </c>
      <c r="CC60" s="883">
        <f t="shared" si="342"/>
        <v>36576.598213695841</v>
      </c>
      <c r="CD60" s="883">
        <f t="shared" si="343"/>
        <v>42857.62116992761</v>
      </c>
      <c r="CE60" s="883">
        <f t="shared" si="344"/>
        <v>40300.713367626005</v>
      </c>
      <c r="CF60" s="883">
        <f t="shared" si="345"/>
        <v>40266.351015545784</v>
      </c>
      <c r="CG60" s="883">
        <f t="shared" si="346"/>
        <v>40032.793554192183</v>
      </c>
      <c r="CH60" s="883">
        <f t="shared" si="347"/>
        <v>39317.99289085983</v>
      </c>
      <c r="CI60" s="883">
        <f t="shared" si="348"/>
        <v>35986.01619280006</v>
      </c>
      <c r="CJ60" s="883">
        <f t="shared" si="349"/>
        <v>41374.022240638311</v>
      </c>
      <c r="CK60" s="883">
        <f t="shared" si="350"/>
        <v>35605.630232771873</v>
      </c>
      <c r="CL60" s="883">
        <f t="shared" si="351"/>
        <v>47132.429794918404</v>
      </c>
      <c r="CM60" s="873">
        <f t="shared" si="352"/>
        <v>57849.024091916232</v>
      </c>
      <c r="CN60" s="879">
        <f t="shared" si="232"/>
        <v>499788.70165324764</v>
      </c>
      <c r="CO60" s="883">
        <f t="shared" si="353"/>
        <v>34804.711487210894</v>
      </c>
      <c r="CP60" s="883">
        <f t="shared" si="354"/>
        <v>38143.552265148959</v>
      </c>
      <c r="CQ60" s="883">
        <f t="shared" si="355"/>
        <v>41129.860136124604</v>
      </c>
      <c r="CR60" s="883">
        <f t="shared" si="356"/>
        <v>40257.882346860497</v>
      </c>
      <c r="CS60" s="883">
        <f t="shared" si="357"/>
        <v>41399.266548157197</v>
      </c>
      <c r="CT60" s="883">
        <f t="shared" si="358"/>
        <v>48192.866515548565</v>
      </c>
      <c r="CU60" s="883">
        <f t="shared" si="359"/>
        <v>56072.096701252805</v>
      </c>
      <c r="CV60" s="883">
        <f t="shared" si="360"/>
        <v>41985.794706101995</v>
      </c>
      <c r="CW60" s="883">
        <f t="shared" si="361"/>
        <v>41781.157103032405</v>
      </c>
      <c r="CX60" s="883">
        <f t="shared" si="362"/>
        <v>37026.225800052183</v>
      </c>
      <c r="CY60" s="883">
        <f t="shared" si="363"/>
        <v>39088.236802986437</v>
      </c>
      <c r="CZ60" s="873">
        <f t="shared" si="364"/>
        <v>62230.741321110894</v>
      </c>
      <c r="DA60" s="879">
        <f t="shared" si="233"/>
        <v>522112.39173358737</v>
      </c>
      <c r="DB60" s="883">
        <f t="shared" si="365"/>
        <v>49741.599318832588</v>
      </c>
      <c r="DC60" s="883">
        <f t="shared" si="366"/>
        <v>44608.437130755003</v>
      </c>
      <c r="DD60" s="883">
        <f t="shared" si="367"/>
        <v>41589.803919178543</v>
      </c>
      <c r="DE60" s="883">
        <f t="shared" si="368"/>
        <v>41778.912597009759</v>
      </c>
      <c r="DF60" s="883">
        <f t="shared" si="369"/>
        <v>42238.038963360392</v>
      </c>
      <c r="DG60" s="883">
        <f t="shared" si="370"/>
        <v>50711.297324552012</v>
      </c>
      <c r="DH60" s="883">
        <f t="shared" si="371"/>
        <v>49178.590885412224</v>
      </c>
      <c r="DI60" s="883">
        <f t="shared" si="372"/>
        <v>48200.979590989904</v>
      </c>
      <c r="DJ60" s="883">
        <f t="shared" si="373"/>
        <v>47906.138298654914</v>
      </c>
      <c r="DK60" s="883">
        <f t="shared" si="374"/>
        <v>46595.071355854408</v>
      </c>
      <c r="DL60" s="883">
        <f t="shared" si="375"/>
        <v>50418.698015208618</v>
      </c>
      <c r="DM60" s="873">
        <f t="shared" si="376"/>
        <v>66898.593522251147</v>
      </c>
      <c r="DN60" s="879">
        <f t="shared" si="234"/>
        <v>579866.16092205944</v>
      </c>
      <c r="DO60" s="883">
        <f t="shared" si="377"/>
        <v>57985.261673235102</v>
      </c>
      <c r="DP60" s="883">
        <f t="shared" si="378"/>
        <v>46915.123539805594</v>
      </c>
      <c r="DQ60" s="883">
        <f t="shared" si="379"/>
        <v>44434.135477337033</v>
      </c>
      <c r="DR60" s="883">
        <f t="shared" si="380"/>
        <v>51242.853881580151</v>
      </c>
      <c r="DS60" s="883">
        <f t="shared" si="381"/>
        <v>53594.01834540916</v>
      </c>
      <c r="DT60" s="883">
        <f t="shared" si="382"/>
        <v>50968.433600949931</v>
      </c>
      <c r="DU60" s="883">
        <f t="shared" si="383"/>
        <v>57511.67352854021</v>
      </c>
      <c r="DV60" s="883">
        <f t="shared" si="384"/>
        <v>54338.808026423176</v>
      </c>
      <c r="DW60" s="883">
        <f t="shared" si="385"/>
        <v>47938.313686080633</v>
      </c>
      <c r="DX60" s="883">
        <f t="shared" si="386"/>
        <v>51401.749578171119</v>
      </c>
      <c r="DY60" s="883">
        <f t="shared" si="387"/>
        <v>70459.842540910686</v>
      </c>
      <c r="DZ60" s="873">
        <f t="shared" si="388"/>
        <v>65406.423086070579</v>
      </c>
      <c r="EA60" s="879">
        <f t="shared" si="235"/>
        <v>652196.63696451334</v>
      </c>
      <c r="EB60" s="883">
        <f t="shared" si="236"/>
        <v>53253.740967733553</v>
      </c>
      <c r="EC60" s="883">
        <f t="shared" si="237"/>
        <v>49567.487813058251</v>
      </c>
      <c r="ED60" s="883">
        <f t="shared" si="238"/>
        <v>48287.853926360476</v>
      </c>
      <c r="EE60" s="883">
        <f t="shared" si="239"/>
        <v>51219.242429948572</v>
      </c>
      <c r="EF60" s="883">
        <f t="shared" si="240"/>
        <v>62777.41683656098</v>
      </c>
      <c r="EG60" s="883">
        <f t="shared" si="241"/>
        <v>58185.450580330667</v>
      </c>
      <c r="EH60" s="883">
        <f t="shared" si="242"/>
        <v>59732.80166879185</v>
      </c>
      <c r="EI60" s="883">
        <f t="shared" si="243"/>
        <v>53772.684577677028</v>
      </c>
      <c r="EJ60" s="883">
        <f t="shared" si="244"/>
        <v>53521.779909285309</v>
      </c>
      <c r="EK60" s="883">
        <f t="shared" si="245"/>
        <v>52433.75018298802</v>
      </c>
      <c r="EL60" s="883">
        <f t="shared" si="246"/>
        <v>57745.770357530571</v>
      </c>
      <c r="EM60" s="873">
        <f t="shared" si="247"/>
        <v>71448.285424562622</v>
      </c>
      <c r="EN60" s="879">
        <f t="shared" si="389"/>
        <v>671946.26467482804</v>
      </c>
      <c r="EO60" s="883">
        <f t="shared" si="390"/>
        <v>69377.752471704865</v>
      </c>
      <c r="EP60" s="883">
        <f t="shared" si="391"/>
        <v>55164.125801367598</v>
      </c>
      <c r="EQ60" s="883">
        <f t="shared" si="250"/>
        <v>53089.165756664472</v>
      </c>
      <c r="ER60" s="883">
        <f t="shared" si="251"/>
        <v>54503.966933259231</v>
      </c>
      <c r="ES60" s="883">
        <f t="shared" si="252"/>
        <v>54968.112723964841</v>
      </c>
      <c r="ET60" s="883">
        <f t="shared" si="253"/>
        <v>55419.399673471518</v>
      </c>
      <c r="EU60" s="883">
        <f t="shared" si="254"/>
        <v>60083.002827352335</v>
      </c>
      <c r="EV60" s="973">
        <f t="shared" si="255"/>
        <v>54499.323733092257</v>
      </c>
      <c r="EW60" s="883"/>
      <c r="EX60" s="883"/>
      <c r="EY60" s="883"/>
      <c r="EZ60" s="873"/>
      <c r="FA60" s="879">
        <f t="shared" si="260"/>
        <v>457104.84992087714</v>
      </c>
      <c r="FC60" s="843">
        <f t="shared" ref="FC60:FC66" si="394">IFERROR(((
_xlfn.XLOOKUP((DATE(YEAR($FC$5),MONTH($FC$5),1)),$B$5:$FA$5,$B60:$FA60) /
_xlfn.XLOOKUP((DATE(YEAR($FC$5)-1,MONTH($FC$5),1)),$B$5:$FA$5,$B60:$FA60)
)-1)*100,"")</f>
        <v>1.351316492978083</v>
      </c>
      <c r="FD60" s="844">
        <f t="shared" si="392"/>
        <v>4.6493419263594848</v>
      </c>
      <c r="FE60" s="845">
        <f t="shared" ref="FE60:FE66" si="395">SUMIFS($B60:$FA60,$B$5:$FA$5,"&gt;="&amp;DATE(YEAR($FC$5)-1,1,1),$B$5:$FA$5,"&lt;="&amp;DATE(YEAR($FC$5)-1,MONTH($FC$5),1))</f>
        <v>436796.67880046146</v>
      </c>
      <c r="FF60" s="846">
        <f t="shared" si="393"/>
        <v>457104.84992087714</v>
      </c>
      <c r="FI60" s="127"/>
    </row>
    <row r="61" spans="1:172" ht="15" customHeight="1" x14ac:dyDescent="0.25">
      <c r="A61" s="403" t="s">
        <v>387</v>
      </c>
      <c r="B61" s="883">
        <f t="shared" si="263"/>
        <v>249.91241513475256</v>
      </c>
      <c r="C61" s="883">
        <f t="shared" si="264"/>
        <v>1052.2908429615954</v>
      </c>
      <c r="D61" s="883">
        <f t="shared" si="265"/>
        <v>9377.4102193943163</v>
      </c>
      <c r="E61" s="883">
        <f t="shared" si="266"/>
        <v>347.0237347492349</v>
      </c>
      <c r="F61" s="883">
        <f t="shared" si="267"/>
        <v>5445.9708770996049</v>
      </c>
      <c r="G61" s="883">
        <f t="shared" si="268"/>
        <v>4836.8836200830756</v>
      </c>
      <c r="H61" s="883">
        <f t="shared" si="269"/>
        <v>-1689.9112223571206</v>
      </c>
      <c r="I61" s="883">
        <f t="shared" si="270"/>
        <v>3591.6485405475196</v>
      </c>
      <c r="J61" s="883">
        <f t="shared" si="271"/>
        <v>1709.6508999536168</v>
      </c>
      <c r="K61" s="883">
        <f t="shared" si="272"/>
        <v>1968.746795839282</v>
      </c>
      <c r="L61" s="883">
        <f t="shared" si="273"/>
        <v>1323.4541756218916</v>
      </c>
      <c r="M61" s="873">
        <f t="shared" si="274"/>
        <v>3264.7779475857033</v>
      </c>
      <c r="N61" s="879">
        <f t="shared" si="275"/>
        <v>31477.858846613472</v>
      </c>
      <c r="O61" s="883">
        <f t="shared" si="276"/>
        <v>334.36603041272997</v>
      </c>
      <c r="P61" s="883">
        <f t="shared" si="277"/>
        <v>510.82433281638987</v>
      </c>
      <c r="Q61" s="883">
        <f t="shared" si="278"/>
        <v>1947.5995091366783</v>
      </c>
      <c r="R61" s="883">
        <f t="shared" si="279"/>
        <v>1185.4416470785229</v>
      </c>
      <c r="S61" s="883">
        <f t="shared" si="280"/>
        <v>1997.6356710065056</v>
      </c>
      <c r="T61" s="883">
        <f t="shared" si="281"/>
        <v>3023.0971036546866</v>
      </c>
      <c r="U61" s="883">
        <f t="shared" si="282"/>
        <v>955.42292447771501</v>
      </c>
      <c r="V61" s="883">
        <f t="shared" si="283"/>
        <v>1201.2751215684211</v>
      </c>
      <c r="W61" s="883">
        <f t="shared" si="284"/>
        <v>1340.4827821969513</v>
      </c>
      <c r="X61" s="883">
        <f t="shared" si="285"/>
        <v>936.56485530410987</v>
      </c>
      <c r="Y61" s="883">
        <f t="shared" si="286"/>
        <v>163.46156799349117</v>
      </c>
      <c r="Z61" s="873">
        <f t="shared" si="287"/>
        <v>1630.7003916737199</v>
      </c>
      <c r="AA61" s="879">
        <f t="shared" si="288"/>
        <v>15226.87193731992</v>
      </c>
      <c r="AB61" s="883">
        <f t="shared" si="289"/>
        <v>317.05031150063695</v>
      </c>
      <c r="AC61" s="883">
        <f t="shared" si="290"/>
        <v>997.52075585797752</v>
      </c>
      <c r="AD61" s="883">
        <f t="shared" si="291"/>
        <v>1144.6556213861693</v>
      </c>
      <c r="AE61" s="883">
        <f t="shared" si="292"/>
        <v>740.64452917670803</v>
      </c>
      <c r="AF61" s="883">
        <f t="shared" si="293"/>
        <v>927.90518234065576</v>
      </c>
      <c r="AG61" s="883">
        <f t="shared" si="294"/>
        <v>1391.5568963442063</v>
      </c>
      <c r="AH61" s="883">
        <f t="shared" si="295"/>
        <v>1079.1190799454046</v>
      </c>
      <c r="AI61" s="883">
        <f t="shared" si="296"/>
        <v>1478.4844836235511</v>
      </c>
      <c r="AJ61" s="883">
        <f t="shared" si="297"/>
        <v>1018.3646655351646</v>
      </c>
      <c r="AK61" s="883">
        <f t="shared" si="298"/>
        <v>1024.6146709188142</v>
      </c>
      <c r="AL61" s="883">
        <f t="shared" si="299"/>
        <v>1154.4600162344268</v>
      </c>
      <c r="AM61" s="873">
        <f t="shared" si="300"/>
        <v>2096.1893910391982</v>
      </c>
      <c r="AN61" s="879">
        <f t="shared" si="301"/>
        <v>13370.565603902913</v>
      </c>
      <c r="AO61" s="883">
        <f t="shared" si="302"/>
        <v>352.75077804947358</v>
      </c>
      <c r="AP61" s="883">
        <f t="shared" si="303"/>
        <v>552.94030046942771</v>
      </c>
      <c r="AQ61" s="883">
        <f t="shared" si="304"/>
        <v>1369.17883629879</v>
      </c>
      <c r="AR61" s="883">
        <f t="shared" si="305"/>
        <v>3316.1116206784441</v>
      </c>
      <c r="AS61" s="883">
        <f t="shared" si="306"/>
        <v>1420.9065132738215</v>
      </c>
      <c r="AT61" s="883">
        <f t="shared" si="307"/>
        <v>1173.0630381651108</v>
      </c>
      <c r="AU61" s="883">
        <f t="shared" si="308"/>
        <v>1193.4865772177498</v>
      </c>
      <c r="AV61" s="883">
        <f t="shared" si="309"/>
        <v>1565.8363626806422</v>
      </c>
      <c r="AW61" s="883">
        <f t="shared" si="310"/>
        <v>1884.362873699549</v>
      </c>
      <c r="AX61" s="883">
        <f t="shared" si="311"/>
        <v>1434.9617291746031</v>
      </c>
      <c r="AY61" s="883">
        <f t="shared" si="312"/>
        <v>3533.6337252658818</v>
      </c>
      <c r="AZ61" s="873">
        <f t="shared" si="313"/>
        <v>1620.434551194995</v>
      </c>
      <c r="BA61" s="879">
        <f t="shared" si="314"/>
        <v>19417.666906168488</v>
      </c>
      <c r="BB61" s="883">
        <f t="shared" si="315"/>
        <v>36.658099305296808</v>
      </c>
      <c r="BC61" s="883">
        <f t="shared" si="316"/>
        <v>924.41526761085026</v>
      </c>
      <c r="BD61" s="883">
        <f t="shared" si="317"/>
        <v>2530.1840878050839</v>
      </c>
      <c r="BE61" s="883">
        <f t="shared" si="318"/>
        <v>908.90866510350133</v>
      </c>
      <c r="BF61" s="883">
        <f t="shared" si="319"/>
        <v>1638.8786651094263</v>
      </c>
      <c r="BG61" s="883">
        <f t="shared" si="320"/>
        <v>1794.4214748614447</v>
      </c>
      <c r="BH61" s="883">
        <f t="shared" si="321"/>
        <v>3865.5423086733222</v>
      </c>
      <c r="BI61" s="883">
        <f t="shared" si="322"/>
        <v>1642.3570863037228</v>
      </c>
      <c r="BJ61" s="883">
        <f t="shared" si="323"/>
        <v>2060.7365189832558</v>
      </c>
      <c r="BK61" s="883">
        <f t="shared" si="324"/>
        <v>1593.8575229415567</v>
      </c>
      <c r="BL61" s="883">
        <f t="shared" si="325"/>
        <v>5370.843680932905</v>
      </c>
      <c r="BM61" s="873">
        <f t="shared" si="326"/>
        <v>3639.2866159912392</v>
      </c>
      <c r="BN61" s="879">
        <f t="shared" si="327"/>
        <v>26006.089993621601</v>
      </c>
      <c r="BO61" s="883">
        <f t="shared" si="328"/>
        <v>2362.2437415483032</v>
      </c>
      <c r="BP61" s="883">
        <f t="shared" si="329"/>
        <v>290.20366549814656</v>
      </c>
      <c r="BQ61" s="883">
        <f t="shared" si="330"/>
        <v>1074.3707248234082</v>
      </c>
      <c r="BR61" s="883">
        <f t="shared" si="331"/>
        <v>1423.7478972997583</v>
      </c>
      <c r="BS61" s="883">
        <f t="shared" si="332"/>
        <v>968.48849251360377</v>
      </c>
      <c r="BT61" s="883">
        <f t="shared" si="333"/>
        <v>594.33334633672109</v>
      </c>
      <c r="BU61" s="883">
        <f t="shared" si="334"/>
        <v>4609.9276136701819</v>
      </c>
      <c r="BV61" s="883">
        <f t="shared" si="335"/>
        <v>11152.470681015262</v>
      </c>
      <c r="BW61" s="883">
        <f t="shared" si="336"/>
        <v>4116.1446027121965</v>
      </c>
      <c r="BX61" s="883">
        <f t="shared" si="337"/>
        <v>4282.6110318355877</v>
      </c>
      <c r="BY61" s="883">
        <f t="shared" si="338"/>
        <v>6099.2730110269304</v>
      </c>
      <c r="BZ61" s="873">
        <f t="shared" si="339"/>
        <v>7847.2176609600601</v>
      </c>
      <c r="CA61" s="879">
        <f t="shared" si="340"/>
        <v>44821.032469240163</v>
      </c>
      <c r="CB61" s="883">
        <f t="shared" si="341"/>
        <v>1153.1374368780439</v>
      </c>
      <c r="CC61" s="883">
        <f t="shared" si="342"/>
        <v>9853.9046718028567</v>
      </c>
      <c r="CD61" s="883">
        <f t="shared" si="343"/>
        <v>7843.1548064012932</v>
      </c>
      <c r="CE61" s="883">
        <f t="shared" si="344"/>
        <v>4177.3781778979028</v>
      </c>
      <c r="CF61" s="883">
        <f t="shared" si="345"/>
        <v>7651.4885549018754</v>
      </c>
      <c r="CG61" s="883">
        <f t="shared" si="346"/>
        <v>3684.659950600018</v>
      </c>
      <c r="CH61" s="883">
        <f t="shared" si="347"/>
        <v>5792.1596395046372</v>
      </c>
      <c r="CI61" s="883">
        <f t="shared" si="348"/>
        <v>5066.7643571234385</v>
      </c>
      <c r="CJ61" s="883">
        <f t="shared" si="349"/>
        <v>7767.810264908785</v>
      </c>
      <c r="CK61" s="883">
        <f t="shared" si="350"/>
        <v>3951.520986308602</v>
      </c>
      <c r="CL61" s="883">
        <f t="shared" si="351"/>
        <v>4741.0178603662398</v>
      </c>
      <c r="CM61" s="873">
        <f t="shared" si="352"/>
        <v>13001.006440031329</v>
      </c>
      <c r="CN61" s="879">
        <f t="shared" si="232"/>
        <v>74684.003146725037</v>
      </c>
      <c r="CO61" s="883">
        <f t="shared" si="353"/>
        <v>200.23964613918099</v>
      </c>
      <c r="CP61" s="883">
        <f t="shared" si="354"/>
        <v>9214.2107755178167</v>
      </c>
      <c r="CQ61" s="883">
        <f t="shared" si="355"/>
        <v>14447.916599184247</v>
      </c>
      <c r="CR61" s="883">
        <f t="shared" si="356"/>
        <v>8138.4461291834514</v>
      </c>
      <c r="CS61" s="883">
        <f t="shared" si="357"/>
        <v>7852.9598827555737</v>
      </c>
      <c r="CT61" s="883">
        <f t="shared" si="358"/>
        <v>7689.7466592859182</v>
      </c>
      <c r="CU61" s="883">
        <f t="shared" si="359"/>
        <v>10010.453649521032</v>
      </c>
      <c r="CV61" s="883">
        <f t="shared" si="360"/>
        <v>11223.103927037388</v>
      </c>
      <c r="CW61" s="883">
        <f t="shared" si="361"/>
        <v>17945.767100722758</v>
      </c>
      <c r="CX61" s="883">
        <f t="shared" si="362"/>
        <v>18334.322857854837</v>
      </c>
      <c r="CY61" s="883">
        <f t="shared" si="363"/>
        <v>19221.886049987461</v>
      </c>
      <c r="CZ61" s="873">
        <f t="shared" si="364"/>
        <v>20583.580046773975</v>
      </c>
      <c r="DA61" s="879">
        <f t="shared" si="233"/>
        <v>144862.63332396364</v>
      </c>
      <c r="DB61" s="883">
        <f t="shared" si="365"/>
        <v>975.40602994395329</v>
      </c>
      <c r="DC61" s="883">
        <f t="shared" si="366"/>
        <v>8694.1656121899414</v>
      </c>
      <c r="DD61" s="883">
        <f t="shared" si="367"/>
        <v>9528.9136482649374</v>
      </c>
      <c r="DE61" s="883">
        <f t="shared" si="368"/>
        <v>9337.9096857054865</v>
      </c>
      <c r="DF61" s="883">
        <f t="shared" si="369"/>
        <v>15258.402057798268</v>
      </c>
      <c r="DG61" s="883">
        <f t="shared" si="370"/>
        <v>19752.171374235739</v>
      </c>
      <c r="DH61" s="883">
        <f t="shared" si="371"/>
        <v>18570.640653713916</v>
      </c>
      <c r="DI61" s="883">
        <f t="shared" si="372"/>
        <v>15320.344431572445</v>
      </c>
      <c r="DJ61" s="883">
        <f t="shared" si="373"/>
        <v>13395.433851102132</v>
      </c>
      <c r="DK61" s="883">
        <f t="shared" si="374"/>
        <v>26079.625054069144</v>
      </c>
      <c r="DL61" s="883">
        <f t="shared" si="375"/>
        <v>26974.286583202214</v>
      </c>
      <c r="DM61" s="873">
        <f t="shared" si="376"/>
        <v>85423.84079303607</v>
      </c>
      <c r="DN61" s="879">
        <f t="shared" si="234"/>
        <v>249311.13977483427</v>
      </c>
      <c r="DO61" s="883">
        <f t="shared" si="377"/>
        <v>6784.6065305094589</v>
      </c>
      <c r="DP61" s="883">
        <f t="shared" si="378"/>
        <v>15541.144422550775</v>
      </c>
      <c r="DQ61" s="883">
        <f t="shared" si="379"/>
        <v>28326.172604974949</v>
      </c>
      <c r="DR61" s="883">
        <f t="shared" si="380"/>
        <v>22174.325248501078</v>
      </c>
      <c r="DS61" s="883">
        <f t="shared" si="381"/>
        <v>34485.223442399933</v>
      </c>
      <c r="DT61" s="883">
        <f t="shared" si="382"/>
        <v>19038.220568204386</v>
      </c>
      <c r="DU61" s="883">
        <f t="shared" si="383"/>
        <v>26214.048173327636</v>
      </c>
      <c r="DV61" s="883">
        <f t="shared" si="384"/>
        <v>27016.251293783567</v>
      </c>
      <c r="DW61" s="883">
        <f t="shared" si="385"/>
        <v>20062.33668024365</v>
      </c>
      <c r="DX61" s="883">
        <f t="shared" si="386"/>
        <v>26044.859271696896</v>
      </c>
      <c r="DY61" s="883">
        <f t="shared" si="387"/>
        <v>29573.96188183274</v>
      </c>
      <c r="DZ61" s="873">
        <f t="shared" si="388"/>
        <v>31917.454015335072</v>
      </c>
      <c r="EA61" s="879">
        <f t="shared" si="235"/>
        <v>287178.60413336015</v>
      </c>
      <c r="EB61" s="883">
        <f t="shared" si="236"/>
        <v>3943.2304469272458</v>
      </c>
      <c r="EC61" s="883">
        <f t="shared" si="237"/>
        <v>20999.237692865197</v>
      </c>
      <c r="ED61" s="883">
        <f t="shared" si="238"/>
        <v>12254.381310449073</v>
      </c>
      <c r="EE61" s="883">
        <f t="shared" si="239"/>
        <v>18709.512418546394</v>
      </c>
      <c r="EF61" s="883">
        <f t="shared" si="240"/>
        <v>22972.020997938322</v>
      </c>
      <c r="EG61" s="883">
        <f t="shared" si="241"/>
        <v>16794.42433867302</v>
      </c>
      <c r="EH61" s="883">
        <f t="shared" si="242"/>
        <v>19800.709864656943</v>
      </c>
      <c r="EI61" s="883">
        <f t="shared" si="243"/>
        <v>22295.062521693013</v>
      </c>
      <c r="EJ61" s="883">
        <f t="shared" si="244"/>
        <v>18757.230936828</v>
      </c>
      <c r="EK61" s="883">
        <f t="shared" si="245"/>
        <v>20731.702925295947</v>
      </c>
      <c r="EL61" s="883">
        <f t="shared" si="246"/>
        <v>23839.784357405282</v>
      </c>
      <c r="EM61" s="873">
        <f t="shared" si="247"/>
        <v>34164.386431232379</v>
      </c>
      <c r="EN61" s="879">
        <f t="shared" si="389"/>
        <v>235261.68424251082</v>
      </c>
      <c r="EO61" s="883">
        <f t="shared" si="390"/>
        <v>5546.613359548578</v>
      </c>
      <c r="EP61" s="883">
        <f t="shared" si="391"/>
        <v>16384.383701434672</v>
      </c>
      <c r="EQ61" s="883">
        <f t="shared" si="250"/>
        <v>11130.71320389233</v>
      </c>
      <c r="ER61" s="883">
        <f t="shared" si="251"/>
        <v>22661.480357011405</v>
      </c>
      <c r="ES61" s="883">
        <f t="shared" si="252"/>
        <v>34277.611277871838</v>
      </c>
      <c r="ET61" s="883">
        <f t="shared" si="253"/>
        <v>13842.256889901812</v>
      </c>
      <c r="EU61" s="883">
        <f t="shared" si="254"/>
        <v>25072.518704025148</v>
      </c>
      <c r="EV61" s="973">
        <f t="shared" si="255"/>
        <v>30186.646769043946</v>
      </c>
      <c r="EW61" s="883"/>
      <c r="EX61" s="883"/>
      <c r="EY61" s="883"/>
      <c r="EZ61" s="873"/>
      <c r="FA61" s="879">
        <f t="shared" si="260"/>
        <v>159102.22426272972</v>
      </c>
      <c r="FC61" s="843">
        <f t="shared" si="394"/>
        <v>35.396107275646571</v>
      </c>
      <c r="FD61" s="844">
        <f t="shared" si="392"/>
        <v>15.485130741856157</v>
      </c>
      <c r="FE61" s="845">
        <f t="shared" si="395"/>
        <v>137768.57959174921</v>
      </c>
      <c r="FF61" s="846">
        <f t="shared" si="393"/>
        <v>159102.22426272972</v>
      </c>
      <c r="FI61" s="127"/>
    </row>
    <row r="62" spans="1:172" ht="15" customHeight="1" x14ac:dyDescent="0.25">
      <c r="A62" s="403" t="s">
        <v>467</v>
      </c>
      <c r="B62" s="883">
        <f t="shared" si="263"/>
        <v>174.46715773558199</v>
      </c>
      <c r="C62" s="883">
        <f t="shared" si="264"/>
        <v>608.80862619594905</v>
      </c>
      <c r="D62" s="883">
        <f t="shared" si="265"/>
        <v>674.20305665601404</v>
      </c>
      <c r="E62" s="883">
        <f t="shared" si="266"/>
        <v>711.08881361561976</v>
      </c>
      <c r="F62" s="883">
        <f t="shared" si="267"/>
        <v>850.40337317085766</v>
      </c>
      <c r="G62" s="883">
        <f t="shared" si="268"/>
        <v>787.72104669924374</v>
      </c>
      <c r="H62" s="883">
        <f t="shared" si="269"/>
        <v>1084.5698889754653</v>
      </c>
      <c r="I62" s="883">
        <f t="shared" si="270"/>
        <v>848.99048605267842</v>
      </c>
      <c r="J62" s="883">
        <f t="shared" si="271"/>
        <v>841.12388443844452</v>
      </c>
      <c r="K62" s="883">
        <f t="shared" si="272"/>
        <v>1076.3495995785418</v>
      </c>
      <c r="L62" s="883">
        <f t="shared" si="273"/>
        <v>1423.4518580386573</v>
      </c>
      <c r="M62" s="873">
        <f t="shared" si="274"/>
        <v>2070.935607315856</v>
      </c>
      <c r="N62" s="879">
        <f t="shared" si="275"/>
        <v>11152.113398472909</v>
      </c>
      <c r="O62" s="883">
        <f t="shared" si="276"/>
        <v>394.47677745322073</v>
      </c>
      <c r="P62" s="883">
        <f t="shared" si="277"/>
        <v>504.07335044436707</v>
      </c>
      <c r="Q62" s="883">
        <f t="shared" si="278"/>
        <v>577.12175347311984</v>
      </c>
      <c r="R62" s="883">
        <f t="shared" si="279"/>
        <v>640.43671373613279</v>
      </c>
      <c r="S62" s="883">
        <f t="shared" si="280"/>
        <v>987.28586049371813</v>
      </c>
      <c r="T62" s="883">
        <f t="shared" si="281"/>
        <v>714.72583281292907</v>
      </c>
      <c r="U62" s="883">
        <f t="shared" si="282"/>
        <v>880.44412465467747</v>
      </c>
      <c r="V62" s="883">
        <f t="shared" si="283"/>
        <v>944.59872551901105</v>
      </c>
      <c r="W62" s="883">
        <f t="shared" si="284"/>
        <v>740.36576571780961</v>
      </c>
      <c r="X62" s="883">
        <f t="shared" si="285"/>
        <v>827.02940519397464</v>
      </c>
      <c r="Y62" s="883">
        <f t="shared" si="286"/>
        <v>802.64760965413825</v>
      </c>
      <c r="Z62" s="873">
        <f t="shared" si="287"/>
        <v>1483.8496843590167</v>
      </c>
      <c r="AA62" s="879">
        <f t="shared" si="288"/>
        <v>9497.0556035121153</v>
      </c>
      <c r="AB62" s="883">
        <f t="shared" si="289"/>
        <v>249.99599274647926</v>
      </c>
      <c r="AC62" s="883">
        <f t="shared" si="290"/>
        <v>686.56745395905955</v>
      </c>
      <c r="AD62" s="883">
        <f t="shared" si="291"/>
        <v>527.14403616468326</v>
      </c>
      <c r="AE62" s="883">
        <f t="shared" si="292"/>
        <v>590.35840626609445</v>
      </c>
      <c r="AF62" s="883">
        <f t="shared" si="293"/>
        <v>802.98098269479317</v>
      </c>
      <c r="AG62" s="883">
        <f t="shared" si="294"/>
        <v>726.87873223800796</v>
      </c>
      <c r="AH62" s="883">
        <f t="shared" si="295"/>
        <v>952.8007929952737</v>
      </c>
      <c r="AI62" s="883">
        <f t="shared" si="296"/>
        <v>791.58432100892355</v>
      </c>
      <c r="AJ62" s="883">
        <f t="shared" si="297"/>
        <v>765.92497379687029</v>
      </c>
      <c r="AK62" s="883">
        <f t="shared" si="298"/>
        <v>804.84851435746509</v>
      </c>
      <c r="AL62" s="883">
        <f t="shared" si="299"/>
        <v>524.16383476309807</v>
      </c>
      <c r="AM62" s="873">
        <f t="shared" si="300"/>
        <v>971.68614137580448</v>
      </c>
      <c r="AN62" s="879">
        <f t="shared" si="301"/>
        <v>8394.9341823665527</v>
      </c>
      <c r="AO62" s="883">
        <f t="shared" si="302"/>
        <v>393.78505223073887</v>
      </c>
      <c r="AP62" s="883">
        <f t="shared" si="303"/>
        <v>779.86125494779026</v>
      </c>
      <c r="AQ62" s="883">
        <f t="shared" si="304"/>
        <v>822.50774560537957</v>
      </c>
      <c r="AR62" s="883">
        <f t="shared" si="305"/>
        <v>630.44763440174995</v>
      </c>
      <c r="AS62" s="883">
        <f t="shared" si="306"/>
        <v>622.45149373022389</v>
      </c>
      <c r="AT62" s="883">
        <f t="shared" si="307"/>
        <v>969.82719264714331</v>
      </c>
      <c r="AU62" s="883">
        <f t="shared" si="308"/>
        <v>1025.1197207888172</v>
      </c>
      <c r="AV62" s="883">
        <f t="shared" si="309"/>
        <v>932.26505689277928</v>
      </c>
      <c r="AW62" s="883">
        <f t="shared" si="310"/>
        <v>582.09180089478741</v>
      </c>
      <c r="AX62" s="883">
        <f t="shared" si="311"/>
        <v>771.25655069049174</v>
      </c>
      <c r="AY62" s="883">
        <f t="shared" si="312"/>
        <v>925.81203601966104</v>
      </c>
      <c r="AZ62" s="873">
        <f t="shared" si="313"/>
        <v>1362.2373175261364</v>
      </c>
      <c r="BA62" s="879">
        <f t="shared" si="314"/>
        <v>9817.6628563756985</v>
      </c>
      <c r="BB62" s="883">
        <f t="shared" si="315"/>
        <v>246.73720686257465</v>
      </c>
      <c r="BC62" s="883">
        <f t="shared" si="316"/>
        <v>544.93329560609152</v>
      </c>
      <c r="BD62" s="883">
        <f t="shared" si="317"/>
        <v>638.83653487675326</v>
      </c>
      <c r="BE62" s="883">
        <f t="shared" si="318"/>
        <v>569.89898648469728</v>
      </c>
      <c r="BF62" s="883">
        <f t="shared" si="319"/>
        <v>645.66108055947223</v>
      </c>
      <c r="BG62" s="883">
        <f t="shared" si="320"/>
        <v>552.12968457275224</v>
      </c>
      <c r="BH62" s="883">
        <f t="shared" si="321"/>
        <v>968.4728030369447</v>
      </c>
      <c r="BI62" s="883">
        <f t="shared" si="322"/>
        <v>1376.7430274688277</v>
      </c>
      <c r="BJ62" s="883">
        <f t="shared" si="323"/>
        <v>1047.7496403872358</v>
      </c>
      <c r="BK62" s="883">
        <f t="shared" si="324"/>
        <v>1040.3479605082578</v>
      </c>
      <c r="BL62" s="883">
        <f t="shared" si="325"/>
        <v>1289.640713362732</v>
      </c>
      <c r="BM62" s="873">
        <f t="shared" si="326"/>
        <v>1868.4486544721997</v>
      </c>
      <c r="BN62" s="879">
        <f t="shared" si="327"/>
        <v>10789.599588198538</v>
      </c>
      <c r="BO62" s="883">
        <f t="shared" si="328"/>
        <v>165.37090047745883</v>
      </c>
      <c r="BP62" s="883">
        <f t="shared" si="329"/>
        <v>567.97003104637258</v>
      </c>
      <c r="BQ62" s="883">
        <f t="shared" si="330"/>
        <v>775.74371824309992</v>
      </c>
      <c r="BR62" s="883">
        <f t="shared" si="331"/>
        <v>460.18055832761934</v>
      </c>
      <c r="BS62" s="883">
        <f t="shared" si="332"/>
        <v>457.20870176613948</v>
      </c>
      <c r="BT62" s="883">
        <f t="shared" si="333"/>
        <v>321.18707400183081</v>
      </c>
      <c r="BU62" s="883">
        <f t="shared" si="334"/>
        <v>636.01698404370768</v>
      </c>
      <c r="BV62" s="883">
        <f t="shared" si="335"/>
        <v>763.92406639443482</v>
      </c>
      <c r="BW62" s="883">
        <f t="shared" si="336"/>
        <v>811.34557624391721</v>
      </c>
      <c r="BX62" s="883">
        <f t="shared" si="337"/>
        <v>723.7831144364992</v>
      </c>
      <c r="BY62" s="883">
        <f t="shared" si="338"/>
        <v>1153.4208233348622</v>
      </c>
      <c r="BZ62" s="873">
        <f t="shared" si="339"/>
        <v>1761.1769002016263</v>
      </c>
      <c r="CA62" s="879">
        <f t="shared" si="340"/>
        <v>8597.3284485175682</v>
      </c>
      <c r="CB62" s="883">
        <f t="shared" si="341"/>
        <v>140.85664775424382</v>
      </c>
      <c r="CC62" s="883">
        <f t="shared" si="342"/>
        <v>398.15119547758428</v>
      </c>
      <c r="CD62" s="883">
        <f t="shared" si="343"/>
        <v>773.60810206483745</v>
      </c>
      <c r="CE62" s="883">
        <f t="shared" si="344"/>
        <v>470.25649148241308</v>
      </c>
      <c r="CF62" s="883">
        <f t="shared" si="345"/>
        <v>776.97382252256011</v>
      </c>
      <c r="CG62" s="883">
        <f t="shared" si="346"/>
        <v>679.90749088452708</v>
      </c>
      <c r="CH62" s="883">
        <f t="shared" si="347"/>
        <v>663.23945434745815</v>
      </c>
      <c r="CI62" s="883">
        <f t="shared" si="348"/>
        <v>992.37167128330725</v>
      </c>
      <c r="CJ62" s="883">
        <f t="shared" si="349"/>
        <v>886.52592713387924</v>
      </c>
      <c r="CK62" s="883">
        <f t="shared" si="350"/>
        <v>1010.4640536510893</v>
      </c>
      <c r="CL62" s="883">
        <f t="shared" si="351"/>
        <v>794.67020279531755</v>
      </c>
      <c r="CM62" s="873">
        <f t="shared" si="352"/>
        <v>917.38786303376276</v>
      </c>
      <c r="CN62" s="879">
        <f t="shared" si="232"/>
        <v>8504.4129224309818</v>
      </c>
      <c r="CO62" s="883">
        <f t="shared" si="353"/>
        <v>33.160705730055454</v>
      </c>
      <c r="CP62" s="883">
        <f t="shared" si="354"/>
        <v>537.82408693860032</v>
      </c>
      <c r="CQ62" s="883">
        <f t="shared" si="355"/>
        <v>706.64050313835276</v>
      </c>
      <c r="CR62" s="883">
        <f t="shared" si="356"/>
        <v>680.68583437894529</v>
      </c>
      <c r="CS62" s="883">
        <f t="shared" si="357"/>
        <v>608.25822769454385</v>
      </c>
      <c r="CT62" s="883">
        <f t="shared" si="358"/>
        <v>635.31430931501063</v>
      </c>
      <c r="CU62" s="883">
        <f t="shared" si="359"/>
        <v>699.60004950403925</v>
      </c>
      <c r="CV62" s="883">
        <f t="shared" si="360"/>
        <v>714.78228985202497</v>
      </c>
      <c r="CW62" s="883">
        <f t="shared" si="361"/>
        <v>505.35452394810312</v>
      </c>
      <c r="CX62" s="883">
        <f t="shared" si="362"/>
        <v>526.83465759796115</v>
      </c>
      <c r="CY62" s="883">
        <f t="shared" si="363"/>
        <v>388.33889647888054</v>
      </c>
      <c r="CZ62" s="873">
        <f t="shared" si="364"/>
        <v>1325.8856145812913</v>
      </c>
      <c r="DA62" s="879">
        <f t="shared" si="233"/>
        <v>7362.6796991578085</v>
      </c>
      <c r="DB62" s="883">
        <f t="shared" si="365"/>
        <v>106.22652913348709</v>
      </c>
      <c r="DC62" s="883">
        <f t="shared" si="366"/>
        <v>253.97239521373322</v>
      </c>
      <c r="DD62" s="883">
        <f t="shared" si="367"/>
        <v>1089.4645615927341</v>
      </c>
      <c r="DE62" s="883">
        <f t="shared" si="368"/>
        <v>583.36790367397487</v>
      </c>
      <c r="DF62" s="883">
        <f t="shared" si="369"/>
        <v>985.41101413333161</v>
      </c>
      <c r="DG62" s="883">
        <f t="shared" si="370"/>
        <v>525.57702189687541</v>
      </c>
      <c r="DH62" s="883">
        <f t="shared" si="371"/>
        <v>1171.6672824114714</v>
      </c>
      <c r="DI62" s="883">
        <f t="shared" si="372"/>
        <v>1199.6865394627102</v>
      </c>
      <c r="DJ62" s="883">
        <f t="shared" si="373"/>
        <v>602.28502887535831</v>
      </c>
      <c r="DK62" s="883">
        <f t="shared" si="374"/>
        <v>624.77794878359487</v>
      </c>
      <c r="DL62" s="883">
        <f t="shared" si="375"/>
        <v>820.26267490111707</v>
      </c>
      <c r="DM62" s="873">
        <f t="shared" si="376"/>
        <v>1221.9519479637643</v>
      </c>
      <c r="DN62" s="879">
        <f t="shared" si="234"/>
        <v>9184.6508480421526</v>
      </c>
      <c r="DO62" s="883">
        <f t="shared" si="377"/>
        <v>105.36872130156564</v>
      </c>
      <c r="DP62" s="883">
        <f t="shared" si="378"/>
        <v>399.30415896710144</v>
      </c>
      <c r="DQ62" s="883">
        <f t="shared" si="379"/>
        <v>283.72712825617759</v>
      </c>
      <c r="DR62" s="883">
        <f t="shared" si="380"/>
        <v>376.43506152264899</v>
      </c>
      <c r="DS62" s="883">
        <f t="shared" si="381"/>
        <v>873.15024754427895</v>
      </c>
      <c r="DT62" s="883">
        <f t="shared" si="382"/>
        <v>769.47029457304006</v>
      </c>
      <c r="DU62" s="883">
        <f t="shared" si="383"/>
        <v>669.71625431612017</v>
      </c>
      <c r="DV62" s="883">
        <f t="shared" si="384"/>
        <v>802.30823510926382</v>
      </c>
      <c r="DW62" s="883">
        <f t="shared" si="385"/>
        <v>525.71912576463626</v>
      </c>
      <c r="DX62" s="883">
        <f t="shared" si="386"/>
        <v>933.71215133557769</v>
      </c>
      <c r="DY62" s="883">
        <f t="shared" si="387"/>
        <v>1115.1965807291076</v>
      </c>
      <c r="DZ62" s="873">
        <f t="shared" si="388"/>
        <v>1529.6154360776347</v>
      </c>
      <c r="EA62" s="879">
        <f t="shared" si="235"/>
        <v>8383.7233954971525</v>
      </c>
      <c r="EB62" s="883">
        <f t="shared" si="236"/>
        <v>126.93041852701145</v>
      </c>
      <c r="EC62" s="883">
        <f t="shared" si="237"/>
        <v>267.89013162640981</v>
      </c>
      <c r="ED62" s="883">
        <f t="shared" si="238"/>
        <v>426.84111092641677</v>
      </c>
      <c r="EE62" s="883">
        <f t="shared" si="239"/>
        <v>514.32809999366543</v>
      </c>
      <c r="EF62" s="883">
        <f t="shared" si="240"/>
        <v>566.5423187319052</v>
      </c>
      <c r="EG62" s="883">
        <f t="shared" si="241"/>
        <v>473.7115159558719</v>
      </c>
      <c r="EH62" s="883">
        <f t="shared" si="242"/>
        <v>593.66916594322674</v>
      </c>
      <c r="EI62" s="883">
        <f t="shared" si="243"/>
        <v>576.63449992993765</v>
      </c>
      <c r="EJ62" s="883">
        <f t="shared" si="244"/>
        <v>608.02648818638829</v>
      </c>
      <c r="EK62" s="883">
        <f t="shared" si="245"/>
        <v>584.88620289017263</v>
      </c>
      <c r="EL62" s="883">
        <f t="shared" si="246"/>
        <v>521.35046324511688</v>
      </c>
      <c r="EM62" s="873">
        <f t="shared" si="247"/>
        <v>1173.3946334496566</v>
      </c>
      <c r="EN62" s="879">
        <f>SUM(EB62:EM62)</f>
        <v>6434.2050494057794</v>
      </c>
      <c r="EO62" s="883">
        <f t="shared" si="390"/>
        <v>123.16032836428246</v>
      </c>
      <c r="EP62" s="883">
        <f t="shared" si="391"/>
        <v>287.22499006681011</v>
      </c>
      <c r="EQ62" s="883">
        <f t="shared" si="250"/>
        <v>514.16011924635609</v>
      </c>
      <c r="ER62" s="883">
        <f t="shared" si="251"/>
        <v>625.57974527421493</v>
      </c>
      <c r="ES62" s="883">
        <f t="shared" si="252"/>
        <v>569.18542712333306</v>
      </c>
      <c r="ET62" s="883">
        <f t="shared" si="253"/>
        <v>485.69322420708107</v>
      </c>
      <c r="EU62" s="883">
        <f t="shared" si="254"/>
        <v>446.75111875885648</v>
      </c>
      <c r="EV62" s="973">
        <f t="shared" si="255"/>
        <v>697.39522779225024</v>
      </c>
      <c r="EW62" s="883"/>
      <c r="EX62" s="883"/>
      <c r="EY62" s="883"/>
      <c r="EZ62" s="873"/>
      <c r="FA62" s="879">
        <f>SUM(EO62:EZ62)</f>
        <v>3749.1501808331845</v>
      </c>
      <c r="FC62" s="843">
        <f t="shared" si="394"/>
        <v>20.942334854571708</v>
      </c>
      <c r="FD62" s="844">
        <f t="shared" si="392"/>
        <v>5.7126806511347272</v>
      </c>
      <c r="FE62" s="845">
        <f t="shared" si="395"/>
        <v>3546.547261634445</v>
      </c>
      <c r="FF62" s="846">
        <f t="shared" si="393"/>
        <v>3749.1501808331845</v>
      </c>
      <c r="FI62" s="127"/>
    </row>
    <row r="63" spans="1:172" ht="15" customHeight="1" x14ac:dyDescent="0.25">
      <c r="A63" s="403" t="s">
        <v>468</v>
      </c>
      <c r="B63" s="883">
        <f t="shared" si="263"/>
        <v>0</v>
      </c>
      <c r="C63" s="883">
        <f t="shared" si="264"/>
        <v>0</v>
      </c>
      <c r="D63" s="883">
        <f t="shared" si="265"/>
        <v>0</v>
      </c>
      <c r="E63" s="883">
        <f t="shared" si="266"/>
        <v>0</v>
      </c>
      <c r="F63" s="883">
        <f t="shared" si="267"/>
        <v>0</v>
      </c>
      <c r="G63" s="883">
        <f t="shared" si="268"/>
        <v>0</v>
      </c>
      <c r="H63" s="883">
        <f t="shared" si="269"/>
        <v>0</v>
      </c>
      <c r="I63" s="883">
        <f t="shared" si="270"/>
        <v>0</v>
      </c>
      <c r="J63" s="883">
        <f t="shared" si="271"/>
        <v>0</v>
      </c>
      <c r="K63" s="883">
        <f t="shared" si="272"/>
        <v>0</v>
      </c>
      <c r="L63" s="883">
        <f t="shared" si="273"/>
        <v>226.50990183797686</v>
      </c>
      <c r="M63" s="873">
        <f t="shared" si="274"/>
        <v>908.01400990833599</v>
      </c>
      <c r="N63" s="879">
        <f t="shared" si="275"/>
        <v>1134.5239117463129</v>
      </c>
      <c r="O63" s="883">
        <f t="shared" si="276"/>
        <v>0</v>
      </c>
      <c r="P63" s="883">
        <f t="shared" si="277"/>
        <v>0</v>
      </c>
      <c r="Q63" s="883">
        <f t="shared" si="278"/>
        <v>907.43820927233446</v>
      </c>
      <c r="R63" s="883">
        <f t="shared" si="279"/>
        <v>0</v>
      </c>
      <c r="S63" s="883">
        <f t="shared" si="280"/>
        <v>0</v>
      </c>
      <c r="T63" s="883">
        <f t="shared" si="281"/>
        <v>9006.882818286007</v>
      </c>
      <c r="U63" s="883">
        <f t="shared" si="282"/>
        <v>9775.453822472844</v>
      </c>
      <c r="V63" s="883">
        <f t="shared" si="283"/>
        <v>255.93669461987298</v>
      </c>
      <c r="W63" s="883">
        <f t="shared" si="284"/>
        <v>1145.6108358863812</v>
      </c>
      <c r="X63" s="883">
        <f t="shared" si="285"/>
        <v>-18.378431226532769</v>
      </c>
      <c r="Y63" s="883">
        <f t="shared" si="286"/>
        <v>771.12811448050547</v>
      </c>
      <c r="Z63" s="873">
        <f t="shared" si="287"/>
        <v>12125.046460670725</v>
      </c>
      <c r="AA63" s="879">
        <f t="shared" si="288"/>
        <v>33969.118524462137</v>
      </c>
      <c r="AB63" s="883">
        <f t="shared" si="289"/>
        <v>0</v>
      </c>
      <c r="AC63" s="883">
        <f t="shared" si="290"/>
        <v>199.06823532781198</v>
      </c>
      <c r="AD63" s="883">
        <f t="shared" si="291"/>
        <v>2711.0264717040855</v>
      </c>
      <c r="AE63" s="883">
        <f t="shared" si="292"/>
        <v>1897.6319538809055</v>
      </c>
      <c r="AF63" s="883">
        <f t="shared" si="293"/>
        <v>1137.3156904175353</v>
      </c>
      <c r="AG63" s="883">
        <f t="shared" si="294"/>
        <v>2101.0773304989189</v>
      </c>
      <c r="AH63" s="883">
        <f t="shared" si="295"/>
        <v>3537.6338533862395</v>
      </c>
      <c r="AI63" s="883">
        <f t="shared" si="296"/>
        <v>3511.2213949100533</v>
      </c>
      <c r="AJ63" s="883">
        <f t="shared" si="297"/>
        <v>3591.5283415493695</v>
      </c>
      <c r="AK63" s="883">
        <f t="shared" si="298"/>
        <v>1328.684566226648</v>
      </c>
      <c r="AL63" s="883">
        <f t="shared" si="299"/>
        <v>2877.1251811721017</v>
      </c>
      <c r="AM63" s="873">
        <f t="shared" si="300"/>
        <v>16225.284388893162</v>
      </c>
      <c r="AN63" s="879">
        <f t="shared" si="301"/>
        <v>39117.59740796683</v>
      </c>
      <c r="AO63" s="883">
        <f t="shared" si="302"/>
        <v>0</v>
      </c>
      <c r="AP63" s="883">
        <f t="shared" si="303"/>
        <v>762.6267520760158</v>
      </c>
      <c r="AQ63" s="883">
        <f t="shared" si="304"/>
        <v>764.62492423784192</v>
      </c>
      <c r="AR63" s="883">
        <f t="shared" si="305"/>
        <v>1316.7124259923041</v>
      </c>
      <c r="AS63" s="883">
        <f t="shared" si="306"/>
        <v>843.52909322751032</v>
      </c>
      <c r="AT63" s="883">
        <f t="shared" si="307"/>
        <v>2023.0880481911363</v>
      </c>
      <c r="AU63" s="883">
        <f t="shared" si="308"/>
        <v>1567.8719499521271</v>
      </c>
      <c r="AV63" s="883">
        <f t="shared" si="309"/>
        <v>14069.823701096428</v>
      </c>
      <c r="AW63" s="883">
        <f t="shared" si="310"/>
        <v>9436.685326914765</v>
      </c>
      <c r="AX63" s="883">
        <f t="shared" si="311"/>
        <v>4158.4172003743306</v>
      </c>
      <c r="AY63" s="883">
        <f t="shared" si="312"/>
        <v>28920.671861066083</v>
      </c>
      <c r="AZ63" s="873">
        <f t="shared" si="313"/>
        <v>4342.7928154794909</v>
      </c>
      <c r="BA63" s="879">
        <f t="shared" si="314"/>
        <v>68206.844098608039</v>
      </c>
      <c r="BB63" s="883">
        <f t="shared" si="315"/>
        <v>0</v>
      </c>
      <c r="BC63" s="883">
        <f t="shared" si="316"/>
        <v>0</v>
      </c>
      <c r="BD63" s="883">
        <f t="shared" si="317"/>
        <v>3087.243954650568</v>
      </c>
      <c r="BE63" s="883">
        <f t="shared" si="318"/>
        <v>-508.51451792820603</v>
      </c>
      <c r="BF63" s="883">
        <f t="shared" si="319"/>
        <v>6074.2290006031899</v>
      </c>
      <c r="BG63" s="883">
        <f t="shared" si="320"/>
        <v>5737.4082121638266</v>
      </c>
      <c r="BH63" s="883">
        <f t="shared" si="321"/>
        <v>8273.7633431863123</v>
      </c>
      <c r="BI63" s="883">
        <f t="shared" si="322"/>
        <v>20648.364112987023</v>
      </c>
      <c r="BJ63" s="883">
        <f t="shared" si="323"/>
        <v>28198.857109798206</v>
      </c>
      <c r="BK63" s="883">
        <f t="shared" si="324"/>
        <v>34517.606363939543</v>
      </c>
      <c r="BL63" s="883">
        <f t="shared" si="325"/>
        <v>18952.654270613144</v>
      </c>
      <c r="BM63" s="873">
        <f t="shared" si="326"/>
        <v>30444.15208511446</v>
      </c>
      <c r="BN63" s="879">
        <f t="shared" si="327"/>
        <v>155425.76393512805</v>
      </c>
      <c r="BO63" s="883">
        <f t="shared" si="328"/>
        <v>1657.8605754978719</v>
      </c>
      <c r="BP63" s="883">
        <f t="shared" si="329"/>
        <v>0</v>
      </c>
      <c r="BQ63" s="883">
        <f t="shared" si="330"/>
        <v>0</v>
      </c>
      <c r="BR63" s="883">
        <f t="shared" si="331"/>
        <v>5205.3210696074975</v>
      </c>
      <c r="BS63" s="883">
        <f t="shared" si="332"/>
        <v>0</v>
      </c>
      <c r="BT63" s="883">
        <f t="shared" si="333"/>
        <v>236.77252250134964</v>
      </c>
      <c r="BU63" s="883">
        <f t="shared" si="334"/>
        <v>0</v>
      </c>
      <c r="BV63" s="883">
        <f t="shared" si="335"/>
        <v>2611.1567461897512</v>
      </c>
      <c r="BW63" s="883">
        <f t="shared" si="336"/>
        <v>1766.7937758779578</v>
      </c>
      <c r="BX63" s="883">
        <f t="shared" si="337"/>
        <v>10774.126191220303</v>
      </c>
      <c r="BY63" s="883">
        <f t="shared" si="338"/>
        <v>6015.7213259443697</v>
      </c>
      <c r="BZ63" s="873">
        <f t="shared" si="339"/>
        <v>25088.962988878451</v>
      </c>
      <c r="CA63" s="879">
        <f t="shared" si="340"/>
        <v>53356.715195717552</v>
      </c>
      <c r="CB63" s="883">
        <f t="shared" si="341"/>
        <v>7300.9572493862361</v>
      </c>
      <c r="CC63" s="883">
        <f t="shared" si="342"/>
        <v>3968.6901366163947</v>
      </c>
      <c r="CD63" s="883">
        <f t="shared" si="343"/>
        <v>4487.7300453692042</v>
      </c>
      <c r="CE63" s="883">
        <f t="shared" si="344"/>
        <v>9387.7129225563203</v>
      </c>
      <c r="CF63" s="883">
        <f t="shared" si="345"/>
        <v>8113.7980004613009</v>
      </c>
      <c r="CG63" s="883">
        <f t="shared" si="346"/>
        <v>11773.09999367401</v>
      </c>
      <c r="CH63" s="883">
        <f t="shared" si="347"/>
        <v>21084.171701497966</v>
      </c>
      <c r="CI63" s="883">
        <f t="shared" si="348"/>
        <v>12135.864988609059</v>
      </c>
      <c r="CJ63" s="883">
        <f t="shared" si="349"/>
        <v>12298.438008189614</v>
      </c>
      <c r="CK63" s="883">
        <f t="shared" si="350"/>
        <v>14022.608438023928</v>
      </c>
      <c r="CL63" s="883">
        <f t="shared" si="351"/>
        <v>11356.840179754441</v>
      </c>
      <c r="CM63" s="873">
        <f t="shared" si="352"/>
        <v>27477.616584650346</v>
      </c>
      <c r="CN63" s="879">
        <f t="shared" si="232"/>
        <v>143407.52824878882</v>
      </c>
      <c r="CO63" s="883">
        <f t="shared" si="353"/>
        <v>3374.1018080331423</v>
      </c>
      <c r="CP63" s="883">
        <f t="shared" si="354"/>
        <v>11888.073789304757</v>
      </c>
      <c r="CQ63" s="883">
        <f t="shared" si="355"/>
        <v>10169.233410855391</v>
      </c>
      <c r="CR63" s="883">
        <f t="shared" si="356"/>
        <v>2411.2535573350788</v>
      </c>
      <c r="CS63" s="883">
        <f t="shared" si="357"/>
        <v>1084.8508024430125</v>
      </c>
      <c r="CT63" s="883">
        <f t="shared" si="358"/>
        <v>1350.6537864379698</v>
      </c>
      <c r="CU63" s="883">
        <f t="shared" si="359"/>
        <v>1833.7267733540129</v>
      </c>
      <c r="CV63" s="883">
        <f t="shared" si="360"/>
        <v>6437.2487466236189</v>
      </c>
      <c r="CW63" s="883">
        <f t="shared" si="361"/>
        <v>174.0333330992876</v>
      </c>
      <c r="CX63" s="883">
        <f t="shared" si="362"/>
        <v>322.41804271549432</v>
      </c>
      <c r="CY63" s="883">
        <f t="shared" si="363"/>
        <v>609.48455813784608</v>
      </c>
      <c r="CZ63" s="873">
        <f t="shared" si="364"/>
        <v>2621.1829186221089</v>
      </c>
      <c r="DA63" s="879">
        <f t="shared" si="233"/>
        <v>42276.261526961724</v>
      </c>
      <c r="DB63" s="883">
        <f t="shared" si="365"/>
        <v>0</v>
      </c>
      <c r="DC63" s="883">
        <f t="shared" si="366"/>
        <v>0</v>
      </c>
      <c r="DD63" s="883">
        <f t="shared" si="367"/>
        <v>0</v>
      </c>
      <c r="DE63" s="883">
        <f t="shared" si="368"/>
        <v>235.07140157897115</v>
      </c>
      <c r="DF63" s="883">
        <f t="shared" si="369"/>
        <v>0</v>
      </c>
      <c r="DG63" s="883">
        <f t="shared" si="370"/>
        <v>0</v>
      </c>
      <c r="DH63" s="883">
        <f t="shared" si="371"/>
        <v>0</v>
      </c>
      <c r="DI63" s="883">
        <f t="shared" si="372"/>
        <v>394.011905699191</v>
      </c>
      <c r="DJ63" s="883">
        <f t="shared" si="373"/>
        <v>1159.5979242146548</v>
      </c>
      <c r="DK63" s="883">
        <f t="shared" si="374"/>
        <v>179.32383539126945</v>
      </c>
      <c r="DL63" s="883">
        <f t="shared" si="375"/>
        <v>-9.1521637366930779</v>
      </c>
      <c r="DM63" s="873">
        <f t="shared" si="376"/>
        <v>13963.293331720199</v>
      </c>
      <c r="DN63" s="879">
        <f t="shared" si="234"/>
        <v>15922.146234867592</v>
      </c>
      <c r="DO63" s="883">
        <f t="shared" si="377"/>
        <v>0</v>
      </c>
      <c r="DP63" s="883">
        <f t="shared" si="378"/>
        <v>0</v>
      </c>
      <c r="DQ63" s="883">
        <f t="shared" si="379"/>
        <v>0</v>
      </c>
      <c r="DR63" s="883">
        <f t="shared" si="380"/>
        <v>0</v>
      </c>
      <c r="DS63" s="883">
        <f t="shared" si="381"/>
        <v>11524.460244758058</v>
      </c>
      <c r="DT63" s="883">
        <f t="shared" si="382"/>
        <v>0</v>
      </c>
      <c r="DU63" s="883">
        <f t="shared" si="383"/>
        <v>0</v>
      </c>
      <c r="DV63" s="883">
        <f t="shared" si="384"/>
        <v>16399.894480390612</v>
      </c>
      <c r="DW63" s="883">
        <f t="shared" si="385"/>
        <v>0</v>
      </c>
      <c r="DX63" s="883">
        <f t="shared" si="386"/>
        <v>12118.665686009546</v>
      </c>
      <c r="DY63" s="883">
        <f t="shared" si="387"/>
        <v>0</v>
      </c>
      <c r="DZ63" s="873">
        <f t="shared" si="388"/>
        <v>0</v>
      </c>
      <c r="EA63" s="879">
        <f t="shared" si="235"/>
        <v>40043.020411158213</v>
      </c>
      <c r="EB63" s="883">
        <f t="shared" si="236"/>
        <v>0</v>
      </c>
      <c r="EC63" s="883">
        <f t="shared" si="237"/>
        <v>0</v>
      </c>
      <c r="ED63" s="883">
        <f t="shared" si="238"/>
        <v>0</v>
      </c>
      <c r="EE63" s="883">
        <f t="shared" si="239"/>
        <v>0</v>
      </c>
      <c r="EF63" s="883">
        <f t="shared" si="240"/>
        <v>0</v>
      </c>
      <c r="EG63" s="883">
        <f t="shared" si="241"/>
        <v>0</v>
      </c>
      <c r="EH63" s="883">
        <f t="shared" si="242"/>
        <v>0</v>
      </c>
      <c r="EI63" s="883">
        <f t="shared" si="243"/>
        <v>0</v>
      </c>
      <c r="EJ63" s="883">
        <f t="shared" si="244"/>
        <v>256.56290109498235</v>
      </c>
      <c r="EK63" s="883">
        <f t="shared" si="245"/>
        <v>365.0706138908443</v>
      </c>
      <c r="EL63" s="883">
        <f t="shared" si="246"/>
        <v>507.00642933572749</v>
      </c>
      <c r="EM63" s="873">
        <f t="shared" si="247"/>
        <v>9670.0486443294867</v>
      </c>
      <c r="EN63" s="879">
        <f t="shared" ref="EN63" si="396">SUM(EB63:EM63)</f>
        <v>10798.688588651041</v>
      </c>
      <c r="EO63" s="883">
        <f t="shared" si="390"/>
        <v>588.86031999172553</v>
      </c>
      <c r="EP63" s="883">
        <f t="shared" si="391"/>
        <v>22329.285729680607</v>
      </c>
      <c r="EQ63" s="883">
        <f>EQ27/$EQ$38</f>
        <v>2464.1283723217484</v>
      </c>
      <c r="ER63" s="883">
        <f>ER27/$ER$38</f>
        <v>6935.4986009154063</v>
      </c>
      <c r="ES63" s="883">
        <f t="shared" si="252"/>
        <v>9379.0704181816836</v>
      </c>
      <c r="ET63" s="883">
        <f t="shared" si="253"/>
        <v>12468.953996128514</v>
      </c>
      <c r="EU63" s="883">
        <f t="shared" si="254"/>
        <v>8593.4824666348559</v>
      </c>
      <c r="EV63" s="973">
        <f t="shared" si="255"/>
        <v>8514.0334059637225</v>
      </c>
      <c r="EW63" s="883"/>
      <c r="EX63" s="883"/>
      <c r="EY63" s="883"/>
      <c r="EZ63" s="873"/>
      <c r="FA63" s="879">
        <f t="shared" si="260"/>
        <v>71273.313309818259</v>
      </c>
      <c r="FC63" s="843" t="str">
        <f t="shared" si="394"/>
        <v/>
      </c>
      <c r="FD63" s="844" t="str">
        <f t="shared" si="392"/>
        <v/>
      </c>
      <c r="FE63" s="845">
        <f t="shared" si="395"/>
        <v>0</v>
      </c>
      <c r="FF63" s="846">
        <f t="shared" si="393"/>
        <v>71273.313309818259</v>
      </c>
      <c r="FI63" s="127"/>
    </row>
    <row r="64" spans="1:172" ht="15" customHeight="1" x14ac:dyDescent="0.25">
      <c r="A64" s="403" t="s">
        <v>299</v>
      </c>
      <c r="B64" s="883">
        <f t="shared" si="263"/>
        <v>0</v>
      </c>
      <c r="C64" s="883">
        <f t="shared" si="264"/>
        <v>0</v>
      </c>
      <c r="D64" s="883">
        <f t="shared" si="265"/>
        <v>896.60452632570252</v>
      </c>
      <c r="E64" s="883">
        <f t="shared" si="266"/>
        <v>1659.2072317697796</v>
      </c>
      <c r="F64" s="883">
        <f t="shared" si="267"/>
        <v>2484.9649292112199</v>
      </c>
      <c r="G64" s="883">
        <f t="shared" si="268"/>
        <v>2238.0183734193915</v>
      </c>
      <c r="H64" s="883">
        <f t="shared" si="269"/>
        <v>3027.4709867736565</v>
      </c>
      <c r="I64" s="883">
        <f t="shared" si="270"/>
        <v>2185.2938968351455</v>
      </c>
      <c r="J64" s="883">
        <f t="shared" si="271"/>
        <v>2586.5510944089001</v>
      </c>
      <c r="K64" s="883">
        <f t="shared" si="272"/>
        <v>2104.0506296846074</v>
      </c>
      <c r="L64" s="883">
        <f t="shared" si="273"/>
        <v>2168.131568763511</v>
      </c>
      <c r="M64" s="873">
        <f t="shared" si="274"/>
        <v>3435.2191155585301</v>
      </c>
      <c r="N64" s="879">
        <f t="shared" si="275"/>
        <v>22785.512352750444</v>
      </c>
      <c r="O64" s="883">
        <f t="shared" si="276"/>
        <v>0</v>
      </c>
      <c r="P64" s="883">
        <f t="shared" si="277"/>
        <v>1897.0260465383994</v>
      </c>
      <c r="Q64" s="883">
        <f t="shared" si="278"/>
        <v>0</v>
      </c>
      <c r="R64" s="883">
        <f t="shared" si="279"/>
        <v>840.9925647198578</v>
      </c>
      <c r="S64" s="883">
        <f t="shared" si="280"/>
        <v>2931.3536475849655</v>
      </c>
      <c r="T64" s="883">
        <f t="shared" si="281"/>
        <v>2240.0191121943672</v>
      </c>
      <c r="U64" s="883">
        <f t="shared" si="282"/>
        <v>1531.4976637121413</v>
      </c>
      <c r="V64" s="883">
        <f t="shared" si="283"/>
        <v>1362.5300332075319</v>
      </c>
      <c r="W64" s="883">
        <f t="shared" si="284"/>
        <v>2069.0381269262416</v>
      </c>
      <c r="X64" s="883">
        <f t="shared" si="285"/>
        <v>1211.5061864530401</v>
      </c>
      <c r="Y64" s="883">
        <f t="shared" si="286"/>
        <v>1277.6390718056282</v>
      </c>
      <c r="Z64" s="873">
        <f t="shared" si="287"/>
        <v>3559.4858011802703</v>
      </c>
      <c r="AA64" s="879">
        <f t="shared" si="288"/>
        <v>18921.088254322443</v>
      </c>
      <c r="AB64" s="883">
        <f t="shared" si="289"/>
        <v>0</v>
      </c>
      <c r="AC64" s="883">
        <f t="shared" si="290"/>
        <v>816.61568068781264</v>
      </c>
      <c r="AD64" s="883">
        <f t="shared" si="291"/>
        <v>1729.8930819445116</v>
      </c>
      <c r="AE64" s="883">
        <f t="shared" si="292"/>
        <v>1192.9410426253967</v>
      </c>
      <c r="AF64" s="883">
        <f t="shared" si="293"/>
        <v>826.81045430354152</v>
      </c>
      <c r="AG64" s="883">
        <f t="shared" si="294"/>
        <v>529.42809154051929</v>
      </c>
      <c r="AH64" s="883">
        <f t="shared" si="295"/>
        <v>2235.472769626032</v>
      </c>
      <c r="AI64" s="883">
        <f t="shared" si="296"/>
        <v>1855.634259756426</v>
      </c>
      <c r="AJ64" s="883">
        <f t="shared" si="297"/>
        <v>1754.1689942950793</v>
      </c>
      <c r="AK64" s="883">
        <f t="shared" si="298"/>
        <v>1124.7703947287405</v>
      </c>
      <c r="AL64" s="883">
        <f t="shared" si="299"/>
        <v>2320.4718525187291</v>
      </c>
      <c r="AM64" s="873">
        <f t="shared" si="300"/>
        <v>8615.4248974210786</v>
      </c>
      <c r="AN64" s="879">
        <f t="shared" si="301"/>
        <v>23001.631519447867</v>
      </c>
      <c r="AO64" s="883">
        <f t="shared" si="302"/>
        <v>3.5994977351987099</v>
      </c>
      <c r="AP64" s="883">
        <f t="shared" si="303"/>
        <v>591.71793193092003</v>
      </c>
      <c r="AQ64" s="883">
        <f t="shared" si="304"/>
        <v>1429.2054658651252</v>
      </c>
      <c r="AR64" s="883">
        <f t="shared" si="305"/>
        <v>2230.5394738141367</v>
      </c>
      <c r="AS64" s="883">
        <f t="shared" si="306"/>
        <v>1873.0781730870415</v>
      </c>
      <c r="AT64" s="883">
        <f t="shared" si="307"/>
        <v>2754.7370920558196</v>
      </c>
      <c r="AU64" s="883">
        <f t="shared" si="308"/>
        <v>2631.3537392943717</v>
      </c>
      <c r="AV64" s="883">
        <f t="shared" si="309"/>
        <v>3631.8605983517023</v>
      </c>
      <c r="AW64" s="883">
        <f t="shared" si="310"/>
        <v>2572.6758061444802</v>
      </c>
      <c r="AX64" s="883">
        <f t="shared" si="311"/>
        <v>3188.3321260654639</v>
      </c>
      <c r="AY64" s="883">
        <f t="shared" si="312"/>
        <v>2174.5981945286235</v>
      </c>
      <c r="AZ64" s="873">
        <f t="shared" si="313"/>
        <v>3295.8947423522059</v>
      </c>
      <c r="BA64" s="879">
        <f t="shared" si="314"/>
        <v>26377.592841225087</v>
      </c>
      <c r="BB64" s="883">
        <f t="shared" si="315"/>
        <v>0</v>
      </c>
      <c r="BC64" s="883">
        <f t="shared" si="316"/>
        <v>931.45574946622617</v>
      </c>
      <c r="BD64" s="883">
        <f t="shared" si="317"/>
        <v>1655.1038452824416</v>
      </c>
      <c r="BE64" s="883">
        <f t="shared" si="318"/>
        <v>1976.1613570515881</v>
      </c>
      <c r="BF64" s="883">
        <f t="shared" si="319"/>
        <v>2079.766975782723</v>
      </c>
      <c r="BG64" s="883">
        <f t="shared" si="320"/>
        <v>1801.3928092626156</v>
      </c>
      <c r="BH64" s="883">
        <f t="shared" si="321"/>
        <v>1296.1672644093592</v>
      </c>
      <c r="BI64" s="883">
        <f t="shared" si="322"/>
        <v>1871.1189327871793</v>
      </c>
      <c r="BJ64" s="883">
        <f t="shared" si="323"/>
        <v>1594.9155109809681</v>
      </c>
      <c r="BK64" s="883">
        <f t="shared" si="324"/>
        <v>1652.8892830505031</v>
      </c>
      <c r="BL64" s="883">
        <f t="shared" si="325"/>
        <v>1814.792956512591</v>
      </c>
      <c r="BM64" s="873">
        <f t="shared" si="326"/>
        <v>3696.0531182760556</v>
      </c>
      <c r="BN64" s="879">
        <f t="shared" si="327"/>
        <v>20369.817802862253</v>
      </c>
      <c r="BO64" s="883">
        <f t="shared" si="328"/>
        <v>0</v>
      </c>
      <c r="BP64" s="883">
        <f t="shared" si="329"/>
        <v>26.947483224827895</v>
      </c>
      <c r="BQ64" s="883">
        <f t="shared" si="330"/>
        <v>1532.9519671122496</v>
      </c>
      <c r="BR64" s="883">
        <f t="shared" si="331"/>
        <v>2287.1865305851125</v>
      </c>
      <c r="BS64" s="883">
        <f t="shared" si="332"/>
        <v>2390.7634659717442</v>
      </c>
      <c r="BT64" s="883">
        <f t="shared" si="333"/>
        <v>1833.0997321771156</v>
      </c>
      <c r="BU64" s="883">
        <f t="shared" si="334"/>
        <v>1093.7306030654952</v>
      </c>
      <c r="BV64" s="883">
        <f t="shared" si="335"/>
        <v>1505.9631102959224</v>
      </c>
      <c r="BW64" s="883">
        <f t="shared" si="336"/>
        <v>1988.0698421262989</v>
      </c>
      <c r="BX64" s="883">
        <f t="shared" si="337"/>
        <v>2840.5073170338082</v>
      </c>
      <c r="BY64" s="883">
        <f t="shared" si="338"/>
        <v>2667.5403847090715</v>
      </c>
      <c r="BZ64" s="873">
        <f t="shared" si="339"/>
        <v>6692.3364322619236</v>
      </c>
      <c r="CA64" s="879">
        <f t="shared" si="340"/>
        <v>24859.096868563571</v>
      </c>
      <c r="CB64" s="883">
        <f t="shared" si="341"/>
        <v>0</v>
      </c>
      <c r="CC64" s="883">
        <f t="shared" si="342"/>
        <v>143.73932989275499</v>
      </c>
      <c r="CD64" s="883">
        <f t="shared" si="343"/>
        <v>1857.0609716521833</v>
      </c>
      <c r="CE64" s="883">
        <f t="shared" si="344"/>
        <v>1939.9754976254535</v>
      </c>
      <c r="CF64" s="883">
        <f t="shared" si="345"/>
        <v>2187.2848623721943</v>
      </c>
      <c r="CG64" s="883">
        <f t="shared" si="346"/>
        <v>2105.5199717714386</v>
      </c>
      <c r="CH64" s="883">
        <f t="shared" si="347"/>
        <v>1926.5527007235689</v>
      </c>
      <c r="CI64" s="883">
        <f t="shared" si="348"/>
        <v>1518.2048549508245</v>
      </c>
      <c r="CJ64" s="883">
        <f t="shared" si="349"/>
        <v>1813.2894878565583</v>
      </c>
      <c r="CK64" s="883">
        <f t="shared" si="350"/>
        <v>1316.9585782259728</v>
      </c>
      <c r="CL64" s="883">
        <f t="shared" si="351"/>
        <v>1520.5461404619143</v>
      </c>
      <c r="CM64" s="873">
        <f t="shared" si="352"/>
        <v>4446.5879035781136</v>
      </c>
      <c r="CN64" s="879">
        <f t="shared" si="232"/>
        <v>20775.720299110977</v>
      </c>
      <c r="CO64" s="883">
        <f t="shared" si="353"/>
        <v>0</v>
      </c>
      <c r="CP64" s="883">
        <f t="shared" si="354"/>
        <v>24.157583101261004</v>
      </c>
      <c r="CQ64" s="883">
        <f t="shared" si="355"/>
        <v>1458.3857192429834</v>
      </c>
      <c r="CR64" s="883">
        <f t="shared" si="356"/>
        <v>1214.9342422187556</v>
      </c>
      <c r="CS64" s="883">
        <f t="shared" si="357"/>
        <v>1143.5749199541729</v>
      </c>
      <c r="CT64" s="883">
        <f t="shared" si="358"/>
        <v>1684.8046779719225</v>
      </c>
      <c r="CU64" s="883">
        <f t="shared" si="359"/>
        <v>3299.4978113287389</v>
      </c>
      <c r="CV64" s="883">
        <f t="shared" si="360"/>
        <v>604.76954044670902</v>
      </c>
      <c r="CW64" s="883">
        <f t="shared" si="361"/>
        <v>968.84535952180727</v>
      </c>
      <c r="CX64" s="883">
        <f t="shared" si="362"/>
        <v>2014.9637752700301</v>
      </c>
      <c r="CY64" s="883">
        <f t="shared" si="363"/>
        <v>2994.0632476615979</v>
      </c>
      <c r="CZ64" s="873">
        <f t="shared" si="364"/>
        <v>6955.3112275107314</v>
      </c>
      <c r="DA64" s="879">
        <f t="shared" si="233"/>
        <v>22363.308104228709</v>
      </c>
      <c r="DB64" s="883">
        <f t="shared" si="365"/>
        <v>0</v>
      </c>
      <c r="DC64" s="883">
        <f t="shared" si="366"/>
        <v>310.15062088313044</v>
      </c>
      <c r="DD64" s="883">
        <f t="shared" si="367"/>
        <v>1518.3148028138528</v>
      </c>
      <c r="DE64" s="883">
        <f t="shared" si="368"/>
        <v>1307.5487496140815</v>
      </c>
      <c r="DF64" s="883">
        <f t="shared" si="369"/>
        <v>2405.0903705417013</v>
      </c>
      <c r="DG64" s="883">
        <f t="shared" si="370"/>
        <v>1976.077798485632</v>
      </c>
      <c r="DH64" s="883">
        <f t="shared" si="371"/>
        <v>3893.3646477009479</v>
      </c>
      <c r="DI64" s="883">
        <f t="shared" si="372"/>
        <v>474.86405975885157</v>
      </c>
      <c r="DJ64" s="883">
        <f t="shared" si="373"/>
        <v>1841.5804049260719</v>
      </c>
      <c r="DK64" s="883">
        <f t="shared" si="374"/>
        <v>1179.3112104553231</v>
      </c>
      <c r="DL64" s="883">
        <f t="shared" si="375"/>
        <v>1520.4032007581375</v>
      </c>
      <c r="DM64" s="873">
        <f t="shared" si="376"/>
        <v>5489.3841354679871</v>
      </c>
      <c r="DN64" s="879">
        <f t="shared" si="234"/>
        <v>21916.090001405719</v>
      </c>
      <c r="DO64" s="883">
        <f t="shared" si="377"/>
        <v>0</v>
      </c>
      <c r="DP64" s="883">
        <f t="shared" si="378"/>
        <v>62.86916545439469</v>
      </c>
      <c r="DQ64" s="883">
        <f t="shared" si="379"/>
        <v>843.3312270697453</v>
      </c>
      <c r="DR64" s="883">
        <f t="shared" si="380"/>
        <v>2286.6606717828872</v>
      </c>
      <c r="DS64" s="883">
        <f t="shared" si="381"/>
        <v>2254.4683240451964</v>
      </c>
      <c r="DT64" s="883">
        <f t="shared" si="382"/>
        <v>3854.6423721578021</v>
      </c>
      <c r="DU64" s="883">
        <f t="shared" si="383"/>
        <v>725.10632046256626</v>
      </c>
      <c r="DV64" s="883">
        <f t="shared" si="384"/>
        <v>1862.3817029170532</v>
      </c>
      <c r="DW64" s="883">
        <f t="shared" si="385"/>
        <v>341.15815608130646</v>
      </c>
      <c r="DX64" s="883">
        <f t="shared" si="386"/>
        <v>2601.2951842064926</v>
      </c>
      <c r="DY64" s="883">
        <f t="shared" si="387"/>
        <v>2048.6284228739828</v>
      </c>
      <c r="DZ64" s="873">
        <f t="shared" si="388"/>
        <v>2192.746744559794</v>
      </c>
      <c r="EA64" s="879">
        <f t="shared" si="235"/>
        <v>19073.288291611221</v>
      </c>
      <c r="EB64" s="883">
        <f t="shared" si="236"/>
        <v>0</v>
      </c>
      <c r="EC64" s="883">
        <f t="shared" si="237"/>
        <v>1.1162088817767075</v>
      </c>
      <c r="ED64" s="883">
        <f t="shared" si="238"/>
        <v>1488.1308770041612</v>
      </c>
      <c r="EE64" s="883">
        <f t="shared" si="239"/>
        <v>1292.4425001986742</v>
      </c>
      <c r="EF64" s="883">
        <f t="shared" si="240"/>
        <v>1987.3155995283887</v>
      </c>
      <c r="EG64" s="883">
        <f t="shared" si="241"/>
        <v>1682.5306579526953</v>
      </c>
      <c r="EH64" s="883">
        <f t="shared" si="242"/>
        <v>1254.4631124657617</v>
      </c>
      <c r="EI64" s="883">
        <f t="shared" si="243"/>
        <v>1408.7539505465365</v>
      </c>
      <c r="EJ64" s="883">
        <f t="shared" si="244"/>
        <v>678.65025450930818</v>
      </c>
      <c r="EK64" s="883">
        <f t="shared" si="245"/>
        <v>1223.3455518429955</v>
      </c>
      <c r="EL64" s="883">
        <f t="shared" si="246"/>
        <v>1809.5550470306705</v>
      </c>
      <c r="EM64" s="873">
        <f t="shared" si="247"/>
        <v>2412.8339929846597</v>
      </c>
      <c r="EN64" s="879">
        <f>SUM(EB64:EM64)</f>
        <v>15239.137752945626</v>
      </c>
      <c r="EO64" s="883">
        <f t="shared" si="390"/>
        <v>0</v>
      </c>
      <c r="EP64" s="883">
        <f t="shared" si="391"/>
        <v>1039.6889374281491</v>
      </c>
      <c r="EQ64" s="883">
        <f t="shared" si="250"/>
        <v>2210.7818405354215</v>
      </c>
      <c r="ER64" s="883">
        <f t="shared" si="251"/>
        <v>3695.1122528325982</v>
      </c>
      <c r="ES64" s="883">
        <f t="shared" si="252"/>
        <v>2510.0492738594794</v>
      </c>
      <c r="ET64" s="883">
        <f t="shared" si="253"/>
        <v>2166.000896163675</v>
      </c>
      <c r="EU64" s="883">
        <f t="shared" si="254"/>
        <v>568.3520149890777</v>
      </c>
      <c r="EV64" s="973">
        <f t="shared" si="255"/>
        <v>1021.7896746592514</v>
      </c>
      <c r="EW64" s="883"/>
      <c r="EX64" s="883"/>
      <c r="EY64" s="883"/>
      <c r="EZ64" s="873"/>
      <c r="FA64" s="879">
        <f>SUM(EO64:EZ64)</f>
        <v>13211.774890467652</v>
      </c>
      <c r="FC64" s="843">
        <f t="shared" si="394"/>
        <v>-27.468549475027871</v>
      </c>
      <c r="FD64" s="844">
        <f t="shared" si="392"/>
        <v>44.949347786848847</v>
      </c>
      <c r="FE64" s="845">
        <f t="shared" si="395"/>
        <v>9114.7529065779945</v>
      </c>
      <c r="FF64" s="846">
        <f t="shared" si="393"/>
        <v>13211.774890467652</v>
      </c>
      <c r="FI64" s="127"/>
    </row>
    <row r="65" spans="1:172" ht="15" customHeight="1" x14ac:dyDescent="0.25">
      <c r="A65" s="403" t="s">
        <v>388</v>
      </c>
      <c r="B65" s="883"/>
      <c r="C65" s="883"/>
      <c r="D65" s="883"/>
      <c r="E65" s="883"/>
      <c r="F65" s="883"/>
      <c r="G65" s="883"/>
      <c r="H65" s="883"/>
      <c r="I65" s="883"/>
      <c r="J65" s="883"/>
      <c r="K65" s="883"/>
      <c r="L65" s="883"/>
      <c r="M65" s="873"/>
      <c r="N65" s="879"/>
      <c r="O65" s="883"/>
      <c r="P65" s="883"/>
      <c r="Q65" s="883"/>
      <c r="R65" s="883"/>
      <c r="S65" s="883"/>
      <c r="T65" s="883"/>
      <c r="U65" s="883"/>
      <c r="V65" s="883"/>
      <c r="W65" s="883"/>
      <c r="X65" s="883"/>
      <c r="Y65" s="883"/>
      <c r="Z65" s="873"/>
      <c r="AA65" s="879"/>
      <c r="AB65" s="883"/>
      <c r="AC65" s="883"/>
      <c r="AD65" s="883"/>
      <c r="AE65" s="883"/>
      <c r="AF65" s="883"/>
      <c r="AG65" s="883"/>
      <c r="AH65" s="883"/>
      <c r="AI65" s="883"/>
      <c r="AJ65" s="883"/>
      <c r="AK65" s="883"/>
      <c r="AL65" s="883"/>
      <c r="AM65" s="873"/>
      <c r="AN65" s="879"/>
      <c r="AO65" s="883"/>
      <c r="AP65" s="883"/>
      <c r="AQ65" s="883"/>
      <c r="AR65" s="883"/>
      <c r="AS65" s="883"/>
      <c r="AT65" s="883"/>
      <c r="AU65" s="883"/>
      <c r="AV65" s="883"/>
      <c r="AW65" s="883"/>
      <c r="AX65" s="883"/>
      <c r="AY65" s="883"/>
      <c r="AZ65" s="873"/>
      <c r="BA65" s="879"/>
      <c r="BB65" s="883"/>
      <c r="BC65" s="883"/>
      <c r="BD65" s="883"/>
      <c r="BE65" s="883"/>
      <c r="BF65" s="883"/>
      <c r="BG65" s="883"/>
      <c r="BH65" s="883"/>
      <c r="BI65" s="883"/>
      <c r="BJ65" s="883"/>
      <c r="BK65" s="883"/>
      <c r="BL65" s="883"/>
      <c r="BM65" s="873"/>
      <c r="BN65" s="879"/>
      <c r="BO65" s="883"/>
      <c r="BP65" s="883"/>
      <c r="BQ65" s="883"/>
      <c r="BR65" s="883"/>
      <c r="BS65" s="883"/>
      <c r="BT65" s="883"/>
      <c r="BU65" s="883"/>
      <c r="BV65" s="883"/>
      <c r="BW65" s="883"/>
      <c r="BX65" s="883"/>
      <c r="BY65" s="883"/>
      <c r="BZ65" s="873"/>
      <c r="CA65" s="879"/>
      <c r="CB65" s="883"/>
      <c r="CC65" s="883"/>
      <c r="CD65" s="883"/>
      <c r="CE65" s="883"/>
      <c r="CF65" s="883"/>
      <c r="CG65" s="883"/>
      <c r="CH65" s="883"/>
      <c r="CI65" s="883"/>
      <c r="CJ65" s="883"/>
      <c r="CK65" s="883"/>
      <c r="CL65" s="883"/>
      <c r="CM65" s="873"/>
      <c r="CN65" s="879"/>
      <c r="CO65" s="883"/>
      <c r="CP65" s="883"/>
      <c r="CQ65" s="883"/>
      <c r="CR65" s="883"/>
      <c r="CS65" s="883"/>
      <c r="CT65" s="883"/>
      <c r="CU65" s="883"/>
      <c r="CV65" s="883"/>
      <c r="CW65" s="883"/>
      <c r="CX65" s="883"/>
      <c r="CY65" s="883"/>
      <c r="CZ65" s="873"/>
      <c r="DA65" s="879"/>
      <c r="DB65" s="883">
        <f t="shared" si="365"/>
        <v>0</v>
      </c>
      <c r="DC65" s="883"/>
      <c r="DD65" s="883"/>
      <c r="DE65" s="883"/>
      <c r="DF65" s="883"/>
      <c r="DG65" s="883"/>
      <c r="DH65" s="883"/>
      <c r="DI65" s="883">
        <f t="shared" si="372"/>
        <v>0</v>
      </c>
      <c r="DJ65" s="883"/>
      <c r="DK65" s="883"/>
      <c r="DL65" s="883"/>
      <c r="DM65" s="873">
        <f t="shared" si="376"/>
        <v>0</v>
      </c>
      <c r="DN65" s="879">
        <f t="shared" si="234"/>
        <v>0</v>
      </c>
      <c r="DO65" s="883">
        <f t="shared" si="377"/>
        <v>0</v>
      </c>
      <c r="DP65" s="883"/>
      <c r="DQ65" s="883">
        <f t="shared" si="379"/>
        <v>0</v>
      </c>
      <c r="DR65" s="883">
        <f t="shared" si="380"/>
        <v>0</v>
      </c>
      <c r="DS65" s="883"/>
      <c r="DT65" s="883"/>
      <c r="DU65" s="883"/>
      <c r="DV65" s="883"/>
      <c r="DW65" s="883"/>
      <c r="DX65" s="883"/>
      <c r="DY65" s="883">
        <f t="shared" si="387"/>
        <v>0</v>
      </c>
      <c r="DZ65" s="873"/>
      <c r="EA65" s="879">
        <f t="shared" si="235"/>
        <v>0</v>
      </c>
      <c r="EB65" s="883">
        <f t="shared" si="236"/>
        <v>0</v>
      </c>
      <c r="EC65" s="883">
        <f t="shared" si="237"/>
        <v>0</v>
      </c>
      <c r="ED65" s="883">
        <f t="shared" si="238"/>
        <v>0</v>
      </c>
      <c r="EE65" s="883">
        <f t="shared" si="239"/>
        <v>0</v>
      </c>
      <c r="EF65" s="883">
        <f t="shared" si="240"/>
        <v>0</v>
      </c>
      <c r="EG65" s="883">
        <f t="shared" si="241"/>
        <v>0</v>
      </c>
      <c r="EH65" s="883">
        <f t="shared" si="242"/>
        <v>0</v>
      </c>
      <c r="EI65" s="883">
        <f t="shared" si="243"/>
        <v>0</v>
      </c>
      <c r="EJ65" s="883">
        <f t="shared" si="244"/>
        <v>0</v>
      </c>
      <c r="EK65" s="883">
        <f t="shared" si="245"/>
        <v>0</v>
      </c>
      <c r="EL65" s="883">
        <f t="shared" si="246"/>
        <v>0</v>
      </c>
      <c r="EM65" s="873">
        <f t="shared" si="247"/>
        <v>0</v>
      </c>
      <c r="EN65" s="879">
        <f t="shared" ref="EN65:EN66" si="397">SUM(EB65:EM65)</f>
        <v>0</v>
      </c>
      <c r="EO65" s="883">
        <f t="shared" ref="EO65:ER65" si="398">EO29/$ES$38</f>
        <v>0</v>
      </c>
      <c r="EP65" s="883">
        <f t="shared" si="398"/>
        <v>0</v>
      </c>
      <c r="EQ65" s="883">
        <f t="shared" si="398"/>
        <v>0</v>
      </c>
      <c r="ER65" s="883">
        <f t="shared" si="398"/>
        <v>0</v>
      </c>
      <c r="ES65" s="883">
        <f t="shared" si="252"/>
        <v>0</v>
      </c>
      <c r="ET65" s="883">
        <f t="shared" si="253"/>
        <v>0</v>
      </c>
      <c r="EU65" s="883">
        <f t="shared" si="254"/>
        <v>0</v>
      </c>
      <c r="EV65" s="973">
        <f t="shared" si="255"/>
        <v>0</v>
      </c>
      <c r="EW65" s="883"/>
      <c r="EX65" s="883"/>
      <c r="EY65" s="883"/>
      <c r="EZ65" s="873"/>
      <c r="FA65" s="879">
        <f t="shared" si="260"/>
        <v>0</v>
      </c>
      <c r="FC65" s="843" t="str">
        <f t="shared" si="394"/>
        <v/>
      </c>
      <c r="FD65" s="844" t="str">
        <f t="shared" si="392"/>
        <v/>
      </c>
      <c r="FE65" s="845">
        <f t="shared" si="395"/>
        <v>0</v>
      </c>
      <c r="FF65" s="846">
        <f t="shared" si="393"/>
        <v>0</v>
      </c>
      <c r="FI65" s="127"/>
    </row>
    <row r="66" spans="1:172" ht="15" customHeight="1" x14ac:dyDescent="0.25">
      <c r="A66" s="403" t="s">
        <v>389</v>
      </c>
      <c r="B66" s="883"/>
      <c r="C66" s="883"/>
      <c r="D66" s="883"/>
      <c r="E66" s="883"/>
      <c r="F66" s="883"/>
      <c r="G66" s="883"/>
      <c r="H66" s="883"/>
      <c r="I66" s="883"/>
      <c r="J66" s="883"/>
      <c r="K66" s="883"/>
      <c r="L66" s="883"/>
      <c r="M66" s="873"/>
      <c r="N66" s="879"/>
      <c r="O66" s="883"/>
      <c r="P66" s="883"/>
      <c r="Q66" s="883"/>
      <c r="R66" s="883"/>
      <c r="S66" s="883"/>
      <c r="T66" s="883"/>
      <c r="U66" s="883"/>
      <c r="V66" s="883"/>
      <c r="W66" s="883"/>
      <c r="X66" s="883"/>
      <c r="Y66" s="883"/>
      <c r="Z66" s="873"/>
      <c r="AA66" s="879"/>
      <c r="AB66" s="883"/>
      <c r="AC66" s="883"/>
      <c r="AD66" s="883"/>
      <c r="AE66" s="883"/>
      <c r="AF66" s="883"/>
      <c r="AG66" s="883"/>
      <c r="AH66" s="883"/>
      <c r="AI66" s="883"/>
      <c r="AJ66" s="883"/>
      <c r="AK66" s="883"/>
      <c r="AL66" s="883"/>
      <c r="AM66" s="873"/>
      <c r="AN66" s="879"/>
      <c r="AO66" s="883"/>
      <c r="AP66" s="883"/>
      <c r="AQ66" s="883"/>
      <c r="AR66" s="883"/>
      <c r="AS66" s="883"/>
      <c r="AT66" s="883"/>
      <c r="AU66" s="883"/>
      <c r="AV66" s="883"/>
      <c r="AW66" s="883"/>
      <c r="AX66" s="883"/>
      <c r="AY66" s="883"/>
      <c r="AZ66" s="873"/>
      <c r="BA66" s="879"/>
      <c r="BB66" s="883"/>
      <c r="BC66" s="883"/>
      <c r="BD66" s="883"/>
      <c r="BE66" s="883"/>
      <c r="BF66" s="883"/>
      <c r="BG66" s="883"/>
      <c r="BH66" s="883"/>
      <c r="BI66" s="883"/>
      <c r="BJ66" s="883"/>
      <c r="BK66" s="883"/>
      <c r="BL66" s="883"/>
      <c r="BM66" s="873"/>
      <c r="BN66" s="879"/>
      <c r="BO66" s="883"/>
      <c r="BP66" s="883"/>
      <c r="BQ66" s="883"/>
      <c r="BR66" s="883"/>
      <c r="BS66" s="883"/>
      <c r="BT66" s="883"/>
      <c r="BU66" s="883"/>
      <c r="BV66" s="883"/>
      <c r="BW66" s="883"/>
      <c r="BX66" s="883"/>
      <c r="BY66" s="883"/>
      <c r="BZ66" s="873"/>
      <c r="CA66" s="879"/>
      <c r="CB66" s="883"/>
      <c r="CC66" s="883"/>
      <c r="CD66" s="883"/>
      <c r="CE66" s="883"/>
      <c r="CF66" s="883"/>
      <c r="CG66" s="883"/>
      <c r="CH66" s="883"/>
      <c r="CI66" s="883"/>
      <c r="CJ66" s="883"/>
      <c r="CK66" s="883"/>
      <c r="CL66" s="883"/>
      <c r="CM66" s="873"/>
      <c r="CN66" s="879"/>
      <c r="CO66" s="883"/>
      <c r="CP66" s="883"/>
      <c r="CQ66" s="883"/>
      <c r="CR66" s="883"/>
      <c r="CS66" s="883"/>
      <c r="CT66" s="883"/>
      <c r="CU66" s="883"/>
      <c r="CV66" s="883"/>
      <c r="CW66" s="883"/>
      <c r="CX66" s="883"/>
      <c r="CY66" s="883"/>
      <c r="CZ66" s="873"/>
      <c r="DA66" s="879"/>
      <c r="DB66" s="883">
        <f t="shared" si="365"/>
        <v>0</v>
      </c>
      <c r="DC66" s="883"/>
      <c r="DD66" s="883"/>
      <c r="DE66" s="883"/>
      <c r="DF66" s="883"/>
      <c r="DG66" s="883"/>
      <c r="DH66" s="883"/>
      <c r="DI66" s="883">
        <f t="shared" si="372"/>
        <v>0</v>
      </c>
      <c r="DJ66" s="883"/>
      <c r="DK66" s="883"/>
      <c r="DL66" s="883"/>
      <c r="DM66" s="873">
        <f t="shared" si="376"/>
        <v>0</v>
      </c>
      <c r="DN66" s="879">
        <f t="shared" si="234"/>
        <v>0</v>
      </c>
      <c r="DO66" s="883">
        <f t="shared" si="377"/>
        <v>0</v>
      </c>
      <c r="DP66" s="883"/>
      <c r="DQ66" s="883">
        <f t="shared" si="379"/>
        <v>0</v>
      </c>
      <c r="DR66" s="883">
        <f t="shared" si="380"/>
        <v>0</v>
      </c>
      <c r="DS66" s="883"/>
      <c r="DT66" s="883"/>
      <c r="DU66" s="883"/>
      <c r="DV66" s="883"/>
      <c r="DW66" s="883"/>
      <c r="DX66" s="883"/>
      <c r="DY66" s="883">
        <f t="shared" si="387"/>
        <v>0</v>
      </c>
      <c r="DZ66" s="873"/>
      <c r="EA66" s="879">
        <f t="shared" si="235"/>
        <v>0</v>
      </c>
      <c r="EB66" s="883"/>
      <c r="EC66" s="883"/>
      <c r="ED66" s="883"/>
      <c r="EE66" s="883"/>
      <c r="EF66" s="883"/>
      <c r="EG66" s="883"/>
      <c r="EH66" s="883"/>
      <c r="EI66" s="883"/>
      <c r="EJ66" s="883"/>
      <c r="EK66" s="883"/>
      <c r="EL66" s="883"/>
      <c r="EM66" s="873"/>
      <c r="EN66" s="879">
        <f t="shared" si="397"/>
        <v>0</v>
      </c>
      <c r="EO66" s="883"/>
      <c r="EP66" s="883"/>
      <c r="EQ66" s="883"/>
      <c r="ER66" s="883"/>
      <c r="ES66" s="883"/>
      <c r="ET66" s="883"/>
      <c r="EU66" s="883"/>
      <c r="EV66" s="973"/>
      <c r="EW66" s="883"/>
      <c r="EX66" s="883"/>
      <c r="EY66" s="883"/>
      <c r="EZ66" s="873"/>
      <c r="FA66" s="879">
        <f t="shared" si="260"/>
        <v>0</v>
      </c>
      <c r="FC66" s="843" t="str">
        <f t="shared" si="394"/>
        <v/>
      </c>
      <c r="FD66" s="844" t="str">
        <f t="shared" si="392"/>
        <v/>
      </c>
      <c r="FE66" s="845">
        <f t="shared" si="395"/>
        <v>0</v>
      </c>
      <c r="FF66" s="846">
        <f t="shared" si="393"/>
        <v>0</v>
      </c>
      <c r="FI66" s="127"/>
    </row>
    <row r="67" spans="1:172" ht="15" customHeight="1" x14ac:dyDescent="0.25">
      <c r="A67" s="133"/>
      <c r="B67" s="880"/>
      <c r="C67" s="880"/>
      <c r="D67" s="880"/>
      <c r="E67" s="880"/>
      <c r="F67" s="880"/>
      <c r="G67" s="880"/>
      <c r="H67" s="880"/>
      <c r="I67" s="880"/>
      <c r="J67" s="880"/>
      <c r="K67" s="880"/>
      <c r="L67" s="880"/>
      <c r="M67" s="881"/>
      <c r="N67" s="882"/>
      <c r="O67" s="880"/>
      <c r="P67" s="880"/>
      <c r="Q67" s="880"/>
      <c r="R67" s="880"/>
      <c r="S67" s="880"/>
      <c r="T67" s="880"/>
      <c r="U67" s="880"/>
      <c r="V67" s="880"/>
      <c r="W67" s="880"/>
      <c r="X67" s="880"/>
      <c r="Y67" s="880"/>
      <c r="Z67" s="881"/>
      <c r="AA67" s="882"/>
      <c r="AB67" s="880"/>
      <c r="AC67" s="880"/>
      <c r="AD67" s="880"/>
      <c r="AE67" s="880"/>
      <c r="AF67" s="880"/>
      <c r="AG67" s="880"/>
      <c r="AH67" s="880"/>
      <c r="AI67" s="880"/>
      <c r="AJ67" s="880"/>
      <c r="AK67" s="880"/>
      <c r="AL67" s="880"/>
      <c r="AM67" s="881"/>
      <c r="AN67" s="882"/>
      <c r="AO67" s="880"/>
      <c r="AP67" s="880"/>
      <c r="AQ67" s="880"/>
      <c r="AR67" s="880"/>
      <c r="AS67" s="880"/>
      <c r="AT67" s="880"/>
      <c r="AU67" s="880"/>
      <c r="AV67" s="880"/>
      <c r="AW67" s="880"/>
      <c r="AX67" s="880"/>
      <c r="AY67" s="880"/>
      <c r="AZ67" s="881"/>
      <c r="BA67" s="882"/>
      <c r="BB67" s="880"/>
      <c r="BC67" s="880"/>
      <c r="BD67" s="880"/>
      <c r="BE67" s="880"/>
      <c r="BF67" s="880"/>
      <c r="BG67" s="880"/>
      <c r="BH67" s="880"/>
      <c r="BI67" s="880"/>
      <c r="BJ67" s="880"/>
      <c r="BK67" s="880"/>
      <c r="BL67" s="880"/>
      <c r="BM67" s="881"/>
      <c r="BN67" s="882"/>
      <c r="BO67" s="880"/>
      <c r="BP67" s="880"/>
      <c r="BQ67" s="880"/>
      <c r="BR67" s="880"/>
      <c r="BS67" s="880"/>
      <c r="BT67" s="880"/>
      <c r="BU67" s="880"/>
      <c r="BV67" s="880"/>
      <c r="BW67" s="880"/>
      <c r="BX67" s="880"/>
      <c r="BY67" s="880"/>
      <c r="BZ67" s="881"/>
      <c r="CA67" s="882"/>
      <c r="CB67" s="880"/>
      <c r="CC67" s="880"/>
      <c r="CD67" s="880"/>
      <c r="CE67" s="880"/>
      <c r="CF67" s="880"/>
      <c r="CG67" s="880"/>
      <c r="CH67" s="880"/>
      <c r="CI67" s="880"/>
      <c r="CJ67" s="880"/>
      <c r="CK67" s="880"/>
      <c r="CL67" s="880"/>
      <c r="CM67" s="881"/>
      <c r="CN67" s="882"/>
      <c r="CO67" s="880"/>
      <c r="CP67" s="880"/>
      <c r="CQ67" s="880"/>
      <c r="CR67" s="880"/>
      <c r="CS67" s="880"/>
      <c r="CT67" s="880"/>
      <c r="CU67" s="880"/>
      <c r="CV67" s="880"/>
      <c r="CW67" s="880"/>
      <c r="CX67" s="880"/>
      <c r="CY67" s="880"/>
      <c r="CZ67" s="881"/>
      <c r="DA67" s="882"/>
      <c r="DB67" s="880"/>
      <c r="DC67" s="880"/>
      <c r="DD67" s="880"/>
      <c r="DE67" s="880"/>
      <c r="DF67" s="880"/>
      <c r="DG67" s="880"/>
      <c r="DH67" s="880"/>
      <c r="DI67" s="880"/>
      <c r="DJ67" s="880"/>
      <c r="DK67" s="880"/>
      <c r="DL67" s="880"/>
      <c r="DM67" s="881"/>
      <c r="DN67" s="882"/>
      <c r="DO67" s="880"/>
      <c r="DP67" s="880"/>
      <c r="DQ67" s="880"/>
      <c r="DR67" s="880"/>
      <c r="DS67" s="880"/>
      <c r="DT67" s="880"/>
      <c r="DU67" s="880"/>
      <c r="DV67" s="880"/>
      <c r="DW67" s="880"/>
      <c r="DX67" s="880"/>
      <c r="DY67" s="880"/>
      <c r="DZ67" s="881"/>
      <c r="EA67" s="882"/>
      <c r="EB67" s="880"/>
      <c r="EC67" s="880"/>
      <c r="ED67" s="880"/>
      <c r="EE67" s="880"/>
      <c r="EF67" s="880"/>
      <c r="EG67" s="880"/>
      <c r="EH67" s="880"/>
      <c r="EI67" s="880"/>
      <c r="EJ67" s="880"/>
      <c r="EK67" s="880"/>
      <c r="EL67" s="880"/>
      <c r="EM67" s="881"/>
      <c r="EN67" s="882"/>
      <c r="EO67" s="880"/>
      <c r="EP67" s="880"/>
      <c r="EQ67" s="880"/>
      <c r="ER67" s="880"/>
      <c r="ES67" s="880"/>
      <c r="ET67" s="880"/>
      <c r="EU67" s="880"/>
      <c r="EV67" s="978"/>
      <c r="EW67" s="880"/>
      <c r="EX67" s="880"/>
      <c r="EY67" s="880"/>
      <c r="EZ67" s="881"/>
      <c r="FA67" s="882"/>
      <c r="FC67" s="340"/>
      <c r="FD67" s="228"/>
      <c r="FE67" s="305"/>
      <c r="FF67" s="218"/>
    </row>
    <row r="68" spans="1:172" ht="15" customHeight="1" x14ac:dyDescent="0.25">
      <c r="A68" s="131" t="s">
        <v>244</v>
      </c>
      <c r="FC68" s="205"/>
      <c r="FD68" s="205"/>
    </row>
    <row r="69" spans="1:172" ht="15" customHeight="1" x14ac:dyDescent="0.25">
      <c r="A69" s="175" t="s">
        <v>145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127"/>
      <c r="BE69" s="127"/>
      <c r="BF69" s="127"/>
      <c r="BG69" s="127"/>
      <c r="BH69" s="127"/>
      <c r="BI69" s="127"/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FC69" s="205"/>
      <c r="FD69" s="205"/>
    </row>
    <row r="70" spans="1:172" ht="15" customHeight="1" x14ac:dyDescent="0.25">
      <c r="A70" s="175"/>
      <c r="B70" s="908" t="e">
        <f>((B72/#REF!)-1)*100</f>
        <v>#REF!</v>
      </c>
      <c r="C70" s="908">
        <f t="shared" ref="C70:M70" si="399">((C72/B72)-1)*100</f>
        <v>0.34999999999998366</v>
      </c>
      <c r="D70" s="908">
        <f t="shared" si="399"/>
        <v>0.69000000000001283</v>
      </c>
      <c r="E70" s="908">
        <f t="shared" si="399"/>
        <v>-4.9999999999983391E-2</v>
      </c>
      <c r="F70" s="908">
        <f t="shared" si="399"/>
        <v>0.37999999999998035</v>
      </c>
      <c r="G70" s="908">
        <f t="shared" si="399"/>
        <v>0.25999999999968271</v>
      </c>
      <c r="H70" s="908">
        <f t="shared" si="399"/>
        <v>-4.2299536598511267E-2</v>
      </c>
      <c r="I70" s="908">
        <f t="shared" si="399"/>
        <v>0.23926474866931002</v>
      </c>
      <c r="J70" s="908">
        <f t="shared" si="399"/>
        <v>0.21634954674387696</v>
      </c>
      <c r="K70" s="908">
        <f t="shared" si="399"/>
        <v>1.9530980943494036E-2</v>
      </c>
      <c r="L70" s="908">
        <f t="shared" si="399"/>
        <v>0.71619945035819033</v>
      </c>
      <c r="M70" s="908">
        <f t="shared" si="399"/>
        <v>8.1921521308725431E-2</v>
      </c>
      <c r="N70" s="908"/>
      <c r="O70" s="908">
        <f>((O72/M72)-1)*100</f>
        <v>3.053448358329991E-2</v>
      </c>
      <c r="P70" s="908">
        <f t="shared" ref="P70:Z70" si="400">((P72/O72)-1)*100</f>
        <v>0.23219235243348013</v>
      </c>
      <c r="Q70" s="908">
        <f t="shared" si="400"/>
        <v>-0.28672930868928193</v>
      </c>
      <c r="R70" s="908">
        <f t="shared" si="400"/>
        <v>-0.66892865715068028</v>
      </c>
      <c r="S70" s="908">
        <f t="shared" si="400"/>
        <v>-7.8050303420551526E-2</v>
      </c>
      <c r="T70" s="908">
        <f t="shared" si="400"/>
        <v>0.55896268753110601</v>
      </c>
      <c r="U70" s="908">
        <f t="shared" si="400"/>
        <v>-0.30043095942746678</v>
      </c>
      <c r="V70" s="908">
        <f t="shared" si="400"/>
        <v>0.43162471284821091</v>
      </c>
      <c r="W70" s="908">
        <f t="shared" si="400"/>
        <v>0.78869387074389508</v>
      </c>
      <c r="X70" s="908">
        <f t="shared" si="400"/>
        <v>0.45930640210378737</v>
      </c>
      <c r="Y70" s="908">
        <f t="shared" si="400"/>
        <v>0.22347258548029991</v>
      </c>
      <c r="Z70" s="908">
        <f t="shared" si="400"/>
        <v>0.53272555389280996</v>
      </c>
      <c r="AA70" s="908"/>
      <c r="AB70" s="908">
        <f>((AB72/Z72)-1)*100</f>
        <v>3.1737347613192135E-2</v>
      </c>
      <c r="AC70" s="908">
        <f t="shared" ref="AC70:AM70" si="401">((AC72/AB72)-1)*100</f>
        <v>-0.61843213831460631</v>
      </c>
      <c r="AD70" s="908">
        <f t="shared" si="401"/>
        <v>0.39649345792385216</v>
      </c>
      <c r="AE70" s="908">
        <f t="shared" si="401"/>
        <v>-0.25290356996410246</v>
      </c>
      <c r="AF70" s="908">
        <f t="shared" si="401"/>
        <v>-0.13312826441995718</v>
      </c>
      <c r="AG70" s="908">
        <f t="shared" si="401"/>
        <v>-0.12688342585249757</v>
      </c>
      <c r="AH70" s="908">
        <f t="shared" si="401"/>
        <v>-0.10704403257981721</v>
      </c>
      <c r="AI70" s="908">
        <f t="shared" si="401"/>
        <v>0.18869062535811221</v>
      </c>
      <c r="AJ70" s="908">
        <f t="shared" si="401"/>
        <v>0.21102217153214919</v>
      </c>
      <c r="AK70" s="908">
        <f t="shared" si="401"/>
        <v>-7.3444432088232148E-2</v>
      </c>
      <c r="AL70" s="908">
        <f t="shared" si="401"/>
        <v>-0.16134807921911465</v>
      </c>
      <c r="AM70" s="908">
        <f t="shared" si="401"/>
        <v>6.1335741311441261E-2</v>
      </c>
      <c r="AN70" s="908"/>
      <c r="AO70" s="908">
        <f>((AO72/AM72)-1)*100</f>
        <v>0.26357487057231399</v>
      </c>
      <c r="AP70" s="908">
        <f t="shared" ref="AP70:AZ70" si="402">((AP72/AO72)-1)*100</f>
        <v>0.38205279946403881</v>
      </c>
      <c r="AQ70" s="908">
        <f t="shared" si="402"/>
        <v>9.0167422404063835E-2</v>
      </c>
      <c r="AR70" s="908">
        <f t="shared" si="402"/>
        <v>-9.3202373189993359E-2</v>
      </c>
      <c r="AS70" s="908">
        <f t="shared" si="402"/>
        <v>0.70330936786742182</v>
      </c>
      <c r="AT70" s="908">
        <f t="shared" si="402"/>
        <v>0.28221574746070122</v>
      </c>
      <c r="AU70" s="908">
        <f t="shared" si="402"/>
        <v>7.206102002381698E-2</v>
      </c>
      <c r="AV70" s="908">
        <f t="shared" si="402"/>
        <v>0.13031818425597308</v>
      </c>
      <c r="AW70" s="908">
        <f t="shared" si="402"/>
        <v>0.63274317403614333</v>
      </c>
      <c r="AX70" s="908">
        <f t="shared" si="402"/>
        <v>0.39157518161896387</v>
      </c>
      <c r="AY70" s="908">
        <f t="shared" si="402"/>
        <v>0.47741438947532799</v>
      </c>
      <c r="AZ70" s="908">
        <f t="shared" si="402"/>
        <v>-0.13144839318965928</v>
      </c>
      <c r="BA70" s="908"/>
      <c r="BB70" s="908">
        <f>((BB72/AZ72)-1)*100</f>
        <v>-0.33058723767540599</v>
      </c>
      <c r="BC70" s="908">
        <f t="shared" ref="BC70:BM70" si="403">((BC72/BB72)-1)*100</f>
        <v>-0.45074289343741691</v>
      </c>
      <c r="BD70" s="908">
        <f t="shared" si="403"/>
        <v>3.241163410994119E-2</v>
      </c>
      <c r="BE70" s="908">
        <f t="shared" si="403"/>
        <v>0.27101016981725401</v>
      </c>
      <c r="BF70" s="908">
        <f t="shared" si="403"/>
        <v>0.1812326186129587</v>
      </c>
      <c r="BG70" s="908">
        <f t="shared" si="403"/>
        <v>-8.2237010864016913E-2</v>
      </c>
      <c r="BH70" s="908">
        <f t="shared" si="403"/>
        <v>4.2854836252903539E-2</v>
      </c>
      <c r="BI70" s="908">
        <f t="shared" si="403"/>
        <v>0.30860030910426772</v>
      </c>
      <c r="BJ70" s="908">
        <f t="shared" si="403"/>
        <v>-1.1282458968542297E-2</v>
      </c>
      <c r="BK70" s="908">
        <f t="shared" si="403"/>
        <v>0.12230891474160899</v>
      </c>
      <c r="BL70" s="908">
        <f t="shared" si="403"/>
        <v>-0.1368932842300552</v>
      </c>
      <c r="BM70" s="908">
        <f t="shared" si="403"/>
        <v>-3.833217719069193E-2</v>
      </c>
      <c r="BN70" s="908"/>
      <c r="BO70" s="908">
        <f>((BO72/BM72)-1)*100</f>
        <v>-0.34848401419980135</v>
      </c>
      <c r="BP70" s="908">
        <f t="shared" ref="BP70:BZ70" si="404">((BP72/BO72)-1)*100</f>
        <v>-0.14000000000000679</v>
      </c>
      <c r="BQ70" s="908">
        <f t="shared" si="404"/>
        <v>0.27999999999999137</v>
      </c>
      <c r="BR70" s="908">
        <f t="shared" si="404"/>
        <v>-0.23000000000000798</v>
      </c>
      <c r="BS70" s="908">
        <f t="shared" si="404"/>
        <v>-0.12000000000000899</v>
      </c>
      <c r="BT70" s="908">
        <f t="shared" si="404"/>
        <v>-0.15000000000000568</v>
      </c>
      <c r="BU70" s="908">
        <f t="shared" si="404"/>
        <v>0.53000000000000824</v>
      </c>
      <c r="BV70" s="908">
        <f t="shared" si="404"/>
        <v>0.34000000000034003</v>
      </c>
      <c r="BW70" s="908">
        <f t="shared" si="404"/>
        <v>0.11999999999927624</v>
      </c>
      <c r="BX70" s="908">
        <f t="shared" si="404"/>
        <v>0.25000000000039435</v>
      </c>
      <c r="BY70" s="908">
        <f t="shared" si="404"/>
        <v>0.36000000000022681</v>
      </c>
      <c r="BZ70" s="908">
        <f t="shared" si="404"/>
        <v>0.64999999999955094</v>
      </c>
      <c r="CA70" s="908"/>
      <c r="CB70" s="908">
        <f>((CB72/BZ72)-1)*100</f>
        <v>1.0700000000002374</v>
      </c>
      <c r="CC70" s="908">
        <f t="shared" ref="CC70:CM70" si="405">((CC72/CB72)-1)*100</f>
        <v>1.0699999999997045</v>
      </c>
      <c r="CD70" s="908">
        <f t="shared" si="405"/>
        <v>1.610000000000289</v>
      </c>
      <c r="CE70" s="908">
        <f t="shared" si="405"/>
        <v>-9.9999999999988987E-3</v>
      </c>
      <c r="CF70" s="908">
        <f t="shared" si="405"/>
        <v>1.089999999999991</v>
      </c>
      <c r="CG70" s="908">
        <f t="shared" si="405"/>
        <v>1.8299999999996874</v>
      </c>
      <c r="CH70" s="908">
        <f t="shared" si="405"/>
        <v>1.5100000000002778</v>
      </c>
      <c r="CI70" s="908">
        <f t="shared" si="405"/>
        <v>1.8499999999999961</v>
      </c>
      <c r="CJ70" s="908">
        <f t="shared" si="405"/>
        <v>1.1600000000000055</v>
      </c>
      <c r="CK70" s="908">
        <f t="shared" si="405"/>
        <v>0.9100000000000108</v>
      </c>
      <c r="CL70" s="908">
        <f t="shared" si="405"/>
        <v>0.37000000000000366</v>
      </c>
      <c r="CM70" s="908">
        <f t="shared" si="405"/>
        <v>0.36000000000000476</v>
      </c>
      <c r="CN70" s="908"/>
      <c r="CO70" s="908">
        <f>((CO72/CM72)-1)*100</f>
        <v>-0.26000000000001577</v>
      </c>
      <c r="CP70" s="908">
        <f t="shared" ref="CP70:CZ70" si="406">((CP72/CO72)-1)*100</f>
        <v>0.45999999999999375</v>
      </c>
      <c r="CQ70" s="908">
        <f t="shared" si="406"/>
        <v>1.7700000000000049</v>
      </c>
      <c r="CR70" s="908">
        <f t="shared" si="406"/>
        <v>1.2999999999999901</v>
      </c>
      <c r="CS70" s="908">
        <f t="shared" si="406"/>
        <v>1.6899999999999915</v>
      </c>
      <c r="CT70" s="908">
        <f t="shared" si="406"/>
        <v>0.38000000000000256</v>
      </c>
      <c r="CU70" s="908">
        <f t="shared" si="406"/>
        <v>1.9600000000000062</v>
      </c>
      <c r="CV70" s="908">
        <f t="shared" si="406"/>
        <v>-0.27000000000001467</v>
      </c>
      <c r="CW70" s="908">
        <f t="shared" si="406"/>
        <v>0.17000000000000348</v>
      </c>
      <c r="CX70" s="908">
        <f t="shared" si="406"/>
        <v>0.81999999999979867</v>
      </c>
      <c r="CY70" s="908">
        <f t="shared" si="406"/>
        <v>-4.9999999999794653E-2</v>
      </c>
      <c r="CZ70" s="908">
        <f t="shared" si="406"/>
        <v>-1.1099999999999999</v>
      </c>
      <c r="DA70" s="908"/>
      <c r="DB70" s="908">
        <f>((DB72/CZ72)-1)*100</f>
        <v>0.39000000000000146</v>
      </c>
      <c r="DC70" s="908">
        <f t="shared" ref="DC70:DM70" si="407">((DC72/DB72)-1)*100</f>
        <v>0.81999999999999851</v>
      </c>
      <c r="DD70" s="908">
        <f t="shared" si="407"/>
        <v>-0.51000000000001044</v>
      </c>
      <c r="DE70" s="908">
        <f t="shared" si="407"/>
        <v>-8.0000000000002292E-2</v>
      </c>
      <c r="DF70" s="908">
        <f t="shared" si="407"/>
        <v>-0.8399999999999852</v>
      </c>
      <c r="DG70" s="908">
        <f t="shared" si="407"/>
        <v>-0.74999999999999512</v>
      </c>
      <c r="DH70" s="908">
        <f t="shared" si="407"/>
        <v>-0.32999999999999696</v>
      </c>
      <c r="DI70" s="908">
        <f t="shared" si="407"/>
        <v>1.3100000000000112</v>
      </c>
      <c r="DJ70" s="908">
        <f t="shared" si="407"/>
        <v>0.13000000000000789</v>
      </c>
      <c r="DK70" s="908">
        <f t="shared" si="407"/>
        <v>0.48999999999999044</v>
      </c>
      <c r="DL70" s="908">
        <f t="shared" si="407"/>
        <v>-0.9299999999999975</v>
      </c>
      <c r="DM70" s="908">
        <f t="shared" si="407"/>
        <v>-0.71999999999999842</v>
      </c>
      <c r="DN70" s="908"/>
      <c r="DO70" s="908">
        <f>((DO72/DM72)-1)*100</f>
        <v>-0.72999999999999732</v>
      </c>
      <c r="DP70" s="908">
        <f t="shared" ref="DP70:DZ70" si="408">((DP72/DO72)-1)*100</f>
        <v>0.33000000000000806</v>
      </c>
      <c r="DQ70" s="908">
        <f t="shared" si="408"/>
        <v>-0.40999999999998815</v>
      </c>
      <c r="DR70" s="908">
        <f t="shared" si="408"/>
        <v>-0.12999999999999678</v>
      </c>
      <c r="DS70" s="908">
        <f t="shared" si="408"/>
        <v>-0.20999999999999908</v>
      </c>
      <c r="DT70" s="908">
        <f t="shared" si="408"/>
        <v>-9.9999999999988987E-3</v>
      </c>
      <c r="DU70" s="908">
        <f t="shared" si="408"/>
        <v>0.62999999999999723</v>
      </c>
      <c r="DV70" s="908">
        <f t="shared" si="408"/>
        <v>-0.29999999999998916</v>
      </c>
      <c r="DW70" s="908">
        <f t="shared" si="408"/>
        <v>-0.39000000000001256</v>
      </c>
      <c r="DX70" s="908">
        <f t="shared" si="408"/>
        <v>-0.18000000000000238</v>
      </c>
      <c r="DY70" s="908">
        <f t="shared" si="408"/>
        <v>0.32000000000000917</v>
      </c>
      <c r="DZ70" s="908">
        <f t="shared" si="408"/>
        <v>-0.29000000000000137</v>
      </c>
      <c r="EA70" s="908"/>
      <c r="EB70" s="908">
        <f>((EB72/DM72)-1)*100</f>
        <v>-1.2705628285732185</v>
      </c>
      <c r="EC70" s="908">
        <f t="shared" ref="EC70:EM70" si="409">((EC72/EB72)-1)*100</f>
        <v>-0.35999999999997145</v>
      </c>
      <c r="ED70" s="908">
        <f t="shared" si="409"/>
        <v>-0.15000000000000568</v>
      </c>
      <c r="EE70" s="908">
        <f t="shared" si="409"/>
        <v>0.19000000000000128</v>
      </c>
      <c r="EF70" s="908">
        <f t="shared" si="409"/>
        <v>-0.40000000000000036</v>
      </c>
      <c r="EG70" s="908">
        <f t="shared" si="409"/>
        <v>-0.33999999999999586</v>
      </c>
      <c r="EH70" s="908">
        <f t="shared" si="409"/>
        <v>-0.74000000000000732</v>
      </c>
      <c r="EI70" s="908">
        <f t="shared" si="409"/>
        <v>-0.75999999999999401</v>
      </c>
      <c r="EJ70" s="908">
        <f t="shared" si="409"/>
        <v>-0.35000000000000586</v>
      </c>
      <c r="EK70" s="908">
        <f t="shared" si="409"/>
        <v>-0.63000000000000833</v>
      </c>
      <c r="EL70" s="908">
        <f t="shared" si="409"/>
        <v>-0.39000000000000146</v>
      </c>
      <c r="EM70" s="908">
        <f t="shared" si="409"/>
        <v>-6.9999999999992291E-2</v>
      </c>
      <c r="EO70" s="908">
        <f>((EO72/EM72)-1)*100</f>
        <v>6.9999999999992291E-2</v>
      </c>
      <c r="EP70" s="908">
        <f t="shared" ref="EP70:EV70" si="410">((EP72/EO72)-1)*100</f>
        <v>0.3799999999997139</v>
      </c>
      <c r="EQ70" s="908">
        <f t="shared" si="410"/>
        <v>3.110000000000257</v>
      </c>
      <c r="ER70" s="908">
        <f t="shared" si="410"/>
        <v>1.4200000000000212</v>
      </c>
      <c r="ES70" s="908">
        <f t="shared" si="410"/>
        <v>-0.43999999999999595</v>
      </c>
      <c r="ET70" s="908">
        <f t="shared" si="410"/>
        <v>-0.96000000000000529</v>
      </c>
      <c r="EU70" s="908">
        <f t="shared" si="410"/>
        <v>0.5500000000003169</v>
      </c>
      <c r="EV70" s="980">
        <f t="shared" si="410"/>
        <v>1.219999999999688</v>
      </c>
      <c r="EW70" s="908"/>
      <c r="EX70" s="908"/>
      <c r="EY70" s="908"/>
      <c r="EZ70" s="908"/>
      <c r="FC70" s="205"/>
      <c r="FD70" s="205"/>
    </row>
    <row r="71" spans="1:172" ht="15" customHeight="1" x14ac:dyDescent="0.25">
      <c r="A71"/>
      <c r="EN71"/>
      <c r="FA71"/>
      <c r="FC71" t="str">
        <f>CONCATENATE("Var.% ",FF71,"/",FE71)</f>
        <v>Var.% 2026/2025</v>
      </c>
      <c r="FD71"/>
      <c r="FE71">
        <f>FF71-1</f>
        <v>2025</v>
      </c>
      <c r="FF71">
        <f>FF4</f>
        <v>2026</v>
      </c>
      <c r="FI71"/>
    </row>
    <row r="72" spans="1:172" ht="15" customHeight="1" x14ac:dyDescent="0.25">
      <c r="A72" s="887" t="s">
        <v>223</v>
      </c>
      <c r="B72" s="888">
        <v>120.77306385079554</v>
      </c>
      <c r="C72" s="888">
        <v>121.19576957427331</v>
      </c>
      <c r="D72" s="888">
        <v>122.03202038433581</v>
      </c>
      <c r="E72" s="888">
        <v>121.97100437414366</v>
      </c>
      <c r="F72" s="888">
        <v>122.43449419076539</v>
      </c>
      <c r="G72" s="888">
        <v>122.75282387566099</v>
      </c>
      <c r="H72" s="888">
        <v>122.7009</v>
      </c>
      <c r="I72" s="888">
        <v>122.99448</v>
      </c>
      <c r="J72" s="888">
        <v>123.260578</v>
      </c>
      <c r="K72" s="888">
        <v>123.28465200000001</v>
      </c>
      <c r="L72" s="888">
        <v>124.16761600000001</v>
      </c>
      <c r="M72" s="889">
        <v>124.269336</v>
      </c>
      <c r="N72" s="890"/>
      <c r="O72" s="888">
        <v>124.30728099999999</v>
      </c>
      <c r="P72" s="888">
        <v>124.595913</v>
      </c>
      <c r="Q72" s="888">
        <v>124.23866</v>
      </c>
      <c r="R72" s="888">
        <v>123.40759199999999</v>
      </c>
      <c r="S72" s="888">
        <v>123.311272</v>
      </c>
      <c r="T72" s="888">
        <v>124.000536</v>
      </c>
      <c r="U72" s="888">
        <v>123.628</v>
      </c>
      <c r="V72" s="888">
        <v>124.161609</v>
      </c>
      <c r="W72" s="888">
        <v>125.14086399999999</v>
      </c>
      <c r="X72" s="888">
        <v>125.715644</v>
      </c>
      <c r="Y72" s="888">
        <v>125.996584</v>
      </c>
      <c r="Z72" s="889">
        <v>126.66780000000001</v>
      </c>
      <c r="AA72" s="890"/>
      <c r="AB72" s="888">
        <v>126.708001</v>
      </c>
      <c r="AC72" s="888">
        <v>125.924398</v>
      </c>
      <c r="AD72" s="888">
        <v>126.42368</v>
      </c>
      <c r="AE72" s="888">
        <v>126.10395000000001</v>
      </c>
      <c r="AF72" s="888">
        <v>125.93607</v>
      </c>
      <c r="AG72" s="888">
        <v>125.776278</v>
      </c>
      <c r="AH72" s="888">
        <v>125.641642</v>
      </c>
      <c r="AI72" s="888">
        <v>125.878716</v>
      </c>
      <c r="AJ72" s="888">
        <v>126.14434799999999</v>
      </c>
      <c r="AK72" s="888">
        <v>126.05170199999999</v>
      </c>
      <c r="AL72" s="888">
        <v>125.84831999999999</v>
      </c>
      <c r="AM72" s="889">
        <v>125.92550999999999</v>
      </c>
      <c r="AN72" s="890"/>
      <c r="AO72" s="888">
        <v>126.257418</v>
      </c>
      <c r="AP72" s="888">
        <v>126.739788</v>
      </c>
      <c r="AQ72" s="888">
        <v>126.85406599999999</v>
      </c>
      <c r="AR72" s="888">
        <v>126.73583499999999</v>
      </c>
      <c r="AS72" s="888">
        <v>127.62718</v>
      </c>
      <c r="AT72" s="888">
        <v>127.987364</v>
      </c>
      <c r="AU72" s="888">
        <v>128.07959299999999</v>
      </c>
      <c r="AV72" s="888">
        <v>128.24650400000002</v>
      </c>
      <c r="AW72" s="888">
        <v>129.057975</v>
      </c>
      <c r="AX72" s="888">
        <v>129.563334</v>
      </c>
      <c r="AY72" s="888">
        <v>130.18188799999999</v>
      </c>
      <c r="AZ72" s="889">
        <v>130.01076600000002</v>
      </c>
      <c r="BA72" s="890"/>
      <c r="BB72" s="888">
        <v>129.58096699999999</v>
      </c>
      <c r="BC72" s="888">
        <v>128.99689000000001</v>
      </c>
      <c r="BD72" s="888">
        <v>129.03870000000001</v>
      </c>
      <c r="BE72" s="888">
        <v>129.38840799999997</v>
      </c>
      <c r="BF72" s="888">
        <v>129.62290199999998</v>
      </c>
      <c r="BG72" s="888">
        <v>129.51630399999999</v>
      </c>
      <c r="BH72" s="888">
        <v>129.571808</v>
      </c>
      <c r="BI72" s="888">
        <v>129.971667</v>
      </c>
      <c r="BJ72" s="888">
        <v>129.95700299999999</v>
      </c>
      <c r="BK72" s="888">
        <v>130.11595199999999</v>
      </c>
      <c r="BL72" s="888">
        <v>129.93783199999999</v>
      </c>
      <c r="BM72" s="889">
        <v>129.888024</v>
      </c>
      <c r="BN72" s="890"/>
      <c r="BO72" s="888">
        <v>129.435385</v>
      </c>
      <c r="BP72" s="888">
        <v>129.25417546099999</v>
      </c>
      <c r="BQ72" s="888">
        <v>129.61608715229079</v>
      </c>
      <c r="BR72" s="888">
        <v>129.31797015184051</v>
      </c>
      <c r="BS72" s="888">
        <v>129.1627885876583</v>
      </c>
      <c r="BT72" s="888">
        <v>128.96904440477681</v>
      </c>
      <c r="BU72" s="888">
        <v>129.65258034012214</v>
      </c>
      <c r="BV72" s="888">
        <v>130.09339911327899</v>
      </c>
      <c r="BW72" s="888">
        <v>130.24951119221399</v>
      </c>
      <c r="BX72" s="888">
        <v>130.57513497019502</v>
      </c>
      <c r="BY72" s="888">
        <v>131.04520545608801</v>
      </c>
      <c r="BZ72" s="889">
        <v>131.89699929155199</v>
      </c>
      <c r="CA72" s="890"/>
      <c r="CB72" s="888">
        <v>133.30829718397192</v>
      </c>
      <c r="CC72" s="888">
        <v>134.73469596384001</v>
      </c>
      <c r="CD72" s="888">
        <v>136.90392456885823</v>
      </c>
      <c r="CE72" s="888">
        <v>136.89023417640135</v>
      </c>
      <c r="CF72" s="888">
        <v>138.38233772892411</v>
      </c>
      <c r="CG72" s="888">
        <v>140.914734509363</v>
      </c>
      <c r="CH72" s="888">
        <v>143.04254700045479</v>
      </c>
      <c r="CI72" s="888">
        <v>145.68883411996319</v>
      </c>
      <c r="CJ72" s="888">
        <v>147.37882459575476</v>
      </c>
      <c r="CK72" s="888">
        <v>148.71997189957614</v>
      </c>
      <c r="CL72" s="888">
        <v>149.27023579560458</v>
      </c>
      <c r="CM72" s="889">
        <v>149.80760864446876</v>
      </c>
      <c r="CN72" s="890" t="s">
        <v>83</v>
      </c>
      <c r="CO72" s="888">
        <v>149.41810886199312</v>
      </c>
      <c r="CP72" s="888">
        <v>150.10543216275829</v>
      </c>
      <c r="CQ72" s="888">
        <v>152.76229831203912</v>
      </c>
      <c r="CR72" s="888">
        <v>154.74820819009562</v>
      </c>
      <c r="CS72" s="888">
        <v>157.36345290850824</v>
      </c>
      <c r="CT72" s="888">
        <v>157.96143402956056</v>
      </c>
      <c r="CU72" s="888">
        <v>161.05747813653997</v>
      </c>
      <c r="CV72" s="888">
        <v>160.62262294557129</v>
      </c>
      <c r="CW72" s="888">
        <v>160.89568140457877</v>
      </c>
      <c r="CX72" s="888">
        <v>162.215025992096</v>
      </c>
      <c r="CY72" s="888">
        <v>162.13391847910029</v>
      </c>
      <c r="CZ72" s="889">
        <v>160.33423198398228</v>
      </c>
      <c r="DA72" s="890" t="s">
        <v>83</v>
      </c>
      <c r="DB72" s="888">
        <v>160.95953548871981</v>
      </c>
      <c r="DC72" s="888">
        <v>162.2794036797273</v>
      </c>
      <c r="DD72" s="888">
        <v>161.45177872096068</v>
      </c>
      <c r="DE72" s="888">
        <v>161.3226172979839</v>
      </c>
      <c r="DF72" s="888">
        <v>159.96750731268085</v>
      </c>
      <c r="DG72" s="888">
        <v>158.76775100783576</v>
      </c>
      <c r="DH72" s="888">
        <v>158.2438174295099</v>
      </c>
      <c r="DI72" s="888">
        <v>160.31681143783649</v>
      </c>
      <c r="DJ72" s="888">
        <v>160.5252232927057</v>
      </c>
      <c r="DK72" s="888">
        <v>161.31179688683994</v>
      </c>
      <c r="DL72" s="888">
        <v>159.81159717579234</v>
      </c>
      <c r="DM72" s="889">
        <v>158.66095367612664</v>
      </c>
      <c r="DN72" s="890" t="s">
        <v>83</v>
      </c>
      <c r="DO72" s="888">
        <v>157.50272871429092</v>
      </c>
      <c r="DP72" s="888">
        <v>158.02248771904809</v>
      </c>
      <c r="DQ72" s="888">
        <v>157.3745955194</v>
      </c>
      <c r="DR72" s="888">
        <v>157.17000854522479</v>
      </c>
      <c r="DS72" s="888">
        <v>156.83995152727982</v>
      </c>
      <c r="DT72" s="888">
        <v>156.8242675321271</v>
      </c>
      <c r="DU72" s="888">
        <v>157.81226041757949</v>
      </c>
      <c r="DV72" s="888">
        <v>157.33882363632677</v>
      </c>
      <c r="DW72" s="888">
        <v>156.72520222414508</v>
      </c>
      <c r="DX72" s="888">
        <v>156.44309686014162</v>
      </c>
      <c r="DY72" s="888">
        <v>156.94371477009409</v>
      </c>
      <c r="DZ72" s="889">
        <v>156.48857799726082</v>
      </c>
      <c r="EA72" s="890" t="s">
        <v>83</v>
      </c>
      <c r="EB72" s="888">
        <v>156.645066575258</v>
      </c>
      <c r="EC72" s="888">
        <v>156.08114433558711</v>
      </c>
      <c r="ED72" s="888">
        <v>155.84702261908373</v>
      </c>
      <c r="EE72" s="888">
        <v>156.14313196205998</v>
      </c>
      <c r="EF72" s="888">
        <v>155.51855943421174</v>
      </c>
      <c r="EG72" s="888">
        <v>154.98979633213543</v>
      </c>
      <c r="EH72" s="888">
        <v>153.84287183927762</v>
      </c>
      <c r="EI72" s="888">
        <v>152.67366601329911</v>
      </c>
      <c r="EJ72" s="888">
        <v>152.13930818225256</v>
      </c>
      <c r="EK72" s="888">
        <v>151.18083054070436</v>
      </c>
      <c r="EL72" s="888">
        <v>150.59122530159561</v>
      </c>
      <c r="EM72" s="889">
        <v>150.4858114438845</v>
      </c>
      <c r="EN72" s="890" t="s">
        <v>83</v>
      </c>
      <c r="EO72" s="888">
        <v>150.59115151189522</v>
      </c>
      <c r="EP72" s="888">
        <v>151.16339788764</v>
      </c>
      <c r="EQ72" s="888">
        <v>155.86457956194599</v>
      </c>
      <c r="ER72" s="888">
        <v>158.07785659172566</v>
      </c>
      <c r="ES72" s="888">
        <v>157.38231402272208</v>
      </c>
      <c r="ET72" s="888">
        <v>155.87144380810395</v>
      </c>
      <c r="EU72" s="888">
        <v>156.72873674904901</v>
      </c>
      <c r="EV72" s="979">
        <v>158.64082733738692</v>
      </c>
      <c r="EW72" s="888"/>
      <c r="EX72" s="888"/>
      <c r="EY72" s="888"/>
      <c r="EZ72" s="889"/>
      <c r="FA72" s="890" t="s">
        <v>83</v>
      </c>
      <c r="FC72" s="909" t="s">
        <v>8</v>
      </c>
      <c r="FD72" s="899" t="str">
        <f>CONCATENATE("Ene.-",TEXT(FC72,"MMM."))</f>
        <v>Ene.-Ago.</v>
      </c>
      <c r="FE72" s="900" t="str">
        <f>FD72</f>
        <v>Ene.-Ago.</v>
      </c>
      <c r="FF72" s="901" t="str">
        <f>FD72</f>
        <v>Ene.-Ago.</v>
      </c>
      <c r="FI72"/>
    </row>
    <row r="73" spans="1:172" ht="15" customHeight="1" x14ac:dyDescent="0.25">
      <c r="A73" s="414" t="s">
        <v>391</v>
      </c>
      <c r="B73" s="880">
        <f t="shared" ref="B73:M73" si="411">B11/B72*100</f>
        <v>2495.5895825608359</v>
      </c>
      <c r="C73" s="880">
        <f t="shared" si="411"/>
        <v>4783.1702545090739</v>
      </c>
      <c r="D73" s="880">
        <f t="shared" si="411"/>
        <v>6974.3989923258569</v>
      </c>
      <c r="E73" s="880">
        <f t="shared" si="411"/>
        <v>8144.5586604564223</v>
      </c>
      <c r="F73" s="880">
        <f t="shared" si="411"/>
        <v>8262.3774181140852</v>
      </c>
      <c r="G73" s="880">
        <f t="shared" si="411"/>
        <v>8342.7815969214134</v>
      </c>
      <c r="H73" s="880">
        <f t="shared" si="411"/>
        <v>9934.7274551368391</v>
      </c>
      <c r="I73" s="880">
        <f t="shared" si="411"/>
        <v>8505.2597482423607</v>
      </c>
      <c r="J73" s="880">
        <f t="shared" si="411"/>
        <v>8061.7827380299968</v>
      </c>
      <c r="K73" s="880">
        <f t="shared" si="411"/>
        <v>7309.9123482134655</v>
      </c>
      <c r="L73" s="880">
        <f t="shared" si="411"/>
        <v>9696.5701588407719</v>
      </c>
      <c r="M73" s="881">
        <f t="shared" si="411"/>
        <v>17069.375827356154</v>
      </c>
      <c r="N73" s="882">
        <f>SUM(B73:M73)</f>
        <v>99580.50478070727</v>
      </c>
      <c r="O73" s="880">
        <f t="shared" ref="O73:Z73" si="412">O11/O72*100</f>
        <v>2851.803990467783</v>
      </c>
      <c r="P73" s="880">
        <f t="shared" si="412"/>
        <v>6322.0372244473228</v>
      </c>
      <c r="Q73" s="880">
        <f t="shared" si="412"/>
        <v>7234.4630890255903</v>
      </c>
      <c r="R73" s="880">
        <f t="shared" si="412"/>
        <v>6950.1396640167814</v>
      </c>
      <c r="S73" s="880">
        <f t="shared" si="412"/>
        <v>9883.119200976209</v>
      </c>
      <c r="T73" s="880">
        <f t="shared" si="412"/>
        <v>8765.2846919952026</v>
      </c>
      <c r="U73" s="880">
        <f t="shared" si="412"/>
        <v>11909.114440094478</v>
      </c>
      <c r="V73" s="880">
        <f t="shared" si="412"/>
        <v>4044.7285118542559</v>
      </c>
      <c r="W73" s="880">
        <f t="shared" si="412"/>
        <v>8090.8822876594495</v>
      </c>
      <c r="X73" s="880">
        <f t="shared" si="412"/>
        <v>7012.6515042153387</v>
      </c>
      <c r="Y73" s="880">
        <f t="shared" si="412"/>
        <v>7403.3753169054162</v>
      </c>
      <c r="Z73" s="881">
        <f t="shared" si="412"/>
        <v>20984.022774533067</v>
      </c>
      <c r="AA73" s="882">
        <f>SUM(O73:Z73)</f>
        <v>101451.62269619087</v>
      </c>
      <c r="AB73" s="880">
        <f t="shared" ref="AB73:AM73" si="413">AB11/AB72*100</f>
        <v>2778.830044047495</v>
      </c>
      <c r="AC73" s="880">
        <f t="shared" si="413"/>
        <v>6280.7526782855848</v>
      </c>
      <c r="AD73" s="880">
        <f t="shared" si="413"/>
        <v>9469.7449085487769</v>
      </c>
      <c r="AE73" s="880">
        <f t="shared" si="413"/>
        <v>7396.2790221876476</v>
      </c>
      <c r="AF73" s="880">
        <f t="shared" si="413"/>
        <v>8172.4004885971117</v>
      </c>
      <c r="AG73" s="880">
        <f t="shared" si="413"/>
        <v>7363.0736632228845</v>
      </c>
      <c r="AH73" s="880">
        <f t="shared" si="413"/>
        <v>9278.7708075321079</v>
      </c>
      <c r="AI73" s="880">
        <f t="shared" si="413"/>
        <v>11849.501229421501</v>
      </c>
      <c r="AJ73" s="880">
        <f t="shared" si="413"/>
        <v>9351.9846010064593</v>
      </c>
      <c r="AK73" s="880">
        <f t="shared" si="413"/>
        <v>7431.0777652173247</v>
      </c>
      <c r="AL73" s="880">
        <f t="shared" si="413"/>
        <v>12494.405964259198</v>
      </c>
      <c r="AM73" s="881">
        <f t="shared" si="413"/>
        <v>21773.983682893166</v>
      </c>
      <c r="AN73" s="882">
        <f>SUM(AB73:AM73)</f>
        <v>113640.80485521926</v>
      </c>
      <c r="AO73" s="880">
        <f t="shared" ref="AO73:AZ73" si="414">AO11/AO72*100</f>
        <v>3581.5717378285049</v>
      </c>
      <c r="AP73" s="880">
        <f t="shared" si="414"/>
        <v>6713.7559043415795</v>
      </c>
      <c r="AQ73" s="880">
        <f t="shared" si="414"/>
        <v>8165.2881351079441</v>
      </c>
      <c r="AR73" s="880">
        <f t="shared" si="414"/>
        <v>8523.2404867968089</v>
      </c>
      <c r="AS73" s="880">
        <f t="shared" si="414"/>
        <v>7499.9698340118457</v>
      </c>
      <c r="AT73" s="880">
        <f t="shared" si="414"/>
        <v>8886.0334681164295</v>
      </c>
      <c r="AU73" s="880">
        <f t="shared" si="414"/>
        <v>10149.15779752673</v>
      </c>
      <c r="AV73" s="880">
        <f t="shared" si="414"/>
        <v>11067.748092376849</v>
      </c>
      <c r="AW73" s="880">
        <f t="shared" si="414"/>
        <v>9588.713909388398</v>
      </c>
      <c r="AX73" s="880">
        <f t="shared" si="414"/>
        <v>10205.819495197615</v>
      </c>
      <c r="AY73" s="880">
        <f t="shared" si="414"/>
        <v>9989.8689439809041</v>
      </c>
      <c r="AZ73" s="881">
        <f t="shared" si="414"/>
        <v>18772.291519303868</v>
      </c>
      <c r="BA73" s="882">
        <f>SUM(AO73:AZ73)</f>
        <v>113143.45932397748</v>
      </c>
      <c r="BB73" s="880">
        <f t="shared" ref="BB73:BM73" si="415">BB11/BB72*100</f>
        <v>2530.4642154738667</v>
      </c>
      <c r="BC73" s="880">
        <f t="shared" si="415"/>
        <v>5833.4739697988061</v>
      </c>
      <c r="BD73" s="880">
        <f t="shared" si="415"/>
        <v>7712.4149576832378</v>
      </c>
      <c r="BE73" s="880">
        <f t="shared" si="415"/>
        <v>9515.5355802816612</v>
      </c>
      <c r="BF73" s="880">
        <f t="shared" si="415"/>
        <v>9398.8020728003776</v>
      </c>
      <c r="BG73" s="880">
        <f t="shared" si="415"/>
        <v>8895.4051684489095</v>
      </c>
      <c r="BH73" s="880">
        <f t="shared" si="415"/>
        <v>9180.2377257867684</v>
      </c>
      <c r="BI73" s="880">
        <f t="shared" si="415"/>
        <v>11987.997353300085</v>
      </c>
      <c r="BJ73" s="880">
        <f t="shared" si="415"/>
        <v>7898.7663327385289</v>
      </c>
      <c r="BK73" s="880">
        <f t="shared" si="415"/>
        <v>11206.92718752886</v>
      </c>
      <c r="BL73" s="880">
        <f t="shared" si="415"/>
        <v>11758.700114374697</v>
      </c>
      <c r="BM73" s="881">
        <f t="shared" si="415"/>
        <v>22827.354737492966</v>
      </c>
      <c r="BN73" s="882">
        <f>SUM(BB73:BM73)</f>
        <v>118746.07941570874</v>
      </c>
      <c r="BO73" s="880">
        <f t="shared" ref="BO73:BZ73" si="416">BO11/BO72*100</f>
        <v>3165.2859069411352</v>
      </c>
      <c r="BP73" s="880">
        <f t="shared" si="416"/>
        <v>5824.956890674478</v>
      </c>
      <c r="BQ73" s="880">
        <f t="shared" si="416"/>
        <v>9535.0818494304258</v>
      </c>
      <c r="BR73" s="880">
        <f t="shared" si="416"/>
        <v>9672.2829667938313</v>
      </c>
      <c r="BS73" s="880">
        <f t="shared" si="416"/>
        <v>9971.1380815067096</v>
      </c>
      <c r="BT73" s="880">
        <f t="shared" si="416"/>
        <v>11193.38370430332</v>
      </c>
      <c r="BU73" s="880">
        <f t="shared" si="416"/>
        <v>10750.268111468324</v>
      </c>
      <c r="BV73" s="880">
        <f t="shared" si="416"/>
        <v>15448.900664436971</v>
      </c>
      <c r="BW73" s="880">
        <f t="shared" si="416"/>
        <v>10363.954441317657</v>
      </c>
      <c r="BX73" s="880">
        <f t="shared" si="416"/>
        <v>14149.707755781617</v>
      </c>
      <c r="BY73" s="880">
        <f t="shared" si="416"/>
        <v>18824.038555356386</v>
      </c>
      <c r="BZ73" s="881">
        <f t="shared" si="416"/>
        <v>23901.984252358379</v>
      </c>
      <c r="CA73" s="882">
        <f>SUM(BO73:BZ73)</f>
        <v>142800.98318036925</v>
      </c>
      <c r="CB73" s="880">
        <f t="shared" ref="CB73:CM73" si="417">CB11/CB72*100</f>
        <v>5068.7017558067009</v>
      </c>
      <c r="CC73" s="880">
        <f t="shared" si="417"/>
        <v>8260.6784543359645</v>
      </c>
      <c r="CD73" s="880">
        <f t="shared" si="417"/>
        <v>13275.002931606296</v>
      </c>
      <c r="CE73" s="880">
        <f t="shared" si="417"/>
        <v>12056.375021414889</v>
      </c>
      <c r="CF73" s="880">
        <f t="shared" si="417"/>
        <v>12356.345672881373</v>
      </c>
      <c r="CG73" s="880">
        <f t="shared" si="417"/>
        <v>11885.911049910201</v>
      </c>
      <c r="CH73" s="880">
        <f t="shared" si="417"/>
        <v>12657.772375894869</v>
      </c>
      <c r="CI73" s="880">
        <f t="shared" si="417"/>
        <v>12372.259074540911</v>
      </c>
      <c r="CJ73" s="880">
        <f t="shared" si="417"/>
        <v>12847.164476941685</v>
      </c>
      <c r="CK73" s="880">
        <f t="shared" si="417"/>
        <v>14025.016098096405</v>
      </c>
      <c r="CL73" s="880">
        <f t="shared" si="417"/>
        <v>14390.678681189926</v>
      </c>
      <c r="CM73" s="881">
        <f t="shared" si="417"/>
        <v>20846.070691986206</v>
      </c>
      <c r="CN73" s="882">
        <f>SUM(CB73:CM73)</f>
        <v>150041.97628460542</v>
      </c>
      <c r="CO73" s="880">
        <f t="shared" ref="CO73:CZ73" si="418">CO11/CO72*100</f>
        <v>5754.3225954903237</v>
      </c>
      <c r="CP73" s="880">
        <f t="shared" si="418"/>
        <v>8488.7001199156712</v>
      </c>
      <c r="CQ73" s="880">
        <f t="shared" si="418"/>
        <v>15488.114712486862</v>
      </c>
      <c r="CR73" s="880">
        <f t="shared" si="418"/>
        <v>11821.784700425935</v>
      </c>
      <c r="CS73" s="880">
        <f t="shared" si="418"/>
        <v>11273.265597644269</v>
      </c>
      <c r="CT73" s="880">
        <f t="shared" si="418"/>
        <v>11345.174288963661</v>
      </c>
      <c r="CU73" s="880">
        <f t="shared" si="418"/>
        <v>15760.212002376573</v>
      </c>
      <c r="CV73" s="880">
        <f t="shared" si="418"/>
        <v>13468.2148773841</v>
      </c>
      <c r="CW73" s="880">
        <f t="shared" si="418"/>
        <v>12054.39439435946</v>
      </c>
      <c r="CX73" s="880">
        <f t="shared" si="418"/>
        <v>13713.279558383141</v>
      </c>
      <c r="CY73" s="880">
        <f t="shared" si="418"/>
        <v>10382.158254054559</v>
      </c>
      <c r="CZ73" s="881">
        <f t="shared" si="418"/>
        <v>27121.469608775897</v>
      </c>
      <c r="DA73" s="882">
        <f>SUM(CO73:CZ73)</f>
        <v>156671.09071026047</v>
      </c>
      <c r="DB73" s="880">
        <f t="shared" ref="DB73:DM73" si="419">DB11/DB72*100</f>
        <v>5426.2085023301315</v>
      </c>
      <c r="DC73" s="880">
        <f t="shared" si="419"/>
        <v>7156.7923819348334</v>
      </c>
      <c r="DD73" s="880">
        <f t="shared" si="419"/>
        <v>12404.942304546961</v>
      </c>
      <c r="DE73" s="880">
        <f t="shared" si="419"/>
        <v>9074.9829411445826</v>
      </c>
      <c r="DF73" s="880">
        <f t="shared" si="419"/>
        <v>12902.620255034653</v>
      </c>
      <c r="DG73" s="880">
        <f t="shared" si="419"/>
        <v>10285.464079663165</v>
      </c>
      <c r="DH73" s="880">
        <f t="shared" si="419"/>
        <v>16784.226032610226</v>
      </c>
      <c r="DI73" s="880">
        <f t="shared" si="419"/>
        <v>12253.86147828759</v>
      </c>
      <c r="DJ73" s="880">
        <f t="shared" si="419"/>
        <v>13044.055987275784</v>
      </c>
      <c r="DK73" s="880">
        <f t="shared" si="419"/>
        <v>14069.026839940614</v>
      </c>
      <c r="DL73" s="880">
        <f t="shared" si="419"/>
        <v>15849.287816164033</v>
      </c>
      <c r="DM73" s="881">
        <f t="shared" si="419"/>
        <v>30181.969092251496</v>
      </c>
      <c r="DN73" s="882">
        <f>SUM(DB73:DM73)</f>
        <v>159433.43771118409</v>
      </c>
      <c r="DO73" s="880">
        <f t="shared" ref="DO73:DZ73" si="420">DO11/DO72*100</f>
        <v>1186.6461078209989</v>
      </c>
      <c r="DP73" s="880">
        <f t="shared" si="420"/>
        <v>5101.1726978579418</v>
      </c>
      <c r="DQ73" s="880">
        <f t="shared" si="420"/>
        <v>7390.0110507774671</v>
      </c>
      <c r="DR73" s="880">
        <f t="shared" si="420"/>
        <v>10279.314832098644</v>
      </c>
      <c r="DS73" s="880">
        <f t="shared" si="420"/>
        <v>10911.122984518051</v>
      </c>
      <c r="DT73" s="880">
        <f t="shared" si="420"/>
        <v>11371.326823730724</v>
      </c>
      <c r="DU73" s="880">
        <f t="shared" si="420"/>
        <v>6787.1786207599671</v>
      </c>
      <c r="DV73" s="880">
        <f t="shared" si="420"/>
        <v>10420.822795712356</v>
      </c>
      <c r="DW73" s="880">
        <f t="shared" si="420"/>
        <v>7853.2359986349602</v>
      </c>
      <c r="DX73" s="880">
        <f t="shared" si="420"/>
        <v>13744.933737295829</v>
      </c>
      <c r="DY73" s="880">
        <f t="shared" si="420"/>
        <v>10447.694591669293</v>
      </c>
      <c r="DZ73" s="881">
        <f t="shared" si="420"/>
        <v>19658.303752072228</v>
      </c>
      <c r="EA73" s="882">
        <f>SUM(DO73:DZ73)</f>
        <v>115151.76399294846</v>
      </c>
      <c r="EB73" s="880">
        <f t="shared" ref="EB73:EM73" si="421">EB11/EB72*100</f>
        <v>1675.7629572322689</v>
      </c>
      <c r="EC73" s="880">
        <f t="shared" si="421"/>
        <v>4991.6343406918631</v>
      </c>
      <c r="ED73" s="880">
        <f t="shared" si="421"/>
        <v>8909.3777774229729</v>
      </c>
      <c r="EE73" s="880">
        <f t="shared" si="421"/>
        <v>8675.3735689709592</v>
      </c>
      <c r="EF73" s="880">
        <f t="shared" si="421"/>
        <v>10010.380790972833</v>
      </c>
      <c r="EG73" s="880">
        <f t="shared" si="421"/>
        <v>8264.4150151349004</v>
      </c>
      <c r="EH73" s="880">
        <f t="shared" si="421"/>
        <v>8700.4356067816698</v>
      </c>
      <c r="EI73" s="880">
        <f t="shared" si="421"/>
        <v>13239.349344135931</v>
      </c>
      <c r="EJ73" s="880">
        <f t="shared" si="421"/>
        <v>9393.3646542419883</v>
      </c>
      <c r="EK73" s="880">
        <f t="shared" si="421"/>
        <v>10392.190560012781</v>
      </c>
      <c r="EL73" s="880">
        <f t="shared" si="421"/>
        <v>9000.5244149217942</v>
      </c>
      <c r="EM73" s="881">
        <f t="shared" si="421"/>
        <v>21335.566251687829</v>
      </c>
      <c r="EN73" s="882">
        <f>SUM(EB73:EM73)</f>
        <v>114588.37528220779</v>
      </c>
      <c r="EO73" s="880">
        <f>EO11/EO72*100</f>
        <v>1360.6377130585586</v>
      </c>
      <c r="EP73" s="880">
        <f t="shared" ref="EP73" si="422">EP11/EP72*100</f>
        <v>7475.3545884165078</v>
      </c>
      <c r="EQ73" s="880">
        <f t="shared" ref="EQ73:EV73" si="423">EQ11/EQ72*100</f>
        <v>11538.862806768831</v>
      </c>
      <c r="ER73" s="880">
        <f t="shared" si="423"/>
        <v>12238.273226316403</v>
      </c>
      <c r="ES73" s="880">
        <f t="shared" si="423"/>
        <v>12501.404698598739</v>
      </c>
      <c r="ET73" s="880">
        <f t="shared" si="423"/>
        <v>11241.956558491156</v>
      </c>
      <c r="EU73" s="880">
        <f t="shared" si="423"/>
        <v>9228.0460494988056</v>
      </c>
      <c r="EV73" s="978">
        <f t="shared" si="423"/>
        <v>10636.606151904063</v>
      </c>
      <c r="EW73" s="880"/>
      <c r="EX73" s="880"/>
      <c r="EY73" s="880"/>
      <c r="EZ73" s="881"/>
      <c r="FA73" s="882">
        <f>SUM(EO73:EZ73)</f>
        <v>76221.141793053059</v>
      </c>
      <c r="FC73" s="340">
        <f>IFERROR((((EV73/EI73)-1)*100),"")</f>
        <v>-19.659147323464911</v>
      </c>
      <c r="FD73" s="228">
        <f>IFERROR(((FF73/FE73)-1)*100,"")</f>
        <v>18.23330034091153</v>
      </c>
      <c r="FE73" s="305">
        <f>SUMIFS($B73:$FA73,$B$5:$FA$5,"&gt;="&amp;DATE(YEAR($FC$5)-1,1,1),$B$5:$FA$5,"&lt;="&amp;DATE(YEAR($FC$5)-1,MONTH($FC$5),1))</f>
        <v>64466.7294013434</v>
      </c>
      <c r="FF73" s="218">
        <f>SUMIFS($B73:$FA73,$B$5:$FA$5,"&gt;="&amp;DATE(YEAR($FC$5),1,1),$B$5:$FA$5,"&lt;="&amp;$FC$5)</f>
        <v>76221.141793053059</v>
      </c>
      <c r="FI73"/>
    </row>
    <row r="74" spans="1:172" ht="15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 s="961"/>
      <c r="EW74"/>
      <c r="EX74"/>
      <c r="EY74"/>
      <c r="EZ74"/>
      <c r="FA74"/>
      <c r="FC74"/>
      <c r="FD74"/>
      <c r="FE74"/>
      <c r="FF74"/>
      <c r="FI74"/>
    </row>
    <row r="75" spans="1:172" ht="15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 s="961"/>
      <c r="EW75"/>
      <c r="EX75"/>
      <c r="EY75"/>
      <c r="EZ75"/>
      <c r="FA75"/>
      <c r="FC75"/>
      <c r="FD75"/>
      <c r="FE75"/>
      <c r="FF75"/>
      <c r="FI75"/>
    </row>
    <row r="76" spans="1:172" s="753" customFormat="1" ht="15" customHeight="1" x14ac:dyDescent="0.25">
      <c r="A76" s="989" t="s">
        <v>279</v>
      </c>
      <c r="B76" s="474">
        <v>2015</v>
      </c>
      <c r="C76" s="474"/>
      <c r="D76" s="474"/>
      <c r="E76" s="474"/>
      <c r="F76" s="474"/>
      <c r="G76" s="474"/>
      <c r="H76" s="474"/>
      <c r="I76" s="474"/>
      <c r="J76" s="474"/>
      <c r="K76" s="474"/>
      <c r="L76" s="474"/>
      <c r="M76" s="474"/>
      <c r="N76" s="758" t="s">
        <v>83</v>
      </c>
      <c r="O76" s="474">
        <v>2016</v>
      </c>
      <c r="P76" s="474"/>
      <c r="Q76" s="474"/>
      <c r="R76" s="474"/>
      <c r="S76" s="474"/>
      <c r="T76" s="474"/>
      <c r="U76" s="474"/>
      <c r="V76" s="474"/>
      <c r="W76" s="474"/>
      <c r="X76" s="474"/>
      <c r="Y76" s="474"/>
      <c r="Z76" s="474"/>
      <c r="AA76" s="758" t="s">
        <v>83</v>
      </c>
      <c r="AB76" s="474">
        <v>2017</v>
      </c>
      <c r="AC76" s="474"/>
      <c r="AD76" s="474"/>
      <c r="AE76" s="474"/>
      <c r="AF76" s="474"/>
      <c r="AG76" s="474"/>
      <c r="AH76" s="474"/>
      <c r="AI76" s="474"/>
      <c r="AJ76" s="474"/>
      <c r="AK76" s="474"/>
      <c r="AL76" s="474"/>
      <c r="AM76" s="474"/>
      <c r="AN76" s="758" t="s">
        <v>83</v>
      </c>
      <c r="AO76" s="474">
        <v>2018</v>
      </c>
      <c r="AP76" s="474"/>
      <c r="AQ76" s="474"/>
      <c r="AR76" s="474"/>
      <c r="AS76" s="474"/>
      <c r="AT76" s="474"/>
      <c r="AU76" s="474"/>
      <c r="AV76" s="474"/>
      <c r="AW76" s="474"/>
      <c r="AX76" s="474"/>
      <c r="AY76" s="474"/>
      <c r="AZ76" s="474"/>
      <c r="BA76" s="758" t="s">
        <v>83</v>
      </c>
      <c r="BB76" s="474">
        <v>2019</v>
      </c>
      <c r="BC76" s="474"/>
      <c r="BD76" s="474"/>
      <c r="BE76" s="474"/>
      <c r="BF76" s="474"/>
      <c r="BG76" s="474"/>
      <c r="BH76" s="474"/>
      <c r="BI76" s="474"/>
      <c r="BJ76" s="474"/>
      <c r="BK76" s="474"/>
      <c r="BL76" s="474"/>
      <c r="BM76" s="474"/>
      <c r="BN76" s="758" t="s">
        <v>83</v>
      </c>
      <c r="BO76" s="474">
        <v>2020</v>
      </c>
      <c r="BP76" s="474"/>
      <c r="BQ76" s="474"/>
      <c r="BR76" s="474"/>
      <c r="BS76" s="474"/>
      <c r="BT76" s="474"/>
      <c r="BU76" s="474"/>
      <c r="BV76" s="474"/>
      <c r="BW76" s="474"/>
      <c r="BX76" s="474"/>
      <c r="BY76" s="474"/>
      <c r="BZ76" s="474"/>
      <c r="CA76" s="758" t="s">
        <v>83</v>
      </c>
      <c r="CB76" s="474">
        <v>2021</v>
      </c>
      <c r="CC76" s="474"/>
      <c r="CD76" s="474"/>
      <c r="CE76" s="474"/>
      <c r="CF76" s="474"/>
      <c r="CG76" s="474"/>
      <c r="CH76" s="474"/>
      <c r="CI76" s="474"/>
      <c r="CJ76" s="474"/>
      <c r="CK76" s="474"/>
      <c r="CL76" s="474"/>
      <c r="CM76" s="474"/>
      <c r="CN76" s="758" t="s">
        <v>83</v>
      </c>
      <c r="CO76" s="474">
        <v>2022</v>
      </c>
      <c r="CP76" s="474"/>
      <c r="CQ76" s="474"/>
      <c r="CR76" s="474"/>
      <c r="CS76" s="474"/>
      <c r="CT76" s="474"/>
      <c r="CU76" s="474"/>
      <c r="CV76" s="474"/>
      <c r="CW76" s="474"/>
      <c r="CX76" s="474"/>
      <c r="CY76" s="474"/>
      <c r="CZ76" s="474"/>
      <c r="DA76" s="758" t="s">
        <v>83</v>
      </c>
      <c r="DB76" s="474">
        <v>2023</v>
      </c>
      <c r="DC76" s="474"/>
      <c r="DD76" s="474"/>
      <c r="DE76" s="474"/>
      <c r="DF76" s="474"/>
      <c r="DG76" s="474"/>
      <c r="DH76" s="474"/>
      <c r="DI76" s="474"/>
      <c r="DJ76" s="474"/>
      <c r="DK76" s="474"/>
      <c r="DL76" s="474"/>
      <c r="DM76" s="474"/>
      <c r="DN76" s="758" t="s">
        <v>83</v>
      </c>
      <c r="DO76" s="474">
        <v>2024</v>
      </c>
      <c r="DP76" s="474"/>
      <c r="DQ76" s="474"/>
      <c r="DR76" s="474"/>
      <c r="DS76" s="474"/>
      <c r="DT76" s="474"/>
      <c r="DU76" s="474"/>
      <c r="DV76" s="474"/>
      <c r="DW76" s="474"/>
      <c r="DX76" s="474"/>
      <c r="DY76" s="474"/>
      <c r="DZ76" s="474"/>
      <c r="EA76" s="758" t="s">
        <v>83</v>
      </c>
      <c r="EB76" s="474">
        <v>2025</v>
      </c>
      <c r="EC76" s="474"/>
      <c r="ED76" s="474"/>
      <c r="EE76" s="474"/>
      <c r="EF76" s="474"/>
      <c r="EG76" s="474"/>
      <c r="EH76" s="474"/>
      <c r="EI76" s="474"/>
      <c r="EJ76" s="474"/>
      <c r="EK76" s="474"/>
      <c r="EL76" s="474"/>
      <c r="EM76" s="474"/>
      <c r="EN76" s="758" t="s">
        <v>83</v>
      </c>
      <c r="EO76" s="474">
        <v>2026</v>
      </c>
      <c r="EP76" s="474"/>
      <c r="EQ76" s="474"/>
      <c r="ER76" s="474"/>
      <c r="ES76" s="474"/>
      <c r="ET76" s="474"/>
      <c r="EU76" s="474"/>
      <c r="EV76" s="976"/>
      <c r="EW76" s="474"/>
      <c r="EX76" s="474"/>
      <c r="EY76" s="474"/>
      <c r="EZ76" s="474"/>
      <c r="FA76" s="758" t="s">
        <v>83</v>
      </c>
      <c r="FC76" s="984" t="str">
        <f>CONCATENATE("Var.% ",FF76,"/",FE76)</f>
        <v>Var.% 2026/2025</v>
      </c>
      <c r="FD76" s="985"/>
      <c r="FE76" s="478">
        <f>FF76-1</f>
        <v>2025</v>
      </c>
      <c r="FF76" s="478">
        <f>YEAR(EZ77)</f>
        <v>2026</v>
      </c>
      <c r="FG76"/>
      <c r="FI76" s="795"/>
      <c r="FJ76"/>
      <c r="FK76"/>
      <c r="FL76"/>
      <c r="FM76"/>
      <c r="FN76"/>
      <c r="FO76"/>
      <c r="FP76"/>
    </row>
    <row r="77" spans="1:172" s="753" customFormat="1" ht="15" customHeight="1" x14ac:dyDescent="0.25">
      <c r="A77" s="990"/>
      <c r="B77" s="645">
        <v>42005</v>
      </c>
      <c r="C77" s="645">
        <v>42036</v>
      </c>
      <c r="D77" s="645">
        <v>42064</v>
      </c>
      <c r="E77" s="645">
        <v>42095</v>
      </c>
      <c r="F77" s="645">
        <v>42125</v>
      </c>
      <c r="G77" s="645">
        <v>42156</v>
      </c>
      <c r="H77" s="645">
        <v>42186</v>
      </c>
      <c r="I77" s="645">
        <v>42217</v>
      </c>
      <c r="J77" s="645">
        <v>42248</v>
      </c>
      <c r="K77" s="645">
        <v>42278</v>
      </c>
      <c r="L77" s="645">
        <v>42309</v>
      </c>
      <c r="M77" s="645">
        <v>42339</v>
      </c>
      <c r="N77" s="759">
        <f t="shared" ref="N77" si="424">YEAR(M77)</f>
        <v>2015</v>
      </c>
      <c r="O77" s="645">
        <v>42370</v>
      </c>
      <c r="P77" s="645">
        <v>42401</v>
      </c>
      <c r="Q77" s="645">
        <v>42430</v>
      </c>
      <c r="R77" s="645">
        <v>42461</v>
      </c>
      <c r="S77" s="645">
        <v>42491</v>
      </c>
      <c r="T77" s="645">
        <v>42522</v>
      </c>
      <c r="U77" s="645">
        <v>42552</v>
      </c>
      <c r="V77" s="645">
        <v>42583</v>
      </c>
      <c r="W77" s="645">
        <v>42614</v>
      </c>
      <c r="X77" s="645">
        <v>42644</v>
      </c>
      <c r="Y77" s="645">
        <v>42675</v>
      </c>
      <c r="Z77" s="645">
        <v>42705</v>
      </c>
      <c r="AA77" s="759">
        <f t="shared" ref="AA77" si="425">YEAR(Z77)</f>
        <v>2016</v>
      </c>
      <c r="AB77" s="645">
        <v>42736</v>
      </c>
      <c r="AC77" s="645">
        <v>42767</v>
      </c>
      <c r="AD77" s="645">
        <v>42795</v>
      </c>
      <c r="AE77" s="645">
        <v>42826</v>
      </c>
      <c r="AF77" s="645">
        <v>42856</v>
      </c>
      <c r="AG77" s="645">
        <v>42887</v>
      </c>
      <c r="AH77" s="645">
        <v>42917</v>
      </c>
      <c r="AI77" s="645">
        <v>42948</v>
      </c>
      <c r="AJ77" s="645">
        <v>42979</v>
      </c>
      <c r="AK77" s="645">
        <v>43009</v>
      </c>
      <c r="AL77" s="645">
        <v>43040</v>
      </c>
      <c r="AM77" s="645">
        <v>43070</v>
      </c>
      <c r="AN77" s="759">
        <f t="shared" ref="AN77" si="426">YEAR(AM77)</f>
        <v>2017</v>
      </c>
      <c r="AO77" s="645">
        <v>43101</v>
      </c>
      <c r="AP77" s="645">
        <v>43132</v>
      </c>
      <c r="AQ77" s="645">
        <v>43160</v>
      </c>
      <c r="AR77" s="645">
        <v>43191</v>
      </c>
      <c r="AS77" s="645">
        <v>43221</v>
      </c>
      <c r="AT77" s="645">
        <v>43252</v>
      </c>
      <c r="AU77" s="645">
        <v>43282</v>
      </c>
      <c r="AV77" s="645">
        <v>43313</v>
      </c>
      <c r="AW77" s="645">
        <v>43344</v>
      </c>
      <c r="AX77" s="645">
        <v>43374</v>
      </c>
      <c r="AY77" s="645">
        <v>43405</v>
      </c>
      <c r="AZ77" s="645">
        <v>43435</v>
      </c>
      <c r="BA77" s="759">
        <f t="shared" ref="BA77" si="427">YEAR(AZ77)</f>
        <v>2018</v>
      </c>
      <c r="BB77" s="645">
        <v>43466</v>
      </c>
      <c r="BC77" s="645">
        <v>43497</v>
      </c>
      <c r="BD77" s="645">
        <v>43525</v>
      </c>
      <c r="BE77" s="645">
        <v>43556</v>
      </c>
      <c r="BF77" s="645">
        <v>43586</v>
      </c>
      <c r="BG77" s="645">
        <v>43617</v>
      </c>
      <c r="BH77" s="645">
        <v>43647</v>
      </c>
      <c r="BI77" s="645">
        <v>43678</v>
      </c>
      <c r="BJ77" s="645">
        <v>43709</v>
      </c>
      <c r="BK77" s="645">
        <v>43739</v>
      </c>
      <c r="BL77" s="645">
        <v>43770</v>
      </c>
      <c r="BM77" s="645">
        <v>43800</v>
      </c>
      <c r="BN77" s="759">
        <f t="shared" ref="BN77" si="428">YEAR(BM77)</f>
        <v>2019</v>
      </c>
      <c r="BO77" s="645">
        <v>43831</v>
      </c>
      <c r="BP77" s="645">
        <v>43862</v>
      </c>
      <c r="BQ77" s="645">
        <v>43891</v>
      </c>
      <c r="BR77" s="645">
        <v>43922</v>
      </c>
      <c r="BS77" s="645">
        <v>43952</v>
      </c>
      <c r="BT77" s="645">
        <v>43983</v>
      </c>
      <c r="BU77" s="645">
        <v>44013</v>
      </c>
      <c r="BV77" s="645">
        <v>44044</v>
      </c>
      <c r="BW77" s="645">
        <v>44075</v>
      </c>
      <c r="BX77" s="645">
        <v>44105</v>
      </c>
      <c r="BY77" s="645">
        <v>44136</v>
      </c>
      <c r="BZ77" s="645">
        <v>44166</v>
      </c>
      <c r="CA77" s="759">
        <f t="shared" ref="CA77" si="429">YEAR(BZ77)</f>
        <v>2020</v>
      </c>
      <c r="CB77" s="645">
        <v>44197</v>
      </c>
      <c r="CC77" s="645">
        <v>44228</v>
      </c>
      <c r="CD77" s="645">
        <v>44256</v>
      </c>
      <c r="CE77" s="645">
        <v>44287</v>
      </c>
      <c r="CF77" s="645">
        <v>44317</v>
      </c>
      <c r="CG77" s="645">
        <v>44348</v>
      </c>
      <c r="CH77" s="645">
        <v>44378</v>
      </c>
      <c r="CI77" s="645">
        <v>44409</v>
      </c>
      <c r="CJ77" s="645">
        <v>44440</v>
      </c>
      <c r="CK77" s="645">
        <v>44470</v>
      </c>
      <c r="CL77" s="645">
        <v>44501</v>
      </c>
      <c r="CM77" s="645">
        <v>44531</v>
      </c>
      <c r="CN77" s="759">
        <f t="shared" ref="CN77" si="430">YEAR(CM77)</f>
        <v>2021</v>
      </c>
      <c r="CO77" s="645">
        <v>44562</v>
      </c>
      <c r="CP77" s="645">
        <v>44593</v>
      </c>
      <c r="CQ77" s="645">
        <v>44621</v>
      </c>
      <c r="CR77" s="645">
        <v>44652</v>
      </c>
      <c r="CS77" s="645">
        <v>44682</v>
      </c>
      <c r="CT77" s="645">
        <v>44713</v>
      </c>
      <c r="CU77" s="645">
        <v>44743</v>
      </c>
      <c r="CV77" s="645">
        <v>44774</v>
      </c>
      <c r="CW77" s="645">
        <v>44805</v>
      </c>
      <c r="CX77" s="645">
        <v>44835</v>
      </c>
      <c r="CY77" s="645">
        <v>44866</v>
      </c>
      <c r="CZ77" s="645">
        <v>44896</v>
      </c>
      <c r="DA77" s="759">
        <f t="shared" ref="DA77" si="431">YEAR(CZ77)</f>
        <v>2022</v>
      </c>
      <c r="DB77" s="645">
        <v>44927</v>
      </c>
      <c r="DC77" s="645">
        <v>44958</v>
      </c>
      <c r="DD77" s="645">
        <v>44986</v>
      </c>
      <c r="DE77" s="645">
        <v>45017</v>
      </c>
      <c r="DF77" s="645">
        <v>45047</v>
      </c>
      <c r="DG77" s="645">
        <v>45078</v>
      </c>
      <c r="DH77" s="645">
        <v>45108</v>
      </c>
      <c r="DI77" s="645">
        <v>45139</v>
      </c>
      <c r="DJ77" s="645">
        <v>45170</v>
      </c>
      <c r="DK77" s="645">
        <v>45200</v>
      </c>
      <c r="DL77" s="645">
        <v>45231</v>
      </c>
      <c r="DM77" s="645">
        <v>45261</v>
      </c>
      <c r="DN77" s="759">
        <f t="shared" ref="DN77" si="432">YEAR(DM77)</f>
        <v>2023</v>
      </c>
      <c r="DO77" s="645">
        <v>45292</v>
      </c>
      <c r="DP77" s="645">
        <v>45323</v>
      </c>
      <c r="DQ77" s="645">
        <v>45352</v>
      </c>
      <c r="DR77" s="645">
        <v>45383</v>
      </c>
      <c r="DS77" s="645">
        <v>45413</v>
      </c>
      <c r="DT77" s="645">
        <v>45444</v>
      </c>
      <c r="DU77" s="645">
        <v>45474</v>
      </c>
      <c r="DV77" s="645">
        <v>45505</v>
      </c>
      <c r="DW77" s="645">
        <v>45536</v>
      </c>
      <c r="DX77" s="645">
        <v>45566</v>
      </c>
      <c r="DY77" s="645">
        <v>45597</v>
      </c>
      <c r="DZ77" s="645">
        <v>45627</v>
      </c>
      <c r="EA77" s="759">
        <f t="shared" ref="EA77" si="433">YEAR(DZ77)</f>
        <v>2024</v>
      </c>
      <c r="EB77" s="645">
        <v>45658</v>
      </c>
      <c r="EC77" s="645">
        <v>45689</v>
      </c>
      <c r="ED77" s="645">
        <v>45717</v>
      </c>
      <c r="EE77" s="645">
        <v>45748</v>
      </c>
      <c r="EF77" s="645">
        <v>45778</v>
      </c>
      <c r="EG77" s="645">
        <v>45809</v>
      </c>
      <c r="EH77" s="645">
        <v>45839</v>
      </c>
      <c r="EI77" s="645">
        <v>45870</v>
      </c>
      <c r="EJ77" s="645">
        <v>45901</v>
      </c>
      <c r="EK77" s="645">
        <v>45931</v>
      </c>
      <c r="EL77" s="645">
        <v>45962</v>
      </c>
      <c r="EM77" s="645">
        <v>45992</v>
      </c>
      <c r="EN77" s="759">
        <f>YEAR(EM77)</f>
        <v>2025</v>
      </c>
      <c r="EO77" s="645">
        <v>46023</v>
      </c>
      <c r="EP77" s="645">
        <v>46054</v>
      </c>
      <c r="EQ77" s="645">
        <v>46082</v>
      </c>
      <c r="ER77" s="645">
        <v>46113</v>
      </c>
      <c r="ES77" s="645">
        <v>46143</v>
      </c>
      <c r="ET77" s="645">
        <v>46174</v>
      </c>
      <c r="EU77" s="645">
        <v>46204</v>
      </c>
      <c r="EV77" s="977">
        <v>46235</v>
      </c>
      <c r="EW77" s="645">
        <v>46266</v>
      </c>
      <c r="EX77" s="645">
        <v>46296</v>
      </c>
      <c r="EY77" s="645">
        <v>46327</v>
      </c>
      <c r="EZ77" s="645">
        <v>46357</v>
      </c>
      <c r="FA77" s="759">
        <f>YEAR(EZ77)</f>
        <v>2026</v>
      </c>
      <c r="FC77" s="485">
        <f>EV77</f>
        <v>46235</v>
      </c>
      <c r="FD77" s="487" t="str">
        <f>CONCATENATE("Ene.-",TEXT(FC77,"MMM."))</f>
        <v>Ene.-Ago.</v>
      </c>
      <c r="FE77" s="487" t="str">
        <f>FD77</f>
        <v>Ene.-Ago.</v>
      </c>
      <c r="FF77" s="487" t="str">
        <f>FD77</f>
        <v>Ene.-Ago.</v>
      </c>
      <c r="FG77"/>
      <c r="FI77" s="795"/>
      <c r="FJ77"/>
      <c r="FK77"/>
      <c r="FL77"/>
      <c r="FM77"/>
      <c r="FN77"/>
      <c r="FO77"/>
      <c r="FP77"/>
    </row>
    <row r="78" spans="1:172" ht="15" customHeight="1" x14ac:dyDescent="0.25">
      <c r="A78" s="902"/>
      <c r="B78" s="903"/>
      <c r="C78" s="903"/>
      <c r="D78" s="903"/>
      <c r="E78" s="903"/>
      <c r="F78" s="903"/>
      <c r="G78" s="903"/>
      <c r="H78" s="903"/>
      <c r="I78" s="903"/>
      <c r="J78" s="903"/>
      <c r="K78" s="903"/>
      <c r="L78" s="903"/>
      <c r="M78" s="903"/>
      <c r="N78" s="904"/>
      <c r="O78" s="903"/>
      <c r="P78" s="903"/>
      <c r="Q78" s="903"/>
      <c r="R78" s="903"/>
      <c r="S78" s="903"/>
      <c r="T78" s="903"/>
      <c r="U78" s="903"/>
      <c r="V78" s="903"/>
      <c r="W78" s="903"/>
      <c r="X78" s="903"/>
      <c r="Y78" s="903"/>
      <c r="Z78" s="903"/>
      <c r="AA78" s="904"/>
      <c r="AB78" s="903"/>
      <c r="AC78" s="903"/>
      <c r="AD78" s="903"/>
      <c r="AE78" s="903"/>
      <c r="AF78" s="903"/>
      <c r="AG78" s="903"/>
      <c r="AH78" s="903"/>
      <c r="AI78" s="903"/>
      <c r="AJ78" s="903"/>
      <c r="AK78" s="903"/>
      <c r="AL78" s="903"/>
      <c r="AM78" s="903"/>
      <c r="AN78" s="904"/>
      <c r="AO78" s="903"/>
      <c r="AP78" s="903"/>
      <c r="AQ78" s="903"/>
      <c r="AR78" s="903"/>
      <c r="AS78" s="903"/>
      <c r="AT78" s="903"/>
      <c r="AU78" s="903"/>
      <c r="AV78" s="903"/>
      <c r="AW78" s="903"/>
      <c r="AX78" s="903"/>
      <c r="AY78" s="903"/>
      <c r="AZ78" s="903"/>
      <c r="BA78" s="904"/>
      <c r="BB78" s="903"/>
      <c r="BC78" s="903"/>
      <c r="BD78" s="903"/>
      <c r="BE78" s="903"/>
      <c r="BF78" s="903"/>
      <c r="BG78" s="903"/>
      <c r="BH78" s="903"/>
      <c r="BI78" s="903"/>
      <c r="BJ78" s="903"/>
      <c r="BK78" s="903"/>
      <c r="BL78" s="903"/>
      <c r="BM78" s="903"/>
      <c r="BN78" s="904"/>
      <c r="BO78" s="903"/>
      <c r="BP78" s="903"/>
      <c r="BQ78" s="903"/>
      <c r="BR78" s="903"/>
      <c r="BS78" s="903"/>
      <c r="BT78" s="903"/>
      <c r="BU78" s="903"/>
      <c r="BV78" s="903"/>
      <c r="BW78" s="903"/>
      <c r="BX78" s="903"/>
      <c r="BY78" s="903"/>
      <c r="BZ78" s="903"/>
      <c r="CA78" s="904"/>
      <c r="CB78" s="903"/>
      <c r="CC78" s="903"/>
      <c r="CD78" s="903"/>
      <c r="CE78" s="903"/>
      <c r="CF78" s="903"/>
      <c r="CG78" s="903"/>
      <c r="CH78" s="903"/>
      <c r="CI78" s="903"/>
      <c r="CJ78" s="903"/>
      <c r="CK78" s="903"/>
      <c r="CL78" s="903"/>
      <c r="CM78" s="903"/>
      <c r="CN78" s="904"/>
      <c r="CO78" s="903"/>
      <c r="CP78" s="903"/>
      <c r="CQ78" s="903"/>
      <c r="CR78" s="903"/>
      <c r="CS78" s="903"/>
      <c r="CT78" s="903"/>
      <c r="CU78" s="903"/>
      <c r="CV78" s="903"/>
      <c r="CW78" s="903"/>
      <c r="CX78" s="903"/>
      <c r="CY78" s="903"/>
      <c r="CZ78" s="903"/>
      <c r="DA78" s="904"/>
      <c r="DB78" s="903"/>
      <c r="DC78" s="903"/>
      <c r="DD78" s="903"/>
      <c r="DE78" s="903"/>
      <c r="DF78" s="903"/>
      <c r="DG78" s="903"/>
      <c r="DH78" s="903"/>
      <c r="DI78" s="903"/>
      <c r="DJ78" s="903"/>
      <c r="DK78" s="903"/>
      <c r="DL78" s="903"/>
      <c r="DM78" s="903"/>
      <c r="DN78" s="904"/>
      <c r="DO78" s="903"/>
      <c r="DP78" s="903"/>
      <c r="DQ78" s="903"/>
      <c r="DR78" s="903"/>
      <c r="DS78" s="903"/>
      <c r="DT78" s="903"/>
      <c r="DU78" s="903"/>
      <c r="DV78" s="903"/>
      <c r="DW78" s="903"/>
      <c r="DX78" s="903"/>
      <c r="DY78" s="903"/>
      <c r="DZ78" s="903"/>
      <c r="EA78" s="904"/>
      <c r="EB78" s="903"/>
      <c r="EC78" s="903"/>
      <c r="ED78" s="903"/>
      <c r="EE78" s="903"/>
      <c r="EF78" s="903"/>
      <c r="EG78" s="903"/>
      <c r="EH78" s="903"/>
      <c r="EI78" s="903"/>
      <c r="EJ78" s="903"/>
      <c r="EK78" s="903"/>
      <c r="EL78" s="903"/>
      <c r="EM78" s="903"/>
      <c r="EN78" s="904"/>
      <c r="EO78" s="903"/>
      <c r="EP78" s="903"/>
      <c r="EQ78" s="903"/>
      <c r="ER78" s="903"/>
      <c r="ES78" s="903"/>
      <c r="ET78" s="903"/>
      <c r="EU78" s="903"/>
      <c r="EV78" s="981"/>
      <c r="EW78" s="903"/>
      <c r="EX78" s="903"/>
      <c r="EY78" s="903"/>
      <c r="EZ78" s="903"/>
      <c r="FA78" s="904"/>
      <c r="FC78" s="905"/>
      <c r="FD78" s="906"/>
      <c r="FE78" s="907"/>
      <c r="FF78" s="906"/>
      <c r="FI78" s="785"/>
    </row>
    <row r="79" spans="1:172" s="753" customFormat="1" ht="15" customHeight="1" x14ac:dyDescent="0.25">
      <c r="A79" s="822" t="s">
        <v>285</v>
      </c>
      <c r="B79" s="884">
        <f t="shared" ref="B79:M79" si="434">B80+B86+B92</f>
        <v>31574</v>
      </c>
      <c r="C79" s="884">
        <f t="shared" si="434"/>
        <v>28735</v>
      </c>
      <c r="D79" s="884">
        <f t="shared" si="434"/>
        <v>31293</v>
      </c>
      <c r="E79" s="884">
        <f t="shared" si="434"/>
        <v>35131</v>
      </c>
      <c r="F79" s="884">
        <f t="shared" si="434"/>
        <v>37612</v>
      </c>
      <c r="G79" s="884">
        <f t="shared" si="434"/>
        <v>36166</v>
      </c>
      <c r="H79" s="884">
        <f t="shared" si="434"/>
        <v>39931</v>
      </c>
      <c r="I79" s="884">
        <f t="shared" si="434"/>
        <v>37612</v>
      </c>
      <c r="J79" s="884">
        <f t="shared" si="434"/>
        <v>37871</v>
      </c>
      <c r="K79" s="884">
        <f t="shared" si="434"/>
        <v>36057</v>
      </c>
      <c r="L79" s="884">
        <f t="shared" si="434"/>
        <v>35407</v>
      </c>
      <c r="M79" s="875">
        <f t="shared" si="434"/>
        <v>57795</v>
      </c>
      <c r="N79" s="876">
        <f t="shared" ref="N79:N122" si="435">SUM(B79:M79)</f>
        <v>445184</v>
      </c>
      <c r="O79" s="884">
        <f t="shared" ref="O79:Z79" si="436">O80+O86+O92</f>
        <v>33651</v>
      </c>
      <c r="P79" s="884">
        <f t="shared" si="436"/>
        <v>35094</v>
      </c>
      <c r="Q79" s="884">
        <f t="shared" si="436"/>
        <v>34343</v>
      </c>
      <c r="R79" s="884">
        <f t="shared" si="436"/>
        <v>36011</v>
      </c>
      <c r="S79" s="884">
        <f t="shared" si="436"/>
        <v>40865</v>
      </c>
      <c r="T79" s="884">
        <f t="shared" si="436"/>
        <v>41876</v>
      </c>
      <c r="U79" s="884">
        <f t="shared" si="436"/>
        <v>46642</v>
      </c>
      <c r="V79" s="884">
        <f t="shared" si="436"/>
        <v>36735</v>
      </c>
      <c r="W79" s="884">
        <f t="shared" si="436"/>
        <v>40149</v>
      </c>
      <c r="X79" s="884">
        <f t="shared" si="436"/>
        <v>37833</v>
      </c>
      <c r="Y79" s="884">
        <f t="shared" si="436"/>
        <v>37986</v>
      </c>
      <c r="Z79" s="875">
        <f t="shared" si="436"/>
        <v>67949</v>
      </c>
      <c r="AA79" s="876">
        <f t="shared" ref="AA79:AA122" si="437">SUM(O79:Z79)</f>
        <v>489134</v>
      </c>
      <c r="AB79" s="884">
        <f t="shared" ref="AB79:AM79" si="438">AB80+AB86+AB92</f>
        <v>69647</v>
      </c>
      <c r="AC79" s="884">
        <f t="shared" si="438"/>
        <v>80532</v>
      </c>
      <c r="AD79" s="884">
        <f t="shared" si="438"/>
        <v>108169</v>
      </c>
      <c r="AE79" s="884">
        <f t="shared" si="438"/>
        <v>92282</v>
      </c>
      <c r="AF79" s="884">
        <f t="shared" si="438"/>
        <v>100834</v>
      </c>
      <c r="AG79" s="884">
        <f t="shared" si="438"/>
        <v>108975</v>
      </c>
      <c r="AH79" s="884">
        <f t="shared" si="438"/>
        <v>101184</v>
      </c>
      <c r="AI79" s="884">
        <f t="shared" si="438"/>
        <v>99387</v>
      </c>
      <c r="AJ79" s="884">
        <f t="shared" si="438"/>
        <v>84699</v>
      </c>
      <c r="AK79" s="884">
        <f t="shared" si="438"/>
        <v>96816</v>
      </c>
      <c r="AL79" s="884">
        <f t="shared" si="438"/>
        <v>122164</v>
      </c>
      <c r="AM79" s="875">
        <f t="shared" si="438"/>
        <v>160840</v>
      </c>
      <c r="AN79" s="876">
        <f t="shared" ref="AN79:AN122" si="439">SUM(AB79:AM79)</f>
        <v>1225529</v>
      </c>
      <c r="AO79" s="884">
        <f t="shared" ref="AO79:AZ79" si="440">AO80+AO86+AO92</f>
        <v>94083</v>
      </c>
      <c r="AP79" s="884">
        <f t="shared" si="440"/>
        <v>101481</v>
      </c>
      <c r="AQ79" s="884">
        <f t="shared" si="440"/>
        <v>101364</v>
      </c>
      <c r="AR79" s="884">
        <f t="shared" si="440"/>
        <v>106853</v>
      </c>
      <c r="AS79" s="884">
        <f t="shared" si="440"/>
        <v>119858</v>
      </c>
      <c r="AT79" s="884">
        <f t="shared" si="440"/>
        <v>121455</v>
      </c>
      <c r="AU79" s="884">
        <f t="shared" si="440"/>
        <v>127007</v>
      </c>
      <c r="AV79" s="884">
        <f t="shared" si="440"/>
        <v>108795</v>
      </c>
      <c r="AW79" s="884">
        <f t="shared" si="440"/>
        <v>105212</v>
      </c>
      <c r="AX79" s="884">
        <f t="shared" si="440"/>
        <v>112713</v>
      </c>
      <c r="AY79" s="884">
        <f t="shared" si="440"/>
        <v>107208</v>
      </c>
      <c r="AZ79" s="875">
        <f t="shared" si="440"/>
        <v>146166</v>
      </c>
      <c r="BA79" s="876">
        <f t="shared" ref="BA79:BA122" si="441">SUM(AO79:AZ79)</f>
        <v>1352195</v>
      </c>
      <c r="BB79" s="884">
        <f t="shared" ref="BB79:BM79" si="442">BB80+BB86+BB92</f>
        <v>96276</v>
      </c>
      <c r="BC79" s="884">
        <f t="shared" si="442"/>
        <v>104328</v>
      </c>
      <c r="BD79" s="884">
        <f t="shared" si="442"/>
        <v>103425</v>
      </c>
      <c r="BE79" s="884">
        <f t="shared" si="442"/>
        <v>114106</v>
      </c>
      <c r="BF79" s="884">
        <f t="shared" si="442"/>
        <v>119189</v>
      </c>
      <c r="BG79" s="884">
        <f t="shared" si="442"/>
        <v>131384</v>
      </c>
      <c r="BH79" s="884">
        <f t="shared" si="442"/>
        <v>137523</v>
      </c>
      <c r="BI79" s="884">
        <f t="shared" si="442"/>
        <v>119931</v>
      </c>
      <c r="BJ79" s="884">
        <f t="shared" si="442"/>
        <v>99727</v>
      </c>
      <c r="BK79" s="884">
        <f t="shared" si="442"/>
        <v>117689</v>
      </c>
      <c r="BL79" s="884">
        <f t="shared" si="442"/>
        <v>125729</v>
      </c>
      <c r="BM79" s="875">
        <f t="shared" si="442"/>
        <v>169263</v>
      </c>
      <c r="BN79" s="876">
        <f>SUM(BB79:BM79)</f>
        <v>1438570</v>
      </c>
      <c r="BO79" s="884">
        <f t="shared" ref="BO79:BZ79" si="443">BO80+BO86+BO92</f>
        <v>101746</v>
      </c>
      <c r="BP79" s="884">
        <f t="shared" si="443"/>
        <v>113012</v>
      </c>
      <c r="BQ79" s="884">
        <f t="shared" si="443"/>
        <v>131089</v>
      </c>
      <c r="BR79" s="884">
        <f t="shared" si="443"/>
        <v>145629</v>
      </c>
      <c r="BS79" s="884">
        <f t="shared" si="443"/>
        <v>138382</v>
      </c>
      <c r="BT79" s="884">
        <f t="shared" si="443"/>
        <v>104051</v>
      </c>
      <c r="BU79" s="884">
        <f t="shared" si="443"/>
        <v>133811</v>
      </c>
      <c r="BV79" s="884">
        <f t="shared" si="443"/>
        <v>157464</v>
      </c>
      <c r="BW79" s="884">
        <f t="shared" si="443"/>
        <v>128176</v>
      </c>
      <c r="BX79" s="884">
        <f t="shared" si="443"/>
        <v>208385</v>
      </c>
      <c r="BY79" s="884">
        <f t="shared" si="443"/>
        <v>199065</v>
      </c>
      <c r="BZ79" s="875">
        <f t="shared" si="443"/>
        <v>227887</v>
      </c>
      <c r="CA79" s="876">
        <f>SUM(BO79:BZ79)</f>
        <v>1788697</v>
      </c>
      <c r="CB79" s="884">
        <f t="shared" ref="CB79:CM79" si="444">CB80+CB86+CB92</f>
        <v>98869</v>
      </c>
      <c r="CC79" s="884">
        <f t="shared" si="444"/>
        <v>117373</v>
      </c>
      <c r="CD79" s="884">
        <f t="shared" si="444"/>
        <v>129692</v>
      </c>
      <c r="CE79" s="884">
        <f t="shared" si="444"/>
        <v>137482</v>
      </c>
      <c r="CF79" s="884">
        <f t="shared" si="444"/>
        <v>124719</v>
      </c>
      <c r="CG79" s="884">
        <f t="shared" si="444"/>
        <v>127668</v>
      </c>
      <c r="CH79" s="884">
        <f t="shared" si="444"/>
        <v>136602</v>
      </c>
      <c r="CI79" s="884">
        <f t="shared" si="444"/>
        <v>130880</v>
      </c>
      <c r="CJ79" s="884">
        <f t="shared" si="444"/>
        <v>161560</v>
      </c>
      <c r="CK79" s="884">
        <f t="shared" si="444"/>
        <v>159170</v>
      </c>
      <c r="CL79" s="884">
        <f t="shared" si="444"/>
        <v>168801</v>
      </c>
      <c r="CM79" s="875">
        <f t="shared" si="444"/>
        <v>234305</v>
      </c>
      <c r="CN79" s="876">
        <f>SUM(CB79:CM79)</f>
        <v>1727121</v>
      </c>
      <c r="CO79" s="884">
        <f t="shared" ref="CO79:CZ79" si="445">CO80+CO86+CO92</f>
        <v>103735</v>
      </c>
      <c r="CP79" s="884">
        <f t="shared" si="445"/>
        <v>123607</v>
      </c>
      <c r="CQ79" s="884">
        <f t="shared" si="445"/>
        <v>154139</v>
      </c>
      <c r="CR79" s="884">
        <f t="shared" si="445"/>
        <v>137499</v>
      </c>
      <c r="CS79" s="884">
        <f t="shared" si="445"/>
        <v>132495</v>
      </c>
      <c r="CT79" s="884">
        <f t="shared" si="445"/>
        <v>160197</v>
      </c>
      <c r="CU79" s="884">
        <f t="shared" si="445"/>
        <v>170545</v>
      </c>
      <c r="CV79" s="884">
        <f t="shared" si="445"/>
        <v>159007</v>
      </c>
      <c r="CW79" s="884">
        <f t="shared" si="445"/>
        <v>135943</v>
      </c>
      <c r="CX79" s="884">
        <f t="shared" si="445"/>
        <v>154418</v>
      </c>
      <c r="CY79" s="884">
        <f t="shared" si="445"/>
        <v>149537</v>
      </c>
      <c r="CZ79" s="875">
        <f t="shared" si="445"/>
        <v>218647</v>
      </c>
      <c r="DA79" s="876">
        <f>SUM(CO79:CZ79)</f>
        <v>1799769</v>
      </c>
      <c r="DB79" s="884">
        <f t="shared" ref="DB79:DM79" si="446">DB80+DB86+DB92</f>
        <v>143229</v>
      </c>
      <c r="DC79" s="884">
        <f t="shared" si="446"/>
        <v>149105</v>
      </c>
      <c r="DD79" s="884">
        <f t="shared" si="446"/>
        <v>122732.24574705819</v>
      </c>
      <c r="DE79" s="884">
        <f t="shared" si="446"/>
        <v>126980.75011938464</v>
      </c>
      <c r="DF79" s="884">
        <f t="shared" si="446"/>
        <v>350886</v>
      </c>
      <c r="DG79" s="884">
        <f t="shared" si="446"/>
        <v>392050</v>
      </c>
      <c r="DH79" s="884">
        <f t="shared" si="446"/>
        <v>139806</v>
      </c>
      <c r="DI79" s="884">
        <f t="shared" si="446"/>
        <v>130121</v>
      </c>
      <c r="DJ79" s="884">
        <f t="shared" si="446"/>
        <v>125822</v>
      </c>
      <c r="DK79" s="884">
        <f t="shared" si="446"/>
        <v>136964</v>
      </c>
      <c r="DL79" s="884">
        <f t="shared" si="446"/>
        <v>137111</v>
      </c>
      <c r="DM79" s="875">
        <f t="shared" si="446"/>
        <v>196007</v>
      </c>
      <c r="DN79" s="876">
        <f>SUM(DB79:DM79)</f>
        <v>2150813.995866443</v>
      </c>
      <c r="DO79" s="884">
        <f t="shared" ref="DO79:DQ79" si="447">DO80+DO86+DO92</f>
        <v>151338</v>
      </c>
      <c r="DP79" s="884">
        <f t="shared" si="447"/>
        <v>177518</v>
      </c>
      <c r="DQ79" s="884">
        <f t="shared" si="447"/>
        <v>150791</v>
      </c>
      <c r="DR79" s="884">
        <f t="shared" ref="DR79:DZ79" si="448">DR80+DR86+DR92</f>
        <v>182594</v>
      </c>
      <c r="DS79" s="884">
        <f t="shared" si="448"/>
        <v>186405</v>
      </c>
      <c r="DT79" s="884">
        <f t="shared" si="448"/>
        <v>177675</v>
      </c>
      <c r="DU79" s="884">
        <f t="shared" si="448"/>
        <v>190960</v>
      </c>
      <c r="DV79" s="884">
        <f t="shared" si="448"/>
        <v>191376</v>
      </c>
      <c r="DW79" s="884">
        <f t="shared" si="448"/>
        <v>174220</v>
      </c>
      <c r="DX79" s="884">
        <f t="shared" si="448"/>
        <v>185110</v>
      </c>
      <c r="DY79" s="884">
        <f t="shared" si="448"/>
        <v>216510</v>
      </c>
      <c r="DZ79" s="884">
        <f t="shared" si="448"/>
        <v>248343</v>
      </c>
      <c r="EA79" s="876">
        <f>SUM(DO79:DZ79)</f>
        <v>2232840</v>
      </c>
      <c r="EB79" s="884">
        <f t="shared" ref="EB79:ED79" si="449">EB80+EB86+EB92</f>
        <v>164442</v>
      </c>
      <c r="EC79" s="884">
        <f t="shared" si="449"/>
        <v>167320</v>
      </c>
      <c r="ED79" s="884">
        <f t="shared" si="449"/>
        <v>173928</v>
      </c>
      <c r="EE79" s="884">
        <f t="shared" ref="EE79:EH79" si="450">EE80+EE86+EE92</f>
        <v>182453</v>
      </c>
      <c r="EF79" s="884">
        <f t="shared" si="450"/>
        <v>216552</v>
      </c>
      <c r="EG79" s="884">
        <f t="shared" si="450"/>
        <v>199766</v>
      </c>
      <c r="EH79" s="884">
        <f t="shared" si="450"/>
        <v>212878</v>
      </c>
      <c r="EI79" s="884">
        <f t="shared" ref="EI79:EM79" si="451">EI80+EI86+EI92</f>
        <v>191440</v>
      </c>
      <c r="EJ79" s="884">
        <f t="shared" si="451"/>
        <v>196827</v>
      </c>
      <c r="EK79" s="884">
        <f t="shared" si="451"/>
        <v>191123</v>
      </c>
      <c r="EL79" s="884">
        <f t="shared" si="451"/>
        <v>195761</v>
      </c>
      <c r="EM79" s="884">
        <f t="shared" si="451"/>
        <v>258052</v>
      </c>
      <c r="EN79" s="876">
        <f>SUM(EB79:EM79)</f>
        <v>2350542</v>
      </c>
      <c r="EO79" s="884">
        <f>EO80+EO86+EO92</f>
        <v>215549</v>
      </c>
      <c r="EP79" s="884">
        <f t="shared" ref="EP79:ER79" si="452">EP80+EP86+EP92</f>
        <v>183042</v>
      </c>
      <c r="EQ79" s="884">
        <f t="shared" si="452"/>
        <v>203477</v>
      </c>
      <c r="ER79" s="884">
        <f t="shared" si="452"/>
        <v>198704</v>
      </c>
      <c r="ES79" s="884">
        <f t="shared" ref="ES79" si="453">ES80+ES86+ES92</f>
        <v>211868</v>
      </c>
      <c r="ET79" s="884">
        <f>ET80+ET86+ET92</f>
        <v>210088</v>
      </c>
      <c r="EU79" s="884">
        <f>EU80+EU86+EU92</f>
        <v>228774</v>
      </c>
      <c r="EV79" s="971">
        <f>EV80+EV86+EV92</f>
        <v>205461</v>
      </c>
      <c r="EW79" s="884"/>
      <c r="EX79" s="884"/>
      <c r="EY79" s="884"/>
      <c r="EZ79" s="875"/>
      <c r="FA79" s="876">
        <f>SUM(EO79:EZ79)</f>
        <v>1656963</v>
      </c>
      <c r="FB79" s="757"/>
      <c r="FC79" s="841">
        <f>IFERROR(((
_xlfn.XLOOKUP((DATE(YEAR($FC$5),MONTH($FC$5),1)),$B$5:$FA$5,$B79:$FA79) /
_xlfn.XLOOKUP((DATE(YEAR($FC$5)-1,MONTH($FC$5),1)),$B$5:$FA$5,$B79:$FA79)
)-1)*100,"")</f>
        <v>7.3239657333890484</v>
      </c>
      <c r="FD79" s="842">
        <f t="shared" ref="FD79:FD122" si="454">IFERROR(((FF79/FE79)-1)*100,"")</f>
        <v>9.8214516506393679</v>
      </c>
      <c r="FE79" s="702">
        <f>SUMIFS($B79:$FA79,$B$5:$FA$5,"&gt;="&amp;DATE(YEAR($FC$5)-1,1,1),$B$5:$FA$5,"&lt;="&amp;DATE(YEAR($FC$5)-1,MONTH($FC$5),1))</f>
        <v>1508779</v>
      </c>
      <c r="FF79" s="703">
        <f t="shared" ref="FF79:FF122" si="455">SUMIFS($B79:$FA79,$B$5:$FA$5,"&gt;="&amp;DATE(YEAR($FC$5),1,1),$B$5:$FA$5,"&lt;="&amp;$FC$5)</f>
        <v>1656963</v>
      </c>
      <c r="FG79"/>
      <c r="FH79" s="757"/>
      <c r="FI79" s="838"/>
      <c r="FJ79"/>
      <c r="FK79"/>
      <c r="FL79"/>
      <c r="FM79"/>
      <c r="FN79"/>
      <c r="FO79"/>
      <c r="FP79"/>
    </row>
    <row r="80" spans="1:172" s="110" customFormat="1" ht="15" customHeight="1" x14ac:dyDescent="0.25">
      <c r="A80" s="440" t="s">
        <v>273</v>
      </c>
      <c r="B80" s="885">
        <f t="shared" ref="B80:M80" si="456">SUM(B81:B85)</f>
        <v>31574</v>
      </c>
      <c r="C80" s="885">
        <f t="shared" si="456"/>
        <v>28735</v>
      </c>
      <c r="D80" s="885">
        <f t="shared" si="456"/>
        <v>31293</v>
      </c>
      <c r="E80" s="885">
        <f t="shared" si="456"/>
        <v>35131</v>
      </c>
      <c r="F80" s="885">
        <f t="shared" si="456"/>
        <v>37612</v>
      </c>
      <c r="G80" s="885">
        <f t="shared" si="456"/>
        <v>36166</v>
      </c>
      <c r="H80" s="885">
        <f t="shared" si="456"/>
        <v>39931</v>
      </c>
      <c r="I80" s="885">
        <f t="shared" si="456"/>
        <v>37612</v>
      </c>
      <c r="J80" s="885">
        <f t="shared" si="456"/>
        <v>37871</v>
      </c>
      <c r="K80" s="885">
        <f t="shared" si="456"/>
        <v>36057</v>
      </c>
      <c r="L80" s="885">
        <f t="shared" si="456"/>
        <v>35407</v>
      </c>
      <c r="M80" s="877">
        <f t="shared" si="456"/>
        <v>57795</v>
      </c>
      <c r="N80" s="878">
        <f t="shared" si="435"/>
        <v>445184</v>
      </c>
      <c r="O80" s="885">
        <f t="shared" ref="O80:AM80" si="457">SUM(O81:O85)</f>
        <v>33651</v>
      </c>
      <c r="P80" s="885">
        <f t="shared" si="457"/>
        <v>35094</v>
      </c>
      <c r="Q80" s="885">
        <f t="shared" si="457"/>
        <v>34343</v>
      </c>
      <c r="R80" s="885">
        <f t="shared" si="457"/>
        <v>36011</v>
      </c>
      <c r="S80" s="885">
        <f t="shared" si="457"/>
        <v>40865</v>
      </c>
      <c r="T80" s="885">
        <f t="shared" si="457"/>
        <v>41876</v>
      </c>
      <c r="U80" s="885">
        <f t="shared" si="457"/>
        <v>46642</v>
      </c>
      <c r="V80" s="885">
        <f t="shared" si="457"/>
        <v>36735</v>
      </c>
      <c r="W80" s="885">
        <f t="shared" si="457"/>
        <v>40149</v>
      </c>
      <c r="X80" s="885">
        <f t="shared" si="457"/>
        <v>37833</v>
      </c>
      <c r="Y80" s="885">
        <f t="shared" si="457"/>
        <v>37986</v>
      </c>
      <c r="Z80" s="877">
        <f t="shared" si="457"/>
        <v>67949</v>
      </c>
      <c r="AA80" s="878">
        <f t="shared" si="437"/>
        <v>489134</v>
      </c>
      <c r="AB80" s="885">
        <f t="shared" si="457"/>
        <v>37236</v>
      </c>
      <c r="AC80" s="885">
        <f t="shared" si="457"/>
        <v>36523</v>
      </c>
      <c r="AD80" s="885">
        <f t="shared" si="457"/>
        <v>42816</v>
      </c>
      <c r="AE80" s="885">
        <f t="shared" si="457"/>
        <v>41274</v>
      </c>
      <c r="AF80" s="885">
        <f t="shared" si="457"/>
        <v>45330</v>
      </c>
      <c r="AG80" s="885">
        <f t="shared" si="457"/>
        <v>44335</v>
      </c>
      <c r="AH80" s="885">
        <f t="shared" si="457"/>
        <v>48230</v>
      </c>
      <c r="AI80" s="885">
        <f t="shared" si="457"/>
        <v>48423</v>
      </c>
      <c r="AJ80" s="885">
        <f t="shared" si="457"/>
        <v>42591</v>
      </c>
      <c r="AK80" s="885">
        <f t="shared" si="457"/>
        <v>42443</v>
      </c>
      <c r="AL80" s="885">
        <f t="shared" si="457"/>
        <v>58628</v>
      </c>
      <c r="AM80" s="877">
        <f t="shared" si="457"/>
        <v>74530</v>
      </c>
      <c r="AN80" s="878">
        <f t="shared" si="439"/>
        <v>562359</v>
      </c>
      <c r="AO80" s="885">
        <f t="shared" ref="AO80:AZ80" si="458">SUM(AO81:AO85)</f>
        <v>46371</v>
      </c>
      <c r="AP80" s="885">
        <f t="shared" si="458"/>
        <v>45321</v>
      </c>
      <c r="AQ80" s="885">
        <f t="shared" si="458"/>
        <v>52941</v>
      </c>
      <c r="AR80" s="885">
        <f t="shared" si="458"/>
        <v>48496</v>
      </c>
      <c r="AS80" s="885">
        <f t="shared" si="458"/>
        <v>48534</v>
      </c>
      <c r="AT80" s="885">
        <f t="shared" si="458"/>
        <v>64609</v>
      </c>
      <c r="AU80" s="885">
        <f t="shared" si="458"/>
        <v>58840</v>
      </c>
      <c r="AV80" s="885">
        <f t="shared" si="458"/>
        <v>51775</v>
      </c>
      <c r="AW80" s="885">
        <f t="shared" si="458"/>
        <v>50550</v>
      </c>
      <c r="AX80" s="885">
        <f t="shared" si="458"/>
        <v>51206</v>
      </c>
      <c r="AY80" s="885">
        <f t="shared" si="458"/>
        <v>51200</v>
      </c>
      <c r="AZ80" s="877">
        <f t="shared" si="458"/>
        <v>67502</v>
      </c>
      <c r="BA80" s="878">
        <f t="shared" si="441"/>
        <v>637345</v>
      </c>
      <c r="BB80" s="885">
        <f>SUM(BB81:BB85)</f>
        <v>45548</v>
      </c>
      <c r="BC80" s="885">
        <f t="shared" ref="BC80:BM80" si="459">SUM(BC81:BC85)</f>
        <v>49518</v>
      </c>
      <c r="BD80" s="885">
        <f t="shared" si="459"/>
        <v>49442</v>
      </c>
      <c r="BE80" s="885">
        <f t="shared" si="459"/>
        <v>52813</v>
      </c>
      <c r="BF80" s="885">
        <f t="shared" si="459"/>
        <v>52636</v>
      </c>
      <c r="BG80" s="885">
        <f t="shared" si="459"/>
        <v>72295</v>
      </c>
      <c r="BH80" s="885">
        <f t="shared" si="459"/>
        <v>57597</v>
      </c>
      <c r="BI80" s="885">
        <f t="shared" si="459"/>
        <v>66091</v>
      </c>
      <c r="BJ80" s="885">
        <f t="shared" si="459"/>
        <v>43416</v>
      </c>
      <c r="BK80" s="885">
        <f t="shared" si="459"/>
        <v>58589</v>
      </c>
      <c r="BL80" s="885">
        <f t="shared" si="459"/>
        <v>56463</v>
      </c>
      <c r="BM80" s="877">
        <f t="shared" si="459"/>
        <v>91939</v>
      </c>
      <c r="BN80" s="878">
        <f t="shared" ref="BN80:BN122" si="460">SUM(BB80:BM80)</f>
        <v>696347</v>
      </c>
      <c r="BO80" s="885">
        <f t="shared" ref="BO80:BZ80" si="461">SUM(BO81:BO85)</f>
        <v>53492</v>
      </c>
      <c r="BP80" s="885">
        <f t="shared" si="461"/>
        <v>50157</v>
      </c>
      <c r="BQ80" s="885">
        <f t="shared" si="461"/>
        <v>55158</v>
      </c>
      <c r="BR80" s="885">
        <f t="shared" si="461"/>
        <v>58943</v>
      </c>
      <c r="BS80" s="885">
        <f t="shared" si="461"/>
        <v>56949</v>
      </c>
      <c r="BT80" s="885">
        <f t="shared" si="461"/>
        <v>58815</v>
      </c>
      <c r="BU80" s="885">
        <f t="shared" si="461"/>
        <v>62895</v>
      </c>
      <c r="BV80" s="885">
        <f t="shared" si="461"/>
        <v>68121</v>
      </c>
      <c r="BW80" s="885">
        <f t="shared" si="461"/>
        <v>58837</v>
      </c>
      <c r="BX80" s="885">
        <f t="shared" si="461"/>
        <v>72309</v>
      </c>
      <c r="BY80" s="885">
        <f t="shared" si="461"/>
        <v>93963</v>
      </c>
      <c r="BZ80" s="877">
        <f t="shared" si="461"/>
        <v>89976</v>
      </c>
      <c r="CA80" s="878">
        <f t="shared" ref="CA80:CA122" si="462">SUM(BO80:BZ80)</f>
        <v>779615</v>
      </c>
      <c r="CB80" s="885">
        <f>SUM(CB81:CB85)</f>
        <v>60572</v>
      </c>
      <c r="CC80" s="885">
        <f>SUM(CC81:CC85)</f>
        <v>56586</v>
      </c>
      <c r="CD80" s="885">
        <f t="shared" ref="CD80:CM80" si="463">SUM(CD81:CD85)</f>
        <v>67767</v>
      </c>
      <c r="CE80" s="885">
        <f t="shared" si="463"/>
        <v>66505</v>
      </c>
      <c r="CF80" s="885">
        <f t="shared" si="463"/>
        <v>65761</v>
      </c>
      <c r="CG80" s="885">
        <f t="shared" si="463"/>
        <v>67218</v>
      </c>
      <c r="CH80" s="885">
        <f t="shared" si="463"/>
        <v>70684</v>
      </c>
      <c r="CI80" s="885">
        <f t="shared" si="463"/>
        <v>66351</v>
      </c>
      <c r="CJ80" s="885">
        <f t="shared" si="463"/>
        <v>73157</v>
      </c>
      <c r="CK80" s="885">
        <f t="shared" si="463"/>
        <v>68931</v>
      </c>
      <c r="CL80" s="885">
        <f t="shared" si="463"/>
        <v>82680</v>
      </c>
      <c r="CM80" s="877">
        <f t="shared" si="463"/>
        <v>102288</v>
      </c>
      <c r="CN80" s="878">
        <f t="shared" ref="CN80:CN122" si="464">SUM(CB80:CM80)</f>
        <v>848500</v>
      </c>
      <c r="CO80" s="885">
        <f t="shared" ref="CO80:CZ80" si="465">SUM(CO81:CO85)</f>
        <v>59755</v>
      </c>
      <c r="CP80" s="885">
        <f t="shared" si="465"/>
        <v>64663</v>
      </c>
      <c r="CQ80" s="885">
        <f t="shared" si="465"/>
        <v>71966</v>
      </c>
      <c r="CR80" s="885">
        <f t="shared" si="465"/>
        <v>68861</v>
      </c>
      <c r="CS80" s="885">
        <f t="shared" si="465"/>
        <v>70468</v>
      </c>
      <c r="CT80" s="885">
        <f t="shared" si="465"/>
        <v>80756</v>
      </c>
      <c r="CU80" s="885">
        <f t="shared" si="465"/>
        <v>96575</v>
      </c>
      <c r="CV80" s="885">
        <f t="shared" si="465"/>
        <v>79401</v>
      </c>
      <c r="CW80" s="885">
        <f t="shared" si="465"/>
        <v>67342</v>
      </c>
      <c r="CX80" s="885">
        <f t="shared" si="465"/>
        <v>64691</v>
      </c>
      <c r="CY80" s="885">
        <f t="shared" si="465"/>
        <v>69670</v>
      </c>
      <c r="CZ80" s="877">
        <f t="shared" si="465"/>
        <v>111892</v>
      </c>
      <c r="DA80" s="878">
        <f t="shared" ref="DA80:DA122" si="466">SUM(CO80:CZ80)</f>
        <v>906040</v>
      </c>
      <c r="DB80" s="885">
        <f t="shared" ref="DB80:DM80" si="467">SUM(DB81:DB85)</f>
        <v>84618</v>
      </c>
      <c r="DC80" s="885">
        <f t="shared" si="467"/>
        <v>76168</v>
      </c>
      <c r="DD80" s="885">
        <f t="shared" si="467"/>
        <v>76450</v>
      </c>
      <c r="DE80" s="885">
        <f t="shared" si="467"/>
        <v>74831</v>
      </c>
      <c r="DF80" s="885">
        <f t="shared" si="467"/>
        <v>79346</v>
      </c>
      <c r="DG80" s="885">
        <f t="shared" si="467"/>
        <v>92119</v>
      </c>
      <c r="DH80" s="885">
        <f t="shared" si="467"/>
        <v>91581</v>
      </c>
      <c r="DI80" s="885">
        <f t="shared" si="467"/>
        <v>79505</v>
      </c>
      <c r="DJ80" s="885">
        <f t="shared" si="467"/>
        <v>81668</v>
      </c>
      <c r="DK80" s="885">
        <f t="shared" si="467"/>
        <v>81588</v>
      </c>
      <c r="DL80" s="885">
        <f t="shared" si="467"/>
        <v>88080</v>
      </c>
      <c r="DM80" s="877">
        <f t="shared" si="467"/>
        <v>121131</v>
      </c>
      <c r="DN80" s="878">
        <f t="shared" ref="DN80:DN122" si="468">SUM(DB80:DM80)</f>
        <v>1027085</v>
      </c>
      <c r="DO80" s="885">
        <f t="shared" ref="DO80:DQ80" si="469">SUM(DO81:DO85)</f>
        <v>101507</v>
      </c>
      <c r="DP80" s="885">
        <f t="shared" si="469"/>
        <v>82711</v>
      </c>
      <c r="DQ80" s="885">
        <f t="shared" si="469"/>
        <v>80621</v>
      </c>
      <c r="DR80" s="885">
        <f t="shared" ref="DR80:DZ80" si="470">SUM(DR81:DR85)</f>
        <v>96509</v>
      </c>
      <c r="DS80" s="885">
        <f t="shared" si="470"/>
        <v>100080</v>
      </c>
      <c r="DT80" s="885">
        <f t="shared" si="470"/>
        <v>95566</v>
      </c>
      <c r="DU80" s="885">
        <f t="shared" si="470"/>
        <v>98716</v>
      </c>
      <c r="DV80" s="885">
        <f t="shared" si="470"/>
        <v>101236</v>
      </c>
      <c r="DW80" s="885">
        <f t="shared" si="470"/>
        <v>91088</v>
      </c>
      <c r="DX80" s="885">
        <f t="shared" si="470"/>
        <v>101213</v>
      </c>
      <c r="DY80" s="885">
        <f t="shared" si="470"/>
        <v>132912</v>
      </c>
      <c r="DZ80" s="885">
        <f t="shared" si="470"/>
        <v>125299</v>
      </c>
      <c r="EA80" s="878">
        <f t="shared" ref="EA80:EA122" si="471">SUM(DO80:DZ80)</f>
        <v>1207458</v>
      </c>
      <c r="EB80" s="885">
        <f t="shared" ref="EB80:ED80" si="472">SUM(EB81:EB85)</f>
        <v>94162</v>
      </c>
      <c r="EC80" s="885">
        <f t="shared" si="472"/>
        <v>88355</v>
      </c>
      <c r="ED80" s="885">
        <f t="shared" si="472"/>
        <v>90888</v>
      </c>
      <c r="EE80" s="885">
        <f t="shared" ref="EE80:EH80" si="473">SUM(EE81:EE85)</f>
        <v>96226</v>
      </c>
      <c r="EF80" s="885">
        <f t="shared" si="473"/>
        <v>118658</v>
      </c>
      <c r="EG80" s="885">
        <f t="shared" si="473"/>
        <v>102418</v>
      </c>
      <c r="EH80" s="885">
        <f t="shared" si="473"/>
        <v>110363</v>
      </c>
      <c r="EI80" s="885">
        <f t="shared" ref="EI80:EM80" si="474">SUM(EI81:EI85)</f>
        <v>104391</v>
      </c>
      <c r="EJ80" s="885">
        <f t="shared" si="474"/>
        <v>104498</v>
      </c>
      <c r="EK80" s="885">
        <f t="shared" si="474"/>
        <v>98575</v>
      </c>
      <c r="EL80" s="885">
        <f t="shared" si="474"/>
        <v>108125</v>
      </c>
      <c r="EM80" s="885">
        <f t="shared" si="474"/>
        <v>131872</v>
      </c>
      <c r="EN80" s="878">
        <f t="shared" ref="EN80:EN122" si="475">SUM(EB80:EM80)</f>
        <v>1248531</v>
      </c>
      <c r="EO80" s="885">
        <f t="shared" ref="EO80:EU80" si="476">SUM(EO81:EO85)</f>
        <v>125584</v>
      </c>
      <c r="EP80" s="885">
        <f t="shared" si="476"/>
        <v>101965</v>
      </c>
      <c r="EQ80" s="885">
        <f t="shared" si="476"/>
        <v>105632</v>
      </c>
      <c r="ER80" s="885">
        <f t="shared" si="476"/>
        <v>108844</v>
      </c>
      <c r="ES80" s="885">
        <f t="shared" ref="ES80" si="477">SUM(ES81:ES85)</f>
        <v>108760</v>
      </c>
      <c r="ET80" s="885">
        <f t="shared" si="476"/>
        <v>109826</v>
      </c>
      <c r="EU80" s="885">
        <f t="shared" si="476"/>
        <v>115947</v>
      </c>
      <c r="EV80" s="972">
        <f t="shared" ref="EV80" si="478">SUM(EV81:EV85)</f>
        <v>108852</v>
      </c>
      <c r="EW80" s="885"/>
      <c r="EX80" s="885"/>
      <c r="EY80" s="885"/>
      <c r="EZ80" s="877"/>
      <c r="FA80" s="878">
        <f t="shared" ref="FA80:FA122" si="479">SUM(EO80:EZ80)</f>
        <v>885410</v>
      </c>
      <c r="FC80" s="851">
        <f t="shared" ref="FC80:FC122" si="480">IFERROR(((
_xlfn.XLOOKUP((DATE(YEAR($FC$5),MONTH($FC$5),1)),$B$5:$FA$5,$B80:$FA80) /
_xlfn.XLOOKUP((DATE(YEAR($FC$5)-1,MONTH($FC$5),1)),$B$5:$FA$5,$B80:$FA80)
)-1)*100,"")</f>
        <v>4.2733568985832138</v>
      </c>
      <c r="FD80" s="852">
        <f t="shared" si="454"/>
        <v>9.9258685398796445</v>
      </c>
      <c r="FE80" s="853">
        <f t="shared" ref="FE80:FE122" si="481">SUMIFS($B80:$FA80,$B$5:$FA$5,"&gt;="&amp;DATE(YEAR($FC$5)-1,1,1),$B$5:$FA$5,"&lt;="&amp;DATE(YEAR($FC$5)-1,MONTH($FC$5),1))</f>
        <v>805461</v>
      </c>
      <c r="FF80" s="854">
        <f t="shared" si="455"/>
        <v>885410</v>
      </c>
      <c r="FG80"/>
      <c r="FI80" s="236"/>
      <c r="FJ80"/>
      <c r="FK80"/>
      <c r="FL80"/>
      <c r="FM80"/>
      <c r="FN80"/>
      <c r="FO80"/>
      <c r="FP80"/>
    </row>
    <row r="81" spans="1:172" ht="15" customHeight="1" x14ac:dyDescent="0.25">
      <c r="A81" s="403" t="s">
        <v>274</v>
      </c>
      <c r="B81" s="883">
        <f t="shared" ref="B81:M81" si="482">B9</f>
        <v>25606</v>
      </c>
      <c r="C81" s="883">
        <f t="shared" si="482"/>
        <v>21045</v>
      </c>
      <c r="D81" s="883">
        <f t="shared" si="482"/>
        <v>20359</v>
      </c>
      <c r="E81" s="883">
        <f t="shared" si="482"/>
        <v>23188</v>
      </c>
      <c r="F81" s="883">
        <f t="shared" si="482"/>
        <v>24925</v>
      </c>
      <c r="G81" s="883">
        <f t="shared" si="482"/>
        <v>23762</v>
      </c>
      <c r="H81" s="883">
        <f t="shared" si="482"/>
        <v>25097</v>
      </c>
      <c r="I81" s="883">
        <f t="shared" si="482"/>
        <v>24598</v>
      </c>
      <c r="J81" s="883">
        <f t="shared" si="482"/>
        <v>25978</v>
      </c>
      <c r="K81" s="883">
        <f t="shared" si="482"/>
        <v>24891</v>
      </c>
      <c r="L81" s="883">
        <f t="shared" si="482"/>
        <v>21311</v>
      </c>
      <c r="M81" s="873">
        <f t="shared" si="482"/>
        <v>29822</v>
      </c>
      <c r="N81" s="879">
        <f t="shared" si="435"/>
        <v>290582</v>
      </c>
      <c r="O81" s="883">
        <f t="shared" ref="O81:Z81" si="483">O9</f>
        <v>27249</v>
      </c>
      <c r="P81" s="883">
        <f t="shared" si="483"/>
        <v>25335</v>
      </c>
      <c r="Q81" s="883">
        <f t="shared" si="483"/>
        <v>23362</v>
      </c>
      <c r="R81" s="883">
        <f t="shared" si="483"/>
        <v>25574</v>
      </c>
      <c r="S81" s="883">
        <f t="shared" si="483"/>
        <v>25878</v>
      </c>
      <c r="T81" s="883">
        <f t="shared" si="483"/>
        <v>28120</v>
      </c>
      <c r="U81" s="883">
        <f t="shared" si="483"/>
        <v>29530</v>
      </c>
      <c r="V81" s="883">
        <f t="shared" si="483"/>
        <v>27220</v>
      </c>
      <c r="W81" s="883">
        <f t="shared" si="483"/>
        <v>28030</v>
      </c>
      <c r="X81" s="883">
        <f t="shared" si="483"/>
        <v>27104</v>
      </c>
      <c r="Y81" s="883">
        <f t="shared" si="483"/>
        <v>26527</v>
      </c>
      <c r="Z81" s="873">
        <f t="shared" si="483"/>
        <v>37285</v>
      </c>
      <c r="AA81" s="879">
        <f t="shared" si="437"/>
        <v>331214</v>
      </c>
      <c r="AB81" s="883">
        <f t="shared" ref="AB81:AM81" si="484">AB9</f>
        <v>30885</v>
      </c>
      <c r="AC81" s="883">
        <f t="shared" si="484"/>
        <v>26524</v>
      </c>
      <c r="AD81" s="883">
        <f t="shared" si="484"/>
        <v>28852</v>
      </c>
      <c r="AE81" s="883">
        <f t="shared" si="484"/>
        <v>29293</v>
      </c>
      <c r="AF81" s="883">
        <f t="shared" si="484"/>
        <v>29370</v>
      </c>
      <c r="AG81" s="883">
        <f t="shared" si="484"/>
        <v>30216</v>
      </c>
      <c r="AH81" s="883">
        <f t="shared" si="484"/>
        <v>33878</v>
      </c>
      <c r="AI81" s="883">
        <f t="shared" si="484"/>
        <v>31522</v>
      </c>
      <c r="AJ81" s="883">
        <f t="shared" si="484"/>
        <v>28637</v>
      </c>
      <c r="AK81" s="883">
        <f t="shared" si="484"/>
        <v>31017</v>
      </c>
      <c r="AL81" s="883">
        <f t="shared" si="484"/>
        <v>40694</v>
      </c>
      <c r="AM81" s="873">
        <f t="shared" si="484"/>
        <v>41370</v>
      </c>
      <c r="AN81" s="879">
        <f t="shared" si="439"/>
        <v>382258</v>
      </c>
      <c r="AO81" s="883">
        <f t="shared" ref="AO81:AZ81" si="485">AO9</f>
        <v>39128</v>
      </c>
      <c r="AP81" s="883">
        <f t="shared" si="485"/>
        <v>34608</v>
      </c>
      <c r="AQ81" s="883">
        <f t="shared" si="485"/>
        <v>40329</v>
      </c>
      <c r="AR81" s="883">
        <f t="shared" si="485"/>
        <v>35387</v>
      </c>
      <c r="AS81" s="883">
        <f t="shared" si="485"/>
        <v>35554</v>
      </c>
      <c r="AT81" s="883">
        <f t="shared" si="485"/>
        <v>36225</v>
      </c>
      <c r="AU81" s="883">
        <f t="shared" si="485"/>
        <v>40215</v>
      </c>
      <c r="AV81" s="883">
        <f t="shared" si="485"/>
        <v>35530</v>
      </c>
      <c r="AW81" s="883">
        <f t="shared" si="485"/>
        <v>35993</v>
      </c>
      <c r="AX81" s="883">
        <f t="shared" si="485"/>
        <v>35718</v>
      </c>
      <c r="AY81" s="883">
        <f t="shared" si="485"/>
        <v>35640</v>
      </c>
      <c r="AZ81" s="873">
        <f t="shared" si="485"/>
        <v>39699</v>
      </c>
      <c r="BA81" s="879">
        <f t="shared" si="441"/>
        <v>444026</v>
      </c>
      <c r="BB81" s="883">
        <f t="shared" ref="BB81:BM81" si="486">BB9</f>
        <v>39257</v>
      </c>
      <c r="BC81" s="883">
        <f t="shared" si="486"/>
        <v>40011</v>
      </c>
      <c r="BD81" s="883">
        <f t="shared" si="486"/>
        <v>35895</v>
      </c>
      <c r="BE81" s="883">
        <f t="shared" si="486"/>
        <v>38513</v>
      </c>
      <c r="BF81" s="883">
        <f t="shared" si="486"/>
        <v>37969</v>
      </c>
      <c r="BG81" s="883">
        <f t="shared" si="486"/>
        <v>39231</v>
      </c>
      <c r="BH81" s="883">
        <f t="shared" si="486"/>
        <v>43319</v>
      </c>
      <c r="BI81" s="883">
        <f t="shared" si="486"/>
        <v>48543</v>
      </c>
      <c r="BJ81" s="883">
        <f t="shared" si="486"/>
        <v>30681</v>
      </c>
      <c r="BK81" s="883">
        <f t="shared" si="486"/>
        <v>41292</v>
      </c>
      <c r="BL81" s="883">
        <f t="shared" si="486"/>
        <v>39215</v>
      </c>
      <c r="BM81" s="873">
        <f t="shared" si="486"/>
        <v>54896</v>
      </c>
      <c r="BN81" s="879">
        <f>SUM(BB81:BM81)</f>
        <v>488822</v>
      </c>
      <c r="BO81" s="883">
        <f t="shared" ref="BO81:BZ81" si="487">BO9</f>
        <v>46818</v>
      </c>
      <c r="BP81" s="883">
        <f t="shared" si="487"/>
        <v>40458</v>
      </c>
      <c r="BQ81" s="883">
        <f t="shared" si="487"/>
        <v>40881</v>
      </c>
      <c r="BR81" s="883">
        <f t="shared" si="487"/>
        <v>43297</v>
      </c>
      <c r="BS81" s="883">
        <f t="shared" si="487"/>
        <v>42150</v>
      </c>
      <c r="BT81" s="883">
        <f t="shared" si="487"/>
        <v>41960</v>
      </c>
      <c r="BU81" s="883">
        <f t="shared" si="487"/>
        <v>46471</v>
      </c>
      <c r="BV81" s="883">
        <f t="shared" si="487"/>
        <v>45942</v>
      </c>
      <c r="BW81" s="883">
        <f t="shared" si="487"/>
        <v>42937</v>
      </c>
      <c r="BX81" s="883">
        <f t="shared" si="487"/>
        <v>44573</v>
      </c>
      <c r="BY81" s="883">
        <f t="shared" si="487"/>
        <v>66534</v>
      </c>
      <c r="BZ81" s="873">
        <f t="shared" si="487"/>
        <v>49141</v>
      </c>
      <c r="CA81" s="879">
        <f t="shared" si="462"/>
        <v>551162</v>
      </c>
      <c r="CB81" s="883">
        <f t="shared" ref="CB81:CM81" si="488">CB9</f>
        <v>51356</v>
      </c>
      <c r="CC81" s="883">
        <f t="shared" si="488"/>
        <v>43544</v>
      </c>
      <c r="CD81" s="883">
        <f t="shared" si="488"/>
        <v>47181</v>
      </c>
      <c r="CE81" s="883">
        <f t="shared" si="488"/>
        <v>46284</v>
      </c>
      <c r="CF81" s="883">
        <f t="shared" si="488"/>
        <v>45908</v>
      </c>
      <c r="CG81" s="883">
        <f t="shared" si="488"/>
        <v>48130</v>
      </c>
      <c r="CH81" s="883">
        <f t="shared" si="488"/>
        <v>50024</v>
      </c>
      <c r="CI81" s="883">
        <f t="shared" si="488"/>
        <v>46330</v>
      </c>
      <c r="CJ81" s="883">
        <f t="shared" si="488"/>
        <v>46532</v>
      </c>
      <c r="CK81" s="883">
        <f t="shared" si="488"/>
        <v>46043</v>
      </c>
      <c r="CL81" s="883">
        <f t="shared" si="488"/>
        <v>58873</v>
      </c>
      <c r="CM81" s="873">
        <f t="shared" si="488"/>
        <v>49960</v>
      </c>
      <c r="CN81" s="879">
        <f t="shared" si="464"/>
        <v>580165</v>
      </c>
      <c r="CO81" s="883">
        <f t="shared" ref="CO81:CZ81" si="489">CO9</f>
        <v>48212</v>
      </c>
      <c r="CP81" s="883">
        <f t="shared" si="489"/>
        <v>49916</v>
      </c>
      <c r="CQ81" s="883">
        <f t="shared" si="489"/>
        <v>46248</v>
      </c>
      <c r="CR81" s="883">
        <f t="shared" si="489"/>
        <v>48316</v>
      </c>
      <c r="CS81" s="883">
        <f t="shared" si="489"/>
        <v>49950</v>
      </c>
      <c r="CT81" s="883">
        <f t="shared" si="489"/>
        <v>51912</v>
      </c>
      <c r="CU81" s="883">
        <f t="shared" si="489"/>
        <v>67234</v>
      </c>
      <c r="CV81" s="883">
        <f t="shared" si="489"/>
        <v>55551</v>
      </c>
      <c r="CW81" s="883">
        <f t="shared" si="489"/>
        <v>46079</v>
      </c>
      <c r="CX81" s="883">
        <f t="shared" si="489"/>
        <v>40597</v>
      </c>
      <c r="CY81" s="883">
        <f t="shared" si="489"/>
        <v>50821</v>
      </c>
      <c r="CZ81" s="873">
        <f t="shared" si="489"/>
        <v>65342</v>
      </c>
      <c r="DA81" s="879">
        <f t="shared" si="466"/>
        <v>620178</v>
      </c>
      <c r="DB81" s="883">
        <f t="shared" ref="DB81:DM81" si="490">DB9</f>
        <v>73448</v>
      </c>
      <c r="DC81" s="883">
        <f t="shared" si="490"/>
        <v>61502</v>
      </c>
      <c r="DD81" s="883">
        <f t="shared" si="490"/>
        <v>54130</v>
      </c>
      <c r="DE81" s="883">
        <f t="shared" si="490"/>
        <v>57278</v>
      </c>
      <c r="DF81" s="883">
        <f t="shared" si="490"/>
        <v>56687</v>
      </c>
      <c r="DG81" s="883">
        <f t="shared" si="490"/>
        <v>57865</v>
      </c>
      <c r="DH81" s="883">
        <f t="shared" si="490"/>
        <v>61743</v>
      </c>
      <c r="DI81" s="883">
        <f t="shared" si="490"/>
        <v>57419</v>
      </c>
      <c r="DJ81" s="883">
        <f t="shared" si="490"/>
        <v>58665</v>
      </c>
      <c r="DK81" s="883">
        <f t="shared" si="490"/>
        <v>57066</v>
      </c>
      <c r="DL81" s="883">
        <f t="shared" si="490"/>
        <v>60794</v>
      </c>
      <c r="DM81" s="873">
        <f t="shared" si="490"/>
        <v>70603</v>
      </c>
      <c r="DN81" s="879">
        <f t="shared" si="468"/>
        <v>727200</v>
      </c>
      <c r="DO81" s="883">
        <f>DO9</f>
        <v>97339</v>
      </c>
      <c r="DP81" s="883">
        <f>DP9</f>
        <v>72278</v>
      </c>
      <c r="DQ81" s="883">
        <f>DQ9</f>
        <v>66946</v>
      </c>
      <c r="DR81" s="883">
        <f t="shared" ref="DR81:DZ81" si="491">DR9</f>
        <v>78420</v>
      </c>
      <c r="DS81" s="883">
        <f t="shared" si="491"/>
        <v>80528</v>
      </c>
      <c r="DT81" s="883">
        <f t="shared" si="491"/>
        <v>75554</v>
      </c>
      <c r="DU81" s="883">
        <f t="shared" si="491"/>
        <v>83654</v>
      </c>
      <c r="DV81" s="883">
        <f t="shared" si="491"/>
        <v>79346</v>
      </c>
      <c r="DW81" s="883">
        <f t="shared" si="491"/>
        <v>74110</v>
      </c>
      <c r="DX81" s="883">
        <f t="shared" si="491"/>
        <v>77711</v>
      </c>
      <c r="DY81" s="883">
        <f t="shared" si="491"/>
        <v>114256</v>
      </c>
      <c r="DZ81" s="883">
        <f t="shared" si="491"/>
        <v>91095</v>
      </c>
      <c r="EA81" s="879">
        <f t="shared" si="471"/>
        <v>991237</v>
      </c>
      <c r="EB81" s="883">
        <f t="shared" ref="EB81:ED81" si="492">EB9</f>
        <v>88868</v>
      </c>
      <c r="EC81" s="883">
        <f t="shared" si="492"/>
        <v>78375</v>
      </c>
      <c r="ED81" s="883">
        <f t="shared" si="492"/>
        <v>75109</v>
      </c>
      <c r="EE81" s="883">
        <f t="shared" ref="EE81:EH81" si="493">EE9</f>
        <v>80587</v>
      </c>
      <c r="EF81" s="883">
        <f t="shared" si="493"/>
        <v>100930</v>
      </c>
      <c r="EG81" s="883">
        <f t="shared" si="493"/>
        <v>83151</v>
      </c>
      <c r="EH81" s="883">
        <f t="shared" si="493"/>
        <v>91991</v>
      </c>
      <c r="EI81" s="883">
        <f t="shared" ref="EI81:EM81" si="494">EI9</f>
        <v>82296</v>
      </c>
      <c r="EJ81" s="883">
        <f t="shared" si="494"/>
        <v>81471</v>
      </c>
      <c r="EK81" s="883">
        <f t="shared" si="494"/>
        <v>81057</v>
      </c>
      <c r="EL81" s="883">
        <f t="shared" si="494"/>
        <v>92657</v>
      </c>
      <c r="EM81" s="883">
        <f t="shared" si="494"/>
        <v>96049</v>
      </c>
      <c r="EN81" s="879">
        <f t="shared" si="475"/>
        <v>1032541</v>
      </c>
      <c r="EO81" s="883">
        <f t="shared" ref="EO81:ER81" si="495">EO9</f>
        <v>120416</v>
      </c>
      <c r="EP81" s="883">
        <f t="shared" si="495"/>
        <v>88755</v>
      </c>
      <c r="EQ81" s="883">
        <f t="shared" si="495"/>
        <v>82454</v>
      </c>
      <c r="ER81" s="883">
        <f t="shared" si="495"/>
        <v>87475</v>
      </c>
      <c r="ES81" s="883">
        <f>ES9</f>
        <v>87220</v>
      </c>
      <c r="ET81" s="883">
        <f>ET9</f>
        <v>89135</v>
      </c>
      <c r="EU81" s="883">
        <f>EU9</f>
        <v>99259</v>
      </c>
      <c r="EV81" s="973">
        <f>EV9</f>
        <v>90029</v>
      </c>
      <c r="EW81" s="883"/>
      <c r="EX81" s="883"/>
      <c r="EY81" s="883"/>
      <c r="EZ81" s="873"/>
      <c r="FA81" s="879">
        <f t="shared" si="479"/>
        <v>744743</v>
      </c>
      <c r="FC81" s="843">
        <f>IFERROR(((
_xlfn.XLOOKUP((DATE(YEAR($FC$5),MONTH($FC$5),1)),$B$5:$FA$5,$B81:$FA81) /
_xlfn.XLOOKUP((DATE(YEAR($FC$5)-1,MONTH($FC$5),1)),$B$5:$FA$5,$B81:$FA81)
)-1)*100,"")</f>
        <v>9.3965684844949937</v>
      </c>
      <c r="FD81" s="844">
        <f t="shared" si="454"/>
        <v>9.3109273792871594</v>
      </c>
      <c r="FE81" s="845">
        <f t="shared" si="481"/>
        <v>681307</v>
      </c>
      <c r="FF81" s="846">
        <f t="shared" si="455"/>
        <v>744743</v>
      </c>
      <c r="FI81" s="127"/>
    </row>
    <row r="82" spans="1:172" ht="15" customHeight="1" x14ac:dyDescent="0.25">
      <c r="A82" s="403" t="s">
        <v>329</v>
      </c>
      <c r="B82" s="883">
        <f t="shared" ref="B82:M82" si="496">B10</f>
        <v>2519</v>
      </c>
      <c r="C82" s="883">
        <f t="shared" si="496"/>
        <v>1829</v>
      </c>
      <c r="D82" s="883">
        <f t="shared" si="496"/>
        <v>2275</v>
      </c>
      <c r="E82" s="883">
        <f t="shared" si="496"/>
        <v>1883</v>
      </c>
      <c r="F82" s="883">
        <f t="shared" si="496"/>
        <v>1740</v>
      </c>
      <c r="G82" s="883">
        <f t="shared" si="496"/>
        <v>1763</v>
      </c>
      <c r="H82" s="883">
        <f t="shared" si="496"/>
        <v>2275</v>
      </c>
      <c r="I82" s="883">
        <f t="shared" si="496"/>
        <v>2104</v>
      </c>
      <c r="J82" s="883">
        <f t="shared" si="496"/>
        <v>1743</v>
      </c>
      <c r="K82" s="883">
        <f t="shared" si="496"/>
        <v>1786</v>
      </c>
      <c r="L82" s="883">
        <f t="shared" si="496"/>
        <v>1850</v>
      </c>
      <c r="M82" s="873">
        <f t="shared" si="496"/>
        <v>3499</v>
      </c>
      <c r="N82" s="879">
        <f t="shared" si="435"/>
        <v>25266</v>
      </c>
      <c r="O82" s="883">
        <f t="shared" ref="O82:Z82" si="497">O10</f>
        <v>2445</v>
      </c>
      <c r="P82" s="883">
        <f t="shared" si="497"/>
        <v>1749</v>
      </c>
      <c r="Q82" s="883">
        <f t="shared" si="497"/>
        <v>1852</v>
      </c>
      <c r="R82" s="883">
        <f t="shared" si="497"/>
        <v>1762</v>
      </c>
      <c r="S82" s="883">
        <f t="shared" si="497"/>
        <v>2569</v>
      </c>
      <c r="T82" s="883">
        <f t="shared" si="497"/>
        <v>1864</v>
      </c>
      <c r="U82" s="883">
        <f t="shared" si="497"/>
        <v>2290</v>
      </c>
      <c r="V82" s="883">
        <f t="shared" si="497"/>
        <v>2034</v>
      </c>
      <c r="W82" s="883">
        <f t="shared" si="497"/>
        <v>1834</v>
      </c>
      <c r="X82" s="883">
        <f t="shared" si="497"/>
        <v>1839</v>
      </c>
      <c r="Y82" s="883">
        <f t="shared" si="497"/>
        <v>1919</v>
      </c>
      <c r="Z82" s="873">
        <f t="shared" si="497"/>
        <v>2723</v>
      </c>
      <c r="AA82" s="879">
        <f t="shared" si="437"/>
        <v>24880</v>
      </c>
      <c r="AB82" s="883">
        <f t="shared" ref="AB82:AM82" si="498">AB10</f>
        <v>2462</v>
      </c>
      <c r="AC82" s="883">
        <f t="shared" si="498"/>
        <v>1761</v>
      </c>
      <c r="AD82" s="883">
        <f t="shared" si="498"/>
        <v>1940</v>
      </c>
      <c r="AE82" s="883">
        <f t="shared" si="498"/>
        <v>2586</v>
      </c>
      <c r="AF82" s="883">
        <f t="shared" si="498"/>
        <v>1852</v>
      </c>
      <c r="AG82" s="883">
        <f t="shared" si="498"/>
        <v>1987</v>
      </c>
      <c r="AH82" s="883">
        <f t="shared" si="498"/>
        <v>2543</v>
      </c>
      <c r="AI82" s="883">
        <f t="shared" si="498"/>
        <v>1848</v>
      </c>
      <c r="AJ82" s="883">
        <f t="shared" si="498"/>
        <v>1894</v>
      </c>
      <c r="AK82" s="883">
        <f t="shared" si="498"/>
        <v>1766</v>
      </c>
      <c r="AL82" s="883">
        <f t="shared" si="498"/>
        <v>1814</v>
      </c>
      <c r="AM82" s="873">
        <f t="shared" si="498"/>
        <v>3845</v>
      </c>
      <c r="AN82" s="879">
        <f t="shared" si="439"/>
        <v>26298</v>
      </c>
      <c r="AO82" s="883">
        <f t="shared" ref="AO82:AZ82" si="499">AO10</f>
        <v>2502</v>
      </c>
      <c r="AP82" s="883">
        <f t="shared" si="499"/>
        <v>2012</v>
      </c>
      <c r="AQ82" s="883">
        <f t="shared" si="499"/>
        <v>1920</v>
      </c>
      <c r="AR82" s="883">
        <f t="shared" si="499"/>
        <v>2066</v>
      </c>
      <c r="AS82" s="883">
        <f t="shared" si="499"/>
        <v>3196</v>
      </c>
      <c r="AT82" s="883">
        <f t="shared" si="499"/>
        <v>2000</v>
      </c>
      <c r="AU82" s="883">
        <f t="shared" si="499"/>
        <v>2314</v>
      </c>
      <c r="AV82" s="883">
        <f t="shared" si="499"/>
        <v>1922</v>
      </c>
      <c r="AW82" s="883">
        <f t="shared" si="499"/>
        <v>1806</v>
      </c>
      <c r="AX82" s="883">
        <f t="shared" si="499"/>
        <v>2108</v>
      </c>
      <c r="AY82" s="883">
        <f t="shared" si="499"/>
        <v>1821</v>
      </c>
      <c r="AZ82" s="873">
        <f t="shared" si="499"/>
        <v>2930</v>
      </c>
      <c r="BA82" s="879">
        <f t="shared" si="441"/>
        <v>26597</v>
      </c>
      <c r="BB82" s="883">
        <f t="shared" ref="BB82:BM82" si="500">BB10</f>
        <v>2490</v>
      </c>
      <c r="BC82" s="883">
        <f t="shared" si="500"/>
        <v>1899</v>
      </c>
      <c r="BD82" s="883">
        <f t="shared" si="500"/>
        <v>3430</v>
      </c>
      <c r="BE82" s="883">
        <f t="shared" si="500"/>
        <v>1935</v>
      </c>
      <c r="BF82" s="883">
        <f t="shared" si="500"/>
        <v>1895</v>
      </c>
      <c r="BG82" s="883">
        <f t="shared" si="500"/>
        <v>1909</v>
      </c>
      <c r="BH82" s="883">
        <f t="shared" si="500"/>
        <v>2299</v>
      </c>
      <c r="BI82" s="883">
        <f t="shared" si="500"/>
        <v>1950</v>
      </c>
      <c r="BJ82" s="883">
        <f t="shared" si="500"/>
        <v>2367</v>
      </c>
      <c r="BK82" s="883">
        <f t="shared" si="500"/>
        <v>2482</v>
      </c>
      <c r="BL82" s="883">
        <f t="shared" si="500"/>
        <v>1800</v>
      </c>
      <c r="BM82" s="873">
        <f t="shared" si="500"/>
        <v>3539</v>
      </c>
      <c r="BN82" s="879">
        <f t="shared" si="460"/>
        <v>27995</v>
      </c>
      <c r="BO82" s="883">
        <f t="shared" ref="BO82:BZ82" si="501">BO10</f>
        <v>2539</v>
      </c>
      <c r="BP82" s="883">
        <f t="shared" si="501"/>
        <v>1983</v>
      </c>
      <c r="BQ82" s="883">
        <f t="shared" si="501"/>
        <v>1873</v>
      </c>
      <c r="BR82" s="883">
        <f t="shared" si="501"/>
        <v>2687</v>
      </c>
      <c r="BS82" s="883">
        <f t="shared" si="501"/>
        <v>1862</v>
      </c>
      <c r="BT82" s="883">
        <f t="shared" si="501"/>
        <v>2376</v>
      </c>
      <c r="BU82" s="883">
        <f t="shared" si="501"/>
        <v>2449</v>
      </c>
      <c r="BV82" s="883">
        <f t="shared" si="501"/>
        <v>1934</v>
      </c>
      <c r="BW82" s="883">
        <f t="shared" si="501"/>
        <v>2190</v>
      </c>
      <c r="BX82" s="883">
        <f t="shared" si="501"/>
        <v>2079</v>
      </c>
      <c r="BY82" s="883">
        <f t="shared" si="501"/>
        <v>2460</v>
      </c>
      <c r="BZ82" s="873">
        <f t="shared" si="501"/>
        <v>2781</v>
      </c>
      <c r="CA82" s="879">
        <f t="shared" si="462"/>
        <v>27213</v>
      </c>
      <c r="CB82" s="883">
        <f t="shared" ref="CB82:CM82" si="502">CB10</f>
        <v>2459</v>
      </c>
      <c r="CC82" s="883">
        <f t="shared" si="502"/>
        <v>1899</v>
      </c>
      <c r="CD82" s="883">
        <f t="shared" si="502"/>
        <v>1955</v>
      </c>
      <c r="CE82" s="883">
        <f t="shared" si="502"/>
        <v>3430</v>
      </c>
      <c r="CF82" s="883">
        <f t="shared" si="502"/>
        <v>2661</v>
      </c>
      <c r="CG82" s="883">
        <f t="shared" si="502"/>
        <v>2128</v>
      </c>
      <c r="CH82" s="883">
        <f t="shared" si="502"/>
        <v>2477</v>
      </c>
      <c r="CI82" s="883">
        <f t="shared" si="502"/>
        <v>1833</v>
      </c>
      <c r="CJ82" s="883">
        <f t="shared" si="502"/>
        <v>1906</v>
      </c>
      <c r="CK82" s="883">
        <f t="shared" si="502"/>
        <v>1802</v>
      </c>
      <c r="CL82" s="883">
        <f t="shared" si="502"/>
        <v>2205</v>
      </c>
      <c r="CM82" s="873">
        <f t="shared" si="502"/>
        <v>2734</v>
      </c>
      <c r="CN82" s="879">
        <f t="shared" si="464"/>
        <v>27489</v>
      </c>
      <c r="CO82" s="883">
        <f t="shared" ref="CO82:CZ82" si="503">CO10</f>
        <v>2945</v>
      </c>
      <c r="CP82" s="883">
        <f t="shared" si="503"/>
        <v>1730</v>
      </c>
      <c r="CQ82" s="883">
        <f t="shared" si="503"/>
        <v>2044</v>
      </c>
      <c r="CR82" s="883">
        <f t="shared" si="503"/>
        <v>1851</v>
      </c>
      <c r="CS82" s="883">
        <f t="shared" si="503"/>
        <v>2431</v>
      </c>
      <c r="CT82" s="883">
        <f t="shared" si="503"/>
        <v>2548</v>
      </c>
      <c r="CU82" s="883">
        <f t="shared" si="503"/>
        <v>2781</v>
      </c>
      <c r="CV82" s="883">
        <f t="shared" si="503"/>
        <v>1845</v>
      </c>
      <c r="CW82" s="883">
        <f t="shared" si="503"/>
        <v>1836</v>
      </c>
      <c r="CX82" s="883">
        <f t="shared" si="503"/>
        <v>1814</v>
      </c>
      <c r="CY82" s="883">
        <f t="shared" si="503"/>
        <v>1980</v>
      </c>
      <c r="CZ82" s="873">
        <f t="shared" si="503"/>
        <v>3150</v>
      </c>
      <c r="DA82" s="879">
        <f t="shared" si="466"/>
        <v>26955</v>
      </c>
      <c r="DB82" s="883">
        <f t="shared" ref="DB82:DM82" si="504">DB10</f>
        <v>2416</v>
      </c>
      <c r="DC82" s="883">
        <f t="shared" si="504"/>
        <v>2825</v>
      </c>
      <c r="DD82" s="883">
        <f t="shared" si="504"/>
        <v>1853</v>
      </c>
      <c r="DE82" s="883">
        <f t="shared" si="504"/>
        <v>2905</v>
      </c>
      <c r="DF82" s="883">
        <f t="shared" si="504"/>
        <v>1991</v>
      </c>
      <c r="DG82" s="883">
        <f t="shared" si="504"/>
        <v>1965</v>
      </c>
      <c r="DH82" s="883">
        <f t="shared" si="504"/>
        <v>2408</v>
      </c>
      <c r="DI82" s="883">
        <f t="shared" si="504"/>
        <v>2022</v>
      </c>
      <c r="DJ82" s="883">
        <f t="shared" si="504"/>
        <v>1960</v>
      </c>
      <c r="DK82" s="883">
        <f t="shared" si="504"/>
        <v>1893</v>
      </c>
      <c r="DL82" s="883">
        <f t="shared" si="504"/>
        <v>1942</v>
      </c>
      <c r="DM82" s="873">
        <f t="shared" si="504"/>
        <v>2531</v>
      </c>
      <c r="DN82" s="879">
        <f t="shared" si="468"/>
        <v>26711</v>
      </c>
      <c r="DO82" s="883">
        <f t="shared" ref="DO82:DQ82" si="505">DO10</f>
        <v>2261</v>
      </c>
      <c r="DP82" s="883">
        <f t="shared" si="505"/>
        <v>2198</v>
      </c>
      <c r="DQ82" s="883">
        <f t="shared" si="505"/>
        <v>2007</v>
      </c>
      <c r="DR82" s="883">
        <f t="shared" ref="DR82:DZ82" si="506">DR10</f>
        <v>1914</v>
      </c>
      <c r="DS82" s="883">
        <f t="shared" si="506"/>
        <v>2240</v>
      </c>
      <c r="DT82" s="883">
        <f t="shared" si="506"/>
        <v>1875</v>
      </c>
      <c r="DU82" s="883">
        <f t="shared" si="506"/>
        <v>4122</v>
      </c>
      <c r="DV82" s="883">
        <f t="shared" si="506"/>
        <v>5374</v>
      </c>
      <c r="DW82" s="883">
        <f t="shared" si="506"/>
        <v>1878</v>
      </c>
      <c r="DX82" s="883">
        <f t="shared" si="506"/>
        <v>1940</v>
      </c>
      <c r="DY82" s="883">
        <f t="shared" si="506"/>
        <v>2259</v>
      </c>
      <c r="DZ82" s="883">
        <f t="shared" si="506"/>
        <v>3322</v>
      </c>
      <c r="EA82" s="879">
        <f t="shared" si="471"/>
        <v>31390</v>
      </c>
      <c r="EB82" s="883">
        <f t="shared" ref="EB82:ED82" si="507">EB10</f>
        <v>2669</v>
      </c>
      <c r="EC82" s="883">
        <f t="shared" si="507"/>
        <v>1935</v>
      </c>
      <c r="ED82" s="883">
        <f t="shared" si="507"/>
        <v>1869</v>
      </c>
      <c r="EE82" s="883">
        <f t="shared" ref="EE82:EH82" si="508">EE10</f>
        <v>1918</v>
      </c>
      <c r="EF82" s="883">
        <f t="shared" si="508"/>
        <v>2160</v>
      </c>
      <c r="EG82" s="883">
        <f t="shared" si="508"/>
        <v>3219</v>
      </c>
      <c r="EH82" s="883">
        <f t="shared" si="508"/>
        <v>4847</v>
      </c>
      <c r="EI82" s="883">
        <f t="shared" ref="EI82:EM82" si="509">EI10</f>
        <v>1860</v>
      </c>
      <c r="EJ82" s="883">
        <f t="shared" si="509"/>
        <v>2680</v>
      </c>
      <c r="EK82" s="883">
        <f t="shared" si="509"/>
        <v>1826</v>
      </c>
      <c r="EL82" s="883">
        <f t="shared" si="509"/>
        <v>1914</v>
      </c>
      <c r="EM82" s="883">
        <f t="shared" si="509"/>
        <v>3478</v>
      </c>
      <c r="EN82" s="879">
        <f t="shared" si="475"/>
        <v>30375</v>
      </c>
      <c r="EO82" s="883">
        <f t="shared" ref="EO82:ER82" si="510">EO10</f>
        <v>3119</v>
      </c>
      <c r="EP82" s="883">
        <f t="shared" si="510"/>
        <v>1910</v>
      </c>
      <c r="EQ82" s="883">
        <f t="shared" si="510"/>
        <v>1869</v>
      </c>
      <c r="ER82" s="883">
        <f t="shared" si="510"/>
        <v>1891</v>
      </c>
      <c r="ES82" s="883">
        <f t="shared" ref="ES82:EU82" si="511">ES10</f>
        <v>1865</v>
      </c>
      <c r="ET82" s="883">
        <f t="shared" ref="ET82" si="512">ET10</f>
        <v>3086</v>
      </c>
      <c r="EU82" s="883">
        <f t="shared" si="511"/>
        <v>2224</v>
      </c>
      <c r="EV82" s="973">
        <f t="shared" ref="EV82" si="513">EV10</f>
        <v>1949</v>
      </c>
      <c r="EW82" s="883"/>
      <c r="EX82" s="883"/>
      <c r="EY82" s="883"/>
      <c r="EZ82" s="873"/>
      <c r="FA82" s="879">
        <f t="shared" si="479"/>
        <v>17913</v>
      </c>
      <c r="FC82" s="843">
        <f t="shared" si="480"/>
        <v>4.78494623655914</v>
      </c>
      <c r="FD82" s="844">
        <f>IFERROR(((FF82/FE82)-1)*100,"")</f>
        <v>-12.521365434389809</v>
      </c>
      <c r="FE82" s="845">
        <f t="shared" si="481"/>
        <v>20477</v>
      </c>
      <c r="FF82" s="846">
        <f t="shared" si="455"/>
        <v>17913</v>
      </c>
      <c r="FI82" s="127"/>
    </row>
    <row r="83" spans="1:172" ht="15" customHeight="1" x14ac:dyDescent="0.25">
      <c r="A83" s="403" t="s">
        <v>331</v>
      </c>
      <c r="B83" s="883">
        <f t="shared" ref="B83:M83" si="514">B12</f>
        <v>0</v>
      </c>
      <c r="C83" s="883">
        <f t="shared" si="514"/>
        <v>0</v>
      </c>
      <c r="D83" s="883">
        <f t="shared" si="514"/>
        <v>0</v>
      </c>
      <c r="E83" s="883">
        <f t="shared" si="514"/>
        <v>0</v>
      </c>
      <c r="F83" s="883">
        <f t="shared" si="514"/>
        <v>0</v>
      </c>
      <c r="G83" s="883">
        <f t="shared" si="514"/>
        <v>0</v>
      </c>
      <c r="H83" s="883">
        <f t="shared" si="514"/>
        <v>0</v>
      </c>
      <c r="I83" s="883">
        <f t="shared" si="514"/>
        <v>0</v>
      </c>
      <c r="J83" s="883">
        <f t="shared" si="514"/>
        <v>0</v>
      </c>
      <c r="K83" s="883">
        <f t="shared" si="514"/>
        <v>0</v>
      </c>
      <c r="L83" s="883">
        <f t="shared" si="514"/>
        <v>71</v>
      </c>
      <c r="M83" s="873">
        <f t="shared" si="514"/>
        <v>0</v>
      </c>
      <c r="N83" s="879">
        <f t="shared" si="435"/>
        <v>71</v>
      </c>
      <c r="O83" s="883">
        <f t="shared" ref="O83:Z83" si="515">O12</f>
        <v>0</v>
      </c>
      <c r="P83" s="883">
        <f t="shared" si="515"/>
        <v>0</v>
      </c>
      <c r="Q83" s="883">
        <f t="shared" si="515"/>
        <v>0</v>
      </c>
      <c r="R83" s="883">
        <f t="shared" si="515"/>
        <v>0</v>
      </c>
      <c r="S83" s="883">
        <f t="shared" si="515"/>
        <v>0</v>
      </c>
      <c r="T83" s="883">
        <f t="shared" si="515"/>
        <v>1000</v>
      </c>
      <c r="U83" s="883">
        <f t="shared" si="515"/>
        <v>0</v>
      </c>
      <c r="V83" s="883">
        <f t="shared" si="515"/>
        <v>0</v>
      </c>
      <c r="W83" s="883">
        <f t="shared" si="515"/>
        <v>0</v>
      </c>
      <c r="X83" s="883">
        <f t="shared" si="515"/>
        <v>0</v>
      </c>
      <c r="Y83" s="883">
        <f t="shared" si="515"/>
        <v>0</v>
      </c>
      <c r="Z83" s="873">
        <f t="shared" si="515"/>
        <v>0</v>
      </c>
      <c r="AA83" s="879">
        <f t="shared" si="437"/>
        <v>1000</v>
      </c>
      <c r="AB83" s="883">
        <f t="shared" ref="AB83:AM83" si="516">AB12</f>
        <v>0</v>
      </c>
      <c r="AC83" s="883">
        <f t="shared" si="516"/>
        <v>0</v>
      </c>
      <c r="AD83" s="883">
        <f t="shared" si="516"/>
        <v>0</v>
      </c>
      <c r="AE83" s="883">
        <f t="shared" si="516"/>
        <v>0</v>
      </c>
      <c r="AF83" s="883">
        <f t="shared" si="516"/>
        <v>0</v>
      </c>
      <c r="AG83" s="883">
        <f t="shared" si="516"/>
        <v>0</v>
      </c>
      <c r="AH83" s="883">
        <f t="shared" si="516"/>
        <v>0</v>
      </c>
      <c r="AI83" s="883">
        <f t="shared" si="516"/>
        <v>0</v>
      </c>
      <c r="AJ83" s="883">
        <f t="shared" si="516"/>
        <v>0</v>
      </c>
      <c r="AK83" s="883">
        <f t="shared" si="516"/>
        <v>0</v>
      </c>
      <c r="AL83" s="883">
        <f t="shared" si="516"/>
        <v>0</v>
      </c>
      <c r="AM83" s="873">
        <f t="shared" si="516"/>
        <v>0</v>
      </c>
      <c r="AN83" s="879">
        <f t="shared" si="439"/>
        <v>0</v>
      </c>
      <c r="AO83" s="883">
        <f t="shared" ref="AO83:AZ83" si="517">AO12</f>
        <v>0</v>
      </c>
      <c r="AP83" s="883">
        <f t="shared" si="517"/>
        <v>0</v>
      </c>
      <c r="AQ83" s="883">
        <f t="shared" si="517"/>
        <v>0</v>
      </c>
      <c r="AR83" s="883">
        <f t="shared" si="517"/>
        <v>0</v>
      </c>
      <c r="AS83" s="883">
        <f t="shared" si="517"/>
        <v>0</v>
      </c>
      <c r="AT83" s="883">
        <f t="shared" si="517"/>
        <v>0</v>
      </c>
      <c r="AU83" s="883">
        <f t="shared" si="517"/>
        <v>0</v>
      </c>
      <c r="AV83" s="883">
        <f t="shared" si="517"/>
        <v>0</v>
      </c>
      <c r="AW83" s="883">
        <f t="shared" si="517"/>
        <v>0</v>
      </c>
      <c r="AX83" s="883">
        <f t="shared" si="517"/>
        <v>0</v>
      </c>
      <c r="AY83" s="883">
        <f t="shared" si="517"/>
        <v>0</v>
      </c>
      <c r="AZ83" s="873">
        <f t="shared" si="517"/>
        <v>0</v>
      </c>
      <c r="BA83" s="879">
        <f t="shared" si="441"/>
        <v>0</v>
      </c>
      <c r="BB83" s="883">
        <f t="shared" ref="BB83:BM83" si="518">BB12</f>
        <v>214</v>
      </c>
      <c r="BC83" s="883">
        <f t="shared" si="518"/>
        <v>0</v>
      </c>
      <c r="BD83" s="883">
        <f t="shared" si="518"/>
        <v>0</v>
      </c>
      <c r="BE83" s="883">
        <f t="shared" si="518"/>
        <v>0</v>
      </c>
      <c r="BF83" s="883">
        <f t="shared" si="518"/>
        <v>0</v>
      </c>
      <c r="BG83" s="883">
        <f t="shared" si="518"/>
        <v>0</v>
      </c>
      <c r="BH83" s="883">
        <f t="shared" si="518"/>
        <v>0</v>
      </c>
      <c r="BI83" s="883">
        <f t="shared" si="518"/>
        <v>0</v>
      </c>
      <c r="BJ83" s="883">
        <f t="shared" si="518"/>
        <v>0</v>
      </c>
      <c r="BK83" s="883">
        <f t="shared" si="518"/>
        <v>207</v>
      </c>
      <c r="BL83" s="883">
        <f t="shared" si="518"/>
        <v>0</v>
      </c>
      <c r="BM83" s="873">
        <f t="shared" si="518"/>
        <v>0</v>
      </c>
      <c r="BN83" s="879">
        <f t="shared" si="460"/>
        <v>421</v>
      </c>
      <c r="BO83" s="883">
        <f t="shared" ref="BO83:BZ83" si="519">BO12</f>
        <v>0</v>
      </c>
      <c r="BP83" s="883">
        <f t="shared" si="519"/>
        <v>0</v>
      </c>
      <c r="BQ83" s="883">
        <f t="shared" si="519"/>
        <v>0</v>
      </c>
      <c r="BR83" s="883">
        <f t="shared" si="519"/>
        <v>0</v>
      </c>
      <c r="BS83" s="883">
        <f t="shared" si="519"/>
        <v>0</v>
      </c>
      <c r="BT83" s="883">
        <f t="shared" si="519"/>
        <v>0</v>
      </c>
      <c r="BU83" s="883">
        <f t="shared" si="519"/>
        <v>0</v>
      </c>
      <c r="BV83" s="883">
        <f t="shared" si="519"/>
        <v>0</v>
      </c>
      <c r="BW83" s="883">
        <f t="shared" si="519"/>
        <v>0</v>
      </c>
      <c r="BX83" s="883">
        <f t="shared" si="519"/>
        <v>0</v>
      </c>
      <c r="BY83" s="883">
        <f t="shared" si="519"/>
        <v>0</v>
      </c>
      <c r="BZ83" s="873">
        <f t="shared" si="519"/>
        <v>50</v>
      </c>
      <c r="CA83" s="879">
        <f t="shared" si="462"/>
        <v>50</v>
      </c>
      <c r="CB83" s="883">
        <f t="shared" ref="CB83:CM83" si="520">CB12</f>
        <v>0</v>
      </c>
      <c r="CC83" s="883">
        <f t="shared" si="520"/>
        <v>0</v>
      </c>
      <c r="CD83" s="883">
        <f t="shared" si="520"/>
        <v>167</v>
      </c>
      <c r="CE83" s="883">
        <f t="shared" si="520"/>
        <v>0</v>
      </c>
      <c r="CF83" s="883">
        <f t="shared" si="520"/>
        <v>0</v>
      </c>
      <c r="CG83" s="883">
        <f t="shared" si="520"/>
        <v>200</v>
      </c>
      <c r="CH83" s="883">
        <f t="shared" si="520"/>
        <v>0</v>
      </c>
      <c r="CI83" s="883">
        <f t="shared" si="520"/>
        <v>0</v>
      </c>
      <c r="CJ83" s="883">
        <f t="shared" si="520"/>
        <v>0</v>
      </c>
      <c r="CK83" s="883">
        <f t="shared" si="520"/>
        <v>0</v>
      </c>
      <c r="CL83" s="883">
        <f t="shared" si="520"/>
        <v>0</v>
      </c>
      <c r="CM83" s="873">
        <f t="shared" si="520"/>
        <v>0</v>
      </c>
      <c r="CN83" s="879">
        <f t="shared" si="464"/>
        <v>367</v>
      </c>
      <c r="CO83" s="883">
        <f t="shared" ref="CO83:CZ83" si="521">CO12</f>
        <v>0</v>
      </c>
      <c r="CP83" s="883">
        <f t="shared" si="521"/>
        <v>0</v>
      </c>
      <c r="CQ83" s="883">
        <f t="shared" si="521"/>
        <v>0</v>
      </c>
      <c r="CR83" s="883">
        <f t="shared" si="521"/>
        <v>0</v>
      </c>
      <c r="CS83" s="883">
        <f t="shared" si="521"/>
        <v>0</v>
      </c>
      <c r="CT83" s="883">
        <f t="shared" si="521"/>
        <v>0</v>
      </c>
      <c r="CU83" s="883">
        <f t="shared" si="521"/>
        <v>0</v>
      </c>
      <c r="CV83" s="883">
        <f t="shared" si="521"/>
        <v>0</v>
      </c>
      <c r="CW83" s="883">
        <f t="shared" si="521"/>
        <v>0</v>
      </c>
      <c r="CX83" s="883">
        <f t="shared" si="521"/>
        <v>0</v>
      </c>
      <c r="CY83" s="883">
        <f t="shared" si="521"/>
        <v>0</v>
      </c>
      <c r="CZ83" s="873">
        <f t="shared" si="521"/>
        <v>0</v>
      </c>
      <c r="DA83" s="879">
        <f t="shared" si="466"/>
        <v>0</v>
      </c>
      <c r="DB83" s="883">
        <f t="shared" ref="DB83:DM83" si="522">DB12</f>
        <v>0</v>
      </c>
      <c r="DC83" s="883">
        <f t="shared" si="522"/>
        <v>0</v>
      </c>
      <c r="DD83" s="883">
        <f t="shared" si="522"/>
        <v>0</v>
      </c>
      <c r="DE83" s="883">
        <f t="shared" si="522"/>
        <v>0</v>
      </c>
      <c r="DF83" s="883">
        <f t="shared" si="522"/>
        <v>0</v>
      </c>
      <c r="DG83" s="883">
        <f t="shared" si="522"/>
        <v>0</v>
      </c>
      <c r="DH83" s="883">
        <f t="shared" si="522"/>
        <v>0</v>
      </c>
      <c r="DI83" s="883">
        <f t="shared" si="522"/>
        <v>408</v>
      </c>
      <c r="DJ83" s="883">
        <f t="shared" si="522"/>
        <v>0</v>
      </c>
      <c r="DK83" s="883">
        <f t="shared" si="522"/>
        <v>0</v>
      </c>
      <c r="DL83" s="883">
        <f t="shared" si="522"/>
        <v>0</v>
      </c>
      <c r="DM83" s="873">
        <f t="shared" si="522"/>
        <v>22</v>
      </c>
      <c r="DN83" s="879">
        <f t="shared" si="468"/>
        <v>430</v>
      </c>
      <c r="DO83" s="883">
        <f t="shared" ref="DO83:DQ83" si="523">DO12</f>
        <v>0</v>
      </c>
      <c r="DP83" s="883">
        <f t="shared" si="523"/>
        <v>0</v>
      </c>
      <c r="DQ83" s="883">
        <f t="shared" si="523"/>
        <v>0</v>
      </c>
      <c r="DR83" s="883">
        <f t="shared" ref="DR83:DZ83" si="524">DR12</f>
        <v>0</v>
      </c>
      <c r="DS83" s="883">
        <f t="shared" si="524"/>
        <v>0</v>
      </c>
      <c r="DT83" s="883">
        <f t="shared" si="524"/>
        <v>0</v>
      </c>
      <c r="DU83" s="883">
        <f t="shared" si="524"/>
        <v>0</v>
      </c>
      <c r="DV83" s="883">
        <f t="shared" si="524"/>
        <v>0</v>
      </c>
      <c r="DW83" s="883">
        <f t="shared" si="524"/>
        <v>2792</v>
      </c>
      <c r="DX83" s="883">
        <f t="shared" si="524"/>
        <v>0</v>
      </c>
      <c r="DY83" s="883">
        <f t="shared" si="524"/>
        <v>0</v>
      </c>
      <c r="DZ83" s="883">
        <f t="shared" si="524"/>
        <v>0</v>
      </c>
      <c r="EA83" s="879">
        <f t="shared" si="471"/>
        <v>2792</v>
      </c>
      <c r="EB83" s="883">
        <f t="shared" ref="EB83:ED83" si="525">EB12</f>
        <v>0</v>
      </c>
      <c r="EC83" s="883">
        <f t="shared" si="525"/>
        <v>0</v>
      </c>
      <c r="ED83" s="883">
        <f t="shared" si="525"/>
        <v>25</v>
      </c>
      <c r="EE83" s="883">
        <f t="shared" ref="EE83:EH83" si="526">EE12</f>
        <v>0</v>
      </c>
      <c r="EF83" s="883">
        <f t="shared" si="526"/>
        <v>0</v>
      </c>
      <c r="EG83" s="883">
        <f t="shared" si="526"/>
        <v>3239</v>
      </c>
      <c r="EH83" s="883">
        <f t="shared" si="526"/>
        <v>0</v>
      </c>
      <c r="EI83" s="883">
        <f t="shared" ref="EI83:EM83" si="527">EI12</f>
        <v>0</v>
      </c>
      <c r="EJ83" s="883">
        <f t="shared" si="527"/>
        <v>6000</v>
      </c>
      <c r="EK83" s="883">
        <f t="shared" si="527"/>
        <v>-25</v>
      </c>
      <c r="EL83" s="883">
        <f t="shared" si="527"/>
        <v>0</v>
      </c>
      <c r="EM83" s="883">
        <f t="shared" si="527"/>
        <v>204</v>
      </c>
      <c r="EN83" s="879">
        <f t="shared" si="475"/>
        <v>9443</v>
      </c>
      <c r="EO83" s="883">
        <f t="shared" ref="EO83:ER84" si="528">EO12</f>
        <v>0</v>
      </c>
      <c r="EP83" s="883">
        <f t="shared" si="528"/>
        <v>0</v>
      </c>
      <c r="EQ83" s="883">
        <f t="shared" si="528"/>
        <v>3318</v>
      </c>
      <c r="ER83" s="883">
        <f t="shared" si="528"/>
        <v>0</v>
      </c>
      <c r="ES83" s="883">
        <f t="shared" ref="ES83:EU84" si="529">ES12</f>
        <v>0</v>
      </c>
      <c r="ET83" s="883">
        <f t="shared" ref="ET83" si="530">ET12</f>
        <v>0</v>
      </c>
      <c r="EU83" s="883">
        <f t="shared" si="529"/>
        <v>0</v>
      </c>
      <c r="EV83" s="973">
        <f t="shared" ref="EV83" si="531">EV12</f>
        <v>0</v>
      </c>
      <c r="EW83" s="883"/>
      <c r="EX83" s="883"/>
      <c r="EY83" s="883"/>
      <c r="EZ83" s="873"/>
      <c r="FA83" s="879">
        <f t="shared" si="479"/>
        <v>3318</v>
      </c>
      <c r="FC83" s="843" t="str">
        <f>IFERROR(((
_xlfn.XLOOKUP((DATE(YEAR($FC$5),MONTH($FC$5),1)),$B$5:$FA$5,$B83:$FA83) /
_xlfn.XLOOKUP((DATE(YEAR($FC$5)-1,MONTH($FC$5),1)),$B$5:$FA$5,$B83:$FA83)
)-1)*100,"")</f>
        <v/>
      </c>
      <c r="FD83" s="844">
        <f t="shared" si="454"/>
        <v>1.6544117647058876</v>
      </c>
      <c r="FE83" s="845">
        <f t="shared" si="481"/>
        <v>3264</v>
      </c>
      <c r="FF83" s="846">
        <f t="shared" si="455"/>
        <v>3318</v>
      </c>
      <c r="FI83" s="127"/>
    </row>
    <row r="84" spans="1:172" ht="15" customHeight="1" x14ac:dyDescent="0.25">
      <c r="A84" s="403" t="s">
        <v>286</v>
      </c>
      <c r="B84" s="883">
        <f t="shared" ref="B84:M84" si="532">B13</f>
        <v>435</v>
      </c>
      <c r="C84" s="883">
        <f t="shared" si="532"/>
        <v>64</v>
      </c>
      <c r="D84" s="883">
        <f t="shared" si="532"/>
        <v>148</v>
      </c>
      <c r="E84" s="883">
        <f t="shared" si="532"/>
        <v>126</v>
      </c>
      <c r="F84" s="883">
        <f t="shared" si="532"/>
        <v>831</v>
      </c>
      <c r="G84" s="883">
        <f t="shared" si="532"/>
        <v>400</v>
      </c>
      <c r="H84" s="883">
        <f t="shared" si="532"/>
        <v>369</v>
      </c>
      <c r="I84" s="883">
        <f t="shared" si="532"/>
        <v>449</v>
      </c>
      <c r="J84" s="883">
        <f t="shared" si="532"/>
        <v>213</v>
      </c>
      <c r="K84" s="883">
        <f t="shared" si="532"/>
        <v>368</v>
      </c>
      <c r="L84" s="883">
        <f t="shared" si="532"/>
        <v>135</v>
      </c>
      <c r="M84" s="873">
        <f t="shared" si="532"/>
        <v>3262</v>
      </c>
      <c r="N84" s="879">
        <f t="shared" si="435"/>
        <v>6800</v>
      </c>
      <c r="O84" s="883">
        <f t="shared" ref="O84:Z84" si="533">O13</f>
        <v>412</v>
      </c>
      <c r="P84" s="883">
        <f t="shared" si="533"/>
        <v>133</v>
      </c>
      <c r="Q84" s="883">
        <f t="shared" si="533"/>
        <v>141</v>
      </c>
      <c r="R84" s="883">
        <f t="shared" si="533"/>
        <v>98</v>
      </c>
      <c r="S84" s="883">
        <f t="shared" si="533"/>
        <v>231</v>
      </c>
      <c r="T84" s="883">
        <f t="shared" si="533"/>
        <v>23</v>
      </c>
      <c r="U84" s="883">
        <f t="shared" si="533"/>
        <v>99</v>
      </c>
      <c r="V84" s="883">
        <f t="shared" si="533"/>
        <v>2459</v>
      </c>
      <c r="W84" s="883">
        <f t="shared" si="533"/>
        <v>160</v>
      </c>
      <c r="X84" s="883">
        <f t="shared" si="533"/>
        <v>74</v>
      </c>
      <c r="Y84" s="883">
        <f t="shared" si="533"/>
        <v>212</v>
      </c>
      <c r="Z84" s="873">
        <f t="shared" si="533"/>
        <v>1361</v>
      </c>
      <c r="AA84" s="879">
        <f t="shared" si="437"/>
        <v>5403</v>
      </c>
      <c r="AB84" s="883">
        <f t="shared" ref="AB84:AM84" si="534">AB13</f>
        <v>368</v>
      </c>
      <c r="AC84" s="883">
        <f t="shared" si="534"/>
        <v>329</v>
      </c>
      <c r="AD84" s="883">
        <f t="shared" si="534"/>
        <v>52</v>
      </c>
      <c r="AE84" s="883">
        <f t="shared" si="534"/>
        <v>68</v>
      </c>
      <c r="AF84" s="883">
        <f t="shared" si="534"/>
        <v>3816</v>
      </c>
      <c r="AG84" s="883">
        <f t="shared" si="534"/>
        <v>2871</v>
      </c>
      <c r="AH84" s="883">
        <f t="shared" si="534"/>
        <v>151</v>
      </c>
      <c r="AI84" s="883">
        <f t="shared" si="534"/>
        <v>137</v>
      </c>
      <c r="AJ84" s="883">
        <f t="shared" si="534"/>
        <v>263</v>
      </c>
      <c r="AK84" s="883">
        <f t="shared" si="534"/>
        <v>293</v>
      </c>
      <c r="AL84" s="883">
        <f t="shared" si="534"/>
        <v>396</v>
      </c>
      <c r="AM84" s="873">
        <f t="shared" si="534"/>
        <v>1896</v>
      </c>
      <c r="AN84" s="879">
        <f t="shared" si="439"/>
        <v>10640</v>
      </c>
      <c r="AO84" s="883">
        <f t="shared" ref="AO84:AZ84" si="535">AO13</f>
        <v>219</v>
      </c>
      <c r="AP84" s="883">
        <f t="shared" si="535"/>
        <v>192</v>
      </c>
      <c r="AQ84" s="883">
        <f t="shared" si="535"/>
        <v>334</v>
      </c>
      <c r="AR84" s="883">
        <f t="shared" si="535"/>
        <v>241</v>
      </c>
      <c r="AS84" s="883">
        <f t="shared" si="535"/>
        <v>212</v>
      </c>
      <c r="AT84" s="883">
        <f t="shared" si="535"/>
        <v>15011</v>
      </c>
      <c r="AU84" s="883">
        <f t="shared" si="535"/>
        <v>3312</v>
      </c>
      <c r="AV84" s="883">
        <f t="shared" si="535"/>
        <v>129</v>
      </c>
      <c r="AW84" s="883">
        <f t="shared" si="535"/>
        <v>376</v>
      </c>
      <c r="AX84" s="883">
        <f t="shared" si="535"/>
        <v>157</v>
      </c>
      <c r="AY84" s="883">
        <f t="shared" si="535"/>
        <v>734</v>
      </c>
      <c r="AZ84" s="873">
        <f t="shared" si="535"/>
        <v>467</v>
      </c>
      <c r="BA84" s="879">
        <f t="shared" si="441"/>
        <v>21384</v>
      </c>
      <c r="BB84" s="883">
        <f t="shared" ref="BB84:BM84" si="536">BB13</f>
        <v>308</v>
      </c>
      <c r="BC84" s="883">
        <f t="shared" si="536"/>
        <v>83</v>
      </c>
      <c r="BD84" s="883">
        <f t="shared" si="536"/>
        <v>165</v>
      </c>
      <c r="BE84" s="883">
        <f t="shared" si="536"/>
        <v>53</v>
      </c>
      <c r="BF84" s="883">
        <f t="shared" si="536"/>
        <v>589</v>
      </c>
      <c r="BG84" s="883">
        <f t="shared" si="536"/>
        <v>19634</v>
      </c>
      <c r="BH84" s="883">
        <f t="shared" si="536"/>
        <v>84</v>
      </c>
      <c r="BI84" s="883">
        <f t="shared" si="536"/>
        <v>17</v>
      </c>
      <c r="BJ84" s="883">
        <f t="shared" si="536"/>
        <v>103</v>
      </c>
      <c r="BK84" s="883">
        <f t="shared" si="536"/>
        <v>26</v>
      </c>
      <c r="BL84" s="883">
        <f t="shared" si="536"/>
        <v>169</v>
      </c>
      <c r="BM84" s="873">
        <f t="shared" si="536"/>
        <v>3854</v>
      </c>
      <c r="BN84" s="879">
        <f t="shared" si="460"/>
        <v>25085</v>
      </c>
      <c r="BO84" s="883">
        <f t="shared" ref="BO84:BZ84" si="537">BO13</f>
        <v>38</v>
      </c>
      <c r="BP84" s="883">
        <f t="shared" si="537"/>
        <v>187</v>
      </c>
      <c r="BQ84" s="883">
        <f t="shared" si="537"/>
        <v>45</v>
      </c>
      <c r="BR84" s="883">
        <f t="shared" si="537"/>
        <v>451</v>
      </c>
      <c r="BS84" s="883">
        <f t="shared" si="537"/>
        <v>58</v>
      </c>
      <c r="BT84" s="883">
        <f t="shared" si="537"/>
        <v>43</v>
      </c>
      <c r="BU84" s="883">
        <f t="shared" si="537"/>
        <v>37</v>
      </c>
      <c r="BV84" s="883">
        <f t="shared" si="537"/>
        <v>147</v>
      </c>
      <c r="BW84" s="883">
        <f t="shared" si="537"/>
        <v>211</v>
      </c>
      <c r="BX84" s="883">
        <f t="shared" si="537"/>
        <v>7181</v>
      </c>
      <c r="BY84" s="883">
        <f t="shared" si="537"/>
        <v>301</v>
      </c>
      <c r="BZ84" s="873">
        <f t="shared" si="537"/>
        <v>6478</v>
      </c>
      <c r="CA84" s="879">
        <f t="shared" si="462"/>
        <v>15177</v>
      </c>
      <c r="CB84" s="883">
        <f t="shared" ref="CB84:CM84" si="538">CB13</f>
        <v>0</v>
      </c>
      <c r="CC84" s="883">
        <f t="shared" si="538"/>
        <v>13</v>
      </c>
      <c r="CD84" s="883">
        <f t="shared" si="538"/>
        <v>290</v>
      </c>
      <c r="CE84" s="883">
        <f t="shared" si="538"/>
        <v>287</v>
      </c>
      <c r="CF84" s="883">
        <f t="shared" si="538"/>
        <v>93</v>
      </c>
      <c r="CG84" s="883">
        <f t="shared" si="538"/>
        <v>11</v>
      </c>
      <c r="CH84" s="883">
        <f t="shared" si="538"/>
        <v>77</v>
      </c>
      <c r="CI84" s="883">
        <f t="shared" si="538"/>
        <v>163</v>
      </c>
      <c r="CJ84" s="883">
        <f t="shared" si="538"/>
        <v>5785</v>
      </c>
      <c r="CK84" s="883">
        <f t="shared" si="538"/>
        <v>228</v>
      </c>
      <c r="CL84" s="883">
        <f t="shared" si="538"/>
        <v>121</v>
      </c>
      <c r="CM84" s="873">
        <f t="shared" si="538"/>
        <v>18365</v>
      </c>
      <c r="CN84" s="879">
        <f t="shared" si="464"/>
        <v>25433</v>
      </c>
      <c r="CO84" s="883">
        <f t="shared" ref="CO84:CZ84" si="539">CO13</f>
        <v>0</v>
      </c>
      <c r="CP84" s="883">
        <f t="shared" si="539"/>
        <v>275</v>
      </c>
      <c r="CQ84" s="883">
        <f t="shared" si="539"/>
        <v>14</v>
      </c>
      <c r="CR84" s="883">
        <f t="shared" si="539"/>
        <v>400</v>
      </c>
      <c r="CS84" s="883">
        <f t="shared" si="539"/>
        <v>347</v>
      </c>
      <c r="CT84" s="883">
        <f t="shared" si="539"/>
        <v>8375</v>
      </c>
      <c r="CU84" s="883">
        <f t="shared" si="539"/>
        <v>1177</v>
      </c>
      <c r="CV84" s="883">
        <f t="shared" si="539"/>
        <v>372</v>
      </c>
      <c r="CW84" s="883">
        <f t="shared" si="539"/>
        <v>32</v>
      </c>
      <c r="CX84" s="883">
        <f t="shared" si="539"/>
        <v>35</v>
      </c>
      <c r="CY84" s="883">
        <f t="shared" si="539"/>
        <v>36</v>
      </c>
      <c r="CZ84" s="873">
        <f t="shared" si="539"/>
        <v>-85</v>
      </c>
      <c r="DA84" s="879">
        <f t="shared" si="466"/>
        <v>10978</v>
      </c>
      <c r="DB84" s="883">
        <f t="shared" ref="DB84:DM84" si="540">DB13</f>
        <v>20</v>
      </c>
      <c r="DC84" s="883">
        <f t="shared" si="540"/>
        <v>227</v>
      </c>
      <c r="DD84" s="883">
        <f t="shared" si="540"/>
        <v>439</v>
      </c>
      <c r="DE84" s="883">
        <f t="shared" si="540"/>
        <v>8</v>
      </c>
      <c r="DF84" s="883">
        <f t="shared" si="540"/>
        <v>28</v>
      </c>
      <c r="DG84" s="883">
        <f t="shared" si="540"/>
        <v>15959</v>
      </c>
      <c r="DH84" s="883">
        <f t="shared" si="540"/>
        <v>870</v>
      </c>
      <c r="DI84" s="883">
        <f t="shared" si="540"/>
        <v>11</v>
      </c>
      <c r="DJ84" s="883">
        <f t="shared" si="540"/>
        <v>104</v>
      </c>
      <c r="DK84" s="883">
        <f t="shared" si="540"/>
        <v>-66</v>
      </c>
      <c r="DL84" s="883">
        <f t="shared" si="540"/>
        <v>15</v>
      </c>
      <c r="DM84" s="873">
        <f t="shared" si="540"/>
        <v>88</v>
      </c>
      <c r="DN84" s="879">
        <f t="shared" si="468"/>
        <v>17703</v>
      </c>
      <c r="DO84" s="883">
        <f t="shared" ref="DO84:DQ84" si="541">DO13</f>
        <v>38</v>
      </c>
      <c r="DP84" s="883">
        <f t="shared" si="541"/>
        <v>174</v>
      </c>
      <c r="DQ84" s="883">
        <f t="shared" si="541"/>
        <v>38</v>
      </c>
      <c r="DR84" s="883">
        <f t="shared" ref="DR84:DZ84" si="542">DR13</f>
        <v>19</v>
      </c>
      <c r="DS84" s="883">
        <f t="shared" si="542"/>
        <v>199</v>
      </c>
      <c r="DT84" s="883">
        <f t="shared" si="542"/>
        <v>304</v>
      </c>
      <c r="DU84" s="883">
        <f t="shared" si="542"/>
        <v>229</v>
      </c>
      <c r="DV84" s="883">
        <f t="shared" si="542"/>
        <v>120</v>
      </c>
      <c r="DW84" s="883">
        <f t="shared" si="542"/>
        <v>0</v>
      </c>
      <c r="DX84" s="883">
        <f t="shared" si="542"/>
        <v>59</v>
      </c>
      <c r="DY84" s="883">
        <f t="shared" si="542"/>
        <v>0</v>
      </c>
      <c r="DZ84" s="883">
        <f t="shared" si="542"/>
        <v>119</v>
      </c>
      <c r="EA84" s="879">
        <f t="shared" si="471"/>
        <v>1299</v>
      </c>
      <c r="EB84" s="883">
        <f t="shared" ref="EB84:ED84" si="543">EB13</f>
        <v>0</v>
      </c>
      <c r="EC84" s="883">
        <f t="shared" si="543"/>
        <v>254</v>
      </c>
      <c r="ED84" s="883">
        <f t="shared" si="543"/>
        <v>0</v>
      </c>
      <c r="EE84" s="883">
        <f t="shared" ref="EE84:EH84" si="544">EE13</f>
        <v>175</v>
      </c>
      <c r="EF84" s="883">
        <f t="shared" si="544"/>
        <v>0</v>
      </c>
      <c r="EG84" s="883">
        <f t="shared" si="544"/>
        <v>0</v>
      </c>
      <c r="EH84" s="883">
        <f t="shared" si="544"/>
        <v>140</v>
      </c>
      <c r="EI84" s="883">
        <f t="shared" ref="EI84:EM84" si="545">EI13</f>
        <v>22</v>
      </c>
      <c r="EJ84" s="883">
        <f t="shared" si="545"/>
        <v>56</v>
      </c>
      <c r="EK84" s="883">
        <f t="shared" si="545"/>
        <v>6</v>
      </c>
      <c r="EL84" s="883">
        <f t="shared" si="545"/>
        <v>0</v>
      </c>
      <c r="EM84" s="883">
        <f t="shared" si="545"/>
        <v>34</v>
      </c>
      <c r="EN84" s="879">
        <f t="shared" si="475"/>
        <v>687</v>
      </c>
      <c r="EO84" s="883">
        <f t="shared" si="528"/>
        <v>0</v>
      </c>
      <c r="EP84" s="883">
        <f t="shared" si="528"/>
        <v>0</v>
      </c>
      <c r="EQ84" s="883">
        <f t="shared" si="528"/>
        <v>6</v>
      </c>
      <c r="ER84" s="883">
        <f t="shared" si="528"/>
        <v>132</v>
      </c>
      <c r="ES84" s="883">
        <f t="shared" si="529"/>
        <v>0</v>
      </c>
      <c r="ET84" s="883">
        <f t="shared" ref="ET84" si="546">ET13</f>
        <v>82</v>
      </c>
      <c r="EU84" s="883">
        <f t="shared" si="529"/>
        <v>1</v>
      </c>
      <c r="EV84" s="973">
        <f t="shared" ref="EV84" si="547">EV13</f>
        <v>0</v>
      </c>
      <c r="EW84" s="883"/>
      <c r="EX84" s="883"/>
      <c r="EY84" s="883"/>
      <c r="EZ84" s="873"/>
      <c r="FA84" s="879">
        <f t="shared" si="479"/>
        <v>221</v>
      </c>
      <c r="FC84" s="843">
        <f t="shared" si="480"/>
        <v>-100</v>
      </c>
      <c r="FD84" s="844">
        <f t="shared" si="454"/>
        <v>-62.605752961082906</v>
      </c>
      <c r="FE84" s="845">
        <f t="shared" si="481"/>
        <v>591</v>
      </c>
      <c r="FF84" s="846">
        <f t="shared" si="455"/>
        <v>221</v>
      </c>
      <c r="FI84" s="127"/>
    </row>
    <row r="85" spans="1:172" ht="15" customHeight="1" x14ac:dyDescent="0.25">
      <c r="A85" s="403" t="s">
        <v>275</v>
      </c>
      <c r="B85" s="883">
        <f t="shared" ref="B85:M85" si="548">B11</f>
        <v>3014</v>
      </c>
      <c r="C85" s="883">
        <f t="shared" si="548"/>
        <v>5797</v>
      </c>
      <c r="D85" s="883">
        <f t="shared" si="548"/>
        <v>8511</v>
      </c>
      <c r="E85" s="883">
        <f t="shared" si="548"/>
        <v>9934</v>
      </c>
      <c r="F85" s="883">
        <f t="shared" si="548"/>
        <v>10116</v>
      </c>
      <c r="G85" s="883">
        <f t="shared" si="548"/>
        <v>10241</v>
      </c>
      <c r="H85" s="883">
        <f t="shared" si="548"/>
        <v>12190</v>
      </c>
      <c r="I85" s="883">
        <f t="shared" si="548"/>
        <v>10461</v>
      </c>
      <c r="J85" s="883">
        <f t="shared" si="548"/>
        <v>9937</v>
      </c>
      <c r="K85" s="883">
        <f t="shared" si="548"/>
        <v>9012</v>
      </c>
      <c r="L85" s="883">
        <f t="shared" si="548"/>
        <v>12040</v>
      </c>
      <c r="M85" s="873">
        <f t="shared" si="548"/>
        <v>21212</v>
      </c>
      <c r="N85" s="879">
        <f t="shared" si="435"/>
        <v>122465</v>
      </c>
      <c r="O85" s="883">
        <f t="shared" ref="O85:Z85" si="549">O11</f>
        <v>3545</v>
      </c>
      <c r="P85" s="883">
        <f t="shared" si="549"/>
        <v>7877</v>
      </c>
      <c r="Q85" s="883">
        <f t="shared" si="549"/>
        <v>8988</v>
      </c>
      <c r="R85" s="883">
        <f t="shared" si="549"/>
        <v>8577</v>
      </c>
      <c r="S85" s="883">
        <f t="shared" si="549"/>
        <v>12187</v>
      </c>
      <c r="T85" s="883">
        <f t="shared" si="549"/>
        <v>10869</v>
      </c>
      <c r="U85" s="883">
        <f t="shared" si="549"/>
        <v>14723</v>
      </c>
      <c r="V85" s="883">
        <f t="shared" si="549"/>
        <v>5022</v>
      </c>
      <c r="W85" s="883">
        <f t="shared" si="549"/>
        <v>10125</v>
      </c>
      <c r="X85" s="883">
        <f t="shared" si="549"/>
        <v>8816</v>
      </c>
      <c r="Y85" s="883">
        <f t="shared" si="549"/>
        <v>9328</v>
      </c>
      <c r="Z85" s="873">
        <f t="shared" si="549"/>
        <v>26580</v>
      </c>
      <c r="AA85" s="879">
        <f t="shared" si="437"/>
        <v>126637</v>
      </c>
      <c r="AB85" s="883">
        <f t="shared" ref="AB85:AM85" si="550">AB11</f>
        <v>3521</v>
      </c>
      <c r="AC85" s="883">
        <f t="shared" si="550"/>
        <v>7909</v>
      </c>
      <c r="AD85" s="883">
        <f t="shared" si="550"/>
        <v>11972</v>
      </c>
      <c r="AE85" s="883">
        <f t="shared" si="550"/>
        <v>9327</v>
      </c>
      <c r="AF85" s="883">
        <f t="shared" si="550"/>
        <v>10292</v>
      </c>
      <c r="AG85" s="883">
        <f t="shared" si="550"/>
        <v>9261</v>
      </c>
      <c r="AH85" s="883">
        <f t="shared" si="550"/>
        <v>11658</v>
      </c>
      <c r="AI85" s="883">
        <f t="shared" si="550"/>
        <v>14916</v>
      </c>
      <c r="AJ85" s="883">
        <f t="shared" si="550"/>
        <v>11797</v>
      </c>
      <c r="AK85" s="883">
        <f t="shared" si="550"/>
        <v>9367</v>
      </c>
      <c r="AL85" s="883">
        <f t="shared" si="550"/>
        <v>15724</v>
      </c>
      <c r="AM85" s="873">
        <f t="shared" si="550"/>
        <v>27419</v>
      </c>
      <c r="AN85" s="879">
        <f t="shared" si="439"/>
        <v>143163</v>
      </c>
      <c r="AO85" s="883">
        <f t="shared" ref="AO85:AZ85" si="551">AO11</f>
        <v>4522</v>
      </c>
      <c r="AP85" s="883">
        <f t="shared" si="551"/>
        <v>8509</v>
      </c>
      <c r="AQ85" s="883">
        <f t="shared" si="551"/>
        <v>10358</v>
      </c>
      <c r="AR85" s="883">
        <f t="shared" si="551"/>
        <v>10802</v>
      </c>
      <c r="AS85" s="883">
        <f t="shared" si="551"/>
        <v>9572</v>
      </c>
      <c r="AT85" s="883">
        <f t="shared" si="551"/>
        <v>11373</v>
      </c>
      <c r="AU85" s="883">
        <f t="shared" si="551"/>
        <v>12999</v>
      </c>
      <c r="AV85" s="883">
        <f t="shared" si="551"/>
        <v>14194</v>
      </c>
      <c r="AW85" s="883">
        <f t="shared" si="551"/>
        <v>12375</v>
      </c>
      <c r="AX85" s="883">
        <f t="shared" si="551"/>
        <v>13223</v>
      </c>
      <c r="AY85" s="883">
        <f t="shared" si="551"/>
        <v>13005</v>
      </c>
      <c r="AZ85" s="873">
        <f t="shared" si="551"/>
        <v>24406</v>
      </c>
      <c r="BA85" s="879">
        <f t="shared" si="441"/>
        <v>145338</v>
      </c>
      <c r="BB85" s="883">
        <f t="shared" ref="BB85:BM85" si="552">BB11</f>
        <v>3279</v>
      </c>
      <c r="BC85" s="883">
        <f t="shared" si="552"/>
        <v>7525</v>
      </c>
      <c r="BD85" s="883">
        <f t="shared" si="552"/>
        <v>9952</v>
      </c>
      <c r="BE85" s="883">
        <f t="shared" si="552"/>
        <v>12312</v>
      </c>
      <c r="BF85" s="883">
        <f t="shared" si="552"/>
        <v>12183</v>
      </c>
      <c r="BG85" s="883">
        <f t="shared" si="552"/>
        <v>11521</v>
      </c>
      <c r="BH85" s="883">
        <f t="shared" si="552"/>
        <v>11895</v>
      </c>
      <c r="BI85" s="883">
        <f t="shared" si="552"/>
        <v>15581</v>
      </c>
      <c r="BJ85" s="883">
        <f t="shared" si="552"/>
        <v>10265</v>
      </c>
      <c r="BK85" s="883">
        <f t="shared" si="552"/>
        <v>14582</v>
      </c>
      <c r="BL85" s="883">
        <f t="shared" si="552"/>
        <v>15279</v>
      </c>
      <c r="BM85" s="873">
        <f t="shared" si="552"/>
        <v>29650</v>
      </c>
      <c r="BN85" s="879">
        <f t="shared" si="460"/>
        <v>154024</v>
      </c>
      <c r="BO85" s="883">
        <f t="shared" ref="BO85:BZ85" si="553">BO11</f>
        <v>4097</v>
      </c>
      <c r="BP85" s="883">
        <f t="shared" si="553"/>
        <v>7529</v>
      </c>
      <c r="BQ85" s="883">
        <f t="shared" si="553"/>
        <v>12359</v>
      </c>
      <c r="BR85" s="883">
        <f t="shared" si="553"/>
        <v>12508</v>
      </c>
      <c r="BS85" s="883">
        <f t="shared" si="553"/>
        <v>12879</v>
      </c>
      <c r="BT85" s="883">
        <f t="shared" si="553"/>
        <v>14436</v>
      </c>
      <c r="BU85" s="883">
        <f t="shared" si="553"/>
        <v>13938</v>
      </c>
      <c r="BV85" s="883">
        <f t="shared" si="553"/>
        <v>20098</v>
      </c>
      <c r="BW85" s="883">
        <f t="shared" si="553"/>
        <v>13499</v>
      </c>
      <c r="BX85" s="883">
        <f t="shared" si="553"/>
        <v>18476</v>
      </c>
      <c r="BY85" s="883">
        <f t="shared" si="553"/>
        <v>24668</v>
      </c>
      <c r="BZ85" s="873">
        <f t="shared" si="553"/>
        <v>31526</v>
      </c>
      <c r="CA85" s="879">
        <f t="shared" si="462"/>
        <v>186013</v>
      </c>
      <c r="CB85" s="883">
        <f t="shared" ref="CB85:CM85" si="554">CB11</f>
        <v>6757</v>
      </c>
      <c r="CC85" s="883">
        <f t="shared" si="554"/>
        <v>11130</v>
      </c>
      <c r="CD85" s="883">
        <f t="shared" si="554"/>
        <v>18174</v>
      </c>
      <c r="CE85" s="883">
        <f t="shared" si="554"/>
        <v>16504</v>
      </c>
      <c r="CF85" s="883">
        <f t="shared" si="554"/>
        <v>17099</v>
      </c>
      <c r="CG85" s="883">
        <f t="shared" si="554"/>
        <v>16749</v>
      </c>
      <c r="CH85" s="883">
        <f t="shared" si="554"/>
        <v>18106</v>
      </c>
      <c r="CI85" s="883">
        <f t="shared" si="554"/>
        <v>18025</v>
      </c>
      <c r="CJ85" s="883">
        <f t="shared" si="554"/>
        <v>18934</v>
      </c>
      <c r="CK85" s="883">
        <f t="shared" si="554"/>
        <v>20858</v>
      </c>
      <c r="CL85" s="883">
        <f t="shared" si="554"/>
        <v>21481</v>
      </c>
      <c r="CM85" s="873">
        <f t="shared" si="554"/>
        <v>31229</v>
      </c>
      <c r="CN85" s="879">
        <f t="shared" si="464"/>
        <v>215046</v>
      </c>
      <c r="CO85" s="883">
        <f t="shared" ref="CO85:CZ85" si="555">CO11</f>
        <v>8598</v>
      </c>
      <c r="CP85" s="883">
        <f t="shared" si="555"/>
        <v>12742</v>
      </c>
      <c r="CQ85" s="883">
        <f t="shared" si="555"/>
        <v>23660</v>
      </c>
      <c r="CR85" s="883">
        <f t="shared" si="555"/>
        <v>18294</v>
      </c>
      <c r="CS85" s="883">
        <f t="shared" si="555"/>
        <v>17740</v>
      </c>
      <c r="CT85" s="883">
        <f t="shared" si="555"/>
        <v>17921</v>
      </c>
      <c r="CU85" s="883">
        <f t="shared" si="555"/>
        <v>25383</v>
      </c>
      <c r="CV85" s="883">
        <f t="shared" si="555"/>
        <v>21633</v>
      </c>
      <c r="CW85" s="883">
        <f t="shared" si="555"/>
        <v>19395</v>
      </c>
      <c r="CX85" s="883">
        <f t="shared" si="555"/>
        <v>22245</v>
      </c>
      <c r="CY85" s="883">
        <f t="shared" si="555"/>
        <v>16833</v>
      </c>
      <c r="CZ85" s="873">
        <f t="shared" si="555"/>
        <v>43485</v>
      </c>
      <c r="DA85" s="879">
        <f t="shared" si="466"/>
        <v>247929</v>
      </c>
      <c r="DB85" s="883">
        <f t="shared" ref="DB85:DM85" si="556">DB11</f>
        <v>8734</v>
      </c>
      <c r="DC85" s="883">
        <f t="shared" si="556"/>
        <v>11614</v>
      </c>
      <c r="DD85" s="883">
        <f t="shared" si="556"/>
        <v>20028</v>
      </c>
      <c r="DE85" s="883">
        <f t="shared" si="556"/>
        <v>14640</v>
      </c>
      <c r="DF85" s="883">
        <f t="shared" si="556"/>
        <v>20640</v>
      </c>
      <c r="DG85" s="883">
        <f t="shared" si="556"/>
        <v>16330</v>
      </c>
      <c r="DH85" s="883">
        <f t="shared" si="556"/>
        <v>26560</v>
      </c>
      <c r="DI85" s="883">
        <f t="shared" si="556"/>
        <v>19645</v>
      </c>
      <c r="DJ85" s="883">
        <f t="shared" si="556"/>
        <v>20939</v>
      </c>
      <c r="DK85" s="883">
        <f t="shared" si="556"/>
        <v>22695</v>
      </c>
      <c r="DL85" s="883">
        <f t="shared" si="556"/>
        <v>25329</v>
      </c>
      <c r="DM85" s="873">
        <f t="shared" si="556"/>
        <v>47887</v>
      </c>
      <c r="DN85" s="879">
        <f t="shared" si="468"/>
        <v>255041</v>
      </c>
      <c r="DO85" s="883">
        <f t="shared" ref="DO85:DQ85" si="557">DO11</f>
        <v>1869</v>
      </c>
      <c r="DP85" s="883">
        <f t="shared" si="557"/>
        <v>8061</v>
      </c>
      <c r="DQ85" s="883">
        <f t="shared" si="557"/>
        <v>11630</v>
      </c>
      <c r="DR85" s="883">
        <f t="shared" ref="DR85:DZ85" si="558">DR11</f>
        <v>16156</v>
      </c>
      <c r="DS85" s="883">
        <f t="shared" si="558"/>
        <v>17113</v>
      </c>
      <c r="DT85" s="883">
        <f t="shared" si="558"/>
        <v>17833</v>
      </c>
      <c r="DU85" s="883">
        <f t="shared" si="558"/>
        <v>10711</v>
      </c>
      <c r="DV85" s="883">
        <f t="shared" si="558"/>
        <v>16396</v>
      </c>
      <c r="DW85" s="883">
        <f t="shared" si="558"/>
        <v>12308</v>
      </c>
      <c r="DX85" s="883">
        <f t="shared" si="558"/>
        <v>21503</v>
      </c>
      <c r="DY85" s="883">
        <f t="shared" si="558"/>
        <v>16397</v>
      </c>
      <c r="DZ85" s="883">
        <f t="shared" si="558"/>
        <v>30763</v>
      </c>
      <c r="EA85" s="879">
        <f t="shared" si="471"/>
        <v>180740</v>
      </c>
      <c r="EB85" s="883">
        <f>EB11</f>
        <v>2625</v>
      </c>
      <c r="EC85" s="883">
        <f>EC11</f>
        <v>7791</v>
      </c>
      <c r="ED85" s="883">
        <f>ED11</f>
        <v>13885</v>
      </c>
      <c r="EE85" s="883">
        <f>EE11</f>
        <v>13546</v>
      </c>
      <c r="EF85" s="883">
        <f t="shared" ref="EF85:EM85" si="559">EF11</f>
        <v>15568</v>
      </c>
      <c r="EG85" s="883">
        <f t="shared" si="559"/>
        <v>12809</v>
      </c>
      <c r="EH85" s="883">
        <f t="shared" si="559"/>
        <v>13385</v>
      </c>
      <c r="EI85" s="883">
        <f t="shared" si="559"/>
        <v>20213</v>
      </c>
      <c r="EJ85" s="883">
        <f t="shared" si="559"/>
        <v>14291</v>
      </c>
      <c r="EK85" s="883">
        <f t="shared" si="559"/>
        <v>15711</v>
      </c>
      <c r="EL85" s="883">
        <f t="shared" si="559"/>
        <v>13554</v>
      </c>
      <c r="EM85" s="883">
        <f t="shared" si="559"/>
        <v>32107</v>
      </c>
      <c r="EN85" s="879">
        <f t="shared" si="475"/>
        <v>175485</v>
      </c>
      <c r="EO85" s="883">
        <f>EO11</f>
        <v>2049</v>
      </c>
      <c r="EP85" s="883">
        <f t="shared" ref="EP85:ER85" si="560">EP11</f>
        <v>11300</v>
      </c>
      <c r="EQ85" s="883">
        <f t="shared" si="560"/>
        <v>17985</v>
      </c>
      <c r="ER85" s="883">
        <f t="shared" si="560"/>
        <v>19346</v>
      </c>
      <c r="ES85" s="883">
        <f t="shared" ref="ES85:EU85" si="561">ES11</f>
        <v>19675</v>
      </c>
      <c r="ET85" s="883">
        <f t="shared" ref="ET85" si="562">ET11</f>
        <v>17523</v>
      </c>
      <c r="EU85" s="883">
        <f t="shared" si="561"/>
        <v>14463</v>
      </c>
      <c r="EV85" s="973">
        <f t="shared" ref="EV85" si="563">EV11</f>
        <v>16874</v>
      </c>
      <c r="EW85" s="883"/>
      <c r="EX85" s="883"/>
      <c r="EY85" s="883"/>
      <c r="EZ85" s="873"/>
      <c r="FA85" s="879">
        <f t="shared" si="479"/>
        <v>119215</v>
      </c>
      <c r="FC85" s="843">
        <f t="shared" si="480"/>
        <v>-16.519071884430815</v>
      </c>
      <c r="FD85" s="844">
        <f t="shared" si="454"/>
        <v>19.427581094347946</v>
      </c>
      <c r="FE85" s="845">
        <f t="shared" si="481"/>
        <v>99822</v>
      </c>
      <c r="FF85" s="846">
        <f>SUMIFS($B85:$FA85,$B$5:$FA$5,"&gt;="&amp;DATE(YEAR($FC$5),1,1),$B$5:$FA$5,"&lt;="&amp;$FC$5)</f>
        <v>119215</v>
      </c>
      <c r="FI85" s="127"/>
    </row>
    <row r="86" spans="1:172" s="110" customFormat="1" ht="15" customHeight="1" x14ac:dyDescent="0.25">
      <c r="A86" s="440" t="s">
        <v>287</v>
      </c>
      <c r="B86" s="885">
        <f t="shared" ref="B86:H86" si="564">SUM(B87:B91)</f>
        <v>0</v>
      </c>
      <c r="C86" s="885">
        <f t="shared" si="564"/>
        <v>0</v>
      </c>
      <c r="D86" s="885">
        <f t="shared" si="564"/>
        <v>0</v>
      </c>
      <c r="E86" s="885">
        <f t="shared" si="564"/>
        <v>0</v>
      </c>
      <c r="F86" s="885">
        <f t="shared" si="564"/>
        <v>0</v>
      </c>
      <c r="G86" s="885">
        <f t="shared" si="564"/>
        <v>0</v>
      </c>
      <c r="H86" s="885">
        <f t="shared" si="564"/>
        <v>0</v>
      </c>
      <c r="I86" s="885">
        <f>SUM(I87:I91)</f>
        <v>0</v>
      </c>
      <c r="J86" s="885">
        <f>SUM(J87:J91)</f>
        <v>0</v>
      </c>
      <c r="K86" s="885">
        <f>SUM(K87:K91)</f>
        <v>0</v>
      </c>
      <c r="L86" s="885">
        <f>SUM(L87:L91)</f>
        <v>0</v>
      </c>
      <c r="M86" s="877">
        <f>SUM(M87:M91)</f>
        <v>0</v>
      </c>
      <c r="N86" s="878">
        <f t="shared" si="435"/>
        <v>0</v>
      </c>
      <c r="O86" s="885">
        <f t="shared" ref="O86:AM86" si="565">SUM(O87:O91)</f>
        <v>0</v>
      </c>
      <c r="P86" s="885">
        <f t="shared" si="565"/>
        <v>0</v>
      </c>
      <c r="Q86" s="885">
        <f t="shared" si="565"/>
        <v>0</v>
      </c>
      <c r="R86" s="885">
        <f t="shared" si="565"/>
        <v>0</v>
      </c>
      <c r="S86" s="885">
        <f t="shared" si="565"/>
        <v>0</v>
      </c>
      <c r="T86" s="885">
        <f t="shared" si="565"/>
        <v>0</v>
      </c>
      <c r="U86" s="885">
        <f t="shared" si="565"/>
        <v>0</v>
      </c>
      <c r="V86" s="885">
        <f t="shared" si="565"/>
        <v>0</v>
      </c>
      <c r="W86" s="885">
        <f t="shared" si="565"/>
        <v>0</v>
      </c>
      <c r="X86" s="885">
        <f t="shared" si="565"/>
        <v>0</v>
      </c>
      <c r="Y86" s="885">
        <f t="shared" si="565"/>
        <v>0</v>
      </c>
      <c r="Z86" s="877">
        <f t="shared" si="565"/>
        <v>0</v>
      </c>
      <c r="AA86" s="878">
        <f t="shared" si="437"/>
        <v>0</v>
      </c>
      <c r="AB86" s="885">
        <f t="shared" si="565"/>
        <v>22781</v>
      </c>
      <c r="AC86" s="885">
        <f t="shared" si="565"/>
        <v>32674</v>
      </c>
      <c r="AD86" s="885">
        <f t="shared" si="565"/>
        <v>49370</v>
      </c>
      <c r="AE86" s="885">
        <f t="shared" si="565"/>
        <v>37595</v>
      </c>
      <c r="AF86" s="885">
        <f t="shared" si="565"/>
        <v>38624</v>
      </c>
      <c r="AG86" s="885">
        <f t="shared" si="565"/>
        <v>47566</v>
      </c>
      <c r="AH86" s="885">
        <f t="shared" si="565"/>
        <v>36895</v>
      </c>
      <c r="AI86" s="885">
        <f t="shared" si="565"/>
        <v>35456</v>
      </c>
      <c r="AJ86" s="885">
        <f t="shared" si="565"/>
        <v>30673</v>
      </c>
      <c r="AK86" s="885">
        <f t="shared" si="565"/>
        <v>40767</v>
      </c>
      <c r="AL86" s="885">
        <f t="shared" si="565"/>
        <v>48057</v>
      </c>
      <c r="AM86" s="877">
        <f t="shared" si="565"/>
        <v>63332</v>
      </c>
      <c r="AN86" s="878">
        <f t="shared" si="439"/>
        <v>483790</v>
      </c>
      <c r="AO86" s="885">
        <f t="shared" ref="AO86:AZ86" si="566">SUM(AO87:AO91)</f>
        <v>38952</v>
      </c>
      <c r="AP86" s="885">
        <f t="shared" si="566"/>
        <v>43683</v>
      </c>
      <c r="AQ86" s="885">
        <f t="shared" si="566"/>
        <v>33153</v>
      </c>
      <c r="AR86" s="885">
        <f t="shared" si="566"/>
        <v>43178</v>
      </c>
      <c r="AS86" s="885">
        <f t="shared" si="566"/>
        <v>53534</v>
      </c>
      <c r="AT86" s="885">
        <f t="shared" si="566"/>
        <v>41352</v>
      </c>
      <c r="AU86" s="885">
        <f t="shared" si="566"/>
        <v>51791</v>
      </c>
      <c r="AV86" s="885">
        <f t="shared" si="566"/>
        <v>43265</v>
      </c>
      <c r="AW86" s="885">
        <f t="shared" si="566"/>
        <v>43272</v>
      </c>
      <c r="AX86" s="885">
        <f t="shared" si="566"/>
        <v>46212</v>
      </c>
      <c r="AY86" s="885">
        <f t="shared" si="566"/>
        <v>39316</v>
      </c>
      <c r="AZ86" s="877">
        <f t="shared" si="566"/>
        <v>60339</v>
      </c>
      <c r="BA86" s="878">
        <f t="shared" si="441"/>
        <v>538047</v>
      </c>
      <c r="BB86" s="885">
        <f t="shared" ref="BB86:BM86" si="567">SUM(BB87:BB91)</f>
        <v>43992</v>
      </c>
      <c r="BC86" s="885">
        <f t="shared" si="567"/>
        <v>42656</v>
      </c>
      <c r="BD86" s="885">
        <f t="shared" si="567"/>
        <v>38411</v>
      </c>
      <c r="BE86" s="885">
        <f t="shared" si="567"/>
        <v>44896</v>
      </c>
      <c r="BF86" s="885">
        <f t="shared" si="567"/>
        <v>48137</v>
      </c>
      <c r="BG86" s="885">
        <f t="shared" si="567"/>
        <v>42257</v>
      </c>
      <c r="BH86" s="885">
        <f t="shared" si="567"/>
        <v>60581</v>
      </c>
      <c r="BI86" s="885">
        <f t="shared" si="567"/>
        <v>39085</v>
      </c>
      <c r="BJ86" s="885">
        <f t="shared" si="567"/>
        <v>41680</v>
      </c>
      <c r="BK86" s="885">
        <f t="shared" si="567"/>
        <v>44814</v>
      </c>
      <c r="BL86" s="885">
        <f t="shared" si="567"/>
        <v>52952</v>
      </c>
      <c r="BM86" s="877">
        <f t="shared" si="567"/>
        <v>56145</v>
      </c>
      <c r="BN86" s="878">
        <f t="shared" si="460"/>
        <v>555606</v>
      </c>
      <c r="BO86" s="885">
        <f t="shared" ref="BO86:BZ86" si="568">SUM(BO87:BO91)</f>
        <v>35404</v>
      </c>
      <c r="BP86" s="885">
        <f t="shared" si="568"/>
        <v>49499</v>
      </c>
      <c r="BQ86" s="885">
        <f t="shared" si="568"/>
        <v>56655</v>
      </c>
      <c r="BR86" s="885">
        <f t="shared" si="568"/>
        <v>73506</v>
      </c>
      <c r="BS86" s="885">
        <f t="shared" si="568"/>
        <v>68625</v>
      </c>
      <c r="BT86" s="885">
        <f t="shared" si="568"/>
        <v>32172</v>
      </c>
      <c r="BU86" s="885">
        <f t="shared" si="568"/>
        <v>45996</v>
      </c>
      <c r="BV86" s="885">
        <f t="shared" si="568"/>
        <v>71689</v>
      </c>
      <c r="BW86" s="885">
        <f t="shared" si="568"/>
        <v>47507</v>
      </c>
      <c r="BX86" s="885">
        <f t="shared" si="568"/>
        <v>106890</v>
      </c>
      <c r="BY86" s="885">
        <f t="shared" si="568"/>
        <v>76397</v>
      </c>
      <c r="BZ86" s="877">
        <f t="shared" si="568"/>
        <v>93145</v>
      </c>
      <c r="CA86" s="878">
        <f t="shared" si="462"/>
        <v>757485</v>
      </c>
      <c r="CB86" s="885">
        <f>SUM(CB87:CB91)</f>
        <v>28858</v>
      </c>
      <c r="CC86" s="885">
        <f>SUM(CC87:CC91)</f>
        <v>48278</v>
      </c>
      <c r="CD86" s="885">
        <f>SUM(CD87:CD91)</f>
        <v>38905</v>
      </c>
      <c r="CE86" s="885">
        <f t="shared" ref="CE86:CM86" si="569">SUM(CE87:CE91)</f>
        <v>50840</v>
      </c>
      <c r="CF86" s="885">
        <f t="shared" si="569"/>
        <v>36640</v>
      </c>
      <c r="CG86" s="885">
        <f t="shared" si="569"/>
        <v>39947</v>
      </c>
      <c r="CH86" s="885">
        <f t="shared" si="569"/>
        <v>46102</v>
      </c>
      <c r="CI86" s="885">
        <f t="shared" si="569"/>
        <v>42914</v>
      </c>
      <c r="CJ86" s="885">
        <f t="shared" si="569"/>
        <v>65979</v>
      </c>
      <c r="CK86" s="885">
        <f t="shared" si="569"/>
        <v>71361</v>
      </c>
      <c r="CL86" s="885">
        <f t="shared" si="569"/>
        <v>62948</v>
      </c>
      <c r="CM86" s="877">
        <f t="shared" si="569"/>
        <v>93688</v>
      </c>
      <c r="CN86" s="878">
        <f t="shared" si="464"/>
        <v>626460</v>
      </c>
      <c r="CO86" s="885">
        <f t="shared" ref="CO86:CZ86" si="570">SUM(CO87:CO91)</f>
        <v>33717</v>
      </c>
      <c r="CP86" s="885">
        <f t="shared" si="570"/>
        <v>41616</v>
      </c>
      <c r="CQ86" s="885">
        <f t="shared" si="570"/>
        <v>56894</v>
      </c>
      <c r="CR86" s="885">
        <f t="shared" si="570"/>
        <v>49741</v>
      </c>
      <c r="CS86" s="885">
        <f t="shared" si="570"/>
        <v>37822</v>
      </c>
      <c r="CT86" s="885">
        <f t="shared" si="570"/>
        <v>56140</v>
      </c>
      <c r="CU86" s="885">
        <f t="shared" si="570"/>
        <v>48188</v>
      </c>
      <c r="CV86" s="885">
        <f t="shared" si="570"/>
        <v>55193</v>
      </c>
      <c r="CW86" s="885">
        <f t="shared" si="570"/>
        <v>45488</v>
      </c>
      <c r="CX86" s="885">
        <f t="shared" si="570"/>
        <v>67362</v>
      </c>
      <c r="CY86" s="885">
        <f t="shared" si="570"/>
        <v>56786</v>
      </c>
      <c r="CZ86" s="877">
        <f t="shared" si="570"/>
        <v>73154</v>
      </c>
      <c r="DA86" s="878">
        <f t="shared" si="466"/>
        <v>622101</v>
      </c>
      <c r="DB86" s="885">
        <f t="shared" ref="DB86:DL86" si="571">SUM(DB87:DB91)</f>
        <v>50157</v>
      </c>
      <c r="DC86" s="885">
        <f t="shared" si="571"/>
        <v>54528</v>
      </c>
      <c r="DD86" s="885">
        <f t="shared" si="571"/>
        <v>46242</v>
      </c>
      <c r="DE86" s="885">
        <f t="shared" si="571"/>
        <v>52099</v>
      </c>
      <c r="DF86" s="885">
        <f t="shared" si="571"/>
        <v>47586</v>
      </c>
      <c r="DG86" s="885">
        <f t="shared" si="571"/>
        <v>54267</v>
      </c>
      <c r="DH86" s="885">
        <f t="shared" si="571"/>
        <v>48225</v>
      </c>
      <c r="DI86" s="885">
        <f t="shared" si="571"/>
        <v>50616</v>
      </c>
      <c r="DJ86" s="885">
        <f t="shared" si="571"/>
        <v>44154</v>
      </c>
      <c r="DK86" s="885">
        <f t="shared" si="571"/>
        <v>55376</v>
      </c>
      <c r="DL86" s="885">
        <f t="shared" si="571"/>
        <v>49031</v>
      </c>
      <c r="DM86" s="877">
        <f>SUM(DM87:DM91)</f>
        <v>74876</v>
      </c>
      <c r="DN86" s="878">
        <f t="shared" si="468"/>
        <v>627157</v>
      </c>
      <c r="DO86" s="885">
        <f t="shared" ref="DO86:DQ86" si="572">SUM(DO87:DO91)</f>
        <v>39461</v>
      </c>
      <c r="DP86" s="885">
        <f t="shared" si="572"/>
        <v>72750</v>
      </c>
      <c r="DQ86" s="885">
        <f t="shared" si="572"/>
        <v>44439</v>
      </c>
      <c r="DR86" s="885">
        <f t="shared" ref="DR86:DZ86" si="573">SUM(DR87:DR91)</f>
        <v>57791</v>
      </c>
      <c r="DS86" s="885">
        <f t="shared" si="573"/>
        <v>55219</v>
      </c>
      <c r="DT86" s="885">
        <f t="shared" si="573"/>
        <v>53834</v>
      </c>
      <c r="DU86" s="885">
        <f t="shared" si="573"/>
        <v>63814</v>
      </c>
      <c r="DV86" s="885">
        <f t="shared" si="573"/>
        <v>60671</v>
      </c>
      <c r="DW86" s="885">
        <f t="shared" si="573"/>
        <v>55371</v>
      </c>
      <c r="DX86" s="885">
        <f t="shared" si="573"/>
        <v>55034</v>
      </c>
      <c r="DY86" s="885">
        <f t="shared" si="573"/>
        <v>52670</v>
      </c>
      <c r="DZ86" s="885">
        <f t="shared" si="573"/>
        <v>79536</v>
      </c>
      <c r="EA86" s="878">
        <f t="shared" si="471"/>
        <v>690590</v>
      </c>
      <c r="EB86" s="885">
        <f t="shared" ref="EB86:ED86" si="574">SUM(EB87:EB91)</f>
        <v>57047</v>
      </c>
      <c r="EC86" s="885">
        <f t="shared" si="574"/>
        <v>52444</v>
      </c>
      <c r="ED86" s="885">
        <f t="shared" si="574"/>
        <v>54932</v>
      </c>
      <c r="EE86" s="885">
        <f t="shared" ref="EE86:EH86" si="575">SUM(EE87:EE91)</f>
        <v>55209</v>
      </c>
      <c r="EF86" s="885">
        <f t="shared" si="575"/>
        <v>64795</v>
      </c>
      <c r="EG86" s="885">
        <f t="shared" si="575"/>
        <v>67679</v>
      </c>
      <c r="EH86" s="885">
        <f t="shared" si="575"/>
        <v>70081</v>
      </c>
      <c r="EI86" s="885">
        <f t="shared" ref="EI86:EL86" si="576">SUM(EI87:EI91)</f>
        <v>57177</v>
      </c>
      <c r="EJ86" s="885">
        <f t="shared" si="576"/>
        <v>63314</v>
      </c>
      <c r="EK86" s="885">
        <f t="shared" si="576"/>
        <v>61515</v>
      </c>
      <c r="EL86" s="885">
        <f t="shared" si="576"/>
        <v>61924</v>
      </c>
      <c r="EM86" s="885">
        <f t="shared" ref="EM86" si="577">SUM(EM87:EM91)</f>
        <v>89245</v>
      </c>
      <c r="EN86" s="878">
        <f t="shared" si="475"/>
        <v>755362</v>
      </c>
      <c r="EO86" s="885">
        <f t="shared" ref="EO86:ET86" si="578">SUM(EO87:EO91)</f>
        <v>74597</v>
      </c>
      <c r="EP86" s="885">
        <f t="shared" si="578"/>
        <v>51438</v>
      </c>
      <c r="EQ86" s="885">
        <f t="shared" si="578"/>
        <v>65881</v>
      </c>
      <c r="ER86" s="885">
        <f t="shared" si="578"/>
        <v>59257</v>
      </c>
      <c r="ES86" s="885">
        <f t="shared" ref="ES86:EU86" si="579">SUM(ES87:ES91)</f>
        <v>68514</v>
      </c>
      <c r="ET86" s="885">
        <f t="shared" si="578"/>
        <v>67509</v>
      </c>
      <c r="EU86" s="885">
        <f t="shared" si="579"/>
        <v>76415</v>
      </c>
      <c r="EV86" s="972">
        <f t="shared" ref="EV86" si="580">SUM(EV87:EV91)</f>
        <v>62278</v>
      </c>
      <c r="EW86" s="885"/>
      <c r="EX86" s="885"/>
      <c r="EY86" s="885"/>
      <c r="EZ86" s="877"/>
      <c r="FA86" s="878">
        <f t="shared" si="479"/>
        <v>525889</v>
      </c>
      <c r="FC86" s="851">
        <f t="shared" si="480"/>
        <v>8.9214194518774992</v>
      </c>
      <c r="FD86" s="852">
        <f t="shared" si="454"/>
        <v>9.7055682112132011</v>
      </c>
      <c r="FE86" s="853">
        <f t="shared" si="481"/>
        <v>479364</v>
      </c>
      <c r="FF86" s="854">
        <f>SUMIFS($B86:$FA86,$B$5:$FA$5,"&gt;="&amp;DATE(YEAR($FC$5),1,1),$B$5:$FA$5,"&lt;="&amp;$FC$5)</f>
        <v>525889</v>
      </c>
      <c r="FG86"/>
      <c r="FI86" s="236"/>
      <c r="FJ86"/>
      <c r="FK86"/>
      <c r="FL86"/>
      <c r="FM86"/>
      <c r="FN86"/>
      <c r="FO86"/>
      <c r="FP86"/>
    </row>
    <row r="87" spans="1:172" ht="15" customHeight="1" x14ac:dyDescent="0.25">
      <c r="A87" s="403" t="s">
        <v>274</v>
      </c>
      <c r="B87" s="883"/>
      <c r="C87" s="883"/>
      <c r="D87" s="883"/>
      <c r="E87" s="883"/>
      <c r="F87" s="883"/>
      <c r="G87" s="883"/>
      <c r="H87" s="883"/>
      <c r="I87" s="883"/>
      <c r="J87" s="883"/>
      <c r="K87" s="883"/>
      <c r="L87" s="883"/>
      <c r="M87" s="873"/>
      <c r="N87" s="879">
        <f t="shared" si="435"/>
        <v>0</v>
      </c>
      <c r="O87" s="883"/>
      <c r="P87" s="883"/>
      <c r="Q87" s="883"/>
      <c r="R87" s="883"/>
      <c r="S87" s="883"/>
      <c r="T87" s="883"/>
      <c r="U87" s="883"/>
      <c r="V87" s="883"/>
      <c r="W87" s="883"/>
      <c r="X87" s="883"/>
      <c r="Y87" s="883"/>
      <c r="Z87" s="873"/>
      <c r="AA87" s="879">
        <f t="shared" si="437"/>
        <v>0</v>
      </c>
      <c r="AB87" s="883">
        <v>17800</v>
      </c>
      <c r="AC87" s="883">
        <v>17958</v>
      </c>
      <c r="AD87" s="883">
        <v>19422</v>
      </c>
      <c r="AE87" s="883">
        <v>17794</v>
      </c>
      <c r="AF87" s="883">
        <v>16884</v>
      </c>
      <c r="AG87" s="883">
        <v>19967</v>
      </c>
      <c r="AH87" s="883">
        <v>17943</v>
      </c>
      <c r="AI87" s="883">
        <v>14766</v>
      </c>
      <c r="AJ87" s="883">
        <v>15876</v>
      </c>
      <c r="AK87" s="883">
        <v>16623</v>
      </c>
      <c r="AL87" s="883">
        <v>17296</v>
      </c>
      <c r="AM87" s="873">
        <v>20762</v>
      </c>
      <c r="AN87" s="879">
        <f t="shared" si="439"/>
        <v>213091</v>
      </c>
      <c r="AO87" s="883">
        <v>19061</v>
      </c>
      <c r="AP87" s="883">
        <v>18694</v>
      </c>
      <c r="AQ87" s="883">
        <v>20171</v>
      </c>
      <c r="AR87" s="883">
        <v>18703</v>
      </c>
      <c r="AS87" s="883">
        <v>19072</v>
      </c>
      <c r="AT87" s="883">
        <v>18766</v>
      </c>
      <c r="AU87" s="883">
        <v>20066</v>
      </c>
      <c r="AV87" s="883">
        <v>18258</v>
      </c>
      <c r="AW87" s="883">
        <v>16863</v>
      </c>
      <c r="AX87" s="883">
        <v>16760</v>
      </c>
      <c r="AY87" s="883">
        <v>17538</v>
      </c>
      <c r="AZ87" s="873">
        <v>21365</v>
      </c>
      <c r="BA87" s="879">
        <f t="shared" si="441"/>
        <v>225317</v>
      </c>
      <c r="BB87" s="883">
        <f>'GASTOS G.N.'!BB9</f>
        <v>18202</v>
      </c>
      <c r="BC87" s="883">
        <f>'GASTOS G.N.'!BC9</f>
        <v>19438</v>
      </c>
      <c r="BD87" s="883">
        <f>'GASTOS G.N.'!BD9</f>
        <v>19334</v>
      </c>
      <c r="BE87" s="883">
        <f>'GASTOS G.N.'!BE9</f>
        <v>19198</v>
      </c>
      <c r="BF87" s="883">
        <f>'GASTOS G.N.'!BF9</f>
        <v>20590</v>
      </c>
      <c r="BG87" s="883">
        <f>'GASTOS G.N.'!BG9</f>
        <v>19861</v>
      </c>
      <c r="BH87" s="883">
        <f>'GASTOS G.N.'!BH9</f>
        <v>22983</v>
      </c>
      <c r="BI87" s="883">
        <f>'GASTOS G.N.'!BI9</f>
        <v>19342</v>
      </c>
      <c r="BJ87" s="883">
        <f>'GASTOS G.N.'!BJ9</f>
        <v>19485</v>
      </c>
      <c r="BK87" s="883">
        <f>'GASTOS G.N.'!BK9</f>
        <v>19757</v>
      </c>
      <c r="BL87" s="883">
        <f>'GASTOS G.N.'!BL9</f>
        <v>20767</v>
      </c>
      <c r="BM87" s="873">
        <f>'GASTOS G.N.'!BM9</f>
        <v>25226</v>
      </c>
      <c r="BN87" s="879">
        <f t="shared" si="460"/>
        <v>244183</v>
      </c>
      <c r="BO87" s="883">
        <f>'GASTOS G.N.'!BO9</f>
        <v>18986</v>
      </c>
      <c r="BP87" s="883">
        <f>'GASTOS G.N.'!BP9</f>
        <v>17618</v>
      </c>
      <c r="BQ87" s="883">
        <f>'GASTOS G.N.'!BQ9</f>
        <v>17520</v>
      </c>
      <c r="BR87" s="883">
        <f>'GASTOS G.N.'!BR9</f>
        <v>17570</v>
      </c>
      <c r="BS87" s="883">
        <f>'GASTOS G.N.'!BS9</f>
        <v>19072</v>
      </c>
      <c r="BT87" s="883">
        <f>'GASTOS G.N.'!BT9</f>
        <v>17578</v>
      </c>
      <c r="BU87" s="883">
        <f>'GASTOS G.N.'!BU9</f>
        <v>21595</v>
      </c>
      <c r="BV87" s="883">
        <f>'GASTOS G.N.'!BV9</f>
        <v>17451</v>
      </c>
      <c r="BW87" s="883">
        <f>'GASTOS G.N.'!BW9</f>
        <v>17539</v>
      </c>
      <c r="BX87" s="883">
        <f>'GASTOS G.N.'!BX9</f>
        <v>17819</v>
      </c>
      <c r="BY87" s="883">
        <f>'GASTOS G.N.'!BY9</f>
        <v>19425</v>
      </c>
      <c r="BZ87" s="873">
        <f>'GASTOS G.N.'!BZ9</f>
        <v>24681</v>
      </c>
      <c r="CA87" s="879">
        <f t="shared" si="462"/>
        <v>226854</v>
      </c>
      <c r="CB87" s="883">
        <f>'GASTOS G.N.'!CB9</f>
        <v>17086</v>
      </c>
      <c r="CC87" s="883">
        <f>'GASTOS G.N.'!CC9</f>
        <v>16728</v>
      </c>
      <c r="CD87" s="883">
        <f>'GASTOS G.N.'!CD9</f>
        <v>17144</v>
      </c>
      <c r="CE87" s="883">
        <f>'GASTOS G.N.'!CE9</f>
        <v>17501</v>
      </c>
      <c r="CF87" s="883">
        <f>'GASTOS G.N.'!CF9</f>
        <v>19101</v>
      </c>
      <c r="CG87" s="883">
        <f>'GASTOS G.N.'!CG9</f>
        <v>17082</v>
      </c>
      <c r="CH87" s="883">
        <f>'GASTOS G.N.'!CH9</f>
        <v>21332</v>
      </c>
      <c r="CI87" s="883">
        <f>'GASTOS G.N.'!CI9</f>
        <v>17578</v>
      </c>
      <c r="CJ87" s="883">
        <f>'GASTOS G.N.'!CJ9</f>
        <v>17951</v>
      </c>
      <c r="CK87" s="883">
        <f>'GASTOS G.N.'!CK9</f>
        <v>17504</v>
      </c>
      <c r="CL87" s="883">
        <f>'GASTOS G.N.'!CL9</f>
        <v>19179</v>
      </c>
      <c r="CM87" s="873">
        <f>'GASTOS G.N.'!CM9</f>
        <v>24100</v>
      </c>
      <c r="CN87" s="879">
        <f t="shared" si="464"/>
        <v>222286</v>
      </c>
      <c r="CO87" s="883">
        <f>'GASTOS G.N.'!CO9</f>
        <v>18338</v>
      </c>
      <c r="CP87" s="883">
        <f>'GASTOS G.N.'!CP9</f>
        <v>18730</v>
      </c>
      <c r="CQ87" s="883">
        <f>'GASTOS G.N.'!CQ9</f>
        <v>18691</v>
      </c>
      <c r="CR87" s="883">
        <f>'GASTOS G.N.'!CR9</f>
        <v>18533</v>
      </c>
      <c r="CS87" s="883">
        <f>'GASTOS G.N.'!CS9</f>
        <v>19587</v>
      </c>
      <c r="CT87" s="883">
        <f>'GASTOS G.N.'!CT9</f>
        <v>18688</v>
      </c>
      <c r="CU87" s="883">
        <f>'GASTOS G.N.'!CU9</f>
        <v>22475</v>
      </c>
      <c r="CV87" s="883">
        <f>'GASTOS G.N.'!CV9</f>
        <v>18297</v>
      </c>
      <c r="CW87" s="883">
        <f>'GASTOS G.N.'!CW9</f>
        <v>17808</v>
      </c>
      <c r="CX87" s="883">
        <f>'GASTOS G.N.'!CX9</f>
        <v>17705</v>
      </c>
      <c r="CY87" s="883">
        <f>'GASTOS G.N.'!CY9</f>
        <v>19661</v>
      </c>
      <c r="CZ87" s="873">
        <f>'GASTOS G.N.'!CZ9</f>
        <v>23963</v>
      </c>
      <c r="DA87" s="879">
        <f t="shared" si="466"/>
        <v>232476</v>
      </c>
      <c r="DB87" s="883">
        <f>'GASTOS G.N.'!DB9</f>
        <v>19006</v>
      </c>
      <c r="DC87" s="883">
        <f>'GASTOS G.N.'!DC9</f>
        <v>18162</v>
      </c>
      <c r="DD87" s="883">
        <f>'GASTOS G.N.'!DD9</f>
        <v>18104</v>
      </c>
      <c r="DE87" s="883">
        <f>'GASTOS G.N.'!DE9</f>
        <v>18289</v>
      </c>
      <c r="DF87" s="883">
        <f>'GASTOS G.N.'!DF9</f>
        <v>20310</v>
      </c>
      <c r="DG87" s="883">
        <v>18759</v>
      </c>
      <c r="DH87" s="883">
        <f>'GASTOS G.N.'!DH9</f>
        <v>23595</v>
      </c>
      <c r="DI87" s="883">
        <f>'GASTOS G.N.'!DI9</f>
        <v>18702</v>
      </c>
      <c r="DJ87" s="883">
        <f>'GASTOS G.N.'!DJ9</f>
        <v>18682</v>
      </c>
      <c r="DK87" s="883">
        <f>'GASTOS G.N.'!DK9</f>
        <v>19059</v>
      </c>
      <c r="DL87" s="883">
        <f>'GASTOS G.N.'!DL9</f>
        <v>21687</v>
      </c>
      <c r="DM87" s="873">
        <f>'GASTOS G.N.'!DM9</f>
        <v>28635</v>
      </c>
      <c r="DN87" s="879">
        <f t="shared" si="468"/>
        <v>242990</v>
      </c>
      <c r="DO87" s="883">
        <f>'[1]GASTOS G.N.'!DO9</f>
        <v>24781</v>
      </c>
      <c r="DP87" s="883">
        <f>'[1]GASTOS G.N.'!DP9</f>
        <v>23433</v>
      </c>
      <c r="DQ87" s="883">
        <f>'[1]GASTOS G.N.'!DQ9</f>
        <v>23332</v>
      </c>
      <c r="DR87" s="883">
        <f>'[1]GASTOS G.N.'!DR9</f>
        <v>23995</v>
      </c>
      <c r="DS87" s="883">
        <f>'[1]GASTOS G.N.'!DS9</f>
        <v>25468</v>
      </c>
      <c r="DT87" s="883">
        <f>'[1]GASTOS G.N.'!DT9</f>
        <v>23503</v>
      </c>
      <c r="DU87" s="883">
        <f>'[1]GASTOS G.N.'!DU9</f>
        <v>29700</v>
      </c>
      <c r="DV87" s="883">
        <f>'[1]GASTOS G.N.'!DV9</f>
        <v>24610</v>
      </c>
      <c r="DW87" s="883">
        <f>'[1]GASTOS G.N.'!DW9</f>
        <v>24075</v>
      </c>
      <c r="DX87" s="883">
        <f>'[1]GASTOS G.N.'!DX9</f>
        <v>24906</v>
      </c>
      <c r="DY87" s="883">
        <f>'[1]GASTOS G.N.'!DY9</f>
        <v>28450</v>
      </c>
      <c r="DZ87" s="883">
        <f>'[1]GASTOS G.N.'!DZ9</f>
        <v>33105</v>
      </c>
      <c r="EA87" s="879">
        <f t="shared" si="471"/>
        <v>309358</v>
      </c>
      <c r="EB87" s="883">
        <f>'[1]GASTOS G.N.'!EB9</f>
        <v>27061</v>
      </c>
      <c r="EC87" s="883">
        <f>'[1]GASTOS G.N.'!EC9</f>
        <v>27714</v>
      </c>
      <c r="ED87" s="883">
        <f>'[1]GASTOS G.N.'!ED9</f>
        <v>26112</v>
      </c>
      <c r="EE87" s="883">
        <f>'[1]GASTOS G.N.'!EE9</f>
        <v>26119</v>
      </c>
      <c r="EF87" s="883">
        <f>'[1]GASTOS G.N.'!EF9</f>
        <v>28942</v>
      </c>
      <c r="EG87" s="883">
        <f>'[1]GASTOS G.N.'!EG9</f>
        <v>26511</v>
      </c>
      <c r="EH87" s="883">
        <f>'[1]GASTOS G.N.'!EH9</f>
        <v>33833</v>
      </c>
      <c r="EI87" s="883">
        <f>'[1]GASTOS G.N.'!EI9</f>
        <v>27123</v>
      </c>
      <c r="EJ87" s="883">
        <f>'[1]GASTOS G.N.'!EJ9</f>
        <v>28346</v>
      </c>
      <c r="EK87" s="883">
        <f>'[1]GASTOS G.N.'!EK9</f>
        <v>27601</v>
      </c>
      <c r="EL87" s="883">
        <f>'[1]GASTOS G.N.'!EL9</f>
        <v>30844</v>
      </c>
      <c r="EM87" s="883">
        <f>'[1]GASTOS G.N.'!EM9</f>
        <v>39334</v>
      </c>
      <c r="EN87" s="879">
        <f t="shared" si="475"/>
        <v>349540</v>
      </c>
      <c r="EO87" s="883">
        <f>'[1]GASTOS G.N.'!EO9</f>
        <v>29133</v>
      </c>
      <c r="EP87" s="883">
        <f>'[1]GASTOS G.N.'!EP9</f>
        <v>29975</v>
      </c>
      <c r="EQ87" s="883">
        <f>'[1]GASTOS G.N.'!EQ9</f>
        <v>29832</v>
      </c>
      <c r="ER87" s="883">
        <f>'[1]GASTOS G.N.'!ER9</f>
        <v>30488</v>
      </c>
      <c r="ES87" s="883">
        <f>'[1]GASTOS G.N.'!ES9</f>
        <v>32549</v>
      </c>
      <c r="ET87" s="883">
        <f>'[1]GASTOS G.N.'!ET9</f>
        <v>31090</v>
      </c>
      <c r="EU87" s="883">
        <f>'[1]GASTOS G.N.'!EU9</f>
        <v>37987</v>
      </c>
      <c r="EV87" s="973">
        <f>'[1]GASTOS G.N.'!EV9</f>
        <v>30805</v>
      </c>
      <c r="EW87" s="883"/>
      <c r="EX87" s="883"/>
      <c r="EY87" s="883"/>
      <c r="EZ87" s="873"/>
      <c r="FA87" s="879">
        <f t="shared" si="479"/>
        <v>251859</v>
      </c>
      <c r="FC87" s="843">
        <f t="shared" si="480"/>
        <v>13.575194484385955</v>
      </c>
      <c r="FD87" s="844">
        <f t="shared" si="454"/>
        <v>12.731463867690174</v>
      </c>
      <c r="FE87" s="845">
        <f t="shared" si="481"/>
        <v>223415</v>
      </c>
      <c r="FF87" s="846">
        <f t="shared" si="455"/>
        <v>251859</v>
      </c>
      <c r="FI87" s="127"/>
    </row>
    <row r="88" spans="1:172" ht="15" customHeight="1" x14ac:dyDescent="0.25">
      <c r="A88" s="403" t="s">
        <v>329</v>
      </c>
      <c r="B88" s="883"/>
      <c r="C88" s="883"/>
      <c r="D88" s="883"/>
      <c r="E88" s="883"/>
      <c r="F88" s="883"/>
      <c r="G88" s="883"/>
      <c r="H88" s="883"/>
      <c r="I88" s="883"/>
      <c r="J88" s="883"/>
      <c r="K88" s="883"/>
      <c r="L88" s="883"/>
      <c r="M88" s="873"/>
      <c r="N88" s="879">
        <f t="shared" si="435"/>
        <v>0</v>
      </c>
      <c r="O88" s="883"/>
      <c r="P88" s="883"/>
      <c r="Q88" s="883"/>
      <c r="R88" s="883"/>
      <c r="S88" s="883"/>
      <c r="T88" s="883"/>
      <c r="U88" s="883"/>
      <c r="V88" s="883"/>
      <c r="W88" s="883"/>
      <c r="X88" s="883"/>
      <c r="Y88" s="883"/>
      <c r="Z88" s="873"/>
      <c r="AA88" s="879">
        <f t="shared" si="437"/>
        <v>0</v>
      </c>
      <c r="AB88" s="883">
        <v>1091</v>
      </c>
      <c r="AC88" s="883">
        <v>985</v>
      </c>
      <c r="AD88" s="883">
        <v>946</v>
      </c>
      <c r="AE88" s="883">
        <v>1252</v>
      </c>
      <c r="AF88" s="883">
        <v>976</v>
      </c>
      <c r="AG88" s="883">
        <v>207</v>
      </c>
      <c r="AH88" s="883">
        <v>1602</v>
      </c>
      <c r="AI88" s="883">
        <v>122</v>
      </c>
      <c r="AJ88" s="883">
        <v>166</v>
      </c>
      <c r="AK88" s="883">
        <v>934</v>
      </c>
      <c r="AL88" s="883">
        <v>329</v>
      </c>
      <c r="AM88" s="873">
        <v>727</v>
      </c>
      <c r="AN88" s="879">
        <f t="shared" si="439"/>
        <v>9337</v>
      </c>
      <c r="AO88" s="883">
        <v>1389</v>
      </c>
      <c r="AP88" s="883">
        <v>1049</v>
      </c>
      <c r="AQ88" s="883">
        <v>1120</v>
      </c>
      <c r="AR88" s="883">
        <v>1289</v>
      </c>
      <c r="AS88" s="883">
        <v>1092</v>
      </c>
      <c r="AT88" s="883">
        <v>1061</v>
      </c>
      <c r="AU88" s="883">
        <v>2034</v>
      </c>
      <c r="AV88" s="883">
        <v>2058</v>
      </c>
      <c r="AW88" s="883">
        <v>2097</v>
      </c>
      <c r="AX88" s="883">
        <v>1193</v>
      </c>
      <c r="AY88" s="883">
        <v>1928</v>
      </c>
      <c r="AZ88" s="873">
        <v>2001</v>
      </c>
      <c r="BA88" s="879">
        <f t="shared" si="441"/>
        <v>18311</v>
      </c>
      <c r="BB88" s="883">
        <f>'GASTOS G.N.'!BB10</f>
        <v>1241</v>
      </c>
      <c r="BC88" s="883">
        <f>'GASTOS G.N.'!BC10</f>
        <v>1077</v>
      </c>
      <c r="BD88" s="883">
        <f>'GASTOS G.N.'!BD10</f>
        <v>1279</v>
      </c>
      <c r="BE88" s="883">
        <f>'GASTOS G.N.'!BE10</f>
        <v>1318</v>
      </c>
      <c r="BF88" s="883">
        <f>'GASTOS G.N.'!BF10</f>
        <v>1137</v>
      </c>
      <c r="BG88" s="883">
        <f>'GASTOS G.N.'!BG10</f>
        <v>1175</v>
      </c>
      <c r="BH88" s="883">
        <f>'GASTOS G.N.'!BH10</f>
        <v>6647</v>
      </c>
      <c r="BI88" s="883">
        <f>'GASTOS G.N.'!BI10</f>
        <v>1129</v>
      </c>
      <c r="BJ88" s="883">
        <f>'GASTOS G.N.'!BJ10</f>
        <v>181</v>
      </c>
      <c r="BK88" s="883">
        <f>'GASTOS G.N.'!BK10</f>
        <v>297</v>
      </c>
      <c r="BL88" s="883">
        <f>'GASTOS G.N.'!BL10</f>
        <v>187</v>
      </c>
      <c r="BM88" s="873">
        <f>'GASTOS G.N.'!BM10</f>
        <v>2228</v>
      </c>
      <c r="BN88" s="879">
        <f t="shared" si="460"/>
        <v>17896</v>
      </c>
      <c r="BO88" s="883">
        <f>'GASTOS G.N.'!BO10</f>
        <v>1120</v>
      </c>
      <c r="BP88" s="883">
        <f>'GASTOS G.N.'!BP10</f>
        <v>1421</v>
      </c>
      <c r="BQ88" s="883">
        <f>'GASTOS G.N.'!BQ10</f>
        <v>1517</v>
      </c>
      <c r="BR88" s="883">
        <f>'GASTOS G.N.'!BR10</f>
        <v>1544</v>
      </c>
      <c r="BS88" s="883">
        <f>'GASTOS G.N.'!BS10</f>
        <v>5291</v>
      </c>
      <c r="BT88" s="883">
        <f>'GASTOS G.N.'!BT10</f>
        <v>5306</v>
      </c>
      <c r="BU88" s="883">
        <f>'GASTOS G.N.'!BU10</f>
        <v>432</v>
      </c>
      <c r="BV88" s="883">
        <f>'GASTOS G.N.'!BV10</f>
        <v>154</v>
      </c>
      <c r="BW88" s="883">
        <f>'GASTOS G.N.'!BW10</f>
        <v>182</v>
      </c>
      <c r="BX88" s="883">
        <f>'GASTOS G.N.'!BX10</f>
        <v>1562</v>
      </c>
      <c r="BY88" s="883">
        <f>'GASTOS G.N.'!BY10</f>
        <v>1400</v>
      </c>
      <c r="BZ88" s="873">
        <f>'GASTOS G.N.'!BZ10</f>
        <v>3540</v>
      </c>
      <c r="CA88" s="879">
        <f t="shared" si="462"/>
        <v>23469</v>
      </c>
      <c r="CB88" s="883">
        <f>'GASTOS G.N.'!CB10</f>
        <v>1333</v>
      </c>
      <c r="CC88" s="883">
        <f>'GASTOS G.N.'!CC10</f>
        <v>1260</v>
      </c>
      <c r="CD88" s="883">
        <f>'GASTOS G.N.'!CD10</f>
        <v>1265</v>
      </c>
      <c r="CE88" s="883">
        <f>'GASTOS G.N.'!CE10</f>
        <v>1269</v>
      </c>
      <c r="CF88" s="883">
        <f>'GASTOS G.N.'!CF10</f>
        <v>1333</v>
      </c>
      <c r="CG88" s="883">
        <f>'GASTOS G.N.'!CG10</f>
        <v>1180</v>
      </c>
      <c r="CH88" s="883">
        <f>'GASTOS G.N.'!CH10</f>
        <v>2702</v>
      </c>
      <c r="CI88" s="883">
        <f>'GASTOS G.N.'!CI10</f>
        <v>1276</v>
      </c>
      <c r="CJ88" s="883">
        <f>'GASTOS G.N.'!CJ10</f>
        <v>1449</v>
      </c>
      <c r="CK88" s="883">
        <f>'GASTOS G.N.'!CK10</f>
        <v>1415</v>
      </c>
      <c r="CL88" s="883">
        <f>'GASTOS G.N.'!CL10</f>
        <v>1098</v>
      </c>
      <c r="CM88" s="873">
        <f>'GASTOS G.N.'!CM10</f>
        <v>2865</v>
      </c>
      <c r="CN88" s="879">
        <f t="shared" si="464"/>
        <v>18445</v>
      </c>
      <c r="CO88" s="883">
        <f>'GASTOS G.N.'!CO10</f>
        <v>1266</v>
      </c>
      <c r="CP88" s="883">
        <f>'GASTOS G.N.'!CP10</f>
        <v>1341</v>
      </c>
      <c r="CQ88" s="883">
        <f>'GASTOS G.N.'!CQ10</f>
        <v>1224</v>
      </c>
      <c r="CR88" s="883">
        <f>'GASTOS G.N.'!CR10</f>
        <v>1359</v>
      </c>
      <c r="CS88" s="883">
        <f>'GASTOS G.N.'!CS10</f>
        <v>1159</v>
      </c>
      <c r="CT88" s="883">
        <f>'GASTOS G.N.'!CT10</f>
        <v>1428</v>
      </c>
      <c r="CU88" s="883">
        <f>'GASTOS G.N.'!CU10</f>
        <v>2627</v>
      </c>
      <c r="CV88" s="883">
        <f>'GASTOS G.N.'!CV10</f>
        <v>1461</v>
      </c>
      <c r="CW88" s="883">
        <f>'GASTOS G.N.'!CW10</f>
        <v>956</v>
      </c>
      <c r="CX88" s="883">
        <f>'GASTOS G.N.'!CX10</f>
        <v>1017</v>
      </c>
      <c r="CY88" s="883">
        <f>'GASTOS G.N.'!CY10</f>
        <v>1533</v>
      </c>
      <c r="CZ88" s="873">
        <f>'GASTOS G.N.'!CZ10</f>
        <v>3195</v>
      </c>
      <c r="DA88" s="879">
        <f t="shared" si="466"/>
        <v>18566</v>
      </c>
      <c r="DB88" s="883">
        <f>'GASTOS G.N.'!DB10</f>
        <v>1003</v>
      </c>
      <c r="DC88" s="883">
        <f>'GASTOS G.N.'!DC10</f>
        <v>1166</v>
      </c>
      <c r="DD88" s="883">
        <f>'GASTOS G.N.'!DD10</f>
        <v>1676</v>
      </c>
      <c r="DE88" s="883">
        <f>'GASTOS G.N.'!DE10</f>
        <v>1176</v>
      </c>
      <c r="DF88" s="883">
        <f>'GASTOS G.N.'!DF10</f>
        <v>1671</v>
      </c>
      <c r="DG88" s="883">
        <v>1365</v>
      </c>
      <c r="DH88" s="883">
        <f>'GASTOS G.N.'!DH10</f>
        <v>1763</v>
      </c>
      <c r="DI88" s="883">
        <f>'GASTOS G.N.'!DI10</f>
        <v>1532</v>
      </c>
      <c r="DJ88" s="883">
        <f>'GASTOS G.N.'!DJ10</f>
        <v>1701</v>
      </c>
      <c r="DK88" s="883">
        <f>'GASTOS G.N.'!DK10</f>
        <v>1653</v>
      </c>
      <c r="DL88" s="883">
        <f>'GASTOS G.N.'!DL10</f>
        <v>772</v>
      </c>
      <c r="DM88" s="873">
        <f>'GASTOS G.N.'!DM10</f>
        <v>2941</v>
      </c>
      <c r="DN88" s="879">
        <f t="shared" si="468"/>
        <v>18419</v>
      </c>
      <c r="DO88" s="883">
        <f>'[1]GASTOS G.N.'!DO10</f>
        <v>1686</v>
      </c>
      <c r="DP88" s="883">
        <f>'[1]GASTOS G.N.'!DP10</f>
        <v>1666</v>
      </c>
      <c r="DQ88" s="883">
        <f>'[1]GASTOS G.N.'!DQ10</f>
        <v>1757</v>
      </c>
      <c r="DR88" s="883">
        <f>'[1]GASTOS G.N.'!DR10</f>
        <v>1721</v>
      </c>
      <c r="DS88" s="883">
        <f>'[1]GASTOS G.N.'!DS10</f>
        <v>1624</v>
      </c>
      <c r="DT88" s="883">
        <f>'[1]GASTOS G.N.'!DT10</f>
        <v>1746</v>
      </c>
      <c r="DU88" s="883">
        <f>'[1]GASTOS G.N.'!DU10</f>
        <v>3143</v>
      </c>
      <c r="DV88" s="883">
        <f>'[1]GASTOS G.N.'!DV10</f>
        <v>1810</v>
      </c>
      <c r="DW88" s="883">
        <f>'[1]GASTOS G.N.'!DW10</f>
        <v>1757</v>
      </c>
      <c r="DX88" s="883">
        <f>'[1]GASTOS G.N.'!DX10</f>
        <v>1771</v>
      </c>
      <c r="DY88" s="883">
        <f>'[1]GASTOS G.N.'!DY10</f>
        <v>1802</v>
      </c>
      <c r="DZ88" s="883">
        <f>'[1]GASTOS G.N.'!DZ10</f>
        <v>3345</v>
      </c>
      <c r="EA88" s="879">
        <f t="shared" si="471"/>
        <v>23828</v>
      </c>
      <c r="EB88" s="883">
        <f>'[1]GASTOS G.N.'!EB10</f>
        <v>2003</v>
      </c>
      <c r="EC88" s="883">
        <f>'[1]GASTOS G.N.'!EC10</f>
        <v>1951</v>
      </c>
      <c r="ED88" s="883">
        <f>'[1]GASTOS G.N.'!ED10</f>
        <v>1892</v>
      </c>
      <c r="EE88" s="883">
        <f>'[1]GASTOS G.N.'!EE10</f>
        <v>2067</v>
      </c>
      <c r="EF88" s="883">
        <f>'[1]GASTOS G.N.'!EF10</f>
        <v>2177</v>
      </c>
      <c r="EG88" s="883">
        <f>'[1]GASTOS G.N.'!EG10</f>
        <v>2027</v>
      </c>
      <c r="EH88" s="883">
        <f>'[1]GASTOS G.N.'!EH10</f>
        <v>3538</v>
      </c>
      <c r="EI88" s="883">
        <f>'[1]GASTOS G.N.'!EI10</f>
        <v>2187</v>
      </c>
      <c r="EJ88" s="883">
        <f>'[1]GASTOS G.N.'!EJ10</f>
        <v>1981</v>
      </c>
      <c r="EK88" s="883">
        <f>'[1]GASTOS G.N.'!EK10</f>
        <v>1957</v>
      </c>
      <c r="EL88" s="883">
        <f>'[1]GASTOS G.N.'!EL10</f>
        <v>2024</v>
      </c>
      <c r="EM88" s="883">
        <f>'[1]GASTOS G.N.'!EM10</f>
        <v>3718</v>
      </c>
      <c r="EN88" s="879">
        <f t="shared" si="475"/>
        <v>27522</v>
      </c>
      <c r="EO88" s="883">
        <f>'[1]GASTOS G.N.'!EO10</f>
        <v>1952</v>
      </c>
      <c r="EP88" s="883">
        <f>'[1]GASTOS G.N.'!EP10</f>
        <v>2181</v>
      </c>
      <c r="EQ88" s="883">
        <f>'[1]GASTOS G.N.'!EQ10</f>
        <v>2144</v>
      </c>
      <c r="ER88" s="883">
        <f>'[1]GASTOS G.N.'!ER10</f>
        <v>2089</v>
      </c>
      <c r="ES88" s="883">
        <f>'[1]GASTOS G.N.'!ES10</f>
        <v>2149</v>
      </c>
      <c r="ET88" s="883">
        <f>'[1]GASTOS G.N.'!ET10</f>
        <v>2110</v>
      </c>
      <c r="EU88" s="883">
        <f>'[1]GASTOS G.N.'!EU10</f>
        <v>3906</v>
      </c>
      <c r="EV88" s="973">
        <f>'[1]GASTOS G.N.'!EV10</f>
        <v>2077</v>
      </c>
      <c r="EW88" s="883"/>
      <c r="EX88" s="883"/>
      <c r="EY88" s="883"/>
      <c r="EZ88" s="873"/>
      <c r="FA88" s="879">
        <f t="shared" si="479"/>
        <v>18608</v>
      </c>
      <c r="FC88" s="843">
        <f t="shared" si="480"/>
        <v>-5.0297210791037994</v>
      </c>
      <c r="FD88" s="844">
        <f t="shared" si="454"/>
        <v>4.2932406680865398</v>
      </c>
      <c r="FE88" s="845">
        <f t="shared" si="481"/>
        <v>17842</v>
      </c>
      <c r="FF88" s="846">
        <f t="shared" si="455"/>
        <v>18608</v>
      </c>
      <c r="FI88" s="127"/>
    </row>
    <row r="89" spans="1:172" ht="15" customHeight="1" x14ac:dyDescent="0.25">
      <c r="A89" s="403" t="s">
        <v>330</v>
      </c>
      <c r="B89" s="883"/>
      <c r="C89" s="883"/>
      <c r="D89" s="883"/>
      <c r="E89" s="883"/>
      <c r="F89" s="883"/>
      <c r="G89" s="883"/>
      <c r="H89" s="883"/>
      <c r="I89" s="883"/>
      <c r="J89" s="883"/>
      <c r="K89" s="883"/>
      <c r="L89" s="883"/>
      <c r="M89" s="873"/>
      <c r="N89" s="879">
        <f t="shared" si="435"/>
        <v>0</v>
      </c>
      <c r="O89" s="883"/>
      <c r="P89" s="883"/>
      <c r="Q89" s="883"/>
      <c r="R89" s="883"/>
      <c r="S89" s="883"/>
      <c r="T89" s="883"/>
      <c r="U89" s="883"/>
      <c r="V89" s="883"/>
      <c r="W89" s="883"/>
      <c r="X89" s="883"/>
      <c r="Y89" s="883"/>
      <c r="Z89" s="873"/>
      <c r="AA89" s="879">
        <f t="shared" si="437"/>
        <v>0</v>
      </c>
      <c r="AB89" s="883"/>
      <c r="AC89" s="883">
        <v>3048</v>
      </c>
      <c r="AD89" s="883">
        <v>9752</v>
      </c>
      <c r="AE89" s="883">
        <v>2048</v>
      </c>
      <c r="AF89" s="883">
        <v>74</v>
      </c>
      <c r="AG89" s="883">
        <v>3412</v>
      </c>
      <c r="AH89" s="883">
        <v>174</v>
      </c>
      <c r="AI89" s="883">
        <v>2686</v>
      </c>
      <c r="AJ89" s="883"/>
      <c r="AK89" s="883">
        <v>118</v>
      </c>
      <c r="AL89" s="883">
        <v>4604</v>
      </c>
      <c r="AM89" s="873">
        <v>719</v>
      </c>
      <c r="AN89" s="879">
        <f t="shared" si="439"/>
        <v>26635</v>
      </c>
      <c r="AO89" s="883">
        <v>1476</v>
      </c>
      <c r="AP89" s="883">
        <v>7087</v>
      </c>
      <c r="AQ89" s="883"/>
      <c r="AR89" s="883">
        <v>888</v>
      </c>
      <c r="AS89" s="883">
        <v>7119</v>
      </c>
      <c r="AT89" s="883">
        <v>12</v>
      </c>
      <c r="AU89" s="883">
        <v>11145</v>
      </c>
      <c r="AV89" s="883">
        <v>783</v>
      </c>
      <c r="AW89" s="883">
        <v>7945</v>
      </c>
      <c r="AX89" s="883">
        <v>3023</v>
      </c>
      <c r="AY89" s="883">
        <v>831</v>
      </c>
      <c r="AZ89" s="873">
        <v>4158</v>
      </c>
      <c r="BA89" s="879">
        <f t="shared" si="441"/>
        <v>44467</v>
      </c>
      <c r="BB89" s="883">
        <f>'GASTOS G.N.'!BB12</f>
        <v>18979</v>
      </c>
      <c r="BC89" s="883">
        <f>'GASTOS G.N.'!BC12</f>
        <v>27</v>
      </c>
      <c r="BD89" s="883">
        <f>'GASTOS G.N.'!BD12</f>
        <v>41</v>
      </c>
      <c r="BE89" s="883">
        <f>'GASTOS G.N.'!BE12</f>
        <v>67</v>
      </c>
      <c r="BF89" s="883">
        <f>'GASTOS G.N.'!BF12</f>
        <v>582</v>
      </c>
      <c r="BG89" s="883">
        <f>'GASTOS G.N.'!BG12</f>
        <v>245</v>
      </c>
      <c r="BH89" s="883">
        <f>'GASTOS G.N.'!BH12</f>
        <v>5678</v>
      </c>
      <c r="BI89" s="883">
        <f>'GASTOS G.N.'!BI12</f>
        <v>-658</v>
      </c>
      <c r="BJ89" s="883">
        <f>'GASTOS G.N.'!BJ12</f>
        <v>1980</v>
      </c>
      <c r="BK89" s="883">
        <f>'GASTOS G.N.'!BK12</f>
        <v>526</v>
      </c>
      <c r="BL89" s="883">
        <f>'GASTOS G.N.'!BL12</f>
        <v>2383</v>
      </c>
      <c r="BM89" s="873">
        <f>'GASTOS G.N.'!BM12</f>
        <v>799</v>
      </c>
      <c r="BN89" s="879">
        <f t="shared" si="460"/>
        <v>30649</v>
      </c>
      <c r="BO89" s="883">
        <f>'GASTOS G.N.'!BO12</f>
        <v>0</v>
      </c>
      <c r="BP89" s="883">
        <f>'GASTOS G.N.'!BP12</f>
        <v>14259</v>
      </c>
      <c r="BQ89" s="883">
        <f>'GASTOS G.N.'!BQ12</f>
        <v>174</v>
      </c>
      <c r="BR89" s="883">
        <f>'GASTOS G.N.'!BR12</f>
        <v>5992</v>
      </c>
      <c r="BS89" s="883">
        <f>'GASTOS G.N.'!BS12</f>
        <v>130</v>
      </c>
      <c r="BT89" s="883">
        <f>'GASTOS G.N.'!BT12</f>
        <v>0</v>
      </c>
      <c r="BU89" s="883">
        <f>'GASTOS G.N.'!BU12</f>
        <v>4809</v>
      </c>
      <c r="BV89" s="883">
        <f>'GASTOS G.N.'!BV12</f>
        <v>917</v>
      </c>
      <c r="BW89" s="883">
        <f>'GASTOS G.N.'!BW12</f>
        <v>6133</v>
      </c>
      <c r="BX89" s="883">
        <f>'GASTOS G.N.'!BX12</f>
        <v>121</v>
      </c>
      <c r="BY89" s="883">
        <f>'GASTOS G.N.'!BY12</f>
        <v>2321</v>
      </c>
      <c r="BZ89" s="873">
        <f>'GASTOS G.N.'!BZ12</f>
        <v>3025</v>
      </c>
      <c r="CA89" s="879">
        <f t="shared" si="462"/>
        <v>37881</v>
      </c>
      <c r="CB89" s="883">
        <f>'GASTOS G.N.'!CB12</f>
        <v>0</v>
      </c>
      <c r="CC89" s="883">
        <f>'GASTOS G.N.'!CC12</f>
        <v>13555</v>
      </c>
      <c r="CD89" s="883">
        <f>'GASTOS G.N.'!CD12</f>
        <v>2079</v>
      </c>
      <c r="CE89" s="883">
        <f>'GASTOS G.N.'!CE12</f>
        <v>1118</v>
      </c>
      <c r="CF89" s="883">
        <f>'GASTOS G.N.'!CF12</f>
        <v>532</v>
      </c>
      <c r="CG89" s="883">
        <f>'GASTOS G.N.'!CG12</f>
        <v>554</v>
      </c>
      <c r="CH89" s="883">
        <f>'GASTOS G.N.'!CH12</f>
        <v>3437</v>
      </c>
      <c r="CI89" s="883">
        <f>'GASTOS G.N.'!CI12</f>
        <v>784</v>
      </c>
      <c r="CJ89" s="883">
        <f>'GASTOS G.N.'!CJ12</f>
        <v>6394</v>
      </c>
      <c r="CK89" s="883">
        <f>'GASTOS G.N.'!CK12</f>
        <v>769</v>
      </c>
      <c r="CL89" s="883">
        <f>'GASTOS G.N.'!CL12</f>
        <v>5051</v>
      </c>
      <c r="CM89" s="873">
        <f>'GASTOS G.N.'!CM12</f>
        <v>1175</v>
      </c>
      <c r="CN89" s="879">
        <f t="shared" si="464"/>
        <v>35448</v>
      </c>
      <c r="CO89" s="883">
        <f>'GASTOS G.N.'!CO12</f>
        <v>0</v>
      </c>
      <c r="CP89" s="883">
        <f>'GASTOS G.N.'!CP12</f>
        <v>1107</v>
      </c>
      <c r="CQ89" s="883">
        <f>'GASTOS G.N.'!CQ12</f>
        <v>18881</v>
      </c>
      <c r="CR89" s="883">
        <f>'GASTOS G.N.'!CR12</f>
        <v>-4</v>
      </c>
      <c r="CS89" s="883">
        <f>'GASTOS G.N.'!CS12</f>
        <v>649</v>
      </c>
      <c r="CT89" s="883">
        <f>'GASTOS G.N.'!CT12</f>
        <v>4896</v>
      </c>
      <c r="CU89" s="883">
        <f>'GASTOS G.N.'!CU12</f>
        <v>1238</v>
      </c>
      <c r="CV89" s="883">
        <f>'GASTOS G.N.'!CV12</f>
        <v>7500</v>
      </c>
      <c r="CW89" s="883">
        <f>'GASTOS G.N.'!CW12</f>
        <v>6678</v>
      </c>
      <c r="CX89" s="883">
        <f>'GASTOS G.N.'!CX12</f>
        <v>1131</v>
      </c>
      <c r="CY89" s="883">
        <f>'GASTOS G.N.'!CY12</f>
        <v>5673</v>
      </c>
      <c r="CZ89" s="873">
        <f>'GASTOS G.N.'!CZ12</f>
        <v>967</v>
      </c>
      <c r="DA89" s="879">
        <f t="shared" si="466"/>
        <v>48716</v>
      </c>
      <c r="DB89" s="883">
        <f>'GASTOS G.N.'!DB12</f>
        <v>7730</v>
      </c>
      <c r="DC89" s="883">
        <f>'GASTOS G.N.'!DC12</f>
        <v>12736</v>
      </c>
      <c r="DD89" s="883">
        <f>'GASTOS G.N.'!DD12</f>
        <v>1824</v>
      </c>
      <c r="DE89" s="883">
        <f>'GASTOS G.N.'!DE12</f>
        <v>2937</v>
      </c>
      <c r="DF89" s="883">
        <f>'GASTOS G.N.'!DF12</f>
        <v>2353</v>
      </c>
      <c r="DG89" s="883">
        <v>338</v>
      </c>
      <c r="DH89" s="883">
        <f>'GASTOS G.N.'!DH12</f>
        <v>1603</v>
      </c>
      <c r="DI89" s="883">
        <f>'GASTOS G.N.'!DI12</f>
        <v>4787</v>
      </c>
      <c r="DJ89" s="883">
        <f>'GASTOS G.N.'!DJ12</f>
        <v>-64</v>
      </c>
      <c r="DK89" s="883">
        <f>'GASTOS G.N.'!DK12</f>
        <v>570</v>
      </c>
      <c r="DL89" s="883">
        <f>'GASTOS G.N.'!DL12</f>
        <v>3281</v>
      </c>
      <c r="DM89" s="873">
        <f>'GASTOS G.N.'!DM12</f>
        <v>2415</v>
      </c>
      <c r="DN89" s="879">
        <f t="shared" si="468"/>
        <v>40510</v>
      </c>
      <c r="DO89" s="883">
        <f>'[1]GASTOS G.N.'!DO12</f>
        <v>0</v>
      </c>
      <c r="DP89" s="883">
        <f>'[1]GASTOS G.N.'!DP12</f>
        <v>25312</v>
      </c>
      <c r="DQ89" s="883">
        <f>'[1]GASTOS G.N.'!DQ12</f>
        <v>2251</v>
      </c>
      <c r="DR89" s="883">
        <f>'[1]GASTOS G.N.'!DR12</f>
        <v>5554</v>
      </c>
      <c r="DS89" s="883">
        <f>'[1]GASTOS G.N.'!DS12</f>
        <v>783</v>
      </c>
      <c r="DT89" s="883">
        <f>'[1]GASTOS G.N.'!DT12</f>
        <v>600</v>
      </c>
      <c r="DU89" s="883">
        <f>'[1]GASTOS G.N.'!DU12</f>
        <v>402</v>
      </c>
      <c r="DV89" s="883">
        <f>'[1]GASTOS G.N.'!DV12</f>
        <v>159</v>
      </c>
      <c r="DW89" s="883">
        <f>'[1]GASTOS G.N.'!DW12</f>
        <v>3272</v>
      </c>
      <c r="DX89" s="883">
        <f>'[1]GASTOS G.N.'!DX12</f>
        <v>1043</v>
      </c>
      <c r="DY89" s="883">
        <f>'[1]GASTOS G.N.'!DY12</f>
        <v>23</v>
      </c>
      <c r="DZ89" s="883">
        <f>'[1]GASTOS G.N.'!DZ12</f>
        <v>817</v>
      </c>
      <c r="EA89" s="879">
        <f t="shared" si="471"/>
        <v>40216</v>
      </c>
      <c r="EB89" s="883">
        <f>'[1]GASTOS G.N.'!EB12</f>
        <v>15547</v>
      </c>
      <c r="EC89" s="883">
        <f>'[1]GASTOS G.N.'!EC12</f>
        <v>390</v>
      </c>
      <c r="ED89" s="883">
        <f>'[1]GASTOS G.N.'!ED12</f>
        <v>3186</v>
      </c>
      <c r="EE89" s="883">
        <f>'[1]GASTOS G.N.'!EE12</f>
        <v>0</v>
      </c>
      <c r="EF89" s="883">
        <f>'[1]GASTOS G.N.'!EF12</f>
        <v>-4</v>
      </c>
      <c r="EG89" s="883">
        <f>'[1]GASTOS G.N.'!EG12</f>
        <v>6353</v>
      </c>
      <c r="EH89" s="883">
        <f>'[1]GASTOS G.N.'!EH12</f>
        <v>0</v>
      </c>
      <c r="EI89" s="883">
        <f>'[1]GASTOS G.N.'!EI12</f>
        <v>670</v>
      </c>
      <c r="EJ89" s="883">
        <f>'[1]GASTOS G.N.'!EJ12</f>
        <v>1083</v>
      </c>
      <c r="EK89" s="883">
        <f>'[1]GASTOS G.N.'!EK12</f>
        <v>-36</v>
      </c>
      <c r="EL89" s="883">
        <f>'[1]GASTOS G.N.'!EL12</f>
        <v>473</v>
      </c>
      <c r="EM89" s="883">
        <f>'[1]GASTOS G.N.'!EM12</f>
        <v>1566</v>
      </c>
      <c r="EN89" s="879">
        <f t="shared" si="475"/>
        <v>29228</v>
      </c>
      <c r="EO89" s="883">
        <f>'[1]GASTOS G.N.'!EO12</f>
        <v>26427</v>
      </c>
      <c r="EP89" s="883">
        <f>'[1]GASTOS G.N.'!EP12</f>
        <v>0</v>
      </c>
      <c r="EQ89" s="883">
        <f>'[1]GASTOS G.N.'!EQ12</f>
        <v>1849</v>
      </c>
      <c r="ER89" s="883">
        <f>'[1]GASTOS G.N.'!ER12</f>
        <v>773</v>
      </c>
      <c r="ES89" s="883">
        <f>'[1]GASTOS G.N.'!ES12</f>
        <v>0</v>
      </c>
      <c r="ET89" s="883">
        <f>'[1]GASTOS G.N.'!ET12</f>
        <v>1102</v>
      </c>
      <c r="EU89" s="883">
        <f>'[1]GASTOS G.N.'!EU12</f>
        <v>10</v>
      </c>
      <c r="EV89" s="973">
        <f>'[1]GASTOS G.N.'!EV12</f>
        <v>1963</v>
      </c>
      <c r="EW89" s="883"/>
      <c r="EX89" s="883"/>
      <c r="EY89" s="883"/>
      <c r="EZ89" s="873"/>
      <c r="FA89" s="879">
        <f t="shared" si="479"/>
        <v>32124</v>
      </c>
      <c r="FC89" s="843">
        <f t="shared" si="480"/>
        <v>192.98507462686567</v>
      </c>
      <c r="FD89" s="844">
        <f t="shared" si="454"/>
        <v>22.882717466146431</v>
      </c>
      <c r="FE89" s="845">
        <f t="shared" si="481"/>
        <v>26142</v>
      </c>
      <c r="FF89" s="846">
        <f t="shared" si="455"/>
        <v>32124</v>
      </c>
      <c r="FI89" s="127"/>
    </row>
    <row r="90" spans="1:172" ht="15" customHeight="1" x14ac:dyDescent="0.25">
      <c r="A90" s="403" t="s">
        <v>286</v>
      </c>
      <c r="B90" s="883"/>
      <c r="C90" s="883"/>
      <c r="D90" s="883"/>
      <c r="E90" s="883"/>
      <c r="F90" s="883"/>
      <c r="G90" s="883"/>
      <c r="H90" s="883"/>
      <c r="I90" s="883"/>
      <c r="J90" s="883"/>
      <c r="K90" s="883"/>
      <c r="L90" s="883"/>
      <c r="M90" s="873"/>
      <c r="N90" s="879">
        <f t="shared" si="435"/>
        <v>0</v>
      </c>
      <c r="O90" s="883"/>
      <c r="P90" s="883"/>
      <c r="Q90" s="883"/>
      <c r="R90" s="883"/>
      <c r="S90" s="883"/>
      <c r="T90" s="883"/>
      <c r="U90" s="883"/>
      <c r="V90" s="883"/>
      <c r="W90" s="883"/>
      <c r="X90" s="883"/>
      <c r="Y90" s="883"/>
      <c r="Z90" s="873"/>
      <c r="AA90" s="879">
        <f t="shared" si="437"/>
        <v>0</v>
      </c>
      <c r="AB90" s="883">
        <v>245</v>
      </c>
      <c r="AC90" s="883">
        <v>2610</v>
      </c>
      <c r="AD90" s="883">
        <v>5243</v>
      </c>
      <c r="AE90" s="883">
        <v>8369</v>
      </c>
      <c r="AF90" s="883">
        <v>7916</v>
      </c>
      <c r="AG90" s="883">
        <v>13687</v>
      </c>
      <c r="AH90" s="883">
        <v>5289</v>
      </c>
      <c r="AI90" s="883">
        <v>6865</v>
      </c>
      <c r="AJ90" s="883">
        <v>4319</v>
      </c>
      <c r="AK90" s="883">
        <v>10511</v>
      </c>
      <c r="AL90" s="883">
        <v>11414</v>
      </c>
      <c r="AM90" s="873">
        <v>13963</v>
      </c>
      <c r="AN90" s="879">
        <f t="shared" si="439"/>
        <v>90431</v>
      </c>
      <c r="AO90" s="883">
        <v>12000</v>
      </c>
      <c r="AP90" s="883">
        <v>4937</v>
      </c>
      <c r="AQ90" s="883">
        <v>1309</v>
      </c>
      <c r="AR90" s="883">
        <v>10570</v>
      </c>
      <c r="AS90" s="883">
        <v>15450</v>
      </c>
      <c r="AT90" s="883">
        <v>10742</v>
      </c>
      <c r="AU90" s="883">
        <v>5315</v>
      </c>
      <c r="AV90" s="883">
        <v>11480</v>
      </c>
      <c r="AW90" s="883">
        <v>5997</v>
      </c>
      <c r="AX90" s="883">
        <v>12494</v>
      </c>
      <c r="AY90" s="883">
        <v>6886</v>
      </c>
      <c r="AZ90" s="873">
        <v>9791</v>
      </c>
      <c r="BA90" s="879">
        <f t="shared" si="441"/>
        <v>106971</v>
      </c>
      <c r="BB90" s="883">
        <f>'GASTOS G.N.'!BB13</f>
        <v>765</v>
      </c>
      <c r="BC90" s="883">
        <f>'GASTOS G.N.'!BC13</f>
        <v>7206</v>
      </c>
      <c r="BD90" s="883">
        <f>'GASTOS G.N.'!BD13</f>
        <v>5306</v>
      </c>
      <c r="BE90" s="883">
        <f>'GASTOS G.N.'!BE13</f>
        <v>13116</v>
      </c>
      <c r="BF90" s="883">
        <f>'GASTOS G.N.'!BF13</f>
        <v>14450</v>
      </c>
      <c r="BG90" s="883">
        <f>'GASTOS G.N.'!BG13</f>
        <v>10932</v>
      </c>
      <c r="BH90" s="883">
        <f>'GASTOS G.N.'!BH13</f>
        <v>8171</v>
      </c>
      <c r="BI90" s="883">
        <f>'GASTOS G.N.'!BI13</f>
        <v>6986</v>
      </c>
      <c r="BJ90" s="883">
        <f>'GASTOS G.N.'!BJ13</f>
        <v>8503</v>
      </c>
      <c r="BK90" s="883">
        <f>'GASTOS G.N.'!BK13</f>
        <v>10794</v>
      </c>
      <c r="BL90" s="883">
        <f>'GASTOS G.N.'!BL13</f>
        <v>15393</v>
      </c>
      <c r="BM90" s="873">
        <f>'GASTOS G.N.'!BM13</f>
        <v>6850</v>
      </c>
      <c r="BN90" s="879">
        <f t="shared" si="460"/>
        <v>108472</v>
      </c>
      <c r="BO90" s="883">
        <f>'GASTOS G.N.'!BO13</f>
        <v>1447</v>
      </c>
      <c r="BP90" s="883">
        <f>'GASTOS G.N.'!BP13</f>
        <v>8193</v>
      </c>
      <c r="BQ90" s="883">
        <f>'GASTOS G.N.'!BQ13</f>
        <v>28687</v>
      </c>
      <c r="BR90" s="883">
        <f>'GASTOS G.N.'!BR13</f>
        <v>39947</v>
      </c>
      <c r="BS90" s="883">
        <f>'GASTOS G.N.'!BS13</f>
        <v>37731</v>
      </c>
      <c r="BT90" s="883">
        <f>'GASTOS G.N.'!BT13</f>
        <v>1955</v>
      </c>
      <c r="BU90" s="883">
        <f>'GASTOS G.N.'!BU13</f>
        <v>9425</v>
      </c>
      <c r="BV90" s="883">
        <f>'GASTOS G.N.'!BV13</f>
        <v>45302</v>
      </c>
      <c r="BW90" s="883">
        <f>'GASTOS G.N.'!BW13</f>
        <v>12214</v>
      </c>
      <c r="BX90" s="883">
        <f>'GASTOS G.N.'!BX13</f>
        <v>75820</v>
      </c>
      <c r="BY90" s="883">
        <f>'GASTOS G.N.'!BY13</f>
        <v>41943</v>
      </c>
      <c r="BZ90" s="873">
        <f>'GASTOS G.N.'!BZ13</f>
        <v>37042</v>
      </c>
      <c r="CA90" s="879">
        <f t="shared" si="462"/>
        <v>339706</v>
      </c>
      <c r="CB90" s="883">
        <f>'GASTOS G.N.'!CB13</f>
        <v>1323</v>
      </c>
      <c r="CC90" s="883">
        <f>'GASTOS G.N.'!CC13</f>
        <v>8685</v>
      </c>
      <c r="CD90" s="883">
        <f>'GASTOS G.N.'!CD13</f>
        <v>7629</v>
      </c>
      <c r="CE90" s="883">
        <f>'GASTOS G.N.'!CE13</f>
        <v>18882</v>
      </c>
      <c r="CF90" s="883">
        <f>'GASTOS G.N.'!CF13</f>
        <v>5012</v>
      </c>
      <c r="CG90" s="883">
        <f>'GASTOS G.N.'!CG13</f>
        <v>8871</v>
      </c>
      <c r="CH90" s="883">
        <f>'GASTOS G.N.'!CH13</f>
        <v>7110</v>
      </c>
      <c r="CI90" s="883">
        <f>'GASTOS G.N.'!CI13</f>
        <v>8999</v>
      </c>
      <c r="CJ90" s="883">
        <f>'GASTOS G.N.'!CJ13</f>
        <v>29568</v>
      </c>
      <c r="CK90" s="883">
        <f>'GASTOS G.N.'!CK13</f>
        <v>39824</v>
      </c>
      <c r="CL90" s="883">
        <f>'GASTOS G.N.'!CL13</f>
        <v>22363</v>
      </c>
      <c r="CM90" s="873">
        <f>'GASTOS G.N.'!CM13</f>
        <v>40832</v>
      </c>
      <c r="CN90" s="879">
        <f t="shared" si="464"/>
        <v>199098</v>
      </c>
      <c r="CO90" s="883">
        <f>'GASTOS G.N.'!CO13</f>
        <v>6206</v>
      </c>
      <c r="CP90" s="883">
        <f>'GASTOS G.N.'!CP13</f>
        <v>9628</v>
      </c>
      <c r="CQ90" s="883">
        <f>'GASTOS G.N.'!CQ13</f>
        <v>5914</v>
      </c>
      <c r="CR90" s="883">
        <f>'GASTOS G.N.'!CR13</f>
        <v>20006</v>
      </c>
      <c r="CS90" s="883">
        <f>'GASTOS G.N.'!CS13</f>
        <v>5818</v>
      </c>
      <c r="CT90" s="883">
        <f>'GASTOS G.N.'!CT13</f>
        <v>18183</v>
      </c>
      <c r="CU90" s="883">
        <f>'GASTOS G.N.'!CU13</f>
        <v>9104</v>
      </c>
      <c r="CV90" s="883">
        <f>'GASTOS G.N.'!CV13</f>
        <v>15750</v>
      </c>
      <c r="CW90" s="883">
        <f>'GASTOS G.N.'!CW13</f>
        <v>4755</v>
      </c>
      <c r="CX90" s="883">
        <f>'GASTOS G.N.'!CX13</f>
        <v>31843</v>
      </c>
      <c r="CY90" s="883">
        <f>'GASTOS G.N.'!CY13</f>
        <v>12138</v>
      </c>
      <c r="CZ90" s="873">
        <f>'GASTOS G.N.'!CZ13</f>
        <v>17480</v>
      </c>
      <c r="DA90" s="879">
        <f t="shared" si="466"/>
        <v>156825</v>
      </c>
      <c r="DB90" s="883">
        <f>'GASTOS G.N.'!DB13</f>
        <v>9310</v>
      </c>
      <c r="DC90" s="883">
        <f>'GASTOS G.N.'!DC13</f>
        <v>10517</v>
      </c>
      <c r="DD90" s="883">
        <f>'GASTOS G.N.'!DD13</f>
        <v>11393</v>
      </c>
      <c r="DE90" s="883">
        <f>'GASTOS G.N.'!DE13</f>
        <v>16821</v>
      </c>
      <c r="DF90" s="883">
        <f>'GASTOS G.N.'!DF13</f>
        <v>7222</v>
      </c>
      <c r="DG90" s="883">
        <v>16553</v>
      </c>
      <c r="DH90" s="883">
        <f>'GASTOS G.N.'!DH13</f>
        <v>6592</v>
      </c>
      <c r="DI90" s="883">
        <f>'GASTOS G.N.'!DI13</f>
        <v>10997</v>
      </c>
      <c r="DJ90" s="883">
        <f>'GASTOS G.N.'!DJ13</f>
        <v>7823</v>
      </c>
      <c r="DK90" s="883">
        <f>'GASTOS G.N.'!DK13</f>
        <v>19196</v>
      </c>
      <c r="DL90" s="883">
        <f>'GASTOS G.N.'!DL13</f>
        <v>3847</v>
      </c>
      <c r="DM90" s="873">
        <f>'GASTOS G.N.'!DM13</f>
        <v>16545</v>
      </c>
      <c r="DN90" s="879">
        <f t="shared" si="468"/>
        <v>136816</v>
      </c>
      <c r="DO90" s="883">
        <f>'[1]GASTOS G.N.'!DO13</f>
        <v>2947</v>
      </c>
      <c r="DP90" s="883">
        <f>'[1]GASTOS G.N.'!DP13</f>
        <v>11196</v>
      </c>
      <c r="DQ90" s="883">
        <f>'[1]GASTOS G.N.'!DQ13</f>
        <v>4887</v>
      </c>
      <c r="DR90" s="883">
        <f>'[1]GASTOS G.N.'!DR13</f>
        <v>13478</v>
      </c>
      <c r="DS90" s="883">
        <f>'[1]GASTOS G.N.'!DS13</f>
        <v>13400</v>
      </c>
      <c r="DT90" s="883">
        <f>'[1]GASTOS G.N.'!DT13</f>
        <v>17169</v>
      </c>
      <c r="DU90" s="883">
        <f>'[1]GASTOS G.N.'!DU13</f>
        <v>12995</v>
      </c>
      <c r="DV90" s="883">
        <f>'[1]GASTOS G.N.'!DV13</f>
        <v>19346</v>
      </c>
      <c r="DW90" s="883">
        <f>'[1]GASTOS G.N.'!DW13</f>
        <v>13996</v>
      </c>
      <c r="DX90" s="883">
        <f>'[1]GASTOS G.N.'!DX13</f>
        <v>15628</v>
      </c>
      <c r="DY90" s="883">
        <f>'[1]GASTOS G.N.'!DY13</f>
        <v>8647</v>
      </c>
      <c r="DZ90" s="883">
        <f>'[1]GASTOS G.N.'!DZ13</f>
        <v>19700</v>
      </c>
      <c r="EA90" s="879">
        <f t="shared" si="471"/>
        <v>153389</v>
      </c>
      <c r="EB90" s="883">
        <f>'[1]GASTOS G.N.'!EB13</f>
        <v>7639</v>
      </c>
      <c r="EC90" s="883">
        <f>'[1]GASTOS G.N.'!EC13</f>
        <v>8761</v>
      </c>
      <c r="ED90" s="883">
        <f>'[1]GASTOS G.N.'!ED13</f>
        <v>10072</v>
      </c>
      <c r="EE90" s="883">
        <f>'[1]GASTOS G.N.'!EE13</f>
        <v>12941</v>
      </c>
      <c r="EF90" s="883">
        <f>'[1]GASTOS G.N.'!EF13</f>
        <v>17771</v>
      </c>
      <c r="EG90" s="883">
        <f>'[1]GASTOS G.N.'!EG13</f>
        <v>16061</v>
      </c>
      <c r="EH90" s="883">
        <f>'[1]GASTOS G.N.'!EH13</f>
        <v>18651</v>
      </c>
      <c r="EI90" s="883">
        <f>'[1]GASTOS G.N.'!EI13</f>
        <v>14173</v>
      </c>
      <c r="EJ90" s="883">
        <f>'[1]GASTOS G.N.'!EJ13</f>
        <v>15984</v>
      </c>
      <c r="EK90" s="883">
        <f>'[1]GASTOS G.N.'!EK13</f>
        <v>17426</v>
      </c>
      <c r="EL90" s="883">
        <f>'[1]GASTOS G.N.'!EL13</f>
        <v>12415</v>
      </c>
      <c r="EM90" s="883">
        <f>'[1]GASTOS G.N.'!EM13</f>
        <v>16676</v>
      </c>
      <c r="EN90" s="879">
        <f t="shared" si="475"/>
        <v>168570</v>
      </c>
      <c r="EO90" s="883">
        <f>'[1]GASTOS G.N.'!EO13</f>
        <v>10359</v>
      </c>
      <c r="EP90" s="883">
        <f>'[1]GASTOS G.N.'!EP13</f>
        <v>10485</v>
      </c>
      <c r="EQ90" s="883">
        <f>'[1]GASTOS G.N.'!EQ13</f>
        <v>13112</v>
      </c>
      <c r="ER90" s="883">
        <f>'[1]GASTOS G.N.'!ER13</f>
        <v>8742</v>
      </c>
      <c r="ES90" s="883">
        <f>'[1]GASTOS G.N.'!ES13</f>
        <v>17188</v>
      </c>
      <c r="ET90" s="883">
        <f>'[1]GASTOS G.N.'!ET13</f>
        <v>21779</v>
      </c>
      <c r="EU90" s="883">
        <f>'[1]GASTOS G.N.'!EU13</f>
        <v>21010</v>
      </c>
      <c r="EV90" s="973">
        <f>'[1]GASTOS G.N.'!EV13</f>
        <v>12404</v>
      </c>
      <c r="EW90" s="883"/>
      <c r="EX90" s="883"/>
      <c r="EY90" s="883"/>
      <c r="EZ90" s="873"/>
      <c r="FA90" s="879">
        <f t="shared" si="479"/>
        <v>115079</v>
      </c>
      <c r="FC90" s="843">
        <f t="shared" si="480"/>
        <v>-12.481478868270656</v>
      </c>
      <c r="FD90" s="844">
        <f t="shared" si="454"/>
        <v>8.4944705804711909</v>
      </c>
      <c r="FE90" s="845">
        <f t="shared" si="481"/>
        <v>106069</v>
      </c>
      <c r="FF90" s="846">
        <f t="shared" si="455"/>
        <v>115079</v>
      </c>
      <c r="FI90" s="127"/>
    </row>
    <row r="91" spans="1:172" ht="15" customHeight="1" x14ac:dyDescent="0.25">
      <c r="A91" s="403" t="s">
        <v>275</v>
      </c>
      <c r="B91" s="883"/>
      <c r="C91" s="883"/>
      <c r="D91" s="883"/>
      <c r="E91" s="883"/>
      <c r="F91" s="883"/>
      <c r="G91" s="883"/>
      <c r="H91" s="883"/>
      <c r="I91" s="883"/>
      <c r="J91" s="883"/>
      <c r="K91" s="883"/>
      <c r="L91" s="883"/>
      <c r="M91" s="873"/>
      <c r="N91" s="879">
        <f t="shared" si="435"/>
        <v>0</v>
      </c>
      <c r="O91" s="883"/>
      <c r="P91" s="883"/>
      <c r="Q91" s="883"/>
      <c r="R91" s="883"/>
      <c r="S91" s="883"/>
      <c r="T91" s="883"/>
      <c r="U91" s="883"/>
      <c r="V91" s="883"/>
      <c r="W91" s="883"/>
      <c r="X91" s="883"/>
      <c r="Y91" s="883"/>
      <c r="Z91" s="873"/>
      <c r="AA91" s="879">
        <f t="shared" si="437"/>
        <v>0</v>
      </c>
      <c r="AB91" s="883">
        <v>3645</v>
      </c>
      <c r="AC91" s="883">
        <v>8073</v>
      </c>
      <c r="AD91" s="883">
        <v>14007</v>
      </c>
      <c r="AE91" s="883">
        <v>8132</v>
      </c>
      <c r="AF91" s="883">
        <v>12774</v>
      </c>
      <c r="AG91" s="883">
        <v>10293</v>
      </c>
      <c r="AH91" s="883">
        <v>11887</v>
      </c>
      <c r="AI91" s="883">
        <v>11017</v>
      </c>
      <c r="AJ91" s="883">
        <v>10312</v>
      </c>
      <c r="AK91" s="883">
        <v>12581</v>
      </c>
      <c r="AL91" s="883">
        <v>14414</v>
      </c>
      <c r="AM91" s="873">
        <v>27161</v>
      </c>
      <c r="AN91" s="879">
        <f t="shared" si="439"/>
        <v>144296</v>
      </c>
      <c r="AO91" s="883">
        <v>5026</v>
      </c>
      <c r="AP91" s="883">
        <v>11916</v>
      </c>
      <c r="AQ91" s="883">
        <v>10553</v>
      </c>
      <c r="AR91" s="883">
        <v>11728</v>
      </c>
      <c r="AS91" s="883">
        <v>10801</v>
      </c>
      <c r="AT91" s="883">
        <v>10771</v>
      </c>
      <c r="AU91" s="883">
        <v>13231</v>
      </c>
      <c r="AV91" s="883">
        <v>10686</v>
      </c>
      <c r="AW91" s="883">
        <v>10370</v>
      </c>
      <c r="AX91" s="883">
        <v>12742</v>
      </c>
      <c r="AY91" s="883">
        <v>12133</v>
      </c>
      <c r="AZ91" s="873">
        <v>23024</v>
      </c>
      <c r="BA91" s="879">
        <f t="shared" si="441"/>
        <v>142981</v>
      </c>
      <c r="BB91" s="883">
        <f>'GASTOS G.N.'!BB11</f>
        <v>4805</v>
      </c>
      <c r="BC91" s="883">
        <f>'GASTOS G.N.'!BC11</f>
        <v>14908</v>
      </c>
      <c r="BD91" s="883">
        <f>'GASTOS G.N.'!BD11</f>
        <v>12451</v>
      </c>
      <c r="BE91" s="883">
        <f>'GASTOS G.N.'!BE11</f>
        <v>11197</v>
      </c>
      <c r="BF91" s="883">
        <f>'GASTOS G.N.'!BF11</f>
        <v>11378</v>
      </c>
      <c r="BG91" s="883">
        <f>'GASTOS G.N.'!BG11</f>
        <v>10044</v>
      </c>
      <c r="BH91" s="883">
        <f>'GASTOS G.N.'!BH11</f>
        <v>17102</v>
      </c>
      <c r="BI91" s="883">
        <f>'GASTOS G.N.'!BI11</f>
        <v>12286</v>
      </c>
      <c r="BJ91" s="883">
        <f>'GASTOS G.N.'!BJ11</f>
        <v>11531</v>
      </c>
      <c r="BK91" s="883">
        <f>'GASTOS G.N.'!BK11</f>
        <v>13440</v>
      </c>
      <c r="BL91" s="883">
        <f>'GASTOS G.N.'!BL11</f>
        <v>14222</v>
      </c>
      <c r="BM91" s="873">
        <f>'GASTOS G.N.'!BM11</f>
        <v>21042</v>
      </c>
      <c r="BN91" s="879">
        <f t="shared" si="460"/>
        <v>154406</v>
      </c>
      <c r="BO91" s="883">
        <f>'GASTOS G.N.'!BO11</f>
        <v>13851</v>
      </c>
      <c r="BP91" s="883">
        <f>'GASTOS G.N.'!BP11</f>
        <v>8008</v>
      </c>
      <c r="BQ91" s="883">
        <f>'GASTOS G.N.'!BQ11</f>
        <v>8757</v>
      </c>
      <c r="BR91" s="883">
        <f>'GASTOS G.N.'!BR11</f>
        <v>8453</v>
      </c>
      <c r="BS91" s="883">
        <f>'GASTOS G.N.'!BS11</f>
        <v>6401</v>
      </c>
      <c r="BT91" s="883">
        <f>'GASTOS G.N.'!BT11</f>
        <v>7333</v>
      </c>
      <c r="BU91" s="883">
        <f>'GASTOS G.N.'!BU11</f>
        <v>9735</v>
      </c>
      <c r="BV91" s="883">
        <f>'GASTOS G.N.'!BV11</f>
        <v>7865</v>
      </c>
      <c r="BW91" s="883">
        <f>'GASTOS G.N.'!BW11</f>
        <v>11439</v>
      </c>
      <c r="BX91" s="883">
        <f>'GASTOS G.N.'!BX11</f>
        <v>11568</v>
      </c>
      <c r="BY91" s="883">
        <f>'GASTOS G.N.'!BY11</f>
        <v>11308</v>
      </c>
      <c r="BZ91" s="873">
        <f>'GASTOS G.N.'!BZ11</f>
        <v>24857</v>
      </c>
      <c r="CA91" s="879">
        <f t="shared" si="462"/>
        <v>129575</v>
      </c>
      <c r="CB91" s="883">
        <f>'GASTOS G.N.'!CB11</f>
        <v>9116</v>
      </c>
      <c r="CC91" s="883">
        <f>'GASTOS G.N.'!CC11</f>
        <v>8050</v>
      </c>
      <c r="CD91" s="883">
        <f>'GASTOS G.N.'!CD11</f>
        <v>10788</v>
      </c>
      <c r="CE91" s="883">
        <f>'GASTOS G.N.'!CE11</f>
        <v>12070</v>
      </c>
      <c r="CF91" s="883">
        <f>'GASTOS G.N.'!CF11</f>
        <v>10662</v>
      </c>
      <c r="CG91" s="883">
        <f>'GASTOS G.N.'!CG11</f>
        <v>12260</v>
      </c>
      <c r="CH91" s="883">
        <f>'GASTOS G.N.'!CH11</f>
        <v>11521</v>
      </c>
      <c r="CI91" s="883">
        <f>'GASTOS G.N.'!CI11</f>
        <v>14277</v>
      </c>
      <c r="CJ91" s="883">
        <f>'GASTOS G.N.'!CJ11</f>
        <v>10617</v>
      </c>
      <c r="CK91" s="883">
        <f>'GASTOS G.N.'!CK11</f>
        <v>11849</v>
      </c>
      <c r="CL91" s="883">
        <f>'GASTOS G.N.'!CL11</f>
        <v>15257</v>
      </c>
      <c r="CM91" s="873">
        <f>'GASTOS G.N.'!CM11</f>
        <v>24716</v>
      </c>
      <c r="CN91" s="879">
        <f t="shared" si="464"/>
        <v>151183</v>
      </c>
      <c r="CO91" s="883">
        <f>'GASTOS G.N.'!CO11</f>
        <v>7907</v>
      </c>
      <c r="CP91" s="883">
        <f>'GASTOS G.N.'!CP11</f>
        <v>10810</v>
      </c>
      <c r="CQ91" s="883">
        <f>'GASTOS G.N.'!CQ11</f>
        <v>12184</v>
      </c>
      <c r="CR91" s="883">
        <f>'GASTOS G.N.'!CR11</f>
        <v>9847</v>
      </c>
      <c r="CS91" s="883">
        <f>'GASTOS G.N.'!CS11</f>
        <v>10609</v>
      </c>
      <c r="CT91" s="883">
        <f>'GASTOS G.N.'!CT11</f>
        <v>12945</v>
      </c>
      <c r="CU91" s="883">
        <f>'GASTOS G.N.'!CU11</f>
        <v>12744</v>
      </c>
      <c r="CV91" s="883">
        <f>'GASTOS G.N.'!CV11</f>
        <v>12185</v>
      </c>
      <c r="CW91" s="883">
        <f>'GASTOS G.N.'!CW11</f>
        <v>15291</v>
      </c>
      <c r="CX91" s="883">
        <f>'GASTOS G.N.'!CX11</f>
        <v>15666</v>
      </c>
      <c r="CY91" s="883">
        <f>'GASTOS G.N.'!CY11</f>
        <v>17781</v>
      </c>
      <c r="CZ91" s="873">
        <f>'GASTOS G.N.'!CZ11</f>
        <v>27549</v>
      </c>
      <c r="DA91" s="879">
        <f t="shared" si="466"/>
        <v>165518</v>
      </c>
      <c r="DB91" s="883">
        <f>'GASTOS G.N.'!DB11</f>
        <v>13108</v>
      </c>
      <c r="DC91" s="883">
        <f>'GASTOS G.N.'!DC11</f>
        <v>11947</v>
      </c>
      <c r="DD91" s="883">
        <f>'GASTOS G.N.'!DD11</f>
        <v>13245</v>
      </c>
      <c r="DE91" s="883">
        <f>'GASTOS G.N.'!DE11</f>
        <v>12876</v>
      </c>
      <c r="DF91" s="883">
        <f>'GASTOS G.N.'!DF11</f>
        <v>16030</v>
      </c>
      <c r="DG91" s="883">
        <v>17252</v>
      </c>
      <c r="DH91" s="883">
        <f>'GASTOS G.N.'!DH11</f>
        <v>14672</v>
      </c>
      <c r="DI91" s="883">
        <f>'GASTOS G.N.'!DI11</f>
        <v>14598</v>
      </c>
      <c r="DJ91" s="883">
        <f>'GASTOS G.N.'!DJ11</f>
        <v>16012</v>
      </c>
      <c r="DK91" s="883">
        <f>'GASTOS G.N.'!DK11</f>
        <v>14898</v>
      </c>
      <c r="DL91" s="883">
        <f>'GASTOS G.N.'!DL11</f>
        <v>19444</v>
      </c>
      <c r="DM91" s="873">
        <f>'GASTOS G.N.'!DM11</f>
        <v>24340</v>
      </c>
      <c r="DN91" s="879">
        <f t="shared" si="468"/>
        <v>188422</v>
      </c>
      <c r="DO91" s="883">
        <f>'[1]GASTOS G.N.'!DO11</f>
        <v>10047</v>
      </c>
      <c r="DP91" s="883">
        <f>'[1]GASTOS G.N.'!DP11</f>
        <v>11143</v>
      </c>
      <c r="DQ91" s="883">
        <f>'[1]GASTOS G.N.'!DQ11</f>
        <v>12212</v>
      </c>
      <c r="DR91" s="883">
        <f>'[1]GASTOS G.N.'!DR11</f>
        <v>13043</v>
      </c>
      <c r="DS91" s="883">
        <f>'[1]GASTOS G.N.'!DS11</f>
        <v>13944</v>
      </c>
      <c r="DT91" s="883">
        <f>'[1]GASTOS G.N.'!DT11</f>
        <v>10816</v>
      </c>
      <c r="DU91" s="883">
        <f>'[1]GASTOS G.N.'!DU11</f>
        <v>17574</v>
      </c>
      <c r="DV91" s="883">
        <f>'[1]GASTOS G.N.'!DV11</f>
        <v>14746</v>
      </c>
      <c r="DW91" s="883">
        <f>'[1]GASTOS G.N.'!DW11</f>
        <v>12271</v>
      </c>
      <c r="DX91" s="883">
        <f>'[1]GASTOS G.N.'!DX11</f>
        <v>11686</v>
      </c>
      <c r="DY91" s="883">
        <f>'[1]GASTOS G.N.'!DY11</f>
        <v>13748</v>
      </c>
      <c r="DZ91" s="883">
        <f>'[1]GASTOS G.N.'!DZ11</f>
        <v>22569</v>
      </c>
      <c r="EA91" s="879">
        <f t="shared" si="471"/>
        <v>163799</v>
      </c>
      <c r="EB91" s="883">
        <f>'[1]GASTOS G.N.'!EB11</f>
        <v>4797</v>
      </c>
      <c r="EC91" s="883">
        <f>'[1]GASTOS G.N.'!EC11</f>
        <v>13628</v>
      </c>
      <c r="ED91" s="883">
        <f>'[1]GASTOS G.N.'!ED11</f>
        <v>13670</v>
      </c>
      <c r="EE91" s="883">
        <f>'[1]GASTOS G.N.'!EE11</f>
        <v>14082</v>
      </c>
      <c r="EF91" s="883">
        <f>'[1]GASTOS G.N.'!EF11</f>
        <v>15909</v>
      </c>
      <c r="EG91" s="883">
        <f>'[1]GASTOS G.N.'!EG11</f>
        <v>16727</v>
      </c>
      <c r="EH91" s="883">
        <f>'[1]GASTOS G.N.'!EH11</f>
        <v>14059</v>
      </c>
      <c r="EI91" s="883">
        <f>'[1]GASTOS G.N.'!EI11</f>
        <v>13024</v>
      </c>
      <c r="EJ91" s="883">
        <f>'[1]GASTOS G.N.'!EJ11</f>
        <v>15920</v>
      </c>
      <c r="EK91" s="883">
        <f>'[1]GASTOS G.N.'!EK11</f>
        <v>14567</v>
      </c>
      <c r="EL91" s="883">
        <f>'[1]GASTOS G.N.'!EL11</f>
        <v>16168</v>
      </c>
      <c r="EM91" s="883">
        <f>'[1]GASTOS G.N.'!EM11</f>
        <v>27951</v>
      </c>
      <c r="EN91" s="879">
        <f t="shared" si="475"/>
        <v>180502</v>
      </c>
      <c r="EO91" s="883">
        <f>'[1]GASTOS G.N.'!EO11</f>
        <v>6726</v>
      </c>
      <c r="EP91" s="883">
        <f>'[1]GASTOS G.N.'!EP11</f>
        <v>8797</v>
      </c>
      <c r="EQ91" s="883">
        <f>'[1]GASTOS G.N.'!EQ11</f>
        <v>18944</v>
      </c>
      <c r="ER91" s="883">
        <f>'[1]GASTOS G.N.'!ER11</f>
        <v>17165</v>
      </c>
      <c r="ES91" s="883">
        <f>'[1]GASTOS G.N.'!ES11</f>
        <v>16628</v>
      </c>
      <c r="ET91" s="883">
        <f>'[1]GASTOS G.N.'!ET11</f>
        <v>11428</v>
      </c>
      <c r="EU91" s="883">
        <f>'[1]GASTOS G.N.'!EU11</f>
        <v>13502</v>
      </c>
      <c r="EV91" s="973">
        <f>'[1]GASTOS G.N.'!EV11</f>
        <v>15029</v>
      </c>
      <c r="EW91" s="883"/>
      <c r="EX91" s="883"/>
      <c r="EY91" s="883"/>
      <c r="EZ91" s="873"/>
      <c r="FA91" s="879">
        <f t="shared" si="479"/>
        <v>108219</v>
      </c>
      <c r="FC91" s="843">
        <f>IFERROR(((
_xlfn.XLOOKUP((DATE(YEAR($FC$5),MONTH($FC$5),1)),$B$5:$FA$5,$B91:$FA91) /
_xlfn.XLOOKUP((DATE(YEAR($FC$5)-1,MONTH($FC$5),1)),$B$5:$FA$5,$B91:$FA91)
)-1)*100,"")</f>
        <v>15.394656019656017</v>
      </c>
      <c r="FD91" s="844">
        <f t="shared" si="454"/>
        <v>2.1936617058245789</v>
      </c>
      <c r="FE91" s="845">
        <f t="shared" si="481"/>
        <v>105896</v>
      </c>
      <c r="FF91" s="846">
        <f t="shared" si="455"/>
        <v>108219</v>
      </c>
      <c r="FI91" s="127"/>
    </row>
    <row r="92" spans="1:172" s="110" customFormat="1" ht="15" customHeight="1" x14ac:dyDescent="0.25">
      <c r="A92" s="440" t="s">
        <v>276</v>
      </c>
      <c r="B92" s="885">
        <f t="shared" ref="B92:M92" si="581">SUM(B93:B97)</f>
        <v>0</v>
      </c>
      <c r="C92" s="885">
        <f t="shared" si="581"/>
        <v>0</v>
      </c>
      <c r="D92" s="885">
        <f t="shared" si="581"/>
        <v>0</v>
      </c>
      <c r="E92" s="885">
        <f t="shared" si="581"/>
        <v>0</v>
      </c>
      <c r="F92" s="885">
        <f t="shared" si="581"/>
        <v>0</v>
      </c>
      <c r="G92" s="885">
        <f t="shared" si="581"/>
        <v>0</v>
      </c>
      <c r="H92" s="885">
        <f t="shared" si="581"/>
        <v>0</v>
      </c>
      <c r="I92" s="885">
        <f t="shared" si="581"/>
        <v>0</v>
      </c>
      <c r="J92" s="885">
        <f t="shared" si="581"/>
        <v>0</v>
      </c>
      <c r="K92" s="885">
        <f t="shared" si="581"/>
        <v>0</v>
      </c>
      <c r="L92" s="885">
        <f t="shared" si="581"/>
        <v>0</v>
      </c>
      <c r="M92" s="877">
        <f t="shared" si="581"/>
        <v>0</v>
      </c>
      <c r="N92" s="878">
        <f t="shared" si="435"/>
        <v>0</v>
      </c>
      <c r="O92" s="885">
        <f t="shared" ref="O92:Y92" si="582">SUM(O93:O97)</f>
        <v>0</v>
      </c>
      <c r="P92" s="885">
        <f t="shared" si="582"/>
        <v>0</v>
      </c>
      <c r="Q92" s="885">
        <f t="shared" si="582"/>
        <v>0</v>
      </c>
      <c r="R92" s="885">
        <f t="shared" si="582"/>
        <v>0</v>
      </c>
      <c r="S92" s="885">
        <f t="shared" si="582"/>
        <v>0</v>
      </c>
      <c r="T92" s="885">
        <f t="shared" si="582"/>
        <v>0</v>
      </c>
      <c r="U92" s="885">
        <f t="shared" si="582"/>
        <v>0</v>
      </c>
      <c r="V92" s="885">
        <f t="shared" si="582"/>
        <v>0</v>
      </c>
      <c r="W92" s="885">
        <f t="shared" si="582"/>
        <v>0</v>
      </c>
      <c r="X92" s="885">
        <f t="shared" si="582"/>
        <v>0</v>
      </c>
      <c r="Y92" s="885">
        <f t="shared" si="582"/>
        <v>0</v>
      </c>
      <c r="Z92" s="877">
        <f>SUM(Z93:Z97)</f>
        <v>0</v>
      </c>
      <c r="AA92" s="878">
        <f t="shared" si="437"/>
        <v>0</v>
      </c>
      <c r="AB92" s="885">
        <f t="shared" ref="AB92:AJ92" si="583">SUM(AB93:AB97)</f>
        <v>9630</v>
      </c>
      <c r="AC92" s="885">
        <f t="shared" si="583"/>
        <v>11335</v>
      </c>
      <c r="AD92" s="885">
        <f t="shared" si="583"/>
        <v>15983</v>
      </c>
      <c r="AE92" s="885">
        <f t="shared" si="583"/>
        <v>13413</v>
      </c>
      <c r="AF92" s="885">
        <f t="shared" si="583"/>
        <v>16880</v>
      </c>
      <c r="AG92" s="885">
        <f t="shared" si="583"/>
        <v>17074</v>
      </c>
      <c r="AH92" s="885">
        <f t="shared" si="583"/>
        <v>16059</v>
      </c>
      <c r="AI92" s="885">
        <f t="shared" si="583"/>
        <v>15508</v>
      </c>
      <c r="AJ92" s="885">
        <f t="shared" si="583"/>
        <v>11435</v>
      </c>
      <c r="AK92" s="885">
        <f>SUM(AK93:AK97)</f>
        <v>13606</v>
      </c>
      <c r="AL92" s="885">
        <f>SUM(AL93:AL97)</f>
        <v>15479</v>
      </c>
      <c r="AM92" s="877">
        <f>SUM(AM93:AM97)</f>
        <v>22978</v>
      </c>
      <c r="AN92" s="878">
        <f t="shared" si="439"/>
        <v>179380</v>
      </c>
      <c r="AO92" s="885">
        <f t="shared" ref="AO92:AW92" si="584">SUM(AO93:AO97)</f>
        <v>8760</v>
      </c>
      <c r="AP92" s="885">
        <f t="shared" si="584"/>
        <v>12477</v>
      </c>
      <c r="AQ92" s="885">
        <f t="shared" si="584"/>
        <v>15270</v>
      </c>
      <c r="AR92" s="885">
        <f t="shared" si="584"/>
        <v>15179</v>
      </c>
      <c r="AS92" s="885">
        <f t="shared" si="584"/>
        <v>17790</v>
      </c>
      <c r="AT92" s="885">
        <f t="shared" si="584"/>
        <v>15494</v>
      </c>
      <c r="AU92" s="885">
        <f t="shared" si="584"/>
        <v>16376</v>
      </c>
      <c r="AV92" s="885">
        <f t="shared" si="584"/>
        <v>13755</v>
      </c>
      <c r="AW92" s="885">
        <f t="shared" si="584"/>
        <v>11390</v>
      </c>
      <c r="AX92" s="885">
        <f>SUM(AX93:AX97)</f>
        <v>15295</v>
      </c>
      <c r="AY92" s="885">
        <f>SUM(AY93:AY97)</f>
        <v>16692</v>
      </c>
      <c r="AZ92" s="877">
        <f>SUM(AZ93:AZ97)</f>
        <v>18325</v>
      </c>
      <c r="BA92" s="878">
        <f t="shared" si="441"/>
        <v>176803</v>
      </c>
      <c r="BB92" s="885">
        <f t="shared" ref="BB92:BJ92" si="585">SUM(BB93:BB97)</f>
        <v>6736</v>
      </c>
      <c r="BC92" s="885">
        <f t="shared" si="585"/>
        <v>12154</v>
      </c>
      <c r="BD92" s="885">
        <f t="shared" si="585"/>
        <v>15572</v>
      </c>
      <c r="BE92" s="885">
        <f t="shared" si="585"/>
        <v>16397</v>
      </c>
      <c r="BF92" s="885">
        <f t="shared" si="585"/>
        <v>18416</v>
      </c>
      <c r="BG92" s="885">
        <f t="shared" si="585"/>
        <v>16832</v>
      </c>
      <c r="BH92" s="885">
        <f t="shared" si="585"/>
        <v>19345</v>
      </c>
      <c r="BI92" s="885">
        <f t="shared" si="585"/>
        <v>14755</v>
      </c>
      <c r="BJ92" s="885">
        <f t="shared" si="585"/>
        <v>14631</v>
      </c>
      <c r="BK92" s="885">
        <f>SUM(BK93:BK97)</f>
        <v>14286</v>
      </c>
      <c r="BL92" s="885">
        <f>SUM(BL93:BL97)</f>
        <v>16314</v>
      </c>
      <c r="BM92" s="877">
        <f>SUM(BM93:BM97)</f>
        <v>21179</v>
      </c>
      <c r="BN92" s="878">
        <f t="shared" si="460"/>
        <v>186617</v>
      </c>
      <c r="BO92" s="885">
        <f t="shared" ref="BO92:BZ92" si="586">SUM(BO93:BO97)</f>
        <v>12850</v>
      </c>
      <c r="BP92" s="885">
        <f t="shared" si="586"/>
        <v>13356</v>
      </c>
      <c r="BQ92" s="885">
        <f t="shared" si="586"/>
        <v>19276</v>
      </c>
      <c r="BR92" s="885">
        <f t="shared" si="586"/>
        <v>13180</v>
      </c>
      <c r="BS92" s="885">
        <f t="shared" si="586"/>
        <v>12808</v>
      </c>
      <c r="BT92" s="885">
        <f t="shared" si="586"/>
        <v>13064</v>
      </c>
      <c r="BU92" s="885">
        <f t="shared" si="586"/>
        <v>24920</v>
      </c>
      <c r="BV92" s="885">
        <f t="shared" si="586"/>
        <v>17654</v>
      </c>
      <c r="BW92" s="885">
        <f t="shared" si="586"/>
        <v>21832</v>
      </c>
      <c r="BX92" s="885">
        <f t="shared" si="586"/>
        <v>29186</v>
      </c>
      <c r="BY92" s="885">
        <f t="shared" si="586"/>
        <v>28705</v>
      </c>
      <c r="BZ92" s="877">
        <f t="shared" si="586"/>
        <v>44766</v>
      </c>
      <c r="CA92" s="878">
        <f t="shared" si="462"/>
        <v>251597</v>
      </c>
      <c r="CB92" s="885">
        <f t="shared" ref="CB92:CM92" si="587">SUM(CB93:CB97)</f>
        <v>9439</v>
      </c>
      <c r="CC92" s="885">
        <f t="shared" si="587"/>
        <v>12509</v>
      </c>
      <c r="CD92" s="885">
        <f t="shared" si="587"/>
        <v>23020</v>
      </c>
      <c r="CE92" s="885">
        <f t="shared" si="587"/>
        <v>20137</v>
      </c>
      <c r="CF92" s="885">
        <f t="shared" si="587"/>
        <v>22318</v>
      </c>
      <c r="CG92" s="885">
        <f t="shared" si="587"/>
        <v>20503</v>
      </c>
      <c r="CH92" s="885">
        <f t="shared" si="587"/>
        <v>19816</v>
      </c>
      <c r="CI92" s="885">
        <f t="shared" si="587"/>
        <v>21615</v>
      </c>
      <c r="CJ92" s="885">
        <f t="shared" si="587"/>
        <v>22424</v>
      </c>
      <c r="CK92" s="885">
        <f t="shared" si="587"/>
        <v>18878</v>
      </c>
      <c r="CL92" s="885">
        <f t="shared" si="587"/>
        <v>23173</v>
      </c>
      <c r="CM92" s="877">
        <f t="shared" si="587"/>
        <v>38329</v>
      </c>
      <c r="CN92" s="878">
        <f t="shared" si="464"/>
        <v>252161</v>
      </c>
      <c r="CO92" s="885">
        <f t="shared" ref="CO92:CZ92" si="588">SUM(CO93:CO97)</f>
        <v>10263</v>
      </c>
      <c r="CP92" s="885">
        <f t="shared" si="588"/>
        <v>17328</v>
      </c>
      <c r="CQ92" s="885">
        <f t="shared" si="588"/>
        <v>25279</v>
      </c>
      <c r="CR92" s="885">
        <f t="shared" si="588"/>
        <v>18897</v>
      </c>
      <c r="CS92" s="885">
        <f t="shared" si="588"/>
        <v>24205</v>
      </c>
      <c r="CT92" s="885">
        <f t="shared" si="588"/>
        <v>23301</v>
      </c>
      <c r="CU92" s="885">
        <f t="shared" si="588"/>
        <v>25782</v>
      </c>
      <c r="CV92" s="885">
        <f t="shared" si="588"/>
        <v>24413</v>
      </c>
      <c r="CW92" s="885">
        <f t="shared" si="588"/>
        <v>23113</v>
      </c>
      <c r="CX92" s="885">
        <f t="shared" si="588"/>
        <v>22365</v>
      </c>
      <c r="CY92" s="885">
        <f t="shared" si="588"/>
        <v>23081</v>
      </c>
      <c r="CZ92" s="877">
        <f t="shared" si="588"/>
        <v>33601</v>
      </c>
      <c r="DA92" s="878">
        <f t="shared" si="466"/>
        <v>271628</v>
      </c>
      <c r="DB92" s="885">
        <f t="shared" ref="DB92:DM92" si="589">SUM(DB93:DB97)</f>
        <v>8454</v>
      </c>
      <c r="DC92" s="885">
        <f t="shared" si="589"/>
        <v>18409</v>
      </c>
      <c r="DD92" s="885">
        <f t="shared" si="589"/>
        <v>40.245747058191988</v>
      </c>
      <c r="DE92" s="885">
        <f>SUM(DE93:DE97)</f>
        <v>50.750119384632931</v>
      </c>
      <c r="DF92" s="885">
        <f t="shared" si="589"/>
        <v>223954</v>
      </c>
      <c r="DG92" s="885">
        <f t="shared" si="589"/>
        <v>245664</v>
      </c>
      <c r="DH92" s="885">
        <f t="shared" si="589"/>
        <v>0</v>
      </c>
      <c r="DI92" s="885">
        <f t="shared" si="589"/>
        <v>0</v>
      </c>
      <c r="DJ92" s="885">
        <f t="shared" si="589"/>
        <v>0</v>
      </c>
      <c r="DK92" s="885">
        <f t="shared" si="589"/>
        <v>0</v>
      </c>
      <c r="DL92" s="885">
        <f t="shared" si="589"/>
        <v>0</v>
      </c>
      <c r="DM92" s="877">
        <f t="shared" si="589"/>
        <v>0</v>
      </c>
      <c r="DN92" s="878">
        <f t="shared" si="468"/>
        <v>496571.9958664428</v>
      </c>
      <c r="DO92" s="885">
        <f>SUM(DO93:DO97)</f>
        <v>10370</v>
      </c>
      <c r="DP92" s="885">
        <f>SUM(DP93:DP97)</f>
        <v>22057</v>
      </c>
      <c r="DQ92" s="885">
        <f>SUM(DQ93:DQ97)</f>
        <v>25731</v>
      </c>
      <c r="DR92" s="885">
        <f t="shared" ref="DR92:DZ92" si="590">SUM(DR93:DR97)</f>
        <v>28294</v>
      </c>
      <c r="DS92" s="885">
        <f t="shared" si="590"/>
        <v>31106</v>
      </c>
      <c r="DT92" s="885">
        <f t="shared" si="590"/>
        <v>28275</v>
      </c>
      <c r="DU92" s="885">
        <f t="shared" si="590"/>
        <v>28430</v>
      </c>
      <c r="DV92" s="885">
        <f t="shared" si="590"/>
        <v>29469</v>
      </c>
      <c r="DW92" s="885">
        <f t="shared" si="590"/>
        <v>27761</v>
      </c>
      <c r="DX92" s="885">
        <f t="shared" si="590"/>
        <v>28863</v>
      </c>
      <c r="DY92" s="885">
        <f t="shared" si="590"/>
        <v>30928</v>
      </c>
      <c r="DZ92" s="885">
        <f t="shared" si="590"/>
        <v>43508</v>
      </c>
      <c r="EA92" s="878">
        <f t="shared" si="471"/>
        <v>334792</v>
      </c>
      <c r="EB92" s="885">
        <f t="shared" ref="EB92:ED92" si="591">SUM(EB93:EB97)</f>
        <v>13233</v>
      </c>
      <c r="EC92" s="885">
        <f t="shared" si="591"/>
        <v>26521</v>
      </c>
      <c r="ED92" s="885">
        <f t="shared" si="591"/>
        <v>28108</v>
      </c>
      <c r="EE92" s="885">
        <f t="shared" ref="EE92:EH92" si="592">SUM(EE93:EE97)</f>
        <v>31018</v>
      </c>
      <c r="EF92" s="885">
        <f t="shared" si="592"/>
        <v>33099</v>
      </c>
      <c r="EG92" s="885">
        <f t="shared" si="592"/>
        <v>29669</v>
      </c>
      <c r="EH92" s="885">
        <f t="shared" si="592"/>
        <v>32434</v>
      </c>
      <c r="EI92" s="885">
        <f t="shared" ref="EI92:EM92" si="593">SUM(EI93:EI97)</f>
        <v>29872</v>
      </c>
      <c r="EJ92" s="885">
        <f t="shared" si="593"/>
        <v>29015</v>
      </c>
      <c r="EK92" s="885">
        <f t="shared" si="593"/>
        <v>31033</v>
      </c>
      <c r="EL92" s="885">
        <f t="shared" si="593"/>
        <v>25712</v>
      </c>
      <c r="EM92" s="885">
        <f t="shared" si="593"/>
        <v>36935</v>
      </c>
      <c r="EN92" s="878">
        <f t="shared" si="475"/>
        <v>346649</v>
      </c>
      <c r="EO92" s="885">
        <f t="shared" ref="EO92:ET92" si="594">SUM(EO93:EO97)</f>
        <v>15368</v>
      </c>
      <c r="EP92" s="885">
        <f t="shared" si="594"/>
        <v>29639</v>
      </c>
      <c r="EQ92" s="885">
        <f t="shared" si="594"/>
        <v>31964</v>
      </c>
      <c r="ER92" s="885">
        <f t="shared" si="594"/>
        <v>30603</v>
      </c>
      <c r="ES92" s="885">
        <f t="shared" ref="ES92" si="595">SUM(ES93:ES97)</f>
        <v>34594</v>
      </c>
      <c r="ET92" s="885">
        <f t="shared" si="594"/>
        <v>32753</v>
      </c>
      <c r="EU92" s="885">
        <f>SUM(EU93:EU97)</f>
        <v>36412</v>
      </c>
      <c r="EV92" s="972">
        <f>SUM(EV93:EV97)</f>
        <v>34331</v>
      </c>
      <c r="EW92" s="885"/>
      <c r="EX92" s="885"/>
      <c r="EY92" s="885"/>
      <c r="EZ92" s="877"/>
      <c r="FA92" s="878">
        <f t="shared" si="479"/>
        <v>245664</v>
      </c>
      <c r="FC92" s="851">
        <f t="shared" si="480"/>
        <v>14.927021960364218</v>
      </c>
      <c r="FD92" s="852">
        <f t="shared" si="454"/>
        <v>9.6939550086178485</v>
      </c>
      <c r="FE92" s="853">
        <f t="shared" si="481"/>
        <v>223954</v>
      </c>
      <c r="FF92" s="854">
        <f t="shared" si="455"/>
        <v>245664</v>
      </c>
      <c r="FG92"/>
      <c r="FI92" s="236"/>
      <c r="FJ92"/>
      <c r="FK92"/>
      <c r="FL92"/>
      <c r="FM92"/>
      <c r="FN92"/>
      <c r="FO92"/>
      <c r="FP92"/>
    </row>
    <row r="93" spans="1:172" ht="15" customHeight="1" x14ac:dyDescent="0.25">
      <c r="A93" s="403" t="s">
        <v>274</v>
      </c>
      <c r="B93" s="883"/>
      <c r="C93" s="883"/>
      <c r="D93" s="883"/>
      <c r="E93" s="883"/>
      <c r="F93" s="883"/>
      <c r="G93" s="883"/>
      <c r="H93" s="883"/>
      <c r="I93" s="883"/>
      <c r="J93" s="883"/>
      <c r="K93" s="883"/>
      <c r="L93" s="883"/>
      <c r="M93" s="873"/>
      <c r="N93" s="879">
        <f t="shared" si="435"/>
        <v>0</v>
      </c>
      <c r="O93" s="883"/>
      <c r="P93" s="883"/>
      <c r="Q93" s="883"/>
      <c r="R93" s="883"/>
      <c r="S93" s="883"/>
      <c r="T93" s="883"/>
      <c r="U93" s="883"/>
      <c r="V93" s="883"/>
      <c r="W93" s="883"/>
      <c r="X93" s="883"/>
      <c r="Y93" s="883"/>
      <c r="Z93" s="873"/>
      <c r="AA93" s="879">
        <f t="shared" si="437"/>
        <v>0</v>
      </c>
      <c r="AB93" s="883">
        <v>3118</v>
      </c>
      <c r="AC93" s="883">
        <v>2106</v>
      </c>
      <c r="AD93" s="883">
        <v>2717</v>
      </c>
      <c r="AE93" s="883">
        <v>2675</v>
      </c>
      <c r="AF93" s="883">
        <v>2611</v>
      </c>
      <c r="AG93" s="883">
        <v>2654</v>
      </c>
      <c r="AH93" s="883">
        <v>3152</v>
      </c>
      <c r="AI93" s="883">
        <v>2546</v>
      </c>
      <c r="AJ93" s="883">
        <v>2287</v>
      </c>
      <c r="AK93" s="883">
        <v>2735</v>
      </c>
      <c r="AL93" s="883">
        <v>2619</v>
      </c>
      <c r="AM93" s="873">
        <v>2996</v>
      </c>
      <c r="AN93" s="879">
        <f t="shared" si="439"/>
        <v>32216</v>
      </c>
      <c r="AO93" s="883">
        <v>3320</v>
      </c>
      <c r="AP93" s="883">
        <v>2288</v>
      </c>
      <c r="AQ93" s="883">
        <v>3175</v>
      </c>
      <c r="AR93" s="883">
        <v>2745</v>
      </c>
      <c r="AS93" s="883">
        <v>2797</v>
      </c>
      <c r="AT93" s="883">
        <v>2608</v>
      </c>
      <c r="AU93" s="883">
        <v>3477</v>
      </c>
      <c r="AV93" s="883">
        <v>2518</v>
      </c>
      <c r="AW93" s="883">
        <v>2308</v>
      </c>
      <c r="AX93" s="883">
        <v>2973</v>
      </c>
      <c r="AY93" s="883">
        <v>2609</v>
      </c>
      <c r="AZ93" s="873">
        <v>3575</v>
      </c>
      <c r="BA93" s="879">
        <f t="shared" si="441"/>
        <v>34393</v>
      </c>
      <c r="BB93" s="883">
        <f>'GASTOS G.L.'!BB9</f>
        <v>4242</v>
      </c>
      <c r="BC93" s="883">
        <f>'GASTOS G.L.'!BC9</f>
        <v>1185</v>
      </c>
      <c r="BD93" s="883">
        <f>'GASTOS G.L.'!BD9</f>
        <v>2107</v>
      </c>
      <c r="BE93" s="883">
        <f>'GASTOS G.L.'!BE9</f>
        <v>2525</v>
      </c>
      <c r="BF93" s="883">
        <f>'GASTOS G.L.'!BF9</f>
        <v>2574</v>
      </c>
      <c r="BG93" s="883">
        <f>'GASTOS G.L.'!BG9</f>
        <v>2256</v>
      </c>
      <c r="BH93" s="883">
        <f>'GASTOS G.L.'!BH9</f>
        <v>2972</v>
      </c>
      <c r="BI93" s="883">
        <f>'GASTOS G.L.'!BI9</f>
        <v>2085</v>
      </c>
      <c r="BJ93" s="883">
        <f>'GASTOS G.L.'!BJ9</f>
        <v>2215</v>
      </c>
      <c r="BK93" s="883">
        <f>'GASTOS G.L.'!BK9</f>
        <v>2466</v>
      </c>
      <c r="BL93" s="883">
        <f>'GASTOS G.L.'!BL9</f>
        <v>2282</v>
      </c>
      <c r="BM93" s="873">
        <f>'GASTOS G.L.'!BM9</f>
        <v>3058</v>
      </c>
      <c r="BN93" s="879">
        <f t="shared" si="460"/>
        <v>29967</v>
      </c>
      <c r="BO93" s="883">
        <f>'GASTOS G.L.'!BO9</f>
        <v>3105</v>
      </c>
      <c r="BP93" s="883">
        <f>'GASTOS G.L.'!BP9</f>
        <v>2284</v>
      </c>
      <c r="BQ93" s="883">
        <f>'GASTOS G.L.'!BQ9</f>
        <v>2656</v>
      </c>
      <c r="BR93" s="883">
        <f>'GASTOS G.L.'!BR9</f>
        <v>2105</v>
      </c>
      <c r="BS93" s="883">
        <f>'GASTOS G.L.'!BS9</f>
        <v>2702</v>
      </c>
      <c r="BT93" s="883">
        <f>'GASTOS G.L.'!BT9</f>
        <v>2091</v>
      </c>
      <c r="BU93" s="883">
        <f>'GASTOS G.L.'!BU9</f>
        <v>3060</v>
      </c>
      <c r="BV93" s="883">
        <f>'GASTOS G.L.'!BV9</f>
        <v>2114</v>
      </c>
      <c r="BW93" s="883">
        <f>'GASTOS G.L.'!BW9</f>
        <v>2005</v>
      </c>
      <c r="BX93" s="883">
        <f>'GASTOS G.L.'!BX9</f>
        <v>2230</v>
      </c>
      <c r="BY93" s="883">
        <f>'GASTOS G.L.'!BY9</f>
        <v>2472</v>
      </c>
      <c r="BZ93" s="873">
        <f>'GASTOS G.L.'!BZ9</f>
        <v>3235</v>
      </c>
      <c r="CA93" s="879">
        <f t="shared" si="462"/>
        <v>30059</v>
      </c>
      <c r="CB93" s="883">
        <f>'GASTOS G.L.'!CB9</f>
        <v>2716</v>
      </c>
      <c r="CC93" s="883">
        <f>'GASTOS G.L.'!CC9</f>
        <v>1517</v>
      </c>
      <c r="CD93" s="883">
        <f>'GASTOS G.L.'!CD9</f>
        <v>2790</v>
      </c>
      <c r="CE93" s="883">
        <f>'GASTOS G.L.'!CE9</f>
        <v>2504</v>
      </c>
      <c r="CF93" s="883">
        <f>'GASTOS G.L.'!CF9</f>
        <v>2416</v>
      </c>
      <c r="CG93" s="883">
        <f>'GASTOS G.L.'!CG9</f>
        <v>2290</v>
      </c>
      <c r="CH93" s="883">
        <f>'GASTOS G.L.'!CH9</f>
        <v>2865</v>
      </c>
      <c r="CI93" s="883">
        <f>'GASTOS G.L.'!CI9</f>
        <v>1978</v>
      </c>
      <c r="CJ93" s="883">
        <f>'GASTOS G.L.'!CJ9</f>
        <v>2043</v>
      </c>
      <c r="CK93" s="883">
        <f>'GASTOS G.L.'!CK9</f>
        <v>2144</v>
      </c>
      <c r="CL93" s="883">
        <f>'GASTOS G.L.'!CL9</f>
        <v>2499</v>
      </c>
      <c r="CM93" s="873">
        <f>'GASTOS G.L.'!CM9</f>
        <v>3205</v>
      </c>
      <c r="CN93" s="879">
        <f t="shared" si="464"/>
        <v>28967</v>
      </c>
      <c r="CO93" s="883">
        <f>'GASTOS G.L.'!CO9</f>
        <v>2649</v>
      </c>
      <c r="CP93" s="883">
        <f>'GASTOS G.L.'!CP9</f>
        <v>1965</v>
      </c>
      <c r="CQ93" s="883">
        <f>'GASTOS G.L.'!CQ9</f>
        <v>2102</v>
      </c>
      <c r="CR93" s="883">
        <f>'GASTOS G.L.'!CR9</f>
        <v>2177</v>
      </c>
      <c r="CS93" s="883">
        <f>'GASTOS G.L.'!CS9</f>
        <v>2270</v>
      </c>
      <c r="CT93" s="883">
        <f>'GASTOS G.L.'!CT9</f>
        <v>2114</v>
      </c>
      <c r="CU93" s="883">
        <f>'GASTOS G.L.'!CU9</f>
        <v>2829</v>
      </c>
      <c r="CV93" s="883">
        <f>'GASTOS G.L.'!CV9</f>
        <v>2321</v>
      </c>
      <c r="CW93" s="883">
        <f>'GASTOS G.L.'!CW9</f>
        <v>2114</v>
      </c>
      <c r="CX93" s="883">
        <f>'GASTOS G.L.'!CX9</f>
        <v>2507</v>
      </c>
      <c r="CY93" s="883">
        <f>'GASTOS G.L.'!CY9</f>
        <v>2894</v>
      </c>
      <c r="CZ93" s="873">
        <f>'GASTOS G.L.'!CZ9</f>
        <v>4005</v>
      </c>
      <c r="DA93" s="879">
        <f t="shared" si="466"/>
        <v>29947</v>
      </c>
      <c r="DB93" s="883">
        <f>'GASTOS G.L.'!DB9</f>
        <v>2639</v>
      </c>
      <c r="DC93" s="883">
        <f>'GASTOS G.L.'!DC9</f>
        <v>2217</v>
      </c>
      <c r="DD93" s="883">
        <f>'GASTOS G.L.'!FC9</f>
        <v>0.7704938739421463</v>
      </c>
      <c r="DE93" s="883">
        <f>'GASTOS G.L.'!FD9</f>
        <v>8.7262856097114714</v>
      </c>
      <c r="DF93" s="883">
        <f>'GASTOS G.L.'!FE9</f>
        <v>65572</v>
      </c>
      <c r="DG93" s="883">
        <f>'GASTOS G.L.'!FF9</f>
        <v>71294</v>
      </c>
      <c r="DH93" s="883">
        <f>'GASTOS G.L.'!FG9</f>
        <v>0</v>
      </c>
      <c r="DI93" s="883">
        <f>'GASTOS G.L.'!FH9</f>
        <v>0</v>
      </c>
      <c r="DJ93" s="883">
        <f>'GASTOS G.L.'!FI9</f>
        <v>0</v>
      </c>
      <c r="DK93" s="883">
        <f>'GASTOS G.L.'!FJ9</f>
        <v>0</v>
      </c>
      <c r="DL93" s="883">
        <f>'GASTOS G.L.'!FK9</f>
        <v>0</v>
      </c>
      <c r="DM93" s="873">
        <f>'GASTOS G.L.'!FL9</f>
        <v>0</v>
      </c>
      <c r="DN93" s="879">
        <f t="shared" si="468"/>
        <v>141731.49677948366</v>
      </c>
      <c r="DO93" s="883">
        <f>'[1]GASTOS G.L.'!DO9</f>
        <v>6263</v>
      </c>
      <c r="DP93" s="883">
        <f>'[1]GASTOS G.L.'!DP9</f>
        <v>5876</v>
      </c>
      <c r="DQ93" s="883">
        <f>'[1]GASTOS G.L.'!DQ9</f>
        <v>6087</v>
      </c>
      <c r="DR93" s="883">
        <f>'[1]GASTOS G.L.'!DR9</f>
        <v>7427</v>
      </c>
      <c r="DS93" s="883">
        <f>'[1]GASTOS G.L.'!DS9</f>
        <v>7782</v>
      </c>
      <c r="DT93" s="883">
        <f>'[1]GASTOS G.L.'!DT9</f>
        <v>6839</v>
      </c>
      <c r="DU93" s="883">
        <f>'[1]GASTOS G.L.'!DU9</f>
        <v>8346</v>
      </c>
      <c r="DV93" s="883">
        <f>'[1]GASTOS G.L.'!DV9</f>
        <v>6670</v>
      </c>
      <c r="DW93" s="883">
        <f>'[1]GASTOS G.L.'!DW9</f>
        <v>6883</v>
      </c>
      <c r="DX93" s="883">
        <f>'[1]GASTOS G.L.'!DX9</f>
        <v>8090</v>
      </c>
      <c r="DY93" s="883">
        <f>'[1]GASTOS G.L.'!DY9</f>
        <v>8041</v>
      </c>
      <c r="DZ93" s="883">
        <f>'[1]GASTOS G.L.'!DZ9</f>
        <v>9712</v>
      </c>
      <c r="EA93" s="879">
        <f t="shared" si="471"/>
        <v>88016</v>
      </c>
      <c r="EB93" s="883">
        <f>'[1]GASTOS G.L.'!EB9</f>
        <v>7286</v>
      </c>
      <c r="EC93" s="883">
        <f>'[1]GASTOS G.L.'!EC9</f>
        <v>7210</v>
      </c>
      <c r="ED93" s="883">
        <f>'[1]GASTOS G.L.'!ED9</f>
        <v>8536</v>
      </c>
      <c r="EE93" s="883">
        <f>'[1]GASTOS G.L.'!EE9</f>
        <v>8338</v>
      </c>
      <c r="EF93" s="883">
        <f>'[1]GASTOS G.L.'!EF9</f>
        <v>8432</v>
      </c>
      <c r="EG93" s="883">
        <f>'[1]GASTOS G.L.'!EG9</f>
        <v>8051</v>
      </c>
      <c r="EH93" s="883">
        <f>'[1]GASTOS G.L.'!EH9</f>
        <v>9802</v>
      </c>
      <c r="EI93" s="883">
        <f>'[1]GASTOS G.L.'!EI9</f>
        <v>7917</v>
      </c>
      <c r="EJ93" s="883">
        <f>'[1]GASTOS G.L.'!EJ9</f>
        <v>8336</v>
      </c>
      <c r="EK93" s="883">
        <f>'[1]GASTOS G.L.'!EK9</f>
        <v>9488</v>
      </c>
      <c r="EL93" s="883">
        <f>'[1]GASTOS G.L.'!EL9</f>
        <v>8528</v>
      </c>
      <c r="EM93" s="883">
        <f>'[1]GASTOS G.L.'!EM9</f>
        <v>11830</v>
      </c>
      <c r="EN93" s="879">
        <f t="shared" si="475"/>
        <v>103754</v>
      </c>
      <c r="EO93" s="883">
        <f>'[1]GASTOS G.L.'!EO9</f>
        <v>9081</v>
      </c>
      <c r="EP93" s="883">
        <f>'[1]GASTOS G.L.'!EP9</f>
        <v>10465</v>
      </c>
      <c r="EQ93" s="883">
        <f>'[1]GASTOS G.L.'!EQ9</f>
        <v>8494</v>
      </c>
      <c r="ER93" s="883">
        <f>'[1]GASTOS G.L.'!ER9</f>
        <v>8947</v>
      </c>
      <c r="ES93" s="883">
        <f>'[1]GASTOS G.L.'!ES9</f>
        <v>8638</v>
      </c>
      <c r="ET93" s="883">
        <f>'[1]GASTOS G.L.'!ET9</f>
        <v>7784</v>
      </c>
      <c r="EU93" s="883">
        <f>'[1]GASTOS G.L.'!EU9</f>
        <v>9907</v>
      </c>
      <c r="EV93" s="973">
        <f>'[1]GASTOS G.L.'!EV9</f>
        <v>7978</v>
      </c>
      <c r="EW93" s="883"/>
      <c r="EX93" s="883"/>
      <c r="EY93" s="883"/>
      <c r="EZ93" s="873"/>
      <c r="FA93" s="879">
        <f t="shared" si="479"/>
        <v>71294</v>
      </c>
      <c r="FC93" s="843">
        <f t="shared" si="480"/>
        <v>0.7704938739421463</v>
      </c>
      <c r="FD93" s="844">
        <f t="shared" si="454"/>
        <v>8.7262856097114714</v>
      </c>
      <c r="FE93" s="845">
        <f t="shared" si="481"/>
        <v>65572</v>
      </c>
      <c r="FF93" s="846">
        <f t="shared" si="455"/>
        <v>71294</v>
      </c>
      <c r="FI93" s="127"/>
    </row>
    <row r="94" spans="1:172" ht="15" customHeight="1" x14ac:dyDescent="0.25">
      <c r="A94" s="403" t="s">
        <v>333</v>
      </c>
      <c r="B94" s="883"/>
      <c r="C94" s="883"/>
      <c r="D94" s="883"/>
      <c r="E94" s="883"/>
      <c r="F94" s="883"/>
      <c r="G94" s="883"/>
      <c r="H94" s="883"/>
      <c r="I94" s="883"/>
      <c r="J94" s="883"/>
      <c r="K94" s="883"/>
      <c r="L94" s="883"/>
      <c r="M94" s="873"/>
      <c r="N94" s="879">
        <f t="shared" si="435"/>
        <v>0</v>
      </c>
      <c r="O94" s="883"/>
      <c r="P94" s="883"/>
      <c r="Q94" s="883"/>
      <c r="R94" s="883"/>
      <c r="S94" s="883"/>
      <c r="T94" s="883"/>
      <c r="U94" s="883"/>
      <c r="V94" s="883"/>
      <c r="W94" s="883"/>
      <c r="X94" s="883"/>
      <c r="Y94" s="883"/>
      <c r="Z94" s="873"/>
      <c r="AA94" s="879">
        <f t="shared" si="437"/>
        <v>0</v>
      </c>
      <c r="AB94" s="883">
        <v>86</v>
      </c>
      <c r="AC94" s="883">
        <v>342</v>
      </c>
      <c r="AD94" s="883">
        <v>1275</v>
      </c>
      <c r="AE94" s="883">
        <v>387</v>
      </c>
      <c r="AF94" s="883">
        <v>1109</v>
      </c>
      <c r="AG94" s="883">
        <v>1177</v>
      </c>
      <c r="AH94" s="883">
        <v>1132</v>
      </c>
      <c r="AI94" s="883">
        <v>980</v>
      </c>
      <c r="AJ94" s="883">
        <v>779</v>
      </c>
      <c r="AK94" s="883">
        <v>906</v>
      </c>
      <c r="AL94" s="883">
        <v>1385</v>
      </c>
      <c r="AM94" s="873">
        <v>2171</v>
      </c>
      <c r="AN94" s="879">
        <f t="shared" si="439"/>
        <v>11729</v>
      </c>
      <c r="AO94" s="883">
        <v>67</v>
      </c>
      <c r="AP94" s="883">
        <v>665</v>
      </c>
      <c r="AQ94" s="883">
        <v>516</v>
      </c>
      <c r="AR94" s="883">
        <v>811</v>
      </c>
      <c r="AS94" s="883">
        <v>1172</v>
      </c>
      <c r="AT94" s="883">
        <v>722</v>
      </c>
      <c r="AU94" s="883">
        <v>1584</v>
      </c>
      <c r="AV94" s="883">
        <v>731</v>
      </c>
      <c r="AW94" s="883">
        <v>848</v>
      </c>
      <c r="AX94" s="883">
        <v>1149</v>
      </c>
      <c r="AY94" s="883">
        <v>1246</v>
      </c>
      <c r="AZ94" s="873">
        <v>1861</v>
      </c>
      <c r="BA94" s="879">
        <f t="shared" si="441"/>
        <v>11372</v>
      </c>
      <c r="BB94" s="883">
        <f>'GASTOS G.L.'!BB10</f>
        <v>213</v>
      </c>
      <c r="BC94" s="883">
        <f>'GASTOS G.L.'!BC10</f>
        <v>225</v>
      </c>
      <c r="BD94" s="883">
        <f>'GASTOS G.L.'!BD10</f>
        <v>272</v>
      </c>
      <c r="BE94" s="883">
        <f>'GASTOS G.L.'!BE10</f>
        <v>757</v>
      </c>
      <c r="BF94" s="883">
        <f>'GASTOS G.L.'!BF10</f>
        <v>777</v>
      </c>
      <c r="BG94" s="883">
        <f>'GASTOS G.L.'!BG10</f>
        <v>1125</v>
      </c>
      <c r="BH94" s="883">
        <f>'GASTOS G.L.'!BH10</f>
        <v>844</v>
      </c>
      <c r="BI94" s="883">
        <f>'GASTOS G.L.'!BI10</f>
        <v>680</v>
      </c>
      <c r="BJ94" s="883">
        <f>'GASTOS G.L.'!BJ10</f>
        <v>838</v>
      </c>
      <c r="BK94" s="883">
        <f>'GASTOS G.L.'!BK10</f>
        <v>776</v>
      </c>
      <c r="BL94" s="883">
        <f>'GASTOS G.L.'!BL10</f>
        <v>1935</v>
      </c>
      <c r="BM94" s="873">
        <f>'GASTOS G.L.'!BM10</f>
        <v>3006</v>
      </c>
      <c r="BN94" s="879">
        <f t="shared" si="460"/>
        <v>11448</v>
      </c>
      <c r="BO94" s="883">
        <f>'GASTOS G.L.'!BO10</f>
        <v>133</v>
      </c>
      <c r="BP94" s="883">
        <f>'GASTOS G.L.'!BP10</f>
        <v>434</v>
      </c>
      <c r="BQ94" s="883">
        <f>'GASTOS G.L.'!BQ10</f>
        <v>223</v>
      </c>
      <c r="BR94" s="883">
        <f>'GASTOS G.L.'!BR10</f>
        <v>426</v>
      </c>
      <c r="BS94" s="883">
        <f>'GASTOS G.L.'!BS10</f>
        <v>422</v>
      </c>
      <c r="BT94" s="883">
        <f>'GASTOS G.L.'!BT10</f>
        <v>927</v>
      </c>
      <c r="BU94" s="883">
        <f>'GASTOS G.L.'!BU10</f>
        <v>959</v>
      </c>
      <c r="BV94" s="883">
        <f>'GASTOS G.L.'!BV10</f>
        <v>1287</v>
      </c>
      <c r="BW94" s="883">
        <f>'GASTOS G.L.'!BW10</f>
        <v>1203</v>
      </c>
      <c r="BX94" s="883">
        <f>'GASTOS G.L.'!BX10</f>
        <v>2069</v>
      </c>
      <c r="BY94" s="883">
        <f>'GASTOS G.L.'!BY10</f>
        <v>1068</v>
      </c>
      <c r="BZ94" s="873">
        <f>'GASTOS G.L.'!BZ10</f>
        <v>2305</v>
      </c>
      <c r="CA94" s="879">
        <f t="shared" si="462"/>
        <v>11456</v>
      </c>
      <c r="CB94" s="883">
        <f>'GASTOS G.L.'!CB10</f>
        <v>66</v>
      </c>
      <c r="CC94" s="883">
        <f>'GASTOS G.L.'!CC10</f>
        <v>729</v>
      </c>
      <c r="CD94" s="883">
        <f>'GASTOS G.L.'!CD10</f>
        <v>258</v>
      </c>
      <c r="CE94" s="883">
        <f>'GASTOS G.L.'!CE10</f>
        <v>1014</v>
      </c>
      <c r="CF94" s="883">
        <f>'GASTOS G.L.'!CF10</f>
        <v>1456</v>
      </c>
      <c r="CG94" s="883">
        <f>'GASTOS G.L.'!CG10</f>
        <v>1261</v>
      </c>
      <c r="CH94" s="883">
        <f>'GASTOS G.L.'!CH10</f>
        <v>1367</v>
      </c>
      <c r="CI94" s="883">
        <f>'GASTOS G.L.'!CI10</f>
        <v>982</v>
      </c>
      <c r="CJ94" s="883">
        <f>'GASTOS G.L.'!CJ10</f>
        <v>1101</v>
      </c>
      <c r="CK94" s="883">
        <f>'GASTOS G.L.'!CK10</f>
        <v>1236</v>
      </c>
      <c r="CL94" s="883">
        <f>'GASTOS G.L.'!CL10</f>
        <v>1323</v>
      </c>
      <c r="CM94" s="873">
        <f>'GASTOS G.L.'!CM10</f>
        <v>1329</v>
      </c>
      <c r="CN94" s="879">
        <f t="shared" si="464"/>
        <v>12122</v>
      </c>
      <c r="CO94" s="883">
        <f>'GASTOS G.L.'!CO10</f>
        <v>62</v>
      </c>
      <c r="CP94" s="883">
        <f>'GASTOS G.L.'!CP10</f>
        <v>776</v>
      </c>
      <c r="CQ94" s="883">
        <f>'GASTOS G.L.'!CQ10</f>
        <v>945</v>
      </c>
      <c r="CR94" s="883">
        <f>'GASTOS G.L.'!CR10</f>
        <v>927</v>
      </c>
      <c r="CS94" s="883">
        <f>'GASTOS G.L.'!CS10</f>
        <v>1320</v>
      </c>
      <c r="CT94" s="883">
        <f>'GASTOS G.L.'!CT10</f>
        <v>1256</v>
      </c>
      <c r="CU94" s="883">
        <f>'GASTOS G.L.'!CU10</f>
        <v>1237</v>
      </c>
      <c r="CV94" s="883">
        <f>'GASTOS G.L.'!CV10</f>
        <v>1635</v>
      </c>
      <c r="CW94" s="883">
        <f>'GASTOS G.L.'!CW10</f>
        <v>1447</v>
      </c>
      <c r="CX94" s="883">
        <f>'GASTOS G.L.'!CX10</f>
        <v>1164</v>
      </c>
      <c r="CY94" s="883">
        <f>'GASTOS G.L.'!CY10</f>
        <v>1284</v>
      </c>
      <c r="CZ94" s="873">
        <f>'GASTOS G.L.'!CZ10</f>
        <v>1456</v>
      </c>
      <c r="DA94" s="879">
        <f t="shared" si="466"/>
        <v>13509</v>
      </c>
      <c r="DB94" s="883">
        <f>'GASTOS G.L.'!DB10</f>
        <v>44</v>
      </c>
      <c r="DC94" s="883">
        <f>'GASTOS G.L.'!DC10</f>
        <v>412</v>
      </c>
      <c r="DD94" s="883">
        <f>'GASTOS G.L.'!FC10</f>
        <v>75.306400363141179</v>
      </c>
      <c r="DE94" s="883">
        <f>'GASTOS G.L.'!FD10</f>
        <v>5.9173799776702563</v>
      </c>
      <c r="DF94" s="883">
        <f>'GASTOS G.L.'!FE10</f>
        <v>13435</v>
      </c>
      <c r="DG94" s="883">
        <f>'GASTOS G.L.'!FF10</f>
        <v>14230</v>
      </c>
      <c r="DH94" s="883">
        <f>'GASTOS G.L.'!FG10</f>
        <v>0</v>
      </c>
      <c r="DI94" s="883">
        <f>'GASTOS G.L.'!FH10</f>
        <v>0</v>
      </c>
      <c r="DJ94" s="883">
        <f>'GASTOS G.L.'!FI10</f>
        <v>0</v>
      </c>
      <c r="DK94" s="883">
        <f>'GASTOS G.L.'!FJ10</f>
        <v>0</v>
      </c>
      <c r="DL94" s="883">
        <f>'GASTOS G.L.'!FK10</f>
        <v>0</v>
      </c>
      <c r="DM94" s="873">
        <f>'GASTOS G.L.'!FL10</f>
        <v>0</v>
      </c>
      <c r="DN94" s="879">
        <f t="shared" si="468"/>
        <v>28202.223780340813</v>
      </c>
      <c r="DO94" s="883">
        <f>'[1]GASTOS G.L.'!DO10</f>
        <v>70</v>
      </c>
      <c r="DP94" s="883">
        <f>'[1]GASTOS G.L.'!DP10</f>
        <v>446</v>
      </c>
      <c r="DQ94" s="883">
        <f>'[1]GASTOS G.L.'!DQ10</f>
        <v>499</v>
      </c>
      <c r="DR94" s="883">
        <f>'[1]GASTOS G.L.'!DR10</f>
        <v>1569</v>
      </c>
      <c r="DS94" s="883">
        <f>'[1]GASTOS G.L.'!DS10</f>
        <v>1617</v>
      </c>
      <c r="DT94" s="883">
        <f>'[1]GASTOS G.L.'!DT10</f>
        <v>2505</v>
      </c>
      <c r="DU94" s="883">
        <f>'[1]GASTOS G.L.'!DU10</f>
        <v>2412</v>
      </c>
      <c r="DV94" s="883">
        <f>'[1]GASTOS G.L.'!DV10</f>
        <v>2267</v>
      </c>
      <c r="DW94" s="883">
        <f>'[1]GASTOS G.L.'!DW10</f>
        <v>2626</v>
      </c>
      <c r="DX94" s="883">
        <f>'[1]GASTOS G.L.'!DX10</f>
        <v>1382</v>
      </c>
      <c r="DY94" s="883">
        <f>'[1]GASTOS G.L.'!DY10</f>
        <v>2230</v>
      </c>
      <c r="DZ94" s="883">
        <f>'[1]GASTOS G.L.'!DZ10</f>
        <v>2150</v>
      </c>
      <c r="EA94" s="879">
        <f t="shared" si="471"/>
        <v>19773</v>
      </c>
      <c r="EB94" s="883">
        <f>'[1]GASTOS G.L.'!EB10</f>
        <v>80</v>
      </c>
      <c r="EC94" s="883">
        <f>'[1]GASTOS G.L.'!EC10</f>
        <v>1023</v>
      </c>
      <c r="ED94" s="883">
        <f>'[1]GASTOS G.L.'!ED10</f>
        <v>1037</v>
      </c>
      <c r="EE94" s="883">
        <f>'[1]GASTOS G.L.'!EE10</f>
        <v>2627</v>
      </c>
      <c r="EF94" s="883">
        <f>'[1]GASTOS G.L.'!EF10</f>
        <v>2404</v>
      </c>
      <c r="EG94" s="883">
        <f>'[1]GASTOS G.L.'!EG10</f>
        <v>2264</v>
      </c>
      <c r="EH94" s="883">
        <f>'[1]GASTOS G.L.'!EH10</f>
        <v>1797</v>
      </c>
      <c r="EI94" s="883">
        <f>'[1]GASTOS G.L.'!EI10</f>
        <v>2203</v>
      </c>
      <c r="EJ94" s="883">
        <f>'[1]GASTOS G.L.'!EJ10</f>
        <v>2186</v>
      </c>
      <c r="EK94" s="883">
        <f>'[1]GASTOS G.L.'!EK10</f>
        <v>1921</v>
      </c>
      <c r="EL94" s="883">
        <f>'[1]GASTOS G.L.'!EL10</f>
        <v>1839</v>
      </c>
      <c r="EM94" s="883">
        <f>'[1]GASTOS G.L.'!EM10</f>
        <v>1927</v>
      </c>
      <c r="EN94" s="879">
        <f t="shared" si="475"/>
        <v>21308</v>
      </c>
      <c r="EO94" s="883">
        <f>'[1]GASTOS G.L.'!EO10</f>
        <v>78</v>
      </c>
      <c r="EP94" s="883">
        <f>'[1]GASTOS G.L.'!EP10</f>
        <v>755</v>
      </c>
      <c r="EQ94" s="883">
        <f>'[1]GASTOS G.L.'!EQ10</f>
        <v>1298</v>
      </c>
      <c r="ER94" s="883">
        <f>'[1]GASTOS G.L.'!ER10</f>
        <v>1949</v>
      </c>
      <c r="ES94" s="883">
        <f>'[1]GASTOS G.L.'!ES10</f>
        <v>1450</v>
      </c>
      <c r="ET94" s="883">
        <f>'[1]GASTOS G.L.'!ET10</f>
        <v>1596</v>
      </c>
      <c r="EU94" s="883">
        <f>'[1]GASTOS G.L.'!EU10</f>
        <v>3242</v>
      </c>
      <c r="EV94" s="973">
        <f>'[1]GASTOS G.L.'!EV10</f>
        <v>3862</v>
      </c>
      <c r="EW94" s="883"/>
      <c r="EX94" s="883"/>
      <c r="EY94" s="883"/>
      <c r="EZ94" s="873"/>
      <c r="FA94" s="879">
        <f t="shared" si="479"/>
        <v>14230</v>
      </c>
      <c r="FC94" s="843">
        <f t="shared" si="480"/>
        <v>75.306400363141179</v>
      </c>
      <c r="FD94" s="844">
        <f t="shared" si="454"/>
        <v>5.9173799776702563</v>
      </c>
      <c r="FE94" s="845">
        <f t="shared" si="481"/>
        <v>13435</v>
      </c>
      <c r="FF94" s="846">
        <f t="shared" si="455"/>
        <v>14230</v>
      </c>
      <c r="FI94" s="127"/>
    </row>
    <row r="95" spans="1:172" ht="15" customHeight="1" x14ac:dyDescent="0.25">
      <c r="A95" s="403" t="s">
        <v>330</v>
      </c>
      <c r="B95" s="883"/>
      <c r="C95" s="883"/>
      <c r="D95" s="883"/>
      <c r="E95" s="883"/>
      <c r="F95" s="883"/>
      <c r="G95" s="883"/>
      <c r="H95" s="883"/>
      <c r="I95" s="883"/>
      <c r="J95" s="883"/>
      <c r="K95" s="883"/>
      <c r="L95" s="883"/>
      <c r="M95" s="873"/>
      <c r="N95" s="879">
        <f t="shared" si="435"/>
        <v>0</v>
      </c>
      <c r="O95" s="883"/>
      <c r="P95" s="883"/>
      <c r="Q95" s="883"/>
      <c r="R95" s="883"/>
      <c r="S95" s="883"/>
      <c r="T95" s="883"/>
      <c r="U95" s="883"/>
      <c r="V95" s="883"/>
      <c r="W95" s="883"/>
      <c r="X95" s="883"/>
      <c r="Y95" s="883"/>
      <c r="Z95" s="873"/>
      <c r="AA95" s="879">
        <f t="shared" si="437"/>
        <v>0</v>
      </c>
      <c r="AB95" s="883"/>
      <c r="AC95" s="883">
        <v>47</v>
      </c>
      <c r="AD95" s="883">
        <v>152</v>
      </c>
      <c r="AE95" s="883">
        <v>452</v>
      </c>
      <c r="AF95" s="883">
        <v>139</v>
      </c>
      <c r="AG95" s="883">
        <v>85</v>
      </c>
      <c r="AH95" s="883">
        <v>17</v>
      </c>
      <c r="AI95" s="883">
        <v>293</v>
      </c>
      <c r="AJ95" s="883">
        <v>245</v>
      </c>
      <c r="AK95" s="883">
        <v>328</v>
      </c>
      <c r="AL95" s="883">
        <v>346</v>
      </c>
      <c r="AM95" s="873">
        <v>2554</v>
      </c>
      <c r="AN95" s="879">
        <f t="shared" si="439"/>
        <v>4658</v>
      </c>
      <c r="AO95" s="883">
        <v>50</v>
      </c>
      <c r="AP95" s="883">
        <v>65</v>
      </c>
      <c r="AQ95" s="883">
        <v>74</v>
      </c>
      <c r="AR95" s="883">
        <v>301</v>
      </c>
      <c r="AS95" s="883">
        <v>267</v>
      </c>
      <c r="AT95" s="883">
        <v>239</v>
      </c>
      <c r="AU95" s="883">
        <v>134</v>
      </c>
      <c r="AV95" s="883">
        <v>75</v>
      </c>
      <c r="AW95" s="883">
        <v>113</v>
      </c>
      <c r="AX95" s="883">
        <v>447</v>
      </c>
      <c r="AY95" s="883">
        <v>642</v>
      </c>
      <c r="AZ95" s="873">
        <v>254</v>
      </c>
      <c r="BA95" s="879">
        <f t="shared" si="441"/>
        <v>2661</v>
      </c>
      <c r="BB95" s="883">
        <f>'GASTOS G.L.'!BB12</f>
        <v>103</v>
      </c>
      <c r="BC95" s="883">
        <f>'GASTOS G.L.'!BC12</f>
        <v>185</v>
      </c>
      <c r="BD95" s="883">
        <f>'GASTOS G.L.'!BD12</f>
        <v>195</v>
      </c>
      <c r="BE95" s="883">
        <f>'GASTOS G.L.'!BE12</f>
        <v>162</v>
      </c>
      <c r="BF95" s="883">
        <f>'GASTOS G.L.'!BF12</f>
        <v>128</v>
      </c>
      <c r="BG95" s="883">
        <f>'GASTOS G.L.'!BG12</f>
        <v>47</v>
      </c>
      <c r="BH95" s="883">
        <f>'GASTOS G.L.'!BH12</f>
        <v>543</v>
      </c>
      <c r="BI95" s="883">
        <f>'GASTOS G.L.'!BI12</f>
        <v>497</v>
      </c>
      <c r="BJ95" s="883">
        <f>'GASTOS G.L.'!BJ12</f>
        <v>310</v>
      </c>
      <c r="BK95" s="883">
        <f>'GASTOS G.L.'!BK12</f>
        <v>138</v>
      </c>
      <c r="BL95" s="883">
        <f>'GASTOS G.L.'!BL12</f>
        <v>279</v>
      </c>
      <c r="BM95" s="873">
        <f>'GASTOS G.L.'!BM12</f>
        <v>880</v>
      </c>
      <c r="BN95" s="879">
        <f t="shared" si="460"/>
        <v>3467</v>
      </c>
      <c r="BO95" s="883">
        <f>'GASTOS G.L.'!BO12</f>
        <v>129</v>
      </c>
      <c r="BP95" s="883">
        <f>'GASTOS G.L.'!BP12</f>
        <v>176</v>
      </c>
      <c r="BQ95" s="883">
        <f>'GASTOS G.L.'!BQ12</f>
        <v>105</v>
      </c>
      <c r="BR95" s="883">
        <f>'GASTOS G.L.'!BR12</f>
        <v>206</v>
      </c>
      <c r="BS95" s="883">
        <f>'GASTOS G.L.'!BS12</f>
        <v>108</v>
      </c>
      <c r="BT95" s="883">
        <f>'GASTOS G.L.'!BT12</f>
        <v>74</v>
      </c>
      <c r="BU95" s="883">
        <f>'GASTOS G.L.'!BU12</f>
        <v>600</v>
      </c>
      <c r="BV95" s="883">
        <f>'GASTOS G.L.'!BV12</f>
        <v>223</v>
      </c>
      <c r="BW95" s="883">
        <f>'GASTOS G.L.'!BW12</f>
        <v>222</v>
      </c>
      <c r="BX95" s="883">
        <f>'GASTOS G.L.'!BX12</f>
        <v>248</v>
      </c>
      <c r="BY95" s="883">
        <f>'GASTOS G.L.'!BY12</f>
        <v>112</v>
      </c>
      <c r="BZ95" s="873">
        <f>'GASTOS G.L.'!BZ12</f>
        <v>189</v>
      </c>
      <c r="CA95" s="879">
        <f t="shared" si="462"/>
        <v>2392</v>
      </c>
      <c r="CB95" s="883">
        <f>'GASTOS G.L.'!CB12</f>
        <v>134</v>
      </c>
      <c r="CC95" s="883">
        <f>'GASTOS G.L.'!CC12</f>
        <v>84</v>
      </c>
      <c r="CD95" s="883">
        <f>'GASTOS G.L.'!CD12</f>
        <v>169</v>
      </c>
      <c r="CE95" s="883">
        <f>'GASTOS G.L.'!CE12</f>
        <v>266</v>
      </c>
      <c r="CF95" s="883">
        <f>'GASTOS G.L.'!CF12</f>
        <v>495</v>
      </c>
      <c r="CG95" s="883">
        <f>'GASTOS G.L.'!CG12</f>
        <v>144</v>
      </c>
      <c r="CH95" s="883">
        <f>'GASTOS G.L.'!CH12</f>
        <v>95</v>
      </c>
      <c r="CI95" s="883">
        <f>'GASTOS G.L.'!CI12</f>
        <v>200</v>
      </c>
      <c r="CJ95" s="883">
        <f>'GASTOS G.L.'!CJ12</f>
        <v>167</v>
      </c>
      <c r="CK95" s="883">
        <f>'GASTOS G.L.'!CK12</f>
        <v>142</v>
      </c>
      <c r="CL95" s="883">
        <f>'GASTOS G.L.'!CL12</f>
        <v>201</v>
      </c>
      <c r="CM95" s="873">
        <f>'GASTOS G.L.'!CM12</f>
        <v>212</v>
      </c>
      <c r="CN95" s="879">
        <f t="shared" si="464"/>
        <v>2309</v>
      </c>
      <c r="CO95" s="883">
        <f>'GASTOS G.L.'!CO12</f>
        <v>65</v>
      </c>
      <c r="CP95" s="883">
        <f>'GASTOS G.L.'!CP12</f>
        <v>313</v>
      </c>
      <c r="CQ95" s="883">
        <f>'GASTOS G.L.'!CQ12</f>
        <v>635</v>
      </c>
      <c r="CR95" s="883">
        <f>'GASTOS G.L.'!CR12</f>
        <v>182</v>
      </c>
      <c r="CS95" s="883">
        <f>'GASTOS G.L.'!CS12</f>
        <v>204</v>
      </c>
      <c r="CT95" s="883">
        <f>'GASTOS G.L.'!CT12</f>
        <v>192</v>
      </c>
      <c r="CU95" s="883">
        <f>'GASTOS G.L.'!CU12</f>
        <v>228</v>
      </c>
      <c r="CV95" s="883">
        <f>'GASTOS G.L.'!CV12</f>
        <v>157</v>
      </c>
      <c r="CW95" s="883">
        <f>'GASTOS G.L.'!CW12</f>
        <v>349</v>
      </c>
      <c r="CX95" s="883">
        <f>'GASTOS G.L.'!CX12</f>
        <v>304</v>
      </c>
      <c r="CY95" s="883">
        <f>'GASTOS G.L.'!CY12</f>
        <v>280</v>
      </c>
      <c r="CZ95" s="873">
        <f>'GASTOS G.L.'!CZ12</f>
        <v>420</v>
      </c>
      <c r="DA95" s="879">
        <f t="shared" si="466"/>
        <v>3329</v>
      </c>
      <c r="DB95" s="883">
        <f>'GASTOS G.L.'!DB12</f>
        <v>323</v>
      </c>
      <c r="DC95" s="883">
        <f>'GASTOS G.L.'!DC12</f>
        <v>274</v>
      </c>
      <c r="DD95" s="883">
        <f>'GASTOS G.L.'!FC12</f>
        <v>-31.306306306306308</v>
      </c>
      <c r="DE95" s="883">
        <f>'GASTOS G.L.'!FD12</f>
        <v>-2.6445032111824696</v>
      </c>
      <c r="DF95" s="883">
        <f>'GASTOS G.L.'!FE12</f>
        <v>2647</v>
      </c>
      <c r="DG95" s="883">
        <f>'GASTOS G.L.'!FF12</f>
        <v>2577</v>
      </c>
      <c r="DH95" s="883">
        <f>'GASTOS G.L.'!FG12</f>
        <v>0</v>
      </c>
      <c r="DI95" s="883">
        <f>'GASTOS G.L.'!FH12</f>
        <v>0</v>
      </c>
      <c r="DJ95" s="883">
        <f>'GASTOS G.L.'!FI12</f>
        <v>0</v>
      </c>
      <c r="DK95" s="883">
        <f>'GASTOS G.L.'!FJ12</f>
        <v>0</v>
      </c>
      <c r="DL95" s="883">
        <f>'GASTOS G.L.'!FK12</f>
        <v>0</v>
      </c>
      <c r="DM95" s="873">
        <f>'GASTOS G.L.'!FL12</f>
        <v>0</v>
      </c>
      <c r="DN95" s="879">
        <f t="shared" si="468"/>
        <v>5787.0491904825112</v>
      </c>
      <c r="DO95" s="883">
        <f>'[1]GASTOS G.L.'!DO12</f>
        <v>45</v>
      </c>
      <c r="DP95" s="883">
        <f>'[1]GASTOS G.L.'!DP12</f>
        <v>330</v>
      </c>
      <c r="DQ95" s="883">
        <f>'[1]GASTOS G.L.'!DQ12</f>
        <v>543</v>
      </c>
      <c r="DR95" s="883">
        <f>'[1]GASTOS G.L.'!DR12</f>
        <v>240</v>
      </c>
      <c r="DS95" s="883">
        <f>'[1]GASTOS G.L.'!DS12</f>
        <v>377</v>
      </c>
      <c r="DT95" s="883">
        <f>'[1]GASTOS G.L.'!DT12</f>
        <v>230</v>
      </c>
      <c r="DU95" s="883">
        <f>'[1]GASTOS G.L.'!DU12</f>
        <v>270</v>
      </c>
      <c r="DV95" s="883">
        <f>'[1]GASTOS G.L.'!DV12</f>
        <v>266</v>
      </c>
      <c r="DW95" s="883">
        <f>'[1]GASTOS G.L.'!DW12</f>
        <v>364</v>
      </c>
      <c r="DX95" s="883">
        <f>'[1]GASTOS G.L.'!DX12</f>
        <v>279</v>
      </c>
      <c r="DY95" s="883">
        <f>'[1]GASTOS G.L.'!DY12</f>
        <v>470</v>
      </c>
      <c r="DZ95" s="883">
        <f>'[1]GASTOS G.L.'!DZ12</f>
        <v>559</v>
      </c>
      <c r="EA95" s="879">
        <f t="shared" si="471"/>
        <v>3973</v>
      </c>
      <c r="EB95" s="883">
        <f>'[1]GASTOS G.L.'!EB12</f>
        <v>94</v>
      </c>
      <c r="EC95" s="883">
        <f>'[1]GASTOS G.L.'!EC12</f>
        <v>229</v>
      </c>
      <c r="ED95" s="883">
        <f>'[1]GASTOS G.L.'!ED12</f>
        <v>571</v>
      </c>
      <c r="EE95" s="883">
        <f>'[1]GASTOS G.L.'!EE12</f>
        <v>259</v>
      </c>
      <c r="EF95" s="883">
        <f>'[1]GASTOS G.L.'!EF12</f>
        <v>277</v>
      </c>
      <c r="EG95" s="883">
        <f>'[1]GASTOS G.L.'!EG12</f>
        <v>381</v>
      </c>
      <c r="EH95" s="883">
        <f>'[1]GASTOS G.L.'!EH12</f>
        <v>392</v>
      </c>
      <c r="EI95" s="883">
        <f>'[1]GASTOS G.L.'!EI12</f>
        <v>444</v>
      </c>
      <c r="EJ95" s="883">
        <f>'[1]GASTOS G.L.'!EJ12</f>
        <v>333</v>
      </c>
      <c r="EK95" s="883">
        <f>'[1]GASTOS G.L.'!EK12</f>
        <v>403</v>
      </c>
      <c r="EL95" s="883">
        <f>'[1]GASTOS G.L.'!EL12</f>
        <v>696</v>
      </c>
      <c r="EM95" s="883">
        <f>'[1]GASTOS G.L.'!EM12</f>
        <v>513</v>
      </c>
      <c r="EN95" s="879">
        <f t="shared" si="475"/>
        <v>4592</v>
      </c>
      <c r="EO95" s="883">
        <f>'[1]GASTOS G.L.'!EO12</f>
        <v>285</v>
      </c>
      <c r="EP95" s="883">
        <f>'[1]GASTOS G.L.'!EP12</f>
        <v>216</v>
      </c>
      <c r="EQ95" s="883">
        <f>'[1]GASTOS G.L.'!EQ12</f>
        <v>254</v>
      </c>
      <c r="ER95" s="883">
        <f>'[1]GASTOS G.L.'!ER12</f>
        <v>750</v>
      </c>
      <c r="ES95" s="883">
        <f>'[1]GASTOS G.L.'!ES12</f>
        <v>240</v>
      </c>
      <c r="ET95" s="883">
        <f>'[1]GASTOS G.L.'!ET12</f>
        <v>291</v>
      </c>
      <c r="EU95" s="883">
        <f>'[1]GASTOS G.L.'!EU12</f>
        <v>236</v>
      </c>
      <c r="EV95" s="973">
        <f>'[1]GASTOS G.L.'!EV12</f>
        <v>305</v>
      </c>
      <c r="EW95" s="883"/>
      <c r="EX95" s="883"/>
      <c r="EY95" s="883"/>
      <c r="EZ95" s="873"/>
      <c r="FA95" s="879">
        <f t="shared" si="479"/>
        <v>2577</v>
      </c>
      <c r="FC95" s="843">
        <f t="shared" si="480"/>
        <v>-31.306306306306308</v>
      </c>
      <c r="FD95" s="844">
        <f t="shared" si="454"/>
        <v>-2.6445032111824696</v>
      </c>
      <c r="FE95" s="845">
        <f t="shared" si="481"/>
        <v>2647</v>
      </c>
      <c r="FF95" s="846">
        <f t="shared" si="455"/>
        <v>2577</v>
      </c>
      <c r="FI95" s="127"/>
    </row>
    <row r="96" spans="1:172" ht="15" customHeight="1" x14ac:dyDescent="0.25">
      <c r="A96" s="403" t="s">
        <v>286</v>
      </c>
      <c r="B96" s="883"/>
      <c r="C96" s="883"/>
      <c r="D96" s="883"/>
      <c r="E96" s="883"/>
      <c r="F96" s="883"/>
      <c r="G96" s="883"/>
      <c r="H96" s="883"/>
      <c r="I96" s="883"/>
      <c r="J96" s="883"/>
      <c r="K96" s="883"/>
      <c r="L96" s="883"/>
      <c r="M96" s="873"/>
      <c r="N96" s="879">
        <f t="shared" si="435"/>
        <v>0</v>
      </c>
      <c r="O96" s="883"/>
      <c r="P96" s="883"/>
      <c r="Q96" s="883"/>
      <c r="R96" s="883"/>
      <c r="S96" s="883"/>
      <c r="T96" s="883"/>
      <c r="U96" s="883"/>
      <c r="V96" s="883"/>
      <c r="W96" s="883"/>
      <c r="X96" s="883"/>
      <c r="Y96" s="883"/>
      <c r="Z96" s="873"/>
      <c r="AA96" s="879">
        <f t="shared" si="437"/>
        <v>0</v>
      </c>
      <c r="AB96" s="883">
        <v>48</v>
      </c>
      <c r="AC96" s="883">
        <v>32</v>
      </c>
      <c r="AD96" s="883">
        <v>360</v>
      </c>
      <c r="AE96" s="883">
        <v>185</v>
      </c>
      <c r="AF96" s="883">
        <v>83</v>
      </c>
      <c r="AG96" s="883">
        <v>233</v>
      </c>
      <c r="AH96" s="883">
        <v>60</v>
      </c>
      <c r="AI96" s="883">
        <v>72</v>
      </c>
      <c r="AJ96" s="883">
        <v>63</v>
      </c>
      <c r="AK96" s="883">
        <v>59</v>
      </c>
      <c r="AL96" s="883">
        <v>124</v>
      </c>
      <c r="AM96" s="873">
        <v>91</v>
      </c>
      <c r="AN96" s="879">
        <f t="shared" si="439"/>
        <v>1410</v>
      </c>
      <c r="AO96" s="883">
        <v>27</v>
      </c>
      <c r="AP96" s="883">
        <v>152</v>
      </c>
      <c r="AQ96" s="883">
        <v>182</v>
      </c>
      <c r="AR96" s="883">
        <v>375</v>
      </c>
      <c r="AS96" s="883">
        <v>55</v>
      </c>
      <c r="AT96" s="883">
        <v>202</v>
      </c>
      <c r="AU96" s="883">
        <v>71</v>
      </c>
      <c r="AV96" s="883">
        <v>80</v>
      </c>
      <c r="AW96" s="883">
        <v>51</v>
      </c>
      <c r="AX96" s="883">
        <v>68</v>
      </c>
      <c r="AY96" s="883">
        <v>155</v>
      </c>
      <c r="AZ96" s="873">
        <v>60</v>
      </c>
      <c r="BA96" s="879">
        <f t="shared" si="441"/>
        <v>1478</v>
      </c>
      <c r="BB96" s="883">
        <f>'GASTOS G.L.'!BB13</f>
        <v>2</v>
      </c>
      <c r="BC96" s="883">
        <f>'GASTOS G.L.'!BC13</f>
        <v>17</v>
      </c>
      <c r="BD96" s="883">
        <f>'GASTOS G.L.'!BD13</f>
        <v>100</v>
      </c>
      <c r="BE96" s="883">
        <f>'GASTOS G.L.'!BE13</f>
        <v>160</v>
      </c>
      <c r="BF96" s="883">
        <f>'GASTOS G.L.'!BF13</f>
        <v>51</v>
      </c>
      <c r="BG96" s="883">
        <f>'GASTOS G.L.'!BG13</f>
        <v>47</v>
      </c>
      <c r="BH96" s="883">
        <f>'GASTOS G.L.'!BH13</f>
        <v>147</v>
      </c>
      <c r="BI96" s="883">
        <f>'GASTOS G.L.'!BI13</f>
        <v>99</v>
      </c>
      <c r="BJ96" s="883">
        <f>'GASTOS G.L.'!BJ13</f>
        <v>109</v>
      </c>
      <c r="BK96" s="883">
        <f>'GASTOS G.L.'!BK13</f>
        <v>111</v>
      </c>
      <c r="BL96" s="883">
        <f>'GASTOS G.L.'!BL13</f>
        <v>192</v>
      </c>
      <c r="BM96" s="873">
        <f>'GASTOS G.L.'!BM13</f>
        <v>342</v>
      </c>
      <c r="BN96" s="879">
        <f t="shared" si="460"/>
        <v>1377</v>
      </c>
      <c r="BO96" s="883">
        <f>'GASTOS G.L.'!BO13</f>
        <v>73</v>
      </c>
      <c r="BP96" s="883">
        <f>'GASTOS G.L.'!BP13</f>
        <v>2</v>
      </c>
      <c r="BQ96" s="883">
        <f>'GASTOS G.L.'!BQ13</f>
        <v>171</v>
      </c>
      <c r="BR96" s="883">
        <f>'GASTOS G.L.'!BR13</f>
        <v>60</v>
      </c>
      <c r="BS96" s="883">
        <f>'GASTOS G.L.'!BS13</f>
        <v>58</v>
      </c>
      <c r="BT96" s="883">
        <f>'GASTOS G.L.'!BT13</f>
        <v>108</v>
      </c>
      <c r="BU96" s="883">
        <f>'GASTOS G.L.'!BU13</f>
        <v>5</v>
      </c>
      <c r="BV96" s="883">
        <f>'GASTOS G.L.'!BV13</f>
        <v>263</v>
      </c>
      <c r="BW96" s="883">
        <f>'GASTOS G.L.'!BW13</f>
        <v>145</v>
      </c>
      <c r="BX96" s="883">
        <f>'GASTOS G.L.'!BX13</f>
        <v>212</v>
      </c>
      <c r="BY96" s="883">
        <f>'GASTOS G.L.'!BY13</f>
        <v>130</v>
      </c>
      <c r="BZ96" s="873">
        <f>'GASTOS G.L.'!BZ13</f>
        <v>450</v>
      </c>
      <c r="CA96" s="879">
        <f t="shared" si="462"/>
        <v>1677</v>
      </c>
      <c r="CB96" s="883">
        <f>'GASTOS G.L.'!CB13</f>
        <v>3</v>
      </c>
      <c r="CC96" s="883">
        <f>'GASTOS G.L.'!CC13</f>
        <v>36</v>
      </c>
      <c r="CD96" s="883">
        <f>'GASTOS G.L.'!CD13</f>
        <v>76</v>
      </c>
      <c r="CE96" s="883">
        <f>'GASTOS G.L.'!CE13</f>
        <v>76</v>
      </c>
      <c r="CF96" s="883">
        <f>'GASTOS G.L.'!CF13</f>
        <v>128</v>
      </c>
      <c r="CG96" s="883">
        <f>'GASTOS G.L.'!CG13</f>
        <v>99</v>
      </c>
      <c r="CH96" s="883">
        <f>'GASTOS G.L.'!CH13</f>
        <v>106</v>
      </c>
      <c r="CI96" s="883">
        <f>'GASTOS G.L.'!CI13</f>
        <v>109</v>
      </c>
      <c r="CJ96" s="883">
        <f>'GASTOS G.L.'!CJ13</f>
        <v>233</v>
      </c>
      <c r="CK96" s="883">
        <f>'GASTOS G.L.'!CK13</f>
        <v>346</v>
      </c>
      <c r="CL96" s="883">
        <f>'GASTOS G.L.'!CL13</f>
        <v>100</v>
      </c>
      <c r="CM96" s="873">
        <f>'GASTOS G.L.'!CM13</f>
        <v>195</v>
      </c>
      <c r="CN96" s="879">
        <f t="shared" si="464"/>
        <v>1507</v>
      </c>
      <c r="CO96" s="883">
        <f>'GASTOS G.L.'!CO13</f>
        <v>114</v>
      </c>
      <c r="CP96" s="883">
        <f>'GASTOS G.L.'!CP13</f>
        <v>215</v>
      </c>
      <c r="CQ96" s="883">
        <f>'GASTOS G.L.'!CQ13</f>
        <v>254</v>
      </c>
      <c r="CR96" s="883">
        <f>'GASTOS G.L.'!CR13</f>
        <v>144</v>
      </c>
      <c r="CS96" s="883">
        <f>'GASTOS G.L.'!CS13</f>
        <v>650</v>
      </c>
      <c r="CT96" s="883">
        <f>'GASTOS G.L.'!CT13</f>
        <v>158</v>
      </c>
      <c r="CU96" s="883">
        <f>'GASTOS G.L.'!CU13</f>
        <v>106</v>
      </c>
      <c r="CV96" s="883">
        <f>'GASTOS G.L.'!CV13</f>
        <v>176</v>
      </c>
      <c r="CW96" s="883">
        <f>'GASTOS G.L.'!CW13</f>
        <v>140</v>
      </c>
      <c r="CX96" s="883">
        <f>'GASTOS G.L.'!CX13</f>
        <v>196</v>
      </c>
      <c r="CY96" s="883">
        <f>'GASTOS G.L.'!CY13</f>
        <v>300</v>
      </c>
      <c r="CZ96" s="873">
        <f>'GASTOS G.L.'!CZ13</f>
        <v>13</v>
      </c>
      <c r="DA96" s="879">
        <f t="shared" si="466"/>
        <v>2466</v>
      </c>
      <c r="DB96" s="883">
        <f>'GASTOS G.L.'!DB13</f>
        <v>3</v>
      </c>
      <c r="DC96" s="883">
        <f>'GASTOS G.L.'!DC13</f>
        <v>12</v>
      </c>
      <c r="DD96" s="883">
        <f>'GASTOS G.L.'!FC13</f>
        <v>-19.806763285024154</v>
      </c>
      <c r="DE96" s="883">
        <f>'GASTOS G.L.'!FD13</f>
        <v>28.193832599118942</v>
      </c>
      <c r="DF96" s="883">
        <f>'GASTOS G.L.'!FE13</f>
        <v>1362</v>
      </c>
      <c r="DG96" s="883">
        <f>'GASTOS G.L.'!FF13</f>
        <v>1746</v>
      </c>
      <c r="DH96" s="883">
        <f>'GASTOS G.L.'!FG13</f>
        <v>0</v>
      </c>
      <c r="DI96" s="883">
        <f>'GASTOS G.L.'!FH13</f>
        <v>0</v>
      </c>
      <c r="DJ96" s="883">
        <f>'GASTOS G.L.'!FI13</f>
        <v>0</v>
      </c>
      <c r="DK96" s="883">
        <f>'GASTOS G.L.'!FJ13</f>
        <v>0</v>
      </c>
      <c r="DL96" s="883">
        <f>'GASTOS G.L.'!FK13</f>
        <v>0</v>
      </c>
      <c r="DM96" s="873">
        <f>'GASTOS G.L.'!FL13</f>
        <v>0</v>
      </c>
      <c r="DN96" s="879">
        <f t="shared" si="468"/>
        <v>3131.3870693140948</v>
      </c>
      <c r="DO96" s="883">
        <f>'[1]GASTOS G.L.'!DO13</f>
        <v>35</v>
      </c>
      <c r="DP96" s="883">
        <f>'[1]GASTOS G.L.'!DP13</f>
        <v>70</v>
      </c>
      <c r="DQ96" s="883">
        <f>'[1]GASTOS G.L.'!DQ13</f>
        <v>5</v>
      </c>
      <c r="DR96" s="883">
        <f>'[1]GASTOS G.L.'!DR13</f>
        <v>106</v>
      </c>
      <c r="DS96" s="883">
        <f>'[1]GASTOS G.L.'!DS13</f>
        <v>150</v>
      </c>
      <c r="DT96" s="883">
        <f>'[1]GASTOS G.L.'!DT13</f>
        <v>92</v>
      </c>
      <c r="DU96" s="883">
        <f>'[1]GASTOS G.L.'!DU13</f>
        <v>88</v>
      </c>
      <c r="DV96" s="883">
        <f>'[1]GASTOS G.L.'!DV13</f>
        <v>75</v>
      </c>
      <c r="DW96" s="883">
        <f>'[1]GASTOS G.L.'!DW13</f>
        <v>77</v>
      </c>
      <c r="DX96" s="883">
        <f>'[1]GASTOS G.L.'!DX13</f>
        <v>414</v>
      </c>
      <c r="DY96" s="883">
        <f>'[1]GASTOS G.L.'!DY13</f>
        <v>182</v>
      </c>
      <c r="DZ96" s="883">
        <f>'[1]GASTOS G.L.'!DZ13</f>
        <v>72</v>
      </c>
      <c r="EA96" s="879">
        <f t="shared" si="471"/>
        <v>1366</v>
      </c>
      <c r="EB96" s="883">
        <f>'[1]GASTOS G.L.'!EB13</f>
        <v>9</v>
      </c>
      <c r="EC96" s="883">
        <f>'[1]GASTOS G.L.'!EC13</f>
        <v>2</v>
      </c>
      <c r="ED96" s="883">
        <f>'[1]GASTOS G.L.'!ED13</f>
        <v>60</v>
      </c>
      <c r="EE96" s="883">
        <f>'[1]GASTOS G.L.'!EE13</f>
        <v>270</v>
      </c>
      <c r="EF96" s="883">
        <f>'[1]GASTOS G.L.'!EF13</f>
        <v>379</v>
      </c>
      <c r="EG96" s="883">
        <f>'[1]GASTOS G.L.'!EG13</f>
        <v>225</v>
      </c>
      <c r="EH96" s="883">
        <f>'[1]GASTOS G.L.'!EH13</f>
        <v>210</v>
      </c>
      <c r="EI96" s="883">
        <f>'[1]GASTOS G.L.'!EI13</f>
        <v>207</v>
      </c>
      <c r="EJ96" s="883">
        <f>'[1]GASTOS G.L.'!EJ13</f>
        <v>31</v>
      </c>
      <c r="EK96" s="883">
        <f>'[1]GASTOS G.L.'!EK13</f>
        <v>536</v>
      </c>
      <c r="EL96" s="883">
        <f>'[1]GASTOS G.L.'!EL13</f>
        <v>206</v>
      </c>
      <c r="EM96" s="883">
        <f>'[1]GASTOS G.L.'!EM13</f>
        <v>229</v>
      </c>
      <c r="EN96" s="879">
        <f t="shared" si="475"/>
        <v>2364</v>
      </c>
      <c r="EO96" s="883">
        <f>'[1]GASTOS G.L.'!EO13</f>
        <v>66</v>
      </c>
      <c r="EP96" s="883">
        <f>'[1]GASTOS G.L.'!EP13</f>
        <v>45</v>
      </c>
      <c r="EQ96" s="883">
        <f>'[1]GASTOS G.L.'!EQ13</f>
        <v>86</v>
      </c>
      <c r="ER96" s="883">
        <f>'[1]GASTOS G.L.'!ER13</f>
        <v>387</v>
      </c>
      <c r="ES96" s="883">
        <f>'[1]GASTOS G.L.'!ES13</f>
        <v>202</v>
      </c>
      <c r="ET96" s="883">
        <f>'[1]GASTOS G.L.'!ET13</f>
        <v>139</v>
      </c>
      <c r="EU96" s="883">
        <f>'[1]GASTOS G.L.'!EU13</f>
        <v>655</v>
      </c>
      <c r="EV96" s="973">
        <f>'[1]GASTOS G.L.'!EV13</f>
        <v>166</v>
      </c>
      <c r="EW96" s="883"/>
      <c r="EX96" s="883"/>
      <c r="EY96" s="883"/>
      <c r="EZ96" s="873"/>
      <c r="FA96" s="879">
        <f t="shared" si="479"/>
        <v>1746</v>
      </c>
      <c r="FC96" s="843">
        <f t="shared" si="480"/>
        <v>-19.806763285024154</v>
      </c>
      <c r="FD96" s="844">
        <f t="shared" si="454"/>
        <v>28.193832599118942</v>
      </c>
      <c r="FE96" s="845">
        <f t="shared" si="481"/>
        <v>1362</v>
      </c>
      <c r="FF96" s="846">
        <f t="shared" si="455"/>
        <v>1746</v>
      </c>
      <c r="FI96" s="127"/>
    </row>
    <row r="97" spans="1:172" ht="15" customHeight="1" x14ac:dyDescent="0.25">
      <c r="A97" s="403" t="s">
        <v>275</v>
      </c>
      <c r="B97" s="883"/>
      <c r="C97" s="883"/>
      <c r="D97" s="883"/>
      <c r="E97" s="883"/>
      <c r="F97" s="883"/>
      <c r="G97" s="883"/>
      <c r="H97" s="883"/>
      <c r="I97" s="883"/>
      <c r="J97" s="883"/>
      <c r="K97" s="883"/>
      <c r="L97" s="883"/>
      <c r="M97" s="873"/>
      <c r="N97" s="879">
        <f t="shared" si="435"/>
        <v>0</v>
      </c>
      <c r="O97" s="883"/>
      <c r="P97" s="883"/>
      <c r="Q97" s="883"/>
      <c r="R97" s="883"/>
      <c r="S97" s="883"/>
      <c r="T97" s="883"/>
      <c r="U97" s="883"/>
      <c r="V97" s="883"/>
      <c r="W97" s="883"/>
      <c r="X97" s="883"/>
      <c r="Y97" s="883"/>
      <c r="Z97" s="873"/>
      <c r="AA97" s="879">
        <f t="shared" si="437"/>
        <v>0</v>
      </c>
      <c r="AB97" s="883">
        <v>6378</v>
      </c>
      <c r="AC97" s="883">
        <v>8808</v>
      </c>
      <c r="AD97" s="883">
        <v>11479</v>
      </c>
      <c r="AE97" s="883">
        <v>9714</v>
      </c>
      <c r="AF97" s="883">
        <v>12938</v>
      </c>
      <c r="AG97" s="883">
        <v>12925</v>
      </c>
      <c r="AH97" s="883">
        <v>11698</v>
      </c>
      <c r="AI97" s="883">
        <v>11617</v>
      </c>
      <c r="AJ97" s="883">
        <v>8061</v>
      </c>
      <c r="AK97" s="883">
        <v>9578</v>
      </c>
      <c r="AL97" s="883">
        <v>11005</v>
      </c>
      <c r="AM97" s="873">
        <v>15166</v>
      </c>
      <c r="AN97" s="879">
        <f t="shared" si="439"/>
        <v>129367</v>
      </c>
      <c r="AO97" s="883">
        <v>5296</v>
      </c>
      <c r="AP97" s="883">
        <v>9307</v>
      </c>
      <c r="AQ97" s="883">
        <v>11323</v>
      </c>
      <c r="AR97" s="883">
        <v>10947</v>
      </c>
      <c r="AS97" s="883">
        <v>13499</v>
      </c>
      <c r="AT97" s="883">
        <v>11723</v>
      </c>
      <c r="AU97" s="883">
        <v>11110</v>
      </c>
      <c r="AV97" s="883">
        <v>10351</v>
      </c>
      <c r="AW97" s="883">
        <v>8070</v>
      </c>
      <c r="AX97" s="883">
        <v>10658</v>
      </c>
      <c r="AY97" s="883">
        <v>12040</v>
      </c>
      <c r="AZ97" s="873">
        <v>12575</v>
      </c>
      <c r="BA97" s="879">
        <f t="shared" si="441"/>
        <v>126899</v>
      </c>
      <c r="BB97" s="883">
        <f>'GASTOS G.L.'!BB11</f>
        <v>2176</v>
      </c>
      <c r="BC97" s="883">
        <f>'GASTOS G.L.'!BC11</f>
        <v>10542</v>
      </c>
      <c r="BD97" s="883">
        <f>'GASTOS G.L.'!BD11</f>
        <v>12898</v>
      </c>
      <c r="BE97" s="883">
        <f>'GASTOS G.L.'!BE11</f>
        <v>12793</v>
      </c>
      <c r="BF97" s="883">
        <f>'GASTOS G.L.'!BF11</f>
        <v>14886</v>
      </c>
      <c r="BG97" s="883">
        <f>'GASTOS G.L.'!BG11</f>
        <v>13357</v>
      </c>
      <c r="BH97" s="883">
        <f>'GASTOS G.L.'!BH11</f>
        <v>14839</v>
      </c>
      <c r="BI97" s="883">
        <f>'GASTOS G.L.'!BI11</f>
        <v>11394</v>
      </c>
      <c r="BJ97" s="883">
        <f>'GASTOS G.L.'!BJ11</f>
        <v>11159</v>
      </c>
      <c r="BK97" s="883">
        <f>'GASTOS G.L.'!BK11</f>
        <v>10795</v>
      </c>
      <c r="BL97" s="883">
        <f>'GASTOS G.L.'!BL11</f>
        <v>11626</v>
      </c>
      <c r="BM97" s="873">
        <f>'GASTOS G.L.'!BM11</f>
        <v>13893</v>
      </c>
      <c r="BN97" s="879">
        <f t="shared" si="460"/>
        <v>140358</v>
      </c>
      <c r="BO97" s="883">
        <f>'GASTOS G.L.'!BO11</f>
        <v>9410</v>
      </c>
      <c r="BP97" s="883">
        <f>'GASTOS G.L.'!BP11</f>
        <v>10460</v>
      </c>
      <c r="BQ97" s="883">
        <f>'GASTOS G.L.'!BQ11</f>
        <v>16121</v>
      </c>
      <c r="BR97" s="883">
        <f>'GASTOS G.L.'!BR11</f>
        <v>10383</v>
      </c>
      <c r="BS97" s="883">
        <f>'GASTOS G.L.'!BS11</f>
        <v>9518</v>
      </c>
      <c r="BT97" s="883">
        <f>'GASTOS G.L.'!BT11</f>
        <v>9864</v>
      </c>
      <c r="BU97" s="883">
        <f>'GASTOS G.L.'!BU11</f>
        <v>20296</v>
      </c>
      <c r="BV97" s="883">
        <f>'GASTOS G.L.'!BV11</f>
        <v>13767</v>
      </c>
      <c r="BW97" s="883">
        <f>'GASTOS G.L.'!BW11</f>
        <v>18257</v>
      </c>
      <c r="BX97" s="883">
        <f>'GASTOS G.L.'!BX11</f>
        <v>24427</v>
      </c>
      <c r="BY97" s="883">
        <f>'GASTOS G.L.'!BY11</f>
        <v>24923</v>
      </c>
      <c r="BZ97" s="873">
        <f>'GASTOS G.L.'!BZ11</f>
        <v>38587</v>
      </c>
      <c r="CA97" s="879">
        <f t="shared" si="462"/>
        <v>206013</v>
      </c>
      <c r="CB97" s="883">
        <f>'GASTOS G.L.'!CB11</f>
        <v>6520</v>
      </c>
      <c r="CC97" s="883">
        <f>'GASTOS G.L.'!CC11</f>
        <v>10143</v>
      </c>
      <c r="CD97" s="883">
        <f>'GASTOS G.L.'!CD11</f>
        <v>19727</v>
      </c>
      <c r="CE97" s="883">
        <f>'GASTOS G.L.'!CE11</f>
        <v>16277</v>
      </c>
      <c r="CF97" s="883">
        <f>'GASTOS G.L.'!CF11</f>
        <v>17823</v>
      </c>
      <c r="CG97" s="883">
        <f>'GASTOS G.L.'!CG11</f>
        <v>16709</v>
      </c>
      <c r="CH97" s="883">
        <f>'GASTOS G.L.'!CH11</f>
        <v>15383</v>
      </c>
      <c r="CI97" s="883">
        <f>'GASTOS G.L.'!CI11</f>
        <v>18346</v>
      </c>
      <c r="CJ97" s="883">
        <f>'GASTOS G.L.'!CJ11</f>
        <v>18880</v>
      </c>
      <c r="CK97" s="883">
        <f>'GASTOS G.L.'!CK11</f>
        <v>15010</v>
      </c>
      <c r="CL97" s="883">
        <f>'GASTOS G.L.'!CL11</f>
        <v>19050</v>
      </c>
      <c r="CM97" s="873">
        <f>'GASTOS G.L.'!CM11</f>
        <v>33388</v>
      </c>
      <c r="CN97" s="879">
        <f t="shared" si="464"/>
        <v>207256</v>
      </c>
      <c r="CO97" s="883">
        <f>'GASTOS G.L.'!CO11</f>
        <v>7373</v>
      </c>
      <c r="CP97" s="883">
        <f>'GASTOS G.L.'!CP11</f>
        <v>14059</v>
      </c>
      <c r="CQ97" s="883">
        <f>'GASTOS G.L.'!CQ11</f>
        <v>21343</v>
      </c>
      <c r="CR97" s="883">
        <f>'GASTOS G.L.'!CR11</f>
        <v>15467</v>
      </c>
      <c r="CS97" s="883">
        <f>'GASTOS G.L.'!CS11</f>
        <v>19761</v>
      </c>
      <c r="CT97" s="883">
        <f>'GASTOS G.L.'!CT11</f>
        <v>19581</v>
      </c>
      <c r="CU97" s="883">
        <f>'GASTOS G.L.'!CU11</f>
        <v>21382</v>
      </c>
      <c r="CV97" s="883">
        <f>'GASTOS G.L.'!CV11</f>
        <v>20124</v>
      </c>
      <c r="CW97" s="883">
        <f>'GASTOS G.L.'!CW11</f>
        <v>19063</v>
      </c>
      <c r="CX97" s="883">
        <f>'GASTOS G.L.'!CX11</f>
        <v>18194</v>
      </c>
      <c r="CY97" s="883">
        <f>'GASTOS G.L.'!CY11</f>
        <v>18323</v>
      </c>
      <c r="CZ97" s="873">
        <f>'GASTOS G.L.'!CZ11</f>
        <v>27707</v>
      </c>
      <c r="DA97" s="879">
        <f t="shared" si="466"/>
        <v>222377</v>
      </c>
      <c r="DB97" s="883">
        <f>'GASTOS G.L.'!DB11</f>
        <v>5445</v>
      </c>
      <c r="DC97" s="883">
        <f>'GASTOS G.L.'!DC11</f>
        <v>15494</v>
      </c>
      <c r="DD97" s="883">
        <f>'GASTOS G.L.'!FC11</f>
        <v>15.28192241243913</v>
      </c>
      <c r="DE97" s="883">
        <f>'GASTOS G.L.'!FD11</f>
        <v>10.557124409314733</v>
      </c>
      <c r="DF97" s="883">
        <f>'GASTOS G.L.'!FE11</f>
        <v>140938</v>
      </c>
      <c r="DG97" s="883">
        <f>'GASTOS G.L.'!FF11</f>
        <v>155817</v>
      </c>
      <c r="DH97" s="883">
        <f>'GASTOS G.L.'!FG11</f>
        <v>0</v>
      </c>
      <c r="DI97" s="883">
        <f>'GASTOS G.L.'!FH11</f>
        <v>0</v>
      </c>
      <c r="DJ97" s="883">
        <f>'GASTOS G.L.'!FI11</f>
        <v>0</v>
      </c>
      <c r="DK97" s="883">
        <f>'GASTOS G.L.'!FJ11</f>
        <v>0</v>
      </c>
      <c r="DL97" s="883">
        <f>'GASTOS G.L.'!FK11</f>
        <v>0</v>
      </c>
      <c r="DM97" s="873">
        <f>'GASTOS G.L.'!FL11</f>
        <v>0</v>
      </c>
      <c r="DN97" s="879">
        <f t="shared" si="468"/>
        <v>317719.83904682175</v>
      </c>
      <c r="DO97" s="883">
        <f>'[1]GASTOS G.L.'!DO11</f>
        <v>3957</v>
      </c>
      <c r="DP97" s="883">
        <f>'[1]GASTOS G.L.'!DP11</f>
        <v>15335</v>
      </c>
      <c r="DQ97" s="883">
        <f>'[1]GASTOS G.L.'!DQ11</f>
        <v>18597</v>
      </c>
      <c r="DR97" s="883">
        <f>'[1]GASTOS G.L.'!DR11</f>
        <v>18952</v>
      </c>
      <c r="DS97" s="883">
        <f>'[1]GASTOS G.L.'!DS11</f>
        <v>21180</v>
      </c>
      <c r="DT97" s="883">
        <f>'[1]GASTOS G.L.'!DT11</f>
        <v>18609</v>
      </c>
      <c r="DU97" s="883">
        <f>'[1]GASTOS G.L.'!DU11</f>
        <v>17314</v>
      </c>
      <c r="DV97" s="883">
        <f>'[1]GASTOS G.L.'!DV11</f>
        <v>20191</v>
      </c>
      <c r="DW97" s="883">
        <f>'[1]GASTOS G.L.'!DW11</f>
        <v>17811</v>
      </c>
      <c r="DX97" s="883">
        <f>'[1]GASTOS G.L.'!DX11</f>
        <v>18698</v>
      </c>
      <c r="DY97" s="883">
        <f>'[1]GASTOS G.L.'!DY11</f>
        <v>20005</v>
      </c>
      <c r="DZ97" s="883">
        <f>'[1]GASTOS G.L.'!DZ11</f>
        <v>31015</v>
      </c>
      <c r="EA97" s="879">
        <f t="shared" si="471"/>
        <v>221664</v>
      </c>
      <c r="EB97" s="883">
        <f>'[1]GASTOS G.L.'!EB11</f>
        <v>5764</v>
      </c>
      <c r="EC97" s="883">
        <f>'[1]GASTOS G.L.'!EC11</f>
        <v>18057</v>
      </c>
      <c r="ED97" s="883">
        <f>'[1]GASTOS G.L.'!ED11</f>
        <v>17904</v>
      </c>
      <c r="EE97" s="883">
        <f>'[1]GASTOS G.L.'!EE11</f>
        <v>19524</v>
      </c>
      <c r="EF97" s="883">
        <f>'[1]GASTOS G.L.'!EF11</f>
        <v>21607</v>
      </c>
      <c r="EG97" s="883">
        <f>'[1]GASTOS G.L.'!EG11</f>
        <v>18748</v>
      </c>
      <c r="EH97" s="883">
        <f>'[1]GASTOS G.L.'!EH11</f>
        <v>20233</v>
      </c>
      <c r="EI97" s="883">
        <f>'[1]GASTOS G.L.'!EI11</f>
        <v>19101</v>
      </c>
      <c r="EJ97" s="883">
        <f>'[1]GASTOS G.L.'!EJ11</f>
        <v>18129</v>
      </c>
      <c r="EK97" s="883">
        <f>'[1]GASTOS G.L.'!EK11</f>
        <v>18685</v>
      </c>
      <c r="EL97" s="883">
        <f>'[1]GASTOS G.L.'!EL11</f>
        <v>14443</v>
      </c>
      <c r="EM97" s="883">
        <f>'[1]GASTOS G.L.'!EM11</f>
        <v>22436</v>
      </c>
      <c r="EN97" s="879">
        <f t="shared" si="475"/>
        <v>214631</v>
      </c>
      <c r="EO97" s="883">
        <f>'[1]GASTOS G.L.'!EO11</f>
        <v>5858</v>
      </c>
      <c r="EP97" s="883">
        <f>'[1]GASTOS G.L.'!EP11</f>
        <v>18158</v>
      </c>
      <c r="EQ97" s="883">
        <f>'[1]GASTOS G.L.'!EQ11</f>
        <v>21832</v>
      </c>
      <c r="ER97" s="883">
        <f>'[1]GASTOS G.L.'!ER11</f>
        <v>18570</v>
      </c>
      <c r="ES97" s="883">
        <f>'[1]GASTOS G.L.'!ES11</f>
        <v>24064</v>
      </c>
      <c r="ET97" s="883">
        <f>'[1]GASTOS G.L.'!ET11</f>
        <v>22943</v>
      </c>
      <c r="EU97" s="883">
        <f>'[1]GASTOS G.L.'!EU11</f>
        <v>22372</v>
      </c>
      <c r="EV97" s="973">
        <f>'[1]GASTOS G.L.'!EV11</f>
        <v>22020</v>
      </c>
      <c r="EW97" s="883"/>
      <c r="EX97" s="883"/>
      <c r="EY97" s="883"/>
      <c r="EZ97" s="873"/>
      <c r="FA97" s="879">
        <f t="shared" si="479"/>
        <v>155817</v>
      </c>
      <c r="FC97" s="843">
        <f t="shared" si="480"/>
        <v>15.28192241243913</v>
      </c>
      <c r="FD97" s="844">
        <f t="shared" si="454"/>
        <v>10.557124409314733</v>
      </c>
      <c r="FE97" s="845">
        <f t="shared" si="481"/>
        <v>140938</v>
      </c>
      <c r="FF97" s="846">
        <f t="shared" si="455"/>
        <v>155817</v>
      </c>
      <c r="FI97" s="127"/>
    </row>
    <row r="98" spans="1:172" ht="15" customHeight="1" x14ac:dyDescent="0.25">
      <c r="A98" s="403"/>
      <c r="B98" s="883"/>
      <c r="C98" s="883"/>
      <c r="D98" s="883"/>
      <c r="E98" s="883"/>
      <c r="F98" s="883"/>
      <c r="G98" s="883"/>
      <c r="H98" s="883"/>
      <c r="I98" s="883"/>
      <c r="J98" s="883"/>
      <c r="K98" s="883"/>
      <c r="L98" s="883"/>
      <c r="M98" s="873"/>
      <c r="N98" s="879"/>
      <c r="O98" s="883"/>
      <c r="P98" s="883"/>
      <c r="Q98" s="883"/>
      <c r="R98" s="883"/>
      <c r="S98" s="883"/>
      <c r="T98" s="883"/>
      <c r="U98" s="883"/>
      <c r="V98" s="883"/>
      <c r="W98" s="883"/>
      <c r="X98" s="883"/>
      <c r="Y98" s="883"/>
      <c r="Z98" s="873"/>
      <c r="AA98" s="879"/>
      <c r="AB98" s="883"/>
      <c r="AC98" s="883"/>
      <c r="AD98" s="883"/>
      <c r="AE98" s="883"/>
      <c r="AF98" s="883"/>
      <c r="AG98" s="883"/>
      <c r="AH98" s="883"/>
      <c r="AI98" s="883"/>
      <c r="AJ98" s="883"/>
      <c r="AK98" s="883"/>
      <c r="AL98" s="883"/>
      <c r="AM98" s="873"/>
      <c r="AN98" s="879"/>
      <c r="AO98" s="883"/>
      <c r="AP98" s="883"/>
      <c r="AQ98" s="883"/>
      <c r="AR98" s="883"/>
      <c r="AS98" s="883"/>
      <c r="AT98" s="883"/>
      <c r="AU98" s="883"/>
      <c r="AV98" s="883"/>
      <c r="AW98" s="883"/>
      <c r="AX98" s="883"/>
      <c r="AY98" s="883"/>
      <c r="AZ98" s="873"/>
      <c r="BA98" s="879"/>
      <c r="BB98" s="883"/>
      <c r="BC98" s="883"/>
      <c r="BD98" s="883"/>
      <c r="BE98" s="883"/>
      <c r="BF98" s="883"/>
      <c r="BG98" s="883"/>
      <c r="BH98" s="883"/>
      <c r="BI98" s="883"/>
      <c r="BJ98" s="883"/>
      <c r="BK98" s="883"/>
      <c r="BL98" s="883"/>
      <c r="BM98" s="873"/>
      <c r="BN98" s="879"/>
      <c r="BO98" s="883"/>
      <c r="BP98" s="883"/>
      <c r="BQ98" s="883"/>
      <c r="BR98" s="883"/>
      <c r="BS98" s="883"/>
      <c r="BT98" s="883"/>
      <c r="BU98" s="883"/>
      <c r="BV98" s="883"/>
      <c r="BW98" s="883"/>
      <c r="BX98" s="883"/>
      <c r="BY98" s="883"/>
      <c r="BZ98" s="873"/>
      <c r="CA98" s="879"/>
      <c r="CB98" s="883"/>
      <c r="CC98" s="883"/>
      <c r="CD98" s="883"/>
      <c r="CE98" s="883"/>
      <c r="CF98" s="883"/>
      <c r="CG98" s="883"/>
      <c r="CH98" s="883"/>
      <c r="CI98" s="883"/>
      <c r="CJ98" s="883"/>
      <c r="CK98" s="883"/>
      <c r="CL98" s="883"/>
      <c r="CM98" s="873"/>
      <c r="CN98" s="879"/>
      <c r="CO98" s="883"/>
      <c r="CP98" s="883"/>
      <c r="CQ98" s="883"/>
      <c r="CR98" s="883"/>
      <c r="CS98" s="883"/>
      <c r="CT98" s="883"/>
      <c r="CU98" s="883"/>
      <c r="CV98" s="883"/>
      <c r="CW98" s="883"/>
      <c r="CX98" s="883"/>
      <c r="CY98" s="883"/>
      <c r="CZ98" s="873"/>
      <c r="DA98" s="879"/>
      <c r="DB98" s="883"/>
      <c r="DC98" s="883"/>
      <c r="DD98" s="883"/>
      <c r="DE98" s="883"/>
      <c r="DF98" s="883"/>
      <c r="DG98" s="883"/>
      <c r="DH98" s="883"/>
      <c r="DI98" s="883"/>
      <c r="DJ98" s="883"/>
      <c r="DK98" s="883"/>
      <c r="DL98" s="883"/>
      <c r="DM98" s="873"/>
      <c r="DN98" s="879"/>
      <c r="DO98" s="883"/>
      <c r="DP98" s="883"/>
      <c r="DQ98" s="883"/>
      <c r="DR98" s="883"/>
      <c r="DS98" s="883"/>
      <c r="DT98" s="883"/>
      <c r="DU98" s="883"/>
      <c r="DV98" s="883"/>
      <c r="DW98" s="883"/>
      <c r="DX98" s="883"/>
      <c r="DY98" s="883"/>
      <c r="DZ98" s="883"/>
      <c r="EA98" s="879"/>
      <c r="EB98" s="883"/>
      <c r="EC98" s="883"/>
      <c r="ED98" s="883"/>
      <c r="EE98" s="883"/>
      <c r="EF98" s="883"/>
      <c r="EG98" s="883"/>
      <c r="EH98" s="883"/>
      <c r="EI98" s="883"/>
      <c r="EJ98" s="883"/>
      <c r="EK98" s="883"/>
      <c r="EL98" s="883"/>
      <c r="EM98" s="883"/>
      <c r="EN98" s="879"/>
      <c r="EO98" s="883"/>
      <c r="EP98" s="883"/>
      <c r="EQ98" s="883"/>
      <c r="ER98" s="883"/>
      <c r="ES98" s="883"/>
      <c r="ET98" s="883"/>
      <c r="EU98" s="883"/>
      <c r="EV98" s="973"/>
      <c r="EW98" s="883"/>
      <c r="EX98" s="883"/>
      <c r="EY98" s="883"/>
      <c r="EZ98" s="873"/>
      <c r="FA98" s="879"/>
      <c r="FC98" s="843"/>
      <c r="FD98" s="844"/>
      <c r="FE98" s="845"/>
      <c r="FF98" s="846"/>
      <c r="FI98" s="127"/>
    </row>
    <row r="99" spans="1:172" s="753" customFormat="1" ht="15" customHeight="1" x14ac:dyDescent="0.25">
      <c r="A99" s="822" t="s">
        <v>288</v>
      </c>
      <c r="B99" s="884">
        <f t="shared" ref="B99:M99" si="596">B100+B106+B112</f>
        <v>24940.553658814089</v>
      </c>
      <c r="C99" s="884">
        <f t="shared" si="596"/>
        <v>22755.953095799523</v>
      </c>
      <c r="D99" s="884">
        <f t="shared" si="596"/>
        <v>24690.309069300842</v>
      </c>
      <c r="E99" s="884">
        <f t="shared" si="596"/>
        <v>27662.31992044855</v>
      </c>
      <c r="F99" s="884">
        <f t="shared" si="596"/>
        <v>29442.351284695513</v>
      </c>
      <c r="G99" s="884">
        <f t="shared" si="596"/>
        <v>28246.941573215659</v>
      </c>
      <c r="H99" s="884">
        <f t="shared" si="596"/>
        <v>31137.724840667765</v>
      </c>
      <c r="I99" s="884">
        <f t="shared" si="596"/>
        <v>29178.749153458753</v>
      </c>
      <c r="J99" s="884">
        <f t="shared" si="596"/>
        <v>29325.090057399691</v>
      </c>
      <c r="K99" s="884">
        <f t="shared" si="596"/>
        <v>27867.733619824809</v>
      </c>
      <c r="L99" s="884">
        <f t="shared" si="596"/>
        <v>27398.432621208685</v>
      </c>
      <c r="M99" s="875">
        <f t="shared" si="596"/>
        <v>44658.974269612518</v>
      </c>
      <c r="N99" s="876">
        <f t="shared" si="435"/>
        <v>347305.13316444639</v>
      </c>
      <c r="O99" s="884">
        <f t="shared" ref="O99:Z99" si="597">O100+O106+O112</f>
        <v>25472.980870480475</v>
      </c>
      <c r="P99" s="884">
        <f t="shared" si="597"/>
        <v>26737.758026596639</v>
      </c>
      <c r="Q99" s="884">
        <f t="shared" si="597"/>
        <v>26140.047144982895</v>
      </c>
      <c r="R99" s="884">
        <f t="shared" si="597"/>
        <v>27403.854221219422</v>
      </c>
      <c r="S99" s="884">
        <f t="shared" si="597"/>
        <v>31219.504963778658</v>
      </c>
      <c r="T99" s="884">
        <f t="shared" si="597"/>
        <v>31802.191030904243</v>
      </c>
      <c r="U99" s="884">
        <f t="shared" si="597"/>
        <v>35604.642277238367</v>
      </c>
      <c r="V99" s="884">
        <f t="shared" si="597"/>
        <v>27502.879946767644</v>
      </c>
      <c r="W99" s="884">
        <f t="shared" si="597"/>
        <v>30253.137272616095</v>
      </c>
      <c r="X99" s="884">
        <f t="shared" si="597"/>
        <v>28344.129060227395</v>
      </c>
      <c r="Y99" s="884">
        <f t="shared" si="597"/>
        <v>28410.019332858195</v>
      </c>
      <c r="Z99" s="875">
        <f t="shared" si="597"/>
        <v>51208.236261607497</v>
      </c>
      <c r="AA99" s="876">
        <f t="shared" si="437"/>
        <v>370099.38040927757</v>
      </c>
      <c r="AB99" s="884">
        <f t="shared" ref="AB99:AM99" si="598">AB100+AB106+AB112</f>
        <v>51579.887426365502</v>
      </c>
      <c r="AC99" s="884">
        <f t="shared" si="598"/>
        <v>60184.450276590265</v>
      </c>
      <c r="AD99" s="884">
        <f t="shared" si="598"/>
        <v>80343.068022333871</v>
      </c>
      <c r="AE99" s="884">
        <f t="shared" si="598"/>
        <v>68366.178021435117</v>
      </c>
      <c r="AF99" s="884">
        <f t="shared" si="598"/>
        <v>75403.188877011882</v>
      </c>
      <c r="AG99" s="884">
        <f t="shared" si="598"/>
        <v>81149.516504798841</v>
      </c>
      <c r="AH99" s="884">
        <f t="shared" si="598"/>
        <v>75647.865754686296</v>
      </c>
      <c r="AI99" s="884">
        <f t="shared" si="598"/>
        <v>74168.344265814594</v>
      </c>
      <c r="AJ99" s="884">
        <f t="shared" si="598"/>
        <v>63022.964937327568</v>
      </c>
      <c r="AK99" s="884">
        <f t="shared" si="598"/>
        <v>72054.740730829275</v>
      </c>
      <c r="AL99" s="884">
        <f t="shared" si="598"/>
        <v>91188.780948675441</v>
      </c>
      <c r="AM99" s="875">
        <f t="shared" si="598"/>
        <v>121050.49377699525</v>
      </c>
      <c r="AN99" s="876">
        <f t="shared" si="439"/>
        <v>914159.4795428639</v>
      </c>
      <c r="AO99" s="884">
        <f t="shared" ref="AO99:AZ99" si="599">AO100+AO106+AO112</f>
        <v>68801.053174783126</v>
      </c>
      <c r="AP99" s="884">
        <f t="shared" si="599"/>
        <v>74982.353703515488</v>
      </c>
      <c r="AQ99" s="884">
        <f t="shared" si="599"/>
        <v>74810.787926572768</v>
      </c>
      <c r="AR99" s="884">
        <f t="shared" si="599"/>
        <v>78922.987929091993</v>
      </c>
      <c r="AS99" s="884">
        <f t="shared" si="599"/>
        <v>88059.472743340681</v>
      </c>
      <c r="AT99" s="884">
        <f t="shared" si="599"/>
        <v>88920.929606572143</v>
      </c>
      <c r="AU99" s="884">
        <f t="shared" si="599"/>
        <v>92853.9614411402</v>
      </c>
      <c r="AV99" s="884">
        <f t="shared" si="599"/>
        <v>79663.967608921143</v>
      </c>
      <c r="AW99" s="884">
        <f t="shared" si="599"/>
        <v>76560.423017577923</v>
      </c>
      <c r="AX99" s="884">
        <f t="shared" si="599"/>
        <v>82105.852550688141</v>
      </c>
      <c r="AY99" s="884">
        <f t="shared" si="599"/>
        <v>78050.578192853791</v>
      </c>
      <c r="AZ99" s="875">
        <f t="shared" si="599"/>
        <v>106936.74396468527</v>
      </c>
      <c r="BA99" s="876">
        <f t="shared" si="441"/>
        <v>990669.11185974267</v>
      </c>
      <c r="BB99" s="884">
        <f t="shared" ref="BB99:BM99" si="600">BB100+BB106+BB112</f>
        <v>68555.965434228536</v>
      </c>
      <c r="BC99" s="884">
        <f t="shared" si="600"/>
        <v>75798.581963941193</v>
      </c>
      <c r="BD99" s="884">
        <f t="shared" si="600"/>
        <v>74971.898376924873</v>
      </c>
      <c r="BE99" s="884">
        <f t="shared" si="600"/>
        <v>82328.850026687214</v>
      </c>
      <c r="BF99" s="884">
        <f t="shared" si="600"/>
        <v>85897.942708276329</v>
      </c>
      <c r="BG99" s="884">
        <f t="shared" si="600"/>
        <v>94210.286585636495</v>
      </c>
      <c r="BH99" s="884">
        <f t="shared" si="600"/>
        <v>99013.410105980452</v>
      </c>
      <c r="BI99" s="884">
        <f t="shared" si="600"/>
        <v>86299.20130506593</v>
      </c>
      <c r="BJ99" s="884">
        <f t="shared" si="600"/>
        <v>71781.969795491372</v>
      </c>
      <c r="BK99" s="884">
        <f t="shared" si="600"/>
        <v>84608.539357083166</v>
      </c>
      <c r="BL99" s="884">
        <f t="shared" si="600"/>
        <v>90342.082681371234</v>
      </c>
      <c r="BM99" s="875">
        <f t="shared" si="600"/>
        <v>122189.50038253711</v>
      </c>
      <c r="BN99" s="876">
        <f t="shared" si="460"/>
        <v>1035998.2287232238</v>
      </c>
      <c r="BO99" s="884">
        <f t="shared" ref="BO99:BZ99" si="601">BO100+BO106+BO112</f>
        <v>72607.588726486516</v>
      </c>
      <c r="BP99" s="884">
        <f t="shared" si="601"/>
        <v>80237.064157334025</v>
      </c>
      <c r="BQ99" s="884">
        <f t="shared" si="601"/>
        <v>93157.978559567346</v>
      </c>
      <c r="BR99" s="884">
        <f t="shared" si="601"/>
        <v>102616.07543125584</v>
      </c>
      <c r="BS99" s="884">
        <f t="shared" si="601"/>
        <v>97300.024517691243</v>
      </c>
      <c r="BT99" s="884">
        <f t="shared" si="601"/>
        <v>74227.859426688869</v>
      </c>
      <c r="BU99" s="884">
        <f t="shared" si="601"/>
        <v>95288.919165264655</v>
      </c>
      <c r="BV99" s="884">
        <f t="shared" si="601"/>
        <v>111228.24144841966</v>
      </c>
      <c r="BW99" s="884">
        <f t="shared" si="601"/>
        <v>91201.116032745209</v>
      </c>
      <c r="BX99" s="884">
        <f t="shared" si="601"/>
        <v>146810.88575015217</v>
      </c>
      <c r="BY99" s="884">
        <f t="shared" si="601"/>
        <v>140325.42557804452</v>
      </c>
      <c r="BZ99" s="875">
        <f t="shared" si="601"/>
        <v>162246.15746399431</v>
      </c>
      <c r="CA99" s="876">
        <f t="shared" si="462"/>
        <v>1267247.3362576445</v>
      </c>
      <c r="CB99" s="884">
        <f t="shared" ref="CB99:CM99" si="602">CB100+CB106+CB112</f>
        <v>68339.306044791359</v>
      </c>
      <c r="CC99" s="884">
        <f t="shared" si="602"/>
        <v>81182.515401279117</v>
      </c>
      <c r="CD99" s="884">
        <f t="shared" si="602"/>
        <v>89772.468319790802</v>
      </c>
      <c r="CE99" s="884">
        <f t="shared" si="602"/>
        <v>94815.958028963432</v>
      </c>
      <c r="CF99" s="884">
        <f t="shared" si="602"/>
        <v>85808.911857143336</v>
      </c>
      <c r="CG99" s="884">
        <f t="shared" si="602"/>
        <v>86909.440445660846</v>
      </c>
      <c r="CH99" s="884">
        <f t="shared" si="602"/>
        <v>91731.467959279384</v>
      </c>
      <c r="CI99" s="884">
        <f t="shared" si="602"/>
        <v>87042.877827686709</v>
      </c>
      <c r="CJ99" s="884">
        <f t="shared" si="602"/>
        <v>106281.62540258089</v>
      </c>
      <c r="CK99" s="884">
        <f t="shared" si="602"/>
        <v>104000.36246910774</v>
      </c>
      <c r="CL99" s="884">
        <f t="shared" si="602"/>
        <v>110034.07286265231</v>
      </c>
      <c r="CM99" s="875">
        <f t="shared" si="602"/>
        <v>152118.29419210326</v>
      </c>
      <c r="CN99" s="876">
        <f t="shared" si="464"/>
        <v>1158037.3008110391</v>
      </c>
      <c r="CO99" s="884">
        <f t="shared" ref="CO99:CZ99" si="603">CO100+CO106+CO112</f>
        <v>66905.938442845596</v>
      </c>
      <c r="CP99" s="884">
        <f t="shared" si="603"/>
        <v>79726.270348472855</v>
      </c>
      <c r="CQ99" s="884">
        <f t="shared" si="603"/>
        <v>98171.285683749185</v>
      </c>
      <c r="CR99" s="884">
        <f t="shared" si="603"/>
        <v>86439.108229063801</v>
      </c>
      <c r="CS99" s="884">
        <f t="shared" si="603"/>
        <v>82735.007150877136</v>
      </c>
      <c r="CT99" s="884">
        <f t="shared" si="603"/>
        <v>98980.262294934873</v>
      </c>
      <c r="CU99" s="884">
        <f t="shared" si="603"/>
        <v>104146.83694933577</v>
      </c>
      <c r="CV99" s="884">
        <f t="shared" si="603"/>
        <v>96744.209979506471</v>
      </c>
      <c r="CW99" s="884">
        <f t="shared" si="603"/>
        <v>82562.460151525491</v>
      </c>
      <c r="CX99" s="884">
        <f t="shared" si="603"/>
        <v>93178.092974519503</v>
      </c>
      <c r="CY99" s="884">
        <f t="shared" si="603"/>
        <v>89922.746176153567</v>
      </c>
      <c r="CZ99" s="875">
        <f t="shared" si="603"/>
        <v>132117.59279650089</v>
      </c>
      <c r="DA99" s="876">
        <f t="shared" si="466"/>
        <v>1111629.8111774852</v>
      </c>
      <c r="DB99" s="884">
        <f t="shared" ref="DB99:DM99" si="604">DB100+DB106+DB112</f>
        <v>84997.54907857356</v>
      </c>
      <c r="DC99" s="884">
        <f t="shared" si="604"/>
        <v>88466.659903159773</v>
      </c>
      <c r="DD99" s="884">
        <f t="shared" si="604"/>
        <v>72313.60151299143</v>
      </c>
      <c r="DE99" s="884">
        <f t="shared" si="604"/>
        <v>74224.018465837886</v>
      </c>
      <c r="DF99" s="884">
        <f t="shared" si="604"/>
        <v>210300.83210950292</v>
      </c>
      <c r="DG99" s="884">
        <f t="shared" si="604"/>
        <v>235569.00090808145</v>
      </c>
      <c r="DH99" s="884">
        <f t="shared" si="604"/>
        <v>82395.472657198377</v>
      </c>
      <c r="DI99" s="884">
        <f t="shared" si="604"/>
        <v>75950.728170241549</v>
      </c>
      <c r="DJ99" s="884">
        <f t="shared" si="604"/>
        <v>73610.185555257893</v>
      </c>
      <c r="DK99" s="884">
        <f t="shared" si="604"/>
        <v>80054.840166141395</v>
      </c>
      <c r="DL99" s="884">
        <f t="shared" si="604"/>
        <v>80834.395414231229</v>
      </c>
      <c r="DM99" s="875">
        <f t="shared" si="604"/>
        <v>116037.1755986377</v>
      </c>
      <c r="DN99" s="876">
        <f t="shared" si="468"/>
        <v>1274754.4595398554</v>
      </c>
      <c r="DO99" s="884">
        <f t="shared" ref="DO99:DQ99" si="605">DO100+DO106+DO112</f>
        <v>87233.454858657788</v>
      </c>
      <c r="DP99" s="884">
        <f t="shared" si="605"/>
        <v>102838.73111438005</v>
      </c>
      <c r="DQ99" s="884">
        <f t="shared" si="605"/>
        <v>87722.603140531253</v>
      </c>
      <c r="DR99" s="884">
        <f t="shared" ref="DR99:DZ99" si="606">DR100+DR106+DR112</f>
        <v>106059.58884771296</v>
      </c>
      <c r="DS99" s="884">
        <f t="shared" si="606"/>
        <v>108642.79043921584</v>
      </c>
      <c r="DT99" s="884">
        <f t="shared" si="606"/>
        <v>103277.22933570121</v>
      </c>
      <c r="DU99" s="884">
        <f t="shared" si="606"/>
        <v>110223.30218348783</v>
      </c>
      <c r="DV99" s="884">
        <f t="shared" si="606"/>
        <v>110760.43598274766</v>
      </c>
      <c r="DW99" s="884">
        <f t="shared" si="606"/>
        <v>100776.65208768329</v>
      </c>
      <c r="DX99" s="884">
        <f t="shared" si="606"/>
        <v>107742.19190437612</v>
      </c>
      <c r="DY99" s="884">
        <f t="shared" si="606"/>
        <v>124995.30597408599</v>
      </c>
      <c r="DZ99" s="884">
        <f t="shared" si="606"/>
        <v>145518.04674208863</v>
      </c>
      <c r="EA99" s="876">
        <f t="shared" si="471"/>
        <v>1295790.3326106686</v>
      </c>
      <c r="EB99" s="884">
        <f t="shared" ref="EB99:ED99" si="607">EB100+EB106+EB112</f>
        <v>92994.793262457737</v>
      </c>
      <c r="EC99" s="884">
        <f t="shared" si="607"/>
        <v>96642.276574912466</v>
      </c>
      <c r="ED99" s="884">
        <f t="shared" si="607"/>
        <v>100292.01136314665</v>
      </c>
      <c r="EE99" s="884">
        <f t="shared" ref="EE99:EH99" si="608">EE100+EE106+EE112</f>
        <v>104864.35706414221</v>
      </c>
      <c r="EF99" s="884">
        <f t="shared" si="608"/>
        <v>124398.20526219535</v>
      </c>
      <c r="EG99" s="884">
        <f t="shared" si="608"/>
        <v>114690.58299580042</v>
      </c>
      <c r="EH99" s="884">
        <f t="shared" si="608"/>
        <v>121884.81667116258</v>
      </c>
      <c r="EI99" s="884">
        <f t="shared" ref="EI99:EM99" si="609">EI100+EI106+EI112</f>
        <v>111037.91054588459</v>
      </c>
      <c r="EJ99" s="884">
        <f t="shared" si="609"/>
        <v>113700.94228971825</v>
      </c>
      <c r="EK99" s="884">
        <f>EK100+EK106+EK112</f>
        <v>110902.07811434887</v>
      </c>
      <c r="EL99" s="884">
        <f t="shared" si="609"/>
        <v>112962.2827845893</v>
      </c>
      <c r="EM99" s="884">
        <f t="shared" si="609"/>
        <v>151440.79062543283</v>
      </c>
      <c r="EN99" s="876">
        <f t="shared" si="475"/>
        <v>1355811.0475537912</v>
      </c>
      <c r="EO99" s="884">
        <f t="shared" ref="EO99:ER99" si="610">EO100+EO106+EO112</f>
        <v>120185.25505513635</v>
      </c>
      <c r="EP99" s="884">
        <f t="shared" si="610"/>
        <v>104368.73401192672</v>
      </c>
      <c r="EQ99" s="884">
        <f t="shared" si="610"/>
        <v>114885.92210479139</v>
      </c>
      <c r="ER99" s="884">
        <f t="shared" si="610"/>
        <v>111050.87194892972</v>
      </c>
      <c r="ES99" s="884">
        <f t="shared" ref="ES99:EU99" si="611">ES100+ES106+ES112</f>
        <v>118872.47159419772</v>
      </c>
      <c r="ET99" s="884">
        <f t="shared" si="611"/>
        <v>117172.46450820248</v>
      </c>
      <c r="EU99" s="884">
        <f t="shared" si="611"/>
        <v>126456.83678599171</v>
      </c>
      <c r="EV99" s="971">
        <f t="shared" ref="EV99" si="612">EV100+EV106+EV112</f>
        <v>114052.64831509025</v>
      </c>
      <c r="EW99" s="884"/>
      <c r="EX99" s="884"/>
      <c r="EY99" s="884"/>
      <c r="EZ99" s="875"/>
      <c r="FA99" s="876">
        <f t="shared" si="479"/>
        <v>927045.20432426629</v>
      </c>
      <c r="FB99" s="757"/>
      <c r="FC99" s="841">
        <f t="shared" si="480"/>
        <v>2.7150526828040977</v>
      </c>
      <c r="FD99" s="842">
        <f t="shared" si="454"/>
        <v>6.9496892380075392</v>
      </c>
      <c r="FE99" s="702">
        <f t="shared" si="481"/>
        <v>866804.953739702</v>
      </c>
      <c r="FF99" s="703">
        <f t="shared" si="455"/>
        <v>927045.20432426629</v>
      </c>
      <c r="FG99"/>
      <c r="FH99" s="757"/>
      <c r="FI99" s="838"/>
      <c r="FJ99"/>
      <c r="FK99"/>
      <c r="FL99"/>
      <c r="FM99"/>
      <c r="FN99"/>
      <c r="FO99"/>
      <c r="FP99"/>
    </row>
    <row r="100" spans="1:172" s="110" customFormat="1" ht="15" customHeight="1" x14ac:dyDescent="0.25">
      <c r="A100" s="440" t="s">
        <v>273</v>
      </c>
      <c r="B100" s="885">
        <f t="shared" ref="B100:M100" si="613">SUM(B101:B105)</f>
        <v>24940.553658814089</v>
      </c>
      <c r="C100" s="885">
        <f t="shared" si="613"/>
        <v>22755.953095799523</v>
      </c>
      <c r="D100" s="885">
        <f t="shared" si="613"/>
        <v>24690.309069300842</v>
      </c>
      <c r="E100" s="885">
        <f t="shared" si="613"/>
        <v>27662.31992044855</v>
      </c>
      <c r="F100" s="885">
        <f t="shared" si="613"/>
        <v>29442.351284695513</v>
      </c>
      <c r="G100" s="885">
        <f t="shared" si="613"/>
        <v>28246.941573215659</v>
      </c>
      <c r="H100" s="885">
        <f t="shared" si="613"/>
        <v>31137.724840667765</v>
      </c>
      <c r="I100" s="885">
        <f t="shared" si="613"/>
        <v>29178.749153458753</v>
      </c>
      <c r="J100" s="885">
        <f t="shared" si="613"/>
        <v>29325.090057399691</v>
      </c>
      <c r="K100" s="885">
        <f t="shared" si="613"/>
        <v>27867.733619824809</v>
      </c>
      <c r="L100" s="885">
        <f t="shared" si="613"/>
        <v>27398.432621208685</v>
      </c>
      <c r="M100" s="877">
        <f t="shared" si="613"/>
        <v>44658.974269612518</v>
      </c>
      <c r="N100" s="878">
        <f t="shared" si="435"/>
        <v>347305.13316444639</v>
      </c>
      <c r="O100" s="885">
        <f t="shared" ref="O100:AM100" si="614">SUM(O101:O105)</f>
        <v>25472.980870480475</v>
      </c>
      <c r="P100" s="885">
        <f t="shared" si="614"/>
        <v>26737.758026596639</v>
      </c>
      <c r="Q100" s="885">
        <f t="shared" si="614"/>
        <v>26140.047144982895</v>
      </c>
      <c r="R100" s="885">
        <f t="shared" si="614"/>
        <v>27403.854221219422</v>
      </c>
      <c r="S100" s="885">
        <f t="shared" si="614"/>
        <v>31219.504963778658</v>
      </c>
      <c r="T100" s="885">
        <f t="shared" si="614"/>
        <v>31802.191030904243</v>
      </c>
      <c r="U100" s="885">
        <f t="shared" si="614"/>
        <v>35604.642277238367</v>
      </c>
      <c r="V100" s="885">
        <f t="shared" si="614"/>
        <v>27502.879946767644</v>
      </c>
      <c r="W100" s="885">
        <f t="shared" si="614"/>
        <v>30253.137272616095</v>
      </c>
      <c r="X100" s="885">
        <f t="shared" si="614"/>
        <v>28344.129060227395</v>
      </c>
      <c r="Y100" s="885">
        <f t="shared" si="614"/>
        <v>28410.019332858195</v>
      </c>
      <c r="Z100" s="877">
        <f t="shared" si="614"/>
        <v>51208.236261607497</v>
      </c>
      <c r="AA100" s="878">
        <f t="shared" si="437"/>
        <v>370099.38040927757</v>
      </c>
      <c r="AB100" s="885">
        <f t="shared" si="614"/>
        <v>27352.051313573877</v>
      </c>
      <c r="AC100" s="885">
        <f t="shared" si="614"/>
        <v>27069.579268322123</v>
      </c>
      <c r="AD100" s="885">
        <f t="shared" si="614"/>
        <v>31591.14715543788</v>
      </c>
      <c r="AE100" s="885">
        <f t="shared" si="614"/>
        <v>30368.483656758806</v>
      </c>
      <c r="AF100" s="885">
        <f t="shared" si="614"/>
        <v>33473.522495485748</v>
      </c>
      <c r="AG100" s="885">
        <f t="shared" si="614"/>
        <v>32730.779787119292</v>
      </c>
      <c r="AH100" s="885">
        <f t="shared" si="614"/>
        <v>35677.127323761764</v>
      </c>
      <c r="AI100" s="885">
        <f t="shared" si="614"/>
        <v>35874.515580912448</v>
      </c>
      <c r="AJ100" s="885">
        <f t="shared" si="614"/>
        <v>31436.154678816216</v>
      </c>
      <c r="AK100" s="885">
        <f t="shared" si="614"/>
        <v>31263.816763326111</v>
      </c>
      <c r="AL100" s="885">
        <f t="shared" si="614"/>
        <v>43470.611428000193</v>
      </c>
      <c r="AM100" s="877">
        <f t="shared" si="614"/>
        <v>55733.260987311209</v>
      </c>
      <c r="AN100" s="878">
        <f t="shared" si="439"/>
        <v>416041.05043882568</v>
      </c>
      <c r="AO100" s="885">
        <f t="shared" ref="AO100:AZ100" si="615">SUM(AO101:AO105)</f>
        <v>33708.647881894671</v>
      </c>
      <c r="AP100" s="885">
        <f t="shared" si="615"/>
        <v>33148.610892498167</v>
      </c>
      <c r="AQ100" s="885">
        <f t="shared" si="615"/>
        <v>38595.216311575256</v>
      </c>
      <c r="AR100" s="885">
        <f t="shared" si="615"/>
        <v>35497.239500576106</v>
      </c>
      <c r="AS100" s="885">
        <f t="shared" si="615"/>
        <v>35375.78029230723</v>
      </c>
      <c r="AT100" s="885">
        <f t="shared" si="615"/>
        <v>46849.063194412985</v>
      </c>
      <c r="AU100" s="885">
        <f t="shared" si="615"/>
        <v>42715.001956002241</v>
      </c>
      <c r="AV100" s="885">
        <f t="shared" si="615"/>
        <v>37730.954411317143</v>
      </c>
      <c r="AW100" s="885">
        <f t="shared" si="615"/>
        <v>36621.99188889996</v>
      </c>
      <c r="AX100" s="885">
        <f t="shared" si="615"/>
        <v>37081.633774901238</v>
      </c>
      <c r="AY100" s="885">
        <f t="shared" si="615"/>
        <v>36983.296971286974</v>
      </c>
      <c r="AZ100" s="877">
        <f t="shared" si="615"/>
        <v>49174.663055350669</v>
      </c>
      <c r="BA100" s="878">
        <f t="shared" si="441"/>
        <v>463482.10013102263</v>
      </c>
      <c r="BB100" s="885">
        <f t="shared" ref="BB100:BM100" si="616">SUM(BB101:BB105)</f>
        <v>32328.56420654292</v>
      </c>
      <c r="BC100" s="885">
        <f t="shared" si="616"/>
        <v>35398.569425078655</v>
      </c>
      <c r="BD100" s="885">
        <f t="shared" si="616"/>
        <v>35313.787782938147</v>
      </c>
      <c r="BE100" s="885">
        <f t="shared" si="616"/>
        <v>37767.039682627714</v>
      </c>
      <c r="BF100" s="885">
        <f t="shared" si="616"/>
        <v>37574.560100710114</v>
      </c>
      <c r="BG100" s="885">
        <f t="shared" si="616"/>
        <v>51262.992858126236</v>
      </c>
      <c r="BH100" s="885">
        <f t="shared" si="616"/>
        <v>40977.036608254042</v>
      </c>
      <c r="BI100" s="885">
        <f t="shared" si="616"/>
        <v>47108.851048982149</v>
      </c>
      <c r="BJ100" s="885">
        <f t="shared" si="616"/>
        <v>30947.172655550246</v>
      </c>
      <c r="BK100" s="885">
        <f t="shared" si="616"/>
        <v>41769.405624168983</v>
      </c>
      <c r="BL100" s="885">
        <f t="shared" si="616"/>
        <v>40329.202071949068</v>
      </c>
      <c r="BM100" s="877">
        <f t="shared" si="616"/>
        <v>65948.435966992343</v>
      </c>
      <c r="BN100" s="878">
        <f t="shared" si="460"/>
        <v>496725.61803192063</v>
      </c>
      <c r="BO100" s="885">
        <f t="shared" ref="BO100:BZ100" si="617">SUM(BO101:BO105)</f>
        <v>37343.091886372429</v>
      </c>
      <c r="BP100" s="885">
        <f t="shared" si="617"/>
        <v>35279.247016519694</v>
      </c>
      <c r="BQ100" s="885">
        <f t="shared" si="617"/>
        <v>38916.546802604258</v>
      </c>
      <c r="BR100" s="885">
        <f t="shared" si="617"/>
        <v>41518.012066559866</v>
      </c>
      <c r="BS100" s="885">
        <f t="shared" si="617"/>
        <v>40134.592403114148</v>
      </c>
      <c r="BT100" s="885">
        <f t="shared" si="617"/>
        <v>41650.565663976929</v>
      </c>
      <c r="BU100" s="885">
        <f t="shared" si="617"/>
        <v>44195.470568855861</v>
      </c>
      <c r="BV100" s="885">
        <f t="shared" si="617"/>
        <v>48292.164263774437</v>
      </c>
      <c r="BW100" s="885">
        <f t="shared" si="617"/>
        <v>41327.57879800682</v>
      </c>
      <c r="BX100" s="885">
        <f t="shared" si="617"/>
        <v>50907.647755272235</v>
      </c>
      <c r="BY100" s="885">
        <f t="shared" si="617"/>
        <v>65894.88422849495</v>
      </c>
      <c r="BZ100" s="877">
        <f t="shared" si="617"/>
        <v>63586.17462120382</v>
      </c>
      <c r="CA100" s="878">
        <f t="shared" si="462"/>
        <v>549045.97607475554</v>
      </c>
      <c r="CB100" s="885">
        <f>SUM(CB101:CB105)</f>
        <v>41337.603664393457</v>
      </c>
      <c r="CC100" s="885">
        <f>SUM(CC101:CC105)</f>
        <v>38935.866152012357</v>
      </c>
      <c r="CD100" s="885">
        <f>SUM(CD101:CD105)</f>
        <v>46463.192036884386</v>
      </c>
      <c r="CE100" s="885">
        <f t="shared" ref="CE100:CM100" si="618">SUM(CE101:CE105)</f>
        <v>45551.097002343864</v>
      </c>
      <c r="CF100" s="885">
        <f t="shared" si="618"/>
        <v>44866.320007870905</v>
      </c>
      <c r="CG100" s="885">
        <f t="shared" si="618"/>
        <v>45428.678554750084</v>
      </c>
      <c r="CH100" s="885">
        <f t="shared" si="618"/>
        <v>47252.816057125681</v>
      </c>
      <c r="CI100" s="885">
        <f t="shared" si="618"/>
        <v>43861.000628340713</v>
      </c>
      <c r="CJ100" s="885">
        <f t="shared" si="618"/>
        <v>48037.571026707665</v>
      </c>
      <c r="CK100" s="885">
        <f t="shared" si="618"/>
        <v>45044.197739966658</v>
      </c>
      <c r="CL100" s="885">
        <f t="shared" si="618"/>
        <v>53737.783649531862</v>
      </c>
      <c r="CM100" s="877">
        <f t="shared" si="618"/>
        <v>66178.938674820791</v>
      </c>
      <c r="CN100" s="878">
        <f t="shared" si="464"/>
        <v>566695.06519474846</v>
      </c>
      <c r="CO100" s="885">
        <f t="shared" ref="CO100:CZ100" si="619">SUM(CO101:CO105)</f>
        <v>38377.442269191226</v>
      </c>
      <c r="CP100" s="885">
        <f t="shared" si="619"/>
        <v>41496.223072562323</v>
      </c>
      <c r="CQ100" s="885">
        <f t="shared" si="619"/>
        <v>45749.618386778762</v>
      </c>
      <c r="CR100" s="885">
        <f t="shared" si="619"/>
        <v>43198.485326715934</v>
      </c>
      <c r="CS100" s="885">
        <f t="shared" si="619"/>
        <v>43867.005262154336</v>
      </c>
      <c r="CT100" s="885">
        <f t="shared" si="619"/>
        <v>49729.765275318176</v>
      </c>
      <c r="CU100" s="885">
        <f t="shared" si="619"/>
        <v>58844.923701590727</v>
      </c>
      <c r="CV100" s="885">
        <f t="shared" si="619"/>
        <v>48196.173935560524</v>
      </c>
      <c r="CW100" s="885">
        <f t="shared" si="619"/>
        <v>40729.226772749636</v>
      </c>
      <c r="CX100" s="885">
        <f t="shared" si="619"/>
        <v>39009.686658386599</v>
      </c>
      <c r="CY100" s="885">
        <f t="shared" si="619"/>
        <v>41708.360197954731</v>
      </c>
      <c r="CZ100" s="877">
        <f t="shared" si="619"/>
        <v>67360.980361509879</v>
      </c>
      <c r="DA100" s="878">
        <f t="shared" si="466"/>
        <v>558267.89122047287</v>
      </c>
      <c r="DB100" s="885">
        <f t="shared" ref="DB100:DL100" si="620">SUM(DB101:DB105)</f>
        <v>49961.534119819269</v>
      </c>
      <c r="DC100" s="885">
        <f t="shared" si="620"/>
        <v>44933.138005500128</v>
      </c>
      <c r="DD100" s="885">
        <f t="shared" si="620"/>
        <v>45014.899595891919</v>
      </c>
      <c r="DE100" s="885">
        <f t="shared" si="620"/>
        <v>43669.561749065979</v>
      </c>
      <c r="DF100" s="885">
        <f t="shared" si="620"/>
        <v>46536.073159518011</v>
      </c>
      <c r="DG100" s="885">
        <f t="shared" si="620"/>
        <v>53771.224901215879</v>
      </c>
      <c r="DH100" s="885">
        <f t="shared" si="620"/>
        <v>53946.654505623046</v>
      </c>
      <c r="DI100" s="885">
        <f t="shared" si="620"/>
        <v>46337.030084000842</v>
      </c>
      <c r="DJ100" s="885">
        <f t="shared" si="620"/>
        <v>47615.102791218727</v>
      </c>
      <c r="DK100" s="885">
        <f t="shared" si="620"/>
        <v>47702.525686112691</v>
      </c>
      <c r="DL100" s="885">
        <f t="shared" si="620"/>
        <v>51743.501981240741</v>
      </c>
      <c r="DM100" s="877">
        <f>SUM(DM101:DM105)</f>
        <v>71907.213137313476</v>
      </c>
      <c r="DN100" s="878">
        <f t="shared" si="468"/>
        <v>603138.45971652074</v>
      </c>
      <c r="DO100" s="885">
        <f t="shared" ref="DO100:DQ100" si="621">SUM(DO101:DO105)</f>
        <v>57936.530718877199</v>
      </c>
      <c r="DP100" s="885">
        <f t="shared" si="621"/>
        <v>47382.10243813329</v>
      </c>
      <c r="DQ100" s="885">
        <f t="shared" si="621"/>
        <v>46075.027464852465</v>
      </c>
      <c r="DR100" s="885">
        <f t="shared" ref="DR100:DZ100" si="622">SUM(DR101:DR105)</f>
        <v>55357.834203975573</v>
      </c>
      <c r="DS100" s="885">
        <f t="shared" si="622"/>
        <v>57498.040404457723</v>
      </c>
      <c r="DT100" s="885">
        <f t="shared" si="622"/>
        <v>54966.978724638975</v>
      </c>
      <c r="DU100" s="885">
        <f t="shared" si="622"/>
        <v>56025.590451244636</v>
      </c>
      <c r="DV100" s="885">
        <f t="shared" si="622"/>
        <v>57755.892800350703</v>
      </c>
      <c r="DW100" s="885">
        <f t="shared" si="622"/>
        <v>51912.97294303713</v>
      </c>
      <c r="DX100" s="885">
        <f t="shared" si="622"/>
        <v>58364.955070005002</v>
      </c>
      <c r="DY100" s="885">
        <f t="shared" si="622"/>
        <v>75611.751564413513</v>
      </c>
      <c r="DZ100" s="885">
        <f t="shared" si="622"/>
        <v>72471.935916073417</v>
      </c>
      <c r="EA100" s="878">
        <f t="shared" si="471"/>
        <v>691359.61270005954</v>
      </c>
      <c r="EB100" s="885">
        <f t="shared" ref="EB100:ED100" si="623">SUM(EB101:EB105)</f>
        <v>52860.034854620142</v>
      </c>
      <c r="EC100" s="885">
        <f t="shared" si="623"/>
        <v>49954.760516421193</v>
      </c>
      <c r="ED100" s="885">
        <f t="shared" si="623"/>
        <v>51539.787718625143</v>
      </c>
      <c r="EE100" s="885">
        <f t="shared" ref="EE100:EH100" si="624">SUM(EE101:EE105)</f>
        <v>54302.677546949773</v>
      </c>
      <c r="EF100" s="885">
        <f t="shared" si="624"/>
        <v>66935.183557124983</v>
      </c>
      <c r="EG100" s="885">
        <f t="shared" si="624"/>
        <v>57680.963598708513</v>
      </c>
      <c r="EH100" s="885">
        <f t="shared" si="624"/>
        <v>62058.033729897739</v>
      </c>
      <c r="EI100" s="885">
        <f t="shared" ref="EI100:EM100" si="625">SUM(EI101:EI105)</f>
        <v>59689.051674377355</v>
      </c>
      <c r="EJ100" s="885">
        <f t="shared" si="625"/>
        <v>59164.912222145373</v>
      </c>
      <c r="EK100" s="885">
        <f t="shared" si="625"/>
        <v>56158.017109862885</v>
      </c>
      <c r="EL100" s="885">
        <f t="shared" si="625"/>
        <v>61174.740985878365</v>
      </c>
      <c r="EM100" s="885">
        <f t="shared" si="625"/>
        <v>76243.500400892808</v>
      </c>
      <c r="EN100" s="878">
        <f t="shared" si="475"/>
        <v>707761.66391550435</v>
      </c>
      <c r="EO100" s="885">
        <f t="shared" ref="EO100:ER100" si="626">SUM(EO101:EO105)</f>
        <v>69283.008983065854</v>
      </c>
      <c r="EP100" s="885">
        <f t="shared" si="626"/>
        <v>56983.441516947569</v>
      </c>
      <c r="EQ100" s="885">
        <f t="shared" si="626"/>
        <v>58286.364851981874</v>
      </c>
      <c r="ER100" s="885">
        <f t="shared" si="626"/>
        <v>59726.090056300876</v>
      </c>
      <c r="ES100" s="885">
        <f t="shared" ref="ES100:EU100" si="627">SUM(ES101:ES105)</f>
        <v>59845.833993913518</v>
      </c>
      <c r="ET100" s="885">
        <f t="shared" si="627"/>
        <v>60184.032621794875</v>
      </c>
      <c r="EU100" s="885">
        <f t="shared" si="627"/>
        <v>62882.591062663058</v>
      </c>
      <c r="EV100" s="972">
        <f t="shared" ref="EV100" si="628">SUM(EV101:EV105)</f>
        <v>59231.316956355266</v>
      </c>
      <c r="EW100" s="885"/>
      <c r="EX100" s="885"/>
      <c r="EY100" s="885"/>
      <c r="EZ100" s="877"/>
      <c r="FA100" s="878">
        <f t="shared" si="479"/>
        <v>486422.68004302285</v>
      </c>
      <c r="FC100" s="851">
        <f t="shared" si="480"/>
        <v>-0.76686545552637764</v>
      </c>
      <c r="FD100" s="852">
        <f t="shared" si="454"/>
        <v>6.9012686935666201</v>
      </c>
      <c r="FE100" s="853">
        <f t="shared" si="481"/>
        <v>455020.49319672486</v>
      </c>
      <c r="FF100" s="854">
        <f t="shared" si="455"/>
        <v>486422.68004302285</v>
      </c>
      <c r="FG100"/>
      <c r="FI100" s="236"/>
      <c r="FJ100"/>
      <c r="FK100"/>
      <c r="FL100"/>
      <c r="FM100"/>
      <c r="FN100"/>
      <c r="FO100"/>
      <c r="FP100"/>
    </row>
    <row r="101" spans="1:172" ht="15" customHeight="1" x14ac:dyDescent="0.25">
      <c r="A101" s="403" t="s">
        <v>274</v>
      </c>
      <c r="B101" s="883">
        <f t="shared" ref="B101:M101" si="629">B81/B39</f>
        <v>20123.450635032939</v>
      </c>
      <c r="C101" s="883">
        <f t="shared" si="629"/>
        <v>16489.546381330434</v>
      </c>
      <c r="D101" s="883">
        <f t="shared" si="629"/>
        <v>15831.718604913251</v>
      </c>
      <c r="E101" s="883">
        <f t="shared" si="629"/>
        <v>17961.576699476027</v>
      </c>
      <c r="F101" s="883">
        <f t="shared" si="629"/>
        <v>19199.550793735169</v>
      </c>
      <c r="G101" s="883">
        <f t="shared" si="629"/>
        <v>18243.496600065722</v>
      </c>
      <c r="H101" s="883">
        <f t="shared" si="629"/>
        <v>19182.135661463886</v>
      </c>
      <c r="I101" s="883">
        <f t="shared" si="629"/>
        <v>18729.567691411467</v>
      </c>
      <c r="J101" s="883">
        <f t="shared" si="629"/>
        <v>19774.403864200827</v>
      </c>
      <c r="K101" s="883">
        <f t="shared" si="629"/>
        <v>18920.49285530331</v>
      </c>
      <c r="L101" s="883">
        <f t="shared" si="629"/>
        <v>16144.322802906772</v>
      </c>
      <c r="M101" s="873">
        <f t="shared" si="629"/>
        <v>22490.692527812622</v>
      </c>
      <c r="N101" s="879">
        <f t="shared" si="435"/>
        <v>223090.95511765243</v>
      </c>
      <c r="O101" s="883">
        <f t="shared" ref="O101:Z101" si="630">O81/O39</f>
        <v>20474.471826329165</v>
      </c>
      <c r="P101" s="883">
        <f t="shared" si="630"/>
        <v>19004.015377244108</v>
      </c>
      <c r="Q101" s="883">
        <f t="shared" si="630"/>
        <v>17419.53282253104</v>
      </c>
      <c r="R101" s="883">
        <f t="shared" si="630"/>
        <v>19066.971498356066</v>
      </c>
      <c r="S101" s="883">
        <f t="shared" si="630"/>
        <v>19253.190277209069</v>
      </c>
      <c r="T101" s="883">
        <f t="shared" si="630"/>
        <v>20891.985882224082</v>
      </c>
      <c r="U101" s="883">
        <f t="shared" si="630"/>
        <v>21922.019393804912</v>
      </c>
      <c r="V101" s="883">
        <f t="shared" si="630"/>
        <v>20134.672912002723</v>
      </c>
      <c r="W101" s="883">
        <f t="shared" si="630"/>
        <v>20690.381269262416</v>
      </c>
      <c r="X101" s="883">
        <f t="shared" si="630"/>
        <v>19925.159998557767</v>
      </c>
      <c r="Y101" s="883">
        <f t="shared" si="630"/>
        <v>19444.596476068789</v>
      </c>
      <c r="Z101" s="873">
        <f t="shared" si="630"/>
        <v>27240.440906610507</v>
      </c>
      <c r="AA101" s="879">
        <f t="shared" si="437"/>
        <v>245467.43864020062</v>
      </c>
      <c r="AB101" s="883">
        <f t="shared" ref="AB101:AM101" si="631">AB81/AB39</f>
        <v>22510.572116545223</v>
      </c>
      <c r="AC101" s="883">
        <f t="shared" si="631"/>
        <v>19270.386400857242</v>
      </c>
      <c r="AD101" s="883">
        <f t="shared" si="631"/>
        <v>20692.734328467268</v>
      </c>
      <c r="AE101" s="883">
        <f t="shared" si="631"/>
        <v>21063.786595313893</v>
      </c>
      <c r="AF101" s="883">
        <f t="shared" si="631"/>
        <v>21208.229731786039</v>
      </c>
      <c r="AG101" s="883">
        <f t="shared" si="631"/>
        <v>21854.097286869302</v>
      </c>
      <c r="AH101" s="883">
        <f t="shared" si="631"/>
        <v>24453.776715980213</v>
      </c>
      <c r="AI101" s="883">
        <f t="shared" si="631"/>
        <v>22601.740006198634</v>
      </c>
      <c r="AJ101" s="883">
        <f t="shared" si="631"/>
        <v>20537.259807697541</v>
      </c>
      <c r="AK101" s="883">
        <f t="shared" si="631"/>
        <v>22349.13730512578</v>
      </c>
      <c r="AL101" s="883">
        <f t="shared" si="631"/>
        <v>29380.610319351948</v>
      </c>
      <c r="AM101" s="873">
        <f t="shared" si="631"/>
        <v>29820.961178573463</v>
      </c>
      <c r="AN101" s="879">
        <f t="shared" si="439"/>
        <v>275743.2917927666</v>
      </c>
      <c r="AO101" s="883">
        <f t="shared" ref="AO101:AZ101" si="632">AO81/AO39</f>
        <v>28168.229476571025</v>
      </c>
      <c r="AP101" s="883">
        <f t="shared" si="632"/>
        <v>24852.153141098639</v>
      </c>
      <c r="AQ101" s="883">
        <f t="shared" si="632"/>
        <v>28819.213616437315</v>
      </c>
      <c r="AR101" s="883">
        <f t="shared" si="632"/>
        <v>25323.099249233514</v>
      </c>
      <c r="AS101" s="883">
        <f t="shared" si="632"/>
        <v>25437.517710441814</v>
      </c>
      <c r="AT101" s="883">
        <f t="shared" si="632"/>
        <v>25832.345627678504</v>
      </c>
      <c r="AU101" s="883">
        <f t="shared" si="632"/>
        <v>28569.084942149882</v>
      </c>
      <c r="AV101" s="883">
        <f t="shared" si="632"/>
        <v>25208.049826027738</v>
      </c>
      <c r="AW101" s="883">
        <f t="shared" si="632"/>
        <v>25488.114585895477</v>
      </c>
      <c r="AX101" s="883">
        <f t="shared" si="632"/>
        <v>25273.157318865124</v>
      </c>
      <c r="AY101" s="883">
        <f t="shared" si="632"/>
        <v>25187.741193695205</v>
      </c>
      <c r="AZ101" s="873">
        <f t="shared" si="632"/>
        <v>28005.934370000046</v>
      </c>
      <c r="BA101" s="879">
        <f t="shared" si="441"/>
        <v>316164.64105809428</v>
      </c>
      <c r="BB101" s="883">
        <f t="shared" ref="BB101:BM101" si="633">BB81/BB39</f>
        <v>27674.750085154552</v>
      </c>
      <c r="BC101" s="883">
        <f t="shared" si="633"/>
        <v>28169.671951544351</v>
      </c>
      <c r="BD101" s="883">
        <f t="shared" si="633"/>
        <v>25088.662384465053</v>
      </c>
      <c r="BE101" s="883">
        <f t="shared" si="633"/>
        <v>26864.773153592592</v>
      </c>
      <c r="BF101" s="883">
        <f t="shared" si="633"/>
        <v>26445.637074177561</v>
      </c>
      <c r="BG101" s="883">
        <f t="shared" si="633"/>
        <v>27349.241989234397</v>
      </c>
      <c r="BH101" s="883">
        <f t="shared" si="633"/>
        <v>30138.84580083147</v>
      </c>
      <c r="BI101" s="883">
        <f t="shared" si="633"/>
        <v>33753.149890110762</v>
      </c>
      <c r="BJ101" s="883">
        <f t="shared" si="633"/>
        <v>21331.125890325668</v>
      </c>
      <c r="BK101" s="883">
        <f t="shared" si="633"/>
        <v>28676.93456963083</v>
      </c>
      <c r="BL101" s="883">
        <f t="shared" si="633"/>
        <v>27204.551142829227</v>
      </c>
      <c r="BM101" s="873">
        <f t="shared" si="633"/>
        <v>38003.096456430481</v>
      </c>
      <c r="BN101" s="879">
        <f t="shared" si="460"/>
        <v>340700.440388327</v>
      </c>
      <c r="BO101" s="883">
        <f t="shared" ref="BO101:BZ101" si="634">BO81/BO38</f>
        <v>32394.706353781035</v>
      </c>
      <c r="BP101" s="883">
        <f t="shared" si="634"/>
        <v>27954.904520771459</v>
      </c>
      <c r="BQ101" s="883">
        <f t="shared" si="634"/>
        <v>28064.760128757669</v>
      </c>
      <c r="BR101" s="883">
        <f t="shared" si="634"/>
        <v>29693.647740552809</v>
      </c>
      <c r="BS101" s="883">
        <f t="shared" si="634"/>
        <v>28849.321526111944</v>
      </c>
      <c r="BT101" s="883">
        <f t="shared" si="634"/>
        <v>28797.02911349748</v>
      </c>
      <c r="BU101" s="883">
        <f t="shared" si="634"/>
        <v>31746.879984420131</v>
      </c>
      <c r="BV101" s="883">
        <f t="shared" si="634"/>
        <v>31420.053230342994</v>
      </c>
      <c r="BW101" s="883">
        <f t="shared" si="634"/>
        <v>29323.859433657472</v>
      </c>
      <c r="BX101" s="883">
        <f t="shared" si="634"/>
        <v>30435.079962054791</v>
      </c>
      <c r="BY101" s="883">
        <f t="shared" si="634"/>
        <v>45195.348091732463</v>
      </c>
      <c r="BZ101" s="873">
        <f t="shared" si="634"/>
        <v>33363.914438245229</v>
      </c>
      <c r="CA101" s="879">
        <f t="shared" si="462"/>
        <v>377239.50452392554</v>
      </c>
      <c r="CB101" s="883">
        <f t="shared" ref="CB101:CM101" si="635">CB81/CB38</f>
        <v>34611.645942904048</v>
      </c>
      <c r="CC101" s="883">
        <f t="shared" si="635"/>
        <v>29384.907891315135</v>
      </c>
      <c r="CD101" s="883">
        <f t="shared" si="635"/>
        <v>31574.051785052849</v>
      </c>
      <c r="CE101" s="883">
        <f t="shared" si="635"/>
        <v>31004.774147823373</v>
      </c>
      <c r="CF101" s="883">
        <f t="shared" si="635"/>
        <v>30670.089634020369</v>
      </c>
      <c r="CG101" s="883">
        <f t="shared" si="635"/>
        <v>31988.218510530096</v>
      </c>
      <c r="CH101" s="883">
        <f t="shared" si="635"/>
        <v>32914.573873290923</v>
      </c>
      <c r="CI101" s="883">
        <f t="shared" si="635"/>
        <v>30188.167781060816</v>
      </c>
      <c r="CJ101" s="883">
        <f t="shared" si="635"/>
        <v>30198.993002484385</v>
      </c>
      <c r="CK101" s="883">
        <f t="shared" si="635"/>
        <v>29709.320831581805</v>
      </c>
      <c r="CL101" s="883">
        <f t="shared" si="635"/>
        <v>37851.633373113858</v>
      </c>
      <c r="CM101" s="873">
        <f t="shared" si="635"/>
        <v>31872.52965032461</v>
      </c>
      <c r="CN101" s="879">
        <f t="shared" si="464"/>
        <v>381968.90642350231</v>
      </c>
      <c r="CO101" s="883">
        <f t="shared" ref="CO101:CZ101" si="636">CO81/CO38</f>
        <v>30745.075858796798</v>
      </c>
      <c r="CP101" s="883">
        <f t="shared" si="636"/>
        <v>31732.892581119588</v>
      </c>
      <c r="CQ101" s="883">
        <f t="shared" si="636"/>
        <v>28972.260628672462</v>
      </c>
      <c r="CR101" s="883">
        <f t="shared" si="636"/>
        <v>29979.960596037483</v>
      </c>
      <c r="CS101" s="883">
        <f t="shared" si="636"/>
        <v>30876.522838762667</v>
      </c>
      <c r="CT101" s="883">
        <f t="shared" si="636"/>
        <v>31711.958101116186</v>
      </c>
      <c r="CU101" s="883">
        <f t="shared" si="636"/>
        <v>40689.368277123336</v>
      </c>
      <c r="CV101" s="883">
        <f t="shared" si="636"/>
        <v>33395.181651446459</v>
      </c>
      <c r="CW101" s="883">
        <f t="shared" si="636"/>
        <v>27557.669951484786</v>
      </c>
      <c r="CX101" s="883">
        <f t="shared" si="636"/>
        <v>24194.4644734213</v>
      </c>
      <c r="CY101" s="883">
        <f t="shared" si="636"/>
        <v>30130.948180081203</v>
      </c>
      <c r="CZ101" s="873">
        <f t="shared" si="636"/>
        <v>38436.565141069535</v>
      </c>
      <c r="DA101" s="879">
        <f t="shared" si="466"/>
        <v>378422.86827913177</v>
      </c>
      <c r="DB101" s="883">
        <f t="shared" ref="DB101:DM101" si="637">DB81/DB38</f>
        <v>43105.669125946741</v>
      </c>
      <c r="DC101" s="883">
        <f t="shared" si="637"/>
        <v>35990.346199159037</v>
      </c>
      <c r="DD101" s="883">
        <f t="shared" si="637"/>
        <v>31285.260858893736</v>
      </c>
      <c r="DE101" s="883">
        <f t="shared" si="637"/>
        <v>32920.341661712249</v>
      </c>
      <c r="DF101" s="883">
        <f t="shared" si="637"/>
        <v>32476.740789637308</v>
      </c>
      <c r="DG101" s="883">
        <f t="shared" si="637"/>
        <v>33201.434903998575</v>
      </c>
      <c r="DH101" s="883">
        <f t="shared" si="637"/>
        <v>35288.903911186091</v>
      </c>
      <c r="DI101" s="883">
        <f t="shared" si="637"/>
        <v>32693.308689800357</v>
      </c>
      <c r="DJ101" s="883">
        <f t="shared" si="637"/>
        <v>33396.07865687419</v>
      </c>
      <c r="DK101" s="883">
        <f t="shared" si="637"/>
        <v>32590.108249803132</v>
      </c>
      <c r="DL101" s="883">
        <f>DL81/DL38</f>
        <v>34774.790138032433</v>
      </c>
      <c r="DM101" s="873">
        <f t="shared" si="637"/>
        <v>40220.73351146184</v>
      </c>
      <c r="DN101" s="879">
        <f t="shared" si="468"/>
        <v>417943.71669650573</v>
      </c>
      <c r="DO101" s="883">
        <f t="shared" ref="DO101:DQ101" si="638">DO81/DO38</f>
        <v>55440.46466363837</v>
      </c>
      <c r="DP101" s="883">
        <f t="shared" si="638"/>
        <v>40937.455321736394</v>
      </c>
      <c r="DQ101" s="883">
        <f t="shared" si="638"/>
        <v>37538.332664502108</v>
      </c>
      <c r="DR101" s="883">
        <f t="shared" ref="DR101:DZ101" si="639">DR81/DR38</f>
        <v>43994.094671544168</v>
      </c>
      <c r="DS101" s="883">
        <f t="shared" si="639"/>
        <v>45217.391083116207</v>
      </c>
      <c r="DT101" s="883">
        <f t="shared" si="639"/>
        <v>42373.585011786789</v>
      </c>
      <c r="DU101" s="883">
        <f t="shared" si="639"/>
        <v>46804.046398129256</v>
      </c>
      <c r="DV101" s="883">
        <f t="shared" si="639"/>
        <v>44269.783882461503</v>
      </c>
      <c r="DW101" s="883">
        <f t="shared" si="639"/>
        <v>41447.919585550204</v>
      </c>
      <c r="DX101" s="883">
        <f t="shared" si="639"/>
        <v>43501.022177721272</v>
      </c>
      <c r="DY101" s="883">
        <f t="shared" si="639"/>
        <v>63900.652220554126</v>
      </c>
      <c r="DZ101" s="883">
        <f t="shared" si="639"/>
        <v>50891.277629471195</v>
      </c>
      <c r="EA101" s="879">
        <f t="shared" si="471"/>
        <v>556316.02531021158</v>
      </c>
      <c r="EB101" s="883">
        <f t="shared" ref="EB101:ED101" si="640">EB81/EB38</f>
        <v>49691.860941226667</v>
      </c>
      <c r="EC101" s="883">
        <f t="shared" si="640"/>
        <v>43741.435554624724</v>
      </c>
      <c r="ED101" s="883">
        <f t="shared" si="640"/>
        <v>41581.853437836886</v>
      </c>
      <c r="EE101" s="883">
        <f t="shared" ref="EE101:EH101" si="641">EE81/EE38</f>
        <v>44472.273169731241</v>
      </c>
      <c r="EF101" s="883">
        <f t="shared" si="641"/>
        <v>55732.082095137608</v>
      </c>
      <c r="EG101" s="883">
        <f t="shared" si="641"/>
        <v>45855.164450811069</v>
      </c>
      <c r="EH101" s="883">
        <f t="shared" si="641"/>
        <v>50613.73516615697</v>
      </c>
      <c r="EI101" s="883">
        <f t="shared" ref="EI101:EM101" si="642">EI81/EI38</f>
        <v>45411.208427018319</v>
      </c>
      <c r="EJ101" s="883">
        <f t="shared" si="642"/>
        <v>44951.475516364102</v>
      </c>
      <c r="EK101" s="883">
        <f t="shared" si="642"/>
        <v>44767.819591755164</v>
      </c>
      <c r="EL101" s="883">
        <f t="shared" si="642"/>
        <v>51118.27499778074</v>
      </c>
      <c r="EM101" s="883">
        <f t="shared" si="642"/>
        <v>52862.74913142874</v>
      </c>
      <c r="EN101" s="879">
        <f t="shared" si="475"/>
        <v>570799.93247987225</v>
      </c>
      <c r="EO101" s="883">
        <f t="shared" ref="EO101:ER101" si="643">EO81/EO38</f>
        <v>66207.473662113553</v>
      </c>
      <c r="EP101" s="883">
        <f t="shared" si="643"/>
        <v>48465.121660417739</v>
      </c>
      <c r="EQ101" s="883">
        <f t="shared" si="643"/>
        <v>43977.75775138905</v>
      </c>
      <c r="ER101" s="883">
        <f t="shared" si="643"/>
        <v>46414.409005820147</v>
      </c>
      <c r="ES101" s="883">
        <f t="shared" ref="ES101:EU101" si="644">ES81/ES38</f>
        <v>46353.270731743338</v>
      </c>
      <c r="ET101" s="883">
        <f t="shared" si="644"/>
        <v>47262.29862412464</v>
      </c>
      <c r="EU101" s="883">
        <f t="shared" si="644"/>
        <v>52478.188517024064</v>
      </c>
      <c r="EV101" s="973">
        <f t="shared" ref="EV101" si="645">EV81/EV38</f>
        <v>47564.996184021591</v>
      </c>
      <c r="EW101" s="883"/>
      <c r="EX101" s="883"/>
      <c r="EY101" s="883"/>
      <c r="EZ101" s="873"/>
      <c r="FA101" s="879">
        <f t="shared" si="479"/>
        <v>398723.51613665407</v>
      </c>
      <c r="FC101" s="843">
        <f t="shared" si="480"/>
        <v>4.7428549726103109</v>
      </c>
      <c r="FD101" s="844">
        <f t="shared" si="454"/>
        <v>5.7342681176929533</v>
      </c>
      <c r="FE101" s="845">
        <f t="shared" si="481"/>
        <v>377099.61324254348</v>
      </c>
      <c r="FF101" s="846">
        <f t="shared" si="455"/>
        <v>398723.51613665407</v>
      </c>
      <c r="FI101" s="127"/>
    </row>
    <row r="102" spans="1:172" ht="15" customHeight="1" x14ac:dyDescent="0.25">
      <c r="A102" s="403" t="s">
        <v>329</v>
      </c>
      <c r="B102" s="883">
        <f t="shared" ref="B102:M102" si="646">B82/B39</f>
        <v>1979.6521186303198</v>
      </c>
      <c r="C102" s="883">
        <f t="shared" si="646"/>
        <v>1433.0900608911079</v>
      </c>
      <c r="D102" s="883">
        <f t="shared" si="646"/>
        <v>1769.1025996452502</v>
      </c>
      <c r="E102" s="883">
        <f t="shared" si="646"/>
        <v>1458.5841351178781</v>
      </c>
      <c r="F102" s="883">
        <f t="shared" si="646"/>
        <v>1340.3096642366779</v>
      </c>
      <c r="G102" s="883">
        <f t="shared" si="646"/>
        <v>1353.5596543184861</v>
      </c>
      <c r="H102" s="883">
        <f t="shared" si="646"/>
        <v>1738.8276937414967</v>
      </c>
      <c r="I102" s="883">
        <f t="shared" si="646"/>
        <v>1602.0412400491798</v>
      </c>
      <c r="J102" s="883">
        <f t="shared" si="646"/>
        <v>1326.768262964895</v>
      </c>
      <c r="K102" s="883">
        <f t="shared" si="646"/>
        <v>1357.5991418412964</v>
      </c>
      <c r="L102" s="883">
        <f t="shared" si="646"/>
        <v>1401.482670234974</v>
      </c>
      <c r="M102" s="873">
        <f t="shared" si="646"/>
        <v>2638.8214457385943</v>
      </c>
      <c r="N102" s="879">
        <f t="shared" si="435"/>
        <v>19399.838687410156</v>
      </c>
      <c r="O102" s="883">
        <f t="shared" ref="O102:Z102" si="647">O82/O39</f>
        <v>1837.1347064249994</v>
      </c>
      <c r="P102" s="883">
        <f t="shared" si="647"/>
        <v>1311.9409076297591</v>
      </c>
      <c r="Q102" s="883">
        <f t="shared" si="647"/>
        <v>1380.9166504292223</v>
      </c>
      <c r="R102" s="883">
        <f t="shared" si="647"/>
        <v>1313.6781019826146</v>
      </c>
      <c r="S102" s="883">
        <f t="shared" si="647"/>
        <v>1911.331858031923</v>
      </c>
      <c r="T102" s="883">
        <f t="shared" si="647"/>
        <v>1384.8741708558211</v>
      </c>
      <c r="U102" s="883">
        <f t="shared" si="647"/>
        <v>1700.0143722253049</v>
      </c>
      <c r="V102" s="883">
        <f t="shared" si="647"/>
        <v>1504.5527076786752</v>
      </c>
      <c r="W102" s="883">
        <f t="shared" si="647"/>
        <v>1353.7695058090355</v>
      </c>
      <c r="X102" s="883">
        <f t="shared" si="647"/>
        <v>1351.9174010237505</v>
      </c>
      <c r="Y102" s="883">
        <f t="shared" si="647"/>
        <v>1406.6490985628232</v>
      </c>
      <c r="Z102" s="873">
        <f t="shared" si="647"/>
        <v>1989.4252538205822</v>
      </c>
      <c r="AA102" s="879">
        <f t="shared" si="437"/>
        <v>18446.204734474515</v>
      </c>
      <c r="AB102" s="883">
        <f t="shared" ref="AB102:AM102" si="648">AB82/AB39</f>
        <v>1794.4318779645246</v>
      </c>
      <c r="AC102" s="883">
        <f t="shared" si="648"/>
        <v>1279.4130015046601</v>
      </c>
      <c r="AD102" s="883">
        <f t="shared" si="648"/>
        <v>1391.3733743666469</v>
      </c>
      <c r="AE102" s="883">
        <f t="shared" si="648"/>
        <v>1859.5211188844341</v>
      </c>
      <c r="AF102" s="883">
        <f t="shared" si="648"/>
        <v>1337.3388308909684</v>
      </c>
      <c r="AG102" s="883">
        <f t="shared" si="648"/>
        <v>1437.1224288128576</v>
      </c>
      <c r="AH102" s="883">
        <f t="shared" si="648"/>
        <v>1835.5851640810461</v>
      </c>
      <c r="AI102" s="883">
        <f t="shared" si="648"/>
        <v>1325.0433199497199</v>
      </c>
      <c r="AJ102" s="883">
        <f t="shared" si="648"/>
        <v>1358.2976595236632</v>
      </c>
      <c r="AK102" s="883">
        <f t="shared" si="648"/>
        <v>1272.4820737289915</v>
      </c>
      <c r="AL102" s="883">
        <f t="shared" si="648"/>
        <v>1309.6875981546279</v>
      </c>
      <c r="AM102" s="873">
        <f t="shared" si="648"/>
        <v>2771.6121762536854</v>
      </c>
      <c r="AN102" s="879">
        <f t="shared" si="439"/>
        <v>18971.908624115826</v>
      </c>
      <c r="AO102" s="883">
        <f t="shared" ref="AO102:AZ102" si="649">AO82/AO39</f>
        <v>1801.1886666934345</v>
      </c>
      <c r="AP102" s="883">
        <f t="shared" si="649"/>
        <v>1444.8258240837513</v>
      </c>
      <c r="AQ102" s="883">
        <f t="shared" si="649"/>
        <v>1372.0372472305201</v>
      </c>
      <c r="AR102" s="883">
        <f t="shared" si="649"/>
        <v>1478.4390609239676</v>
      </c>
      <c r="AS102" s="883">
        <f t="shared" si="649"/>
        <v>2286.6149125997649</v>
      </c>
      <c r="AT102" s="883">
        <f t="shared" si="649"/>
        <v>1426.2164597752108</v>
      </c>
      <c r="AU102" s="883">
        <f t="shared" si="649"/>
        <v>1643.885678382067</v>
      </c>
      <c r="AV102" s="883">
        <f t="shared" si="649"/>
        <v>1363.6327544504732</v>
      </c>
      <c r="AW102" s="883">
        <f t="shared" si="649"/>
        <v>1278.9024238637301</v>
      </c>
      <c r="AX102" s="883">
        <f t="shared" si="649"/>
        <v>1491.5677145463821</v>
      </c>
      <c r="AY102" s="883">
        <f t="shared" si="649"/>
        <v>1286.9494027418341</v>
      </c>
      <c r="AZ102" s="873">
        <f t="shared" si="649"/>
        <v>2066.9887831960536</v>
      </c>
      <c r="BA102" s="879">
        <f t="shared" si="441"/>
        <v>18941.248928487188</v>
      </c>
      <c r="BB102" s="883">
        <f t="shared" ref="BB102:BM102" si="650">BB82/BB39</f>
        <v>1755.358985965174</v>
      </c>
      <c r="BC102" s="883">
        <f t="shared" si="650"/>
        <v>1336.9875043358757</v>
      </c>
      <c r="BD102" s="883">
        <f t="shared" si="650"/>
        <v>2397.3843704893475</v>
      </c>
      <c r="BE102" s="883">
        <f t="shared" si="650"/>
        <v>1349.7607574637568</v>
      </c>
      <c r="BF102" s="883">
        <f t="shared" si="650"/>
        <v>1319.8789079398057</v>
      </c>
      <c r="BG102" s="883">
        <f t="shared" si="650"/>
        <v>1330.8277371835657</v>
      </c>
      <c r="BH102" s="883">
        <f t="shared" si="650"/>
        <v>1599.510757314609</v>
      </c>
      <c r="BI102" s="883">
        <f t="shared" si="650"/>
        <v>1355.8832846283908</v>
      </c>
      <c r="BJ102" s="883">
        <f t="shared" si="650"/>
        <v>1645.6691431961426</v>
      </c>
      <c r="BK102" s="883">
        <f t="shared" si="650"/>
        <v>1723.727395181239</v>
      </c>
      <c r="BL102" s="883">
        <f t="shared" si="650"/>
        <v>1248.7107498939847</v>
      </c>
      <c r="BM102" s="873">
        <f t="shared" si="650"/>
        <v>2449.9591656825173</v>
      </c>
      <c r="BN102" s="879">
        <f t="shared" si="460"/>
        <v>19513.658759274411</v>
      </c>
      <c r="BO102" s="883">
        <f t="shared" ref="BO102:BZ102" si="651">BO82/BO38</f>
        <v>1756.8063444027948</v>
      </c>
      <c r="BP102" s="883">
        <f t="shared" si="651"/>
        <v>1370.1758778162491</v>
      </c>
      <c r="BQ102" s="883">
        <f t="shared" si="651"/>
        <v>1285.8123754595806</v>
      </c>
      <c r="BR102" s="883">
        <f t="shared" si="651"/>
        <v>1842.7796724684251</v>
      </c>
      <c r="BS102" s="883">
        <f t="shared" si="651"/>
        <v>1274.4350339648977</v>
      </c>
      <c r="BT102" s="883">
        <f t="shared" si="651"/>
        <v>1630.6420680092949</v>
      </c>
      <c r="BU102" s="883">
        <f t="shared" si="651"/>
        <v>1673.0457507229219</v>
      </c>
      <c r="BV102" s="883">
        <f t="shared" si="651"/>
        <v>1322.6760469174906</v>
      </c>
      <c r="BW102" s="883">
        <f t="shared" si="651"/>
        <v>1495.6622996415647</v>
      </c>
      <c r="BX102" s="883">
        <f t="shared" si="651"/>
        <v>1419.5708442580017</v>
      </c>
      <c r="BY102" s="883">
        <f t="shared" si="651"/>
        <v>1671.0337016512137</v>
      </c>
      <c r="BZ102" s="873">
        <f t="shared" si="651"/>
        <v>1888.1391516810804</v>
      </c>
      <c r="CA102" s="879">
        <f t="shared" si="462"/>
        <v>18630.779166993514</v>
      </c>
      <c r="CB102" s="883">
        <f t="shared" ref="CB102:CM102" si="652">CB82/CB38</f>
        <v>1657.2559656827061</v>
      </c>
      <c r="CC102" s="883">
        <f t="shared" si="652"/>
        <v>1281.506983410055</v>
      </c>
      <c r="CD102" s="883">
        <f t="shared" si="652"/>
        <v>1308.3078196684751</v>
      </c>
      <c r="CE102" s="883">
        <f t="shared" si="652"/>
        <v>2297.6919740522462</v>
      </c>
      <c r="CF102" s="883">
        <f t="shared" si="652"/>
        <v>1777.7535182566917</v>
      </c>
      <c r="CG102" s="883">
        <f t="shared" si="652"/>
        <v>1414.3139204323302</v>
      </c>
      <c r="CH102" s="883">
        <f t="shared" si="652"/>
        <v>1629.8056829550137</v>
      </c>
      <c r="CI102" s="883">
        <f t="shared" si="652"/>
        <v>1194.3645918990821</v>
      </c>
      <c r="CJ102" s="883">
        <f t="shared" si="652"/>
        <v>1236.9827358105226</v>
      </c>
      <c r="CK102" s="883">
        <f t="shared" si="652"/>
        <v>1162.743438492505</v>
      </c>
      <c r="CL102" s="883">
        <f t="shared" si="652"/>
        <v>1417.676211297472</v>
      </c>
      <c r="CM102" s="873">
        <f t="shared" si="652"/>
        <v>1744.1852694953459</v>
      </c>
      <c r="CN102" s="879">
        <f t="shared" si="464"/>
        <v>18122.588111452445</v>
      </c>
      <c r="CO102" s="883">
        <f t="shared" ref="CO102:CZ102" si="653">CO82/CO38</f>
        <v>1878.043814904102</v>
      </c>
      <c r="CP102" s="883">
        <f t="shared" si="653"/>
        <v>1099.8057569784617</v>
      </c>
      <c r="CQ102" s="883">
        <f t="shared" si="653"/>
        <v>1280.4726847648874</v>
      </c>
      <c r="CR102" s="883">
        <f t="shared" si="653"/>
        <v>1148.5410022200799</v>
      </c>
      <c r="CS102" s="883">
        <f t="shared" si="653"/>
        <v>1502.7192596803211</v>
      </c>
      <c r="CT102" s="883">
        <f t="shared" si="653"/>
        <v>1556.5200578217762</v>
      </c>
      <c r="CU102" s="883">
        <f t="shared" si="653"/>
        <v>1683.034375147693</v>
      </c>
      <c r="CV102" s="883">
        <f t="shared" si="653"/>
        <v>1109.1449325290041</v>
      </c>
      <c r="CW102" s="883">
        <f t="shared" si="653"/>
        <v>1098.0247407913814</v>
      </c>
      <c r="CX102" s="883">
        <f t="shared" si="653"/>
        <v>1081.083788328848</v>
      </c>
      <c r="CY102" s="883">
        <f t="shared" si="653"/>
        <v>1173.9099466079138</v>
      </c>
      <c r="CZ102" s="873">
        <f t="shared" si="653"/>
        <v>1852.9457346632953</v>
      </c>
      <c r="DA102" s="879">
        <f t="shared" si="466"/>
        <v>16464.246094437764</v>
      </c>
      <c r="DB102" s="883">
        <f t="shared" ref="DB102:DL102" si="654">DB82/DB38</f>
        <v>1417.9187535166011</v>
      </c>
      <c r="DC102" s="883">
        <f t="shared" si="654"/>
        <v>1653.1613282921576</v>
      </c>
      <c r="DD102" s="883">
        <f t="shared" si="654"/>
        <v>1070.9696724834675</v>
      </c>
      <c r="DE102" s="883">
        <f t="shared" si="654"/>
        <v>1669.6391725841349</v>
      </c>
      <c r="DF102" s="883">
        <f t="shared" si="654"/>
        <v>1140.6705401973625</v>
      </c>
      <c r="DG102" s="883">
        <f t="shared" si="654"/>
        <v>1127.4659912962447</v>
      </c>
      <c r="DH102" s="883">
        <f t="shared" si="654"/>
        <v>1376.280398071621</v>
      </c>
      <c r="DI102" s="883">
        <f t="shared" si="654"/>
        <v>1151.2891233002372</v>
      </c>
      <c r="DJ102" s="883">
        <f t="shared" si="654"/>
        <v>1115.7643257048226</v>
      </c>
      <c r="DK102" s="883">
        <f t="shared" si="654"/>
        <v>1081.0828675021437</v>
      </c>
      <c r="DL102" s="883">
        <f t="shared" si="654"/>
        <v>1110.8438735411223</v>
      </c>
      <c r="DM102" s="873">
        <f>DM82/DM38</f>
        <v>1441.8463311404603</v>
      </c>
      <c r="DN102" s="879">
        <f t="shared" si="468"/>
        <v>15356.932377630375</v>
      </c>
      <c r="DO102" s="883">
        <f t="shared" ref="DO102:DQ102" si="655">DO82/DO38</f>
        <v>1287.7766425018374</v>
      </c>
      <c r="DP102" s="883">
        <f t="shared" si="655"/>
        <v>1244.9227537726085</v>
      </c>
      <c r="DQ102" s="883">
        <f t="shared" si="655"/>
        <v>1125.3761786761827</v>
      </c>
      <c r="DR102" s="883">
        <f t="shared" ref="DR102:DZ102" si="656">DR82/DR38</f>
        <v>1073.7655853269005</v>
      </c>
      <c r="DS102" s="883">
        <f t="shared" si="656"/>
        <v>1257.785565594331</v>
      </c>
      <c r="DT102" s="883">
        <f t="shared" si="656"/>
        <v>1051.5720133560133</v>
      </c>
      <c r="DU102" s="883">
        <f t="shared" si="656"/>
        <v>2306.2409359156622</v>
      </c>
      <c r="DV102" s="883">
        <f t="shared" si="656"/>
        <v>2998.3341136837162</v>
      </c>
      <c r="DW102" s="883">
        <f t="shared" si="656"/>
        <v>1050.3197001978583</v>
      </c>
      <c r="DX102" s="883">
        <f t="shared" si="656"/>
        <v>1085.9721664214753</v>
      </c>
      <c r="DY102" s="883">
        <f t="shared" si="656"/>
        <v>1263.4047521900975</v>
      </c>
      <c r="DZ102" s="883">
        <f t="shared" si="656"/>
        <v>1855.8738052044932</v>
      </c>
      <c r="EA102" s="879">
        <f t="shared" si="471"/>
        <v>17601.344212841177</v>
      </c>
      <c r="EB102" s="883">
        <f t="shared" ref="EB102:ED102" si="657">EB82/EB38</f>
        <v>1492.4109561612051</v>
      </c>
      <c r="EC102" s="883">
        <f t="shared" si="657"/>
        <v>1079.9320931189645</v>
      </c>
      <c r="ED102" s="883">
        <f t="shared" si="657"/>
        <v>1034.7160004169559</v>
      </c>
      <c r="EE102" s="883">
        <f t="shared" ref="EE102:EH102" si="658">EE82/EE38</f>
        <v>1058.4563259526292</v>
      </c>
      <c r="EF102" s="883">
        <f t="shared" si="658"/>
        <v>1192.7206710145372</v>
      </c>
      <c r="EG102" s="883">
        <f t="shared" si="658"/>
        <v>1775.1773805144956</v>
      </c>
      <c r="EH102" s="883">
        <f t="shared" si="658"/>
        <v>2666.8345202287487</v>
      </c>
      <c r="EI102" s="883">
        <f t="shared" ref="EI102:EM102" si="659">EI82/EI38</f>
        <v>1026.3542295403674</v>
      </c>
      <c r="EJ102" s="883">
        <f t="shared" si="659"/>
        <v>1478.6851073861351</v>
      </c>
      <c r="EK102" s="883">
        <f t="shared" si="659"/>
        <v>1008.5006671175214</v>
      </c>
      <c r="EL102" s="883">
        <f t="shared" si="659"/>
        <v>1055.941573175824</v>
      </c>
      <c r="EM102" s="883">
        <f t="shared" si="659"/>
        <v>1914.1963110402935</v>
      </c>
      <c r="EN102" s="879">
        <f t="shared" si="475"/>
        <v>16783.925835667676</v>
      </c>
      <c r="EO102" s="883">
        <f t="shared" ref="EO102:ER102" si="660">EO82/EO38</f>
        <v>1714.8976078937367</v>
      </c>
      <c r="EP102" s="883">
        <f t="shared" si="660"/>
        <v>1042.9652681133218</v>
      </c>
      <c r="EQ102" s="883">
        <f t="shared" si="660"/>
        <v>996.85193243925266</v>
      </c>
      <c r="ER102" s="883">
        <f t="shared" si="660"/>
        <v>1003.3683615890928</v>
      </c>
      <c r="ES102" s="883">
        <f t="shared" ref="ES102:EU102" si="661">ES82/ES38</f>
        <v>991.15856357144378</v>
      </c>
      <c r="ET102" s="883">
        <f t="shared" si="661"/>
        <v>1636.2983514225461</v>
      </c>
      <c r="EU102" s="883">
        <f t="shared" si="661"/>
        <v>1175.8277965913571</v>
      </c>
      <c r="EV102" s="973">
        <f t="shared" ref="EV102" si="662">EV82/EV38</f>
        <v>1029.714620429618</v>
      </c>
      <c r="EW102" s="883"/>
      <c r="EX102" s="883"/>
      <c r="EY102" s="883"/>
      <c r="EZ102" s="873"/>
      <c r="FA102" s="879">
        <f t="shared" si="479"/>
        <v>9591.0825020503707</v>
      </c>
      <c r="FC102" s="843">
        <f t="shared" si="480"/>
        <v>0.32741043906014955</v>
      </c>
      <c r="FD102" s="844">
        <f t="shared" si="454"/>
        <v>-15.322509326139254</v>
      </c>
      <c r="FE102" s="845">
        <f>SUMIFS($B102:$FA102,$B$5:$FA$5,"&gt;="&amp;DATE(YEAR($FC$5)-1,1,1),$B$5:$FA$5,"&lt;="&amp;DATE(YEAR($FC$5)-1,MONTH($FC$5),1))</f>
        <v>11326.602176947905</v>
      </c>
      <c r="FF102" s="846">
        <f t="shared" si="455"/>
        <v>9591.0825020503707</v>
      </c>
      <c r="FI102" s="127"/>
    </row>
    <row r="103" spans="1:172" ht="15" customHeight="1" x14ac:dyDescent="0.25">
      <c r="A103" s="403" t="s">
        <v>332</v>
      </c>
      <c r="B103" s="883">
        <f t="shared" ref="B103:M103" si="663">B83/B39</f>
        <v>0</v>
      </c>
      <c r="C103" s="883">
        <f t="shared" si="663"/>
        <v>0</v>
      </c>
      <c r="D103" s="883">
        <f t="shared" si="663"/>
        <v>0</v>
      </c>
      <c r="E103" s="883">
        <f t="shared" si="663"/>
        <v>0</v>
      </c>
      <c r="F103" s="883">
        <f t="shared" si="663"/>
        <v>0</v>
      </c>
      <c r="G103" s="883">
        <f t="shared" si="663"/>
        <v>0</v>
      </c>
      <c r="H103" s="883">
        <f t="shared" si="663"/>
        <v>0</v>
      </c>
      <c r="I103" s="883">
        <f t="shared" si="663"/>
        <v>0</v>
      </c>
      <c r="J103" s="883">
        <f t="shared" si="663"/>
        <v>0</v>
      </c>
      <c r="K103" s="883">
        <f t="shared" si="663"/>
        <v>0</v>
      </c>
      <c r="L103" s="883">
        <f t="shared" si="663"/>
        <v>53.786632209017917</v>
      </c>
      <c r="M103" s="873">
        <f t="shared" si="663"/>
        <v>0</v>
      </c>
      <c r="N103" s="879">
        <f t="shared" si="435"/>
        <v>53.786632209017917</v>
      </c>
      <c r="O103" s="883">
        <f t="shared" ref="O103:Z103" si="664">O83/O39</f>
        <v>0</v>
      </c>
      <c r="P103" s="883">
        <f t="shared" si="664"/>
        <v>0</v>
      </c>
      <c r="Q103" s="883">
        <f t="shared" si="664"/>
        <v>0</v>
      </c>
      <c r="R103" s="883">
        <f t="shared" si="664"/>
        <v>0</v>
      </c>
      <c r="S103" s="883">
        <f t="shared" si="664"/>
        <v>0</v>
      </c>
      <c r="T103" s="883">
        <f t="shared" si="664"/>
        <v>742.95824616728601</v>
      </c>
      <c r="U103" s="883">
        <f t="shared" si="664"/>
        <v>0</v>
      </c>
      <c r="V103" s="883">
        <f t="shared" si="664"/>
        <v>0</v>
      </c>
      <c r="W103" s="883">
        <f t="shared" si="664"/>
        <v>0</v>
      </c>
      <c r="X103" s="883">
        <f t="shared" si="664"/>
        <v>0</v>
      </c>
      <c r="Y103" s="883">
        <f t="shared" si="664"/>
        <v>0</v>
      </c>
      <c r="Z103" s="873">
        <f t="shared" si="664"/>
        <v>0</v>
      </c>
      <c r="AA103" s="879">
        <f t="shared" si="437"/>
        <v>742.95824616728601</v>
      </c>
      <c r="AB103" s="883">
        <f t="shared" ref="AB103:AM103" si="665">AB83/AB39</f>
        <v>0</v>
      </c>
      <c r="AC103" s="883">
        <f t="shared" si="665"/>
        <v>0</v>
      </c>
      <c r="AD103" s="883">
        <f t="shared" si="665"/>
        <v>0</v>
      </c>
      <c r="AE103" s="883">
        <f t="shared" si="665"/>
        <v>0</v>
      </c>
      <c r="AF103" s="883">
        <f t="shared" si="665"/>
        <v>0</v>
      </c>
      <c r="AG103" s="883">
        <f t="shared" si="665"/>
        <v>0</v>
      </c>
      <c r="AH103" s="883">
        <f t="shared" si="665"/>
        <v>0</v>
      </c>
      <c r="AI103" s="883">
        <f t="shared" si="665"/>
        <v>0</v>
      </c>
      <c r="AJ103" s="883">
        <f t="shared" si="665"/>
        <v>0</v>
      </c>
      <c r="AK103" s="883">
        <f t="shared" si="665"/>
        <v>0</v>
      </c>
      <c r="AL103" s="883">
        <f t="shared" si="665"/>
        <v>0</v>
      </c>
      <c r="AM103" s="873">
        <f t="shared" si="665"/>
        <v>0</v>
      </c>
      <c r="AN103" s="879">
        <f t="shared" si="439"/>
        <v>0</v>
      </c>
      <c r="AO103" s="883">
        <f t="shared" ref="AO103:AZ103" si="666">AO83/AO39</f>
        <v>0</v>
      </c>
      <c r="AP103" s="883">
        <f t="shared" si="666"/>
        <v>0</v>
      </c>
      <c r="AQ103" s="883">
        <f t="shared" si="666"/>
        <v>0</v>
      </c>
      <c r="AR103" s="883">
        <f t="shared" si="666"/>
        <v>0</v>
      </c>
      <c r="AS103" s="883">
        <f t="shared" si="666"/>
        <v>0</v>
      </c>
      <c r="AT103" s="883">
        <f t="shared" si="666"/>
        <v>0</v>
      </c>
      <c r="AU103" s="883">
        <f t="shared" si="666"/>
        <v>0</v>
      </c>
      <c r="AV103" s="883">
        <f t="shared" si="666"/>
        <v>0</v>
      </c>
      <c r="AW103" s="883">
        <f t="shared" si="666"/>
        <v>0</v>
      </c>
      <c r="AX103" s="883">
        <f t="shared" si="666"/>
        <v>0</v>
      </c>
      <c r="AY103" s="883">
        <f t="shared" si="666"/>
        <v>0</v>
      </c>
      <c r="AZ103" s="873">
        <f t="shared" si="666"/>
        <v>0</v>
      </c>
      <c r="BA103" s="879">
        <f t="shared" si="441"/>
        <v>0</v>
      </c>
      <c r="BB103" s="883">
        <f t="shared" ref="BB103:BM103" si="667">BB83/BB39</f>
        <v>150.86217791025993</v>
      </c>
      <c r="BC103" s="883">
        <f t="shared" si="667"/>
        <v>0</v>
      </c>
      <c r="BD103" s="883">
        <f t="shared" si="667"/>
        <v>0</v>
      </c>
      <c r="BE103" s="883">
        <f t="shared" si="667"/>
        <v>0</v>
      </c>
      <c r="BF103" s="883">
        <f t="shared" si="667"/>
        <v>0</v>
      </c>
      <c r="BG103" s="883">
        <f t="shared" si="667"/>
        <v>0</v>
      </c>
      <c r="BH103" s="883">
        <f t="shared" si="667"/>
        <v>0</v>
      </c>
      <c r="BI103" s="883">
        <f t="shared" si="667"/>
        <v>0</v>
      </c>
      <c r="BJ103" s="883">
        <f t="shared" si="667"/>
        <v>0</v>
      </c>
      <c r="BK103" s="883">
        <f t="shared" si="667"/>
        <v>143.75969814766981</v>
      </c>
      <c r="BL103" s="883">
        <f t="shared" si="667"/>
        <v>0</v>
      </c>
      <c r="BM103" s="873">
        <f t="shared" si="667"/>
        <v>0</v>
      </c>
      <c r="BN103" s="879">
        <f t="shared" si="460"/>
        <v>294.62187605792974</v>
      </c>
      <c r="BO103" s="883">
        <f t="shared" ref="BO103:BZ103" si="668">BO83/BO38</f>
        <v>0</v>
      </c>
      <c r="BP103" s="883">
        <f t="shared" si="668"/>
        <v>0</v>
      </c>
      <c r="BQ103" s="883">
        <f t="shared" si="668"/>
        <v>0</v>
      </c>
      <c r="BR103" s="883">
        <f t="shared" si="668"/>
        <v>0</v>
      </c>
      <c r="BS103" s="883">
        <f t="shared" si="668"/>
        <v>0</v>
      </c>
      <c r="BT103" s="883">
        <f t="shared" si="668"/>
        <v>0</v>
      </c>
      <c r="BU103" s="883">
        <f t="shared" si="668"/>
        <v>0</v>
      </c>
      <c r="BV103" s="883">
        <f t="shared" si="668"/>
        <v>0</v>
      </c>
      <c r="BW103" s="883">
        <f t="shared" si="668"/>
        <v>0</v>
      </c>
      <c r="BX103" s="883">
        <f t="shared" si="668"/>
        <v>0</v>
      </c>
      <c r="BY103" s="883">
        <f t="shared" si="668"/>
        <v>0</v>
      </c>
      <c r="BZ103" s="873">
        <f t="shared" si="668"/>
        <v>33.947126064025177</v>
      </c>
      <c r="CA103" s="879">
        <f t="shared" si="462"/>
        <v>33.947126064025177</v>
      </c>
      <c r="CB103" s="883">
        <f t="shared" ref="CB103:CM103" si="669">CB83/CB38</f>
        <v>0</v>
      </c>
      <c r="CC103" s="883">
        <f t="shared" si="669"/>
        <v>0</v>
      </c>
      <c r="CD103" s="883">
        <f t="shared" si="669"/>
        <v>111.75826387960886</v>
      </c>
      <c r="CE103" s="883">
        <f t="shared" si="669"/>
        <v>0</v>
      </c>
      <c r="CF103" s="883">
        <f t="shared" si="669"/>
        <v>0</v>
      </c>
      <c r="CG103" s="883">
        <f t="shared" si="669"/>
        <v>132.92424064213628</v>
      </c>
      <c r="CH103" s="883">
        <f t="shared" si="669"/>
        <v>0</v>
      </c>
      <c r="CI103" s="883">
        <f t="shared" si="669"/>
        <v>0</v>
      </c>
      <c r="CJ103" s="883">
        <f t="shared" si="669"/>
        <v>0</v>
      </c>
      <c r="CK103" s="883">
        <f t="shared" si="669"/>
        <v>0</v>
      </c>
      <c r="CL103" s="883">
        <f t="shared" si="669"/>
        <v>0</v>
      </c>
      <c r="CM103" s="873">
        <f t="shared" si="669"/>
        <v>0</v>
      </c>
      <c r="CN103" s="879">
        <f t="shared" si="464"/>
        <v>244.68250452174516</v>
      </c>
      <c r="CO103" s="883">
        <f t="shared" ref="CO103:CZ103" si="670">CO83/CO38</f>
        <v>0</v>
      </c>
      <c r="CP103" s="883">
        <f t="shared" si="670"/>
        <v>0</v>
      </c>
      <c r="CQ103" s="883">
        <f t="shared" si="670"/>
        <v>0</v>
      </c>
      <c r="CR103" s="883">
        <f t="shared" si="670"/>
        <v>0</v>
      </c>
      <c r="CS103" s="883">
        <f t="shared" si="670"/>
        <v>0</v>
      </c>
      <c r="CT103" s="883">
        <f t="shared" si="670"/>
        <v>0</v>
      </c>
      <c r="CU103" s="883">
        <f t="shared" si="670"/>
        <v>0</v>
      </c>
      <c r="CV103" s="883">
        <f t="shared" si="670"/>
        <v>0</v>
      </c>
      <c r="CW103" s="883">
        <f t="shared" si="670"/>
        <v>0</v>
      </c>
      <c r="CX103" s="883">
        <f t="shared" si="670"/>
        <v>0</v>
      </c>
      <c r="CY103" s="883">
        <f t="shared" si="670"/>
        <v>0</v>
      </c>
      <c r="CZ103" s="873">
        <f t="shared" si="670"/>
        <v>0</v>
      </c>
      <c r="DA103" s="879">
        <f t="shared" si="466"/>
        <v>0</v>
      </c>
      <c r="DB103" s="883">
        <f t="shared" ref="DB103:DM103" si="671">DB83/DB38</f>
        <v>0</v>
      </c>
      <c r="DC103" s="883">
        <f t="shared" si="671"/>
        <v>0</v>
      </c>
      <c r="DD103" s="883">
        <f t="shared" si="671"/>
        <v>0</v>
      </c>
      <c r="DE103" s="883">
        <f t="shared" si="671"/>
        <v>0</v>
      </c>
      <c r="DF103" s="883">
        <f t="shared" si="671"/>
        <v>0</v>
      </c>
      <c r="DG103" s="883">
        <f t="shared" si="671"/>
        <v>0</v>
      </c>
      <c r="DH103" s="883">
        <f t="shared" si="671"/>
        <v>0</v>
      </c>
      <c r="DI103" s="883">
        <f t="shared" si="671"/>
        <v>232.30759757986982</v>
      </c>
      <c r="DJ103" s="883">
        <f t="shared" si="671"/>
        <v>0</v>
      </c>
      <c r="DK103" s="883">
        <f t="shared" si="671"/>
        <v>0</v>
      </c>
      <c r="DL103" s="883">
        <f t="shared" si="671"/>
        <v>0</v>
      </c>
      <c r="DM103" s="873">
        <f t="shared" si="671"/>
        <v>12.532840491936044</v>
      </c>
      <c r="DN103" s="879">
        <f t="shared" si="468"/>
        <v>244.84043807180586</v>
      </c>
      <c r="DO103" s="883">
        <f t="shared" ref="DO103:DQ103" si="672">DO83/DO38</f>
        <v>0</v>
      </c>
      <c r="DP103" s="883">
        <f t="shared" si="672"/>
        <v>0</v>
      </c>
      <c r="DQ103" s="883">
        <f t="shared" si="672"/>
        <v>0</v>
      </c>
      <c r="DR103" s="883">
        <f t="shared" ref="DR103:DZ103" si="673">DR83/DR38</f>
        <v>0</v>
      </c>
      <c r="DS103" s="883">
        <f t="shared" si="673"/>
        <v>0</v>
      </c>
      <c r="DT103" s="883">
        <f t="shared" si="673"/>
        <v>0</v>
      </c>
      <c r="DU103" s="883">
        <f t="shared" si="673"/>
        <v>0</v>
      </c>
      <c r="DV103" s="883">
        <f t="shared" si="673"/>
        <v>0</v>
      </c>
      <c r="DW103" s="883">
        <f t="shared" si="673"/>
        <v>1561.4976586541109</v>
      </c>
      <c r="DX103" s="883">
        <f t="shared" si="673"/>
        <v>0</v>
      </c>
      <c r="DY103" s="883">
        <f t="shared" si="673"/>
        <v>0</v>
      </c>
      <c r="DZ103" s="883">
        <f t="shared" si="673"/>
        <v>0</v>
      </c>
      <c r="EA103" s="879">
        <f t="shared" si="471"/>
        <v>1561.4976586541109</v>
      </c>
      <c r="EB103" s="883">
        <f t="shared" ref="EB103:ED103" si="674">EB83/EB38</f>
        <v>0</v>
      </c>
      <c r="EC103" s="883">
        <f t="shared" si="674"/>
        <v>0</v>
      </c>
      <c r="ED103" s="883">
        <f t="shared" si="674"/>
        <v>13.840502948327392</v>
      </c>
      <c r="EE103" s="883">
        <f t="shared" ref="EE103:EH103" si="675">EE83/EE38</f>
        <v>0</v>
      </c>
      <c r="EF103" s="883">
        <f t="shared" si="675"/>
        <v>0</v>
      </c>
      <c r="EG103" s="883">
        <f t="shared" si="675"/>
        <v>1786.2067522480431</v>
      </c>
      <c r="EH103" s="883">
        <f t="shared" si="675"/>
        <v>0</v>
      </c>
      <c r="EI103" s="883">
        <f t="shared" ref="EI103:EM103" si="676">EI83/EI38</f>
        <v>0</v>
      </c>
      <c r="EJ103" s="883">
        <f t="shared" si="676"/>
        <v>3310.4890463868692</v>
      </c>
      <c r="EK103" s="883">
        <f t="shared" si="676"/>
        <v>-13.807511871817105</v>
      </c>
      <c r="EL103" s="883">
        <f t="shared" si="676"/>
        <v>0</v>
      </c>
      <c r="EM103" s="883">
        <f t="shared" si="676"/>
        <v>112.2760343450891</v>
      </c>
      <c r="EN103" s="879">
        <f t="shared" si="475"/>
        <v>5209.004824056512</v>
      </c>
      <c r="EO103" s="883">
        <f t="shared" ref="EO103:ER103" si="677">EO83/EO38</f>
        <v>0</v>
      </c>
      <c r="EP103" s="883">
        <f t="shared" si="677"/>
        <v>0</v>
      </c>
      <c r="EQ103" s="883">
        <f t="shared" si="677"/>
        <v>1769.6921946674374</v>
      </c>
      <c r="ER103" s="883">
        <f t="shared" si="677"/>
        <v>0</v>
      </c>
      <c r="ES103" s="883">
        <f t="shared" ref="ES103:EU103" si="678">ES83/ES38</f>
        <v>0</v>
      </c>
      <c r="ET103" s="883">
        <f t="shared" si="678"/>
        <v>0</v>
      </c>
      <c r="EU103" s="883">
        <f t="shared" si="678"/>
        <v>0</v>
      </c>
      <c r="EV103" s="973">
        <f t="shared" ref="EV103" si="679">EV83/EV38</f>
        <v>0</v>
      </c>
      <c r="EW103" s="883"/>
      <c r="EX103" s="883"/>
      <c r="EY103" s="883"/>
      <c r="EZ103" s="873"/>
      <c r="FA103" s="879">
        <f t="shared" si="479"/>
        <v>1769.6921946674374</v>
      </c>
      <c r="FC103" s="843" t="str">
        <f t="shared" si="480"/>
        <v/>
      </c>
      <c r="FD103" s="844">
        <f t="shared" si="454"/>
        <v>-1.686347980104641</v>
      </c>
      <c r="FE103" s="845">
        <f>SUMIFS($B103:$FA103,$B$5:$FA$5,"&gt;="&amp;DATE(YEAR($FC$5)-1,1,1),$B$5:$FA$5,"&lt;="&amp;DATE(YEAR($FC$5)-1,MONTH($FC$5),1))</f>
        <v>1800.0472551963705</v>
      </c>
      <c r="FF103" s="846">
        <f t="shared" si="455"/>
        <v>1769.6921946674374</v>
      </c>
      <c r="FI103" s="127"/>
    </row>
    <row r="104" spans="1:172" ht="15" customHeight="1" x14ac:dyDescent="0.25">
      <c r="A104" s="403" t="s">
        <v>286</v>
      </c>
      <c r="B104" s="883">
        <f t="shared" ref="B104:M104" si="680">B84/B39</f>
        <v>341.86132258999174</v>
      </c>
      <c r="C104" s="883">
        <f t="shared" si="680"/>
        <v>50.146399068907002</v>
      </c>
      <c r="D104" s="883">
        <f t="shared" si="680"/>
        <v>115.0888724164822</v>
      </c>
      <c r="E104" s="883">
        <f t="shared" si="680"/>
        <v>97.600425398222328</v>
      </c>
      <c r="F104" s="883">
        <f t="shared" si="680"/>
        <v>640.1134086095858</v>
      </c>
      <c r="G104" s="883">
        <f t="shared" si="680"/>
        <v>307.10372191003654</v>
      </c>
      <c r="H104" s="883">
        <f t="shared" si="680"/>
        <v>282.03403032554382</v>
      </c>
      <c r="I104" s="883">
        <f t="shared" si="680"/>
        <v>341.88047375574223</v>
      </c>
      <c r="J104" s="883">
        <f t="shared" si="680"/>
        <v>162.13519220397166</v>
      </c>
      <c r="K104" s="883">
        <f t="shared" si="680"/>
        <v>279.7292744667397</v>
      </c>
      <c r="L104" s="883">
        <f t="shared" si="680"/>
        <v>102.27035701714674</v>
      </c>
      <c r="M104" s="873">
        <f t="shared" si="680"/>
        <v>2460.0844687051431</v>
      </c>
      <c r="N104" s="879">
        <f t="shared" si="435"/>
        <v>5180.0479464675127</v>
      </c>
      <c r="O104" s="883">
        <f t="shared" ref="O104:Z104" si="681">O84/O39</f>
        <v>309.57034725852753</v>
      </c>
      <c r="P104" s="883">
        <f t="shared" si="681"/>
        <v>99.764517275447659</v>
      </c>
      <c r="Q104" s="883">
        <f t="shared" si="681"/>
        <v>105.13458299704121</v>
      </c>
      <c r="R104" s="883">
        <f t="shared" si="681"/>
        <v>73.064956863959267</v>
      </c>
      <c r="S104" s="883">
        <f t="shared" si="681"/>
        <v>171.86362756145357</v>
      </c>
      <c r="T104" s="883">
        <f t="shared" si="681"/>
        <v>17.088039661847578</v>
      </c>
      <c r="U104" s="883">
        <f t="shared" si="681"/>
        <v>73.494071113670387</v>
      </c>
      <c r="V104" s="883">
        <f t="shared" si="681"/>
        <v>1818.9258152319876</v>
      </c>
      <c r="W104" s="883">
        <f t="shared" si="681"/>
        <v>118.10420988519395</v>
      </c>
      <c r="X104" s="883">
        <f t="shared" si="681"/>
        <v>54.400156430536995</v>
      </c>
      <c r="Y104" s="883">
        <f t="shared" si="681"/>
        <v>155.3984413211665</v>
      </c>
      <c r="Z104" s="873">
        <f t="shared" si="681"/>
        <v>994.3473266433391</v>
      </c>
      <c r="AA104" s="879">
        <f t="shared" si="437"/>
        <v>3991.1560922441713</v>
      </c>
      <c r="AB104" s="883">
        <f t="shared" ref="AB104:AM104" si="682">AB84/AB39</f>
        <v>268.21727501663082</v>
      </c>
      <c r="AC104" s="883">
        <f t="shared" si="682"/>
        <v>239.02718767463554</v>
      </c>
      <c r="AD104" s="883">
        <f t="shared" si="682"/>
        <v>37.294544055188474</v>
      </c>
      <c r="AE104" s="883">
        <f t="shared" si="682"/>
        <v>48.896920372831211</v>
      </c>
      <c r="AF104" s="883">
        <f t="shared" si="682"/>
        <v>2755.5534442116282</v>
      </c>
      <c r="AG104" s="883">
        <f t="shared" si="682"/>
        <v>2076.4864082142499</v>
      </c>
      <c r="AH104" s="883">
        <f t="shared" si="682"/>
        <v>108.99463616839873</v>
      </c>
      <c r="AI104" s="883">
        <f t="shared" si="682"/>
        <v>98.231025342592872</v>
      </c>
      <c r="AJ104" s="883">
        <f t="shared" si="682"/>
        <v>188.61261058855513</v>
      </c>
      <c r="AK104" s="883">
        <f t="shared" si="682"/>
        <v>211.11961925401727</v>
      </c>
      <c r="AL104" s="883">
        <f t="shared" si="682"/>
        <v>285.90754623441717</v>
      </c>
      <c r="AM104" s="873">
        <f t="shared" si="682"/>
        <v>1366.7039495908941</v>
      </c>
      <c r="AN104" s="879">
        <f t="shared" si="439"/>
        <v>7685.0451667240395</v>
      </c>
      <c r="AO104" s="883">
        <f t="shared" ref="AO104:AZ104" si="683">AO84/AO39</f>
        <v>157.65800080170348</v>
      </c>
      <c r="AP104" s="883">
        <f t="shared" si="683"/>
        <v>137.87602297419497</v>
      </c>
      <c r="AQ104" s="883">
        <f t="shared" si="683"/>
        <v>238.67731279947591</v>
      </c>
      <c r="AR104" s="883">
        <f t="shared" si="683"/>
        <v>172.46070362181808</v>
      </c>
      <c r="AS104" s="883">
        <f t="shared" si="683"/>
        <v>151.67783525380167</v>
      </c>
      <c r="AT104" s="883">
        <f t="shared" si="683"/>
        <v>10704.467638842843</v>
      </c>
      <c r="AU104" s="883">
        <f t="shared" si="683"/>
        <v>2352.8735379435634</v>
      </c>
      <c r="AV104" s="883">
        <f t="shared" si="683"/>
        <v>91.523738462076508</v>
      </c>
      <c r="AW104" s="883">
        <f t="shared" si="683"/>
        <v>266.26096975236015</v>
      </c>
      <c r="AX104" s="883">
        <f t="shared" si="683"/>
        <v>111.0892462921167</v>
      </c>
      <c r="AY104" s="883">
        <f t="shared" si="683"/>
        <v>518.73743086903141</v>
      </c>
      <c r="AZ104" s="873">
        <f t="shared" si="683"/>
        <v>329.4483828507021</v>
      </c>
      <c r="BA104" s="879">
        <f>SUM(AO104:AZ104)</f>
        <v>15232.750820463689</v>
      </c>
      <c r="BB104" s="883">
        <f t="shared" ref="BB104:BM104" si="684">BB84/BB39</f>
        <v>217.12874203906571</v>
      </c>
      <c r="BC104" s="883">
        <f t="shared" si="684"/>
        <v>58.435999399619632</v>
      </c>
      <c r="BD104" s="883">
        <f t="shared" si="684"/>
        <v>115.32607030050798</v>
      </c>
      <c r="BE104" s="883">
        <f t="shared" si="684"/>
        <v>36.970191289704964</v>
      </c>
      <c r="BF104" s="883">
        <f t="shared" si="684"/>
        <v>410.24204579237232</v>
      </c>
      <c r="BG104" s="883">
        <f t="shared" si="684"/>
        <v>13687.517963259364</v>
      </c>
      <c r="BH104" s="883">
        <f t="shared" si="684"/>
        <v>58.442324321194938</v>
      </c>
      <c r="BI104" s="883">
        <f t="shared" si="684"/>
        <v>11.820520942914177</v>
      </c>
      <c r="BJ104" s="883">
        <f t="shared" si="684"/>
        <v>71.611289289903965</v>
      </c>
      <c r="BK104" s="883">
        <f t="shared" si="684"/>
        <v>18.056773680383646</v>
      </c>
      <c r="BL104" s="883">
        <f t="shared" si="684"/>
        <v>117.24006485115746</v>
      </c>
      <c r="BM104" s="873">
        <f t="shared" si="684"/>
        <v>2668.0256073863866</v>
      </c>
      <c r="BN104" s="879">
        <f>SUM(BB104:BM104)</f>
        <v>17470.817592552576</v>
      </c>
      <c r="BO104" s="883">
        <f t="shared" ref="BO104:BZ104" si="685">BO84/BO38</f>
        <v>26.293281247462076</v>
      </c>
      <c r="BP104" s="883">
        <f t="shared" si="685"/>
        <v>129.20972725750812</v>
      </c>
      <c r="BQ104" s="883">
        <f t="shared" si="685"/>
        <v>30.892448956583625</v>
      </c>
      <c r="BR104" s="883">
        <f t="shared" si="685"/>
        <v>309.30168674479336</v>
      </c>
      <c r="BS104" s="883">
        <f t="shared" si="685"/>
        <v>39.697761530592949</v>
      </c>
      <c r="BT104" s="883">
        <f t="shared" si="685"/>
        <v>29.510778166834882</v>
      </c>
      <c r="BU104" s="883">
        <f t="shared" si="685"/>
        <v>25.276722244486773</v>
      </c>
      <c r="BV104" s="883">
        <f t="shared" si="685"/>
        <v>100.53432207697576</v>
      </c>
      <c r="BW104" s="883">
        <f t="shared" si="685"/>
        <v>144.10262339012334</v>
      </c>
      <c r="BX104" s="883">
        <f t="shared" si="685"/>
        <v>4903.2891931778313</v>
      </c>
      <c r="BY104" s="883">
        <f t="shared" si="685"/>
        <v>204.46387975488429</v>
      </c>
      <c r="BZ104" s="873">
        <f t="shared" si="685"/>
        <v>4398.1896528551024</v>
      </c>
      <c r="CA104" s="879">
        <f t="shared" si="462"/>
        <v>10340.762077403178</v>
      </c>
      <c r="CB104" s="883">
        <f t="shared" ref="CB104:CM104" si="686">CB84/CB38</f>
        <v>0</v>
      </c>
      <c r="CC104" s="883">
        <f t="shared" si="686"/>
        <v>8.7728229512010092</v>
      </c>
      <c r="CD104" s="883">
        <f t="shared" si="686"/>
        <v>194.0712366771651</v>
      </c>
      <c r="CE104" s="883">
        <f t="shared" si="686"/>
        <v>192.25585905335123</v>
      </c>
      <c r="CF104" s="883">
        <f t="shared" si="686"/>
        <v>62.131182712466114</v>
      </c>
      <c r="CG104" s="883">
        <f t="shared" si="686"/>
        <v>7.3108332353174958</v>
      </c>
      <c r="CH104" s="883">
        <f t="shared" si="686"/>
        <v>50.664124984875279</v>
      </c>
      <c r="CI104" s="883">
        <f t="shared" si="686"/>
        <v>106.20918083990748</v>
      </c>
      <c r="CJ104" s="883">
        <f t="shared" si="686"/>
        <v>3754.430811471077</v>
      </c>
      <c r="CK104" s="883">
        <f t="shared" si="686"/>
        <v>147.11737179594402</v>
      </c>
      <c r="CL104" s="883">
        <f t="shared" si="686"/>
        <v>77.795383930609574</v>
      </c>
      <c r="CM104" s="873">
        <f t="shared" si="686"/>
        <v>11716.153063014641</v>
      </c>
      <c r="CN104" s="879">
        <f t="shared" si="464"/>
        <v>16316.911870666554</v>
      </c>
      <c r="CO104" s="883">
        <f t="shared" ref="CO104:CZ104" si="687">CO84/CO38</f>
        <v>0</v>
      </c>
      <c r="CP104" s="883">
        <f t="shared" si="687"/>
        <v>174.82461454859938</v>
      </c>
      <c r="CQ104" s="883">
        <f t="shared" si="687"/>
        <v>8.7703608545540241</v>
      </c>
      <c r="CR104" s="883">
        <f t="shared" si="687"/>
        <v>248.19902803243218</v>
      </c>
      <c r="CS104" s="883">
        <f t="shared" si="687"/>
        <v>214.49756606707999</v>
      </c>
      <c r="CT104" s="883">
        <f t="shared" si="687"/>
        <v>5116.1128274165521</v>
      </c>
      <c r="CU104" s="883">
        <f t="shared" si="687"/>
        <v>712.30904694312653</v>
      </c>
      <c r="CV104" s="883">
        <f t="shared" si="687"/>
        <v>223.63247420096997</v>
      </c>
      <c r="CW104" s="883">
        <f t="shared" si="687"/>
        <v>19.137686114011007</v>
      </c>
      <c r="CX104" s="883">
        <f t="shared" si="687"/>
        <v>20.858838253312943</v>
      </c>
      <c r="CY104" s="883">
        <f t="shared" si="687"/>
        <v>21.343817211052976</v>
      </c>
      <c r="CZ104" s="873">
        <f t="shared" si="687"/>
        <v>-50.00012299885082</v>
      </c>
      <c r="DA104" s="879">
        <f t="shared" si="466"/>
        <v>6709.6861366428393</v>
      </c>
      <c r="DB104" s="883">
        <f t="shared" ref="DB104:DM104" si="688">DB84/DB38</f>
        <v>11.737738025799679</v>
      </c>
      <c r="DC104" s="883">
        <f t="shared" si="688"/>
        <v>132.83809611409549</v>
      </c>
      <c r="DD104" s="883">
        <f t="shared" si="688"/>
        <v>253.72675996775081</v>
      </c>
      <c r="DE104" s="883">
        <f t="shared" si="688"/>
        <v>4.5979736250165502</v>
      </c>
      <c r="DF104" s="883">
        <f t="shared" si="688"/>
        <v>16.041574648682143</v>
      </c>
      <c r="DG104" s="883">
        <f t="shared" si="688"/>
        <v>9156.8599262578973</v>
      </c>
      <c r="DH104" s="883">
        <f t="shared" si="688"/>
        <v>497.24416375511225</v>
      </c>
      <c r="DI104" s="883">
        <f t="shared" si="688"/>
        <v>6.2631950327906081</v>
      </c>
      <c r="DJ104" s="883">
        <f>DJ84/DJ38</f>
        <v>59.203821363929357</v>
      </c>
      <c r="DK104" s="883">
        <f t="shared" si="688"/>
        <v>-37.692271133196769</v>
      </c>
      <c r="DL104" s="883">
        <f t="shared" si="688"/>
        <v>8.5801535031497593</v>
      </c>
      <c r="DM104" s="873">
        <f t="shared" si="688"/>
        <v>50.131361967744176</v>
      </c>
      <c r="DN104" s="879">
        <f t="shared" si="468"/>
        <v>10159.532493128771</v>
      </c>
      <c r="DO104" s="883">
        <f>DO84/DO38</f>
        <v>21.643304915997266</v>
      </c>
      <c r="DP104" s="883">
        <f>DP84/DP38</f>
        <v>98.551664766348438</v>
      </c>
      <c r="DQ104" s="883">
        <f>DQ84/DQ38</f>
        <v>21.307570896708992</v>
      </c>
      <c r="DR104" s="883">
        <f t="shared" ref="DR104:DZ104" si="689">DR84/DR38</f>
        <v>10.659115005857423</v>
      </c>
      <c r="DS104" s="883">
        <f t="shared" si="689"/>
        <v>111.74077122913924</v>
      </c>
      <c r="DT104" s="883">
        <f t="shared" si="689"/>
        <v>170.49487576545494</v>
      </c>
      <c r="DU104" s="883">
        <f t="shared" si="689"/>
        <v>128.12449643975901</v>
      </c>
      <c r="DV104" s="883">
        <f t="shared" si="689"/>
        <v>66.952008493123543</v>
      </c>
      <c r="DW104" s="883">
        <f t="shared" si="689"/>
        <v>0</v>
      </c>
      <c r="DX104" s="883">
        <f t="shared" si="689"/>
        <v>33.026988566426311</v>
      </c>
      <c r="DY104" s="883">
        <f t="shared" si="689"/>
        <v>0</v>
      </c>
      <c r="DZ104" s="883">
        <f t="shared" si="689"/>
        <v>66.480729325507141</v>
      </c>
      <c r="EA104" s="879">
        <f t="shared" si="471"/>
        <v>728.98152540432227</v>
      </c>
      <c r="EB104" s="883">
        <f t="shared" ref="EB104:ED104" si="690">EB84/EB38</f>
        <v>0</v>
      </c>
      <c r="EC104" s="883">
        <f t="shared" si="690"/>
        <v>141.75852798564185</v>
      </c>
      <c r="ED104" s="883">
        <f t="shared" si="690"/>
        <v>0</v>
      </c>
      <c r="EE104" s="883">
        <f t="shared" ref="EE104:EH104" si="691">EE84/EE38</f>
        <v>96.574482294947913</v>
      </c>
      <c r="EF104" s="883">
        <f t="shared" si="691"/>
        <v>0</v>
      </c>
      <c r="EG104" s="883">
        <f t="shared" si="691"/>
        <v>0</v>
      </c>
      <c r="EH104" s="883">
        <f t="shared" si="691"/>
        <v>77.028436730353789</v>
      </c>
      <c r="EI104" s="883">
        <f t="shared" ref="EI104:EM104" si="692">EI84/EI38</f>
        <v>12.139673682735529</v>
      </c>
      <c r="EJ104" s="883">
        <f t="shared" si="692"/>
        <v>30.897897766277449</v>
      </c>
      <c r="EK104" s="883">
        <f t="shared" si="692"/>
        <v>3.3138028492361054</v>
      </c>
      <c r="EL104" s="883">
        <f t="shared" si="692"/>
        <v>0</v>
      </c>
      <c r="EM104" s="883">
        <f t="shared" si="692"/>
        <v>18.712672390848184</v>
      </c>
      <c r="EN104" s="879">
        <f t="shared" si="475"/>
        <v>380.42549370004076</v>
      </c>
      <c r="EO104" s="883">
        <f t="shared" ref="EO104:ER104" si="693">EO84/EO38</f>
        <v>0</v>
      </c>
      <c r="EP104" s="883">
        <f t="shared" si="693"/>
        <v>0</v>
      </c>
      <c r="EQ104" s="883">
        <f t="shared" si="693"/>
        <v>3.2001667173009718</v>
      </c>
      <c r="ER104" s="883">
        <f t="shared" si="693"/>
        <v>70.039462575230175</v>
      </c>
      <c r="ES104" s="883">
        <f t="shared" ref="ES104:ET104" si="694">ES84/ES38</f>
        <v>0</v>
      </c>
      <c r="ET104" s="883">
        <f t="shared" si="694"/>
        <v>43.47908775652909</v>
      </c>
      <c r="EU104" s="883">
        <f>EU84/EU38</f>
        <v>0.52869954882704906</v>
      </c>
      <c r="EV104" s="973">
        <f>EV84/EV38</f>
        <v>0</v>
      </c>
      <c r="EW104" s="883"/>
      <c r="EX104" s="883"/>
      <c r="EY104" s="883"/>
      <c r="EZ104" s="873"/>
      <c r="FA104" s="879">
        <f t="shared" si="479"/>
        <v>117.24741659788729</v>
      </c>
      <c r="FC104" s="843">
        <f t="shared" si="480"/>
        <v>-100</v>
      </c>
      <c r="FD104" s="844">
        <f t="shared" si="454"/>
        <v>-64.199384615983618</v>
      </c>
      <c r="FE104" s="845">
        <f t="shared" si="481"/>
        <v>327.50112069367907</v>
      </c>
      <c r="FF104" s="846">
        <f t="shared" si="455"/>
        <v>117.24741659788729</v>
      </c>
      <c r="FI104" s="127"/>
    </row>
    <row r="105" spans="1:172" ht="15" customHeight="1" x14ac:dyDescent="0.25">
      <c r="A105" s="403" t="s">
        <v>275</v>
      </c>
      <c r="B105" s="883">
        <f t="shared" ref="B105:M105" si="695">B85/B72*100</f>
        <v>2495.5895825608359</v>
      </c>
      <c r="C105" s="883">
        <f t="shared" si="695"/>
        <v>4783.1702545090739</v>
      </c>
      <c r="D105" s="883">
        <f t="shared" si="695"/>
        <v>6974.3989923258569</v>
      </c>
      <c r="E105" s="883">
        <f t="shared" si="695"/>
        <v>8144.5586604564223</v>
      </c>
      <c r="F105" s="883">
        <f t="shared" si="695"/>
        <v>8262.3774181140852</v>
      </c>
      <c r="G105" s="883">
        <f t="shared" si="695"/>
        <v>8342.7815969214134</v>
      </c>
      <c r="H105" s="883">
        <f t="shared" si="695"/>
        <v>9934.7274551368391</v>
      </c>
      <c r="I105" s="883">
        <f t="shared" si="695"/>
        <v>8505.2597482423607</v>
      </c>
      <c r="J105" s="883">
        <f t="shared" si="695"/>
        <v>8061.7827380299968</v>
      </c>
      <c r="K105" s="883">
        <f t="shared" si="695"/>
        <v>7309.9123482134655</v>
      </c>
      <c r="L105" s="883">
        <f t="shared" si="695"/>
        <v>9696.5701588407719</v>
      </c>
      <c r="M105" s="873">
        <f t="shared" si="695"/>
        <v>17069.375827356154</v>
      </c>
      <c r="N105" s="879">
        <f t="shared" si="435"/>
        <v>99580.50478070727</v>
      </c>
      <c r="O105" s="883">
        <f t="shared" ref="O105:Z105" si="696">O85/O72*100</f>
        <v>2851.803990467783</v>
      </c>
      <c r="P105" s="883">
        <f t="shared" si="696"/>
        <v>6322.0372244473228</v>
      </c>
      <c r="Q105" s="883">
        <f t="shared" si="696"/>
        <v>7234.4630890255903</v>
      </c>
      <c r="R105" s="883">
        <f t="shared" si="696"/>
        <v>6950.1396640167814</v>
      </c>
      <c r="S105" s="883">
        <f t="shared" si="696"/>
        <v>9883.119200976209</v>
      </c>
      <c r="T105" s="883">
        <f t="shared" si="696"/>
        <v>8765.2846919952026</v>
      </c>
      <c r="U105" s="883">
        <f t="shared" si="696"/>
        <v>11909.114440094478</v>
      </c>
      <c r="V105" s="883">
        <f t="shared" si="696"/>
        <v>4044.7285118542559</v>
      </c>
      <c r="W105" s="883">
        <f t="shared" si="696"/>
        <v>8090.8822876594495</v>
      </c>
      <c r="X105" s="883">
        <f t="shared" si="696"/>
        <v>7012.6515042153387</v>
      </c>
      <c r="Y105" s="883">
        <f t="shared" si="696"/>
        <v>7403.3753169054162</v>
      </c>
      <c r="Z105" s="873">
        <f t="shared" si="696"/>
        <v>20984.022774533067</v>
      </c>
      <c r="AA105" s="879">
        <f t="shared" si="437"/>
        <v>101451.62269619087</v>
      </c>
      <c r="AB105" s="883">
        <f t="shared" ref="AB105:AM105" si="697">AB85/AB72*100</f>
        <v>2778.830044047495</v>
      </c>
      <c r="AC105" s="883">
        <f t="shared" si="697"/>
        <v>6280.7526782855848</v>
      </c>
      <c r="AD105" s="883">
        <f t="shared" si="697"/>
        <v>9469.7449085487769</v>
      </c>
      <c r="AE105" s="883">
        <f t="shared" si="697"/>
        <v>7396.2790221876476</v>
      </c>
      <c r="AF105" s="883">
        <f t="shared" si="697"/>
        <v>8172.4004885971117</v>
      </c>
      <c r="AG105" s="883">
        <f t="shared" si="697"/>
        <v>7363.0736632228845</v>
      </c>
      <c r="AH105" s="883">
        <f t="shared" si="697"/>
        <v>9278.7708075321079</v>
      </c>
      <c r="AI105" s="883">
        <f t="shared" si="697"/>
        <v>11849.501229421501</v>
      </c>
      <c r="AJ105" s="883">
        <f t="shared" si="697"/>
        <v>9351.9846010064593</v>
      </c>
      <c r="AK105" s="883">
        <f t="shared" si="697"/>
        <v>7431.0777652173247</v>
      </c>
      <c r="AL105" s="883">
        <f t="shared" si="697"/>
        <v>12494.405964259198</v>
      </c>
      <c r="AM105" s="873">
        <f t="shared" si="697"/>
        <v>21773.983682893166</v>
      </c>
      <c r="AN105" s="879">
        <f t="shared" si="439"/>
        <v>113640.80485521926</v>
      </c>
      <c r="AO105" s="883">
        <f t="shared" ref="AO105:AZ105" si="698">AO85/AO72*100</f>
        <v>3581.5717378285049</v>
      </c>
      <c r="AP105" s="883">
        <f t="shared" si="698"/>
        <v>6713.7559043415795</v>
      </c>
      <c r="AQ105" s="883">
        <f t="shared" si="698"/>
        <v>8165.2881351079441</v>
      </c>
      <c r="AR105" s="883">
        <f t="shared" si="698"/>
        <v>8523.2404867968089</v>
      </c>
      <c r="AS105" s="883">
        <f t="shared" si="698"/>
        <v>7499.9698340118457</v>
      </c>
      <c r="AT105" s="883">
        <f t="shared" si="698"/>
        <v>8886.0334681164295</v>
      </c>
      <c r="AU105" s="883">
        <f t="shared" si="698"/>
        <v>10149.15779752673</v>
      </c>
      <c r="AV105" s="883">
        <f t="shared" si="698"/>
        <v>11067.748092376849</v>
      </c>
      <c r="AW105" s="883">
        <f t="shared" si="698"/>
        <v>9588.713909388398</v>
      </c>
      <c r="AX105" s="883">
        <f t="shared" si="698"/>
        <v>10205.819495197615</v>
      </c>
      <c r="AY105" s="883">
        <f t="shared" si="698"/>
        <v>9989.8689439809041</v>
      </c>
      <c r="AZ105" s="873">
        <f t="shared" si="698"/>
        <v>18772.291519303868</v>
      </c>
      <c r="BA105" s="879">
        <f t="shared" si="441"/>
        <v>113143.45932397748</v>
      </c>
      <c r="BB105" s="883">
        <f t="shared" ref="BB105:BM105" si="699">BB85/BB72*100</f>
        <v>2530.4642154738667</v>
      </c>
      <c r="BC105" s="883">
        <f t="shared" si="699"/>
        <v>5833.4739697988061</v>
      </c>
      <c r="BD105" s="883">
        <f t="shared" si="699"/>
        <v>7712.4149576832378</v>
      </c>
      <c r="BE105" s="883">
        <f t="shared" si="699"/>
        <v>9515.5355802816612</v>
      </c>
      <c r="BF105" s="883">
        <f t="shared" si="699"/>
        <v>9398.8020728003776</v>
      </c>
      <c r="BG105" s="883">
        <f t="shared" si="699"/>
        <v>8895.4051684489095</v>
      </c>
      <c r="BH105" s="883">
        <f t="shared" si="699"/>
        <v>9180.2377257867684</v>
      </c>
      <c r="BI105" s="883">
        <f t="shared" si="699"/>
        <v>11987.997353300085</v>
      </c>
      <c r="BJ105" s="883">
        <f t="shared" si="699"/>
        <v>7898.7663327385289</v>
      </c>
      <c r="BK105" s="883">
        <f t="shared" si="699"/>
        <v>11206.92718752886</v>
      </c>
      <c r="BL105" s="883">
        <f t="shared" si="699"/>
        <v>11758.700114374697</v>
      </c>
      <c r="BM105" s="873">
        <f t="shared" si="699"/>
        <v>22827.354737492966</v>
      </c>
      <c r="BN105" s="879">
        <f t="shared" si="460"/>
        <v>118746.07941570874</v>
      </c>
      <c r="BO105" s="883">
        <f t="shared" ref="BO105:BZ105" si="700">BO85/BO72*100</f>
        <v>3165.2859069411352</v>
      </c>
      <c r="BP105" s="883">
        <f t="shared" si="700"/>
        <v>5824.956890674478</v>
      </c>
      <c r="BQ105" s="883">
        <f t="shared" si="700"/>
        <v>9535.0818494304258</v>
      </c>
      <c r="BR105" s="883">
        <f t="shared" si="700"/>
        <v>9672.2829667938313</v>
      </c>
      <c r="BS105" s="883">
        <f t="shared" si="700"/>
        <v>9971.1380815067096</v>
      </c>
      <c r="BT105" s="883">
        <f t="shared" si="700"/>
        <v>11193.38370430332</v>
      </c>
      <c r="BU105" s="883">
        <f t="shared" si="700"/>
        <v>10750.268111468324</v>
      </c>
      <c r="BV105" s="883">
        <f t="shared" si="700"/>
        <v>15448.900664436971</v>
      </c>
      <c r="BW105" s="883">
        <f t="shared" si="700"/>
        <v>10363.954441317657</v>
      </c>
      <c r="BX105" s="883">
        <f t="shared" si="700"/>
        <v>14149.707755781617</v>
      </c>
      <c r="BY105" s="883">
        <f t="shared" si="700"/>
        <v>18824.038555356386</v>
      </c>
      <c r="BZ105" s="873">
        <f t="shared" si="700"/>
        <v>23901.984252358379</v>
      </c>
      <c r="CA105" s="879">
        <f t="shared" si="462"/>
        <v>142800.98318036925</v>
      </c>
      <c r="CB105" s="883">
        <f t="shared" ref="CB105:CM105" si="701">CB85/CB72*100</f>
        <v>5068.7017558067009</v>
      </c>
      <c r="CC105" s="883">
        <f t="shared" si="701"/>
        <v>8260.6784543359645</v>
      </c>
      <c r="CD105" s="883">
        <f t="shared" si="701"/>
        <v>13275.002931606296</v>
      </c>
      <c r="CE105" s="883">
        <f t="shared" si="701"/>
        <v>12056.375021414889</v>
      </c>
      <c r="CF105" s="883">
        <f t="shared" si="701"/>
        <v>12356.345672881373</v>
      </c>
      <c r="CG105" s="883">
        <f t="shared" si="701"/>
        <v>11885.911049910201</v>
      </c>
      <c r="CH105" s="883">
        <f t="shared" si="701"/>
        <v>12657.772375894869</v>
      </c>
      <c r="CI105" s="883">
        <f t="shared" si="701"/>
        <v>12372.259074540911</v>
      </c>
      <c r="CJ105" s="883">
        <f t="shared" si="701"/>
        <v>12847.164476941685</v>
      </c>
      <c r="CK105" s="883">
        <f t="shared" si="701"/>
        <v>14025.016098096405</v>
      </c>
      <c r="CL105" s="883">
        <f t="shared" si="701"/>
        <v>14390.678681189926</v>
      </c>
      <c r="CM105" s="873">
        <f t="shared" si="701"/>
        <v>20846.070691986206</v>
      </c>
      <c r="CN105" s="879">
        <f t="shared" si="464"/>
        <v>150041.97628460542</v>
      </c>
      <c r="CO105" s="883">
        <f t="shared" ref="CO105:CZ105" si="702">CO85/CO72*100</f>
        <v>5754.3225954903237</v>
      </c>
      <c r="CP105" s="883">
        <f t="shared" si="702"/>
        <v>8488.7001199156712</v>
      </c>
      <c r="CQ105" s="883">
        <f t="shared" si="702"/>
        <v>15488.114712486862</v>
      </c>
      <c r="CR105" s="883">
        <f t="shared" si="702"/>
        <v>11821.784700425935</v>
      </c>
      <c r="CS105" s="883">
        <f t="shared" si="702"/>
        <v>11273.265597644269</v>
      </c>
      <c r="CT105" s="883">
        <f t="shared" si="702"/>
        <v>11345.174288963661</v>
      </c>
      <c r="CU105" s="883">
        <f t="shared" si="702"/>
        <v>15760.212002376573</v>
      </c>
      <c r="CV105" s="883">
        <f t="shared" si="702"/>
        <v>13468.2148773841</v>
      </c>
      <c r="CW105" s="883">
        <f t="shared" si="702"/>
        <v>12054.39439435946</v>
      </c>
      <c r="CX105" s="883">
        <f t="shared" si="702"/>
        <v>13713.279558383141</v>
      </c>
      <c r="CY105" s="883">
        <f t="shared" si="702"/>
        <v>10382.158254054559</v>
      </c>
      <c r="CZ105" s="873">
        <f t="shared" si="702"/>
        <v>27121.469608775897</v>
      </c>
      <c r="DA105" s="879">
        <f t="shared" si="466"/>
        <v>156671.09071026047</v>
      </c>
      <c r="DB105" s="883">
        <f t="shared" ref="DB105:DM105" si="703">DB85/DB72*100</f>
        <v>5426.2085023301315</v>
      </c>
      <c r="DC105" s="883">
        <f t="shared" si="703"/>
        <v>7156.7923819348334</v>
      </c>
      <c r="DD105" s="883">
        <f t="shared" si="703"/>
        <v>12404.942304546961</v>
      </c>
      <c r="DE105" s="883">
        <f t="shared" si="703"/>
        <v>9074.9829411445826</v>
      </c>
      <c r="DF105" s="883">
        <f t="shared" si="703"/>
        <v>12902.620255034653</v>
      </c>
      <c r="DG105" s="883">
        <f t="shared" si="703"/>
        <v>10285.464079663165</v>
      </c>
      <c r="DH105" s="883">
        <f t="shared" si="703"/>
        <v>16784.226032610226</v>
      </c>
      <c r="DI105" s="883">
        <f t="shared" si="703"/>
        <v>12253.86147828759</v>
      </c>
      <c r="DJ105" s="883">
        <f t="shared" si="703"/>
        <v>13044.055987275784</v>
      </c>
      <c r="DK105" s="883">
        <f t="shared" si="703"/>
        <v>14069.026839940614</v>
      </c>
      <c r="DL105" s="883">
        <f t="shared" si="703"/>
        <v>15849.287816164033</v>
      </c>
      <c r="DM105" s="873">
        <f t="shared" si="703"/>
        <v>30181.969092251496</v>
      </c>
      <c r="DN105" s="879">
        <f t="shared" si="468"/>
        <v>159433.43771118409</v>
      </c>
      <c r="DO105" s="883">
        <f t="shared" ref="DO105:DQ105" si="704">DO85/DO72*100</f>
        <v>1186.6461078209989</v>
      </c>
      <c r="DP105" s="883">
        <f t="shared" si="704"/>
        <v>5101.1726978579418</v>
      </c>
      <c r="DQ105" s="883">
        <f t="shared" si="704"/>
        <v>7390.0110507774671</v>
      </c>
      <c r="DR105" s="883">
        <f t="shared" ref="DR105:DZ105" si="705">DR85/DR72*100</f>
        <v>10279.314832098644</v>
      </c>
      <c r="DS105" s="883">
        <f t="shared" si="705"/>
        <v>10911.122984518051</v>
      </c>
      <c r="DT105" s="883">
        <f t="shared" si="705"/>
        <v>11371.326823730724</v>
      </c>
      <c r="DU105" s="883">
        <f t="shared" si="705"/>
        <v>6787.1786207599671</v>
      </c>
      <c r="DV105" s="883">
        <f t="shared" si="705"/>
        <v>10420.822795712356</v>
      </c>
      <c r="DW105" s="883">
        <f t="shared" si="705"/>
        <v>7853.2359986349602</v>
      </c>
      <c r="DX105" s="883">
        <f t="shared" si="705"/>
        <v>13744.933737295829</v>
      </c>
      <c r="DY105" s="883">
        <f t="shared" si="705"/>
        <v>10447.694591669293</v>
      </c>
      <c r="DZ105" s="883">
        <f t="shared" si="705"/>
        <v>19658.303752072228</v>
      </c>
      <c r="EA105" s="879">
        <f t="shared" si="471"/>
        <v>115151.76399294846</v>
      </c>
      <c r="EB105" s="883">
        <f t="shared" ref="EB105:ED105" si="706">EB85/EB72*100</f>
        <v>1675.7629572322689</v>
      </c>
      <c r="EC105" s="883">
        <f t="shared" si="706"/>
        <v>4991.6343406918631</v>
      </c>
      <c r="ED105" s="883">
        <f t="shared" si="706"/>
        <v>8909.3777774229729</v>
      </c>
      <c r="EE105" s="883">
        <f t="shared" ref="EE105:EH105" si="707">EE85/EE72*100</f>
        <v>8675.3735689709592</v>
      </c>
      <c r="EF105" s="883">
        <f t="shared" si="707"/>
        <v>10010.380790972833</v>
      </c>
      <c r="EG105" s="883">
        <f t="shared" si="707"/>
        <v>8264.4150151349004</v>
      </c>
      <c r="EH105" s="883">
        <f t="shared" si="707"/>
        <v>8700.4356067816698</v>
      </c>
      <c r="EI105" s="883">
        <f t="shared" ref="EI105:EM105" si="708">EI85/EI72*100</f>
        <v>13239.349344135931</v>
      </c>
      <c r="EJ105" s="883">
        <f t="shared" si="708"/>
        <v>9393.3646542419883</v>
      </c>
      <c r="EK105" s="883">
        <f t="shared" si="708"/>
        <v>10392.190560012781</v>
      </c>
      <c r="EL105" s="883">
        <f t="shared" si="708"/>
        <v>9000.5244149217942</v>
      </c>
      <c r="EM105" s="883">
        <f t="shared" si="708"/>
        <v>21335.566251687829</v>
      </c>
      <c r="EN105" s="879">
        <f t="shared" si="475"/>
        <v>114588.37528220779</v>
      </c>
      <c r="EO105" s="883">
        <f t="shared" ref="EO105:ER105" si="709">EO85/EO72*100</f>
        <v>1360.6377130585586</v>
      </c>
      <c r="EP105" s="883">
        <f t="shared" si="709"/>
        <v>7475.3545884165078</v>
      </c>
      <c r="EQ105" s="883">
        <f t="shared" si="709"/>
        <v>11538.862806768831</v>
      </c>
      <c r="ER105" s="883">
        <f t="shared" si="709"/>
        <v>12238.273226316403</v>
      </c>
      <c r="ES105" s="883">
        <f t="shared" ref="ES105:EU105" si="710">ES85/ES72*100</f>
        <v>12501.404698598739</v>
      </c>
      <c r="ET105" s="883">
        <f t="shared" si="710"/>
        <v>11241.956558491156</v>
      </c>
      <c r="EU105" s="883">
        <f t="shared" si="710"/>
        <v>9228.0460494988056</v>
      </c>
      <c r="EV105" s="973">
        <f t="shared" ref="EV105" si="711">EV85/EV72*100</f>
        <v>10636.606151904063</v>
      </c>
      <c r="EW105" s="883"/>
      <c r="EX105" s="883"/>
      <c r="EY105" s="883"/>
      <c r="EZ105" s="873"/>
      <c r="FA105" s="879">
        <f t="shared" si="479"/>
        <v>76221.141793053059</v>
      </c>
      <c r="FC105" s="843">
        <f t="shared" si="480"/>
        <v>-19.659147323464911</v>
      </c>
      <c r="FD105" s="844">
        <f t="shared" si="454"/>
        <v>18.23330034091153</v>
      </c>
      <c r="FE105" s="845">
        <f t="shared" si="481"/>
        <v>64466.7294013434</v>
      </c>
      <c r="FF105" s="846">
        <f t="shared" si="455"/>
        <v>76221.141793053059</v>
      </c>
      <c r="FI105" s="127"/>
    </row>
    <row r="106" spans="1:172" s="110" customFormat="1" ht="15" customHeight="1" x14ac:dyDescent="0.25">
      <c r="A106" s="440" t="s">
        <v>287</v>
      </c>
      <c r="B106" s="885">
        <f t="shared" ref="B106:M106" si="712">SUM(B107:B111)</f>
        <v>0</v>
      </c>
      <c r="C106" s="885">
        <f t="shared" si="712"/>
        <v>0</v>
      </c>
      <c r="D106" s="885">
        <f t="shared" si="712"/>
        <v>0</v>
      </c>
      <c r="E106" s="885">
        <f t="shared" si="712"/>
        <v>0</v>
      </c>
      <c r="F106" s="885">
        <f t="shared" si="712"/>
        <v>0</v>
      </c>
      <c r="G106" s="885">
        <f t="shared" si="712"/>
        <v>0</v>
      </c>
      <c r="H106" s="885">
        <f t="shared" si="712"/>
        <v>0</v>
      </c>
      <c r="I106" s="885">
        <f t="shared" si="712"/>
        <v>0</v>
      </c>
      <c r="J106" s="885">
        <f t="shared" si="712"/>
        <v>0</v>
      </c>
      <c r="K106" s="885">
        <f t="shared" si="712"/>
        <v>0</v>
      </c>
      <c r="L106" s="885">
        <f t="shared" si="712"/>
        <v>0</v>
      </c>
      <c r="M106" s="877">
        <f t="shared" si="712"/>
        <v>0</v>
      </c>
      <c r="N106" s="878">
        <f t="shared" si="435"/>
        <v>0</v>
      </c>
      <c r="O106" s="885">
        <f t="shared" ref="O106:AM106" si="713">SUM(O107:O111)</f>
        <v>0</v>
      </c>
      <c r="P106" s="885">
        <f t="shared" si="713"/>
        <v>0</v>
      </c>
      <c r="Q106" s="885">
        <f t="shared" si="713"/>
        <v>0</v>
      </c>
      <c r="R106" s="885">
        <f t="shared" si="713"/>
        <v>0</v>
      </c>
      <c r="S106" s="885">
        <f t="shared" si="713"/>
        <v>0</v>
      </c>
      <c r="T106" s="885">
        <f t="shared" si="713"/>
        <v>0</v>
      </c>
      <c r="U106" s="885">
        <f t="shared" si="713"/>
        <v>0</v>
      </c>
      <c r="V106" s="885">
        <f t="shared" si="713"/>
        <v>0</v>
      </c>
      <c r="W106" s="885">
        <f t="shared" si="713"/>
        <v>0</v>
      </c>
      <c r="X106" s="885">
        <f t="shared" si="713"/>
        <v>0</v>
      </c>
      <c r="Y106" s="885">
        <f t="shared" si="713"/>
        <v>0</v>
      </c>
      <c r="Z106" s="877">
        <f t="shared" si="713"/>
        <v>0</v>
      </c>
      <c r="AA106" s="878">
        <f t="shared" si="437"/>
        <v>0</v>
      </c>
      <c r="AB106" s="885">
        <f t="shared" si="713"/>
        <v>16823.991146804339</v>
      </c>
      <c r="AC106" s="885">
        <f t="shared" si="713"/>
        <v>24284.265674167211</v>
      </c>
      <c r="AD106" s="885">
        <f t="shared" si="713"/>
        <v>36441.853270987951</v>
      </c>
      <c r="AE106" s="885">
        <f t="shared" si="713"/>
        <v>27634.677015515826</v>
      </c>
      <c r="AF106" s="885">
        <f t="shared" si="713"/>
        <v>28809.661152595156</v>
      </c>
      <c r="AG106" s="885">
        <f t="shared" si="713"/>
        <v>35141.738332366564</v>
      </c>
      <c r="AH106" s="885">
        <f t="shared" si="713"/>
        <v>27512.279334082432</v>
      </c>
      <c r="AI106" s="885">
        <f t="shared" si="713"/>
        <v>26275.199585775099</v>
      </c>
      <c r="AJ106" s="885">
        <f t="shared" si="713"/>
        <v>22776.820240261746</v>
      </c>
      <c r="AK106" s="885">
        <f t="shared" si="713"/>
        <v>30290.100215030445</v>
      </c>
      <c r="AL106" s="885">
        <f t="shared" si="713"/>
        <v>35743.337957476579</v>
      </c>
      <c r="AM106" s="877">
        <f t="shared" si="713"/>
        <v>47642.438501680663</v>
      </c>
      <c r="AN106" s="878">
        <f t="shared" si="439"/>
        <v>359376.36242674402</v>
      </c>
      <c r="AO106" s="885">
        <f t="shared" ref="AO106:AZ106" si="714">SUM(AO107:AO111)</f>
        <v>28404.068236834475</v>
      </c>
      <c r="AP106" s="885">
        <f t="shared" si="714"/>
        <v>32213.959791626763</v>
      </c>
      <c r="AQ106" s="885">
        <f t="shared" si="714"/>
        <v>24469.029844001161</v>
      </c>
      <c r="AR106" s="885">
        <f t="shared" si="714"/>
        <v>31759.658153772973</v>
      </c>
      <c r="AS106" s="885">
        <f t="shared" si="714"/>
        <v>39036.746584404944</v>
      </c>
      <c r="AT106" s="885">
        <f t="shared" si="714"/>
        <v>30223.23731306335</v>
      </c>
      <c r="AU106" s="885">
        <f t="shared" si="714"/>
        <v>37723.653744488773</v>
      </c>
      <c r="AV106" s="885">
        <f t="shared" si="714"/>
        <v>31446.746500407891</v>
      </c>
      <c r="AW106" s="885">
        <f t="shared" si="714"/>
        <v>31334.399679760889</v>
      </c>
      <c r="AX106" s="885">
        <f t="shared" si="714"/>
        <v>33517.10161784129</v>
      </c>
      <c r="AY106" s="885">
        <f t="shared" si="714"/>
        <v>28530.990011766291</v>
      </c>
      <c r="AZ106" s="877">
        <f t="shared" si="714"/>
        <v>44033.427694600323</v>
      </c>
      <c r="BA106" s="878">
        <f t="shared" si="441"/>
        <v>392693.01917256915</v>
      </c>
      <c r="BB106" s="885">
        <f t="shared" ref="BB106:BM106" si="715">SUM(BB107:BB111)</f>
        <v>31333.508943065943</v>
      </c>
      <c r="BC106" s="885">
        <f t="shared" si="715"/>
        <v>31092.796818643859</v>
      </c>
      <c r="BD106" s="885">
        <f t="shared" si="715"/>
        <v>27793.678332127922</v>
      </c>
      <c r="BE106" s="885">
        <f t="shared" si="715"/>
        <v>32160.552843300495</v>
      </c>
      <c r="BF106" s="885">
        <f t="shared" si="715"/>
        <v>34380.634631889494</v>
      </c>
      <c r="BG106" s="885">
        <f t="shared" si="715"/>
        <v>30211.767709938464</v>
      </c>
      <c r="BH106" s="885">
        <f t="shared" si="715"/>
        <v>43449.023327309325</v>
      </c>
      <c r="BI106" s="885">
        <f t="shared" si="715"/>
        <v>28086.837717950511</v>
      </c>
      <c r="BJ106" s="885">
        <f t="shared" si="715"/>
        <v>29834.184793888853</v>
      </c>
      <c r="BK106" s="885">
        <f t="shared" si="715"/>
        <v>32118.218386319331</v>
      </c>
      <c r="BL106" s="885">
        <f t="shared" si="715"/>
        <v>37813.327147925032</v>
      </c>
      <c r="BM106" s="877">
        <f t="shared" si="715"/>
        <v>40501.016770205286</v>
      </c>
      <c r="BN106" s="878">
        <f t="shared" si="460"/>
        <v>398775.54742256453</v>
      </c>
      <c r="BO106" s="885">
        <f t="shared" ref="BO106:BZ106" si="716">SUM(BO107:BO111)</f>
        <v>25614.226252805383</v>
      </c>
      <c r="BP106" s="885">
        <f t="shared" si="716"/>
        <v>34864.211877554793</v>
      </c>
      <c r="BQ106" s="885">
        <f t="shared" si="716"/>
        <v>39638.028483406728</v>
      </c>
      <c r="BR106" s="885">
        <f t="shared" si="716"/>
        <v>51150.797722680109</v>
      </c>
      <c r="BS106" s="885">
        <f t="shared" si="716"/>
        <v>47544.61537489255</v>
      </c>
      <c r="BT106" s="885">
        <f t="shared" si="716"/>
        <v>22732.795859343376</v>
      </c>
      <c r="BU106" s="885">
        <f t="shared" si="716"/>
        <v>32280.398724746206</v>
      </c>
      <c r="BV106" s="885">
        <f t="shared" si="716"/>
        <v>49695.333831771844</v>
      </c>
      <c r="BW106" s="885">
        <f t="shared" si="716"/>
        <v>33415.044848572157</v>
      </c>
      <c r="BX106" s="885">
        <f t="shared" si="716"/>
        <v>73946.487907618895</v>
      </c>
      <c r="BY106" s="885">
        <f t="shared" si="716"/>
        <v>52842.8689587068</v>
      </c>
      <c r="BZ106" s="877">
        <f t="shared" si="716"/>
        <v>65209.393008817839</v>
      </c>
      <c r="CA106" s="878">
        <f t="shared" si="462"/>
        <v>528934.20285091677</v>
      </c>
      <c r="CB106" s="885">
        <f t="shared" ref="CB106:CM106" si="717">SUM(CB107:CB111)</f>
        <v>20143.508625383587</v>
      </c>
      <c r="CC106" s="885">
        <f t="shared" si="717"/>
        <v>33121.867748668417</v>
      </c>
      <c r="CD106" s="885">
        <f t="shared" si="717"/>
        <v>26696.188842842876</v>
      </c>
      <c r="CE106" s="885">
        <f t="shared" si="717"/>
        <v>34788.571475498946</v>
      </c>
      <c r="CF106" s="885">
        <f t="shared" si="717"/>
        <v>25060.050856673246</v>
      </c>
      <c r="CG106" s="885">
        <f t="shared" si="717"/>
        <v>27101.663955897224</v>
      </c>
      <c r="CH106" s="885">
        <f t="shared" si="717"/>
        <v>30807.702888092655</v>
      </c>
      <c r="CI106" s="885">
        <f t="shared" si="717"/>
        <v>28459.237594749455</v>
      </c>
      <c r="CJ106" s="885">
        <f t="shared" si="717"/>
        <v>43133.495113974233</v>
      </c>
      <c r="CK106" s="885">
        <f t="shared" si="717"/>
        <v>46367.53769107601</v>
      </c>
      <c r="CL106" s="885">
        <f t="shared" si="717"/>
        <v>40883.370955577921</v>
      </c>
      <c r="CM106" s="877">
        <f t="shared" si="717"/>
        <v>60499.937907019805</v>
      </c>
      <c r="CN106" s="878">
        <f t="shared" si="464"/>
        <v>417063.13365545438</v>
      </c>
      <c r="CO106" s="885">
        <f t="shared" ref="CO106:CZ106" si="718">SUM(CO107:CO111)</f>
        <v>21751.050664957609</v>
      </c>
      <c r="CP106" s="885">
        <f t="shared" si="718"/>
        <v>26785.775979543956</v>
      </c>
      <c r="CQ106" s="885">
        <f t="shared" si="718"/>
        <v>35984.56376969385</v>
      </c>
      <c r="CR106" s="885">
        <f t="shared" si="718"/>
        <v>31117.370136527657</v>
      </c>
      <c r="CS106" s="885">
        <f t="shared" si="718"/>
        <v>23563.395851966601</v>
      </c>
      <c r="CT106" s="885">
        <f t="shared" si="718"/>
        <v>34581.962895233344</v>
      </c>
      <c r="CU106" s="885">
        <f t="shared" si="718"/>
        <v>29363.069975222803</v>
      </c>
      <c r="CV106" s="885">
        <f t="shared" si="718"/>
        <v>33440.904080953005</v>
      </c>
      <c r="CW106" s="885">
        <f t="shared" si="718"/>
        <v>27563.07046516471</v>
      </c>
      <c r="CX106" s="885">
        <f t="shared" si="718"/>
        <v>40466.651766731535</v>
      </c>
      <c r="CY106" s="885">
        <f t="shared" si="718"/>
        <v>34092.293155574851</v>
      </c>
      <c r="CZ106" s="877">
        <f t="shared" si="718"/>
        <v>44008.768758548664</v>
      </c>
      <c r="DA106" s="878">
        <f t="shared" si="466"/>
        <v>382718.87750011857</v>
      </c>
      <c r="DB106" s="885">
        <f t="shared" ref="DB106:DM106" si="719">SUM(DB107:DB111)</f>
        <v>29887.234478498907</v>
      </c>
      <c r="DC106" s="885">
        <f t="shared" si="719"/>
        <v>32279.963056963072</v>
      </c>
      <c r="DD106" s="885">
        <f t="shared" si="719"/>
        <v>27274.808376233967</v>
      </c>
      <c r="DE106" s="885">
        <f t="shared" si="719"/>
        <v>30524.811818595757</v>
      </c>
      <c r="DF106" s="885">
        <f t="shared" si="719"/>
        <v>28099.639643028218</v>
      </c>
      <c r="DG106" s="885">
        <f t="shared" si="719"/>
        <v>32104.43268776733</v>
      </c>
      <c r="DH106" s="885">
        <f t="shared" si="719"/>
        <v>28448.818151575324</v>
      </c>
      <c r="DI106" s="885">
        <f t="shared" si="719"/>
        <v>29613.6980862407</v>
      </c>
      <c r="DJ106" s="885">
        <f t="shared" si="719"/>
        <v>25995.082764039165</v>
      </c>
      <c r="DK106" s="885">
        <f t="shared" si="719"/>
        <v>32352.314480028708</v>
      </c>
      <c r="DL106" s="885">
        <f t="shared" si="719"/>
        <v>29090.893432990488</v>
      </c>
      <c r="DM106" s="877">
        <f t="shared" si="719"/>
        <v>44129.962461324212</v>
      </c>
      <c r="DN106" s="878">
        <f t="shared" si="468"/>
        <v>369801.65943728585</v>
      </c>
      <c r="DO106" s="885">
        <f>SUM(DO107:DO111)</f>
        <v>23131.994229170501</v>
      </c>
      <c r="DP106" s="885">
        <f>SUM(DP107:DP111)</f>
        <v>41945.047625318519</v>
      </c>
      <c r="DQ106" s="885">
        <f>SUM(DQ107:DQ111)</f>
        <v>25830.331613662092</v>
      </c>
      <c r="DR106" s="885">
        <f t="shared" ref="DR106:DZ106" si="720">SUM(DR107:DR111)</f>
        <v>33402.555910373616</v>
      </c>
      <c r="DS106" s="885">
        <f t="shared" si="720"/>
        <v>32066.975463451963</v>
      </c>
      <c r="DT106" s="885">
        <f t="shared" si="720"/>
        <v>31023.038367124893</v>
      </c>
      <c r="DU106" s="885">
        <f t="shared" si="720"/>
        <v>37007.094265813648</v>
      </c>
      <c r="DV106" s="885">
        <f t="shared" si="720"/>
        <v>34995.22216103247</v>
      </c>
      <c r="DW106" s="885">
        <f t="shared" si="720"/>
        <v>31934.40899009335</v>
      </c>
      <c r="DX106" s="885">
        <f t="shared" si="720"/>
        <v>31735.129007150412</v>
      </c>
      <c r="DY106" s="885">
        <f t="shared" si="720"/>
        <v>30527.973430120954</v>
      </c>
      <c r="DZ106" s="885">
        <f t="shared" si="720"/>
        <v>46247.413700808465</v>
      </c>
      <c r="EA106" s="878">
        <f t="shared" si="471"/>
        <v>399847.1847641209</v>
      </c>
      <c r="EB106" s="885">
        <f t="shared" ref="EB106:ED106" si="721">SUM(EB107:EB111)</f>
        <v>32278.69996177356</v>
      </c>
      <c r="EC106" s="885">
        <f t="shared" si="721"/>
        <v>30394.737746351595</v>
      </c>
      <c r="ED106" s="885">
        <f t="shared" si="721"/>
        <v>31614.895287961088</v>
      </c>
      <c r="EE106" s="885">
        <f t="shared" ref="EE106:EH106" si="722">SUM(EE107:EE111)</f>
        <v>31714.755401310151</v>
      </c>
      <c r="EF106" s="885">
        <f t="shared" si="722"/>
        <v>37223.787374944826</v>
      </c>
      <c r="EG106" s="885">
        <f t="shared" si="722"/>
        <v>38890.750791502687</v>
      </c>
      <c r="EH106" s="885">
        <f t="shared" si="722"/>
        <v>39962.024113758504</v>
      </c>
      <c r="EI106" s="885">
        <f t="shared" ref="EI106:EM106" si="723">SUM(EI107:EI111)</f>
        <v>32894.386539565581</v>
      </c>
      <c r="EJ106" s="885">
        <f t="shared" si="723"/>
        <v>36613.646833370447</v>
      </c>
      <c r="EK106" s="885">
        <f t="shared" si="723"/>
        <v>35564.883560448819</v>
      </c>
      <c r="EL106" s="885">
        <f t="shared" si="723"/>
        <v>35979.642230296202</v>
      </c>
      <c r="EM106" s="885">
        <f t="shared" si="723"/>
        <v>52308.389432177515</v>
      </c>
      <c r="EN106" s="878">
        <f t="shared" si="475"/>
        <v>435440.59927346098</v>
      </c>
      <c r="EO106" s="885">
        <f t="shared" ref="EO106:ER106" si="724">SUM(EO107:EO111)</f>
        <v>41783.427552416179</v>
      </c>
      <c r="EP106" s="885">
        <f t="shared" si="724"/>
        <v>29103.866594700496</v>
      </c>
      <c r="EQ106" s="885">
        <f t="shared" si="724"/>
        <v>37188.511374938615</v>
      </c>
      <c r="ER106" s="885">
        <f t="shared" si="724"/>
        <v>33192.672274534198</v>
      </c>
      <c r="ES106" s="885">
        <f t="shared" ref="ES106:ET106" si="725">SUM(ES107:ES111)</f>
        <v>38140.289590757602</v>
      </c>
      <c r="ET106" s="885">
        <f t="shared" si="725"/>
        <v>37067.667301372632</v>
      </c>
      <c r="EU106" s="885">
        <f>SUM(EU107:EU111)</f>
        <v>41876.959439157072</v>
      </c>
      <c r="EV106" s="972">
        <f>SUM(EV107:EV111)</f>
        <v>34436.652474112292</v>
      </c>
      <c r="EW106" s="885"/>
      <c r="EX106" s="885"/>
      <c r="EY106" s="885"/>
      <c r="EZ106" s="877"/>
      <c r="FA106" s="878">
        <f t="shared" si="479"/>
        <v>292790.04660198907</v>
      </c>
      <c r="FC106" s="851">
        <f t="shared" si="480"/>
        <v>4.6885383701917194</v>
      </c>
      <c r="FD106" s="852">
        <f t="shared" si="454"/>
        <v>6.4791605655302176</v>
      </c>
      <c r="FE106" s="853">
        <f t="shared" si="481"/>
        <v>274974.03721716796</v>
      </c>
      <c r="FF106" s="854">
        <f t="shared" si="455"/>
        <v>292790.04660198907</v>
      </c>
      <c r="FG106"/>
      <c r="FI106" s="236"/>
      <c r="FJ106"/>
      <c r="FK106"/>
      <c r="FL106"/>
      <c r="FM106"/>
      <c r="FN106"/>
      <c r="FO106"/>
      <c r="FP106"/>
    </row>
    <row r="107" spans="1:172" ht="15" customHeight="1" x14ac:dyDescent="0.25">
      <c r="A107" s="403" t="s">
        <v>274</v>
      </c>
      <c r="B107" s="883">
        <f t="shared" ref="B107:M107" si="726">B87/B39</f>
        <v>0</v>
      </c>
      <c r="C107" s="883">
        <f t="shared" si="726"/>
        <v>0</v>
      </c>
      <c r="D107" s="883">
        <f t="shared" si="726"/>
        <v>0</v>
      </c>
      <c r="E107" s="883">
        <f t="shared" si="726"/>
        <v>0</v>
      </c>
      <c r="F107" s="883">
        <f t="shared" si="726"/>
        <v>0</v>
      </c>
      <c r="G107" s="883">
        <f t="shared" si="726"/>
        <v>0</v>
      </c>
      <c r="H107" s="883">
        <f t="shared" si="726"/>
        <v>0</v>
      </c>
      <c r="I107" s="883">
        <f t="shared" si="726"/>
        <v>0</v>
      </c>
      <c r="J107" s="883">
        <f t="shared" si="726"/>
        <v>0</v>
      </c>
      <c r="K107" s="883">
        <f t="shared" si="726"/>
        <v>0</v>
      </c>
      <c r="L107" s="883">
        <f t="shared" si="726"/>
        <v>0</v>
      </c>
      <c r="M107" s="873">
        <f t="shared" si="726"/>
        <v>0</v>
      </c>
      <c r="N107" s="879">
        <f t="shared" si="435"/>
        <v>0</v>
      </c>
      <c r="O107" s="883">
        <f t="shared" ref="O107:Z107" si="727">O87/O39</f>
        <v>0</v>
      </c>
      <c r="P107" s="883">
        <f t="shared" si="727"/>
        <v>0</v>
      </c>
      <c r="Q107" s="883">
        <f t="shared" si="727"/>
        <v>0</v>
      </c>
      <c r="R107" s="883">
        <f t="shared" si="727"/>
        <v>0</v>
      </c>
      <c r="S107" s="883">
        <f t="shared" si="727"/>
        <v>0</v>
      </c>
      <c r="T107" s="883">
        <f t="shared" si="727"/>
        <v>0</v>
      </c>
      <c r="U107" s="883">
        <f t="shared" si="727"/>
        <v>0</v>
      </c>
      <c r="V107" s="883">
        <f t="shared" si="727"/>
        <v>0</v>
      </c>
      <c r="W107" s="883">
        <f t="shared" si="727"/>
        <v>0</v>
      </c>
      <c r="X107" s="883">
        <f t="shared" si="727"/>
        <v>0</v>
      </c>
      <c r="Y107" s="883">
        <f t="shared" si="727"/>
        <v>0</v>
      </c>
      <c r="Z107" s="873">
        <f t="shared" si="727"/>
        <v>0</v>
      </c>
      <c r="AA107" s="879">
        <f t="shared" si="437"/>
        <v>0</v>
      </c>
      <c r="AB107" s="883">
        <f t="shared" ref="AB107:AM107" si="728">AB87/AB39</f>
        <v>12973.552976347903</v>
      </c>
      <c r="AC107" s="883">
        <f t="shared" si="728"/>
        <v>13046.96120444105</v>
      </c>
      <c r="AD107" s="883">
        <f t="shared" si="728"/>
        <v>13929.512204612896</v>
      </c>
      <c r="AE107" s="883">
        <f t="shared" si="728"/>
        <v>12795.17354579645</v>
      </c>
      <c r="AF107" s="883">
        <f t="shared" si="728"/>
        <v>12192.024201275979</v>
      </c>
      <c r="AG107" s="883">
        <f t="shared" si="728"/>
        <v>14441.380742881896</v>
      </c>
      <c r="AH107" s="883">
        <f t="shared" si="728"/>
        <v>12951.594415692573</v>
      </c>
      <c r="AI107" s="883">
        <f t="shared" si="728"/>
        <v>10587.440293494354</v>
      </c>
      <c r="AJ107" s="883">
        <f t="shared" si="728"/>
        <v>11385.603823969206</v>
      </c>
      <c r="AK107" s="883">
        <f t="shared" si="728"/>
        <v>11977.615804981328</v>
      </c>
      <c r="AL107" s="883">
        <f t="shared" si="728"/>
        <v>12487.517473915352</v>
      </c>
      <c r="AM107" s="873">
        <f t="shared" si="728"/>
        <v>14965.984916353451</v>
      </c>
      <c r="AN107" s="879">
        <f t="shared" si="439"/>
        <v>153734.36160376243</v>
      </c>
      <c r="AO107" s="883">
        <f t="shared" ref="AO107:AZ107" si="729">AO87/AO39</f>
        <v>13722.005266124521</v>
      </c>
      <c r="AP107" s="883">
        <f t="shared" si="729"/>
        <v>13424.241528539585</v>
      </c>
      <c r="AQ107" s="883">
        <f t="shared" si="729"/>
        <v>14414.25172598272</v>
      </c>
      <c r="AR107" s="883">
        <f t="shared" si="729"/>
        <v>13383.952447464166</v>
      </c>
      <c r="AS107" s="883">
        <f t="shared" si="729"/>
        <v>13645.281480945781</v>
      </c>
      <c r="AT107" s="883">
        <f t="shared" si="729"/>
        <v>13382.189042070802</v>
      </c>
      <c r="AU107" s="883">
        <f t="shared" si="729"/>
        <v>14255.060510982956</v>
      </c>
      <c r="AV107" s="883">
        <f t="shared" si="729"/>
        <v>12953.801680934828</v>
      </c>
      <c r="AW107" s="883">
        <f t="shared" si="729"/>
        <v>11941.379608867153</v>
      </c>
      <c r="AX107" s="883">
        <f t="shared" si="729"/>
        <v>11858.953935387744</v>
      </c>
      <c r="AY107" s="883">
        <f t="shared" si="729"/>
        <v>12394.573654742608</v>
      </c>
      <c r="AZ107" s="873">
        <f t="shared" si="729"/>
        <v>15072.087151188973</v>
      </c>
      <c r="BA107" s="879">
        <f t="shared" si="441"/>
        <v>160447.77803323188</v>
      </c>
      <c r="BB107" s="883">
        <f t="shared" ref="BB107:BM107" si="730">BB87/BB39</f>
        <v>12831.744683750239</v>
      </c>
      <c r="BC107" s="883">
        <f t="shared" si="730"/>
        <v>13685.288630479596</v>
      </c>
      <c r="BD107" s="883">
        <f t="shared" si="730"/>
        <v>13513.419655697098</v>
      </c>
      <c r="BE107" s="883">
        <f t="shared" si="730"/>
        <v>13391.57985622181</v>
      </c>
      <c r="BF107" s="883">
        <f t="shared" si="730"/>
        <v>14341.058952232506</v>
      </c>
      <c r="BG107" s="883">
        <f t="shared" si="730"/>
        <v>13845.767254165949</v>
      </c>
      <c r="BH107" s="883">
        <f t="shared" si="730"/>
        <v>15990.237379452657</v>
      </c>
      <c r="BI107" s="883">
        <f t="shared" si="730"/>
        <v>13448.971533990942</v>
      </c>
      <c r="BJ107" s="883">
        <f t="shared" si="730"/>
        <v>13547.048270036688</v>
      </c>
      <c r="BK107" s="883">
        <f t="shared" si="730"/>
        <v>13721.064523205374</v>
      </c>
      <c r="BL107" s="883">
        <f t="shared" si="730"/>
        <v>14406.653412804655</v>
      </c>
      <c r="BM107" s="873">
        <f t="shared" si="730"/>
        <v>17463.314471180329</v>
      </c>
      <c r="BN107" s="879">
        <f t="shared" si="460"/>
        <v>170186.1486232178</v>
      </c>
      <c r="BO107" s="883">
        <f t="shared" ref="BO107:BZ107" si="731">BO87/BO38</f>
        <v>13136.953625376709</v>
      </c>
      <c r="BP107" s="883">
        <f t="shared" si="731"/>
        <v>12173.352806538918</v>
      </c>
      <c r="BQ107" s="883">
        <f t="shared" si="731"/>
        <v>12027.460127096558</v>
      </c>
      <c r="BR107" s="883">
        <f t="shared" si="731"/>
        <v>12049.735335046606</v>
      </c>
      <c r="BS107" s="883">
        <f t="shared" si="731"/>
        <v>13053.719101921874</v>
      </c>
      <c r="BT107" s="883">
        <f t="shared" si="731"/>
        <v>12063.731595735431</v>
      </c>
      <c r="BU107" s="883">
        <f t="shared" si="731"/>
        <v>14752.724780261942</v>
      </c>
      <c r="BV107" s="883">
        <f t="shared" si="731"/>
        <v>11934.860235138121</v>
      </c>
      <c r="BW107" s="883">
        <f t="shared" si="731"/>
        <v>11978.274462745845</v>
      </c>
      <c r="BX107" s="883">
        <f t="shared" si="731"/>
        <v>12167.067279381114</v>
      </c>
      <c r="BY107" s="883">
        <f t="shared" si="731"/>
        <v>13195.052705111719</v>
      </c>
      <c r="BZ107" s="873">
        <f t="shared" si="731"/>
        <v>16756.980367724111</v>
      </c>
      <c r="CA107" s="879">
        <f t="shared" si="462"/>
        <v>155289.91242207895</v>
      </c>
      <c r="CB107" s="883">
        <f t="shared" ref="CB107:CM107" si="732">CB87/CB38</f>
        <v>11515.199442722536</v>
      </c>
      <c r="CC107" s="883">
        <f t="shared" si="732"/>
        <v>11288.598640591576</v>
      </c>
      <c r="CD107" s="883">
        <f t="shared" si="732"/>
        <v>11472.956143425235</v>
      </c>
      <c r="CE107" s="883">
        <f t="shared" si="732"/>
        <v>11723.588116002438</v>
      </c>
      <c r="CF107" s="883">
        <f t="shared" si="732"/>
        <v>12760.94323646038</v>
      </c>
      <c r="CG107" s="883">
        <f t="shared" si="732"/>
        <v>11353.059393244861</v>
      </c>
      <c r="CH107" s="883">
        <f t="shared" si="732"/>
        <v>14035.936547757914</v>
      </c>
      <c r="CI107" s="883">
        <f t="shared" si="732"/>
        <v>11453.650188980942</v>
      </c>
      <c r="CJ107" s="883">
        <f t="shared" si="732"/>
        <v>11650.092912137823</v>
      </c>
      <c r="CK107" s="883">
        <f t="shared" si="732"/>
        <v>11294.484543492124</v>
      </c>
      <c r="CL107" s="883">
        <f t="shared" si="732"/>
        <v>12330.889821530256</v>
      </c>
      <c r="CM107" s="873">
        <f t="shared" si="732"/>
        <v>15374.859178799501</v>
      </c>
      <c r="CN107" s="879">
        <f t="shared" si="464"/>
        <v>146254.25816514561</v>
      </c>
      <c r="CO107" s="883">
        <f t="shared" ref="CO107:CZ107" si="733">CO87/CO38</f>
        <v>11694.250416879941</v>
      </c>
      <c r="CP107" s="883">
        <f t="shared" si="733"/>
        <v>11907.145565437333</v>
      </c>
      <c r="CQ107" s="883">
        <f t="shared" si="733"/>
        <v>11709.058195176376</v>
      </c>
      <c r="CR107" s="883">
        <f t="shared" si="733"/>
        <v>11499.681466312664</v>
      </c>
      <c r="CS107" s="883">
        <f t="shared" si="733"/>
        <v>12107.676733590477</v>
      </c>
      <c r="CT107" s="883">
        <f t="shared" si="733"/>
        <v>11416.109435075885</v>
      </c>
      <c r="CU107" s="883">
        <f t="shared" si="733"/>
        <v>13601.653211594536</v>
      </c>
      <c r="CV107" s="883">
        <f t="shared" si="733"/>
        <v>10999.471452836417</v>
      </c>
      <c r="CW107" s="883">
        <f t="shared" si="733"/>
        <v>10650.122322447125</v>
      </c>
      <c r="CX107" s="883">
        <f t="shared" si="733"/>
        <v>10551.592322140161</v>
      </c>
      <c r="CY107" s="883">
        <f t="shared" si="733"/>
        <v>11656.688616292016</v>
      </c>
      <c r="CZ107" s="873">
        <f t="shared" si="733"/>
        <v>14095.917028487791</v>
      </c>
      <c r="DA107" s="879">
        <f t="shared" si="466"/>
        <v>141889.36676627072</v>
      </c>
      <c r="DB107" s="883">
        <f t="shared" ref="DB107:DM107" si="734">DB87/DB38</f>
        <v>11154.372445917435</v>
      </c>
      <c r="DC107" s="883">
        <f t="shared" si="734"/>
        <v>10628.218068829085</v>
      </c>
      <c r="DD107" s="883">
        <f t="shared" si="734"/>
        <v>10463.483513567564</v>
      </c>
      <c r="DE107" s="883">
        <f t="shared" si="734"/>
        <v>10511.542453490962</v>
      </c>
      <c r="DF107" s="883">
        <f t="shared" si="734"/>
        <v>11635.870754097654</v>
      </c>
      <c r="DG107" s="883">
        <f t="shared" si="734"/>
        <v>10763.427242099875</v>
      </c>
      <c r="DH107" s="883">
        <f t="shared" si="734"/>
        <v>13485.604648048131</v>
      </c>
      <c r="DI107" s="883">
        <f t="shared" si="734"/>
        <v>10648.570318477268</v>
      </c>
      <c r="DJ107" s="883">
        <f t="shared" si="734"/>
        <v>10635.055680008925</v>
      </c>
      <c r="DK107" s="883">
        <f t="shared" si="734"/>
        <v>10884.49993223632</v>
      </c>
      <c r="DL107" s="883">
        <f t="shared" si="734"/>
        <v>12405.185934853922</v>
      </c>
      <c r="DM107" s="873">
        <f t="shared" si="734"/>
        <v>16312.631249390392</v>
      </c>
      <c r="DN107" s="879">
        <f t="shared" si="468"/>
        <v>139528.46224101752</v>
      </c>
      <c r="DO107" s="883">
        <f>DO87/DO38</f>
        <v>14114.282608508638</v>
      </c>
      <c r="DP107" s="883">
        <f>DP87/DP38</f>
        <v>13272.19057741289</v>
      </c>
      <c r="DQ107" s="883">
        <f>DQ87/DQ38</f>
        <v>13082.84853057932</v>
      </c>
      <c r="DR107" s="883">
        <f t="shared" ref="DR107:DZ107" si="735">DR87/DR38</f>
        <v>13461.340240292046</v>
      </c>
      <c r="DS107" s="883">
        <f t="shared" si="735"/>
        <v>14300.572671676975</v>
      </c>
      <c r="DT107" s="883">
        <f t="shared" si="735"/>
        <v>13181.385082616736</v>
      </c>
      <c r="DU107" s="883">
        <f t="shared" si="735"/>
        <v>16617.019843933809</v>
      </c>
      <c r="DV107" s="883">
        <f t="shared" si="735"/>
        <v>13730.74107513142</v>
      </c>
      <c r="DW107" s="883">
        <f t="shared" si="735"/>
        <v>13464.561651897464</v>
      </c>
      <c r="DX107" s="883">
        <f t="shared" si="735"/>
        <v>13941.867410769722</v>
      </c>
      <c r="DY107" s="883">
        <f t="shared" si="735"/>
        <v>15911.40557760437</v>
      </c>
      <c r="DZ107" s="883">
        <f t="shared" si="735"/>
        <v>18494.491969083309</v>
      </c>
      <c r="EA107" s="879">
        <f t="shared" si="471"/>
        <v>173572.70723950671</v>
      </c>
      <c r="EB107" s="883">
        <f t="shared" ref="EB107:ED107" si="736">EB87/EB38</f>
        <v>15131.559717002014</v>
      </c>
      <c r="EC107" s="883">
        <f t="shared" si="736"/>
        <v>15467.306474779836</v>
      </c>
      <c r="ED107" s="883">
        <f t="shared" si="736"/>
        <v>14456.128519468995</v>
      </c>
      <c r="EE107" s="883">
        <f t="shared" ref="EE107:EH107" si="737">EE87/EE38</f>
        <v>14413.879446067111</v>
      </c>
      <c r="EF107" s="883">
        <f t="shared" si="737"/>
        <v>15981.352620603118</v>
      </c>
      <c r="EG107" s="883">
        <f t="shared" si="737"/>
        <v>14619.983701404099</v>
      </c>
      <c r="EH107" s="883">
        <f t="shared" si="737"/>
        <v>18615.022142128997</v>
      </c>
      <c r="EI107" s="883">
        <f t="shared" ref="EI107:EM107" si="738">EI87/EI38</f>
        <v>14966.562240765261</v>
      </c>
      <c r="EJ107" s="883">
        <f t="shared" si="738"/>
        <v>15639.853751480367</v>
      </c>
      <c r="EK107" s="883">
        <f t="shared" si="738"/>
        <v>15244.045406960957</v>
      </c>
      <c r="EL107" s="883">
        <f t="shared" si="738"/>
        <v>17016.437765431096</v>
      </c>
      <c r="EM107" s="883">
        <f t="shared" si="738"/>
        <v>21648.360465341837</v>
      </c>
      <c r="EN107" s="879">
        <f t="shared" si="475"/>
        <v>193200.49225143369</v>
      </c>
      <c r="EO107" s="883">
        <f t="shared" ref="EO107:ER107" si="739">EO87/EO38</f>
        <v>16017.990384985005</v>
      </c>
      <c r="EP107" s="883">
        <f t="shared" si="739"/>
        <v>16368.002048008808</v>
      </c>
      <c r="EQ107" s="883">
        <f t="shared" si="739"/>
        <v>15911.228918420431</v>
      </c>
      <c r="ER107" s="883">
        <f t="shared" si="739"/>
        <v>16176.993446921346</v>
      </c>
      <c r="ES107" s="883">
        <f t="shared" ref="ES107:ET107" si="740">ES87/ES38</f>
        <v>17298.241332808</v>
      </c>
      <c r="ET107" s="883">
        <f t="shared" si="740"/>
        <v>16484.937053054749</v>
      </c>
      <c r="EU107" s="883">
        <f>EU87/EU38</f>
        <v>20083.709761293114</v>
      </c>
      <c r="EV107" s="973">
        <f>EV87/EV38</f>
        <v>16275.196963742628</v>
      </c>
      <c r="EW107" s="883"/>
      <c r="EX107" s="883"/>
      <c r="EY107" s="883"/>
      <c r="EZ107" s="873"/>
      <c r="FA107" s="879">
        <f t="shared" si="479"/>
        <v>134616.29990923408</v>
      </c>
      <c r="FC107" s="843">
        <f t="shared" si="480"/>
        <v>8.7437228531543898</v>
      </c>
      <c r="FD107" s="844">
        <f t="shared" si="454"/>
        <v>8.867242937502029</v>
      </c>
      <c r="FE107" s="845">
        <f t="shared" si="481"/>
        <v>123651.79486221942</v>
      </c>
      <c r="FF107" s="846">
        <f t="shared" si="455"/>
        <v>134616.29990923408</v>
      </c>
      <c r="FI107" s="127"/>
    </row>
    <row r="108" spans="1:172" ht="15" customHeight="1" x14ac:dyDescent="0.25">
      <c r="A108" s="403" t="s">
        <v>333</v>
      </c>
      <c r="B108" s="883">
        <f t="shared" ref="B108:M108" si="741">B88/B39</f>
        <v>0</v>
      </c>
      <c r="C108" s="883">
        <f t="shared" si="741"/>
        <v>0</v>
      </c>
      <c r="D108" s="883">
        <f t="shared" si="741"/>
        <v>0</v>
      </c>
      <c r="E108" s="883">
        <f t="shared" si="741"/>
        <v>0</v>
      </c>
      <c r="F108" s="883">
        <f t="shared" si="741"/>
        <v>0</v>
      </c>
      <c r="G108" s="883">
        <f t="shared" si="741"/>
        <v>0</v>
      </c>
      <c r="H108" s="883">
        <f t="shared" si="741"/>
        <v>0</v>
      </c>
      <c r="I108" s="883">
        <f t="shared" si="741"/>
        <v>0</v>
      </c>
      <c r="J108" s="883">
        <f t="shared" si="741"/>
        <v>0</v>
      </c>
      <c r="K108" s="883">
        <f t="shared" si="741"/>
        <v>0</v>
      </c>
      <c r="L108" s="883">
        <f t="shared" si="741"/>
        <v>0</v>
      </c>
      <c r="M108" s="873">
        <f t="shared" si="741"/>
        <v>0</v>
      </c>
      <c r="N108" s="879">
        <f t="shared" si="435"/>
        <v>0</v>
      </c>
      <c r="O108" s="883">
        <f t="shared" ref="O108:Z108" si="742">O88/O39</f>
        <v>0</v>
      </c>
      <c r="P108" s="883">
        <f t="shared" si="742"/>
        <v>0</v>
      </c>
      <c r="Q108" s="883">
        <f t="shared" si="742"/>
        <v>0</v>
      </c>
      <c r="R108" s="883">
        <f t="shared" si="742"/>
        <v>0</v>
      </c>
      <c r="S108" s="883">
        <f t="shared" si="742"/>
        <v>0</v>
      </c>
      <c r="T108" s="883">
        <f t="shared" si="742"/>
        <v>0</v>
      </c>
      <c r="U108" s="883">
        <f t="shared" si="742"/>
        <v>0</v>
      </c>
      <c r="V108" s="883">
        <f t="shared" si="742"/>
        <v>0</v>
      </c>
      <c r="W108" s="883">
        <f t="shared" si="742"/>
        <v>0</v>
      </c>
      <c r="X108" s="883">
        <f t="shared" si="742"/>
        <v>0</v>
      </c>
      <c r="Y108" s="883">
        <f t="shared" si="742"/>
        <v>0</v>
      </c>
      <c r="Z108" s="873">
        <f t="shared" si="742"/>
        <v>0</v>
      </c>
      <c r="AA108" s="879">
        <f t="shared" si="437"/>
        <v>0</v>
      </c>
      <c r="AB108" s="883">
        <f t="shared" ref="AB108:AM108" si="743">AB88/AB39</f>
        <v>795.17675826941365</v>
      </c>
      <c r="AC108" s="883">
        <f t="shared" si="743"/>
        <v>715.62851021129484</v>
      </c>
      <c r="AD108" s="883">
        <f t="shared" si="743"/>
        <v>678.4738206963134</v>
      </c>
      <c r="AE108" s="883">
        <f t="shared" si="743"/>
        <v>900.27859274683351</v>
      </c>
      <c r="AF108" s="883">
        <f t="shared" si="743"/>
        <v>704.77467545873935</v>
      </c>
      <c r="AG108" s="883">
        <f t="shared" si="743"/>
        <v>149.71532096842552</v>
      </c>
      <c r="AH108" s="883">
        <f t="shared" si="743"/>
        <v>1156.3536896806277</v>
      </c>
      <c r="AI108" s="883">
        <f t="shared" si="743"/>
        <v>87.475803589754236</v>
      </c>
      <c r="AJ108" s="883">
        <f t="shared" si="743"/>
        <v>119.04826371749108</v>
      </c>
      <c r="AK108" s="883">
        <f t="shared" si="743"/>
        <v>672.98882042065577</v>
      </c>
      <c r="AL108" s="883">
        <f t="shared" si="743"/>
        <v>237.53429977556374</v>
      </c>
      <c r="AM108" s="873">
        <f t="shared" si="743"/>
        <v>524.04734775979955</v>
      </c>
      <c r="AN108" s="879">
        <f t="shared" si="439"/>
        <v>6741.4959032949109</v>
      </c>
      <c r="AO108" s="883">
        <f t="shared" ref="AO108:AZ108" si="744">AO88/AO39</f>
        <v>999.94047083820158</v>
      </c>
      <c r="AP108" s="883">
        <f t="shared" si="744"/>
        <v>753.29139635380477</v>
      </c>
      <c r="AQ108" s="883">
        <f t="shared" si="744"/>
        <v>800.35506088447005</v>
      </c>
      <c r="AR108" s="883">
        <f t="shared" si="744"/>
        <v>922.41430277395648</v>
      </c>
      <c r="AS108" s="883">
        <f t="shared" si="744"/>
        <v>781.28394385448792</v>
      </c>
      <c r="AT108" s="883">
        <f t="shared" si="744"/>
        <v>756.60783191074927</v>
      </c>
      <c r="AU108" s="883">
        <f t="shared" si="744"/>
        <v>1444.9712488457756</v>
      </c>
      <c r="AV108" s="883">
        <f t="shared" si="744"/>
        <v>1460.1228973252205</v>
      </c>
      <c r="AW108" s="883">
        <f t="shared" si="744"/>
        <v>1484.9714190710088</v>
      </c>
      <c r="AX108" s="883">
        <f t="shared" si="744"/>
        <v>844.13675685665748</v>
      </c>
      <c r="AY108" s="883">
        <f t="shared" si="744"/>
        <v>1362.569164462524</v>
      </c>
      <c r="AZ108" s="873">
        <f t="shared" si="744"/>
        <v>1411.6193021076122</v>
      </c>
      <c r="BA108" s="879">
        <f t="shared" si="441"/>
        <v>13022.283795284467</v>
      </c>
      <c r="BB108" s="883">
        <f t="shared" ref="BB108:BM108" si="745">BB88/BB39</f>
        <v>874.85963918987193</v>
      </c>
      <c r="BC108" s="883">
        <f t="shared" si="745"/>
        <v>758.25989582398006</v>
      </c>
      <c r="BD108" s="883">
        <f t="shared" si="745"/>
        <v>893.95178129908902</v>
      </c>
      <c r="BE108" s="883">
        <f t="shared" si="745"/>
        <v>919.37192678926692</v>
      </c>
      <c r="BF108" s="883">
        <f t="shared" si="745"/>
        <v>791.92734476388341</v>
      </c>
      <c r="BG108" s="883">
        <f t="shared" si="745"/>
        <v>819.13179213760588</v>
      </c>
      <c r="BH108" s="883">
        <f t="shared" si="745"/>
        <v>4624.5967828926514</v>
      </c>
      <c r="BI108" s="883">
        <f t="shared" si="745"/>
        <v>785.0216555617709</v>
      </c>
      <c r="BJ108" s="883">
        <f t="shared" si="745"/>
        <v>125.84119768420018</v>
      </c>
      <c r="BK108" s="883">
        <f t="shared" si="745"/>
        <v>206.26391473361321</v>
      </c>
      <c r="BL108" s="883">
        <f t="shared" si="745"/>
        <v>129.72717235009731</v>
      </c>
      <c r="BM108" s="873">
        <f t="shared" si="745"/>
        <v>1542.3874035435572</v>
      </c>
      <c r="BN108" s="879">
        <f t="shared" si="460"/>
        <v>12471.340506769589</v>
      </c>
      <c r="BO108" s="883">
        <f t="shared" ref="BO108:BZ108" si="746">BO88/BO38</f>
        <v>774.95986834625057</v>
      </c>
      <c r="BP108" s="883">
        <f t="shared" si="746"/>
        <v>981.85573493539584</v>
      </c>
      <c r="BQ108" s="883">
        <f t="shared" si="746"/>
        <v>1041.4187792697192</v>
      </c>
      <c r="BR108" s="883">
        <f t="shared" si="746"/>
        <v>1058.895353290379</v>
      </c>
      <c r="BS108" s="883">
        <f t="shared" si="746"/>
        <v>3621.3940734201256</v>
      </c>
      <c r="BT108" s="883">
        <f t="shared" si="746"/>
        <v>3641.4927663540902</v>
      </c>
      <c r="BU108" s="883">
        <f t="shared" si="746"/>
        <v>295.1228110707645</v>
      </c>
      <c r="BV108" s="883">
        <f t="shared" si="746"/>
        <v>105.32167074730793</v>
      </c>
      <c r="BW108" s="883">
        <f t="shared" si="746"/>
        <v>124.29704955925331</v>
      </c>
      <c r="BX108" s="883">
        <f t="shared" si="746"/>
        <v>1066.5558724054829</v>
      </c>
      <c r="BY108" s="883">
        <f t="shared" si="746"/>
        <v>950.99478955760128</v>
      </c>
      <c r="BZ108" s="873">
        <f t="shared" si="746"/>
        <v>2403.4565253329829</v>
      </c>
      <c r="CA108" s="879">
        <f t="shared" si="462"/>
        <v>16065.765294289351</v>
      </c>
      <c r="CB108" s="883">
        <f t="shared" ref="CB108:CM108" si="747">CB88/CB38</f>
        <v>898.38235146606235</v>
      </c>
      <c r="CC108" s="883">
        <f t="shared" si="747"/>
        <v>850.28899373179013</v>
      </c>
      <c r="CD108" s="883">
        <f t="shared" si="747"/>
        <v>846.55211860901329</v>
      </c>
      <c r="CE108" s="883">
        <f t="shared" si="747"/>
        <v>850.07904229513133</v>
      </c>
      <c r="CF108" s="883">
        <f t="shared" si="747"/>
        <v>890.54695221201428</v>
      </c>
      <c r="CG108" s="883">
        <f t="shared" si="747"/>
        <v>784.25301978860409</v>
      </c>
      <c r="CH108" s="883">
        <f t="shared" si="747"/>
        <v>1777.8502040147143</v>
      </c>
      <c r="CI108" s="883">
        <f t="shared" si="747"/>
        <v>831.42892485718971</v>
      </c>
      <c r="CJ108" s="883">
        <f t="shared" si="747"/>
        <v>940.39243661565968</v>
      </c>
      <c r="CK108" s="883">
        <f t="shared" si="747"/>
        <v>913.03105741781053</v>
      </c>
      <c r="CL108" s="883">
        <f t="shared" si="747"/>
        <v>705.94488889098602</v>
      </c>
      <c r="CM108" s="873">
        <f t="shared" si="747"/>
        <v>1827.7581554879905</v>
      </c>
      <c r="CN108" s="879">
        <f t="shared" si="464"/>
        <v>12116.508145386966</v>
      </c>
      <c r="CO108" s="883">
        <f t="shared" ref="CO108:CZ108" si="748">CO88/CO38</f>
        <v>807.33564335096537</v>
      </c>
      <c r="CP108" s="883">
        <f t="shared" si="748"/>
        <v>852.50839312607911</v>
      </c>
      <c r="CQ108" s="883">
        <f t="shared" si="748"/>
        <v>766.78012042672322</v>
      </c>
      <c r="CR108" s="883">
        <f t="shared" si="748"/>
        <v>843.25619774018833</v>
      </c>
      <c r="CS108" s="883">
        <f t="shared" si="748"/>
        <v>716.43423363615477</v>
      </c>
      <c r="CT108" s="883">
        <f t="shared" si="748"/>
        <v>872.33541702099546</v>
      </c>
      <c r="CU108" s="883">
        <f t="shared" si="748"/>
        <v>1589.8350605943867</v>
      </c>
      <c r="CV108" s="883">
        <f t="shared" si="748"/>
        <v>878.29850754735776</v>
      </c>
      <c r="CW108" s="883">
        <f t="shared" si="748"/>
        <v>571.73837265607881</v>
      </c>
      <c r="CX108" s="883">
        <f t="shared" si="748"/>
        <v>606.09824296055035</v>
      </c>
      <c r="CY108" s="883">
        <f t="shared" si="748"/>
        <v>908.89088290400593</v>
      </c>
      <c r="CZ108" s="873">
        <f t="shared" si="748"/>
        <v>1879.4163880156279</v>
      </c>
      <c r="DA108" s="879">
        <f t="shared" si="466"/>
        <v>11292.927459979115</v>
      </c>
      <c r="DB108" s="883">
        <f t="shared" ref="DB108:DM108" si="749">DB88/DB38</f>
        <v>588.64756199385386</v>
      </c>
      <c r="DC108" s="883">
        <f t="shared" si="749"/>
        <v>682.33136594288692</v>
      </c>
      <c r="DD108" s="883">
        <f t="shared" si="749"/>
        <v>968.66981709783681</v>
      </c>
      <c r="DE108" s="883">
        <f t="shared" si="749"/>
        <v>675.90212287743293</v>
      </c>
      <c r="DF108" s="883">
        <f t="shared" si="749"/>
        <v>957.33825849813786</v>
      </c>
      <c r="DG108" s="883">
        <f t="shared" si="749"/>
        <v>783.20156647296392</v>
      </c>
      <c r="DH108" s="883">
        <f t="shared" si="749"/>
        <v>1007.6338628738654</v>
      </c>
      <c r="DI108" s="883">
        <f t="shared" si="749"/>
        <v>872.29225365774653</v>
      </c>
      <c r="DJ108" s="883">
        <f t="shared" si="749"/>
        <v>968.32403980811387</v>
      </c>
      <c r="DK108" s="883">
        <f t="shared" si="749"/>
        <v>944.02006338142814</v>
      </c>
      <c r="DL108" s="883">
        <f t="shared" si="749"/>
        <v>441.59190029544095</v>
      </c>
      <c r="DM108" s="873">
        <f t="shared" si="749"/>
        <v>1675.412903944723</v>
      </c>
      <c r="DN108" s="879">
        <f t="shared" si="468"/>
        <v>10565.36571684443</v>
      </c>
      <c r="DO108" s="883">
        <f t="shared" ref="DO108:DQ108" si="750">DO88/DO38</f>
        <v>960.27926548345772</v>
      </c>
      <c r="DP108" s="883">
        <f t="shared" si="750"/>
        <v>943.60387069388787</v>
      </c>
      <c r="DQ108" s="883">
        <f t="shared" si="750"/>
        <v>985.19479119783409</v>
      </c>
      <c r="DR108" s="883">
        <f t="shared" ref="DR108:DZ108" si="751">DR88/DR38</f>
        <v>965.49141710950664</v>
      </c>
      <c r="DS108" s="883">
        <f t="shared" si="751"/>
        <v>911.89453505589006</v>
      </c>
      <c r="DT108" s="883">
        <f t="shared" si="751"/>
        <v>979.22385883711956</v>
      </c>
      <c r="DU108" s="883">
        <f t="shared" si="751"/>
        <v>1758.4947262452513</v>
      </c>
      <c r="DV108" s="883">
        <f t="shared" si="751"/>
        <v>1009.8594614379468</v>
      </c>
      <c r="DW108" s="883">
        <f t="shared" si="751"/>
        <v>982.64734464730407</v>
      </c>
      <c r="DX108" s="883">
        <f t="shared" si="751"/>
        <v>991.36943646001691</v>
      </c>
      <c r="DY108" s="883">
        <f t="shared" si="751"/>
        <v>1007.8155659347302</v>
      </c>
      <c r="DZ108" s="883">
        <f t="shared" si="751"/>
        <v>1868.7230217968183</v>
      </c>
      <c r="EA108" s="879">
        <f t="shared" si="471"/>
        <v>13364.597294899766</v>
      </c>
      <c r="EB108" s="883">
        <f>EB88/EB38</f>
        <v>1120.0071731700614</v>
      </c>
      <c r="EC108" s="883">
        <f>EC88/EC38</f>
        <v>1088.8617641731782</v>
      </c>
      <c r="ED108" s="883">
        <f>ED88/ED38</f>
        <v>1047.449263129417</v>
      </c>
      <c r="EE108" s="883">
        <f>EE88/EE38</f>
        <v>1140.6825994494704</v>
      </c>
      <c r="EF108" s="883">
        <f t="shared" ref="EF108:EM108" si="752">EF88/EF38</f>
        <v>1202.1078244438183</v>
      </c>
      <c r="EG108" s="883">
        <f t="shared" si="752"/>
        <v>1117.8268251950551</v>
      </c>
      <c r="EH108" s="883">
        <f t="shared" si="752"/>
        <v>1946.6186367999408</v>
      </c>
      <c r="EI108" s="883">
        <f t="shared" si="752"/>
        <v>1206.7939247337547</v>
      </c>
      <c r="EJ108" s="883">
        <f t="shared" si="752"/>
        <v>1093.0131334820646</v>
      </c>
      <c r="EK108" s="883">
        <f t="shared" si="752"/>
        <v>1080.852029325843</v>
      </c>
      <c r="EL108" s="883">
        <f t="shared" si="752"/>
        <v>1116.6278704847796</v>
      </c>
      <c r="EM108" s="883">
        <f t="shared" si="752"/>
        <v>2046.2857632109865</v>
      </c>
      <c r="EN108" s="879">
        <f>SUM(EB108:EM108)</f>
        <v>15207.12680759837</v>
      </c>
      <c r="EO108" s="883">
        <f>EO88/EO38</f>
        <v>1073.2542900316043</v>
      </c>
      <c r="EP108" s="883">
        <f t="shared" ref="EP108:ER108" si="753">EP88/EP38</f>
        <v>1190.9462040602905</v>
      </c>
      <c r="EQ108" s="883">
        <f t="shared" si="753"/>
        <v>1143.5262403155473</v>
      </c>
      <c r="ER108" s="883">
        <f t="shared" si="753"/>
        <v>1108.4275554519381</v>
      </c>
      <c r="ES108" s="883">
        <f t="shared" ref="ES108:EU108" si="754">ES88/ES38</f>
        <v>1142.0910204370148</v>
      </c>
      <c r="ET108" s="883">
        <f t="shared" si="754"/>
        <v>1118.7911605643462</v>
      </c>
      <c r="EU108" s="883">
        <f t="shared" si="754"/>
        <v>2065.1004377184536</v>
      </c>
      <c r="EV108" s="973">
        <f t="shared" ref="EV108" si="755">EV88/EV38</f>
        <v>1097.3408243367453</v>
      </c>
      <c r="EW108" s="883"/>
      <c r="EX108" s="883"/>
      <c r="EY108" s="883"/>
      <c r="EZ108" s="873"/>
      <c r="FA108" s="879">
        <f t="shared" si="479"/>
        <v>9939.4777329159406</v>
      </c>
      <c r="FC108" s="843">
        <f t="shared" si="480"/>
        <v>-9.0697424103421085</v>
      </c>
      <c r="FD108" s="844">
        <f t="shared" si="454"/>
        <v>0.7003777551058965</v>
      </c>
      <c r="FE108" s="845">
        <f t="shared" si="481"/>
        <v>9870.3480110946966</v>
      </c>
      <c r="FF108" s="846">
        <f t="shared" si="455"/>
        <v>9939.4777329159406</v>
      </c>
      <c r="FI108" s="127"/>
    </row>
    <row r="109" spans="1:172" ht="15" customHeight="1" x14ac:dyDescent="0.25">
      <c r="A109" s="403" t="s">
        <v>332</v>
      </c>
      <c r="B109" s="883">
        <f t="shared" ref="B109:M109" si="756">B89/B39</f>
        <v>0</v>
      </c>
      <c r="C109" s="883">
        <f t="shared" si="756"/>
        <v>0</v>
      </c>
      <c r="D109" s="883">
        <f t="shared" si="756"/>
        <v>0</v>
      </c>
      <c r="E109" s="883">
        <f t="shared" si="756"/>
        <v>0</v>
      </c>
      <c r="F109" s="883">
        <f t="shared" si="756"/>
        <v>0</v>
      </c>
      <c r="G109" s="883">
        <f t="shared" si="756"/>
        <v>0</v>
      </c>
      <c r="H109" s="883">
        <f t="shared" si="756"/>
        <v>0</v>
      </c>
      <c r="I109" s="883">
        <f t="shared" si="756"/>
        <v>0</v>
      </c>
      <c r="J109" s="883">
        <f t="shared" si="756"/>
        <v>0</v>
      </c>
      <c r="K109" s="883">
        <f t="shared" si="756"/>
        <v>0</v>
      </c>
      <c r="L109" s="883">
        <f t="shared" si="756"/>
        <v>0</v>
      </c>
      <c r="M109" s="873">
        <f t="shared" si="756"/>
        <v>0</v>
      </c>
      <c r="N109" s="879">
        <f t="shared" si="435"/>
        <v>0</v>
      </c>
      <c r="O109" s="883">
        <f t="shared" ref="O109:Z109" si="757">O89/O39</f>
        <v>0</v>
      </c>
      <c r="P109" s="883">
        <f t="shared" si="757"/>
        <v>0</v>
      </c>
      <c r="Q109" s="883">
        <f t="shared" si="757"/>
        <v>0</v>
      </c>
      <c r="R109" s="883">
        <f t="shared" si="757"/>
        <v>0</v>
      </c>
      <c r="S109" s="883">
        <f t="shared" si="757"/>
        <v>0</v>
      </c>
      <c r="T109" s="883">
        <f t="shared" si="757"/>
        <v>0</v>
      </c>
      <c r="U109" s="883">
        <f t="shared" si="757"/>
        <v>0</v>
      </c>
      <c r="V109" s="883">
        <f t="shared" si="757"/>
        <v>0</v>
      </c>
      <c r="W109" s="883">
        <f t="shared" si="757"/>
        <v>0</v>
      </c>
      <c r="X109" s="883">
        <f t="shared" si="757"/>
        <v>0</v>
      </c>
      <c r="Y109" s="883">
        <f t="shared" si="757"/>
        <v>0</v>
      </c>
      <c r="Z109" s="873">
        <f t="shared" si="757"/>
        <v>0</v>
      </c>
      <c r="AA109" s="879">
        <f t="shared" si="437"/>
        <v>0</v>
      </c>
      <c r="AB109" s="883">
        <f t="shared" ref="AB109:AM109" si="758">AB89/AB39</f>
        <v>0</v>
      </c>
      <c r="AC109" s="883">
        <f t="shared" si="758"/>
        <v>2214.4524864203318</v>
      </c>
      <c r="AD109" s="883">
        <f t="shared" si="758"/>
        <v>6994.1614158884231</v>
      </c>
      <c r="AE109" s="883">
        <f t="shared" si="758"/>
        <v>1472.6601900523283</v>
      </c>
      <c r="AF109" s="883">
        <f t="shared" si="758"/>
        <v>53.435784819617531</v>
      </c>
      <c r="AG109" s="883">
        <f t="shared" si="758"/>
        <v>2467.7713775085408</v>
      </c>
      <c r="AH109" s="883">
        <f t="shared" si="758"/>
        <v>125.5964681675588</v>
      </c>
      <c r="AI109" s="883">
        <f t="shared" si="758"/>
        <v>1925.9017085416383</v>
      </c>
      <c r="AJ109" s="883">
        <f t="shared" si="758"/>
        <v>0</v>
      </c>
      <c r="AK109" s="883">
        <f t="shared" si="758"/>
        <v>85.024283522095686</v>
      </c>
      <c r="AL109" s="883">
        <f t="shared" si="758"/>
        <v>3324.036219351658</v>
      </c>
      <c r="AM109" s="873">
        <f t="shared" si="758"/>
        <v>518.28066442819238</v>
      </c>
      <c r="AN109" s="879">
        <f t="shared" si="439"/>
        <v>19181.320598700386</v>
      </c>
      <c r="AO109" s="883">
        <f t="shared" ref="AO109:AZ109" si="759">AO89/AO39</f>
        <v>1062.5717314306592</v>
      </c>
      <c r="AP109" s="883">
        <f t="shared" si="759"/>
        <v>5089.2050771777067</v>
      </c>
      <c r="AQ109" s="883">
        <f t="shared" si="759"/>
        <v>0</v>
      </c>
      <c r="AR109" s="883">
        <f t="shared" si="759"/>
        <v>635.45686645715546</v>
      </c>
      <c r="AS109" s="883">
        <f t="shared" si="759"/>
        <v>5093.3703262821427</v>
      </c>
      <c r="AT109" s="883">
        <f t="shared" si="759"/>
        <v>8.5572987586512639</v>
      </c>
      <c r="AU109" s="883">
        <f t="shared" si="759"/>
        <v>7917.5047042213209</v>
      </c>
      <c r="AV109" s="883">
        <f t="shared" si="759"/>
        <v>555.52780787446432</v>
      </c>
      <c r="AW109" s="883">
        <f t="shared" si="759"/>
        <v>5626.1792677726107</v>
      </c>
      <c r="AX109" s="883">
        <f t="shared" si="759"/>
        <v>2138.9986722361068</v>
      </c>
      <c r="AY109" s="883">
        <f t="shared" si="759"/>
        <v>587.28992513918956</v>
      </c>
      <c r="AZ109" s="873">
        <f t="shared" si="759"/>
        <v>2933.2898841396559</v>
      </c>
      <c r="BA109" s="879">
        <f t="shared" si="441"/>
        <v>31647.951561489663</v>
      </c>
      <c r="BB109" s="883">
        <f t="shared" ref="BB109:BM109" si="760">BB89/BB39</f>
        <v>13379.501282985157</v>
      </c>
      <c r="BC109" s="883">
        <f t="shared" si="760"/>
        <v>19.009301009514818</v>
      </c>
      <c r="BD109" s="883">
        <f t="shared" si="760"/>
        <v>28.656781104974709</v>
      </c>
      <c r="BE109" s="883">
        <f t="shared" si="760"/>
        <v>46.735902196419488</v>
      </c>
      <c r="BF109" s="883">
        <f t="shared" si="760"/>
        <v>405.36650365222528</v>
      </c>
      <c r="BG109" s="883">
        <f t="shared" si="760"/>
        <v>170.79769282869228</v>
      </c>
      <c r="BH109" s="883">
        <f t="shared" si="760"/>
        <v>3950.4228273302956</v>
      </c>
      <c r="BI109" s="883">
        <f t="shared" si="760"/>
        <v>-457.52369296691347</v>
      </c>
      <c r="BJ109" s="883">
        <f t="shared" si="760"/>
        <v>1376.6053669321345</v>
      </c>
      <c r="BK109" s="883">
        <f t="shared" si="760"/>
        <v>365.30242138006918</v>
      </c>
      <c r="BL109" s="883">
        <f t="shared" si="760"/>
        <v>1653.1542872207585</v>
      </c>
      <c r="BM109" s="873">
        <f t="shared" si="760"/>
        <v>553.12726006790945</v>
      </c>
      <c r="BN109" s="879">
        <f t="shared" si="460"/>
        <v>21491.15593374124</v>
      </c>
      <c r="BO109" s="883">
        <f t="shared" ref="BO109:BZ109" si="761">BO89/BO38</f>
        <v>0</v>
      </c>
      <c r="BP109" s="883">
        <f t="shared" si="761"/>
        <v>9852.4144436620754</v>
      </c>
      <c r="BQ109" s="883">
        <f t="shared" si="761"/>
        <v>119.45080263212334</v>
      </c>
      <c r="BR109" s="883">
        <f t="shared" si="761"/>
        <v>4109.3918114740618</v>
      </c>
      <c r="BS109" s="883">
        <f t="shared" si="761"/>
        <v>88.97774136167385</v>
      </c>
      <c r="BT109" s="883">
        <f t="shared" si="761"/>
        <v>0</v>
      </c>
      <c r="BU109" s="883">
        <f t="shared" si="761"/>
        <v>3285.2907371280239</v>
      </c>
      <c r="BV109" s="883">
        <f t="shared" si="761"/>
        <v>627.14267581351544</v>
      </c>
      <c r="BW109" s="883">
        <f t="shared" si="761"/>
        <v>4188.5373898181351</v>
      </c>
      <c r="BX109" s="883">
        <f t="shared" si="761"/>
        <v>82.620525327185291</v>
      </c>
      <c r="BY109" s="883">
        <f t="shared" si="761"/>
        <v>1576.6135046879947</v>
      </c>
      <c r="BZ109" s="873">
        <f t="shared" si="761"/>
        <v>2053.8011268735236</v>
      </c>
      <c r="CA109" s="879">
        <f t="shared" si="462"/>
        <v>25984.240758778313</v>
      </c>
      <c r="CB109" s="883">
        <f t="shared" ref="CB109:CM109" si="762">CB89/CB38</f>
        <v>0</v>
      </c>
      <c r="CC109" s="883">
        <f t="shared" si="762"/>
        <v>9147.3550079638208</v>
      </c>
      <c r="CD109" s="883">
        <f t="shared" si="762"/>
        <v>1391.2900036269871</v>
      </c>
      <c r="CE109" s="883">
        <f t="shared" si="762"/>
        <v>748.92700495347265</v>
      </c>
      <c r="CF109" s="883">
        <f t="shared" si="762"/>
        <v>355.41708820464487</v>
      </c>
      <c r="CG109" s="883">
        <f t="shared" si="762"/>
        <v>368.20014657871752</v>
      </c>
      <c r="CH109" s="883">
        <f t="shared" si="762"/>
        <v>2261.4623061430693</v>
      </c>
      <c r="CI109" s="883">
        <f t="shared" si="762"/>
        <v>510.84661213795988</v>
      </c>
      <c r="CJ109" s="883">
        <f t="shared" si="762"/>
        <v>4149.6682123675137</v>
      </c>
      <c r="CK109" s="883">
        <f t="shared" si="762"/>
        <v>496.19850399596913</v>
      </c>
      <c r="CL109" s="883">
        <f t="shared" si="762"/>
        <v>3247.4750763099914</v>
      </c>
      <c r="CM109" s="873">
        <f t="shared" si="762"/>
        <v>749.60413008669775</v>
      </c>
      <c r="CN109" s="879">
        <f t="shared" si="464"/>
        <v>23426.444092368845</v>
      </c>
      <c r="CO109" s="883">
        <f t="shared" ref="CO109:CZ109" si="763">CO89/CO38</f>
        <v>0</v>
      </c>
      <c r="CP109" s="883">
        <f t="shared" si="763"/>
        <v>703.74853929199821</v>
      </c>
      <c r="CQ109" s="883">
        <f t="shared" si="763"/>
        <v>11828.084521059609</v>
      </c>
      <c r="CR109" s="883">
        <f t="shared" si="763"/>
        <v>-2.4819902803243217</v>
      </c>
      <c r="CS109" s="883">
        <f t="shared" si="763"/>
        <v>401.17844489203145</v>
      </c>
      <c r="CT109" s="883">
        <f t="shared" si="763"/>
        <v>2990.864286929127</v>
      </c>
      <c r="CU109" s="883">
        <f t="shared" si="763"/>
        <v>749.22565855190362</v>
      </c>
      <c r="CV109" s="883">
        <f t="shared" si="763"/>
        <v>4508.7192379227818</v>
      </c>
      <c r="CW109" s="883">
        <f t="shared" si="763"/>
        <v>3993.7958709176719</v>
      </c>
      <c r="CX109" s="883">
        <f t="shared" si="763"/>
        <v>674.03845898562679</v>
      </c>
      <c r="CY109" s="883">
        <f t="shared" si="763"/>
        <v>3363.4298621750982</v>
      </c>
      <c r="CZ109" s="873">
        <f t="shared" si="763"/>
        <v>568.82492870457349</v>
      </c>
      <c r="DA109" s="879">
        <f t="shared" si="466"/>
        <v>29779.427819150093</v>
      </c>
      <c r="DB109" s="883">
        <f t="shared" ref="DB109:DM109" si="764">DB89/DB38</f>
        <v>4536.6357469715758</v>
      </c>
      <c r="DC109" s="883">
        <f t="shared" si="764"/>
        <v>7452.9779388066963</v>
      </c>
      <c r="DD109" s="883">
        <f t="shared" si="764"/>
        <v>1054.2086792281946</v>
      </c>
      <c r="DE109" s="883">
        <f t="shared" si="764"/>
        <v>1688.0310670842011</v>
      </c>
      <c r="DF109" s="883">
        <f t="shared" si="764"/>
        <v>1348.0651838696101</v>
      </c>
      <c r="DG109" s="883">
        <f t="shared" si="764"/>
        <v>193.93562598378153</v>
      </c>
      <c r="DH109" s="883">
        <f t="shared" si="764"/>
        <v>916.18666034418959</v>
      </c>
      <c r="DI109" s="883">
        <f t="shared" si="764"/>
        <v>2725.6286019971494</v>
      </c>
      <c r="DJ109" s="883">
        <f t="shared" si="764"/>
        <v>-36.433120839341143</v>
      </c>
      <c r="DK109" s="883">
        <f t="shared" si="764"/>
        <v>325.52415978669933</v>
      </c>
      <c r="DL109" s="883">
        <f t="shared" si="764"/>
        <v>1876.7655762556242</v>
      </c>
      <c r="DM109" s="873">
        <f t="shared" si="764"/>
        <v>1375.7640812738885</v>
      </c>
      <c r="DN109" s="879">
        <f t="shared" si="468"/>
        <v>23457.290200762272</v>
      </c>
      <c r="DO109" s="883">
        <f t="shared" ref="DO109:DQ109" si="765">DO89/DO38</f>
        <v>0</v>
      </c>
      <c r="DP109" s="883">
        <f t="shared" si="765"/>
        <v>14336.435279113861</v>
      </c>
      <c r="DQ109" s="883">
        <f t="shared" si="765"/>
        <v>1262.1932128550509</v>
      </c>
      <c r="DR109" s="883">
        <f t="shared" ref="DR109:DZ109" si="766">DR89/DR38</f>
        <v>3115.8276180280068</v>
      </c>
      <c r="DS109" s="883">
        <f t="shared" si="766"/>
        <v>439.66343654480414</v>
      </c>
      <c r="DT109" s="883">
        <f t="shared" si="766"/>
        <v>336.50304427392422</v>
      </c>
      <c r="DU109" s="883">
        <f t="shared" si="766"/>
        <v>224.91723829162936</v>
      </c>
      <c r="DV109" s="883">
        <f t="shared" si="766"/>
        <v>88.71141125338869</v>
      </c>
      <c r="DW109" s="883">
        <f t="shared" si="766"/>
        <v>1829.9499781934996</v>
      </c>
      <c r="DX109" s="883">
        <f t="shared" si="766"/>
        <v>583.84998431834981</v>
      </c>
      <c r="DY109" s="883">
        <f t="shared" si="766"/>
        <v>12.863350730576467</v>
      </c>
      <c r="DZ109" s="883">
        <f t="shared" si="766"/>
        <v>456.42651982301959</v>
      </c>
      <c r="EA109" s="879">
        <f t="shared" si="471"/>
        <v>22687.341073426109</v>
      </c>
      <c r="EB109" s="883">
        <f t="shared" ref="EB109:ED109" si="767">EB89/EB38</f>
        <v>8693.3357570019689</v>
      </c>
      <c r="EC109" s="883">
        <f t="shared" si="767"/>
        <v>217.66073194645796</v>
      </c>
      <c r="ED109" s="883">
        <f t="shared" si="767"/>
        <v>1763.8336957348429</v>
      </c>
      <c r="EE109" s="883">
        <f t="shared" ref="EE109:EH109" si="768">EE89/EE38</f>
        <v>0</v>
      </c>
      <c r="EF109" s="883">
        <f t="shared" si="768"/>
        <v>-2.208741983360254</v>
      </c>
      <c r="EG109" s="883">
        <f t="shared" si="768"/>
        <v>3503.4799311614138</v>
      </c>
      <c r="EH109" s="883">
        <f t="shared" si="768"/>
        <v>0</v>
      </c>
      <c r="EI109" s="883">
        <f t="shared" ref="EI109:EM109" si="769">EI89/EI38</f>
        <v>369.70824397421836</v>
      </c>
      <c r="EJ109" s="883">
        <f t="shared" si="769"/>
        <v>597.5432728728299</v>
      </c>
      <c r="EK109" s="883">
        <f t="shared" si="769"/>
        <v>-19.882817095416634</v>
      </c>
      <c r="EL109" s="883">
        <f t="shared" si="769"/>
        <v>260.95107842850825</v>
      </c>
      <c r="EM109" s="883">
        <f t="shared" si="769"/>
        <v>861.88367541377215</v>
      </c>
      <c r="EN109" s="879">
        <f t="shared" si="475"/>
        <v>16246.304827455235</v>
      </c>
      <c r="EO109" s="883">
        <f t="shared" ref="EO109:ER109" si="770">EO89/EO38</f>
        <v>14530.169632512914</v>
      </c>
      <c r="EP109" s="883">
        <f t="shared" si="770"/>
        <v>0</v>
      </c>
      <c r="EQ109" s="883">
        <f t="shared" si="770"/>
        <v>986.18471004824949</v>
      </c>
      <c r="ER109" s="883">
        <f t="shared" si="770"/>
        <v>410.15533765646154</v>
      </c>
      <c r="ES109" s="883">
        <f t="shared" ref="ES109:EU109" si="771">ES89/ES38</f>
        <v>0</v>
      </c>
      <c r="ET109" s="883">
        <f t="shared" si="771"/>
        <v>584.31652082554956</v>
      </c>
      <c r="EU109" s="883">
        <f t="shared" si="771"/>
        <v>5.2869954882704908</v>
      </c>
      <c r="EV109" s="973">
        <f t="shared" ref="EV109" si="772">EV89/EV38</f>
        <v>1037.1112364819601</v>
      </c>
      <c r="EW109" s="883"/>
      <c r="EX109" s="883"/>
      <c r="EY109" s="883"/>
      <c r="EZ109" s="873"/>
      <c r="FA109" s="879">
        <f t="shared" si="479"/>
        <v>17553.224433013405</v>
      </c>
      <c r="FC109" s="843">
        <f t="shared" si="480"/>
        <v>180.52153377306976</v>
      </c>
      <c r="FD109" s="844">
        <f t="shared" si="454"/>
        <v>20.675472140720743</v>
      </c>
      <c r="FE109" s="845">
        <f t="shared" si="481"/>
        <v>14545.809617835541</v>
      </c>
      <c r="FF109" s="846">
        <f t="shared" si="455"/>
        <v>17553.224433013405</v>
      </c>
      <c r="FI109" s="127"/>
    </row>
    <row r="110" spans="1:172" ht="15" customHeight="1" x14ac:dyDescent="0.25">
      <c r="A110" s="403" t="s">
        <v>286</v>
      </c>
      <c r="B110" s="883">
        <f t="shared" ref="B110:M110" si="773">B90/B39</f>
        <v>0</v>
      </c>
      <c r="C110" s="883">
        <f t="shared" si="773"/>
        <v>0</v>
      </c>
      <c r="D110" s="883">
        <f t="shared" si="773"/>
        <v>0</v>
      </c>
      <c r="E110" s="883">
        <f t="shared" si="773"/>
        <v>0</v>
      </c>
      <c r="F110" s="883">
        <f t="shared" si="773"/>
        <v>0</v>
      </c>
      <c r="G110" s="883">
        <f t="shared" si="773"/>
        <v>0</v>
      </c>
      <c r="H110" s="883">
        <f t="shared" si="773"/>
        <v>0</v>
      </c>
      <c r="I110" s="883">
        <f t="shared" si="773"/>
        <v>0</v>
      </c>
      <c r="J110" s="883">
        <f t="shared" si="773"/>
        <v>0</v>
      </c>
      <c r="K110" s="883">
        <f t="shared" si="773"/>
        <v>0</v>
      </c>
      <c r="L110" s="883">
        <f t="shared" si="773"/>
        <v>0</v>
      </c>
      <c r="M110" s="873">
        <f t="shared" si="773"/>
        <v>0</v>
      </c>
      <c r="N110" s="879">
        <f t="shared" si="435"/>
        <v>0</v>
      </c>
      <c r="O110" s="883">
        <f t="shared" ref="O110:Z110" si="774">O90/O39</f>
        <v>0</v>
      </c>
      <c r="P110" s="883">
        <f t="shared" si="774"/>
        <v>0</v>
      </c>
      <c r="Q110" s="883">
        <f t="shared" si="774"/>
        <v>0</v>
      </c>
      <c r="R110" s="883">
        <f t="shared" si="774"/>
        <v>0</v>
      </c>
      <c r="S110" s="883">
        <f t="shared" si="774"/>
        <v>0</v>
      </c>
      <c r="T110" s="883">
        <f t="shared" si="774"/>
        <v>0</v>
      </c>
      <c r="U110" s="883">
        <f t="shared" si="774"/>
        <v>0</v>
      </c>
      <c r="V110" s="883">
        <f t="shared" si="774"/>
        <v>0</v>
      </c>
      <c r="W110" s="883">
        <f t="shared" si="774"/>
        <v>0</v>
      </c>
      <c r="X110" s="883">
        <f t="shared" si="774"/>
        <v>0</v>
      </c>
      <c r="Y110" s="883">
        <f t="shared" si="774"/>
        <v>0</v>
      </c>
      <c r="Z110" s="873">
        <f t="shared" si="774"/>
        <v>0</v>
      </c>
      <c r="AA110" s="879">
        <f t="shared" si="437"/>
        <v>0</v>
      </c>
      <c r="AB110" s="883">
        <f t="shared" ref="AB110:AM110" si="775">AB90/AB39</f>
        <v>178.56856624748519</v>
      </c>
      <c r="AC110" s="883">
        <f t="shared" si="775"/>
        <v>1896.233920458355</v>
      </c>
      <c r="AD110" s="883">
        <f t="shared" si="775"/>
        <v>3760.2941246414071</v>
      </c>
      <c r="AE110" s="883">
        <f t="shared" si="775"/>
        <v>6017.916567650359</v>
      </c>
      <c r="AF110" s="883">
        <f t="shared" si="775"/>
        <v>5716.1847652985452</v>
      </c>
      <c r="AG110" s="883">
        <f t="shared" si="775"/>
        <v>9899.2927444195175</v>
      </c>
      <c r="AH110" s="883">
        <f t="shared" si="775"/>
        <v>3817.6995410242444</v>
      </c>
      <c r="AI110" s="883">
        <f t="shared" si="775"/>
        <v>4922.306488882482</v>
      </c>
      <c r="AJ110" s="883">
        <f t="shared" si="775"/>
        <v>3097.4063313002648</v>
      </c>
      <c r="AK110" s="883">
        <f t="shared" si="775"/>
        <v>7573.6461364470151</v>
      </c>
      <c r="AL110" s="883">
        <f t="shared" si="775"/>
        <v>8240.7796280798921</v>
      </c>
      <c r="AM110" s="873">
        <f t="shared" si="775"/>
        <v>10065.024919903826</v>
      </c>
      <c r="AN110" s="879">
        <f t="shared" si="439"/>
        <v>65185.353734353397</v>
      </c>
      <c r="AO110" s="883">
        <f t="shared" ref="AO110:AZ110" si="776">AO90/AO39</f>
        <v>8638.7945644769043</v>
      </c>
      <c r="AP110" s="883">
        <f t="shared" si="776"/>
        <v>3545.2808615812523</v>
      </c>
      <c r="AQ110" s="883">
        <f t="shared" si="776"/>
        <v>935.41497740872444</v>
      </c>
      <c r="AR110" s="883">
        <f t="shared" si="776"/>
        <v>7563.9404036623118</v>
      </c>
      <c r="AS110" s="883">
        <f t="shared" si="776"/>
        <v>11053.879974864321</v>
      </c>
      <c r="AT110" s="883">
        <f t="shared" si="776"/>
        <v>7660.2086054526562</v>
      </c>
      <c r="AU110" s="883">
        <f t="shared" si="776"/>
        <v>3775.8221178049639</v>
      </c>
      <c r="AV110" s="883">
        <f t="shared" si="776"/>
        <v>8144.903236780141</v>
      </c>
      <c r="AW110" s="883">
        <f t="shared" si="776"/>
        <v>4246.7208393747442</v>
      </c>
      <c r="AX110" s="883">
        <f t="shared" si="776"/>
        <v>8840.4397654376189</v>
      </c>
      <c r="AY110" s="883">
        <f t="shared" si="776"/>
        <v>4866.5203664361725</v>
      </c>
      <c r="AZ110" s="873">
        <f t="shared" si="776"/>
        <v>6907.128729103264</v>
      </c>
      <c r="BA110" s="879">
        <f t="shared" si="441"/>
        <v>76179.054442383072</v>
      </c>
      <c r="BB110" s="883">
        <f t="shared" ref="BB110:BM110" si="777">BB90/BB39</f>
        <v>539.29703785677032</v>
      </c>
      <c r="BC110" s="883">
        <f t="shared" si="777"/>
        <v>5073.3712249838436</v>
      </c>
      <c r="BD110" s="883">
        <f t="shared" si="777"/>
        <v>3708.606842512093</v>
      </c>
      <c r="BE110" s="883">
        <f t="shared" si="777"/>
        <v>9149.0760180334019</v>
      </c>
      <c r="BF110" s="883">
        <f t="shared" si="777"/>
        <v>10064.511989303532</v>
      </c>
      <c r="BG110" s="883">
        <f t="shared" si="777"/>
        <v>7621.0627673602612</v>
      </c>
      <c r="BH110" s="883">
        <f t="shared" si="777"/>
        <v>5684.9075241486171</v>
      </c>
      <c r="BI110" s="883">
        <f t="shared" si="777"/>
        <v>4857.5387827763789</v>
      </c>
      <c r="BJ110" s="883">
        <f t="shared" si="777"/>
        <v>5911.7552702141111</v>
      </c>
      <c r="BK110" s="883">
        <f t="shared" si="777"/>
        <v>7496.3390425408115</v>
      </c>
      <c r="BL110" s="883">
        <f t="shared" si="777"/>
        <v>10678.558096176726</v>
      </c>
      <c r="BM110" s="873">
        <f t="shared" si="777"/>
        <v>4742.0797640365199</v>
      </c>
      <c r="BN110" s="879">
        <f t="shared" si="460"/>
        <v>75527.104359943056</v>
      </c>
      <c r="BO110" s="883">
        <f t="shared" ref="BO110:BZ110" si="778">BO90/BO38</f>
        <v>1001.2204727652006</v>
      </c>
      <c r="BP110" s="883">
        <f t="shared" si="778"/>
        <v>5661.0443605388446</v>
      </c>
      <c r="BQ110" s="883">
        <f t="shared" si="778"/>
        <v>19693.592960389211</v>
      </c>
      <c r="BR110" s="883">
        <f t="shared" si="778"/>
        <v>27396.174014177959</v>
      </c>
      <c r="BS110" s="883">
        <f t="shared" si="778"/>
        <v>25824.762763979354</v>
      </c>
      <c r="BT110" s="883">
        <f t="shared" si="778"/>
        <v>1341.7109608409812</v>
      </c>
      <c r="BU110" s="883">
        <f t="shared" si="778"/>
        <v>6438.7326257915629</v>
      </c>
      <c r="BV110" s="883">
        <f t="shared" si="778"/>
        <v>30982.352780484052</v>
      </c>
      <c r="BW110" s="883">
        <f t="shared" si="778"/>
        <v>8341.5613369050552</v>
      </c>
      <c r="BX110" s="883">
        <f t="shared" si="778"/>
        <v>51770.977109976768</v>
      </c>
      <c r="BY110" s="883">
        <f t="shared" si="778"/>
        <v>28491.124613153195</v>
      </c>
      <c r="BZ110" s="873">
        <f t="shared" si="778"/>
        <v>25149.388873272415</v>
      </c>
      <c r="CA110" s="879">
        <f t="shared" si="462"/>
        <v>232092.64287227462</v>
      </c>
      <c r="CB110" s="883">
        <f t="shared" ref="CB110:CM110" si="779">CB90/CB38</f>
        <v>891.64279894193578</v>
      </c>
      <c r="CC110" s="883">
        <f t="shared" si="779"/>
        <v>5860.920563936982</v>
      </c>
      <c r="CD110" s="883">
        <f t="shared" si="779"/>
        <v>5105.4119469313537</v>
      </c>
      <c r="CE110" s="883">
        <f t="shared" si="779"/>
        <v>12648.693835001315</v>
      </c>
      <c r="CF110" s="883">
        <f t="shared" si="779"/>
        <v>3348.4030941384963</v>
      </c>
      <c r="CG110" s="883">
        <f t="shared" si="779"/>
        <v>5895.8546936819548</v>
      </c>
      <c r="CH110" s="883">
        <f t="shared" si="779"/>
        <v>4678.2068654865352</v>
      </c>
      <c r="CI110" s="883">
        <f t="shared" si="779"/>
        <v>5863.6590084559957</v>
      </c>
      <c r="CJ110" s="883">
        <f t="shared" si="779"/>
        <v>19189.457257316648</v>
      </c>
      <c r="CK110" s="883">
        <f t="shared" si="779"/>
        <v>25696.500940358226</v>
      </c>
      <c r="CL110" s="883">
        <f t="shared" si="779"/>
        <v>14378.00141190266</v>
      </c>
      <c r="CM110" s="873">
        <f t="shared" si="779"/>
        <v>26049.221991234077</v>
      </c>
      <c r="CN110" s="879">
        <f t="shared" si="464"/>
        <v>129605.97440738618</v>
      </c>
      <c r="CO110" s="883">
        <f t="shared" ref="CO110:CZ110" si="780">CO90/CO38</f>
        <v>3957.6026877062332</v>
      </c>
      <c r="CP110" s="883">
        <f t="shared" si="780"/>
        <v>6120.7686868142355</v>
      </c>
      <c r="CQ110" s="883">
        <f t="shared" si="780"/>
        <v>3704.8510067023212</v>
      </c>
      <c r="CR110" s="883">
        <f t="shared" si="780"/>
        <v>12413.674387042096</v>
      </c>
      <c r="CS110" s="883">
        <f t="shared" si="780"/>
        <v>3596.3885861045283</v>
      </c>
      <c r="CT110" s="883">
        <f t="shared" si="780"/>
        <v>11107.615467571961</v>
      </c>
      <c r="CU110" s="883">
        <f t="shared" si="780"/>
        <v>5509.6529850214301</v>
      </c>
      <c r="CV110" s="883">
        <f t="shared" si="780"/>
        <v>9468.3103996378413</v>
      </c>
      <c r="CW110" s="883">
        <f t="shared" si="780"/>
        <v>2843.7405460038231</v>
      </c>
      <c r="CX110" s="883">
        <f t="shared" si="780"/>
        <v>18977.371042864113</v>
      </c>
      <c r="CY110" s="883">
        <f t="shared" si="780"/>
        <v>7196.423702993362</v>
      </c>
      <c r="CZ110" s="873">
        <f t="shared" si="780"/>
        <v>10282.378235528382</v>
      </c>
      <c r="DA110" s="879">
        <f t="shared" si="466"/>
        <v>95178.777733990311</v>
      </c>
      <c r="DB110" s="883">
        <f t="shared" ref="DB110:DM110" si="781">DB90/DB38</f>
        <v>5463.9170510097501</v>
      </c>
      <c r="DC110" s="883">
        <f t="shared" si="781"/>
        <v>6154.4416600526092</v>
      </c>
      <c r="DD110" s="883">
        <f t="shared" si="781"/>
        <v>6584.7584881835646</v>
      </c>
      <c r="DE110" s="883">
        <f t="shared" si="781"/>
        <v>9667.8142933004237</v>
      </c>
      <c r="DF110" s="883">
        <f t="shared" si="781"/>
        <v>4137.5804325993731</v>
      </c>
      <c r="DG110" s="883">
        <f t="shared" si="781"/>
        <v>9497.6817068329456</v>
      </c>
      <c r="DH110" s="883">
        <f t="shared" si="781"/>
        <v>3767.6247442226436</v>
      </c>
      <c r="DI110" s="883">
        <f t="shared" si="781"/>
        <v>6261.4868886907561</v>
      </c>
      <c r="DJ110" s="883">
        <f t="shared" si="781"/>
        <v>4453.37975509634</v>
      </c>
      <c r="DK110" s="883">
        <f t="shared" si="781"/>
        <v>10962.739949588562</v>
      </c>
      <c r="DL110" s="883">
        <f t="shared" si="781"/>
        <v>2200.5233684411419</v>
      </c>
      <c r="DM110" s="873">
        <f t="shared" si="781"/>
        <v>9425.2657245037208</v>
      </c>
      <c r="DN110" s="879">
        <f t="shared" si="468"/>
        <v>78577.214062521831</v>
      </c>
      <c r="DO110" s="883">
        <f t="shared" ref="DO110:DQ110" si="782">DO90/DO38</f>
        <v>1678.4952523011564</v>
      </c>
      <c r="DP110" s="883">
        <f t="shared" si="782"/>
        <v>6341.2898777243508</v>
      </c>
      <c r="DQ110" s="883">
        <f t="shared" si="782"/>
        <v>2740.265762426759</v>
      </c>
      <c r="DR110" s="883">
        <f t="shared" ref="DR110:DZ110" si="783">DR90/DR38</f>
        <v>7561.2395815234922</v>
      </c>
      <c r="DS110" s="883">
        <f t="shared" si="783"/>
        <v>7524.2529370375169</v>
      </c>
      <c r="DT110" s="883">
        <f t="shared" si="783"/>
        <v>9629.0346118983416</v>
      </c>
      <c r="DU110" s="883">
        <f t="shared" si="783"/>
        <v>7270.645551243093</v>
      </c>
      <c r="DV110" s="883">
        <f t="shared" si="783"/>
        <v>10793.779635899735</v>
      </c>
      <c r="DW110" s="883">
        <f t="shared" si="783"/>
        <v>7827.6222172360085</v>
      </c>
      <c r="DX110" s="883">
        <f t="shared" si="783"/>
        <v>8748.2335138323797</v>
      </c>
      <c r="DY110" s="883">
        <f t="shared" si="783"/>
        <v>4836.0605985780312</v>
      </c>
      <c r="DZ110" s="883">
        <f t="shared" si="783"/>
        <v>11005.63334212177</v>
      </c>
      <c r="EA110" s="879">
        <f t="shared" si="471"/>
        <v>85956.55288182263</v>
      </c>
      <c r="EB110" s="883">
        <f>EB90/EB38</f>
        <v>4271.4602076116325</v>
      </c>
      <c r="EC110" s="883">
        <f>EC90/EC38</f>
        <v>4889.5530066228675</v>
      </c>
      <c r="ED110" s="883">
        <f>ED90/ED38</f>
        <v>5576.06182782214</v>
      </c>
      <c r="EE110" s="883">
        <f>EE90/EE38</f>
        <v>7141.5450021652623</v>
      </c>
      <c r="EF110" s="883">
        <f t="shared" ref="EF110:EM110" si="784">EF90/EF38</f>
        <v>9812.8884465737683</v>
      </c>
      <c r="EG110" s="883">
        <f t="shared" si="784"/>
        <v>8857.1369706254463</v>
      </c>
      <c r="EH110" s="883">
        <f t="shared" si="784"/>
        <v>10261.838381841633</v>
      </c>
      <c r="EI110" s="883">
        <f t="shared" si="784"/>
        <v>7820.7088684277569</v>
      </c>
      <c r="EJ110" s="883">
        <f t="shared" si="784"/>
        <v>8819.1428195746194</v>
      </c>
      <c r="EK110" s="883">
        <f t="shared" si="784"/>
        <v>9624.3880751313955</v>
      </c>
      <c r="EL110" s="883">
        <f t="shared" si="784"/>
        <v>6849.2761917334674</v>
      </c>
      <c r="EM110" s="883">
        <f t="shared" si="784"/>
        <v>9178.0154349936565</v>
      </c>
      <c r="EN110" s="879">
        <f t="shared" si="475"/>
        <v>93102.015233123646</v>
      </c>
      <c r="EO110" s="883">
        <f>EO90/EO38</f>
        <v>5695.6153639535805</v>
      </c>
      <c r="EP110" s="883">
        <f t="shared" ref="EP110:ER110" si="785">EP90/EP38</f>
        <v>5725.3878723393609</v>
      </c>
      <c r="EQ110" s="883">
        <f t="shared" si="785"/>
        <v>6993.4309995417234</v>
      </c>
      <c r="ER110" s="883">
        <f t="shared" si="785"/>
        <v>4638.5225896413804</v>
      </c>
      <c r="ES110" s="883">
        <f t="shared" ref="ES110:EU110" si="786">ES90/ES38</f>
        <v>9134.6023542444909</v>
      </c>
      <c r="ET110" s="883">
        <f t="shared" si="786"/>
        <v>11547.939661578623</v>
      </c>
      <c r="EU110" s="883">
        <f t="shared" si="786"/>
        <v>11107.977520856301</v>
      </c>
      <c r="EV110" s="973">
        <f t="shared" ref="EV110" si="787">EV90/EV38</f>
        <v>6553.4018223750545</v>
      </c>
      <c r="EW110" s="883"/>
      <c r="EX110" s="883"/>
      <c r="EY110" s="883"/>
      <c r="EZ110" s="873"/>
      <c r="FA110" s="879">
        <f t="shared" si="479"/>
        <v>61396.878184530513</v>
      </c>
      <c r="FC110" s="843">
        <f t="shared" si="480"/>
        <v>-16.204503547866711</v>
      </c>
      <c r="FD110" s="844">
        <f t="shared" si="454"/>
        <v>4.717088882090148</v>
      </c>
      <c r="FE110" s="845">
        <f t="shared" si="481"/>
        <v>58631.192711690506</v>
      </c>
      <c r="FF110" s="846">
        <f t="shared" si="455"/>
        <v>61396.878184530513</v>
      </c>
      <c r="FI110" s="127"/>
    </row>
    <row r="111" spans="1:172" ht="15" customHeight="1" x14ac:dyDescent="0.25">
      <c r="A111" s="403" t="s">
        <v>275</v>
      </c>
      <c r="B111" s="883">
        <f t="shared" ref="B111:M111" si="788">B91/B72*100</f>
        <v>0</v>
      </c>
      <c r="C111" s="883">
        <f t="shared" si="788"/>
        <v>0</v>
      </c>
      <c r="D111" s="883">
        <f t="shared" si="788"/>
        <v>0</v>
      </c>
      <c r="E111" s="883">
        <f t="shared" si="788"/>
        <v>0</v>
      </c>
      <c r="F111" s="883">
        <f t="shared" si="788"/>
        <v>0</v>
      </c>
      <c r="G111" s="883">
        <f t="shared" si="788"/>
        <v>0</v>
      </c>
      <c r="H111" s="883">
        <f t="shared" si="788"/>
        <v>0</v>
      </c>
      <c r="I111" s="883">
        <f t="shared" si="788"/>
        <v>0</v>
      </c>
      <c r="J111" s="883">
        <f t="shared" si="788"/>
        <v>0</v>
      </c>
      <c r="K111" s="883">
        <f t="shared" si="788"/>
        <v>0</v>
      </c>
      <c r="L111" s="883">
        <f t="shared" si="788"/>
        <v>0</v>
      </c>
      <c r="M111" s="873">
        <f t="shared" si="788"/>
        <v>0</v>
      </c>
      <c r="N111" s="879">
        <f t="shared" si="435"/>
        <v>0</v>
      </c>
      <c r="O111" s="883">
        <f t="shared" ref="O111:Z111" si="789">O91/O72*100</f>
        <v>0</v>
      </c>
      <c r="P111" s="883">
        <f t="shared" si="789"/>
        <v>0</v>
      </c>
      <c r="Q111" s="883">
        <f t="shared" si="789"/>
        <v>0</v>
      </c>
      <c r="R111" s="883">
        <f t="shared" si="789"/>
        <v>0</v>
      </c>
      <c r="S111" s="883">
        <f t="shared" si="789"/>
        <v>0</v>
      </c>
      <c r="T111" s="883">
        <f t="shared" si="789"/>
        <v>0</v>
      </c>
      <c r="U111" s="883">
        <f t="shared" si="789"/>
        <v>0</v>
      </c>
      <c r="V111" s="883">
        <f t="shared" si="789"/>
        <v>0</v>
      </c>
      <c r="W111" s="883">
        <f t="shared" si="789"/>
        <v>0</v>
      </c>
      <c r="X111" s="883">
        <f t="shared" si="789"/>
        <v>0</v>
      </c>
      <c r="Y111" s="883">
        <f t="shared" si="789"/>
        <v>0</v>
      </c>
      <c r="Z111" s="873">
        <f t="shared" si="789"/>
        <v>0</v>
      </c>
      <c r="AA111" s="879">
        <f t="shared" si="437"/>
        <v>0</v>
      </c>
      <c r="AB111" s="883">
        <f t="shared" ref="AB111:AM111" si="790">AB91/AB72*100</f>
        <v>2876.6928459395394</v>
      </c>
      <c r="AC111" s="883">
        <f t="shared" si="790"/>
        <v>6410.9895526361779</v>
      </c>
      <c r="AD111" s="883">
        <f t="shared" si="790"/>
        <v>11079.411705148908</v>
      </c>
      <c r="AE111" s="883">
        <f t="shared" si="790"/>
        <v>6448.6481192698566</v>
      </c>
      <c r="AF111" s="883">
        <f t="shared" si="790"/>
        <v>10143.241725742275</v>
      </c>
      <c r="AG111" s="883">
        <f t="shared" si="790"/>
        <v>8183.5781465881819</v>
      </c>
      <c r="AH111" s="883">
        <f t="shared" si="790"/>
        <v>9461.0352195174273</v>
      </c>
      <c r="AI111" s="883">
        <f t="shared" si="790"/>
        <v>8752.0752912668722</v>
      </c>
      <c r="AJ111" s="883">
        <f t="shared" si="790"/>
        <v>8174.7618212747839</v>
      </c>
      <c r="AK111" s="883">
        <f t="shared" si="790"/>
        <v>9980.8251696593506</v>
      </c>
      <c r="AL111" s="883">
        <f t="shared" si="790"/>
        <v>11453.470336354114</v>
      </c>
      <c r="AM111" s="873">
        <f t="shared" si="790"/>
        <v>21569.100653235397</v>
      </c>
      <c r="AN111" s="879">
        <f t="shared" si="439"/>
        <v>114533.83058663289</v>
      </c>
      <c r="AO111" s="883">
        <f t="shared" ref="AO111:AZ111" si="791">AO91/AO72*100</f>
        <v>3980.7562039641903</v>
      </c>
      <c r="AP111" s="883">
        <f t="shared" si="791"/>
        <v>9401.9409279744104</v>
      </c>
      <c r="AQ111" s="883">
        <f t="shared" si="791"/>
        <v>8319.0080797252485</v>
      </c>
      <c r="AR111" s="883">
        <f t="shared" si="791"/>
        <v>9253.8941334153824</v>
      </c>
      <c r="AS111" s="883">
        <f t="shared" si="791"/>
        <v>8462.9308584582068</v>
      </c>
      <c r="AT111" s="883">
        <f t="shared" si="791"/>
        <v>8415.6745348704881</v>
      </c>
      <c r="AU111" s="883">
        <f t="shared" si="791"/>
        <v>10330.295162633754</v>
      </c>
      <c r="AV111" s="883">
        <f t="shared" si="791"/>
        <v>8332.390877493237</v>
      </c>
      <c r="AW111" s="883">
        <f t="shared" si="791"/>
        <v>8035.1485446753686</v>
      </c>
      <c r="AX111" s="883">
        <f t="shared" si="791"/>
        <v>9834.5724879231657</v>
      </c>
      <c r="AY111" s="883">
        <f t="shared" si="791"/>
        <v>9320.0369009857968</v>
      </c>
      <c r="AZ111" s="873">
        <f t="shared" si="791"/>
        <v>17709.302628060814</v>
      </c>
      <c r="BA111" s="879">
        <f t="shared" si="441"/>
        <v>111395.95134018007</v>
      </c>
      <c r="BB111" s="883">
        <f t="shared" ref="BB111:BM111" si="792">BB91/BB72*100</f>
        <v>3708.1062992839065</v>
      </c>
      <c r="BC111" s="883">
        <f t="shared" si="792"/>
        <v>11556.867766346924</v>
      </c>
      <c r="BD111" s="883">
        <f t="shared" si="792"/>
        <v>9649.043271514669</v>
      </c>
      <c r="BE111" s="883">
        <f t="shared" si="792"/>
        <v>8653.7891400595963</v>
      </c>
      <c r="BF111" s="883">
        <f t="shared" si="792"/>
        <v>8777.7698419373464</v>
      </c>
      <c r="BG111" s="883">
        <f t="shared" si="792"/>
        <v>7755.0082034459547</v>
      </c>
      <c r="BH111" s="883">
        <f t="shared" si="792"/>
        <v>13198.858813485105</v>
      </c>
      <c r="BI111" s="883">
        <f t="shared" si="792"/>
        <v>9452.8294385883364</v>
      </c>
      <c r="BJ111" s="883">
        <f t="shared" si="792"/>
        <v>8872.9346890217221</v>
      </c>
      <c r="BK111" s="883">
        <f t="shared" si="792"/>
        <v>10329.248484459462</v>
      </c>
      <c r="BL111" s="883">
        <f t="shared" si="792"/>
        <v>10945.234179372796</v>
      </c>
      <c r="BM111" s="873">
        <f t="shared" si="792"/>
        <v>16200.107871376964</v>
      </c>
      <c r="BN111" s="879">
        <f t="shared" si="460"/>
        <v>119099.7979988928</v>
      </c>
      <c r="BO111" s="883">
        <f t="shared" ref="BO111:BZ111" si="793">BO91/BO72*100</f>
        <v>10701.092286317224</v>
      </c>
      <c r="BP111" s="883">
        <f t="shared" si="793"/>
        <v>6195.5445318795628</v>
      </c>
      <c r="BQ111" s="883">
        <f t="shared" si="793"/>
        <v>6756.1058140191135</v>
      </c>
      <c r="BR111" s="883">
        <f t="shared" si="793"/>
        <v>6536.6012086910987</v>
      </c>
      <c r="BS111" s="883">
        <f t="shared" si="793"/>
        <v>4955.7616942095237</v>
      </c>
      <c r="BT111" s="883">
        <f t="shared" si="793"/>
        <v>5685.8605364128734</v>
      </c>
      <c r="BU111" s="883">
        <f t="shared" si="793"/>
        <v>7508.5277704939117</v>
      </c>
      <c r="BV111" s="883">
        <f t="shared" si="793"/>
        <v>6045.6564695888537</v>
      </c>
      <c r="BW111" s="883">
        <f t="shared" si="793"/>
        <v>8782.3746095438673</v>
      </c>
      <c r="BX111" s="883">
        <f t="shared" si="793"/>
        <v>8859.2671205283477</v>
      </c>
      <c r="BY111" s="883">
        <f t="shared" si="793"/>
        <v>8629.0833461962884</v>
      </c>
      <c r="BZ111" s="873">
        <f t="shared" si="793"/>
        <v>18845.766115614802</v>
      </c>
      <c r="CA111" s="879">
        <f t="shared" si="462"/>
        <v>99501.641503495484</v>
      </c>
      <c r="CB111" s="883">
        <f t="shared" ref="CB111:CM111" si="794">CB91/CB72*100</f>
        <v>6838.2840322530537</v>
      </c>
      <c r="CC111" s="883">
        <f t="shared" si="794"/>
        <v>5974.7045424442513</v>
      </c>
      <c r="CD111" s="883">
        <f t="shared" si="794"/>
        <v>7879.9786302502871</v>
      </c>
      <c r="CE111" s="883">
        <f t="shared" si="794"/>
        <v>8817.2834772465885</v>
      </c>
      <c r="CF111" s="883">
        <f t="shared" si="794"/>
        <v>7704.7404856577105</v>
      </c>
      <c r="CG111" s="883">
        <f t="shared" si="794"/>
        <v>8700.2967026030838</v>
      </c>
      <c r="CH111" s="883">
        <f t="shared" si="794"/>
        <v>8054.2469646904219</v>
      </c>
      <c r="CI111" s="883">
        <f t="shared" si="794"/>
        <v>9799.6528603173683</v>
      </c>
      <c r="CJ111" s="883">
        <f t="shared" si="794"/>
        <v>7203.8842955365935</v>
      </c>
      <c r="CK111" s="883">
        <f t="shared" si="794"/>
        <v>7967.3226458118843</v>
      </c>
      <c r="CL111" s="883">
        <f t="shared" si="794"/>
        <v>10221.059756944029</v>
      </c>
      <c r="CM111" s="873">
        <f t="shared" si="794"/>
        <v>16498.494451411545</v>
      </c>
      <c r="CN111" s="879">
        <f t="shared" si="464"/>
        <v>105659.94884516683</v>
      </c>
      <c r="CO111" s="883">
        <f t="shared" ref="CO111:CZ111" si="795">CO91/CO72*100</f>
        <v>5291.8619170204684</v>
      </c>
      <c r="CP111" s="883">
        <f t="shared" si="795"/>
        <v>7201.6047948743062</v>
      </c>
      <c r="CQ111" s="883">
        <f t="shared" si="795"/>
        <v>7975.7899263288227</v>
      </c>
      <c r="CR111" s="883">
        <f t="shared" si="795"/>
        <v>6363.2400757130308</v>
      </c>
      <c r="CS111" s="883">
        <f t="shared" si="795"/>
        <v>6741.7178537434083</v>
      </c>
      <c r="CT111" s="883">
        <f t="shared" si="795"/>
        <v>8195.0382886353764</v>
      </c>
      <c r="CU111" s="883">
        <f t="shared" si="795"/>
        <v>7912.7030594605476</v>
      </c>
      <c r="CV111" s="883">
        <f t="shared" si="795"/>
        <v>7586.1044830086103</v>
      </c>
      <c r="CW111" s="883">
        <f t="shared" si="795"/>
        <v>9503.6733531400114</v>
      </c>
      <c r="CX111" s="883">
        <f t="shared" si="795"/>
        <v>9657.5516997810882</v>
      </c>
      <c r="CY111" s="883">
        <f t="shared" si="795"/>
        <v>10966.860091210367</v>
      </c>
      <c r="CZ111" s="873">
        <f t="shared" si="795"/>
        <v>17182.232177812286</v>
      </c>
      <c r="DA111" s="879">
        <f t="shared" si="466"/>
        <v>104578.37772072833</v>
      </c>
      <c r="DB111" s="883">
        <f t="shared" ref="DB111:DM111" si="796">DB91/DB72*100</f>
        <v>8143.6616726062939</v>
      </c>
      <c r="DC111" s="883">
        <f t="shared" si="796"/>
        <v>7361.9940233317948</v>
      </c>
      <c r="DD111" s="883">
        <f t="shared" si="796"/>
        <v>8203.6878781568066</v>
      </c>
      <c r="DE111" s="883">
        <f t="shared" si="796"/>
        <v>7981.5218818427365</v>
      </c>
      <c r="DF111" s="883">
        <f t="shared" si="796"/>
        <v>10020.785013963445</v>
      </c>
      <c r="DG111" s="883">
        <f t="shared" si="796"/>
        <v>10866.186546377767</v>
      </c>
      <c r="DH111" s="883">
        <f t="shared" si="796"/>
        <v>9271.7682360864928</v>
      </c>
      <c r="DI111" s="883">
        <f t="shared" si="796"/>
        <v>9105.7200234177781</v>
      </c>
      <c r="DJ111" s="883">
        <f t="shared" si="796"/>
        <v>9974.7564099651299</v>
      </c>
      <c r="DK111" s="883">
        <f t="shared" si="796"/>
        <v>9235.5303750357016</v>
      </c>
      <c r="DL111" s="883">
        <f t="shared" si="796"/>
        <v>12166.826653144359</v>
      </c>
      <c r="DM111" s="873">
        <f t="shared" si="796"/>
        <v>15340.888502211485</v>
      </c>
      <c r="DN111" s="879">
        <f t="shared" si="468"/>
        <v>117673.32721613979</v>
      </c>
      <c r="DO111" s="883">
        <f t="shared" ref="DO111:DQ111" si="797">DO91/DO72*100</f>
        <v>6378.9371028772475</v>
      </c>
      <c r="DP111" s="883">
        <f t="shared" si="797"/>
        <v>7051.5280203735329</v>
      </c>
      <c r="DQ111" s="883">
        <f t="shared" si="797"/>
        <v>7759.8293166031308</v>
      </c>
      <c r="DR111" s="883">
        <f t="shared" ref="DR111:DZ111" si="798">DR91/DR72*100</f>
        <v>8298.6570534205639</v>
      </c>
      <c r="DS111" s="883">
        <f t="shared" si="798"/>
        <v>8890.5918831367799</v>
      </c>
      <c r="DT111" s="883">
        <f t="shared" si="798"/>
        <v>6896.8917694987667</v>
      </c>
      <c r="DU111" s="883">
        <f t="shared" si="798"/>
        <v>11136.016906099865</v>
      </c>
      <c r="DV111" s="883">
        <f t="shared" si="798"/>
        <v>9372.1305773099793</v>
      </c>
      <c r="DW111" s="883">
        <f t="shared" si="798"/>
        <v>7829.6277981190769</v>
      </c>
      <c r="DX111" s="883">
        <f t="shared" si="798"/>
        <v>7469.8086617699428</v>
      </c>
      <c r="DY111" s="883">
        <f t="shared" si="798"/>
        <v>8759.8283372732476</v>
      </c>
      <c r="DZ111" s="883">
        <f t="shared" si="798"/>
        <v>14422.138847983555</v>
      </c>
      <c r="EA111" s="879">
        <f t="shared" si="471"/>
        <v>104265.98627446569</v>
      </c>
      <c r="EB111" s="883">
        <f>EB91/EB72*100</f>
        <v>3062.3371069878835</v>
      </c>
      <c r="EC111" s="883">
        <f>EC91/EC72*100</f>
        <v>8731.3557688292549</v>
      </c>
      <c r="ED111" s="883">
        <f>ED91/ED72*100</f>
        <v>8771.4219818056918</v>
      </c>
      <c r="EE111" s="883">
        <f>EE91/EE72*100</f>
        <v>9018.6483536283085</v>
      </c>
      <c r="EF111" s="883">
        <f t="shared" ref="EF111:EM111" si="799">EF91/EF72*100</f>
        <v>10229.647225307477</v>
      </c>
      <c r="EG111" s="883">
        <f t="shared" si="799"/>
        <v>10792.323363116673</v>
      </c>
      <c r="EH111" s="883">
        <f t="shared" si="799"/>
        <v>9138.5449529879334</v>
      </c>
      <c r="EI111" s="883">
        <f t="shared" si="799"/>
        <v>8530.6132616645918</v>
      </c>
      <c r="EJ111" s="883">
        <f t="shared" si="799"/>
        <v>10464.093855960566</v>
      </c>
      <c r="EK111" s="883">
        <f t="shared" si="799"/>
        <v>9635.4808661260395</v>
      </c>
      <c r="EL111" s="883">
        <f t="shared" si="799"/>
        <v>10736.349324218354</v>
      </c>
      <c r="EM111" s="883">
        <f t="shared" si="799"/>
        <v>18573.84409321726</v>
      </c>
      <c r="EN111" s="879">
        <f t="shared" si="475"/>
        <v>117684.66015385001</v>
      </c>
      <c r="EO111" s="883">
        <f>EO91/EO72*100</f>
        <v>4466.397880933072</v>
      </c>
      <c r="EP111" s="883">
        <f t="shared" ref="EP111:ER111" si="800">EP91/EP72*100</f>
        <v>5819.5304702920375</v>
      </c>
      <c r="EQ111" s="883">
        <f t="shared" si="800"/>
        <v>12154.140506612663</v>
      </c>
      <c r="ER111" s="883">
        <f t="shared" si="800"/>
        <v>10858.573344863074</v>
      </c>
      <c r="ES111" s="883">
        <f t="shared" ref="ES111:EU111" si="801">ES91/ES72*100</f>
        <v>10565.354883268099</v>
      </c>
      <c r="ET111" s="883">
        <f t="shared" si="801"/>
        <v>7331.6829053493666</v>
      </c>
      <c r="EU111" s="883">
        <f t="shared" si="801"/>
        <v>8614.884723800933</v>
      </c>
      <c r="EV111" s="973">
        <f t="shared" ref="EV111" si="802">EV91/EV72*100</f>
        <v>9473.6016271759017</v>
      </c>
      <c r="EW111" s="883"/>
      <c r="EX111" s="883"/>
      <c r="EY111" s="883"/>
      <c r="EZ111" s="873"/>
      <c r="FA111" s="879">
        <f t="shared" si="479"/>
        <v>69284.166342295153</v>
      </c>
      <c r="FC111" s="843">
        <f t="shared" si="480"/>
        <v>11.054168517391005</v>
      </c>
      <c r="FD111" s="844">
        <f t="shared" si="454"/>
        <v>1.4782510791163883</v>
      </c>
      <c r="FE111" s="845">
        <f t="shared" si="481"/>
        <v>68274.892014327808</v>
      </c>
      <c r="FF111" s="846">
        <f t="shared" si="455"/>
        <v>69284.166342295153</v>
      </c>
      <c r="FI111" s="127"/>
    </row>
    <row r="112" spans="1:172" s="110" customFormat="1" ht="15" customHeight="1" x14ac:dyDescent="0.25">
      <c r="A112" s="440" t="s">
        <v>276</v>
      </c>
      <c r="B112" s="885">
        <f t="shared" ref="B112:L112" si="803">SUM(B113:B117)</f>
        <v>0</v>
      </c>
      <c r="C112" s="885">
        <f t="shared" si="803"/>
        <v>0</v>
      </c>
      <c r="D112" s="885">
        <f t="shared" si="803"/>
        <v>0</v>
      </c>
      <c r="E112" s="885">
        <f t="shared" si="803"/>
        <v>0</v>
      </c>
      <c r="F112" s="885">
        <f t="shared" si="803"/>
        <v>0</v>
      </c>
      <c r="G112" s="885">
        <f t="shared" si="803"/>
        <v>0</v>
      </c>
      <c r="H112" s="885">
        <f t="shared" si="803"/>
        <v>0</v>
      </c>
      <c r="I112" s="885">
        <f t="shared" si="803"/>
        <v>0</v>
      </c>
      <c r="J112" s="885">
        <f t="shared" si="803"/>
        <v>0</v>
      </c>
      <c r="K112" s="885">
        <f t="shared" si="803"/>
        <v>0</v>
      </c>
      <c r="L112" s="885">
        <f t="shared" si="803"/>
        <v>0</v>
      </c>
      <c r="M112" s="877">
        <f>SUM(M113:M117)</f>
        <v>0</v>
      </c>
      <c r="N112" s="878">
        <f t="shared" si="435"/>
        <v>0</v>
      </c>
      <c r="O112" s="885">
        <f t="shared" ref="O112:AM112" si="804">SUM(O113:O117)</f>
        <v>0</v>
      </c>
      <c r="P112" s="885">
        <f t="shared" si="804"/>
        <v>0</v>
      </c>
      <c r="Q112" s="885">
        <f t="shared" si="804"/>
        <v>0</v>
      </c>
      <c r="R112" s="885">
        <f t="shared" si="804"/>
        <v>0</v>
      </c>
      <c r="S112" s="885">
        <f t="shared" si="804"/>
        <v>0</v>
      </c>
      <c r="T112" s="885">
        <f t="shared" si="804"/>
        <v>0</v>
      </c>
      <c r="U112" s="885">
        <f t="shared" si="804"/>
        <v>0</v>
      </c>
      <c r="V112" s="885">
        <f t="shared" si="804"/>
        <v>0</v>
      </c>
      <c r="W112" s="885">
        <f t="shared" si="804"/>
        <v>0</v>
      </c>
      <c r="X112" s="885">
        <f t="shared" si="804"/>
        <v>0</v>
      </c>
      <c r="Y112" s="885">
        <f t="shared" si="804"/>
        <v>0</v>
      </c>
      <c r="Z112" s="877">
        <f t="shared" si="804"/>
        <v>0</v>
      </c>
      <c r="AA112" s="878">
        <f t="shared" si="437"/>
        <v>0</v>
      </c>
      <c r="AB112" s="885">
        <f t="shared" si="804"/>
        <v>7403.8449659872895</v>
      </c>
      <c r="AC112" s="885">
        <f t="shared" si="804"/>
        <v>8830.6053341009338</v>
      </c>
      <c r="AD112" s="885">
        <f t="shared" si="804"/>
        <v>12310.067595908036</v>
      </c>
      <c r="AE112" s="885">
        <f t="shared" si="804"/>
        <v>10363.017349160478</v>
      </c>
      <c r="AF112" s="885">
        <f t="shared" si="804"/>
        <v>13120.005228930984</v>
      </c>
      <c r="AG112" s="885">
        <f t="shared" si="804"/>
        <v>13276.998385312989</v>
      </c>
      <c r="AH112" s="885">
        <f t="shared" si="804"/>
        <v>12458.459096842091</v>
      </c>
      <c r="AI112" s="885">
        <f t="shared" si="804"/>
        <v>12018.629099127049</v>
      </c>
      <c r="AJ112" s="885">
        <f t="shared" si="804"/>
        <v>8809.9900182496058</v>
      </c>
      <c r="AK112" s="885">
        <f t="shared" si="804"/>
        <v>10500.823752472712</v>
      </c>
      <c r="AL112" s="885">
        <f t="shared" si="804"/>
        <v>11974.831563198677</v>
      </c>
      <c r="AM112" s="877">
        <f t="shared" si="804"/>
        <v>17674.794288003381</v>
      </c>
      <c r="AN112" s="878">
        <f t="shared" si="439"/>
        <v>138742.06667729423</v>
      </c>
      <c r="AO112" s="885">
        <f t="shared" ref="AO112:AZ112" si="805">SUM(AO113:AO117)</f>
        <v>6688.3370560539734</v>
      </c>
      <c r="AP112" s="885">
        <f t="shared" si="805"/>
        <v>9619.7830193905575</v>
      </c>
      <c r="AQ112" s="885">
        <f t="shared" si="805"/>
        <v>11746.541770996357</v>
      </c>
      <c r="AR112" s="885">
        <f t="shared" si="805"/>
        <v>11666.090274742925</v>
      </c>
      <c r="AS112" s="885">
        <f t="shared" si="805"/>
        <v>13646.945866628505</v>
      </c>
      <c r="AT112" s="885">
        <f t="shared" si="805"/>
        <v>11848.629099095813</v>
      </c>
      <c r="AU112" s="885">
        <f t="shared" si="805"/>
        <v>12415.30574064919</v>
      </c>
      <c r="AV112" s="885">
        <f t="shared" si="805"/>
        <v>10486.266697196117</v>
      </c>
      <c r="AW112" s="885">
        <f t="shared" si="805"/>
        <v>8604.0314489170687</v>
      </c>
      <c r="AX112" s="885">
        <f t="shared" si="805"/>
        <v>11507.117157945617</v>
      </c>
      <c r="AY112" s="885">
        <f t="shared" si="805"/>
        <v>12536.291209800529</v>
      </c>
      <c r="AZ112" s="877">
        <f t="shared" si="805"/>
        <v>13728.653214734275</v>
      </c>
      <c r="BA112" s="878">
        <f t="shared" si="441"/>
        <v>134493.99255615094</v>
      </c>
      <c r="BB112" s="885">
        <f t="shared" ref="BB112:BM112" si="806">SUM(BB113:BB117)</f>
        <v>4893.8922846196674</v>
      </c>
      <c r="BC112" s="885">
        <f t="shared" si="806"/>
        <v>9307.2157202186845</v>
      </c>
      <c r="BD112" s="885">
        <f t="shared" si="806"/>
        <v>11864.432261858805</v>
      </c>
      <c r="BE112" s="885">
        <f t="shared" si="806"/>
        <v>12401.257500759009</v>
      </c>
      <c r="BF112" s="885">
        <f t="shared" si="806"/>
        <v>13942.747975676728</v>
      </c>
      <c r="BG112" s="885">
        <f t="shared" si="806"/>
        <v>12735.526017571796</v>
      </c>
      <c r="BH112" s="885">
        <f t="shared" si="806"/>
        <v>14587.350170417096</v>
      </c>
      <c r="BI112" s="885">
        <f t="shared" si="806"/>
        <v>11103.512538133267</v>
      </c>
      <c r="BJ112" s="885">
        <f t="shared" si="806"/>
        <v>11000.612346052269</v>
      </c>
      <c r="BK112" s="885">
        <f t="shared" si="806"/>
        <v>10720.915346594851</v>
      </c>
      <c r="BL112" s="885">
        <f t="shared" si="806"/>
        <v>12199.553461497144</v>
      </c>
      <c r="BM112" s="877">
        <f t="shared" si="806"/>
        <v>15740.047645339484</v>
      </c>
      <c r="BN112" s="878">
        <f t="shared" si="460"/>
        <v>140497.0632687388</v>
      </c>
      <c r="BO112" s="885">
        <f t="shared" ref="BO112:BZ112" si="807">SUM(BO113:BO117)</f>
        <v>9650.2705873086998</v>
      </c>
      <c r="BP112" s="885">
        <f t="shared" si="807"/>
        <v>10093.605263259542</v>
      </c>
      <c r="BQ112" s="885">
        <f t="shared" si="807"/>
        <v>14603.403273556367</v>
      </c>
      <c r="BR112" s="885">
        <f t="shared" si="807"/>
        <v>9947.2656420158619</v>
      </c>
      <c r="BS112" s="885">
        <f t="shared" si="807"/>
        <v>9620.8167396845402</v>
      </c>
      <c r="BT112" s="885">
        <f t="shared" si="807"/>
        <v>9844.4979033685704</v>
      </c>
      <c r="BU112" s="885">
        <f t="shared" si="807"/>
        <v>18813.049871662592</v>
      </c>
      <c r="BV112" s="885">
        <f t="shared" si="807"/>
        <v>13240.743352873385</v>
      </c>
      <c r="BW112" s="885">
        <f t="shared" si="807"/>
        <v>16458.492386166221</v>
      </c>
      <c r="BX112" s="885">
        <f t="shared" si="807"/>
        <v>21956.750087261025</v>
      </c>
      <c r="BY112" s="885">
        <f t="shared" si="807"/>
        <v>21587.672390842788</v>
      </c>
      <c r="BZ112" s="877">
        <f t="shared" si="807"/>
        <v>33450.589833972655</v>
      </c>
      <c r="CA112" s="878">
        <f t="shared" si="462"/>
        <v>189267.15733197224</v>
      </c>
      <c r="CB112" s="885">
        <f>SUM(CB113:CB117)</f>
        <v>6858.193755014323</v>
      </c>
      <c r="CC112" s="885">
        <f>SUM(CC113:CC117)</f>
        <v>9124.7815005983393</v>
      </c>
      <c r="CD112" s="885">
        <f>SUM(CD113:CD117)</f>
        <v>16613.08744006354</v>
      </c>
      <c r="CE112" s="885">
        <f t="shared" ref="CE112:CM112" si="808">SUM(CE113:CE117)</f>
        <v>14476.289551120615</v>
      </c>
      <c r="CF112" s="885">
        <f t="shared" si="808"/>
        <v>15882.540992599184</v>
      </c>
      <c r="CG112" s="885">
        <f t="shared" si="808"/>
        <v>14379.097935013539</v>
      </c>
      <c r="CH112" s="885">
        <f t="shared" si="808"/>
        <v>13670.94901406104</v>
      </c>
      <c r="CI112" s="885">
        <f t="shared" si="808"/>
        <v>14722.639604596536</v>
      </c>
      <c r="CJ112" s="885">
        <f t="shared" si="808"/>
        <v>15110.559261898996</v>
      </c>
      <c r="CK112" s="885">
        <f t="shared" si="808"/>
        <v>12588.627038065066</v>
      </c>
      <c r="CL112" s="885">
        <f t="shared" si="808"/>
        <v>15412.918257542522</v>
      </c>
      <c r="CM112" s="877">
        <f t="shared" si="808"/>
        <v>25439.417610262666</v>
      </c>
      <c r="CN112" s="878">
        <f t="shared" si="464"/>
        <v>174279.10196083636</v>
      </c>
      <c r="CO112" s="885">
        <f t="shared" ref="CO112:CZ112" si="809">SUM(CO113:CO117)</f>
        <v>6777.44550869676</v>
      </c>
      <c r="CP112" s="885">
        <f t="shared" si="809"/>
        <v>11444.271296366569</v>
      </c>
      <c r="CQ112" s="885">
        <f t="shared" si="809"/>
        <v>16437.103527276573</v>
      </c>
      <c r="CR112" s="885">
        <f t="shared" si="809"/>
        <v>12123.252765820216</v>
      </c>
      <c r="CS112" s="885">
        <f t="shared" si="809"/>
        <v>15304.606036756206</v>
      </c>
      <c r="CT112" s="885">
        <f t="shared" si="809"/>
        <v>14668.53412438335</v>
      </c>
      <c r="CU112" s="885">
        <f t="shared" si="809"/>
        <v>15938.843272522252</v>
      </c>
      <c r="CV112" s="885">
        <f t="shared" si="809"/>
        <v>15107.131962992942</v>
      </c>
      <c r="CW112" s="885">
        <f t="shared" si="809"/>
        <v>14270.162913611139</v>
      </c>
      <c r="CX112" s="885">
        <f t="shared" si="809"/>
        <v>13701.75454940137</v>
      </c>
      <c r="CY112" s="885">
        <f t="shared" si="809"/>
        <v>14122.092822623996</v>
      </c>
      <c r="CZ112" s="877">
        <f t="shared" si="809"/>
        <v>20747.843676442346</v>
      </c>
      <c r="DA112" s="878">
        <f t="shared" si="466"/>
        <v>170643.04245689372</v>
      </c>
      <c r="DB112" s="885">
        <f t="shared" ref="DB112:DL112" si="810">SUM(DB113:DB117)</f>
        <v>5148.7804802553846</v>
      </c>
      <c r="DC112" s="885">
        <f t="shared" si="810"/>
        <v>11253.558840696576</v>
      </c>
      <c r="DD112" s="885">
        <f t="shared" si="810"/>
        <v>23.89354086555575</v>
      </c>
      <c r="DE112" s="885">
        <f t="shared" si="810"/>
        <v>29.644898176145141</v>
      </c>
      <c r="DF112" s="885">
        <f t="shared" si="810"/>
        <v>135665.11930695668</v>
      </c>
      <c r="DG112" s="885">
        <f t="shared" si="810"/>
        <v>149693.34331909823</v>
      </c>
      <c r="DH112" s="885">
        <f t="shared" si="810"/>
        <v>0</v>
      </c>
      <c r="DI112" s="885">
        <f t="shared" si="810"/>
        <v>0</v>
      </c>
      <c r="DJ112" s="885">
        <f t="shared" si="810"/>
        <v>0</v>
      </c>
      <c r="DK112" s="885">
        <f t="shared" si="810"/>
        <v>0</v>
      </c>
      <c r="DL112" s="885">
        <f t="shared" si="810"/>
        <v>0</v>
      </c>
      <c r="DM112" s="877">
        <f>SUM(DM113:DM117)</f>
        <v>0</v>
      </c>
      <c r="DN112" s="878">
        <f t="shared" si="468"/>
        <v>301814.34038604854</v>
      </c>
      <c r="DO112" s="885">
        <f>SUM(DO113:DO117)</f>
        <v>6164.9299106100816</v>
      </c>
      <c r="DP112" s="885">
        <f>SUM(DP113:DP117)</f>
        <v>13511.581050928227</v>
      </c>
      <c r="DQ112" s="885">
        <f>SUM(DQ113:DQ117)</f>
        <v>15817.244062016684</v>
      </c>
      <c r="DR112" s="885">
        <f t="shared" ref="DR112:DZ112" si="811">SUM(DR113:DR117)</f>
        <v>17299.198733363763</v>
      </c>
      <c r="DS112" s="885">
        <f t="shared" si="811"/>
        <v>19077.774571306159</v>
      </c>
      <c r="DT112" s="885">
        <f t="shared" si="811"/>
        <v>17287.212243937327</v>
      </c>
      <c r="DU112" s="885">
        <f t="shared" si="811"/>
        <v>17190.617466429547</v>
      </c>
      <c r="DV112" s="885">
        <f t="shared" si="811"/>
        <v>18009.321021364492</v>
      </c>
      <c r="DW112" s="885">
        <f t="shared" si="811"/>
        <v>16929.270154552814</v>
      </c>
      <c r="DX112" s="885">
        <f t="shared" si="811"/>
        <v>17642.107827220701</v>
      </c>
      <c r="DY112" s="885">
        <f t="shared" si="811"/>
        <v>18855.580979551531</v>
      </c>
      <c r="DZ112" s="885">
        <f t="shared" si="811"/>
        <v>26798.697125206731</v>
      </c>
      <c r="EA112" s="878">
        <f t="shared" si="471"/>
        <v>204583.53514648805</v>
      </c>
      <c r="EB112" s="885">
        <f>SUM(EB113:EB117)</f>
        <v>7856.0584460640321</v>
      </c>
      <c r="EC112" s="885">
        <f>SUM(EC113:EC117)</f>
        <v>16292.778312139684</v>
      </c>
      <c r="ED112" s="885">
        <f>SUM(ED113:ED117)</f>
        <v>17137.328356560422</v>
      </c>
      <c r="EE112" s="885">
        <f>SUM(EE113:EE117)</f>
        <v>18846.924115882292</v>
      </c>
      <c r="EF112" s="885">
        <f t="shared" ref="EF112:EM112" si="812">SUM(EF113:EF117)</f>
        <v>20239.234330125535</v>
      </c>
      <c r="EG112" s="885">
        <f t="shared" si="812"/>
        <v>18118.868605589221</v>
      </c>
      <c r="EH112" s="885">
        <f t="shared" si="812"/>
        <v>19864.758827506328</v>
      </c>
      <c r="EI112" s="885">
        <f t="shared" si="812"/>
        <v>18454.472331941652</v>
      </c>
      <c r="EJ112" s="885">
        <f t="shared" si="812"/>
        <v>17922.383234202433</v>
      </c>
      <c r="EK112" s="885">
        <f t="shared" si="812"/>
        <v>19179.177444037166</v>
      </c>
      <c r="EL112" s="885">
        <f t="shared" si="812"/>
        <v>15807.899568414745</v>
      </c>
      <c r="EM112" s="885">
        <f t="shared" si="812"/>
        <v>22888.900792362503</v>
      </c>
      <c r="EN112" s="878">
        <f t="shared" si="475"/>
        <v>212608.78436482605</v>
      </c>
      <c r="EO112" s="885">
        <f>SUM(EO113:EO117)</f>
        <v>9118.8185196543182</v>
      </c>
      <c r="EP112" s="885">
        <f t="shared" ref="EP112:ER112" si="813">SUM(EP113:EP117)</f>
        <v>18281.425900278649</v>
      </c>
      <c r="EQ112" s="885">
        <f t="shared" si="813"/>
        <v>19411.045877870907</v>
      </c>
      <c r="ER112" s="885">
        <f t="shared" si="813"/>
        <v>18132.109618094652</v>
      </c>
      <c r="ES112" s="885">
        <f t="shared" ref="ES112:ET112" si="814">SUM(ES113:ES117)</f>
        <v>20886.348009526602</v>
      </c>
      <c r="ET112" s="885">
        <f t="shared" si="814"/>
        <v>19920.76458503498</v>
      </c>
      <c r="EU112" s="885">
        <f>SUM(EU113:EU117)</f>
        <v>21697.286284171561</v>
      </c>
      <c r="EV112" s="972">
        <f>SUM(EV113:EV117)</f>
        <v>20384.678884622692</v>
      </c>
      <c r="EW112" s="885"/>
      <c r="EX112" s="885"/>
      <c r="EY112" s="885"/>
      <c r="EZ112" s="877"/>
      <c r="FA112" s="878">
        <f t="shared" si="479"/>
        <v>147832.47767925437</v>
      </c>
      <c r="FC112" s="851">
        <f t="shared" si="480"/>
        <v>10.459288772728392</v>
      </c>
      <c r="FD112" s="852">
        <f t="shared" si="454"/>
        <v>8.056443424048588</v>
      </c>
      <c r="FE112" s="853">
        <f t="shared" si="481"/>
        <v>136810.42332580918</v>
      </c>
      <c r="FF112" s="854">
        <f t="shared" si="455"/>
        <v>147832.47767925437</v>
      </c>
      <c r="FG112"/>
      <c r="FI112" s="236"/>
      <c r="FJ112"/>
      <c r="FK112"/>
      <c r="FL112"/>
      <c r="FM112"/>
      <c r="FN112"/>
      <c r="FO112"/>
      <c r="FP112"/>
    </row>
    <row r="113" spans="1:172" ht="15" customHeight="1" x14ac:dyDescent="0.25">
      <c r="A113" s="403" t="s">
        <v>274</v>
      </c>
      <c r="B113" s="883">
        <f t="shared" ref="B113:M113" si="815">B93/B39</f>
        <v>0</v>
      </c>
      <c r="C113" s="883">
        <f t="shared" si="815"/>
        <v>0</v>
      </c>
      <c r="D113" s="883">
        <f t="shared" si="815"/>
        <v>0</v>
      </c>
      <c r="E113" s="883">
        <f t="shared" si="815"/>
        <v>0</v>
      </c>
      <c r="F113" s="883">
        <f t="shared" si="815"/>
        <v>0</v>
      </c>
      <c r="G113" s="883">
        <f t="shared" si="815"/>
        <v>0</v>
      </c>
      <c r="H113" s="883">
        <f t="shared" si="815"/>
        <v>0</v>
      </c>
      <c r="I113" s="883">
        <f t="shared" si="815"/>
        <v>0</v>
      </c>
      <c r="J113" s="883">
        <f t="shared" si="815"/>
        <v>0</v>
      </c>
      <c r="K113" s="883">
        <f t="shared" si="815"/>
        <v>0</v>
      </c>
      <c r="L113" s="883">
        <f t="shared" si="815"/>
        <v>0</v>
      </c>
      <c r="M113" s="873">
        <f t="shared" si="815"/>
        <v>0</v>
      </c>
      <c r="N113" s="879">
        <f t="shared" si="435"/>
        <v>0</v>
      </c>
      <c r="O113" s="883">
        <f t="shared" ref="O113:Z113" si="816">O93/O39</f>
        <v>0</v>
      </c>
      <c r="P113" s="883">
        <f t="shared" si="816"/>
        <v>0</v>
      </c>
      <c r="Q113" s="883">
        <f t="shared" si="816"/>
        <v>0</v>
      </c>
      <c r="R113" s="883">
        <f t="shared" si="816"/>
        <v>0</v>
      </c>
      <c r="S113" s="883">
        <f t="shared" si="816"/>
        <v>0</v>
      </c>
      <c r="T113" s="883">
        <f t="shared" si="816"/>
        <v>0</v>
      </c>
      <c r="U113" s="883">
        <f t="shared" si="816"/>
        <v>0</v>
      </c>
      <c r="V113" s="883">
        <f t="shared" si="816"/>
        <v>0</v>
      </c>
      <c r="W113" s="883">
        <f t="shared" si="816"/>
        <v>0</v>
      </c>
      <c r="X113" s="883">
        <f t="shared" si="816"/>
        <v>0</v>
      </c>
      <c r="Y113" s="883">
        <f t="shared" si="816"/>
        <v>0</v>
      </c>
      <c r="Z113" s="873">
        <f t="shared" si="816"/>
        <v>0</v>
      </c>
      <c r="AA113" s="879">
        <f t="shared" si="437"/>
        <v>0</v>
      </c>
      <c r="AB113" s="883">
        <f t="shared" ref="AB113:AM113" si="817">AB93/AB39</f>
        <v>2272.5583247333011</v>
      </c>
      <c r="AC113" s="883">
        <f t="shared" si="817"/>
        <v>1530.0646116801897</v>
      </c>
      <c r="AD113" s="883">
        <f t="shared" si="817"/>
        <v>1948.6399268835978</v>
      </c>
      <c r="AE113" s="883">
        <f t="shared" si="817"/>
        <v>1923.518558784169</v>
      </c>
      <c r="AF113" s="883">
        <f t="shared" si="817"/>
        <v>1885.4166778921808</v>
      </c>
      <c r="AG113" s="883">
        <f t="shared" si="817"/>
        <v>1919.538463044451</v>
      </c>
      <c r="AH113" s="883">
        <f t="shared" si="817"/>
        <v>2275.1728026675019</v>
      </c>
      <c r="AI113" s="883">
        <f t="shared" si="817"/>
        <v>1825.5196388484778</v>
      </c>
      <c r="AJ113" s="883">
        <f t="shared" si="817"/>
        <v>1640.1408380837477</v>
      </c>
      <c r="AK113" s="883">
        <f t="shared" si="817"/>
        <v>1970.6899612960315</v>
      </c>
      <c r="AL113" s="883">
        <f t="shared" si="817"/>
        <v>1890.8885444139862</v>
      </c>
      <c r="AM113" s="873">
        <f t="shared" si="817"/>
        <v>2159.6229076868767</v>
      </c>
      <c r="AN113" s="879">
        <f t="shared" si="439"/>
        <v>23241.771256014512</v>
      </c>
      <c r="AO113" s="883">
        <f t="shared" ref="AO113:AZ113" si="818">AO93/AO39</f>
        <v>2390.0664961719435</v>
      </c>
      <c r="AP113" s="883">
        <f t="shared" si="818"/>
        <v>1643.0226071091565</v>
      </c>
      <c r="AQ113" s="883">
        <f t="shared" si="818"/>
        <v>2268.8636770608864</v>
      </c>
      <c r="AR113" s="883">
        <f t="shared" si="818"/>
        <v>1964.3345702983015</v>
      </c>
      <c r="AS113" s="883">
        <f t="shared" si="818"/>
        <v>2001.1457792683175</v>
      </c>
      <c r="AT113" s="883">
        <f t="shared" si="818"/>
        <v>1859.7862635468748</v>
      </c>
      <c r="AU113" s="883">
        <f t="shared" si="818"/>
        <v>2470.0909696345925</v>
      </c>
      <c r="AV113" s="883">
        <f t="shared" si="818"/>
        <v>1786.48661587216</v>
      </c>
      <c r="AW113" s="883">
        <f t="shared" si="818"/>
        <v>1634.3891441182109</v>
      </c>
      <c r="AX113" s="883">
        <f t="shared" si="818"/>
        <v>2103.6199313787452</v>
      </c>
      <c r="AY113" s="883">
        <f t="shared" si="818"/>
        <v>1843.8500778437372</v>
      </c>
      <c r="AZ113" s="873">
        <f t="shared" si="818"/>
        <v>2522.0084982682224</v>
      </c>
      <c r="BA113" s="879">
        <f t="shared" si="441"/>
        <v>24487.664630571147</v>
      </c>
      <c r="BB113" s="883">
        <f t="shared" ref="BB113:BM113" si="819">BB93/BB39</f>
        <v>2990.4549471744049</v>
      </c>
      <c r="BC113" s="883">
        <f t="shared" si="819"/>
        <v>834.29709986203932</v>
      </c>
      <c r="BD113" s="883">
        <f t="shared" si="819"/>
        <v>1472.6789704434564</v>
      </c>
      <c r="BE113" s="883">
        <f t="shared" si="819"/>
        <v>1761.3157171038688</v>
      </c>
      <c r="BF113" s="883">
        <f t="shared" si="819"/>
        <v>1792.8064955340685</v>
      </c>
      <c r="BG113" s="883">
        <f t="shared" si="819"/>
        <v>1572.7330409042031</v>
      </c>
      <c r="BH113" s="883">
        <f t="shared" si="819"/>
        <v>2067.7450938403731</v>
      </c>
      <c r="BI113" s="883">
        <f t="shared" si="819"/>
        <v>1449.7521274103565</v>
      </c>
      <c r="BJ113" s="883">
        <f t="shared" si="819"/>
        <v>1539.9903473508475</v>
      </c>
      <c r="BK113" s="883">
        <f t="shared" si="819"/>
        <v>1712.615534454849</v>
      </c>
      <c r="BL113" s="883">
        <f t="shared" si="819"/>
        <v>1583.0877395878183</v>
      </c>
      <c r="BM113" s="873">
        <f t="shared" si="819"/>
        <v>2116.9751705727999</v>
      </c>
      <c r="BN113" s="879">
        <f t="shared" si="460"/>
        <v>20894.452284239087</v>
      </c>
      <c r="BO113" s="883">
        <f t="shared" ref="BO113:BZ113" si="820">BO93/BO38</f>
        <v>2148.4378492992037</v>
      </c>
      <c r="BP113" s="883">
        <f t="shared" si="820"/>
        <v>1578.1551714232542</v>
      </c>
      <c r="BQ113" s="883">
        <f t="shared" si="820"/>
        <v>1823.3409873041358</v>
      </c>
      <c r="BR113" s="883">
        <f t="shared" si="820"/>
        <v>1443.6364758265854</v>
      </c>
      <c r="BS113" s="883">
        <f t="shared" si="820"/>
        <v>1849.368131994175</v>
      </c>
      <c r="BT113" s="883">
        <f t="shared" si="820"/>
        <v>1435.0473755081798</v>
      </c>
      <c r="BU113" s="883">
        <f t="shared" si="820"/>
        <v>2090.4532450845818</v>
      </c>
      <c r="BV113" s="883">
        <f t="shared" si="820"/>
        <v>1445.7792984403179</v>
      </c>
      <c r="BW113" s="883">
        <f t="shared" si="820"/>
        <v>1369.3163976170488</v>
      </c>
      <c r="BX113" s="883">
        <f t="shared" si="820"/>
        <v>1522.6757973522579</v>
      </c>
      <c r="BY113" s="883">
        <f t="shared" si="820"/>
        <v>1679.1850855617074</v>
      </c>
      <c r="BZ113" s="873">
        <f t="shared" si="820"/>
        <v>2196.3790563424291</v>
      </c>
      <c r="CA113" s="879">
        <f t="shared" si="462"/>
        <v>20581.774871753878</v>
      </c>
      <c r="CB113" s="883">
        <f t="shared" ref="CB113:CM113" si="821">CB93/CB38</f>
        <v>1830.4624655527571</v>
      </c>
      <c r="CC113" s="883">
        <f t="shared" si="821"/>
        <v>1023.720955151687</v>
      </c>
      <c r="CD113" s="883">
        <f t="shared" si="821"/>
        <v>1867.0991390665195</v>
      </c>
      <c r="CE113" s="883">
        <f t="shared" si="821"/>
        <v>1677.3821291623397</v>
      </c>
      <c r="CF113" s="883">
        <f t="shared" si="821"/>
        <v>1614.0745960571842</v>
      </c>
      <c r="CG113" s="883">
        <f t="shared" si="821"/>
        <v>1521.9825553524604</v>
      </c>
      <c r="CH113" s="883">
        <f t="shared" si="821"/>
        <v>1885.1002348268528</v>
      </c>
      <c r="CI113" s="883">
        <f t="shared" si="821"/>
        <v>1288.8451515419447</v>
      </c>
      <c r="CJ113" s="883">
        <f t="shared" si="821"/>
        <v>1325.8949261599673</v>
      </c>
      <c r="CK113" s="883">
        <f t="shared" si="821"/>
        <v>1383.4194961864212</v>
      </c>
      <c r="CL113" s="883">
        <f t="shared" si="821"/>
        <v>1606.6997061371349</v>
      </c>
      <c r="CM113" s="873">
        <f t="shared" si="821"/>
        <v>2044.6648824918009</v>
      </c>
      <c r="CN113" s="879">
        <f t="shared" si="464"/>
        <v>19069.346237687067</v>
      </c>
      <c r="CO113" s="883">
        <f t="shared" ref="CO113:CZ113" si="822">CO93/CO38</f>
        <v>1689.2828745945556</v>
      </c>
      <c r="CP113" s="883">
        <f t="shared" si="822"/>
        <v>1249.2013366836284</v>
      </c>
      <c r="CQ113" s="883">
        <f t="shared" si="822"/>
        <v>1316.8070368766114</v>
      </c>
      <c r="CR113" s="883">
        <f t="shared" si="822"/>
        <v>1350.823210066512</v>
      </c>
      <c r="CS113" s="883">
        <f t="shared" si="822"/>
        <v>1403.1973342140391</v>
      </c>
      <c r="CT113" s="883">
        <f t="shared" si="822"/>
        <v>1291.3985095114735</v>
      </c>
      <c r="CU113" s="883">
        <f t="shared" si="822"/>
        <v>1712.083512151321</v>
      </c>
      <c r="CV113" s="883">
        <f t="shared" si="822"/>
        <v>1395.2983134958367</v>
      </c>
      <c r="CW113" s="883">
        <f t="shared" si="822"/>
        <v>1264.2833889068522</v>
      </c>
      <c r="CX113" s="883">
        <f t="shared" si="822"/>
        <v>1494.0887857444441</v>
      </c>
      <c r="CY113" s="883">
        <f t="shared" si="822"/>
        <v>1715.805750244092</v>
      </c>
      <c r="CZ113" s="873">
        <f t="shared" si="822"/>
        <v>2355.8881483576183</v>
      </c>
      <c r="DA113" s="879">
        <f t="shared" si="466"/>
        <v>18238.158200846981</v>
      </c>
      <c r="DB113" s="883">
        <f t="shared" ref="DB113:DM113" si="823">DB93/DB38</f>
        <v>1548.7945325042676</v>
      </c>
      <c r="DC113" s="883">
        <f t="shared" si="823"/>
        <v>1297.3658990526419</v>
      </c>
      <c r="DD113" s="883">
        <f t="shared" si="823"/>
        <v>0.44531871118528793</v>
      </c>
      <c r="DE113" s="883">
        <f t="shared" si="823"/>
        <v>5.0154038847268518</v>
      </c>
      <c r="DF113" s="883">
        <f t="shared" si="823"/>
        <v>37567.076173692338</v>
      </c>
      <c r="DG113" s="883">
        <f t="shared" si="823"/>
        <v>40906.646505584969</v>
      </c>
      <c r="DH113" s="883">
        <f t="shared" si="823"/>
        <v>0</v>
      </c>
      <c r="DI113" s="883">
        <f t="shared" si="823"/>
        <v>0</v>
      </c>
      <c r="DJ113" s="883">
        <f t="shared" si="823"/>
        <v>0</v>
      </c>
      <c r="DK113" s="883">
        <f t="shared" si="823"/>
        <v>0</v>
      </c>
      <c r="DL113" s="883">
        <f t="shared" si="823"/>
        <v>0</v>
      </c>
      <c r="DM113" s="873">
        <f t="shared" si="823"/>
        <v>0</v>
      </c>
      <c r="DN113" s="879">
        <f t="shared" si="468"/>
        <v>81325.343833430132</v>
      </c>
      <c r="DO113" s="883">
        <f t="shared" ref="DO113:DQ113" si="824">DO93/DO38</f>
        <v>3567.1583865497601</v>
      </c>
      <c r="DP113" s="883">
        <f t="shared" si="824"/>
        <v>3328.1010469371463</v>
      </c>
      <c r="DQ113" s="883">
        <f t="shared" si="824"/>
        <v>3413.1364223228325</v>
      </c>
      <c r="DR113" s="883">
        <f t="shared" ref="DR113:DZ113" si="825">DR93/DR38</f>
        <v>4166.5919551843726</v>
      </c>
      <c r="DS113" s="883">
        <f t="shared" si="825"/>
        <v>4369.6818176138768</v>
      </c>
      <c r="DT113" s="883">
        <f t="shared" si="825"/>
        <v>3835.573866315613</v>
      </c>
      <c r="DU113" s="883">
        <f t="shared" si="825"/>
        <v>4669.5504248306925</v>
      </c>
      <c r="DV113" s="883">
        <f t="shared" si="825"/>
        <v>3721.4158054094505</v>
      </c>
      <c r="DW113" s="883">
        <f t="shared" si="825"/>
        <v>3849.4944070616925</v>
      </c>
      <c r="DX113" s="883">
        <f t="shared" si="825"/>
        <v>4528.6158898709973</v>
      </c>
      <c r="DY113" s="883">
        <f t="shared" si="825"/>
        <v>4497.1392706332772</v>
      </c>
      <c r="DZ113" s="883">
        <f t="shared" si="825"/>
        <v>5425.7213715069356</v>
      </c>
      <c r="EA113" s="879">
        <f t="shared" si="471"/>
        <v>49372.18066423665</v>
      </c>
      <c r="EB113" s="883">
        <f t="shared" ref="EB113:ED113" si="826">EB93/EB38</f>
        <v>4074.0750193295394</v>
      </c>
      <c r="EC113" s="883">
        <f t="shared" si="826"/>
        <v>4023.9330188050308</v>
      </c>
      <c r="ED113" s="883">
        <f t="shared" si="826"/>
        <v>4725.7013266769045</v>
      </c>
      <c r="EE113" s="883">
        <f t="shared" ref="EE113:EH113" si="827">EE93/EE38</f>
        <v>4601.3601907158609</v>
      </c>
      <c r="EF113" s="883">
        <f t="shared" si="827"/>
        <v>4656.0281009234159</v>
      </c>
      <c r="EG113" s="883">
        <f t="shared" si="827"/>
        <v>4439.8735913396094</v>
      </c>
      <c r="EH113" s="883">
        <f t="shared" si="827"/>
        <v>5393.0909773637704</v>
      </c>
      <c r="EI113" s="883">
        <f t="shared" ref="EI113:EM113" si="828">EI93/EI38</f>
        <v>4368.6271157371448</v>
      </c>
      <c r="EJ113" s="883">
        <f t="shared" si="828"/>
        <v>4599.3727817801573</v>
      </c>
      <c r="EK113" s="883">
        <f t="shared" si="828"/>
        <v>5240.2269055920278</v>
      </c>
      <c r="EL113" s="883">
        <f t="shared" si="828"/>
        <v>4704.8431222797435</v>
      </c>
      <c r="EM113" s="883">
        <f t="shared" si="828"/>
        <v>6510.9092465804115</v>
      </c>
      <c r="EN113" s="879">
        <f t="shared" si="475"/>
        <v>57338.041397123612</v>
      </c>
      <c r="EO113" s="883">
        <f t="shared" ref="EO113:ER113" si="829">EO93/EO38</f>
        <v>4992.9417048037903</v>
      </c>
      <c r="EP113" s="883">
        <f t="shared" si="829"/>
        <v>5714.4667700554519</v>
      </c>
      <c r="EQ113" s="883">
        <f t="shared" si="829"/>
        <v>4530.3693494590752</v>
      </c>
      <c r="ER113" s="883">
        <f t="shared" si="829"/>
        <v>4747.2959974286696</v>
      </c>
      <c r="ES113" s="883">
        <f t="shared" ref="ES113:EU113" si="830">ES93/ES38</f>
        <v>4590.6850788901511</v>
      </c>
      <c r="ET113" s="883">
        <f t="shared" si="830"/>
        <v>4127.331940205152</v>
      </c>
      <c r="EU113" s="883">
        <f t="shared" si="830"/>
        <v>5237.8264302295747</v>
      </c>
      <c r="EV113" s="973">
        <f t="shared" ref="EV113" si="831">EV93/EV38</f>
        <v>4215.0144903989185</v>
      </c>
      <c r="EW113" s="883"/>
      <c r="EX113" s="883"/>
      <c r="EY113" s="883"/>
      <c r="EZ113" s="873"/>
      <c r="FA113" s="879">
        <f t="shared" si="479"/>
        <v>38155.931761470783</v>
      </c>
      <c r="FC113" s="843">
        <f t="shared" si="480"/>
        <v>-3.5162677259605424</v>
      </c>
      <c r="FD113" s="844">
        <f t="shared" si="454"/>
        <v>5.1629095158288951</v>
      </c>
      <c r="FE113" s="845">
        <f t="shared" si="481"/>
        <v>36282.689340891273</v>
      </c>
      <c r="FF113" s="846">
        <f t="shared" si="455"/>
        <v>38155.931761470783</v>
      </c>
      <c r="FI113" s="127"/>
    </row>
    <row r="114" spans="1:172" ht="15" customHeight="1" x14ac:dyDescent="0.25">
      <c r="A114" s="403" t="s">
        <v>333</v>
      </c>
      <c r="B114" s="883">
        <f t="shared" ref="B114:M114" si="832">B94/B39</f>
        <v>0</v>
      </c>
      <c r="C114" s="883">
        <f t="shared" si="832"/>
        <v>0</v>
      </c>
      <c r="D114" s="883">
        <f t="shared" si="832"/>
        <v>0</v>
      </c>
      <c r="E114" s="883">
        <f t="shared" si="832"/>
        <v>0</v>
      </c>
      <c r="F114" s="883">
        <f t="shared" si="832"/>
        <v>0</v>
      </c>
      <c r="G114" s="883">
        <f t="shared" si="832"/>
        <v>0</v>
      </c>
      <c r="H114" s="883">
        <f t="shared" si="832"/>
        <v>0</v>
      </c>
      <c r="I114" s="883">
        <f t="shared" si="832"/>
        <v>0</v>
      </c>
      <c r="J114" s="883">
        <f t="shared" si="832"/>
        <v>0</v>
      </c>
      <c r="K114" s="883">
        <f t="shared" si="832"/>
        <v>0</v>
      </c>
      <c r="L114" s="883">
        <f t="shared" si="832"/>
        <v>0</v>
      </c>
      <c r="M114" s="873">
        <f t="shared" si="832"/>
        <v>0</v>
      </c>
      <c r="N114" s="879">
        <f t="shared" si="435"/>
        <v>0</v>
      </c>
      <c r="O114" s="883">
        <f t="shared" ref="O114:Z114" si="833">O94/O39</f>
        <v>0</v>
      </c>
      <c r="P114" s="883">
        <f t="shared" si="833"/>
        <v>0</v>
      </c>
      <c r="Q114" s="883">
        <f t="shared" si="833"/>
        <v>0</v>
      </c>
      <c r="R114" s="883">
        <f t="shared" si="833"/>
        <v>0</v>
      </c>
      <c r="S114" s="883">
        <f t="shared" si="833"/>
        <v>0</v>
      </c>
      <c r="T114" s="883">
        <f t="shared" si="833"/>
        <v>0</v>
      </c>
      <c r="U114" s="883">
        <f t="shared" si="833"/>
        <v>0</v>
      </c>
      <c r="V114" s="883">
        <f t="shared" si="833"/>
        <v>0</v>
      </c>
      <c r="W114" s="883">
        <f t="shared" si="833"/>
        <v>0</v>
      </c>
      <c r="X114" s="883">
        <f t="shared" si="833"/>
        <v>0</v>
      </c>
      <c r="Y114" s="883">
        <f t="shared" si="833"/>
        <v>0</v>
      </c>
      <c r="Z114" s="873">
        <f t="shared" si="833"/>
        <v>0</v>
      </c>
      <c r="AA114" s="879">
        <f t="shared" si="437"/>
        <v>0</v>
      </c>
      <c r="AB114" s="883">
        <f t="shared" ref="AB114:AM114" si="834">AB94/AB39</f>
        <v>62.681211009321331</v>
      </c>
      <c r="AC114" s="883">
        <f t="shared" si="834"/>
        <v>248.47203095661203</v>
      </c>
      <c r="AD114" s="883">
        <f t="shared" si="834"/>
        <v>914.4335321224097</v>
      </c>
      <c r="AE114" s="883">
        <f t="shared" si="834"/>
        <v>278.2810027100835</v>
      </c>
      <c r="AF114" s="883">
        <f t="shared" si="834"/>
        <v>800.81466709399785</v>
      </c>
      <c r="AG114" s="883">
        <f t="shared" si="834"/>
        <v>851.27986850162733</v>
      </c>
      <c r="AH114" s="883">
        <f t="shared" si="834"/>
        <v>817.09886187170434</v>
      </c>
      <c r="AI114" s="883">
        <f t="shared" si="834"/>
        <v>702.67448785212423</v>
      </c>
      <c r="AJ114" s="883">
        <f t="shared" si="834"/>
        <v>558.6662496140093</v>
      </c>
      <c r="AK114" s="883">
        <f t="shared" si="834"/>
        <v>652.8135667035483</v>
      </c>
      <c r="AL114" s="883">
        <f t="shared" si="834"/>
        <v>999.95442306734276</v>
      </c>
      <c r="AM114" s="873">
        <f t="shared" si="834"/>
        <v>1564.9336891148898</v>
      </c>
      <c r="AN114" s="879">
        <f t="shared" si="439"/>
        <v>8452.1035906176712</v>
      </c>
      <c r="AO114" s="883">
        <f t="shared" ref="AO114:AZ114" si="835">AO94/AO39</f>
        <v>48.23326965166271</v>
      </c>
      <c r="AP114" s="883">
        <f t="shared" si="835"/>
        <v>477.53935040541484</v>
      </c>
      <c r="AQ114" s="883">
        <f t="shared" si="835"/>
        <v>368.7350101932023</v>
      </c>
      <c r="AR114" s="883">
        <f t="shared" si="835"/>
        <v>580.3553138476949</v>
      </c>
      <c r="AS114" s="883">
        <f t="shared" si="835"/>
        <v>838.52086281818663</v>
      </c>
      <c r="AT114" s="883">
        <f t="shared" si="835"/>
        <v>514.86414197885108</v>
      </c>
      <c r="AU114" s="883">
        <f t="shared" si="835"/>
        <v>1125.2873442338782</v>
      </c>
      <c r="AV114" s="883">
        <f t="shared" si="835"/>
        <v>518.63451795176684</v>
      </c>
      <c r="AW114" s="883">
        <f t="shared" si="835"/>
        <v>600.50346369681233</v>
      </c>
      <c r="AX114" s="883">
        <f t="shared" si="835"/>
        <v>813.00346490217896</v>
      </c>
      <c r="AY114" s="883">
        <f t="shared" si="835"/>
        <v>880.58152433625776</v>
      </c>
      <c r="AZ114" s="873">
        <f t="shared" si="835"/>
        <v>1312.8553329446609</v>
      </c>
      <c r="BA114" s="879">
        <f t="shared" si="441"/>
        <v>8079.1135969605675</v>
      </c>
      <c r="BB114" s="883">
        <f t="shared" ref="BB114:BM114" si="836">BB94/BB39</f>
        <v>150.15721446208116</v>
      </c>
      <c r="BC114" s="883">
        <f t="shared" si="836"/>
        <v>158.41084174595682</v>
      </c>
      <c r="BD114" s="883">
        <f t="shared" si="836"/>
        <v>190.11327952568587</v>
      </c>
      <c r="BE114" s="883">
        <f t="shared" si="836"/>
        <v>528.04593974163504</v>
      </c>
      <c r="BF114" s="883">
        <f t="shared" si="836"/>
        <v>541.18517755632138</v>
      </c>
      <c r="BG114" s="883">
        <f t="shared" si="836"/>
        <v>784.27512013175033</v>
      </c>
      <c r="BH114" s="883">
        <f t="shared" si="836"/>
        <v>587.2062110367682</v>
      </c>
      <c r="BI114" s="883">
        <f t="shared" si="836"/>
        <v>472.8208377165671</v>
      </c>
      <c r="BJ114" s="883">
        <f t="shared" si="836"/>
        <v>582.62388762077205</v>
      </c>
      <c r="BK114" s="883">
        <f t="shared" si="836"/>
        <v>538.92524522991198</v>
      </c>
      <c r="BL114" s="883">
        <f t="shared" si="836"/>
        <v>1342.3640561360335</v>
      </c>
      <c r="BM114" s="873">
        <f t="shared" si="836"/>
        <v>2080.9769008312087</v>
      </c>
      <c r="BN114" s="879">
        <f t="shared" si="460"/>
        <v>7957.1047117346925</v>
      </c>
      <c r="BO114" s="883">
        <f t="shared" ref="BO114:BZ114" si="837">BO94/BO38</f>
        <v>92.026484366117259</v>
      </c>
      <c r="BP114" s="883">
        <f t="shared" si="837"/>
        <v>299.87712101475142</v>
      </c>
      <c r="BQ114" s="883">
        <f t="shared" si="837"/>
        <v>153.08924705151441</v>
      </c>
      <c r="BR114" s="883">
        <f t="shared" si="837"/>
        <v>292.15636042856312</v>
      </c>
      <c r="BS114" s="883">
        <f t="shared" si="837"/>
        <v>288.83543734327975</v>
      </c>
      <c r="BT114" s="883">
        <f t="shared" si="837"/>
        <v>636.19747350362638</v>
      </c>
      <c r="BU114" s="883">
        <f t="shared" si="837"/>
        <v>655.14531439088694</v>
      </c>
      <c r="BV114" s="883">
        <f t="shared" si="837"/>
        <v>880.18824838821627</v>
      </c>
      <c r="BW114" s="883">
        <f t="shared" si="837"/>
        <v>821.58983857022929</v>
      </c>
      <c r="BX114" s="883">
        <f t="shared" si="837"/>
        <v>1412.7427016689783</v>
      </c>
      <c r="BY114" s="883">
        <f t="shared" si="837"/>
        <v>725.47316803394153</v>
      </c>
      <c r="BZ114" s="873">
        <f t="shared" si="837"/>
        <v>1564.9625115515607</v>
      </c>
      <c r="CA114" s="879">
        <f t="shared" si="462"/>
        <v>7822.2839063116662</v>
      </c>
      <c r="CB114" s="883">
        <f t="shared" ref="CB114:CM114" si="838">CB94/CB38</f>
        <v>44.481046659234892</v>
      </c>
      <c r="CC114" s="883">
        <f t="shared" si="838"/>
        <v>491.95291780196425</v>
      </c>
      <c r="CD114" s="883">
        <f t="shared" si="838"/>
        <v>172.65647952658136</v>
      </c>
      <c r="CE114" s="883">
        <f t="shared" si="838"/>
        <v>679.25937658570774</v>
      </c>
      <c r="CF114" s="883">
        <f t="shared" si="838"/>
        <v>972.7204519285018</v>
      </c>
      <c r="CG114" s="883">
        <f t="shared" si="838"/>
        <v>838.08733724866931</v>
      </c>
      <c r="CH114" s="883">
        <f t="shared" si="838"/>
        <v>899.45271239382475</v>
      </c>
      <c r="CI114" s="883">
        <f t="shared" si="838"/>
        <v>639.86144530545482</v>
      </c>
      <c r="CJ114" s="883">
        <f t="shared" si="838"/>
        <v>714.54249324626721</v>
      </c>
      <c r="CK114" s="883">
        <f t="shared" si="838"/>
        <v>797.53101552538078</v>
      </c>
      <c r="CL114" s="883">
        <f t="shared" si="838"/>
        <v>850.60572677848313</v>
      </c>
      <c r="CM114" s="873">
        <f t="shared" si="838"/>
        <v>847.85011820018826</v>
      </c>
      <c r="CN114" s="879">
        <f t="shared" si="464"/>
        <v>7949.0011212002601</v>
      </c>
      <c r="CO114" s="883">
        <f t="shared" ref="CO114:CZ114" si="839">CO94/CO38</f>
        <v>39.537764524296882</v>
      </c>
      <c r="CP114" s="883">
        <f t="shared" si="839"/>
        <v>493.32327596259319</v>
      </c>
      <c r="CQ114" s="883">
        <f t="shared" si="839"/>
        <v>591.99935768239664</v>
      </c>
      <c r="CR114" s="883">
        <f t="shared" si="839"/>
        <v>575.2012474651616</v>
      </c>
      <c r="CS114" s="883">
        <f t="shared" si="839"/>
        <v>815.9561591024368</v>
      </c>
      <c r="CT114" s="883">
        <f t="shared" si="839"/>
        <v>767.26420432658983</v>
      </c>
      <c r="CU114" s="883">
        <f t="shared" si="839"/>
        <v>748.62046819766135</v>
      </c>
      <c r="CV114" s="883">
        <f t="shared" si="839"/>
        <v>982.90079386716639</v>
      </c>
      <c r="CW114" s="883">
        <f t="shared" si="839"/>
        <v>865.38224396793521</v>
      </c>
      <c r="CX114" s="883">
        <f t="shared" si="839"/>
        <v>693.70536362446467</v>
      </c>
      <c r="CY114" s="883">
        <f t="shared" si="839"/>
        <v>761.26281386088942</v>
      </c>
      <c r="CZ114" s="873">
        <f t="shared" si="839"/>
        <v>856.47269513325648</v>
      </c>
      <c r="DA114" s="879">
        <f t="shared" si="466"/>
        <v>8191.6263877148494</v>
      </c>
      <c r="DB114" s="883">
        <f t="shared" ref="DB114:DM114" si="840">DB94/DB38</f>
        <v>25.823023656759293</v>
      </c>
      <c r="DC114" s="883">
        <f t="shared" si="840"/>
        <v>241.09821849782969</v>
      </c>
      <c r="DD114" s="883">
        <f t="shared" si="840"/>
        <v>43.524485122947752</v>
      </c>
      <c r="DE114" s="883">
        <f t="shared" si="840"/>
        <v>3.4009946333161079</v>
      </c>
      <c r="DF114" s="883">
        <f t="shared" si="840"/>
        <v>7697.0912644658783</v>
      </c>
      <c r="DG114" s="883">
        <f t="shared" si="840"/>
        <v>8164.804608725477</v>
      </c>
      <c r="DH114" s="883">
        <f t="shared" si="840"/>
        <v>0</v>
      </c>
      <c r="DI114" s="883">
        <f t="shared" si="840"/>
        <v>0</v>
      </c>
      <c r="DJ114" s="883">
        <f t="shared" si="840"/>
        <v>0</v>
      </c>
      <c r="DK114" s="883">
        <f t="shared" si="840"/>
        <v>0</v>
      </c>
      <c r="DL114" s="883">
        <f t="shared" si="840"/>
        <v>0</v>
      </c>
      <c r="DM114" s="873">
        <f t="shared" si="840"/>
        <v>0</v>
      </c>
      <c r="DN114" s="879">
        <f t="shared" si="468"/>
        <v>16175.742595102209</v>
      </c>
      <c r="DO114" s="883">
        <f t="shared" ref="DO114:DQ114" si="841">DO94/DO38</f>
        <v>39.869245897889705</v>
      </c>
      <c r="DP114" s="883">
        <f t="shared" si="841"/>
        <v>252.60943957351381</v>
      </c>
      <c r="DQ114" s="883">
        <f t="shared" si="841"/>
        <v>279.80204940678385</v>
      </c>
      <c r="DR114" s="883">
        <f t="shared" ref="DR114:DZ114" si="842">DR94/DR38</f>
        <v>880.2184970626472</v>
      </c>
      <c r="DS114" s="883">
        <f t="shared" si="842"/>
        <v>907.96395516340772</v>
      </c>
      <c r="DT114" s="883">
        <f t="shared" si="842"/>
        <v>1404.9002098436338</v>
      </c>
      <c r="DU114" s="883">
        <f t="shared" si="842"/>
        <v>1349.5034297497762</v>
      </c>
      <c r="DV114" s="883">
        <f t="shared" si="842"/>
        <v>1264.8350271159256</v>
      </c>
      <c r="DW114" s="883">
        <f t="shared" si="842"/>
        <v>1468.6578981467389</v>
      </c>
      <c r="DX114" s="883">
        <f t="shared" si="842"/>
        <v>773.61522370849423</v>
      </c>
      <c r="DY114" s="883">
        <f t="shared" si="842"/>
        <v>1247.1857447471966</v>
      </c>
      <c r="DZ114" s="883">
        <f t="shared" si="842"/>
        <v>1201.1224205868937</v>
      </c>
      <c r="EA114" s="879">
        <f t="shared" si="471"/>
        <v>11070.283141002899</v>
      </c>
      <c r="EB114" s="883">
        <f t="shared" ref="EB114:ED114" si="843">EB94/EB38</f>
        <v>44.733187146083331</v>
      </c>
      <c r="EC114" s="883">
        <f t="shared" si="843"/>
        <v>570.94084302878593</v>
      </c>
      <c r="ED114" s="883">
        <f t="shared" si="843"/>
        <v>574.10406229662021</v>
      </c>
      <c r="EE114" s="883">
        <f t="shared" ref="EE114:EH114" si="844">EE94/EE38</f>
        <v>1449.7209427933037</v>
      </c>
      <c r="EF114" s="883">
        <f t="shared" si="844"/>
        <v>1327.4539319995126</v>
      </c>
      <c r="EG114" s="883">
        <f t="shared" si="844"/>
        <v>1248.524880237595</v>
      </c>
      <c r="EH114" s="883">
        <f t="shared" si="844"/>
        <v>988.71500574604113</v>
      </c>
      <c r="EI114" s="883">
        <f t="shared" ref="EI114:EM114" si="845">EI94/EI38</f>
        <v>1215.6227783211987</v>
      </c>
      <c r="EJ114" s="883">
        <f t="shared" si="845"/>
        <v>1206.1215092336161</v>
      </c>
      <c r="EK114" s="883">
        <f>EK94/EK38</f>
        <v>1060.9692122304264</v>
      </c>
      <c r="EL114" s="883">
        <f t="shared" si="845"/>
        <v>1014.5645522833545</v>
      </c>
      <c r="EM114" s="883">
        <f t="shared" si="845"/>
        <v>1060.5682263871897</v>
      </c>
      <c r="EN114" s="879">
        <f t="shared" si="475"/>
        <v>11762.039131703728</v>
      </c>
      <c r="EO114" s="883">
        <f t="shared" ref="EO114:ER114" si="846">EO94/EO38</f>
        <v>42.886185769705499</v>
      </c>
      <c r="EP114" s="883">
        <f t="shared" si="846"/>
        <v>412.27161121756961</v>
      </c>
      <c r="EQ114" s="883">
        <f t="shared" si="846"/>
        <v>692.30273317611022</v>
      </c>
      <c r="ER114" s="883">
        <f t="shared" si="846"/>
        <v>1034.1432769630576</v>
      </c>
      <c r="ES114" s="883">
        <f t="shared" ref="ES114:EU114" si="847">ES94/ES38</f>
        <v>770.60585371506352</v>
      </c>
      <c r="ET114" s="883">
        <f t="shared" si="847"/>
        <v>846.25151291976135</v>
      </c>
      <c r="EU114" s="883">
        <f t="shared" si="847"/>
        <v>1714.043937297293</v>
      </c>
      <c r="EV114" s="973">
        <f t="shared" ref="EV114" si="848">EV94/EV38</f>
        <v>2040.4093710103564</v>
      </c>
      <c r="EW114" s="883"/>
      <c r="EX114" s="883"/>
      <c r="EY114" s="883"/>
      <c r="EZ114" s="873"/>
      <c r="FA114" s="879">
        <f t="shared" si="479"/>
        <v>7552.9144820689171</v>
      </c>
      <c r="FC114" s="843">
        <f t="shared" si="480"/>
        <v>67.848892551043335</v>
      </c>
      <c r="FD114" s="844">
        <f t="shared" si="454"/>
        <v>1.7938296193436232</v>
      </c>
      <c r="FE114" s="845">
        <f t="shared" si="481"/>
        <v>7419.8156315691413</v>
      </c>
      <c r="FF114" s="846">
        <f t="shared" si="455"/>
        <v>7552.9144820689171</v>
      </c>
      <c r="FI114" s="127"/>
    </row>
    <row r="115" spans="1:172" ht="15" customHeight="1" x14ac:dyDescent="0.25">
      <c r="A115" s="403" t="s">
        <v>332</v>
      </c>
      <c r="B115" s="883">
        <f t="shared" ref="B115:M115" si="849">B95/B39</f>
        <v>0</v>
      </c>
      <c r="C115" s="883">
        <f t="shared" si="849"/>
        <v>0</v>
      </c>
      <c r="D115" s="883">
        <f t="shared" si="849"/>
        <v>0</v>
      </c>
      <c r="E115" s="883">
        <f t="shared" si="849"/>
        <v>0</v>
      </c>
      <c r="F115" s="883">
        <f t="shared" si="849"/>
        <v>0</v>
      </c>
      <c r="G115" s="883">
        <f t="shared" si="849"/>
        <v>0</v>
      </c>
      <c r="H115" s="883">
        <f t="shared" si="849"/>
        <v>0</v>
      </c>
      <c r="I115" s="883">
        <f t="shared" si="849"/>
        <v>0</v>
      </c>
      <c r="J115" s="883">
        <f t="shared" si="849"/>
        <v>0</v>
      </c>
      <c r="K115" s="883">
        <f t="shared" si="849"/>
        <v>0</v>
      </c>
      <c r="L115" s="883">
        <f t="shared" si="849"/>
        <v>0</v>
      </c>
      <c r="M115" s="873">
        <f t="shared" si="849"/>
        <v>0</v>
      </c>
      <c r="N115" s="879">
        <f t="shared" si="435"/>
        <v>0</v>
      </c>
      <c r="O115" s="883">
        <f t="shared" ref="O115:Z115" si="850">O95/O39</f>
        <v>0</v>
      </c>
      <c r="P115" s="883">
        <f t="shared" si="850"/>
        <v>0</v>
      </c>
      <c r="Q115" s="883">
        <f t="shared" si="850"/>
        <v>0</v>
      </c>
      <c r="R115" s="883">
        <f t="shared" si="850"/>
        <v>0</v>
      </c>
      <c r="S115" s="883">
        <f t="shared" si="850"/>
        <v>0</v>
      </c>
      <c r="T115" s="883">
        <f t="shared" si="850"/>
        <v>0</v>
      </c>
      <c r="U115" s="883">
        <f t="shared" si="850"/>
        <v>0</v>
      </c>
      <c r="V115" s="883">
        <f t="shared" si="850"/>
        <v>0</v>
      </c>
      <c r="W115" s="883">
        <f t="shared" si="850"/>
        <v>0</v>
      </c>
      <c r="X115" s="883">
        <f t="shared" si="850"/>
        <v>0</v>
      </c>
      <c r="Y115" s="883">
        <f t="shared" si="850"/>
        <v>0</v>
      </c>
      <c r="Z115" s="873">
        <f t="shared" si="850"/>
        <v>0</v>
      </c>
      <c r="AA115" s="879">
        <f t="shared" si="437"/>
        <v>0</v>
      </c>
      <c r="AB115" s="883">
        <f t="shared" ref="AB115:AM115" si="851">AB95/AB39</f>
        <v>0</v>
      </c>
      <c r="AC115" s="883">
        <f t="shared" si="851"/>
        <v>34.146741096376509</v>
      </c>
      <c r="AD115" s="883">
        <f t="shared" si="851"/>
        <v>109.01482108439708</v>
      </c>
      <c r="AE115" s="883">
        <f t="shared" si="851"/>
        <v>325.02070600764279</v>
      </c>
      <c r="AF115" s="883">
        <f t="shared" si="851"/>
        <v>100.37262283684915</v>
      </c>
      <c r="AG115" s="883">
        <f t="shared" si="851"/>
        <v>61.477305711672315</v>
      </c>
      <c r="AH115" s="883">
        <f t="shared" si="851"/>
        <v>12.270919303727009</v>
      </c>
      <c r="AI115" s="883">
        <f t="shared" si="851"/>
        <v>210.08533157211468</v>
      </c>
      <c r="AJ115" s="883">
        <f t="shared" si="851"/>
        <v>175.70376271557419</v>
      </c>
      <c r="AK115" s="883">
        <f t="shared" si="851"/>
        <v>236.33868640040157</v>
      </c>
      <c r="AL115" s="883">
        <f t="shared" si="851"/>
        <v>249.80810857855639</v>
      </c>
      <c r="AM115" s="873">
        <f t="shared" si="851"/>
        <v>1841.0136536155819</v>
      </c>
      <c r="AN115" s="879">
        <f t="shared" si="439"/>
        <v>3355.2526589228937</v>
      </c>
      <c r="AO115" s="883">
        <f t="shared" ref="AO115:AZ115" si="852">AO95/AO39</f>
        <v>35.994977351987096</v>
      </c>
      <c r="AP115" s="883">
        <f t="shared" si="852"/>
        <v>46.676778611055582</v>
      </c>
      <c r="AQ115" s="883">
        <f t="shared" si="852"/>
        <v>52.880602237009633</v>
      </c>
      <c r="AR115" s="883">
        <f t="shared" si="852"/>
        <v>215.39697838243671</v>
      </c>
      <c r="AS115" s="883">
        <f t="shared" si="852"/>
        <v>191.02821704134456</v>
      </c>
      <c r="AT115" s="883">
        <f t="shared" si="852"/>
        <v>170.43286694313767</v>
      </c>
      <c r="AU115" s="883">
        <f t="shared" si="852"/>
        <v>95.194762706653847</v>
      </c>
      <c r="AV115" s="883">
        <f t="shared" si="852"/>
        <v>53.211475850044479</v>
      </c>
      <c r="AW115" s="883">
        <f t="shared" si="852"/>
        <v>80.019919101108243</v>
      </c>
      <c r="AX115" s="883">
        <f t="shared" si="852"/>
        <v>316.28594326481635</v>
      </c>
      <c r="AY115" s="883">
        <f t="shared" si="852"/>
        <v>453.71857032413925</v>
      </c>
      <c r="AZ115" s="873">
        <f t="shared" si="852"/>
        <v>179.1860583384975</v>
      </c>
      <c r="BA115" s="879">
        <f t="shared" si="441"/>
        <v>1890.0271501522309</v>
      </c>
      <c r="BB115" s="883">
        <f t="shared" ref="BB115:BM115" si="853">BB95/BB39</f>
        <v>72.611235162414829</v>
      </c>
      <c r="BC115" s="883">
        <f t="shared" si="853"/>
        <v>130.24891432445338</v>
      </c>
      <c r="BD115" s="883">
        <f t="shared" si="853"/>
        <v>136.29444671878215</v>
      </c>
      <c r="BE115" s="883">
        <f t="shared" si="853"/>
        <v>113.00322620626801</v>
      </c>
      <c r="BF115" s="883">
        <f t="shared" si="853"/>
        <v>89.152770562688715</v>
      </c>
      <c r="BG115" s="883">
        <f t="shared" si="853"/>
        <v>32.765271685504231</v>
      </c>
      <c r="BH115" s="883">
        <f t="shared" si="853"/>
        <v>377.787882219153</v>
      </c>
      <c r="BI115" s="883">
        <f t="shared" si="853"/>
        <v>345.57640638990273</v>
      </c>
      <c r="BJ115" s="883">
        <f t="shared" si="853"/>
        <v>215.5291231055362</v>
      </c>
      <c r="BK115" s="883">
        <f t="shared" si="853"/>
        <v>95.839798765113201</v>
      </c>
      <c r="BL115" s="883">
        <f t="shared" si="853"/>
        <v>193.55016623356764</v>
      </c>
      <c r="BM115" s="873">
        <f t="shared" si="853"/>
        <v>609.20148793461863</v>
      </c>
      <c r="BN115" s="879">
        <f t="shared" si="460"/>
        <v>2411.5607293080029</v>
      </c>
      <c r="BO115" s="883">
        <f t="shared" ref="BO115:BZ115" si="854">BO95/BO38</f>
        <v>89.258770550594932</v>
      </c>
      <c r="BP115" s="883">
        <f t="shared" si="854"/>
        <v>121.60915506588998</v>
      </c>
      <c r="BQ115" s="883">
        <f t="shared" si="854"/>
        <v>72.082380898695121</v>
      </c>
      <c r="BR115" s="883">
        <f t="shared" si="854"/>
        <v>141.27748884573708</v>
      </c>
      <c r="BS115" s="883">
        <f t="shared" si="854"/>
        <v>73.919969746621348</v>
      </c>
      <c r="BT115" s="883">
        <f t="shared" si="854"/>
        <v>50.78599033362282</v>
      </c>
      <c r="BU115" s="883">
        <f t="shared" si="854"/>
        <v>409.89279315383953</v>
      </c>
      <c r="BV115" s="883">
        <f t="shared" si="854"/>
        <v>152.51125049772511</v>
      </c>
      <c r="BW115" s="883">
        <f t="shared" si="854"/>
        <v>151.61508242941889</v>
      </c>
      <c r="BX115" s="883">
        <f t="shared" si="854"/>
        <v>169.33793620778474</v>
      </c>
      <c r="BY115" s="883">
        <f t="shared" si="854"/>
        <v>76.07958316460811</v>
      </c>
      <c r="BZ115" s="873">
        <f t="shared" si="854"/>
        <v>128.32013652201519</v>
      </c>
      <c r="CA115" s="879">
        <f t="shared" si="462"/>
        <v>1636.6905374165528</v>
      </c>
      <c r="CB115" s="883">
        <f t="shared" ref="CB115:CM115" si="855">CB95/CB38</f>
        <v>90.310003823295091</v>
      </c>
      <c r="CC115" s="883">
        <f t="shared" si="855"/>
        <v>56.685932915452675</v>
      </c>
      <c r="CD115" s="883">
        <f t="shared" si="855"/>
        <v>113.09668620152036</v>
      </c>
      <c r="CE115" s="883">
        <f t="shared" si="855"/>
        <v>178.18835717139868</v>
      </c>
      <c r="CF115" s="883">
        <f t="shared" si="855"/>
        <v>330.69823056635192</v>
      </c>
      <c r="CG115" s="883">
        <f t="shared" si="855"/>
        <v>95.705453262338125</v>
      </c>
      <c r="CH115" s="883">
        <f t="shared" si="855"/>
        <v>62.507686669651314</v>
      </c>
      <c r="CI115" s="883">
        <f t="shared" si="855"/>
        <v>130.31801330049996</v>
      </c>
      <c r="CJ115" s="883">
        <f t="shared" si="855"/>
        <v>108.38201305370266</v>
      </c>
      <c r="CK115" s="883">
        <f t="shared" si="855"/>
        <v>91.625731557123046</v>
      </c>
      <c r="CL115" s="883">
        <f t="shared" si="855"/>
        <v>129.23034851283077</v>
      </c>
      <c r="CM115" s="873">
        <f t="shared" si="855"/>
        <v>135.24772389649354</v>
      </c>
      <c r="CN115" s="879">
        <f t="shared" si="464"/>
        <v>1521.9961809306583</v>
      </c>
      <c r="CO115" s="883">
        <f t="shared" ref="CO115:CZ115" si="856">CO95/CO38</f>
        <v>41.450882162569314</v>
      </c>
      <c r="CP115" s="883">
        <f t="shared" si="856"/>
        <v>198.98219764986038</v>
      </c>
      <c r="CQ115" s="883">
        <f t="shared" si="856"/>
        <v>397.79851018870039</v>
      </c>
      <c r="CR115" s="883">
        <f t="shared" si="856"/>
        <v>112.93055775475663</v>
      </c>
      <c r="CS115" s="883">
        <f t="shared" si="856"/>
        <v>126.10231549764933</v>
      </c>
      <c r="CT115" s="883">
        <f t="shared" si="856"/>
        <v>117.28879556584813</v>
      </c>
      <c r="CU115" s="883">
        <f t="shared" si="856"/>
        <v>137.98340076723267</v>
      </c>
      <c r="CV115" s="883">
        <f t="shared" si="856"/>
        <v>94.382522713850221</v>
      </c>
      <c r="CW115" s="883">
        <f t="shared" si="856"/>
        <v>208.72038918093253</v>
      </c>
      <c r="CX115" s="883">
        <f t="shared" si="856"/>
        <v>181.17390940020383</v>
      </c>
      <c r="CY115" s="883">
        <f t="shared" si="856"/>
        <v>166.00746719707871</v>
      </c>
      <c r="CZ115" s="873">
        <f t="shared" si="856"/>
        <v>247.05943128843936</v>
      </c>
      <c r="DA115" s="879">
        <f t="shared" si="466"/>
        <v>2029.8803793671216</v>
      </c>
      <c r="DB115" s="883">
        <f t="shared" ref="DB115:DM115" si="857">DB95/DB38</f>
        <v>189.56446911666481</v>
      </c>
      <c r="DC115" s="883">
        <f t="shared" si="857"/>
        <v>160.34201909807121</v>
      </c>
      <c r="DD115" s="883">
        <f t="shared" si="857"/>
        <v>-18.093958236120873</v>
      </c>
      <c r="DE115" s="883">
        <f t="shared" si="857"/>
        <v>-1.519919502036071</v>
      </c>
      <c r="DF115" s="883">
        <f t="shared" si="857"/>
        <v>1516.5017176807726</v>
      </c>
      <c r="DG115" s="883">
        <f t="shared" si="857"/>
        <v>1478.6157046159913</v>
      </c>
      <c r="DH115" s="883">
        <f t="shared" si="857"/>
        <v>0</v>
      </c>
      <c r="DI115" s="883">
        <f t="shared" si="857"/>
        <v>0</v>
      </c>
      <c r="DJ115" s="883">
        <f t="shared" si="857"/>
        <v>0</v>
      </c>
      <c r="DK115" s="883">
        <f t="shared" si="857"/>
        <v>0</v>
      </c>
      <c r="DL115" s="883">
        <f t="shared" si="857"/>
        <v>0</v>
      </c>
      <c r="DM115" s="873">
        <f t="shared" si="857"/>
        <v>0</v>
      </c>
      <c r="DN115" s="879">
        <f t="shared" si="468"/>
        <v>3325.4100327733431</v>
      </c>
      <c r="DO115" s="883">
        <f t="shared" ref="DO115:DQ115" si="858">DO95/DO38</f>
        <v>25.630229505786236</v>
      </c>
      <c r="DP115" s="883">
        <f t="shared" si="858"/>
        <v>186.90832972928152</v>
      </c>
      <c r="DQ115" s="883">
        <f t="shared" si="858"/>
        <v>304.47397360297322</v>
      </c>
      <c r="DR115" s="883">
        <f t="shared" ref="DR115:DZ115" si="859">DR95/DR38</f>
        <v>134.64145270556745</v>
      </c>
      <c r="DS115" s="883">
        <f t="shared" si="859"/>
        <v>211.68980278083163</v>
      </c>
      <c r="DT115" s="883">
        <f t="shared" si="859"/>
        <v>128.99283363833763</v>
      </c>
      <c r="DU115" s="883">
        <f t="shared" si="859"/>
        <v>151.06381676303462</v>
      </c>
      <c r="DV115" s="883">
        <f t="shared" si="859"/>
        <v>148.41028549309053</v>
      </c>
      <c r="DW115" s="883">
        <f t="shared" si="859"/>
        <v>203.57634231736978</v>
      </c>
      <c r="DX115" s="883">
        <f t="shared" si="859"/>
        <v>156.17847135649052</v>
      </c>
      <c r="DY115" s="883">
        <f t="shared" si="859"/>
        <v>262.85977579873651</v>
      </c>
      <c r="DZ115" s="883">
        <f t="shared" si="859"/>
        <v>312.29182935259234</v>
      </c>
      <c r="EA115" s="879">
        <f t="shared" si="471"/>
        <v>2226.7171430440922</v>
      </c>
      <c r="EB115" s="883">
        <f t="shared" ref="EB115:ED115" si="860">EB95/EB38</f>
        <v>52.561494896647915</v>
      </c>
      <c r="EC115" s="883">
        <f t="shared" si="860"/>
        <v>127.80591696343301</v>
      </c>
      <c r="ED115" s="883">
        <f t="shared" si="860"/>
        <v>316.11708733979765</v>
      </c>
      <c r="EE115" s="883">
        <f t="shared" ref="EE115:EH115" si="861">EE95/EE38</f>
        <v>142.93023379652291</v>
      </c>
      <c r="EF115" s="883">
        <f t="shared" si="861"/>
        <v>152.95538234769759</v>
      </c>
      <c r="EG115" s="883">
        <f t="shared" si="861"/>
        <v>210.10953152408288</v>
      </c>
      <c r="EH115" s="883">
        <f t="shared" si="861"/>
        <v>215.6796228449906</v>
      </c>
      <c r="EI115" s="883">
        <f t="shared" ref="EI115:EM115" si="862">EI95/EI38</f>
        <v>245.00068705157159</v>
      </c>
      <c r="EJ115" s="883">
        <f t="shared" si="862"/>
        <v>183.73214207447126</v>
      </c>
      <c r="EK115" s="883">
        <f t="shared" si="862"/>
        <v>222.57709137369176</v>
      </c>
      <c r="EL115" s="883">
        <f t="shared" si="862"/>
        <v>383.97875388211787</v>
      </c>
      <c r="EM115" s="883">
        <f t="shared" si="862"/>
        <v>282.34120401485643</v>
      </c>
      <c r="EN115" s="879">
        <f t="shared" si="475"/>
        <v>2535.7891481098814</v>
      </c>
      <c r="EO115" s="883">
        <f t="shared" ref="EO115:ER115" si="863">EO95/EO38</f>
        <v>156.69952492777009</v>
      </c>
      <c r="EP115" s="883">
        <f t="shared" si="863"/>
        <v>117.94790466621859</v>
      </c>
      <c r="EQ115" s="883">
        <f t="shared" si="863"/>
        <v>135.47372436574113</v>
      </c>
      <c r="ER115" s="883">
        <f t="shared" si="863"/>
        <v>397.95149190471693</v>
      </c>
      <c r="ES115" s="883">
        <f t="shared" ref="ES115:EU115" si="864">ES95/ES38</f>
        <v>127.54855509766568</v>
      </c>
      <c r="ET115" s="883">
        <f t="shared" si="864"/>
        <v>154.29773825792643</v>
      </c>
      <c r="EU115" s="883">
        <f t="shared" si="864"/>
        <v>124.77309352318358</v>
      </c>
      <c r="EV115" s="973">
        <f t="shared" ref="EV115" si="865">EV95/EV38</f>
        <v>161.14056399745175</v>
      </c>
      <c r="EW115" s="883"/>
      <c r="EX115" s="883"/>
      <c r="EY115" s="883"/>
      <c r="EZ115" s="873"/>
      <c r="FA115" s="879">
        <f t="shared" si="479"/>
        <v>1375.832596740674</v>
      </c>
      <c r="FC115" s="843">
        <f t="shared" si="480"/>
        <v>-34.228525667957676</v>
      </c>
      <c r="FD115" s="844">
        <f t="shared" si="454"/>
        <v>-5.9684082810168793</v>
      </c>
      <c r="FE115" s="845">
        <f t="shared" si="481"/>
        <v>1463.159956764744</v>
      </c>
      <c r="FF115" s="846">
        <f t="shared" si="455"/>
        <v>1375.832596740674</v>
      </c>
      <c r="FI115" s="127"/>
    </row>
    <row r="116" spans="1:172" ht="15" customHeight="1" x14ac:dyDescent="0.25">
      <c r="A116" s="403" t="s">
        <v>286</v>
      </c>
      <c r="B116" s="883">
        <f t="shared" ref="B116:M116" si="866">B96/B39</f>
        <v>0</v>
      </c>
      <c r="C116" s="883">
        <f t="shared" si="866"/>
        <v>0</v>
      </c>
      <c r="D116" s="883">
        <f t="shared" si="866"/>
        <v>0</v>
      </c>
      <c r="E116" s="883">
        <f t="shared" si="866"/>
        <v>0</v>
      </c>
      <c r="F116" s="883">
        <f t="shared" si="866"/>
        <v>0</v>
      </c>
      <c r="G116" s="883">
        <f t="shared" si="866"/>
        <v>0</v>
      </c>
      <c r="H116" s="883">
        <f t="shared" si="866"/>
        <v>0</v>
      </c>
      <c r="I116" s="883">
        <f t="shared" si="866"/>
        <v>0</v>
      </c>
      <c r="J116" s="883">
        <f t="shared" si="866"/>
        <v>0</v>
      </c>
      <c r="K116" s="883">
        <f t="shared" si="866"/>
        <v>0</v>
      </c>
      <c r="L116" s="883">
        <f t="shared" si="866"/>
        <v>0</v>
      </c>
      <c r="M116" s="873">
        <f t="shared" si="866"/>
        <v>0</v>
      </c>
      <c r="N116" s="879">
        <f t="shared" si="435"/>
        <v>0</v>
      </c>
      <c r="O116" s="883">
        <f t="shared" ref="O116:Z116" si="867">O96/O39</f>
        <v>0</v>
      </c>
      <c r="P116" s="883">
        <f t="shared" si="867"/>
        <v>0</v>
      </c>
      <c r="Q116" s="883">
        <f t="shared" si="867"/>
        <v>0</v>
      </c>
      <c r="R116" s="883">
        <f t="shared" si="867"/>
        <v>0</v>
      </c>
      <c r="S116" s="883">
        <f t="shared" si="867"/>
        <v>0</v>
      </c>
      <c r="T116" s="883">
        <f t="shared" si="867"/>
        <v>0</v>
      </c>
      <c r="U116" s="883">
        <f t="shared" si="867"/>
        <v>0</v>
      </c>
      <c r="V116" s="883">
        <f t="shared" si="867"/>
        <v>0</v>
      </c>
      <c r="W116" s="883">
        <f t="shared" si="867"/>
        <v>0</v>
      </c>
      <c r="X116" s="883">
        <f t="shared" si="867"/>
        <v>0</v>
      </c>
      <c r="Y116" s="883">
        <f t="shared" si="867"/>
        <v>0</v>
      </c>
      <c r="Z116" s="873">
        <f t="shared" si="867"/>
        <v>0</v>
      </c>
      <c r="AA116" s="879">
        <f t="shared" si="437"/>
        <v>0</v>
      </c>
      <c r="AB116" s="883">
        <f t="shared" ref="AB116:AM116" si="868">AB96/AB39</f>
        <v>34.984861958690978</v>
      </c>
      <c r="AC116" s="883">
        <f t="shared" si="868"/>
        <v>23.248845001788258</v>
      </c>
      <c r="AD116" s="883">
        <f t="shared" si="868"/>
        <v>258.19299730515098</v>
      </c>
      <c r="AE116" s="883">
        <f t="shared" si="868"/>
        <v>133.02838630843786</v>
      </c>
      <c r="AF116" s="883">
        <f t="shared" si="868"/>
        <v>59.934731622003447</v>
      </c>
      <c r="AG116" s="883">
        <f t="shared" si="868"/>
        <v>168.52014389199587</v>
      </c>
      <c r="AH116" s="883">
        <f t="shared" si="868"/>
        <v>43.309126954330623</v>
      </c>
      <c r="AI116" s="883">
        <f t="shared" si="868"/>
        <v>51.625064413625452</v>
      </c>
      <c r="AJ116" s="883">
        <f t="shared" si="868"/>
        <v>45.180967555433362</v>
      </c>
      <c r="AK116" s="883">
        <f t="shared" si="868"/>
        <v>42.512141761047843</v>
      </c>
      <c r="AL116" s="883">
        <f t="shared" si="868"/>
        <v>89.526605386534655</v>
      </c>
      <c r="AM116" s="873">
        <f t="shared" si="868"/>
        <v>65.596022897031304</v>
      </c>
      <c r="AN116" s="879">
        <f t="shared" si="439"/>
        <v>1015.6598950560706</v>
      </c>
      <c r="AO116" s="883">
        <f t="shared" ref="AO116:AZ116" si="869">AO96/AO39</f>
        <v>19.437287770073034</v>
      </c>
      <c r="AP116" s="883">
        <f t="shared" si="869"/>
        <v>109.15185152123767</v>
      </c>
      <c r="AQ116" s="883">
        <f t="shared" si="869"/>
        <v>130.05769739372639</v>
      </c>
      <c r="AR116" s="883">
        <f t="shared" si="869"/>
        <v>268.35171725386635</v>
      </c>
      <c r="AS116" s="883">
        <f t="shared" si="869"/>
        <v>39.350381787542887</v>
      </c>
      <c r="AT116" s="883">
        <f t="shared" si="869"/>
        <v>144.04786243729629</v>
      </c>
      <c r="AU116" s="883">
        <f t="shared" si="869"/>
        <v>50.43901606098823</v>
      </c>
      <c r="AV116" s="883">
        <f t="shared" si="869"/>
        <v>56.758907573380775</v>
      </c>
      <c r="AW116" s="883">
        <f t="shared" si="869"/>
        <v>36.115184727048856</v>
      </c>
      <c r="AX116" s="883">
        <f t="shared" si="869"/>
        <v>48.115087566012328</v>
      </c>
      <c r="AY116" s="883">
        <f t="shared" si="869"/>
        <v>109.54264548324234</v>
      </c>
      <c r="AZ116" s="873">
        <f t="shared" si="869"/>
        <v>42.327415355550592</v>
      </c>
      <c r="BA116" s="879">
        <f t="shared" si="441"/>
        <v>1053.6950549299659</v>
      </c>
      <c r="BB116" s="883">
        <f t="shared" ref="BB116:BM116" si="870">BB96/BB39</f>
        <v>1.4099268963575695</v>
      </c>
      <c r="BC116" s="883">
        <f t="shared" si="870"/>
        <v>11.968819154138961</v>
      </c>
      <c r="BD116" s="883">
        <f t="shared" si="870"/>
        <v>69.894588060913918</v>
      </c>
      <c r="BE116" s="883">
        <f t="shared" si="870"/>
        <v>111.60812464816594</v>
      </c>
      <c r="BF116" s="883">
        <f t="shared" si="870"/>
        <v>35.52180702107129</v>
      </c>
      <c r="BG116" s="883">
        <f t="shared" si="870"/>
        <v>32.765271685504231</v>
      </c>
      <c r="BH116" s="883">
        <f t="shared" si="870"/>
        <v>102.27406756209113</v>
      </c>
      <c r="BI116" s="883">
        <f t="shared" si="870"/>
        <v>68.837151373441387</v>
      </c>
      <c r="BJ116" s="883">
        <f t="shared" si="870"/>
        <v>75.782820704849826</v>
      </c>
      <c r="BK116" s="883">
        <f t="shared" si="870"/>
        <v>77.088533789330185</v>
      </c>
      <c r="BL116" s="883">
        <f t="shared" si="870"/>
        <v>133.19581332202503</v>
      </c>
      <c r="BM116" s="873">
        <f t="shared" si="870"/>
        <v>236.75785099277226</v>
      </c>
      <c r="BN116" s="879">
        <f t="shared" si="460"/>
        <v>957.10477521066173</v>
      </c>
      <c r="BO116" s="883">
        <f t="shared" ref="BO116:BZ116" si="871">BO96/BO38</f>
        <v>50.510777133282403</v>
      </c>
      <c r="BP116" s="883">
        <f t="shared" si="871"/>
        <v>1.3819222166578407</v>
      </c>
      <c r="BQ116" s="883">
        <f t="shared" si="871"/>
        <v>117.39130603501778</v>
      </c>
      <c r="BR116" s="883">
        <f t="shared" si="871"/>
        <v>41.148783158952547</v>
      </c>
      <c r="BS116" s="883">
        <f t="shared" si="871"/>
        <v>39.697761530592949</v>
      </c>
      <c r="BT116" s="883">
        <f t="shared" si="871"/>
        <v>74.120094000422498</v>
      </c>
      <c r="BU116" s="883">
        <f t="shared" si="871"/>
        <v>3.4157732762819966</v>
      </c>
      <c r="BV116" s="883">
        <f t="shared" si="871"/>
        <v>179.867528613909</v>
      </c>
      <c r="BW116" s="883">
        <f t="shared" si="871"/>
        <v>99.027869154350171</v>
      </c>
      <c r="BX116" s="883">
        <f t="shared" si="871"/>
        <v>144.75662288729984</v>
      </c>
      <c r="BY116" s="883">
        <f t="shared" si="871"/>
        <v>88.306659030348698</v>
      </c>
      <c r="BZ116" s="873">
        <f t="shared" si="871"/>
        <v>305.52413457622663</v>
      </c>
      <c r="CA116" s="879">
        <f t="shared" si="462"/>
        <v>1145.1492316133422</v>
      </c>
      <c r="CB116" s="883">
        <f t="shared" ref="CB116:CM116" si="872">CB96/CB38</f>
        <v>2.0218657572379497</v>
      </c>
      <c r="CC116" s="883">
        <f t="shared" si="872"/>
        <v>24.293971249479718</v>
      </c>
      <c r="CD116" s="883">
        <f t="shared" si="872"/>
        <v>50.860048232636373</v>
      </c>
      <c r="CE116" s="883">
        <f t="shared" si="872"/>
        <v>50.910959191828198</v>
      </c>
      <c r="CF116" s="883">
        <f t="shared" si="872"/>
        <v>85.513885883824329</v>
      </c>
      <c r="CG116" s="883">
        <f t="shared" si="872"/>
        <v>65.797499117857456</v>
      </c>
      <c r="CH116" s="883">
        <f t="shared" si="872"/>
        <v>69.745418810347786</v>
      </c>
      <c r="CI116" s="883">
        <f t="shared" si="872"/>
        <v>71.023317248772486</v>
      </c>
      <c r="CJ116" s="883">
        <f t="shared" si="872"/>
        <v>151.21562300307019</v>
      </c>
      <c r="CK116" s="883">
        <f t="shared" si="872"/>
        <v>223.25706421665191</v>
      </c>
      <c r="CL116" s="883">
        <f t="shared" si="872"/>
        <v>64.293705727776498</v>
      </c>
      <c r="CM116" s="873">
        <f t="shared" si="872"/>
        <v>124.40238754630302</v>
      </c>
      <c r="CN116" s="879">
        <f t="shared" si="464"/>
        <v>983.33574598578582</v>
      </c>
      <c r="CO116" s="883">
        <f t="shared" ref="CO116:CZ116" si="873">CO96/CO38</f>
        <v>72.69847025435233</v>
      </c>
      <c r="CP116" s="883">
        <f t="shared" si="873"/>
        <v>136.68106228345042</v>
      </c>
      <c r="CQ116" s="883">
        <f t="shared" si="873"/>
        <v>159.11940407548013</v>
      </c>
      <c r="CR116" s="883">
        <f t="shared" si="873"/>
        <v>89.35165009167558</v>
      </c>
      <c r="CS116" s="883">
        <f t="shared" si="873"/>
        <v>401.79659349741206</v>
      </c>
      <c r="CT116" s="883">
        <f t="shared" si="873"/>
        <v>96.518904684395849</v>
      </c>
      <c r="CU116" s="883">
        <f t="shared" si="873"/>
        <v>64.150177549678347</v>
      </c>
      <c r="CV116" s="883">
        <f t="shared" si="873"/>
        <v>105.80461144992127</v>
      </c>
      <c r="CW116" s="883">
        <f t="shared" si="873"/>
        <v>83.72737674879815</v>
      </c>
      <c r="CX116" s="883">
        <f t="shared" si="873"/>
        <v>116.80949421855247</v>
      </c>
      <c r="CY116" s="883">
        <f t="shared" si="873"/>
        <v>177.86514342544146</v>
      </c>
      <c r="CZ116" s="873">
        <f t="shared" si="873"/>
        <v>7.6470776351183609</v>
      </c>
      <c r="DA116" s="879">
        <f t="shared" si="466"/>
        <v>1512.1699659142764</v>
      </c>
      <c r="DB116" s="883">
        <f t="shared" ref="DB116:DM116" si="874">DB96/DB38</f>
        <v>1.7606607038699518</v>
      </c>
      <c r="DC116" s="883">
        <f t="shared" si="874"/>
        <v>7.0222782086746518</v>
      </c>
      <c r="DD116" s="883">
        <f t="shared" si="874"/>
        <v>-11.447621580312944</v>
      </c>
      <c r="DE116" s="883">
        <f t="shared" si="874"/>
        <v>16.204312334860088</v>
      </c>
      <c r="DF116" s="883">
        <f t="shared" si="874"/>
        <v>780.30802398232424</v>
      </c>
      <c r="DG116" s="883">
        <f t="shared" si="874"/>
        <v>1001.8094762357472</v>
      </c>
      <c r="DH116" s="883">
        <f t="shared" si="874"/>
        <v>0</v>
      </c>
      <c r="DI116" s="883">
        <f t="shared" si="874"/>
        <v>0</v>
      </c>
      <c r="DJ116" s="883">
        <f t="shared" si="874"/>
        <v>0</v>
      </c>
      <c r="DK116" s="883">
        <f t="shared" si="874"/>
        <v>0</v>
      </c>
      <c r="DL116" s="883">
        <f t="shared" si="874"/>
        <v>0</v>
      </c>
      <c r="DM116" s="873">
        <f t="shared" si="874"/>
        <v>0</v>
      </c>
      <c r="DN116" s="879">
        <f t="shared" si="468"/>
        <v>1795.6571298851632</v>
      </c>
      <c r="DO116" s="883">
        <f t="shared" ref="DO116:DQ116" si="875">DO96/DO38</f>
        <v>19.934622948944853</v>
      </c>
      <c r="DP116" s="883">
        <f t="shared" si="875"/>
        <v>39.647221457726381</v>
      </c>
      <c r="DQ116" s="883">
        <f t="shared" si="875"/>
        <v>2.8036277495669726</v>
      </c>
      <c r="DR116" s="883">
        <f t="shared" ref="DR116:DZ116" si="876">DR96/DR38</f>
        <v>59.466641611625626</v>
      </c>
      <c r="DS116" s="883">
        <f t="shared" si="876"/>
        <v>84.226711981763245</v>
      </c>
      <c r="DT116" s="883">
        <f t="shared" si="876"/>
        <v>51.597133455335047</v>
      </c>
      <c r="DU116" s="883">
        <f t="shared" si="876"/>
        <v>49.235614352396475</v>
      </c>
      <c r="DV116" s="883">
        <f t="shared" si="876"/>
        <v>41.845005308202218</v>
      </c>
      <c r="DW116" s="883">
        <f t="shared" si="876"/>
        <v>43.064226259443608</v>
      </c>
      <c r="DX116" s="883">
        <f t="shared" si="876"/>
        <v>231.74869943221174</v>
      </c>
      <c r="DY116" s="883">
        <f t="shared" si="876"/>
        <v>101.7882536071703</v>
      </c>
      <c r="DZ116" s="883">
        <f t="shared" si="876"/>
        <v>40.223634549886668</v>
      </c>
      <c r="EA116" s="879">
        <f t="shared" si="471"/>
        <v>765.58139271427308</v>
      </c>
      <c r="EB116" s="883">
        <f t="shared" ref="EB116:ED116" si="877">EB96/EB38</f>
        <v>5.0324835539343749</v>
      </c>
      <c r="EC116" s="883">
        <f t="shared" si="877"/>
        <v>1.1162088817767075</v>
      </c>
      <c r="ED116" s="883">
        <f t="shared" si="877"/>
        <v>33.217207075985741</v>
      </c>
      <c r="EE116" s="883">
        <f t="shared" ref="EE116:EH116" si="878">EE96/EE38</f>
        <v>149.00062982649106</v>
      </c>
      <c r="EF116" s="883">
        <f t="shared" si="878"/>
        <v>209.27830292338408</v>
      </c>
      <c r="EG116" s="883">
        <f t="shared" si="878"/>
        <v>124.08043200241116</v>
      </c>
      <c r="EH116" s="883">
        <f t="shared" si="878"/>
        <v>115.54265509553069</v>
      </c>
      <c r="EI116" s="883">
        <f t="shared" ref="EI116:EM116" si="879">EI96/EI38</f>
        <v>114.22329328755701</v>
      </c>
      <c r="EJ116" s="883">
        <f t="shared" si="879"/>
        <v>17.104193406332158</v>
      </c>
      <c r="EK116" s="883">
        <f t="shared" si="879"/>
        <v>296.03305453175875</v>
      </c>
      <c r="EL116" s="883">
        <f t="shared" si="879"/>
        <v>113.6488840513165</v>
      </c>
      <c r="EM116" s="883">
        <f t="shared" si="879"/>
        <v>126.03535227953628</v>
      </c>
      <c r="EN116" s="879">
        <f t="shared" si="475"/>
        <v>1304.3126969160146</v>
      </c>
      <c r="EO116" s="883">
        <f t="shared" ref="EO116:ER116" si="880">EO96/EO38</f>
        <v>36.288311035904655</v>
      </c>
      <c r="EP116" s="883">
        <f t="shared" si="880"/>
        <v>24.572480138795541</v>
      </c>
      <c r="EQ116" s="883">
        <f t="shared" si="880"/>
        <v>45.869056281313931</v>
      </c>
      <c r="ER116" s="883">
        <f t="shared" si="880"/>
        <v>205.34296982283394</v>
      </c>
      <c r="ES116" s="883">
        <f>ES96/ES38</f>
        <v>107.35336720720196</v>
      </c>
      <c r="ET116" s="883">
        <f t="shared" ref="ET116:EU116" si="881">ET96/ET38</f>
        <v>73.702356075091998</v>
      </c>
      <c r="EU116" s="883">
        <f t="shared" si="881"/>
        <v>346.29820448171716</v>
      </c>
      <c r="EV116" s="973">
        <f t="shared" ref="EV116" si="882">EV96/EV38</f>
        <v>87.702733192055717</v>
      </c>
      <c r="EW116" s="883"/>
      <c r="EX116" s="883"/>
      <c r="EY116" s="883"/>
      <c r="EZ116" s="873"/>
      <c r="FA116" s="879">
        <f t="shared" si="479"/>
        <v>927.12947823491493</v>
      </c>
      <c r="FC116" s="843">
        <f t="shared" si="480"/>
        <v>-23.218171471151528</v>
      </c>
      <c r="FD116" s="844">
        <f t="shared" si="454"/>
        <v>23.371965318020372</v>
      </c>
      <c r="FE116" s="845">
        <f t="shared" si="481"/>
        <v>751.49121264707082</v>
      </c>
      <c r="FF116" s="846">
        <f t="shared" si="455"/>
        <v>927.12947823491493</v>
      </c>
      <c r="FI116" s="127"/>
    </row>
    <row r="117" spans="1:172" ht="15" customHeight="1" x14ac:dyDescent="0.25">
      <c r="A117" s="403" t="s">
        <v>275</v>
      </c>
      <c r="B117" s="883">
        <f t="shared" ref="B117:M117" si="883">B97/B72*100</f>
        <v>0</v>
      </c>
      <c r="C117" s="883">
        <f t="shared" si="883"/>
        <v>0</v>
      </c>
      <c r="D117" s="883">
        <f t="shared" si="883"/>
        <v>0</v>
      </c>
      <c r="E117" s="883">
        <f t="shared" si="883"/>
        <v>0</v>
      </c>
      <c r="F117" s="883">
        <f t="shared" si="883"/>
        <v>0</v>
      </c>
      <c r="G117" s="883">
        <f t="shared" si="883"/>
        <v>0</v>
      </c>
      <c r="H117" s="883">
        <f t="shared" si="883"/>
        <v>0</v>
      </c>
      <c r="I117" s="883">
        <f t="shared" si="883"/>
        <v>0</v>
      </c>
      <c r="J117" s="883">
        <f t="shared" si="883"/>
        <v>0</v>
      </c>
      <c r="K117" s="883">
        <f t="shared" si="883"/>
        <v>0</v>
      </c>
      <c r="L117" s="883">
        <f t="shared" si="883"/>
        <v>0</v>
      </c>
      <c r="M117" s="873">
        <f t="shared" si="883"/>
        <v>0</v>
      </c>
      <c r="N117" s="879">
        <f t="shared" si="435"/>
        <v>0</v>
      </c>
      <c r="O117" s="883">
        <f t="shared" ref="O117:Z117" si="884">O97/O72*100</f>
        <v>0</v>
      </c>
      <c r="P117" s="883">
        <f t="shared" si="884"/>
        <v>0</v>
      </c>
      <c r="Q117" s="883">
        <f t="shared" si="884"/>
        <v>0</v>
      </c>
      <c r="R117" s="883">
        <f t="shared" si="884"/>
        <v>0</v>
      </c>
      <c r="S117" s="883">
        <f t="shared" si="884"/>
        <v>0</v>
      </c>
      <c r="T117" s="883">
        <f t="shared" si="884"/>
        <v>0</v>
      </c>
      <c r="U117" s="883">
        <f t="shared" si="884"/>
        <v>0</v>
      </c>
      <c r="V117" s="883">
        <f t="shared" si="884"/>
        <v>0</v>
      </c>
      <c r="W117" s="883">
        <f t="shared" si="884"/>
        <v>0</v>
      </c>
      <c r="X117" s="883">
        <f t="shared" si="884"/>
        <v>0</v>
      </c>
      <c r="Y117" s="883">
        <f t="shared" si="884"/>
        <v>0</v>
      </c>
      <c r="Z117" s="873">
        <f t="shared" si="884"/>
        <v>0</v>
      </c>
      <c r="AA117" s="879">
        <f t="shared" si="437"/>
        <v>0</v>
      </c>
      <c r="AB117" s="883">
        <f t="shared" ref="AB117:AM117" si="885">AB97/AB72*100</f>
        <v>5033.6205682859763</v>
      </c>
      <c r="AC117" s="883">
        <f t="shared" si="885"/>
        <v>6994.6731053659678</v>
      </c>
      <c r="AD117" s="883">
        <f t="shared" si="885"/>
        <v>9079.7863185124806</v>
      </c>
      <c r="AE117" s="883">
        <f t="shared" si="885"/>
        <v>7703.1686953501448</v>
      </c>
      <c r="AF117" s="883">
        <f t="shared" si="885"/>
        <v>10273.466529485953</v>
      </c>
      <c r="AG117" s="883">
        <f t="shared" si="885"/>
        <v>10276.182604163243</v>
      </c>
      <c r="AH117" s="883">
        <f t="shared" si="885"/>
        <v>9310.6073860448269</v>
      </c>
      <c r="AI117" s="883">
        <f t="shared" si="885"/>
        <v>9228.7245764407071</v>
      </c>
      <c r="AJ117" s="883">
        <f t="shared" si="885"/>
        <v>6390.2982002808403</v>
      </c>
      <c r="AK117" s="883">
        <f t="shared" si="885"/>
        <v>7598.4693963116824</v>
      </c>
      <c r="AL117" s="883">
        <f t="shared" si="885"/>
        <v>8744.653881752256</v>
      </c>
      <c r="AM117" s="873">
        <f t="shared" si="885"/>
        <v>12043.628014689002</v>
      </c>
      <c r="AN117" s="879">
        <f t="shared" si="439"/>
        <v>102677.2792766831</v>
      </c>
      <c r="AO117" s="883">
        <f t="shared" ref="AO117:AZ117" si="886">AO97/AO72*100</f>
        <v>4194.605025108307</v>
      </c>
      <c r="AP117" s="883">
        <f t="shared" si="886"/>
        <v>7343.3924317436922</v>
      </c>
      <c r="AQ117" s="883">
        <f t="shared" si="886"/>
        <v>8926.004784111532</v>
      </c>
      <c r="AR117" s="883">
        <f t="shared" si="886"/>
        <v>8637.6516949606248</v>
      </c>
      <c r="AS117" s="883">
        <f t="shared" si="886"/>
        <v>10576.900625713113</v>
      </c>
      <c r="AT117" s="883">
        <f t="shared" si="886"/>
        <v>9159.4979641896534</v>
      </c>
      <c r="AU117" s="883">
        <f t="shared" si="886"/>
        <v>8674.2936480130775</v>
      </c>
      <c r="AV117" s="883">
        <f t="shared" si="886"/>
        <v>8071.1751799487647</v>
      </c>
      <c r="AW117" s="883">
        <f t="shared" si="886"/>
        <v>6253.003737273888</v>
      </c>
      <c r="AX117" s="883">
        <f t="shared" si="886"/>
        <v>8226.0927308338632</v>
      </c>
      <c r="AY117" s="883">
        <f t="shared" si="886"/>
        <v>9248.5983918131533</v>
      </c>
      <c r="AZ117" s="873">
        <f t="shared" si="886"/>
        <v>9672.2759098273436</v>
      </c>
      <c r="BA117" s="879">
        <f t="shared" si="441"/>
        <v>98983.492123536998</v>
      </c>
      <c r="BB117" s="883">
        <f t="shared" ref="BB117:BM117" si="887">BB97/BB72*100</f>
        <v>1679.2589609244083</v>
      </c>
      <c r="BC117" s="883">
        <f t="shared" si="887"/>
        <v>8172.2900451320957</v>
      </c>
      <c r="BD117" s="883">
        <f t="shared" si="887"/>
        <v>9995.4509771099674</v>
      </c>
      <c r="BE117" s="883">
        <f t="shared" si="887"/>
        <v>9887.2844930590709</v>
      </c>
      <c r="BF117" s="883">
        <f t="shared" si="887"/>
        <v>11484.081725002579</v>
      </c>
      <c r="BG117" s="883">
        <f t="shared" si="887"/>
        <v>10312.987313164835</v>
      </c>
      <c r="BH117" s="883">
        <f t="shared" si="887"/>
        <v>11452.336915758711</v>
      </c>
      <c r="BI117" s="883">
        <f t="shared" si="887"/>
        <v>8766.5260152430001</v>
      </c>
      <c r="BJ117" s="883">
        <f t="shared" si="887"/>
        <v>8586.6861672702635</v>
      </c>
      <c r="BK117" s="883">
        <f t="shared" si="887"/>
        <v>8296.4462343556461</v>
      </c>
      <c r="BL117" s="883">
        <f t="shared" si="887"/>
        <v>8947.3556862176993</v>
      </c>
      <c r="BM117" s="873">
        <f t="shared" si="887"/>
        <v>10696.136235008085</v>
      </c>
      <c r="BN117" s="879">
        <f t="shared" si="460"/>
        <v>108276.84076824637</v>
      </c>
      <c r="BO117" s="883">
        <f t="shared" ref="BO117:BZ117" si="888">BO97/BO72*100</f>
        <v>7270.0367059595028</v>
      </c>
      <c r="BP117" s="883">
        <f t="shared" si="888"/>
        <v>8092.5818935389889</v>
      </c>
      <c r="BQ117" s="883">
        <f t="shared" si="888"/>
        <v>12437.499352267003</v>
      </c>
      <c r="BR117" s="883">
        <f t="shared" si="888"/>
        <v>8029.0465337560236</v>
      </c>
      <c r="BS117" s="883">
        <f t="shared" si="888"/>
        <v>7368.9954390698713</v>
      </c>
      <c r="BT117" s="883">
        <f t="shared" si="888"/>
        <v>7648.3469700227179</v>
      </c>
      <c r="BU117" s="883">
        <f t="shared" si="888"/>
        <v>15654.142745757003</v>
      </c>
      <c r="BV117" s="883">
        <f t="shared" si="888"/>
        <v>10582.397026933217</v>
      </c>
      <c r="BW117" s="883">
        <f t="shared" si="888"/>
        <v>14016.943198395174</v>
      </c>
      <c r="BX117" s="883">
        <f t="shared" si="888"/>
        <v>18707.237029144704</v>
      </c>
      <c r="BY117" s="883">
        <f t="shared" si="888"/>
        <v>19018.627895052181</v>
      </c>
      <c r="BZ117" s="873">
        <f t="shared" si="888"/>
        <v>29255.403994980425</v>
      </c>
      <c r="CA117" s="879">
        <f t="shared" si="462"/>
        <v>158081.25878487682</v>
      </c>
      <c r="CB117" s="883">
        <f t="shared" ref="CB117:CM117" si="889">CB97/CB72*100</f>
        <v>4890.918373221798</v>
      </c>
      <c r="CC117" s="883">
        <f t="shared" si="889"/>
        <v>7528.1277234797553</v>
      </c>
      <c r="CD117" s="883">
        <f t="shared" si="889"/>
        <v>14409.375087036282</v>
      </c>
      <c r="CE117" s="883">
        <f t="shared" si="889"/>
        <v>11890.548729009341</v>
      </c>
      <c r="CF117" s="883">
        <f t="shared" si="889"/>
        <v>12879.533828163323</v>
      </c>
      <c r="CG117" s="883">
        <f t="shared" si="889"/>
        <v>11857.525090032213</v>
      </c>
      <c r="CH117" s="883">
        <f t="shared" si="889"/>
        <v>10754.142961360363</v>
      </c>
      <c r="CI117" s="883">
        <f t="shared" si="889"/>
        <v>12592.591677199864</v>
      </c>
      <c r="CJ117" s="883">
        <f t="shared" si="889"/>
        <v>12810.524206435988</v>
      </c>
      <c r="CK117" s="883">
        <f t="shared" si="889"/>
        <v>10092.793730579489</v>
      </c>
      <c r="CL117" s="883">
        <f t="shared" si="889"/>
        <v>12762.088770386297</v>
      </c>
      <c r="CM117" s="873">
        <f t="shared" si="889"/>
        <v>22287.25249812788</v>
      </c>
      <c r="CN117" s="879">
        <f t="shared" si="464"/>
        <v>144755.42267503261</v>
      </c>
      <c r="CO117" s="883">
        <f t="shared" ref="CO117:CZ117" si="890">CO97/CO72*100</f>
        <v>4934.4755171609859</v>
      </c>
      <c r="CP117" s="883">
        <f t="shared" si="890"/>
        <v>9366.0834237870367</v>
      </c>
      <c r="CQ117" s="883">
        <f t="shared" si="890"/>
        <v>13971.379218453385</v>
      </c>
      <c r="CR117" s="883">
        <f t="shared" si="890"/>
        <v>9994.94610044211</v>
      </c>
      <c r="CS117" s="883">
        <f t="shared" si="890"/>
        <v>12557.553634444668</v>
      </c>
      <c r="CT117" s="883">
        <f t="shared" si="890"/>
        <v>12396.063710295042</v>
      </c>
      <c r="CU117" s="883">
        <f t="shared" si="890"/>
        <v>13276.005713856359</v>
      </c>
      <c r="CV117" s="883">
        <f t="shared" si="890"/>
        <v>12528.745721466168</v>
      </c>
      <c r="CW117" s="883">
        <f t="shared" si="890"/>
        <v>11848.04951480662</v>
      </c>
      <c r="CX117" s="883">
        <f t="shared" si="890"/>
        <v>11215.976996413705</v>
      </c>
      <c r="CY117" s="883">
        <f t="shared" si="890"/>
        <v>11301.151647896493</v>
      </c>
      <c r="CZ117" s="873">
        <f t="shared" si="890"/>
        <v>17280.776324027913</v>
      </c>
      <c r="DA117" s="879">
        <f t="shared" si="466"/>
        <v>140671.20752305049</v>
      </c>
      <c r="DB117" s="883">
        <f t="shared" ref="DB117:DM117" si="891">DB97/DB72*100</f>
        <v>3382.837794273823</v>
      </c>
      <c r="DC117" s="883">
        <f t="shared" si="891"/>
        <v>9547.7304258393597</v>
      </c>
      <c r="DD117" s="883">
        <f t="shared" si="891"/>
        <v>9.4653168478565259</v>
      </c>
      <c r="DE117" s="883">
        <f t="shared" si="891"/>
        <v>6.5441068252781616</v>
      </c>
      <c r="DF117" s="883">
        <f t="shared" si="891"/>
        <v>88104.142127135361</v>
      </c>
      <c r="DG117" s="883">
        <f t="shared" si="891"/>
        <v>98141.467023936042</v>
      </c>
      <c r="DH117" s="883">
        <f t="shared" si="891"/>
        <v>0</v>
      </c>
      <c r="DI117" s="883">
        <f t="shared" si="891"/>
        <v>0</v>
      </c>
      <c r="DJ117" s="883">
        <f t="shared" si="891"/>
        <v>0</v>
      </c>
      <c r="DK117" s="883">
        <f t="shared" si="891"/>
        <v>0</v>
      </c>
      <c r="DL117" s="883">
        <f t="shared" si="891"/>
        <v>0</v>
      </c>
      <c r="DM117" s="873">
        <f t="shared" si="891"/>
        <v>0</v>
      </c>
      <c r="DN117" s="879">
        <f t="shared" si="468"/>
        <v>199192.18679485773</v>
      </c>
      <c r="DO117" s="883">
        <f t="shared" ref="DO117:DQ117" si="892">DO97/DO72*100</f>
        <v>2512.3374257077007</v>
      </c>
      <c r="DP117" s="883">
        <f t="shared" si="892"/>
        <v>9704.31501323056</v>
      </c>
      <c r="DQ117" s="883">
        <f t="shared" si="892"/>
        <v>11817.027988934527</v>
      </c>
      <c r="DR117" s="883">
        <f t="shared" ref="DR117:DZ117" si="893">DR97/DR72*100</f>
        <v>12058.280186799549</v>
      </c>
      <c r="DS117" s="883">
        <f t="shared" si="893"/>
        <v>13504.212283766279</v>
      </c>
      <c r="DT117" s="883">
        <f t="shared" si="893"/>
        <v>11866.148200684407</v>
      </c>
      <c r="DU117" s="883">
        <f t="shared" si="893"/>
        <v>10971.264180733646</v>
      </c>
      <c r="DV117" s="883">
        <f t="shared" si="893"/>
        <v>12832.814898037825</v>
      </c>
      <c r="DW117" s="883">
        <f t="shared" si="893"/>
        <v>11364.477280767571</v>
      </c>
      <c r="DX117" s="883">
        <f t="shared" si="893"/>
        <v>11951.949542852506</v>
      </c>
      <c r="DY117" s="883">
        <f t="shared" si="893"/>
        <v>12746.607934765152</v>
      </c>
      <c r="DZ117" s="883">
        <f t="shared" si="893"/>
        <v>19819.33786921042</v>
      </c>
      <c r="EA117" s="879">
        <f t="shared" si="471"/>
        <v>141148.77280549015</v>
      </c>
      <c r="EB117" s="883">
        <f t="shared" ref="EB117:ED117" si="894">EB97/EB72*100</f>
        <v>3679.6562611378276</v>
      </c>
      <c r="EC117" s="883">
        <f t="shared" si="894"/>
        <v>11568.982324460658</v>
      </c>
      <c r="ED117" s="883">
        <f t="shared" si="894"/>
        <v>11488.188673171113</v>
      </c>
      <c r="EE117" s="883">
        <f t="shared" ref="EE117:EH117" si="895">EE97/EE72*100</f>
        <v>12503.912118750113</v>
      </c>
      <c r="EF117" s="883">
        <f t="shared" si="895"/>
        <v>13893.518611931526</v>
      </c>
      <c r="EG117" s="883">
        <f t="shared" si="895"/>
        <v>12096.280170485525</v>
      </c>
      <c r="EH117" s="883">
        <f t="shared" si="895"/>
        <v>13151.730566455995</v>
      </c>
      <c r="EI117" s="883">
        <f t="shared" ref="EI117:EM117" si="896">EI97/EI72*100</f>
        <v>12510.998457544178</v>
      </c>
      <c r="EJ117" s="883">
        <f t="shared" si="896"/>
        <v>11916.052607707858</v>
      </c>
      <c r="EK117" s="883">
        <f t="shared" si="896"/>
        <v>12359.371180309263</v>
      </c>
      <c r="EL117" s="883">
        <f t="shared" si="896"/>
        <v>9590.8642559182135</v>
      </c>
      <c r="EM117" s="883">
        <f t="shared" si="896"/>
        <v>14909.04676310051</v>
      </c>
      <c r="EN117" s="879">
        <f t="shared" si="475"/>
        <v>139668.60199097276</v>
      </c>
      <c r="EO117" s="883">
        <f t="shared" ref="EO117:ER117" si="897">EO97/EO72*100</f>
        <v>3890.002793117148</v>
      </c>
      <c r="EP117" s="883">
        <f t="shared" si="897"/>
        <v>12012.167134200616</v>
      </c>
      <c r="EQ117" s="883">
        <f t="shared" si="897"/>
        <v>14007.031014588665</v>
      </c>
      <c r="ER117" s="883">
        <f t="shared" si="897"/>
        <v>11747.375881975375</v>
      </c>
      <c r="ES117" s="883">
        <f t="shared" ref="ES117:EU117" si="898">ES97/ES72*100</f>
        <v>15290.155154616519</v>
      </c>
      <c r="ET117" s="883">
        <f t="shared" si="898"/>
        <v>14719.181037577047</v>
      </c>
      <c r="EU117" s="883">
        <f t="shared" si="898"/>
        <v>14274.34461863979</v>
      </c>
      <c r="EV117" s="973">
        <f t="shared" ref="EV117" si="899">EV97/EV72*100</f>
        <v>13880.411726023911</v>
      </c>
      <c r="EW117" s="883"/>
      <c r="EX117" s="883"/>
      <c r="EY117" s="883"/>
      <c r="EZ117" s="873"/>
      <c r="FA117" s="879">
        <f t="shared" si="479"/>
        <v>99820.669360739077</v>
      </c>
      <c r="FC117" s="843">
        <f t="shared" si="480"/>
        <v>10.945675304227787</v>
      </c>
      <c r="FD117" s="844">
        <f t="shared" si="454"/>
        <v>9.8218519956336579</v>
      </c>
      <c r="FE117" s="845">
        <f t="shared" si="481"/>
        <v>90893.267183936929</v>
      </c>
      <c r="FF117" s="846">
        <f t="shared" si="455"/>
        <v>99820.669360739077</v>
      </c>
      <c r="FI117" s="127"/>
    </row>
    <row r="118" spans="1:172" ht="15" customHeight="1" x14ac:dyDescent="0.25">
      <c r="A118" s="403"/>
      <c r="B118" s="883"/>
      <c r="C118" s="883"/>
      <c r="D118" s="883"/>
      <c r="E118" s="883"/>
      <c r="F118" s="883"/>
      <c r="G118" s="883"/>
      <c r="H118" s="883"/>
      <c r="I118" s="883"/>
      <c r="J118" s="883"/>
      <c r="K118" s="883"/>
      <c r="L118" s="883"/>
      <c r="M118" s="873"/>
      <c r="N118" s="879"/>
      <c r="O118" s="883"/>
      <c r="P118" s="883"/>
      <c r="Q118" s="883"/>
      <c r="R118" s="883"/>
      <c r="S118" s="883"/>
      <c r="T118" s="883"/>
      <c r="U118" s="883"/>
      <c r="V118" s="883"/>
      <c r="W118" s="883"/>
      <c r="X118" s="883"/>
      <c r="Y118" s="883"/>
      <c r="Z118" s="873"/>
      <c r="AA118" s="879"/>
      <c r="AB118" s="883"/>
      <c r="AC118" s="883"/>
      <c r="AD118" s="883"/>
      <c r="AE118" s="883"/>
      <c r="AF118" s="883"/>
      <c r="AG118" s="883"/>
      <c r="AH118" s="883"/>
      <c r="AI118" s="883"/>
      <c r="AJ118" s="883"/>
      <c r="AK118" s="883"/>
      <c r="AL118" s="883"/>
      <c r="AM118" s="873"/>
      <c r="AN118" s="879"/>
      <c r="AO118" s="883"/>
      <c r="AP118" s="883"/>
      <c r="AQ118" s="883"/>
      <c r="AR118" s="883"/>
      <c r="AS118" s="883"/>
      <c r="AT118" s="883"/>
      <c r="AU118" s="883"/>
      <c r="AV118" s="883"/>
      <c r="AW118" s="883"/>
      <c r="AX118" s="883"/>
      <c r="AY118" s="883"/>
      <c r="AZ118" s="873"/>
      <c r="BA118" s="879"/>
      <c r="BB118" s="883"/>
      <c r="BC118" s="883"/>
      <c r="BD118" s="883"/>
      <c r="BE118" s="883"/>
      <c r="BF118" s="883"/>
      <c r="BG118" s="883"/>
      <c r="BH118" s="883"/>
      <c r="BI118" s="883"/>
      <c r="BJ118" s="883"/>
      <c r="BK118" s="883"/>
      <c r="BL118" s="883"/>
      <c r="BM118" s="873"/>
      <c r="BN118" s="879"/>
      <c r="BO118" s="883"/>
      <c r="BP118" s="883"/>
      <c r="BQ118" s="883"/>
      <c r="BR118" s="883"/>
      <c r="BS118" s="883"/>
      <c r="BT118" s="883"/>
      <c r="BU118" s="883"/>
      <c r="BV118" s="883"/>
      <c r="BW118" s="883"/>
      <c r="BX118" s="883"/>
      <c r="BY118" s="883"/>
      <c r="BZ118" s="873"/>
      <c r="CA118" s="879"/>
      <c r="CB118" s="883"/>
      <c r="CC118" s="883"/>
      <c r="CD118" s="883"/>
      <c r="CE118" s="883"/>
      <c r="CF118" s="883"/>
      <c r="CG118" s="883"/>
      <c r="CH118" s="883"/>
      <c r="CI118" s="883"/>
      <c r="CJ118" s="883"/>
      <c r="CK118" s="883"/>
      <c r="CL118" s="883"/>
      <c r="CM118" s="873"/>
      <c r="CN118" s="879"/>
      <c r="CO118" s="883"/>
      <c r="CP118" s="883"/>
      <c r="CQ118" s="883"/>
      <c r="CR118" s="883"/>
      <c r="CS118" s="883"/>
      <c r="CT118" s="883"/>
      <c r="CU118" s="883"/>
      <c r="CV118" s="883"/>
      <c r="CW118" s="883"/>
      <c r="CX118" s="883"/>
      <c r="CY118" s="883"/>
      <c r="CZ118" s="873"/>
      <c r="DA118" s="879"/>
      <c r="DB118" s="883"/>
      <c r="DC118" s="883"/>
      <c r="DD118" s="883"/>
      <c r="DE118" s="883"/>
      <c r="DF118" s="883"/>
      <c r="DG118" s="883"/>
      <c r="DH118" s="883"/>
      <c r="DI118" s="883"/>
      <c r="DJ118" s="883"/>
      <c r="DK118" s="883"/>
      <c r="DL118" s="883"/>
      <c r="DM118" s="873"/>
      <c r="DN118" s="879"/>
      <c r="DO118" s="883"/>
      <c r="DP118" s="883"/>
      <c r="DQ118" s="883"/>
      <c r="DR118" s="883"/>
      <c r="DS118" s="883"/>
      <c r="DT118" s="883"/>
      <c r="DU118" s="883"/>
      <c r="DV118" s="883"/>
      <c r="DW118" s="883"/>
      <c r="DX118" s="883"/>
      <c r="DY118" s="883"/>
      <c r="DZ118" s="883"/>
      <c r="EA118" s="879"/>
      <c r="EB118" s="883"/>
      <c r="EC118" s="883"/>
      <c r="ED118" s="883"/>
      <c r="EE118" s="883"/>
      <c r="EF118" s="883"/>
      <c r="EG118" s="883"/>
      <c r="EH118" s="883"/>
      <c r="EI118" s="883"/>
      <c r="EJ118" s="883"/>
      <c r="EK118" s="883"/>
      <c r="EL118" s="883"/>
      <c r="EM118" s="883"/>
      <c r="EN118" s="879"/>
      <c r="EO118" s="883"/>
      <c r="EP118" s="883"/>
      <c r="EQ118" s="883"/>
      <c r="ER118" s="883"/>
      <c r="ES118" s="883"/>
      <c r="ET118" s="883"/>
      <c r="EU118" s="883"/>
      <c r="EV118" s="973"/>
      <c r="EW118" s="883"/>
      <c r="EX118" s="883"/>
      <c r="EY118" s="883"/>
      <c r="EZ118" s="873"/>
      <c r="FA118" s="879"/>
      <c r="FC118" s="843"/>
      <c r="FD118" s="844"/>
      <c r="FE118" s="845"/>
      <c r="FF118" s="846"/>
      <c r="FI118" s="127"/>
    </row>
    <row r="119" spans="1:172" s="753" customFormat="1" ht="15" customHeight="1" x14ac:dyDescent="0.25">
      <c r="A119" s="822" t="s">
        <v>83</v>
      </c>
      <c r="B119" s="884">
        <f t="shared" ref="B119:M119" si="900">B120+B121+B122</f>
        <v>24940.553658814089</v>
      </c>
      <c r="C119" s="884">
        <f t="shared" si="900"/>
        <v>22755.953095799523</v>
      </c>
      <c r="D119" s="884">
        <f t="shared" si="900"/>
        <v>24690.309069300842</v>
      </c>
      <c r="E119" s="884">
        <f t="shared" si="900"/>
        <v>27662.31992044855</v>
      </c>
      <c r="F119" s="884">
        <f t="shared" si="900"/>
        <v>29442.351284695513</v>
      </c>
      <c r="G119" s="884">
        <f t="shared" si="900"/>
        <v>28246.941573215659</v>
      </c>
      <c r="H119" s="884">
        <f t="shared" si="900"/>
        <v>31137.724840667765</v>
      </c>
      <c r="I119" s="884">
        <f t="shared" si="900"/>
        <v>29178.749153458753</v>
      </c>
      <c r="J119" s="884">
        <f t="shared" si="900"/>
        <v>29325.090057399691</v>
      </c>
      <c r="K119" s="884">
        <f t="shared" si="900"/>
        <v>27867.733619824809</v>
      </c>
      <c r="L119" s="884">
        <f t="shared" si="900"/>
        <v>27398.432621208685</v>
      </c>
      <c r="M119" s="875">
        <f t="shared" si="900"/>
        <v>44658.974269612518</v>
      </c>
      <c r="N119" s="876">
        <f t="shared" si="435"/>
        <v>347305.13316444639</v>
      </c>
      <c r="O119" s="884">
        <f t="shared" ref="O119:Z119" si="901">O120+O121+O122</f>
        <v>25472.980870480475</v>
      </c>
      <c r="P119" s="884">
        <f t="shared" si="901"/>
        <v>26737.758026596639</v>
      </c>
      <c r="Q119" s="884">
        <f t="shared" si="901"/>
        <v>26140.047144982895</v>
      </c>
      <c r="R119" s="884">
        <f t="shared" si="901"/>
        <v>27403.854221219422</v>
      </c>
      <c r="S119" s="884">
        <f t="shared" si="901"/>
        <v>31219.504963778658</v>
      </c>
      <c r="T119" s="884">
        <f t="shared" si="901"/>
        <v>31802.191030904243</v>
      </c>
      <c r="U119" s="884">
        <f t="shared" si="901"/>
        <v>35604.642277238367</v>
      </c>
      <c r="V119" s="884">
        <f t="shared" si="901"/>
        <v>27502.879946767644</v>
      </c>
      <c r="W119" s="884">
        <f t="shared" si="901"/>
        <v>30253.137272616095</v>
      </c>
      <c r="X119" s="884">
        <f t="shared" si="901"/>
        <v>28344.129060227395</v>
      </c>
      <c r="Y119" s="884">
        <f t="shared" si="901"/>
        <v>28410.019332858195</v>
      </c>
      <c r="Z119" s="875">
        <f t="shared" si="901"/>
        <v>51208.236261607497</v>
      </c>
      <c r="AA119" s="876">
        <f t="shared" si="437"/>
        <v>370099.38040927757</v>
      </c>
      <c r="AB119" s="884">
        <f t="shared" ref="AB119:AM119" si="902">AB120+AB121+AB122</f>
        <v>51579.887426365502</v>
      </c>
      <c r="AC119" s="884">
        <f t="shared" si="902"/>
        <v>60184.450276590265</v>
      </c>
      <c r="AD119" s="884">
        <f t="shared" si="902"/>
        <v>80343.068022333871</v>
      </c>
      <c r="AE119" s="884">
        <f t="shared" si="902"/>
        <v>68366.178021435117</v>
      </c>
      <c r="AF119" s="884">
        <f t="shared" si="902"/>
        <v>75403.188877011882</v>
      </c>
      <c r="AG119" s="884">
        <f t="shared" si="902"/>
        <v>81149.516504798841</v>
      </c>
      <c r="AH119" s="884">
        <f t="shared" si="902"/>
        <v>75647.865754686296</v>
      </c>
      <c r="AI119" s="884">
        <f t="shared" si="902"/>
        <v>74168.344265814594</v>
      </c>
      <c r="AJ119" s="884">
        <f t="shared" si="902"/>
        <v>63022.964937327568</v>
      </c>
      <c r="AK119" s="884">
        <f t="shared" si="902"/>
        <v>72054.740730829275</v>
      </c>
      <c r="AL119" s="884">
        <f t="shared" si="902"/>
        <v>91188.780948675441</v>
      </c>
      <c r="AM119" s="875">
        <f t="shared" si="902"/>
        <v>121050.49377699525</v>
      </c>
      <c r="AN119" s="876">
        <f t="shared" si="439"/>
        <v>914159.4795428639</v>
      </c>
      <c r="AO119" s="884">
        <f t="shared" ref="AO119:AZ119" si="903">AO120+AO121+AO122</f>
        <v>68801.053174783126</v>
      </c>
      <c r="AP119" s="884">
        <f t="shared" si="903"/>
        <v>74982.353703515488</v>
      </c>
      <c r="AQ119" s="884">
        <f t="shared" si="903"/>
        <v>74810.787926572768</v>
      </c>
      <c r="AR119" s="884">
        <f t="shared" si="903"/>
        <v>78922.987929091993</v>
      </c>
      <c r="AS119" s="884">
        <f t="shared" si="903"/>
        <v>88059.472743340681</v>
      </c>
      <c r="AT119" s="884">
        <f t="shared" si="903"/>
        <v>88920.929606572143</v>
      </c>
      <c r="AU119" s="884">
        <f t="shared" si="903"/>
        <v>92853.9614411402</v>
      </c>
      <c r="AV119" s="884">
        <f t="shared" si="903"/>
        <v>79663.967608921143</v>
      </c>
      <c r="AW119" s="884">
        <f t="shared" si="903"/>
        <v>76560.423017577923</v>
      </c>
      <c r="AX119" s="884">
        <f t="shared" si="903"/>
        <v>82105.852550688141</v>
      </c>
      <c r="AY119" s="884">
        <f t="shared" si="903"/>
        <v>78050.578192853791</v>
      </c>
      <c r="AZ119" s="875">
        <f t="shared" si="903"/>
        <v>106936.74396468527</v>
      </c>
      <c r="BA119" s="876">
        <f t="shared" si="441"/>
        <v>990669.11185974267</v>
      </c>
      <c r="BB119" s="884">
        <f t="shared" ref="BB119:BM119" si="904">BB120+BB121+BB122</f>
        <v>68555.965434228536</v>
      </c>
      <c r="BC119" s="884">
        <f t="shared" si="904"/>
        <v>75798.581963941193</v>
      </c>
      <c r="BD119" s="884">
        <f t="shared" si="904"/>
        <v>74971.898376924873</v>
      </c>
      <c r="BE119" s="884">
        <f t="shared" si="904"/>
        <v>82328.850026687214</v>
      </c>
      <c r="BF119" s="884">
        <f t="shared" si="904"/>
        <v>85897.942708276329</v>
      </c>
      <c r="BG119" s="884">
        <f t="shared" si="904"/>
        <v>94210.286585636495</v>
      </c>
      <c r="BH119" s="884">
        <f t="shared" si="904"/>
        <v>99013.410105980452</v>
      </c>
      <c r="BI119" s="884">
        <f t="shared" si="904"/>
        <v>86299.20130506593</v>
      </c>
      <c r="BJ119" s="884">
        <f t="shared" si="904"/>
        <v>71781.969795491372</v>
      </c>
      <c r="BK119" s="884">
        <f t="shared" si="904"/>
        <v>84608.539357083166</v>
      </c>
      <c r="BL119" s="884">
        <f t="shared" si="904"/>
        <v>90342.082681371234</v>
      </c>
      <c r="BM119" s="875">
        <f t="shared" si="904"/>
        <v>122189.50038253711</v>
      </c>
      <c r="BN119" s="876">
        <f t="shared" si="460"/>
        <v>1035998.2287232238</v>
      </c>
      <c r="BO119" s="884">
        <f t="shared" ref="BO119:BZ119" si="905">BO120+BO121+BO122</f>
        <v>72607.588726486516</v>
      </c>
      <c r="BP119" s="884">
        <f t="shared" si="905"/>
        <v>80237.064157334025</v>
      </c>
      <c r="BQ119" s="884">
        <f t="shared" si="905"/>
        <v>93157.978559567346</v>
      </c>
      <c r="BR119" s="884">
        <f t="shared" si="905"/>
        <v>102616.07543125584</v>
      </c>
      <c r="BS119" s="884">
        <f t="shared" si="905"/>
        <v>97300.024517691243</v>
      </c>
      <c r="BT119" s="884">
        <f t="shared" si="905"/>
        <v>74227.859426688869</v>
      </c>
      <c r="BU119" s="884">
        <f t="shared" si="905"/>
        <v>95288.919165264655</v>
      </c>
      <c r="BV119" s="884">
        <f t="shared" si="905"/>
        <v>111228.24144841966</v>
      </c>
      <c r="BW119" s="884">
        <f t="shared" si="905"/>
        <v>91201.116032745209</v>
      </c>
      <c r="BX119" s="884">
        <f t="shared" si="905"/>
        <v>146810.88575015217</v>
      </c>
      <c r="BY119" s="884">
        <f t="shared" si="905"/>
        <v>140325.42557804452</v>
      </c>
      <c r="BZ119" s="875">
        <f t="shared" si="905"/>
        <v>162246.15746399431</v>
      </c>
      <c r="CA119" s="876">
        <f t="shared" si="462"/>
        <v>1267247.3362576445</v>
      </c>
      <c r="CB119" s="884">
        <f t="shared" ref="CB119:CM119" si="906">CB120+CB121+CB122</f>
        <v>68339.306044791359</v>
      </c>
      <c r="CC119" s="884">
        <f t="shared" si="906"/>
        <v>81182.515401279117</v>
      </c>
      <c r="CD119" s="884">
        <f t="shared" si="906"/>
        <v>89772.468319790802</v>
      </c>
      <c r="CE119" s="884">
        <f t="shared" si="906"/>
        <v>94815.958028963432</v>
      </c>
      <c r="CF119" s="884">
        <f t="shared" si="906"/>
        <v>85808.911857143336</v>
      </c>
      <c r="CG119" s="884">
        <f t="shared" si="906"/>
        <v>86909.440445660846</v>
      </c>
      <c r="CH119" s="884">
        <f t="shared" si="906"/>
        <v>91731.467959279384</v>
      </c>
      <c r="CI119" s="884">
        <f t="shared" si="906"/>
        <v>87042.877827686709</v>
      </c>
      <c r="CJ119" s="884">
        <f t="shared" si="906"/>
        <v>106281.62540258089</v>
      </c>
      <c r="CK119" s="884">
        <f t="shared" si="906"/>
        <v>104000.36246910774</v>
      </c>
      <c r="CL119" s="884">
        <f t="shared" si="906"/>
        <v>110034.07286265231</v>
      </c>
      <c r="CM119" s="875">
        <f t="shared" si="906"/>
        <v>152118.29419210326</v>
      </c>
      <c r="CN119" s="876">
        <f t="shared" si="464"/>
        <v>1158037.3008110391</v>
      </c>
      <c r="CO119" s="884">
        <f t="shared" ref="CO119:CZ119" si="907">CO120+CO121+CO122</f>
        <v>66905.938442845596</v>
      </c>
      <c r="CP119" s="884">
        <f t="shared" si="907"/>
        <v>79726.270348472855</v>
      </c>
      <c r="CQ119" s="884">
        <f t="shared" si="907"/>
        <v>98171.285683749185</v>
      </c>
      <c r="CR119" s="884">
        <f t="shared" si="907"/>
        <v>86439.108229063801</v>
      </c>
      <c r="CS119" s="884">
        <f t="shared" si="907"/>
        <v>82735.007150877136</v>
      </c>
      <c r="CT119" s="884">
        <f t="shared" si="907"/>
        <v>98980.262294934873</v>
      </c>
      <c r="CU119" s="884">
        <f t="shared" si="907"/>
        <v>104146.83694933577</v>
      </c>
      <c r="CV119" s="884">
        <f t="shared" si="907"/>
        <v>96744.209979506471</v>
      </c>
      <c r="CW119" s="884">
        <f t="shared" si="907"/>
        <v>82562.460151525491</v>
      </c>
      <c r="CX119" s="884">
        <f t="shared" si="907"/>
        <v>93178.092974519503</v>
      </c>
      <c r="CY119" s="884">
        <f t="shared" si="907"/>
        <v>89922.746176153567</v>
      </c>
      <c r="CZ119" s="875">
        <f t="shared" si="907"/>
        <v>132117.59279650089</v>
      </c>
      <c r="DA119" s="876">
        <f t="shared" si="466"/>
        <v>1111629.8111774852</v>
      </c>
      <c r="DB119" s="884">
        <f t="shared" ref="DB119:DM119" si="908">DB120+DB121+DB122</f>
        <v>84997.54907857356</v>
      </c>
      <c r="DC119" s="884">
        <f t="shared" si="908"/>
        <v>88466.659903159773</v>
      </c>
      <c r="DD119" s="884">
        <f t="shared" si="908"/>
        <v>72313.60151299143</v>
      </c>
      <c r="DE119" s="884">
        <f t="shared" si="908"/>
        <v>74224.018465837886</v>
      </c>
      <c r="DF119" s="884">
        <f t="shared" si="908"/>
        <v>210300.83210950292</v>
      </c>
      <c r="DG119" s="884">
        <f t="shared" si="908"/>
        <v>235569.00090808145</v>
      </c>
      <c r="DH119" s="884">
        <f t="shared" si="908"/>
        <v>82395.472657198377</v>
      </c>
      <c r="DI119" s="884">
        <f t="shared" si="908"/>
        <v>75950.728170241549</v>
      </c>
      <c r="DJ119" s="884">
        <f t="shared" si="908"/>
        <v>73610.185555257893</v>
      </c>
      <c r="DK119" s="884">
        <f t="shared" si="908"/>
        <v>80054.840166141395</v>
      </c>
      <c r="DL119" s="884">
        <f t="shared" si="908"/>
        <v>80834.395414231229</v>
      </c>
      <c r="DM119" s="875">
        <f t="shared" si="908"/>
        <v>116037.1755986377</v>
      </c>
      <c r="DN119" s="876">
        <f t="shared" si="468"/>
        <v>1274754.4595398554</v>
      </c>
      <c r="DO119" s="884">
        <f>DO120+DO121+DO122</f>
        <v>87233.454858657788</v>
      </c>
      <c r="DP119" s="884">
        <f>DP120+DP121+DP122</f>
        <v>102838.73111438005</v>
      </c>
      <c r="DQ119" s="884">
        <f>DQ120+DQ121+DQ122</f>
        <v>87722.603140531253</v>
      </c>
      <c r="DR119" s="884">
        <f t="shared" ref="DR119:DZ119" si="909">DR120+DR121+DR122</f>
        <v>106059.58884771296</v>
      </c>
      <c r="DS119" s="884">
        <f t="shared" si="909"/>
        <v>108642.79043921584</v>
      </c>
      <c r="DT119" s="884">
        <f t="shared" si="909"/>
        <v>103277.22933570121</v>
      </c>
      <c r="DU119" s="884">
        <f t="shared" si="909"/>
        <v>110223.30218348783</v>
      </c>
      <c r="DV119" s="884">
        <f t="shared" si="909"/>
        <v>110760.43598274766</v>
      </c>
      <c r="DW119" s="884">
        <f t="shared" si="909"/>
        <v>100776.65208768329</v>
      </c>
      <c r="DX119" s="884">
        <f t="shared" si="909"/>
        <v>107742.19190437612</v>
      </c>
      <c r="DY119" s="884">
        <f t="shared" si="909"/>
        <v>124995.30597408599</v>
      </c>
      <c r="DZ119" s="884">
        <f t="shared" si="909"/>
        <v>145518.04674208863</v>
      </c>
      <c r="EA119" s="876">
        <f t="shared" si="471"/>
        <v>1295790.3326106686</v>
      </c>
      <c r="EB119" s="884">
        <f t="shared" ref="EB119:ED119" si="910">EB120+EB121+EB122</f>
        <v>92994.793262457737</v>
      </c>
      <c r="EC119" s="884">
        <f t="shared" si="910"/>
        <v>96642.276574912466</v>
      </c>
      <c r="ED119" s="884">
        <f t="shared" si="910"/>
        <v>100292.01136314665</v>
      </c>
      <c r="EE119" s="884">
        <f t="shared" ref="EE119:EH119" si="911">EE120+EE121+EE122</f>
        <v>104864.35706414221</v>
      </c>
      <c r="EF119" s="884">
        <f t="shared" si="911"/>
        <v>124398.20526219535</v>
      </c>
      <c r="EG119" s="884">
        <f t="shared" si="911"/>
        <v>114690.58299580042</v>
      </c>
      <c r="EH119" s="884">
        <f t="shared" si="911"/>
        <v>121884.81667116258</v>
      </c>
      <c r="EI119" s="884">
        <f t="shared" ref="EI119:EM119" si="912">EI120+EI121+EI122</f>
        <v>111037.91054588459</v>
      </c>
      <c r="EJ119" s="884">
        <f t="shared" si="912"/>
        <v>113700.94228971825</v>
      </c>
      <c r="EK119" s="884">
        <f t="shared" si="912"/>
        <v>110902.07811434887</v>
      </c>
      <c r="EL119" s="884">
        <f t="shared" si="912"/>
        <v>112962.2827845893</v>
      </c>
      <c r="EM119" s="884">
        <f t="shared" si="912"/>
        <v>151440.79062543283</v>
      </c>
      <c r="EN119" s="876">
        <f t="shared" si="475"/>
        <v>1355811.0475537912</v>
      </c>
      <c r="EO119" s="884">
        <f t="shared" ref="EO119:ER119" si="913">EO120+EO121+EO122</f>
        <v>120185.25505513635</v>
      </c>
      <c r="EP119" s="884">
        <f t="shared" si="913"/>
        <v>104368.73401192672</v>
      </c>
      <c r="EQ119" s="884">
        <f t="shared" si="913"/>
        <v>114885.92210479139</v>
      </c>
      <c r="ER119" s="884">
        <f t="shared" si="913"/>
        <v>111050.87194892972</v>
      </c>
      <c r="ES119" s="884">
        <f t="shared" ref="ES119:ET119" si="914">ES120+ES121+ES122</f>
        <v>118872.47159419772</v>
      </c>
      <c r="ET119" s="884">
        <f t="shared" si="914"/>
        <v>117172.46450820248</v>
      </c>
      <c r="EU119" s="884">
        <f>EU120+EU121+EU122</f>
        <v>126456.83678599171</v>
      </c>
      <c r="EV119" s="971">
        <f>EV120+EV121+EV122</f>
        <v>114052.64831509025</v>
      </c>
      <c r="EW119" s="884"/>
      <c r="EX119" s="884"/>
      <c r="EY119" s="884"/>
      <c r="EZ119" s="875"/>
      <c r="FA119" s="876">
        <f t="shared" si="479"/>
        <v>927045.20432426629</v>
      </c>
      <c r="FB119" s="757"/>
      <c r="FC119" s="841">
        <f t="shared" si="480"/>
        <v>2.7150526828040977</v>
      </c>
      <c r="FD119" s="842">
        <f t="shared" si="454"/>
        <v>6.9496892380075392</v>
      </c>
      <c r="FE119" s="702">
        <f t="shared" si="481"/>
        <v>866804.953739702</v>
      </c>
      <c r="FF119" s="703">
        <f t="shared" si="455"/>
        <v>927045.20432426629</v>
      </c>
      <c r="FG119"/>
      <c r="FH119" s="757"/>
      <c r="FI119" s="838"/>
      <c r="FJ119"/>
      <c r="FK119"/>
      <c r="FL119"/>
      <c r="FM119"/>
      <c r="FN119"/>
      <c r="FO119"/>
      <c r="FP119"/>
    </row>
    <row r="120" spans="1:172" ht="15" customHeight="1" x14ac:dyDescent="0.25">
      <c r="A120" s="403" t="s">
        <v>277</v>
      </c>
      <c r="B120" s="883">
        <f t="shared" ref="B120:M120" si="915">B100</f>
        <v>24940.553658814089</v>
      </c>
      <c r="C120" s="883">
        <f t="shared" si="915"/>
        <v>22755.953095799523</v>
      </c>
      <c r="D120" s="883">
        <f t="shared" si="915"/>
        <v>24690.309069300842</v>
      </c>
      <c r="E120" s="883">
        <f t="shared" si="915"/>
        <v>27662.31992044855</v>
      </c>
      <c r="F120" s="883">
        <f t="shared" si="915"/>
        <v>29442.351284695513</v>
      </c>
      <c r="G120" s="883">
        <f t="shared" si="915"/>
        <v>28246.941573215659</v>
      </c>
      <c r="H120" s="883">
        <f t="shared" si="915"/>
        <v>31137.724840667765</v>
      </c>
      <c r="I120" s="883">
        <f t="shared" si="915"/>
        <v>29178.749153458753</v>
      </c>
      <c r="J120" s="883">
        <f t="shared" si="915"/>
        <v>29325.090057399691</v>
      </c>
      <c r="K120" s="883">
        <f t="shared" si="915"/>
        <v>27867.733619824809</v>
      </c>
      <c r="L120" s="883">
        <f t="shared" si="915"/>
        <v>27398.432621208685</v>
      </c>
      <c r="M120" s="873">
        <f t="shared" si="915"/>
        <v>44658.974269612518</v>
      </c>
      <c r="N120" s="879">
        <f t="shared" si="435"/>
        <v>347305.13316444639</v>
      </c>
      <c r="O120" s="883">
        <f t="shared" ref="O120:Z120" si="916">O100</f>
        <v>25472.980870480475</v>
      </c>
      <c r="P120" s="883">
        <f t="shared" si="916"/>
        <v>26737.758026596639</v>
      </c>
      <c r="Q120" s="883">
        <f t="shared" si="916"/>
        <v>26140.047144982895</v>
      </c>
      <c r="R120" s="883">
        <f t="shared" si="916"/>
        <v>27403.854221219422</v>
      </c>
      <c r="S120" s="883">
        <f t="shared" si="916"/>
        <v>31219.504963778658</v>
      </c>
      <c r="T120" s="883">
        <f t="shared" si="916"/>
        <v>31802.191030904243</v>
      </c>
      <c r="U120" s="883">
        <f t="shared" si="916"/>
        <v>35604.642277238367</v>
      </c>
      <c r="V120" s="883">
        <f t="shared" si="916"/>
        <v>27502.879946767644</v>
      </c>
      <c r="W120" s="883">
        <f t="shared" si="916"/>
        <v>30253.137272616095</v>
      </c>
      <c r="X120" s="883">
        <f t="shared" si="916"/>
        <v>28344.129060227395</v>
      </c>
      <c r="Y120" s="883">
        <f t="shared" si="916"/>
        <v>28410.019332858195</v>
      </c>
      <c r="Z120" s="873">
        <f t="shared" si="916"/>
        <v>51208.236261607497</v>
      </c>
      <c r="AA120" s="879">
        <f t="shared" si="437"/>
        <v>370099.38040927757</v>
      </c>
      <c r="AB120" s="883">
        <f t="shared" ref="AB120:AM120" si="917">AB100</f>
        <v>27352.051313573877</v>
      </c>
      <c r="AC120" s="883">
        <f t="shared" si="917"/>
        <v>27069.579268322123</v>
      </c>
      <c r="AD120" s="883">
        <f t="shared" si="917"/>
        <v>31591.14715543788</v>
      </c>
      <c r="AE120" s="883">
        <f t="shared" si="917"/>
        <v>30368.483656758806</v>
      </c>
      <c r="AF120" s="883">
        <f t="shared" si="917"/>
        <v>33473.522495485748</v>
      </c>
      <c r="AG120" s="883">
        <f t="shared" si="917"/>
        <v>32730.779787119292</v>
      </c>
      <c r="AH120" s="883">
        <f t="shared" si="917"/>
        <v>35677.127323761764</v>
      </c>
      <c r="AI120" s="883">
        <f t="shared" si="917"/>
        <v>35874.515580912448</v>
      </c>
      <c r="AJ120" s="883">
        <f t="shared" si="917"/>
        <v>31436.154678816216</v>
      </c>
      <c r="AK120" s="883">
        <f t="shared" si="917"/>
        <v>31263.816763326111</v>
      </c>
      <c r="AL120" s="883">
        <f t="shared" si="917"/>
        <v>43470.611428000193</v>
      </c>
      <c r="AM120" s="873">
        <f t="shared" si="917"/>
        <v>55733.260987311209</v>
      </c>
      <c r="AN120" s="879">
        <f t="shared" si="439"/>
        <v>416041.05043882568</v>
      </c>
      <c r="AO120" s="883">
        <f t="shared" ref="AO120:AZ120" si="918">AO100</f>
        <v>33708.647881894671</v>
      </c>
      <c r="AP120" s="883">
        <f t="shared" si="918"/>
        <v>33148.610892498167</v>
      </c>
      <c r="AQ120" s="883">
        <f t="shared" si="918"/>
        <v>38595.216311575256</v>
      </c>
      <c r="AR120" s="883">
        <f t="shared" si="918"/>
        <v>35497.239500576106</v>
      </c>
      <c r="AS120" s="883">
        <f t="shared" si="918"/>
        <v>35375.78029230723</v>
      </c>
      <c r="AT120" s="883">
        <f t="shared" si="918"/>
        <v>46849.063194412985</v>
      </c>
      <c r="AU120" s="883">
        <f t="shared" si="918"/>
        <v>42715.001956002241</v>
      </c>
      <c r="AV120" s="883">
        <f t="shared" si="918"/>
        <v>37730.954411317143</v>
      </c>
      <c r="AW120" s="883">
        <f t="shared" si="918"/>
        <v>36621.99188889996</v>
      </c>
      <c r="AX120" s="883">
        <f t="shared" si="918"/>
        <v>37081.633774901238</v>
      </c>
      <c r="AY120" s="883">
        <f t="shared" si="918"/>
        <v>36983.296971286974</v>
      </c>
      <c r="AZ120" s="873">
        <f t="shared" si="918"/>
        <v>49174.663055350669</v>
      </c>
      <c r="BA120" s="879">
        <f t="shared" si="441"/>
        <v>463482.10013102263</v>
      </c>
      <c r="BB120" s="883">
        <f t="shared" ref="BB120:BM120" si="919">BB100</f>
        <v>32328.56420654292</v>
      </c>
      <c r="BC120" s="883">
        <f t="shared" si="919"/>
        <v>35398.569425078655</v>
      </c>
      <c r="BD120" s="883">
        <f t="shared" si="919"/>
        <v>35313.787782938147</v>
      </c>
      <c r="BE120" s="883">
        <f t="shared" si="919"/>
        <v>37767.039682627714</v>
      </c>
      <c r="BF120" s="883">
        <f t="shared" si="919"/>
        <v>37574.560100710114</v>
      </c>
      <c r="BG120" s="883">
        <f t="shared" si="919"/>
        <v>51262.992858126236</v>
      </c>
      <c r="BH120" s="883">
        <f t="shared" si="919"/>
        <v>40977.036608254042</v>
      </c>
      <c r="BI120" s="883">
        <f t="shared" si="919"/>
        <v>47108.851048982149</v>
      </c>
      <c r="BJ120" s="883">
        <f t="shared" si="919"/>
        <v>30947.172655550246</v>
      </c>
      <c r="BK120" s="883">
        <f t="shared" si="919"/>
        <v>41769.405624168983</v>
      </c>
      <c r="BL120" s="883">
        <f t="shared" si="919"/>
        <v>40329.202071949068</v>
      </c>
      <c r="BM120" s="873">
        <f t="shared" si="919"/>
        <v>65948.435966992343</v>
      </c>
      <c r="BN120" s="879">
        <f t="shared" si="460"/>
        <v>496725.61803192063</v>
      </c>
      <c r="BO120" s="883">
        <f t="shared" ref="BO120:BZ120" si="920">BO100</f>
        <v>37343.091886372429</v>
      </c>
      <c r="BP120" s="883">
        <f t="shared" si="920"/>
        <v>35279.247016519694</v>
      </c>
      <c r="BQ120" s="883">
        <f t="shared" si="920"/>
        <v>38916.546802604258</v>
      </c>
      <c r="BR120" s="883">
        <f t="shared" si="920"/>
        <v>41518.012066559866</v>
      </c>
      <c r="BS120" s="883">
        <f t="shared" si="920"/>
        <v>40134.592403114148</v>
      </c>
      <c r="BT120" s="883">
        <f t="shared" si="920"/>
        <v>41650.565663976929</v>
      </c>
      <c r="BU120" s="883">
        <f t="shared" si="920"/>
        <v>44195.470568855861</v>
      </c>
      <c r="BV120" s="883">
        <f t="shared" si="920"/>
        <v>48292.164263774437</v>
      </c>
      <c r="BW120" s="883">
        <f t="shared" si="920"/>
        <v>41327.57879800682</v>
      </c>
      <c r="BX120" s="883">
        <f t="shared" si="920"/>
        <v>50907.647755272235</v>
      </c>
      <c r="BY120" s="883">
        <f t="shared" si="920"/>
        <v>65894.88422849495</v>
      </c>
      <c r="BZ120" s="873">
        <f t="shared" si="920"/>
        <v>63586.17462120382</v>
      </c>
      <c r="CA120" s="879">
        <f t="shared" si="462"/>
        <v>549045.97607475554</v>
      </c>
      <c r="CB120" s="883">
        <f t="shared" ref="CB120:CM120" si="921">CB100</f>
        <v>41337.603664393457</v>
      </c>
      <c r="CC120" s="883">
        <f t="shared" si="921"/>
        <v>38935.866152012357</v>
      </c>
      <c r="CD120" s="883">
        <f t="shared" si="921"/>
        <v>46463.192036884386</v>
      </c>
      <c r="CE120" s="883">
        <f t="shared" si="921"/>
        <v>45551.097002343864</v>
      </c>
      <c r="CF120" s="883">
        <f t="shared" si="921"/>
        <v>44866.320007870905</v>
      </c>
      <c r="CG120" s="883">
        <f t="shared" si="921"/>
        <v>45428.678554750084</v>
      </c>
      <c r="CH120" s="883">
        <f t="shared" si="921"/>
        <v>47252.816057125681</v>
      </c>
      <c r="CI120" s="883">
        <f t="shared" si="921"/>
        <v>43861.000628340713</v>
      </c>
      <c r="CJ120" s="883">
        <f t="shared" si="921"/>
        <v>48037.571026707665</v>
      </c>
      <c r="CK120" s="883">
        <f t="shared" si="921"/>
        <v>45044.197739966658</v>
      </c>
      <c r="CL120" s="883">
        <f t="shared" si="921"/>
        <v>53737.783649531862</v>
      </c>
      <c r="CM120" s="873">
        <f t="shared" si="921"/>
        <v>66178.938674820791</v>
      </c>
      <c r="CN120" s="879">
        <f t="shared" si="464"/>
        <v>566695.06519474846</v>
      </c>
      <c r="CO120" s="883">
        <f t="shared" ref="CO120:CZ120" si="922">CO100</f>
        <v>38377.442269191226</v>
      </c>
      <c r="CP120" s="883">
        <f t="shared" si="922"/>
        <v>41496.223072562323</v>
      </c>
      <c r="CQ120" s="883">
        <f t="shared" si="922"/>
        <v>45749.618386778762</v>
      </c>
      <c r="CR120" s="883">
        <f t="shared" si="922"/>
        <v>43198.485326715934</v>
      </c>
      <c r="CS120" s="883">
        <f t="shared" si="922"/>
        <v>43867.005262154336</v>
      </c>
      <c r="CT120" s="883">
        <f t="shared" si="922"/>
        <v>49729.765275318176</v>
      </c>
      <c r="CU120" s="883">
        <f t="shared" si="922"/>
        <v>58844.923701590727</v>
      </c>
      <c r="CV120" s="883">
        <f t="shared" si="922"/>
        <v>48196.173935560524</v>
      </c>
      <c r="CW120" s="883">
        <f t="shared" si="922"/>
        <v>40729.226772749636</v>
      </c>
      <c r="CX120" s="883">
        <f t="shared" si="922"/>
        <v>39009.686658386599</v>
      </c>
      <c r="CY120" s="883">
        <f t="shared" si="922"/>
        <v>41708.360197954731</v>
      </c>
      <c r="CZ120" s="873">
        <f t="shared" si="922"/>
        <v>67360.980361509879</v>
      </c>
      <c r="DA120" s="879">
        <f t="shared" si="466"/>
        <v>558267.89122047287</v>
      </c>
      <c r="DB120" s="883">
        <f t="shared" ref="DB120:DM120" si="923">DB100</f>
        <v>49961.534119819269</v>
      </c>
      <c r="DC120" s="883">
        <f t="shared" si="923"/>
        <v>44933.138005500128</v>
      </c>
      <c r="DD120" s="883">
        <f t="shared" si="923"/>
        <v>45014.899595891919</v>
      </c>
      <c r="DE120" s="883">
        <f t="shared" si="923"/>
        <v>43669.561749065979</v>
      </c>
      <c r="DF120" s="883">
        <f t="shared" si="923"/>
        <v>46536.073159518011</v>
      </c>
      <c r="DG120" s="883">
        <f t="shared" si="923"/>
        <v>53771.224901215879</v>
      </c>
      <c r="DH120" s="883">
        <f t="shared" si="923"/>
        <v>53946.654505623046</v>
      </c>
      <c r="DI120" s="883">
        <f t="shared" si="923"/>
        <v>46337.030084000842</v>
      </c>
      <c r="DJ120" s="883">
        <f t="shared" si="923"/>
        <v>47615.102791218727</v>
      </c>
      <c r="DK120" s="883">
        <f t="shared" si="923"/>
        <v>47702.525686112691</v>
      </c>
      <c r="DL120" s="883">
        <f t="shared" si="923"/>
        <v>51743.501981240741</v>
      </c>
      <c r="DM120" s="873">
        <f t="shared" si="923"/>
        <v>71907.213137313476</v>
      </c>
      <c r="DN120" s="879">
        <f t="shared" si="468"/>
        <v>603138.45971652074</v>
      </c>
      <c r="DO120" s="883">
        <f t="shared" ref="DO120:DQ120" si="924">DO100</f>
        <v>57936.530718877199</v>
      </c>
      <c r="DP120" s="883">
        <f t="shared" si="924"/>
        <v>47382.10243813329</v>
      </c>
      <c r="DQ120" s="883">
        <f t="shared" si="924"/>
        <v>46075.027464852465</v>
      </c>
      <c r="DR120" s="883">
        <f t="shared" ref="DR120:DZ120" si="925">DR100</f>
        <v>55357.834203975573</v>
      </c>
      <c r="DS120" s="883">
        <f t="shared" si="925"/>
        <v>57498.040404457723</v>
      </c>
      <c r="DT120" s="883">
        <f t="shared" si="925"/>
        <v>54966.978724638975</v>
      </c>
      <c r="DU120" s="883">
        <f t="shared" si="925"/>
        <v>56025.590451244636</v>
      </c>
      <c r="DV120" s="883">
        <f t="shared" si="925"/>
        <v>57755.892800350703</v>
      </c>
      <c r="DW120" s="883">
        <f t="shared" si="925"/>
        <v>51912.97294303713</v>
      </c>
      <c r="DX120" s="883">
        <f t="shared" si="925"/>
        <v>58364.955070005002</v>
      </c>
      <c r="DY120" s="883">
        <f t="shared" si="925"/>
        <v>75611.751564413513</v>
      </c>
      <c r="DZ120" s="883">
        <f t="shared" si="925"/>
        <v>72471.935916073417</v>
      </c>
      <c r="EA120" s="879">
        <f t="shared" si="471"/>
        <v>691359.61270005954</v>
      </c>
      <c r="EB120" s="883">
        <f t="shared" ref="EB120:ED120" si="926">EB100</f>
        <v>52860.034854620142</v>
      </c>
      <c r="EC120" s="883">
        <f t="shared" si="926"/>
        <v>49954.760516421193</v>
      </c>
      <c r="ED120" s="883">
        <f t="shared" si="926"/>
        <v>51539.787718625143</v>
      </c>
      <c r="EE120" s="883">
        <f t="shared" ref="EE120:EH120" si="927">EE100</f>
        <v>54302.677546949773</v>
      </c>
      <c r="EF120" s="883">
        <f t="shared" si="927"/>
        <v>66935.183557124983</v>
      </c>
      <c r="EG120" s="883">
        <f t="shared" si="927"/>
        <v>57680.963598708513</v>
      </c>
      <c r="EH120" s="883">
        <f t="shared" si="927"/>
        <v>62058.033729897739</v>
      </c>
      <c r="EI120" s="883">
        <f t="shared" ref="EI120:EM120" si="928">EI100</f>
        <v>59689.051674377355</v>
      </c>
      <c r="EJ120" s="883">
        <f t="shared" si="928"/>
        <v>59164.912222145373</v>
      </c>
      <c r="EK120" s="883">
        <f t="shared" si="928"/>
        <v>56158.017109862885</v>
      </c>
      <c r="EL120" s="883">
        <f t="shared" si="928"/>
        <v>61174.740985878365</v>
      </c>
      <c r="EM120" s="883">
        <f t="shared" si="928"/>
        <v>76243.500400892808</v>
      </c>
      <c r="EN120" s="879">
        <f t="shared" si="475"/>
        <v>707761.66391550435</v>
      </c>
      <c r="EO120" s="883">
        <f t="shared" ref="EO120:ER120" si="929">EO100</f>
        <v>69283.008983065854</v>
      </c>
      <c r="EP120" s="883">
        <f t="shared" si="929"/>
        <v>56983.441516947569</v>
      </c>
      <c r="EQ120" s="883">
        <f t="shared" si="929"/>
        <v>58286.364851981874</v>
      </c>
      <c r="ER120" s="883">
        <f t="shared" si="929"/>
        <v>59726.090056300876</v>
      </c>
      <c r="ES120" s="883">
        <f t="shared" ref="ES120:EU120" si="930">ES100</f>
        <v>59845.833993913518</v>
      </c>
      <c r="ET120" s="883">
        <f t="shared" si="930"/>
        <v>60184.032621794875</v>
      </c>
      <c r="EU120" s="883">
        <f t="shared" si="930"/>
        <v>62882.591062663058</v>
      </c>
      <c r="EV120" s="973">
        <f t="shared" ref="EV120" si="931">EV100</f>
        <v>59231.316956355266</v>
      </c>
      <c r="EW120" s="883"/>
      <c r="EX120" s="883"/>
      <c r="EY120" s="883"/>
      <c r="EZ120" s="873"/>
      <c r="FA120" s="879">
        <f t="shared" si="479"/>
        <v>486422.68004302285</v>
      </c>
      <c r="FC120" s="843">
        <f t="shared" si="480"/>
        <v>-0.76686545552637764</v>
      </c>
      <c r="FD120" s="844">
        <f t="shared" si="454"/>
        <v>6.9012686935666201</v>
      </c>
      <c r="FE120" s="845">
        <f t="shared" si="481"/>
        <v>455020.49319672486</v>
      </c>
      <c r="FF120" s="846">
        <f t="shared" si="455"/>
        <v>486422.68004302285</v>
      </c>
      <c r="FI120" s="127"/>
    </row>
    <row r="121" spans="1:172" ht="15" customHeight="1" x14ac:dyDescent="0.25">
      <c r="A121" s="403" t="s">
        <v>289</v>
      </c>
      <c r="B121" s="883">
        <f t="shared" ref="B121:M121" si="932">B106</f>
        <v>0</v>
      </c>
      <c r="C121" s="883">
        <f t="shared" si="932"/>
        <v>0</v>
      </c>
      <c r="D121" s="883">
        <f t="shared" si="932"/>
        <v>0</v>
      </c>
      <c r="E121" s="883">
        <f t="shared" si="932"/>
        <v>0</v>
      </c>
      <c r="F121" s="883">
        <f t="shared" si="932"/>
        <v>0</v>
      </c>
      <c r="G121" s="883">
        <f t="shared" si="932"/>
        <v>0</v>
      </c>
      <c r="H121" s="883">
        <f t="shared" si="932"/>
        <v>0</v>
      </c>
      <c r="I121" s="883">
        <f t="shared" si="932"/>
        <v>0</v>
      </c>
      <c r="J121" s="883">
        <f t="shared" si="932"/>
        <v>0</v>
      </c>
      <c r="K121" s="883">
        <f t="shared" si="932"/>
        <v>0</v>
      </c>
      <c r="L121" s="883">
        <f t="shared" si="932"/>
        <v>0</v>
      </c>
      <c r="M121" s="873">
        <f t="shared" si="932"/>
        <v>0</v>
      </c>
      <c r="N121" s="879">
        <f t="shared" si="435"/>
        <v>0</v>
      </c>
      <c r="O121" s="883">
        <f t="shared" ref="O121:Z121" si="933">O106</f>
        <v>0</v>
      </c>
      <c r="P121" s="883">
        <f t="shared" si="933"/>
        <v>0</v>
      </c>
      <c r="Q121" s="883">
        <f t="shared" si="933"/>
        <v>0</v>
      </c>
      <c r="R121" s="883">
        <f t="shared" si="933"/>
        <v>0</v>
      </c>
      <c r="S121" s="883">
        <f t="shared" si="933"/>
        <v>0</v>
      </c>
      <c r="T121" s="883">
        <f t="shared" si="933"/>
        <v>0</v>
      </c>
      <c r="U121" s="883">
        <f t="shared" si="933"/>
        <v>0</v>
      </c>
      <c r="V121" s="883">
        <f t="shared" si="933"/>
        <v>0</v>
      </c>
      <c r="W121" s="883">
        <f t="shared" si="933"/>
        <v>0</v>
      </c>
      <c r="X121" s="883">
        <f t="shared" si="933"/>
        <v>0</v>
      </c>
      <c r="Y121" s="883">
        <f t="shared" si="933"/>
        <v>0</v>
      </c>
      <c r="Z121" s="873">
        <f t="shared" si="933"/>
        <v>0</v>
      </c>
      <c r="AA121" s="879">
        <f t="shared" si="437"/>
        <v>0</v>
      </c>
      <c r="AB121" s="883">
        <f t="shared" ref="AB121:AM121" si="934">AB106</f>
        <v>16823.991146804339</v>
      </c>
      <c r="AC121" s="883">
        <f t="shared" si="934"/>
        <v>24284.265674167211</v>
      </c>
      <c r="AD121" s="883">
        <f t="shared" si="934"/>
        <v>36441.853270987951</v>
      </c>
      <c r="AE121" s="883">
        <f t="shared" si="934"/>
        <v>27634.677015515826</v>
      </c>
      <c r="AF121" s="883">
        <f t="shared" si="934"/>
        <v>28809.661152595156</v>
      </c>
      <c r="AG121" s="883">
        <f t="shared" si="934"/>
        <v>35141.738332366564</v>
      </c>
      <c r="AH121" s="883">
        <f t="shared" si="934"/>
        <v>27512.279334082432</v>
      </c>
      <c r="AI121" s="883">
        <f t="shared" si="934"/>
        <v>26275.199585775099</v>
      </c>
      <c r="AJ121" s="883">
        <f t="shared" si="934"/>
        <v>22776.820240261746</v>
      </c>
      <c r="AK121" s="883">
        <f t="shared" si="934"/>
        <v>30290.100215030445</v>
      </c>
      <c r="AL121" s="883">
        <f t="shared" si="934"/>
        <v>35743.337957476579</v>
      </c>
      <c r="AM121" s="873">
        <f t="shared" si="934"/>
        <v>47642.438501680663</v>
      </c>
      <c r="AN121" s="879">
        <f t="shared" si="439"/>
        <v>359376.36242674402</v>
      </c>
      <c r="AO121" s="883">
        <f t="shared" ref="AO121:AZ121" si="935">AO106</f>
        <v>28404.068236834475</v>
      </c>
      <c r="AP121" s="883">
        <f t="shared" si="935"/>
        <v>32213.959791626763</v>
      </c>
      <c r="AQ121" s="883">
        <f t="shared" si="935"/>
        <v>24469.029844001161</v>
      </c>
      <c r="AR121" s="883">
        <f t="shared" si="935"/>
        <v>31759.658153772973</v>
      </c>
      <c r="AS121" s="883">
        <f t="shared" si="935"/>
        <v>39036.746584404944</v>
      </c>
      <c r="AT121" s="883">
        <f t="shared" si="935"/>
        <v>30223.23731306335</v>
      </c>
      <c r="AU121" s="883">
        <f t="shared" si="935"/>
        <v>37723.653744488773</v>
      </c>
      <c r="AV121" s="883">
        <f t="shared" si="935"/>
        <v>31446.746500407891</v>
      </c>
      <c r="AW121" s="883">
        <f t="shared" si="935"/>
        <v>31334.399679760889</v>
      </c>
      <c r="AX121" s="883">
        <f t="shared" si="935"/>
        <v>33517.10161784129</v>
      </c>
      <c r="AY121" s="883">
        <f t="shared" si="935"/>
        <v>28530.990011766291</v>
      </c>
      <c r="AZ121" s="873">
        <f t="shared" si="935"/>
        <v>44033.427694600323</v>
      </c>
      <c r="BA121" s="879">
        <f t="shared" si="441"/>
        <v>392693.01917256915</v>
      </c>
      <c r="BB121" s="883">
        <f t="shared" ref="BB121:BM121" si="936">BB106</f>
        <v>31333.508943065943</v>
      </c>
      <c r="BC121" s="883">
        <f t="shared" si="936"/>
        <v>31092.796818643859</v>
      </c>
      <c r="BD121" s="883">
        <f t="shared" si="936"/>
        <v>27793.678332127922</v>
      </c>
      <c r="BE121" s="883">
        <f t="shared" si="936"/>
        <v>32160.552843300495</v>
      </c>
      <c r="BF121" s="883">
        <f t="shared" si="936"/>
        <v>34380.634631889494</v>
      </c>
      <c r="BG121" s="883">
        <f t="shared" si="936"/>
        <v>30211.767709938464</v>
      </c>
      <c r="BH121" s="883">
        <f t="shared" si="936"/>
        <v>43449.023327309325</v>
      </c>
      <c r="BI121" s="883">
        <f t="shared" si="936"/>
        <v>28086.837717950511</v>
      </c>
      <c r="BJ121" s="883">
        <f t="shared" si="936"/>
        <v>29834.184793888853</v>
      </c>
      <c r="BK121" s="883">
        <f t="shared" si="936"/>
        <v>32118.218386319331</v>
      </c>
      <c r="BL121" s="883">
        <f t="shared" si="936"/>
        <v>37813.327147925032</v>
      </c>
      <c r="BM121" s="873">
        <f t="shared" si="936"/>
        <v>40501.016770205286</v>
      </c>
      <c r="BN121" s="879">
        <f t="shared" si="460"/>
        <v>398775.54742256453</v>
      </c>
      <c r="BO121" s="883">
        <f t="shared" ref="BO121:BZ121" si="937">BO106</f>
        <v>25614.226252805383</v>
      </c>
      <c r="BP121" s="883">
        <f t="shared" si="937"/>
        <v>34864.211877554793</v>
      </c>
      <c r="BQ121" s="883">
        <f t="shared" si="937"/>
        <v>39638.028483406728</v>
      </c>
      <c r="BR121" s="883">
        <f t="shared" si="937"/>
        <v>51150.797722680109</v>
      </c>
      <c r="BS121" s="883">
        <f t="shared" si="937"/>
        <v>47544.61537489255</v>
      </c>
      <c r="BT121" s="883">
        <f t="shared" si="937"/>
        <v>22732.795859343376</v>
      </c>
      <c r="BU121" s="883">
        <f t="shared" si="937"/>
        <v>32280.398724746206</v>
      </c>
      <c r="BV121" s="883">
        <f t="shared" si="937"/>
        <v>49695.333831771844</v>
      </c>
      <c r="BW121" s="883">
        <f t="shared" si="937"/>
        <v>33415.044848572157</v>
      </c>
      <c r="BX121" s="883">
        <f t="shared" si="937"/>
        <v>73946.487907618895</v>
      </c>
      <c r="BY121" s="883">
        <f t="shared" si="937"/>
        <v>52842.8689587068</v>
      </c>
      <c r="BZ121" s="873">
        <f t="shared" si="937"/>
        <v>65209.393008817839</v>
      </c>
      <c r="CA121" s="879">
        <f t="shared" si="462"/>
        <v>528934.20285091677</v>
      </c>
      <c r="CB121" s="883">
        <f t="shared" ref="CB121:CM121" si="938">CB106</f>
        <v>20143.508625383587</v>
      </c>
      <c r="CC121" s="883">
        <f t="shared" si="938"/>
        <v>33121.867748668417</v>
      </c>
      <c r="CD121" s="883">
        <f t="shared" si="938"/>
        <v>26696.188842842876</v>
      </c>
      <c r="CE121" s="883">
        <f t="shared" si="938"/>
        <v>34788.571475498946</v>
      </c>
      <c r="CF121" s="883">
        <f t="shared" si="938"/>
        <v>25060.050856673246</v>
      </c>
      <c r="CG121" s="883">
        <f t="shared" si="938"/>
        <v>27101.663955897224</v>
      </c>
      <c r="CH121" s="883">
        <f t="shared" si="938"/>
        <v>30807.702888092655</v>
      </c>
      <c r="CI121" s="883">
        <f t="shared" si="938"/>
        <v>28459.237594749455</v>
      </c>
      <c r="CJ121" s="883">
        <f t="shared" si="938"/>
        <v>43133.495113974233</v>
      </c>
      <c r="CK121" s="883">
        <f t="shared" si="938"/>
        <v>46367.53769107601</v>
      </c>
      <c r="CL121" s="883">
        <f t="shared" si="938"/>
        <v>40883.370955577921</v>
      </c>
      <c r="CM121" s="873">
        <f t="shared" si="938"/>
        <v>60499.937907019805</v>
      </c>
      <c r="CN121" s="879">
        <f t="shared" si="464"/>
        <v>417063.13365545438</v>
      </c>
      <c r="CO121" s="883">
        <f t="shared" ref="CO121:CZ121" si="939">CO106</f>
        <v>21751.050664957609</v>
      </c>
      <c r="CP121" s="883">
        <f t="shared" si="939"/>
        <v>26785.775979543956</v>
      </c>
      <c r="CQ121" s="883">
        <f t="shared" si="939"/>
        <v>35984.56376969385</v>
      </c>
      <c r="CR121" s="883">
        <f t="shared" si="939"/>
        <v>31117.370136527657</v>
      </c>
      <c r="CS121" s="883">
        <f t="shared" si="939"/>
        <v>23563.395851966601</v>
      </c>
      <c r="CT121" s="883">
        <f t="shared" si="939"/>
        <v>34581.962895233344</v>
      </c>
      <c r="CU121" s="883">
        <f t="shared" si="939"/>
        <v>29363.069975222803</v>
      </c>
      <c r="CV121" s="883">
        <f t="shared" si="939"/>
        <v>33440.904080953005</v>
      </c>
      <c r="CW121" s="883">
        <f t="shared" si="939"/>
        <v>27563.07046516471</v>
      </c>
      <c r="CX121" s="883">
        <f t="shared" si="939"/>
        <v>40466.651766731535</v>
      </c>
      <c r="CY121" s="883">
        <f t="shared" si="939"/>
        <v>34092.293155574851</v>
      </c>
      <c r="CZ121" s="873">
        <f t="shared" si="939"/>
        <v>44008.768758548664</v>
      </c>
      <c r="DA121" s="879">
        <f t="shared" si="466"/>
        <v>382718.87750011857</v>
      </c>
      <c r="DB121" s="883">
        <f t="shared" ref="DB121:DM121" si="940">DB106</f>
        <v>29887.234478498907</v>
      </c>
      <c r="DC121" s="883">
        <f t="shared" si="940"/>
        <v>32279.963056963072</v>
      </c>
      <c r="DD121" s="883">
        <f t="shared" si="940"/>
        <v>27274.808376233967</v>
      </c>
      <c r="DE121" s="883">
        <f t="shared" si="940"/>
        <v>30524.811818595757</v>
      </c>
      <c r="DF121" s="883">
        <f t="shared" si="940"/>
        <v>28099.639643028218</v>
      </c>
      <c r="DG121" s="883">
        <f t="shared" si="940"/>
        <v>32104.43268776733</v>
      </c>
      <c r="DH121" s="883">
        <f t="shared" si="940"/>
        <v>28448.818151575324</v>
      </c>
      <c r="DI121" s="883">
        <f t="shared" si="940"/>
        <v>29613.6980862407</v>
      </c>
      <c r="DJ121" s="883">
        <f t="shared" si="940"/>
        <v>25995.082764039165</v>
      </c>
      <c r="DK121" s="883">
        <f t="shared" si="940"/>
        <v>32352.314480028708</v>
      </c>
      <c r="DL121" s="883">
        <f t="shared" si="940"/>
        <v>29090.893432990488</v>
      </c>
      <c r="DM121" s="873">
        <f t="shared" si="940"/>
        <v>44129.962461324212</v>
      </c>
      <c r="DN121" s="879">
        <f t="shared" si="468"/>
        <v>369801.65943728585</v>
      </c>
      <c r="DO121" s="883">
        <f t="shared" ref="DO121:DQ121" si="941">DO106</f>
        <v>23131.994229170501</v>
      </c>
      <c r="DP121" s="883">
        <f t="shared" si="941"/>
        <v>41945.047625318519</v>
      </c>
      <c r="DQ121" s="883">
        <f t="shared" si="941"/>
        <v>25830.331613662092</v>
      </c>
      <c r="DR121" s="883">
        <f t="shared" ref="DR121:DZ121" si="942">DR106</f>
        <v>33402.555910373616</v>
      </c>
      <c r="DS121" s="883">
        <f t="shared" si="942"/>
        <v>32066.975463451963</v>
      </c>
      <c r="DT121" s="883">
        <f t="shared" si="942"/>
        <v>31023.038367124893</v>
      </c>
      <c r="DU121" s="883">
        <f t="shared" si="942"/>
        <v>37007.094265813648</v>
      </c>
      <c r="DV121" s="883">
        <f t="shared" si="942"/>
        <v>34995.22216103247</v>
      </c>
      <c r="DW121" s="883">
        <f t="shared" si="942"/>
        <v>31934.40899009335</v>
      </c>
      <c r="DX121" s="883">
        <f t="shared" si="942"/>
        <v>31735.129007150412</v>
      </c>
      <c r="DY121" s="883">
        <f t="shared" si="942"/>
        <v>30527.973430120954</v>
      </c>
      <c r="DZ121" s="883">
        <f t="shared" si="942"/>
        <v>46247.413700808465</v>
      </c>
      <c r="EA121" s="879">
        <f t="shared" si="471"/>
        <v>399847.1847641209</v>
      </c>
      <c r="EB121" s="883">
        <f t="shared" ref="EB121:ED121" si="943">EB106</f>
        <v>32278.69996177356</v>
      </c>
      <c r="EC121" s="883">
        <f t="shared" si="943"/>
        <v>30394.737746351595</v>
      </c>
      <c r="ED121" s="883">
        <f t="shared" si="943"/>
        <v>31614.895287961088</v>
      </c>
      <c r="EE121" s="883">
        <f t="shared" ref="EE121:EH121" si="944">EE106</f>
        <v>31714.755401310151</v>
      </c>
      <c r="EF121" s="883">
        <f t="shared" si="944"/>
        <v>37223.787374944826</v>
      </c>
      <c r="EG121" s="883">
        <f t="shared" si="944"/>
        <v>38890.750791502687</v>
      </c>
      <c r="EH121" s="883">
        <f t="shared" si="944"/>
        <v>39962.024113758504</v>
      </c>
      <c r="EI121" s="883">
        <f t="shared" ref="EI121:EM121" si="945">EI106</f>
        <v>32894.386539565581</v>
      </c>
      <c r="EJ121" s="883">
        <f t="shared" si="945"/>
        <v>36613.646833370447</v>
      </c>
      <c r="EK121" s="883">
        <f t="shared" si="945"/>
        <v>35564.883560448819</v>
      </c>
      <c r="EL121" s="883">
        <f t="shared" si="945"/>
        <v>35979.642230296202</v>
      </c>
      <c r="EM121" s="883">
        <f t="shared" si="945"/>
        <v>52308.389432177515</v>
      </c>
      <c r="EN121" s="879">
        <f t="shared" si="475"/>
        <v>435440.59927346098</v>
      </c>
      <c r="EO121" s="883">
        <f t="shared" ref="EO121:ER121" si="946">EO106</f>
        <v>41783.427552416179</v>
      </c>
      <c r="EP121" s="883">
        <f t="shared" si="946"/>
        <v>29103.866594700496</v>
      </c>
      <c r="EQ121" s="883">
        <f t="shared" si="946"/>
        <v>37188.511374938615</v>
      </c>
      <c r="ER121" s="883">
        <f t="shared" si="946"/>
        <v>33192.672274534198</v>
      </c>
      <c r="ES121" s="883">
        <f t="shared" ref="ES121:EU121" si="947">ES106</f>
        <v>38140.289590757602</v>
      </c>
      <c r="ET121" s="883">
        <f t="shared" si="947"/>
        <v>37067.667301372632</v>
      </c>
      <c r="EU121" s="883">
        <f t="shared" si="947"/>
        <v>41876.959439157072</v>
      </c>
      <c r="EV121" s="973">
        <f t="shared" ref="EV121" si="948">EV106</f>
        <v>34436.652474112292</v>
      </c>
      <c r="EW121" s="883"/>
      <c r="EX121" s="883"/>
      <c r="EY121" s="883"/>
      <c r="EZ121" s="873"/>
      <c r="FA121" s="879">
        <f t="shared" si="479"/>
        <v>292790.04660198907</v>
      </c>
      <c r="FC121" s="843">
        <f>IFERROR(((
_xlfn.XLOOKUP((DATE(YEAR($FC$5),MONTH($FC$5),1)),$B$5:$FA$5,$B121:$FA121) /
_xlfn.XLOOKUP((DATE(YEAR($FC$5)-1,MONTH($FC$5),1)),$B$5:$FA$5,$B121:$FA121)
)-1)*100,"")</f>
        <v>4.6885383701917194</v>
      </c>
      <c r="FD121" s="844">
        <f t="shared" si="454"/>
        <v>6.4791605655302176</v>
      </c>
      <c r="FE121" s="845">
        <f t="shared" si="481"/>
        <v>274974.03721716796</v>
      </c>
      <c r="FF121" s="846">
        <f t="shared" si="455"/>
        <v>292790.04660198907</v>
      </c>
      <c r="FI121" s="127"/>
    </row>
    <row r="122" spans="1:172" ht="15" customHeight="1" x14ac:dyDescent="0.25">
      <c r="A122" s="403" t="s">
        <v>278</v>
      </c>
      <c r="B122" s="883">
        <f t="shared" ref="B122:M122" si="949">B112</f>
        <v>0</v>
      </c>
      <c r="C122" s="883">
        <f t="shared" si="949"/>
        <v>0</v>
      </c>
      <c r="D122" s="883">
        <f t="shared" si="949"/>
        <v>0</v>
      </c>
      <c r="E122" s="883">
        <f t="shared" si="949"/>
        <v>0</v>
      </c>
      <c r="F122" s="883">
        <f t="shared" si="949"/>
        <v>0</v>
      </c>
      <c r="G122" s="883">
        <f t="shared" si="949"/>
        <v>0</v>
      </c>
      <c r="H122" s="883">
        <f t="shared" si="949"/>
        <v>0</v>
      </c>
      <c r="I122" s="883">
        <f t="shared" si="949"/>
        <v>0</v>
      </c>
      <c r="J122" s="883">
        <f t="shared" si="949"/>
        <v>0</v>
      </c>
      <c r="K122" s="883">
        <f t="shared" si="949"/>
        <v>0</v>
      </c>
      <c r="L122" s="883">
        <f t="shared" si="949"/>
        <v>0</v>
      </c>
      <c r="M122" s="873">
        <f t="shared" si="949"/>
        <v>0</v>
      </c>
      <c r="N122" s="879">
        <f t="shared" si="435"/>
        <v>0</v>
      </c>
      <c r="O122" s="883">
        <f t="shared" ref="O122:Z122" si="950">O112</f>
        <v>0</v>
      </c>
      <c r="P122" s="883">
        <f t="shared" si="950"/>
        <v>0</v>
      </c>
      <c r="Q122" s="883">
        <f t="shared" si="950"/>
        <v>0</v>
      </c>
      <c r="R122" s="883">
        <f t="shared" si="950"/>
        <v>0</v>
      </c>
      <c r="S122" s="883">
        <f t="shared" si="950"/>
        <v>0</v>
      </c>
      <c r="T122" s="883">
        <f t="shared" si="950"/>
        <v>0</v>
      </c>
      <c r="U122" s="883">
        <f t="shared" si="950"/>
        <v>0</v>
      </c>
      <c r="V122" s="883">
        <f t="shared" si="950"/>
        <v>0</v>
      </c>
      <c r="W122" s="883">
        <f t="shared" si="950"/>
        <v>0</v>
      </c>
      <c r="X122" s="883">
        <f t="shared" si="950"/>
        <v>0</v>
      </c>
      <c r="Y122" s="883">
        <f t="shared" si="950"/>
        <v>0</v>
      </c>
      <c r="Z122" s="873">
        <f t="shared" si="950"/>
        <v>0</v>
      </c>
      <c r="AA122" s="879">
        <f t="shared" si="437"/>
        <v>0</v>
      </c>
      <c r="AB122" s="883">
        <f t="shared" ref="AB122:AM122" si="951">AB112</f>
        <v>7403.8449659872895</v>
      </c>
      <c r="AC122" s="883">
        <f t="shared" si="951"/>
        <v>8830.6053341009338</v>
      </c>
      <c r="AD122" s="883">
        <f t="shared" si="951"/>
        <v>12310.067595908036</v>
      </c>
      <c r="AE122" s="883">
        <f t="shared" si="951"/>
        <v>10363.017349160478</v>
      </c>
      <c r="AF122" s="883">
        <f t="shared" si="951"/>
        <v>13120.005228930984</v>
      </c>
      <c r="AG122" s="883">
        <f t="shared" si="951"/>
        <v>13276.998385312989</v>
      </c>
      <c r="AH122" s="883">
        <f t="shared" si="951"/>
        <v>12458.459096842091</v>
      </c>
      <c r="AI122" s="883">
        <f t="shared" si="951"/>
        <v>12018.629099127049</v>
      </c>
      <c r="AJ122" s="883">
        <f t="shared" si="951"/>
        <v>8809.9900182496058</v>
      </c>
      <c r="AK122" s="883">
        <f t="shared" si="951"/>
        <v>10500.823752472712</v>
      </c>
      <c r="AL122" s="883">
        <f t="shared" si="951"/>
        <v>11974.831563198677</v>
      </c>
      <c r="AM122" s="873">
        <f t="shared" si="951"/>
        <v>17674.794288003381</v>
      </c>
      <c r="AN122" s="879">
        <f t="shared" si="439"/>
        <v>138742.06667729423</v>
      </c>
      <c r="AO122" s="883">
        <f t="shared" ref="AO122:AZ122" si="952">AO112</f>
        <v>6688.3370560539734</v>
      </c>
      <c r="AP122" s="883">
        <f t="shared" si="952"/>
        <v>9619.7830193905575</v>
      </c>
      <c r="AQ122" s="883">
        <f t="shared" si="952"/>
        <v>11746.541770996357</v>
      </c>
      <c r="AR122" s="883">
        <f t="shared" si="952"/>
        <v>11666.090274742925</v>
      </c>
      <c r="AS122" s="883">
        <f t="shared" si="952"/>
        <v>13646.945866628505</v>
      </c>
      <c r="AT122" s="883">
        <f t="shared" si="952"/>
        <v>11848.629099095813</v>
      </c>
      <c r="AU122" s="883">
        <f t="shared" si="952"/>
        <v>12415.30574064919</v>
      </c>
      <c r="AV122" s="883">
        <f t="shared" si="952"/>
        <v>10486.266697196117</v>
      </c>
      <c r="AW122" s="883">
        <f t="shared" si="952"/>
        <v>8604.0314489170687</v>
      </c>
      <c r="AX122" s="883">
        <f t="shared" si="952"/>
        <v>11507.117157945617</v>
      </c>
      <c r="AY122" s="883">
        <f t="shared" si="952"/>
        <v>12536.291209800529</v>
      </c>
      <c r="AZ122" s="873">
        <f t="shared" si="952"/>
        <v>13728.653214734275</v>
      </c>
      <c r="BA122" s="879">
        <f t="shared" si="441"/>
        <v>134493.99255615094</v>
      </c>
      <c r="BB122" s="883">
        <f t="shared" ref="BB122:BM122" si="953">BB112</f>
        <v>4893.8922846196674</v>
      </c>
      <c r="BC122" s="883">
        <f t="shared" si="953"/>
        <v>9307.2157202186845</v>
      </c>
      <c r="BD122" s="883">
        <f t="shared" si="953"/>
        <v>11864.432261858805</v>
      </c>
      <c r="BE122" s="883">
        <f t="shared" si="953"/>
        <v>12401.257500759009</v>
      </c>
      <c r="BF122" s="883">
        <f t="shared" si="953"/>
        <v>13942.747975676728</v>
      </c>
      <c r="BG122" s="883">
        <f t="shared" si="953"/>
        <v>12735.526017571796</v>
      </c>
      <c r="BH122" s="883">
        <f t="shared" si="953"/>
        <v>14587.350170417096</v>
      </c>
      <c r="BI122" s="883">
        <f t="shared" si="953"/>
        <v>11103.512538133267</v>
      </c>
      <c r="BJ122" s="883">
        <f t="shared" si="953"/>
        <v>11000.612346052269</v>
      </c>
      <c r="BK122" s="883">
        <f t="shared" si="953"/>
        <v>10720.915346594851</v>
      </c>
      <c r="BL122" s="883">
        <f t="shared" si="953"/>
        <v>12199.553461497144</v>
      </c>
      <c r="BM122" s="873">
        <f t="shared" si="953"/>
        <v>15740.047645339484</v>
      </c>
      <c r="BN122" s="879">
        <f t="shared" si="460"/>
        <v>140497.0632687388</v>
      </c>
      <c r="BO122" s="883">
        <f t="shared" ref="BO122:BZ122" si="954">BO112</f>
        <v>9650.2705873086998</v>
      </c>
      <c r="BP122" s="883">
        <f t="shared" si="954"/>
        <v>10093.605263259542</v>
      </c>
      <c r="BQ122" s="883">
        <f t="shared" si="954"/>
        <v>14603.403273556367</v>
      </c>
      <c r="BR122" s="883">
        <f t="shared" si="954"/>
        <v>9947.2656420158619</v>
      </c>
      <c r="BS122" s="883">
        <f t="shared" si="954"/>
        <v>9620.8167396845402</v>
      </c>
      <c r="BT122" s="883">
        <f t="shared" si="954"/>
        <v>9844.4979033685704</v>
      </c>
      <c r="BU122" s="883">
        <f t="shared" si="954"/>
        <v>18813.049871662592</v>
      </c>
      <c r="BV122" s="883">
        <f t="shared" si="954"/>
        <v>13240.743352873385</v>
      </c>
      <c r="BW122" s="883">
        <f t="shared" si="954"/>
        <v>16458.492386166221</v>
      </c>
      <c r="BX122" s="883">
        <f t="shared" si="954"/>
        <v>21956.750087261025</v>
      </c>
      <c r="BY122" s="883">
        <f t="shared" si="954"/>
        <v>21587.672390842788</v>
      </c>
      <c r="BZ122" s="873">
        <f t="shared" si="954"/>
        <v>33450.589833972655</v>
      </c>
      <c r="CA122" s="879">
        <f t="shared" si="462"/>
        <v>189267.15733197224</v>
      </c>
      <c r="CB122" s="883">
        <f t="shared" ref="CB122:CM122" si="955">CB112</f>
        <v>6858.193755014323</v>
      </c>
      <c r="CC122" s="883">
        <f t="shared" si="955"/>
        <v>9124.7815005983393</v>
      </c>
      <c r="CD122" s="883">
        <f t="shared" si="955"/>
        <v>16613.08744006354</v>
      </c>
      <c r="CE122" s="883">
        <f t="shared" si="955"/>
        <v>14476.289551120615</v>
      </c>
      <c r="CF122" s="883">
        <f t="shared" si="955"/>
        <v>15882.540992599184</v>
      </c>
      <c r="CG122" s="883">
        <f t="shared" si="955"/>
        <v>14379.097935013539</v>
      </c>
      <c r="CH122" s="883">
        <f t="shared" si="955"/>
        <v>13670.94901406104</v>
      </c>
      <c r="CI122" s="883">
        <f t="shared" si="955"/>
        <v>14722.639604596536</v>
      </c>
      <c r="CJ122" s="883">
        <f t="shared" si="955"/>
        <v>15110.559261898996</v>
      </c>
      <c r="CK122" s="883">
        <f t="shared" si="955"/>
        <v>12588.627038065066</v>
      </c>
      <c r="CL122" s="883">
        <f t="shared" si="955"/>
        <v>15412.918257542522</v>
      </c>
      <c r="CM122" s="873">
        <f t="shared" si="955"/>
        <v>25439.417610262666</v>
      </c>
      <c r="CN122" s="879">
        <f t="shared" si="464"/>
        <v>174279.10196083636</v>
      </c>
      <c r="CO122" s="883">
        <f t="shared" ref="CO122:CZ122" si="956">CO112</f>
        <v>6777.44550869676</v>
      </c>
      <c r="CP122" s="883">
        <f t="shared" si="956"/>
        <v>11444.271296366569</v>
      </c>
      <c r="CQ122" s="883">
        <f t="shared" si="956"/>
        <v>16437.103527276573</v>
      </c>
      <c r="CR122" s="883">
        <f t="shared" si="956"/>
        <v>12123.252765820216</v>
      </c>
      <c r="CS122" s="883">
        <f t="shared" si="956"/>
        <v>15304.606036756206</v>
      </c>
      <c r="CT122" s="883">
        <f t="shared" si="956"/>
        <v>14668.53412438335</v>
      </c>
      <c r="CU122" s="883">
        <f t="shared" si="956"/>
        <v>15938.843272522252</v>
      </c>
      <c r="CV122" s="883">
        <f t="shared" si="956"/>
        <v>15107.131962992942</v>
      </c>
      <c r="CW122" s="883">
        <f t="shared" si="956"/>
        <v>14270.162913611139</v>
      </c>
      <c r="CX122" s="883">
        <f t="shared" si="956"/>
        <v>13701.75454940137</v>
      </c>
      <c r="CY122" s="883">
        <f t="shared" si="956"/>
        <v>14122.092822623996</v>
      </c>
      <c r="CZ122" s="873">
        <f t="shared" si="956"/>
        <v>20747.843676442346</v>
      </c>
      <c r="DA122" s="879">
        <f t="shared" si="466"/>
        <v>170643.04245689372</v>
      </c>
      <c r="DB122" s="883">
        <f t="shared" ref="DB122:DM122" si="957">DB112</f>
        <v>5148.7804802553846</v>
      </c>
      <c r="DC122" s="883">
        <f t="shared" si="957"/>
        <v>11253.558840696576</v>
      </c>
      <c r="DD122" s="883">
        <f t="shared" si="957"/>
        <v>23.89354086555575</v>
      </c>
      <c r="DE122" s="883">
        <f t="shared" si="957"/>
        <v>29.644898176145141</v>
      </c>
      <c r="DF122" s="883">
        <f t="shared" si="957"/>
        <v>135665.11930695668</v>
      </c>
      <c r="DG122" s="883">
        <f t="shared" si="957"/>
        <v>149693.34331909823</v>
      </c>
      <c r="DH122" s="883">
        <f t="shared" si="957"/>
        <v>0</v>
      </c>
      <c r="DI122" s="883">
        <f t="shared" si="957"/>
        <v>0</v>
      </c>
      <c r="DJ122" s="883">
        <f t="shared" si="957"/>
        <v>0</v>
      </c>
      <c r="DK122" s="883">
        <f t="shared" si="957"/>
        <v>0</v>
      </c>
      <c r="DL122" s="883">
        <f t="shared" si="957"/>
        <v>0</v>
      </c>
      <c r="DM122" s="873">
        <f t="shared" si="957"/>
        <v>0</v>
      </c>
      <c r="DN122" s="879">
        <f t="shared" si="468"/>
        <v>301814.34038604854</v>
      </c>
      <c r="DO122" s="883">
        <f t="shared" ref="DO122:DQ122" si="958">DO112</f>
        <v>6164.9299106100816</v>
      </c>
      <c r="DP122" s="883">
        <f t="shared" si="958"/>
        <v>13511.581050928227</v>
      </c>
      <c r="DQ122" s="883">
        <f t="shared" si="958"/>
        <v>15817.244062016684</v>
      </c>
      <c r="DR122" s="883">
        <f t="shared" ref="DR122:DZ122" si="959">DR112</f>
        <v>17299.198733363763</v>
      </c>
      <c r="DS122" s="883">
        <f t="shared" si="959"/>
        <v>19077.774571306159</v>
      </c>
      <c r="DT122" s="883">
        <f t="shared" si="959"/>
        <v>17287.212243937327</v>
      </c>
      <c r="DU122" s="883">
        <f t="shared" si="959"/>
        <v>17190.617466429547</v>
      </c>
      <c r="DV122" s="883">
        <f t="shared" si="959"/>
        <v>18009.321021364492</v>
      </c>
      <c r="DW122" s="883">
        <f t="shared" si="959"/>
        <v>16929.270154552814</v>
      </c>
      <c r="DX122" s="883">
        <f t="shared" si="959"/>
        <v>17642.107827220701</v>
      </c>
      <c r="DY122" s="883">
        <f t="shared" si="959"/>
        <v>18855.580979551531</v>
      </c>
      <c r="DZ122" s="883">
        <f t="shared" si="959"/>
        <v>26798.697125206731</v>
      </c>
      <c r="EA122" s="879">
        <f t="shared" si="471"/>
        <v>204583.53514648805</v>
      </c>
      <c r="EB122" s="883">
        <f t="shared" ref="EB122:ED122" si="960">EB112</f>
        <v>7856.0584460640321</v>
      </c>
      <c r="EC122" s="883">
        <f t="shared" si="960"/>
        <v>16292.778312139684</v>
      </c>
      <c r="ED122" s="883">
        <f t="shared" si="960"/>
        <v>17137.328356560422</v>
      </c>
      <c r="EE122" s="883">
        <f t="shared" ref="EE122:EH122" si="961">EE112</f>
        <v>18846.924115882292</v>
      </c>
      <c r="EF122" s="883">
        <f t="shared" si="961"/>
        <v>20239.234330125535</v>
      </c>
      <c r="EG122" s="883">
        <f t="shared" si="961"/>
        <v>18118.868605589221</v>
      </c>
      <c r="EH122" s="883">
        <f t="shared" si="961"/>
        <v>19864.758827506328</v>
      </c>
      <c r="EI122" s="883">
        <f t="shared" ref="EI122:EM122" si="962">EI112</f>
        <v>18454.472331941652</v>
      </c>
      <c r="EJ122" s="883">
        <f t="shared" si="962"/>
        <v>17922.383234202433</v>
      </c>
      <c r="EK122" s="883">
        <f>EK112</f>
        <v>19179.177444037166</v>
      </c>
      <c r="EL122" s="883">
        <f t="shared" si="962"/>
        <v>15807.899568414745</v>
      </c>
      <c r="EM122" s="883">
        <f t="shared" si="962"/>
        <v>22888.900792362503</v>
      </c>
      <c r="EN122" s="879">
        <f t="shared" si="475"/>
        <v>212608.78436482605</v>
      </c>
      <c r="EO122" s="883">
        <f t="shared" ref="EO122:ER122" si="963">EO112</f>
        <v>9118.8185196543182</v>
      </c>
      <c r="EP122" s="883">
        <f t="shared" si="963"/>
        <v>18281.425900278649</v>
      </c>
      <c r="EQ122" s="883">
        <f t="shared" si="963"/>
        <v>19411.045877870907</v>
      </c>
      <c r="ER122" s="883">
        <f t="shared" si="963"/>
        <v>18132.109618094652</v>
      </c>
      <c r="ES122" s="883">
        <f t="shared" ref="ES122:EU122" si="964">ES112</f>
        <v>20886.348009526602</v>
      </c>
      <c r="ET122" s="883">
        <f t="shared" si="964"/>
        <v>19920.76458503498</v>
      </c>
      <c r="EU122" s="883">
        <f t="shared" si="964"/>
        <v>21697.286284171561</v>
      </c>
      <c r="EV122" s="973">
        <f t="shared" ref="EV122" si="965">EV112</f>
        <v>20384.678884622692</v>
      </c>
      <c r="EW122" s="883"/>
      <c r="EX122" s="883"/>
      <c r="EY122" s="883"/>
      <c r="EZ122" s="873"/>
      <c r="FA122" s="879">
        <f t="shared" si="479"/>
        <v>147832.47767925437</v>
      </c>
      <c r="FC122" s="843">
        <f t="shared" si="480"/>
        <v>10.459288772728392</v>
      </c>
      <c r="FD122" s="844">
        <f t="shared" si="454"/>
        <v>8.056443424048588</v>
      </c>
      <c r="FE122" s="845">
        <f t="shared" si="481"/>
        <v>136810.42332580918</v>
      </c>
      <c r="FF122" s="846">
        <f t="shared" si="455"/>
        <v>147832.47767925437</v>
      </c>
      <c r="FI122" s="127"/>
    </row>
    <row r="123" spans="1:172" ht="15" customHeight="1" x14ac:dyDescent="0.25">
      <c r="A123" s="133" t="s">
        <v>654</v>
      </c>
      <c r="B123" s="880"/>
      <c r="C123" s="880"/>
      <c r="D123" s="880"/>
      <c r="E123" s="880"/>
      <c r="F123" s="880"/>
      <c r="G123" s="880"/>
      <c r="H123" s="880"/>
      <c r="I123" s="880"/>
      <c r="J123" s="880"/>
      <c r="K123" s="880"/>
      <c r="L123" s="880"/>
      <c r="M123" s="881"/>
      <c r="N123" s="882"/>
      <c r="O123" s="880"/>
      <c r="P123" s="880"/>
      <c r="Q123" s="880"/>
      <c r="R123" s="880"/>
      <c r="S123" s="880"/>
      <c r="T123" s="880"/>
      <c r="U123" s="880"/>
      <c r="V123" s="880"/>
      <c r="W123" s="880"/>
      <c r="X123" s="880"/>
      <c r="Y123" s="880"/>
      <c r="Z123" s="881"/>
      <c r="AA123" s="882"/>
      <c r="AB123" s="880"/>
      <c r="AC123" s="880"/>
      <c r="AD123" s="880"/>
      <c r="AE123" s="880"/>
      <c r="AF123" s="880"/>
      <c r="AG123" s="880"/>
      <c r="AH123" s="880"/>
      <c r="AI123" s="880"/>
      <c r="AJ123" s="880"/>
      <c r="AK123" s="880"/>
      <c r="AL123" s="880"/>
      <c r="AM123" s="881"/>
      <c r="AN123" s="882"/>
      <c r="AO123" s="880"/>
      <c r="AP123" s="880"/>
      <c r="AQ123" s="880"/>
      <c r="AR123" s="880"/>
      <c r="AS123" s="880"/>
      <c r="AT123" s="880"/>
      <c r="AU123" s="880"/>
      <c r="AV123" s="880"/>
      <c r="AW123" s="880"/>
      <c r="AX123" s="880"/>
      <c r="AY123" s="880"/>
      <c r="AZ123" s="881"/>
      <c r="BA123" s="882"/>
      <c r="BB123" s="880"/>
      <c r="BC123" s="880"/>
      <c r="BD123" s="880"/>
      <c r="BE123" s="880"/>
      <c r="BF123" s="880"/>
      <c r="BG123" s="880"/>
      <c r="BH123" s="880"/>
      <c r="BI123" s="880"/>
      <c r="BJ123" s="880"/>
      <c r="BK123" s="880"/>
      <c r="BL123" s="880"/>
      <c r="BM123" s="881"/>
      <c r="BN123" s="882"/>
      <c r="BO123" s="880"/>
      <c r="BP123" s="880"/>
      <c r="BQ123" s="880"/>
      <c r="BR123" s="880"/>
      <c r="BS123" s="880"/>
      <c r="BT123" s="880"/>
      <c r="BU123" s="880"/>
      <c r="BV123" s="880"/>
      <c r="BW123" s="880"/>
      <c r="BX123" s="880"/>
      <c r="BY123" s="880"/>
      <c r="BZ123" s="881"/>
      <c r="CA123" s="882"/>
      <c r="CB123" s="880"/>
      <c r="CC123" s="880"/>
      <c r="CD123" s="880"/>
      <c r="CE123" s="880"/>
      <c r="CF123" s="880"/>
      <c r="CG123" s="880"/>
      <c r="CH123" s="880"/>
      <c r="CI123" s="880"/>
      <c r="CJ123" s="880"/>
      <c r="CK123" s="880"/>
      <c r="CL123" s="880"/>
      <c r="CM123" s="881"/>
      <c r="CN123" s="882"/>
      <c r="CO123" s="880"/>
      <c r="CP123" s="880"/>
      <c r="CQ123" s="880"/>
      <c r="CR123" s="880"/>
      <c r="CS123" s="880"/>
      <c r="CT123" s="880"/>
      <c r="CU123" s="880"/>
      <c r="CV123" s="880"/>
      <c r="CW123" s="880"/>
      <c r="CX123" s="880"/>
      <c r="CY123" s="880"/>
      <c r="CZ123" s="881"/>
      <c r="DA123" s="882"/>
      <c r="DB123" s="880"/>
      <c r="DC123" s="880"/>
      <c r="DD123" s="880"/>
      <c r="DE123" s="880"/>
      <c r="DF123" s="880"/>
      <c r="DG123" s="880"/>
      <c r="DH123" s="880"/>
      <c r="DI123" s="880"/>
      <c r="DJ123" s="880"/>
      <c r="DK123" s="880"/>
      <c r="DL123" s="880"/>
      <c r="DM123" s="881"/>
      <c r="DN123" s="882"/>
      <c r="DO123" s="880"/>
      <c r="DP123" s="880"/>
      <c r="DQ123" s="880"/>
      <c r="DR123" s="880"/>
      <c r="DS123" s="880"/>
      <c r="DT123" s="880"/>
      <c r="DU123" s="880"/>
      <c r="DV123" s="880"/>
      <c r="DW123" s="880"/>
      <c r="DX123" s="880"/>
      <c r="DY123" s="880"/>
      <c r="DZ123" s="881"/>
      <c r="EA123" s="882"/>
      <c r="EB123" s="880"/>
      <c r="EC123" s="880"/>
      <c r="ED123" s="880"/>
      <c r="EE123" s="880"/>
      <c r="EF123" s="880"/>
      <c r="EG123" s="880"/>
      <c r="EH123" s="880"/>
      <c r="EI123" s="880"/>
      <c r="EJ123" s="880"/>
      <c r="EK123" s="880"/>
      <c r="EL123" s="880"/>
      <c r="EM123" s="881"/>
      <c r="EN123" s="882"/>
      <c r="EO123" s="880"/>
      <c r="EP123" s="880"/>
      <c r="EQ123" s="880"/>
      <c r="ER123" s="880"/>
      <c r="ES123" s="880"/>
      <c r="ET123" s="880"/>
      <c r="EU123" s="880"/>
      <c r="EV123" s="978"/>
      <c r="EW123" s="880"/>
      <c r="EX123" s="880"/>
      <c r="EY123" s="880"/>
      <c r="EZ123" s="881"/>
      <c r="FA123" s="882"/>
      <c r="FC123" s="340"/>
      <c r="FD123" s="228"/>
      <c r="FE123" s="305"/>
      <c r="FF123" s="218"/>
    </row>
    <row r="124" spans="1:172" ht="15" customHeight="1" x14ac:dyDescent="0.25">
      <c r="A124" s="131"/>
      <c r="FC124" s="205"/>
      <c r="FD124" s="205"/>
    </row>
  </sheetData>
  <mergeCells count="4">
    <mergeCell ref="FC4:FD4"/>
    <mergeCell ref="FC40:FD40"/>
    <mergeCell ref="FC76:FD76"/>
    <mergeCell ref="A76:A77"/>
  </mergeCells>
  <printOptions horizontalCentered="1" verticalCentered="1"/>
  <pageMargins left="0.28999999999999998" right="0.47" top="0.98425196850393704" bottom="0.98425196850393704" header="0" footer="0"/>
  <pageSetup paperSize="9" scale="10" orientation="landscape" horizontalDpi="4294967293" r:id="rId1"/>
  <headerFooter alignWithMargins="0"/>
  <rowBreaks count="1" manualBreakCount="1">
    <brk id="3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59999389629810485"/>
    <pageSetUpPr fitToPage="1"/>
  </sheetPr>
  <dimension ref="A1:FH95"/>
  <sheetViews>
    <sheetView showGridLines="0" view="pageBreakPreview" zoomScale="90" zoomScaleSheetLayoutView="90" workbookViewId="0">
      <pane xSplit="1" topLeftCell="EB1" activePane="topRight" state="frozen"/>
      <selection activeCell="FG21" sqref="FG21"/>
      <selection pane="topRight" activeCell="EV7" sqref="EV7"/>
    </sheetView>
  </sheetViews>
  <sheetFormatPr baseColWidth="10" defaultColWidth="10.7109375" defaultRowHeight="15" customHeight="1" x14ac:dyDescent="0.25"/>
  <cols>
    <col min="1" max="1" width="30.7109375" style="126" customWidth="1"/>
    <col min="2" max="143" width="10.7109375" style="126"/>
    <col min="144" max="144" width="10" style="126" customWidth="1"/>
    <col min="145" max="145" width="9.42578125" style="126" customWidth="1"/>
    <col min="146" max="146" width="10" style="126" customWidth="1"/>
    <col min="147" max="147" width="8.85546875" style="126" customWidth="1"/>
    <col min="148" max="148" width="9.140625" style="126" customWidth="1"/>
    <col min="149" max="151" width="10.7109375" style="126"/>
    <col min="152" max="152" width="10.7109375" style="946"/>
    <col min="153" max="156" width="10.7109375" style="126"/>
    <col min="157" max="157" width="9.85546875" style="126" customWidth="1"/>
    <col min="158" max="158" width="5.28515625" customWidth="1"/>
    <col min="159" max="162" width="10.7109375" style="126"/>
    <col min="164" max="164" width="10.7109375" style="126"/>
  </cols>
  <sheetData>
    <row r="1" spans="1:164" ht="15" customHeight="1" x14ac:dyDescent="0.25">
      <c r="A1" s="681" t="s">
        <v>238</v>
      </c>
    </row>
    <row r="2" spans="1:164" ht="15" customHeight="1" x14ac:dyDescent="0.25">
      <c r="A2" s="681" t="s">
        <v>610</v>
      </c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  <c r="FC2" s="127"/>
      <c r="FD2" s="127"/>
      <c r="FE2" s="127"/>
      <c r="FF2" s="127"/>
    </row>
    <row r="3" spans="1:164" ht="15" customHeight="1" x14ac:dyDescent="0.25">
      <c r="A3" s="775" t="s">
        <v>305</v>
      </c>
      <c r="EO3" s="883"/>
      <c r="EP3" s="883"/>
      <c r="EQ3" s="883"/>
      <c r="ER3" s="883"/>
      <c r="ES3" s="883"/>
      <c r="ET3" s="883"/>
      <c r="EU3" s="883"/>
    </row>
    <row r="4" spans="1:164" s="753" customFormat="1" ht="15" customHeight="1" x14ac:dyDescent="0.25">
      <c r="A4" s="836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976"/>
      <c r="EW4" s="474"/>
      <c r="EX4" s="474"/>
      <c r="EY4" s="474"/>
      <c r="EZ4" s="474"/>
      <c r="FA4" s="758" t="s">
        <v>83</v>
      </c>
      <c r="FC4" s="984" t="str">
        <f>CONCATENATE("Var.% ",FF4,"/",FE4)</f>
        <v>Var.% 2026/2025</v>
      </c>
      <c r="FD4" s="985"/>
      <c r="FE4" s="478">
        <f>FF4-1</f>
        <v>2025</v>
      </c>
      <c r="FF4" s="478">
        <f>YEAR(FC5)</f>
        <v>2026</v>
      </c>
      <c r="FH4" s="795"/>
    </row>
    <row r="5" spans="1:164" s="753" customFormat="1" ht="15" customHeight="1" x14ac:dyDescent="0.25">
      <c r="A5" s="837"/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977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487" t="str">
        <f>FD5</f>
        <v>Ene.-Ago.</v>
      </c>
      <c r="FH5" s="795"/>
    </row>
    <row r="6" spans="1:164" ht="15" customHeight="1" x14ac:dyDescent="0.25">
      <c r="A6" s="138"/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73"/>
      <c r="N6" s="874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73"/>
      <c r="AA6" s="874"/>
      <c r="AB6" s="883"/>
      <c r="AC6" s="883"/>
      <c r="AD6" s="883"/>
      <c r="AE6" s="883"/>
      <c r="AF6" s="883"/>
      <c r="AG6" s="883"/>
      <c r="AH6" s="883"/>
      <c r="AI6" s="883"/>
      <c r="AJ6" s="883"/>
      <c r="AK6" s="883"/>
      <c r="AL6" s="883"/>
      <c r="AM6" s="873"/>
      <c r="AN6" s="874"/>
      <c r="AO6" s="883"/>
      <c r="AP6" s="883"/>
      <c r="AQ6" s="883"/>
      <c r="AR6" s="883"/>
      <c r="AS6" s="883"/>
      <c r="AT6" s="883"/>
      <c r="AU6" s="883"/>
      <c r="AV6" s="883"/>
      <c r="AW6" s="883"/>
      <c r="AX6" s="883"/>
      <c r="AY6" s="883"/>
      <c r="AZ6" s="873"/>
      <c r="BA6" s="874"/>
      <c r="BB6" s="883"/>
      <c r="BC6" s="883"/>
      <c r="BD6" s="883"/>
      <c r="BE6" s="883"/>
      <c r="BF6" s="883"/>
      <c r="BG6" s="883"/>
      <c r="BH6" s="883"/>
      <c r="BI6" s="883"/>
      <c r="BJ6" s="883"/>
      <c r="BK6" s="883"/>
      <c r="BL6" s="883"/>
      <c r="BM6" s="873"/>
      <c r="BN6" s="874"/>
      <c r="BO6" s="883"/>
      <c r="BP6" s="883"/>
      <c r="BQ6" s="883"/>
      <c r="BR6" s="883"/>
      <c r="BS6" s="883"/>
      <c r="BT6" s="883"/>
      <c r="BU6" s="883"/>
      <c r="BV6" s="883"/>
      <c r="BW6" s="883"/>
      <c r="BX6" s="883"/>
      <c r="BY6" s="883"/>
      <c r="BZ6" s="873"/>
      <c r="CA6" s="874"/>
      <c r="CB6" s="883"/>
      <c r="CC6" s="883"/>
      <c r="CD6" s="883"/>
      <c r="CE6" s="883"/>
      <c r="CF6" s="883"/>
      <c r="CG6" s="883"/>
      <c r="CH6" s="883"/>
      <c r="CI6" s="883"/>
      <c r="CJ6" s="883"/>
      <c r="CK6" s="883"/>
      <c r="CL6" s="883"/>
      <c r="CM6" s="873"/>
      <c r="CN6" s="874"/>
      <c r="CO6" s="883"/>
      <c r="CP6" s="883"/>
      <c r="CQ6" s="883"/>
      <c r="CR6" s="883"/>
      <c r="CS6" s="883"/>
      <c r="CT6" s="883"/>
      <c r="CU6" s="883"/>
      <c r="CV6" s="883"/>
      <c r="CW6" s="883"/>
      <c r="CX6" s="883"/>
      <c r="CY6" s="883"/>
      <c r="CZ6" s="873"/>
      <c r="DA6" s="874"/>
      <c r="DB6" s="883"/>
      <c r="DC6" s="883"/>
      <c r="DD6" s="883"/>
      <c r="DE6" s="883"/>
      <c r="DF6" s="883"/>
      <c r="DG6" s="883"/>
      <c r="DH6" s="883"/>
      <c r="DI6" s="883"/>
      <c r="DJ6" s="883"/>
      <c r="DK6" s="883"/>
      <c r="DL6" s="883"/>
      <c r="DM6" s="873"/>
      <c r="DN6" s="874"/>
      <c r="DO6" s="883"/>
      <c r="DP6" s="883"/>
      <c r="DQ6" s="883"/>
      <c r="DR6" s="883"/>
      <c r="DS6" s="883"/>
      <c r="DT6" s="883"/>
      <c r="DU6" s="883"/>
      <c r="DV6" s="883"/>
      <c r="DW6" s="883"/>
      <c r="DX6" s="883"/>
      <c r="DY6" s="883"/>
      <c r="DZ6" s="873"/>
      <c r="EA6" s="874"/>
      <c r="EB6" s="883"/>
      <c r="EC6" s="883"/>
      <c r="ED6" s="883"/>
      <c r="EE6" s="883"/>
      <c r="EF6" s="883"/>
      <c r="EG6" s="883"/>
      <c r="EH6" s="883"/>
      <c r="EI6" s="883"/>
      <c r="EJ6" s="883"/>
      <c r="EK6" s="883"/>
      <c r="EL6" s="883"/>
      <c r="EM6" s="873"/>
      <c r="EN6" s="874"/>
      <c r="EO6" s="883"/>
      <c r="EP6" s="883"/>
      <c r="EQ6" s="883"/>
      <c r="ER6" s="883"/>
      <c r="ES6" s="883"/>
      <c r="ET6" s="883"/>
      <c r="EU6" s="883"/>
      <c r="EV6" s="973"/>
      <c r="EW6" s="883"/>
      <c r="EX6" s="883"/>
      <c r="EY6" s="883"/>
      <c r="EZ6" s="873"/>
      <c r="FA6" s="874"/>
      <c r="FC6" s="839"/>
      <c r="FD6" s="840"/>
      <c r="FE6" s="454"/>
      <c r="FF6" s="455"/>
    </row>
    <row r="7" spans="1:164" s="753" customFormat="1" ht="15" customHeight="1" x14ac:dyDescent="0.25">
      <c r="A7" s="822" t="s">
        <v>245</v>
      </c>
      <c r="B7" s="884">
        <f t="shared" ref="B7:M7" si="10">SUM(B8:B27)</f>
        <v>317</v>
      </c>
      <c r="C7" s="884">
        <f t="shared" si="10"/>
        <v>7049</v>
      </c>
      <c r="D7" s="884">
        <f t="shared" si="10"/>
        <v>25782</v>
      </c>
      <c r="E7" s="884">
        <f t="shared" si="10"/>
        <v>4825</v>
      </c>
      <c r="F7" s="884">
        <f t="shared" si="10"/>
        <v>19863</v>
      </c>
      <c r="G7" s="884">
        <f t="shared" si="10"/>
        <v>24768</v>
      </c>
      <c r="H7" s="884">
        <f t="shared" si="10"/>
        <v>3547</v>
      </c>
      <c r="I7" s="884">
        <f t="shared" si="10"/>
        <v>9413</v>
      </c>
      <c r="J7" s="884">
        <f t="shared" si="10"/>
        <v>5938</v>
      </c>
      <c r="K7" s="884">
        <f t="shared" si="10"/>
        <v>12403</v>
      </c>
      <c r="L7" s="884">
        <f t="shared" si="10"/>
        <v>9599</v>
      </c>
      <c r="M7" s="875">
        <f t="shared" si="10"/>
        <v>33745</v>
      </c>
      <c r="N7" s="876">
        <f>SUM(B7:M7)</f>
        <v>157249</v>
      </c>
      <c r="O7" s="884">
        <f t="shared" ref="O7:Z7" si="11">SUM(O8:O27)</f>
        <v>3679</v>
      </c>
      <c r="P7" s="884">
        <f t="shared" si="11"/>
        <v>5674</v>
      </c>
      <c r="Q7" s="884">
        <f t="shared" si="11"/>
        <v>5844</v>
      </c>
      <c r="R7" s="884">
        <f t="shared" si="11"/>
        <v>4667</v>
      </c>
      <c r="S7" s="884">
        <f t="shared" si="11"/>
        <v>33760</v>
      </c>
      <c r="T7" s="884">
        <f t="shared" si="11"/>
        <v>21030</v>
      </c>
      <c r="U7" s="884">
        <f t="shared" si="11"/>
        <v>56465</v>
      </c>
      <c r="V7" s="884">
        <f t="shared" si="11"/>
        <v>3000</v>
      </c>
      <c r="W7" s="884">
        <f t="shared" si="11"/>
        <v>7737</v>
      </c>
      <c r="X7" s="884">
        <f t="shared" si="11"/>
        <v>18150</v>
      </c>
      <c r="Y7" s="884">
        <f t="shared" si="11"/>
        <v>4887</v>
      </c>
      <c r="Z7" s="875">
        <f t="shared" si="11"/>
        <v>72427</v>
      </c>
      <c r="AA7" s="876">
        <f>SUM(O7:Z7)</f>
        <v>237320</v>
      </c>
      <c r="AB7" s="884">
        <f t="shared" ref="AB7:AM7" si="12">SUM(AB8:AB27)</f>
        <v>436</v>
      </c>
      <c r="AC7" s="884">
        <f t="shared" si="12"/>
        <v>3495</v>
      </c>
      <c r="AD7" s="884">
        <f t="shared" si="12"/>
        <v>23052</v>
      </c>
      <c r="AE7" s="884">
        <f t="shared" si="12"/>
        <v>25035</v>
      </c>
      <c r="AF7" s="884">
        <f t="shared" si="12"/>
        <v>16081</v>
      </c>
      <c r="AG7" s="884">
        <f t="shared" si="12"/>
        <v>17652</v>
      </c>
      <c r="AH7" s="884">
        <f t="shared" si="12"/>
        <v>11744</v>
      </c>
      <c r="AI7" s="884">
        <f t="shared" si="12"/>
        <v>55219</v>
      </c>
      <c r="AJ7" s="884">
        <f t="shared" si="12"/>
        <v>19010</v>
      </c>
      <c r="AK7" s="884">
        <f t="shared" si="12"/>
        <v>19556</v>
      </c>
      <c r="AL7" s="884">
        <f t="shared" si="12"/>
        <v>20452</v>
      </c>
      <c r="AM7" s="875">
        <f t="shared" si="12"/>
        <v>71730</v>
      </c>
      <c r="AN7" s="876">
        <f>SUM(AB7:AM7)</f>
        <v>283462</v>
      </c>
      <c r="AO7" s="884">
        <f t="shared" ref="AO7:AZ7" si="13">SUM(AO8:AO27)</f>
        <v>429</v>
      </c>
      <c r="AP7" s="884">
        <f t="shared" si="13"/>
        <v>3238</v>
      </c>
      <c r="AQ7" s="884">
        <f t="shared" si="13"/>
        <v>5347</v>
      </c>
      <c r="AR7" s="884">
        <f t="shared" si="13"/>
        <v>26667</v>
      </c>
      <c r="AS7" s="884">
        <f t="shared" si="13"/>
        <v>21978</v>
      </c>
      <c r="AT7" s="884">
        <f t="shared" si="13"/>
        <v>12212</v>
      </c>
      <c r="AU7" s="884">
        <f t="shared" si="13"/>
        <v>21182</v>
      </c>
      <c r="AV7" s="884">
        <f t="shared" si="13"/>
        <v>28947</v>
      </c>
      <c r="AW7" s="884">
        <f t="shared" si="13"/>
        <v>22150</v>
      </c>
      <c r="AX7" s="884">
        <f t="shared" si="13"/>
        <v>10858</v>
      </c>
      <c r="AY7" s="884">
        <f t="shared" si="13"/>
        <v>56282</v>
      </c>
      <c r="AZ7" s="875">
        <f t="shared" si="13"/>
        <v>13427</v>
      </c>
      <c r="BA7" s="876">
        <f>SUM(AO7:AZ7)</f>
        <v>222717</v>
      </c>
      <c r="BB7" s="884">
        <f>SUM(BB8:BB27)</f>
        <v>93033</v>
      </c>
      <c r="BC7" s="884">
        <f>SUM(BC8:BC27)</f>
        <v>25423</v>
      </c>
      <c r="BD7" s="884">
        <f>SUM(BD8:BD27)</f>
        <v>15266</v>
      </c>
      <c r="BE7" s="884">
        <f>SUM(BE8:BE27)</f>
        <v>2707</v>
      </c>
      <c r="BF7" s="884">
        <f t="shared" ref="BF7:BM7" si="14">SUM(BF8:BF27)</f>
        <v>36698</v>
      </c>
      <c r="BG7" s="884">
        <f t="shared" si="14"/>
        <v>30739</v>
      </c>
      <c r="BH7" s="884">
        <f t="shared" si="14"/>
        <v>33496</v>
      </c>
      <c r="BI7" s="884">
        <f t="shared" si="14"/>
        <v>49572</v>
      </c>
      <c r="BJ7" s="884">
        <f t="shared" si="14"/>
        <v>46059</v>
      </c>
      <c r="BK7" s="884">
        <f t="shared" si="14"/>
        <v>62233</v>
      </c>
      <c r="BL7" s="884">
        <f t="shared" si="14"/>
        <v>42595</v>
      </c>
      <c r="BM7" s="875">
        <f t="shared" si="14"/>
        <v>64212</v>
      </c>
      <c r="BN7" s="876">
        <f>SUM(BB7:BM7)</f>
        <v>502033</v>
      </c>
      <c r="BO7" s="884">
        <f t="shared" ref="BO7:BZ7" si="15">SUM(BO8:BO27)</f>
        <v>26708</v>
      </c>
      <c r="BP7" s="884">
        <f t="shared" si="15"/>
        <v>12889</v>
      </c>
      <c r="BQ7" s="884">
        <f t="shared" si="15"/>
        <v>5474</v>
      </c>
      <c r="BR7" s="884">
        <f t="shared" si="15"/>
        <v>15971</v>
      </c>
      <c r="BS7" s="884">
        <f t="shared" si="15"/>
        <v>3394</v>
      </c>
      <c r="BT7" s="884">
        <f t="shared" si="15"/>
        <v>1314</v>
      </c>
      <c r="BU7" s="884">
        <f t="shared" si="15"/>
        <v>12547</v>
      </c>
      <c r="BV7" s="884">
        <f t="shared" si="15"/>
        <v>29017</v>
      </c>
      <c r="BW7" s="884">
        <f t="shared" si="15"/>
        <v>28100</v>
      </c>
      <c r="BX7" s="884">
        <f t="shared" si="15"/>
        <v>40150</v>
      </c>
      <c r="BY7" s="884">
        <f t="shared" si="15"/>
        <v>48098</v>
      </c>
      <c r="BZ7" s="875">
        <f t="shared" si="15"/>
        <v>68399</v>
      </c>
      <c r="CA7" s="876">
        <f>SUM(BO7:BZ7)</f>
        <v>292061</v>
      </c>
      <c r="CB7" s="884">
        <f>SUM(CB8:CB27)</f>
        <v>15226</v>
      </c>
      <c r="CC7" s="884">
        <f>SUM(CC8:CC27)</f>
        <v>18901</v>
      </c>
      <c r="CD7" s="884">
        <f t="shared" ref="CD7:CM7" si="16">SUM(CD8:CD27)</f>
        <v>18632</v>
      </c>
      <c r="CE7" s="884">
        <f t="shared" si="16"/>
        <v>17504</v>
      </c>
      <c r="CF7" s="884">
        <f t="shared" si="16"/>
        <v>22546</v>
      </c>
      <c r="CG7" s="884">
        <f t="shared" si="16"/>
        <v>20465</v>
      </c>
      <c r="CH7" s="884">
        <f t="shared" si="16"/>
        <v>33855</v>
      </c>
      <c r="CI7" s="884">
        <f t="shared" si="16"/>
        <v>19131</v>
      </c>
      <c r="CJ7" s="884">
        <f t="shared" si="16"/>
        <v>25673</v>
      </c>
      <c r="CK7" s="884">
        <f t="shared" si="16"/>
        <v>17713</v>
      </c>
      <c r="CL7" s="884">
        <f t="shared" si="16"/>
        <v>19267</v>
      </c>
      <c r="CM7" s="875">
        <f t="shared" si="16"/>
        <v>75271</v>
      </c>
      <c r="CN7" s="876">
        <f>SUM(CB7:CM7)</f>
        <v>304184</v>
      </c>
      <c r="CO7" s="884">
        <f t="shared" ref="CO7:CV7" si="17">SUM(CO8:CO27)</f>
        <v>480</v>
      </c>
      <c r="CP7" s="884">
        <f t="shared" si="17"/>
        <v>29415</v>
      </c>
      <c r="CQ7" s="884">
        <f t="shared" si="17"/>
        <v>36441</v>
      </c>
      <c r="CR7" s="884">
        <f t="shared" si="17"/>
        <v>16076</v>
      </c>
      <c r="CS7" s="884">
        <f t="shared" si="17"/>
        <v>13798</v>
      </c>
      <c r="CT7" s="884">
        <f t="shared" si="17"/>
        <v>16732</v>
      </c>
      <c r="CU7" s="884">
        <f t="shared" si="17"/>
        <v>22256</v>
      </c>
      <c r="CV7" s="884">
        <f t="shared" si="17"/>
        <v>22012</v>
      </c>
      <c r="CW7" s="884">
        <f>SUM(CW8:CW27)</f>
        <v>31044</v>
      </c>
      <c r="CX7" s="884">
        <f>SUM(CX8:CX27)</f>
        <v>33008</v>
      </c>
      <c r="CY7" s="884">
        <f>SUM(CY8:CY27)</f>
        <v>35413</v>
      </c>
      <c r="CZ7" s="875">
        <f>SUM(CZ8:CZ27)</f>
        <v>47055</v>
      </c>
      <c r="DA7" s="876">
        <f>SUM(CO7:CZ7)</f>
        <v>303730</v>
      </c>
      <c r="DB7" s="884">
        <f t="shared" ref="DB7:DL7" si="18">SUM(DB8:DB27)</f>
        <v>1980</v>
      </c>
      <c r="DC7" s="884">
        <f t="shared" si="18"/>
        <v>15882</v>
      </c>
      <c r="DD7" s="884">
        <f t="shared" si="18"/>
        <v>16508</v>
      </c>
      <c r="DE7" s="884">
        <f t="shared" si="18"/>
        <v>17806</v>
      </c>
      <c r="DF7" s="884">
        <f t="shared" si="18"/>
        <v>26930</v>
      </c>
      <c r="DG7" s="884">
        <f t="shared" si="18"/>
        <v>35048</v>
      </c>
      <c r="DH7" s="884">
        <f t="shared" si="18"/>
        <v>35818</v>
      </c>
      <c r="DI7" s="884">
        <f t="shared" si="18"/>
        <v>35690</v>
      </c>
      <c r="DJ7" s="884">
        <f t="shared" si="18"/>
        <v>32347</v>
      </c>
      <c r="DK7" s="884">
        <f t="shared" si="18"/>
        <v>49140</v>
      </c>
      <c r="DL7" s="884">
        <f t="shared" si="18"/>
        <v>51296</v>
      </c>
      <c r="DM7" s="875">
        <f>SUM(DM8:DM27)</f>
        <v>182546</v>
      </c>
      <c r="DN7" s="876">
        <f>SUM(DB7:DM7)</f>
        <v>500991</v>
      </c>
      <c r="DO7" s="884">
        <f t="shared" ref="DO7:DZ7" si="19">SUM(DO8:DO27)</f>
        <v>12397</v>
      </c>
      <c r="DP7" s="884">
        <f t="shared" si="19"/>
        <v>28376</v>
      </c>
      <c r="DQ7" s="884">
        <f t="shared" si="19"/>
        <v>51150</v>
      </c>
      <c r="DR7" s="884">
        <f t="shared" si="19"/>
        <v>39105</v>
      </c>
      <c r="DS7" s="884">
        <f t="shared" si="19"/>
        <v>82696</v>
      </c>
      <c r="DT7" s="884">
        <f t="shared" si="19"/>
        <v>37504</v>
      </c>
      <c r="DU7" s="884">
        <f t="shared" si="19"/>
        <v>53422</v>
      </c>
      <c r="DV7" s="884">
        <f t="shared" si="19"/>
        <v>78749</v>
      </c>
      <c r="DW7" s="884">
        <f t="shared" si="19"/>
        <v>32049</v>
      </c>
      <c r="DX7" s="884">
        <f t="shared" si="19"/>
        <v>65103</v>
      </c>
      <c r="DY7" s="884">
        <f t="shared" si="19"/>
        <v>51608</v>
      </c>
      <c r="DZ7" s="875">
        <f t="shared" si="19"/>
        <v>55573</v>
      </c>
      <c r="EA7" s="876">
        <f>SUM(DO7:DZ7)</f>
        <v>587732</v>
      </c>
      <c r="EB7" s="884">
        <f>SUM(EB8:EB27)</f>
        <v>8355</v>
      </c>
      <c r="EC7" s="884">
        <f>SUM(EC8:EC27)</f>
        <v>38567</v>
      </c>
      <c r="ED7" s="884">
        <f>SUM(ED8:ED27)</f>
        <v>21928</v>
      </c>
      <c r="EE7" s="884">
        <f>SUM(EE8:EE27)</f>
        <v>33764</v>
      </c>
      <c r="EF7" s="884">
        <f>SUM(EF8:EF27)</f>
        <v>41258</v>
      </c>
      <c r="EG7" s="884">
        <f t="shared" ref="EG7:EM7" si="20">SUM(EG8:EG27)</f>
        <v>37456</v>
      </c>
      <c r="EH7" s="884">
        <f t="shared" si="20"/>
        <v>37549</v>
      </c>
      <c r="EI7" s="884">
        <f t="shared" si="20"/>
        <v>37060</v>
      </c>
      <c r="EJ7" s="884">
        <f t="shared" si="20"/>
        <v>29299</v>
      </c>
      <c r="EK7" s="884">
        <f t="shared" si="20"/>
        <v>37834</v>
      </c>
      <c r="EL7" s="884">
        <f t="shared" si="20"/>
        <v>44901</v>
      </c>
      <c r="EM7" s="884">
        <f t="shared" si="20"/>
        <v>84107</v>
      </c>
      <c r="EN7" s="876">
        <f>SUM(EB7:EM7)</f>
        <v>452078</v>
      </c>
      <c r="EO7" s="884">
        <f t="shared" ref="EO7:EV7" si="21">SUM(EO8:EO27)</f>
        <v>11981</v>
      </c>
      <c r="EP7" s="884">
        <f t="shared" si="21"/>
        <v>72222</v>
      </c>
      <c r="EQ7" s="884">
        <f t="shared" si="21"/>
        <v>24503</v>
      </c>
      <c r="ER7" s="884">
        <f t="shared" si="21"/>
        <v>57800</v>
      </c>
      <c r="ES7" s="884">
        <f t="shared" si="21"/>
        <v>82610</v>
      </c>
      <c r="ET7" s="884">
        <f t="shared" si="21"/>
        <v>49316</v>
      </c>
      <c r="EU7" s="884">
        <f t="shared" si="21"/>
        <v>60508</v>
      </c>
      <c r="EV7" s="971">
        <f t="shared" si="21"/>
        <v>70807</v>
      </c>
      <c r="EW7" s="884"/>
      <c r="EX7" s="884"/>
      <c r="EY7" s="884"/>
      <c r="EZ7" s="875"/>
      <c r="FA7" s="876">
        <f>SUM(EO7:EZ7)</f>
        <v>429747</v>
      </c>
      <c r="FB7" s="757"/>
      <c r="FC7" s="841">
        <f>IFERROR(((
_xlfn.XLOOKUP((DATE(YEAR($FC$5),MONTH($FC$5),1)),$B$5:$FA$5,$B7:$FA7) /
_xlfn.XLOOKUP((DATE(YEAR($FC$5)-1,MONTH($FC$5),1)),$B$5:$FA$5,$B7:$FA7)
)-1)*100,"")</f>
        <v>91.060442525634102</v>
      </c>
      <c r="FD7" s="842">
        <f>IFERROR(((FF7/FE7)-1)*100,"")</f>
        <v>67.911243782649635</v>
      </c>
      <c r="FE7" s="702">
        <f>SUMIFS($B7:$FA7,$B$5:$FA$5,"&gt;="&amp;DATE(YEAR($FC$5)-1,1,1),$B$5:$FA$5,"&lt;="&amp;DATE(YEAR($FC$5)-1,MONTH($FC$5),1))</f>
        <v>255937</v>
      </c>
      <c r="FF7" s="703">
        <f>SUMIFS($B7:$FA7,$B$5:$FA$5,"&gt;="&amp;DATE(YEAR($FC$5),1,1),$B$5:$FA$5,"&lt;="&amp;$FC$5)</f>
        <v>429747</v>
      </c>
      <c r="FG7" s="757"/>
      <c r="FH7" s="838">
        <f>EV7-EI7</f>
        <v>33747</v>
      </c>
    </row>
    <row r="8" spans="1:164" ht="15" customHeight="1" x14ac:dyDescent="0.25">
      <c r="A8" s="403" t="s">
        <v>392</v>
      </c>
      <c r="B8" s="883">
        <v>165</v>
      </c>
      <c r="C8" s="883">
        <v>179</v>
      </c>
      <c r="D8" s="883">
        <v>299</v>
      </c>
      <c r="E8" s="883">
        <v>346</v>
      </c>
      <c r="F8" s="883">
        <v>368</v>
      </c>
      <c r="G8" s="883">
        <v>701</v>
      </c>
      <c r="H8" s="883">
        <v>410</v>
      </c>
      <c r="I8" s="883">
        <v>229</v>
      </c>
      <c r="J8" s="883">
        <v>364</v>
      </c>
      <c r="K8" s="883">
        <v>480</v>
      </c>
      <c r="L8" s="883">
        <v>333</v>
      </c>
      <c r="M8" s="873">
        <v>1120</v>
      </c>
      <c r="N8" s="879">
        <f t="shared" ref="N8:N27" si="22">SUM(B8:M8)</f>
        <v>4994</v>
      </c>
      <c r="O8" s="883">
        <v>155</v>
      </c>
      <c r="P8" s="883">
        <v>245</v>
      </c>
      <c r="Q8" s="883">
        <v>589</v>
      </c>
      <c r="R8" s="883">
        <v>528</v>
      </c>
      <c r="S8" s="883">
        <v>447</v>
      </c>
      <c r="T8" s="883">
        <v>863</v>
      </c>
      <c r="U8" s="883">
        <v>234</v>
      </c>
      <c r="V8" s="883">
        <v>495</v>
      </c>
      <c r="W8" s="883">
        <v>740</v>
      </c>
      <c r="X8" s="883">
        <v>600</v>
      </c>
      <c r="Y8" s="883">
        <v>588</v>
      </c>
      <c r="Z8" s="873">
        <v>2072</v>
      </c>
      <c r="AA8" s="879">
        <f t="shared" ref="AA8:AA27" si="23">SUM(O8:Z8)</f>
        <v>7556</v>
      </c>
      <c r="AB8" s="883">
        <v>158</v>
      </c>
      <c r="AC8" s="883">
        <v>338</v>
      </c>
      <c r="AD8" s="883">
        <v>775</v>
      </c>
      <c r="AE8" s="883">
        <v>922</v>
      </c>
      <c r="AF8" s="883">
        <v>707</v>
      </c>
      <c r="AG8" s="883">
        <v>685</v>
      </c>
      <c r="AH8" s="883">
        <v>251</v>
      </c>
      <c r="AI8" s="883">
        <v>610</v>
      </c>
      <c r="AJ8" s="883">
        <v>749</v>
      </c>
      <c r="AK8" s="883">
        <v>1422</v>
      </c>
      <c r="AL8" s="883">
        <v>627</v>
      </c>
      <c r="AM8" s="873">
        <v>1795</v>
      </c>
      <c r="AN8" s="879">
        <f t="shared" ref="AN8:AN27" si="24">SUM(AB8:AM8)</f>
        <v>9039</v>
      </c>
      <c r="AO8" s="883">
        <v>154</v>
      </c>
      <c r="AP8" s="883">
        <v>464</v>
      </c>
      <c r="AQ8" s="883">
        <v>399</v>
      </c>
      <c r="AR8" s="883">
        <v>434</v>
      </c>
      <c r="AS8" s="883">
        <v>323</v>
      </c>
      <c r="AT8" s="883">
        <v>509</v>
      </c>
      <c r="AU8" s="883">
        <v>1960</v>
      </c>
      <c r="AV8" s="883">
        <v>546</v>
      </c>
      <c r="AW8" s="883">
        <v>1694</v>
      </c>
      <c r="AX8" s="883">
        <v>780</v>
      </c>
      <c r="AY8" s="883">
        <v>301</v>
      </c>
      <c r="AZ8" s="873">
        <v>2015</v>
      </c>
      <c r="BA8" s="879">
        <f t="shared" ref="BA8:BA27" si="25">SUM(AO8:AZ8)</f>
        <v>9579</v>
      </c>
      <c r="BB8" s="883">
        <v>10683</v>
      </c>
      <c r="BC8" s="883">
        <v>389</v>
      </c>
      <c r="BD8" s="883">
        <v>415</v>
      </c>
      <c r="BE8" s="883">
        <v>238</v>
      </c>
      <c r="BF8" s="883">
        <v>9364</v>
      </c>
      <c r="BG8" s="883">
        <v>590</v>
      </c>
      <c r="BH8" s="883">
        <v>1491</v>
      </c>
      <c r="BI8" s="883">
        <v>881</v>
      </c>
      <c r="BJ8" s="883">
        <v>278</v>
      </c>
      <c r="BK8" s="883">
        <v>2627</v>
      </c>
      <c r="BL8" s="883">
        <v>2017</v>
      </c>
      <c r="BM8" s="873">
        <v>798</v>
      </c>
      <c r="BN8" s="879">
        <f t="shared" ref="BN8:BN27" si="26">SUM(BB8:BM8)</f>
        <v>29771</v>
      </c>
      <c r="BO8" s="883">
        <v>8597</v>
      </c>
      <c r="BP8" s="883">
        <v>3482</v>
      </c>
      <c r="BQ8" s="883">
        <v>323</v>
      </c>
      <c r="BR8" s="883">
        <v>1288</v>
      </c>
      <c r="BS8" s="883">
        <v>292</v>
      </c>
      <c r="BT8" s="883">
        <v>228</v>
      </c>
      <c r="BU8" s="883">
        <v>5618</v>
      </c>
      <c r="BV8" s="883">
        <v>610</v>
      </c>
      <c r="BW8" s="883">
        <v>580</v>
      </c>
      <c r="BX8" s="883">
        <v>711</v>
      </c>
      <c r="BY8" s="883">
        <v>492</v>
      </c>
      <c r="BZ8" s="873">
        <v>487</v>
      </c>
      <c r="CA8" s="879">
        <f t="shared" ref="CA8:CA27" si="27">SUM(BO8:BZ8)</f>
        <v>22708</v>
      </c>
      <c r="CB8" s="883">
        <v>1797</v>
      </c>
      <c r="CC8" s="883">
        <v>4665</v>
      </c>
      <c r="CD8" s="883">
        <v>1566</v>
      </c>
      <c r="CE8" s="883">
        <v>5784</v>
      </c>
      <c r="CF8" s="883">
        <v>1745</v>
      </c>
      <c r="CG8" s="883">
        <v>27</v>
      </c>
      <c r="CH8" s="883">
        <v>1205</v>
      </c>
      <c r="CI8" s="883">
        <v>2383</v>
      </c>
      <c r="CJ8" s="883">
        <v>2336</v>
      </c>
      <c r="CK8" s="883">
        <v>2286</v>
      </c>
      <c r="CL8" s="883">
        <v>2945</v>
      </c>
      <c r="CM8" s="873">
        <v>7630</v>
      </c>
      <c r="CN8" s="879">
        <f t="shared" ref="CN8:CN34" si="28">SUM(CB8:CM8)</f>
        <v>34369</v>
      </c>
      <c r="CO8" s="883"/>
      <c r="CP8" s="883">
        <v>6018</v>
      </c>
      <c r="CQ8" s="883">
        <v>13958</v>
      </c>
      <c r="CR8" s="883">
        <v>2679</v>
      </c>
      <c r="CS8" s="883">
        <v>1742</v>
      </c>
      <c r="CT8" s="883">
        <v>3316</v>
      </c>
      <c r="CU8" s="883">
        <v>2656</v>
      </c>
      <c r="CV8" s="883">
        <v>4808</v>
      </c>
      <c r="CW8" s="883">
        <v>4660</v>
      </c>
      <c r="CX8" s="883">
        <v>6243</v>
      </c>
      <c r="CY8" s="883">
        <v>15634</v>
      </c>
      <c r="CZ8" s="873">
        <v>7521</v>
      </c>
      <c r="DA8" s="879">
        <f t="shared" ref="DA8:DA32" si="29">SUM(CO8:CZ8)</f>
        <v>69235</v>
      </c>
      <c r="DB8" s="883">
        <v>123</v>
      </c>
      <c r="DC8" s="883">
        <v>5029</v>
      </c>
      <c r="DD8" s="883">
        <v>3871</v>
      </c>
      <c r="DE8" s="883">
        <v>3367</v>
      </c>
      <c r="DF8" s="883">
        <v>7625</v>
      </c>
      <c r="DG8" s="883">
        <v>935</v>
      </c>
      <c r="DH8" s="883">
        <v>11774</v>
      </c>
      <c r="DI8" s="883">
        <v>3827</v>
      </c>
      <c r="DJ8" s="883">
        <v>891</v>
      </c>
      <c r="DK8" s="883">
        <v>8311</v>
      </c>
      <c r="DL8" s="883">
        <v>6652</v>
      </c>
      <c r="DM8" s="873">
        <v>5795</v>
      </c>
      <c r="DN8" s="879">
        <f t="shared" ref="DN8:DN34" si="30">SUM(DB8:DM8)</f>
        <v>58200</v>
      </c>
      <c r="DO8" s="883">
        <v>644</v>
      </c>
      <c r="DP8" s="883">
        <v>3273</v>
      </c>
      <c r="DQ8" s="883">
        <v>18944</v>
      </c>
      <c r="DR8" s="883">
        <v>4911</v>
      </c>
      <c r="DS8" s="883">
        <v>11115</v>
      </c>
      <c r="DT8" s="883">
        <v>5771</v>
      </c>
      <c r="DU8" s="883">
        <v>2969</v>
      </c>
      <c r="DV8" s="883">
        <v>4636</v>
      </c>
      <c r="DW8" s="883">
        <v>2344</v>
      </c>
      <c r="DX8" s="883">
        <v>2914</v>
      </c>
      <c r="DY8" s="883">
        <v>8924</v>
      </c>
      <c r="DZ8" s="873">
        <v>2511</v>
      </c>
      <c r="EA8" s="879">
        <f t="shared" ref="EA8:EA34" si="31">SUM(DO8:DZ8)</f>
        <v>68956</v>
      </c>
      <c r="EB8" s="883">
        <v>536</v>
      </c>
      <c r="EC8" s="883">
        <v>7671</v>
      </c>
      <c r="ED8" s="883">
        <v>2410</v>
      </c>
      <c r="EE8" s="883">
        <v>5146</v>
      </c>
      <c r="EF8" s="883">
        <v>2976</v>
      </c>
      <c r="EG8" s="883">
        <v>2489</v>
      </c>
      <c r="EH8" s="883">
        <v>5436</v>
      </c>
      <c r="EI8" s="883">
        <v>2931</v>
      </c>
      <c r="EJ8" s="883">
        <v>4421</v>
      </c>
      <c r="EK8" s="883">
        <v>2614</v>
      </c>
      <c r="EL8" s="883">
        <v>2352</v>
      </c>
      <c r="EM8" s="873">
        <v>6548</v>
      </c>
      <c r="EN8" s="879">
        <f t="shared" ref="EN8:EN27" si="32">SUM(EB8:EM8)</f>
        <v>45530</v>
      </c>
      <c r="EO8" s="883">
        <v>1492</v>
      </c>
      <c r="EP8" s="883">
        <v>4006</v>
      </c>
      <c r="EQ8" s="883">
        <v>1694</v>
      </c>
      <c r="ER8" s="883">
        <v>2697</v>
      </c>
      <c r="ES8" s="883">
        <v>12970</v>
      </c>
      <c r="ET8" s="883">
        <v>12776</v>
      </c>
      <c r="EU8" s="883">
        <v>9473</v>
      </c>
      <c r="EV8" s="973">
        <v>12199</v>
      </c>
      <c r="EW8" s="883"/>
      <c r="EX8" s="883"/>
      <c r="EY8" s="883"/>
      <c r="EZ8" s="873"/>
      <c r="FA8" s="879">
        <f t="shared" ref="FA8:FA33" si="33">SUM(EO8:EZ8)</f>
        <v>57307</v>
      </c>
      <c r="FC8" s="843">
        <f t="shared" ref="FC8:FC27" si="34">IFERROR(((
_xlfn.XLOOKUP((DATE(YEAR($FC$5),MONTH($FC$5),1)),$B$5:$FA$5,$B8:$FA8) /
_xlfn.XLOOKUP((DATE(YEAR($FC$5)-1,MONTH($FC$5),1)),$B$5:$FA$5,$B8:$FA8)
)-1)*100,"")</f>
        <v>316.20607301262373</v>
      </c>
      <c r="FD8" s="844">
        <f t="shared" ref="FD8:FD27" si="35">IFERROR(((FF8/FE8)-1)*100,"")</f>
        <v>93.637438756546715</v>
      </c>
      <c r="FE8" s="845">
        <f t="shared" ref="FE8:FE27" si="36">SUMIFS($B8:$FA8,$B$5:$FA$5,"&gt;="&amp;DATE(YEAR($FC$5)-1,1,1),$B$5:$FA$5,"&lt;="&amp;DATE(YEAR($FC$5)-1,MONTH($FC$5),1))</f>
        <v>29595</v>
      </c>
      <c r="FF8" s="846">
        <f t="shared" ref="FF8:FF27" si="37">SUMIFS($B8:$FA8,$B$5:$FA$5,"&gt;="&amp;DATE(YEAR($FC$5),1,1),$B$5:$FA$5,"&lt;="&amp;$FC$5)</f>
        <v>57307</v>
      </c>
      <c r="FH8" s="954">
        <f t="shared" ref="FH8:FH27" si="38">EV8-EI8</f>
        <v>9268</v>
      </c>
    </row>
    <row r="9" spans="1:164" ht="15" customHeight="1" x14ac:dyDescent="0.25">
      <c r="A9" s="403" t="s">
        <v>394</v>
      </c>
      <c r="B9" s="883"/>
      <c r="C9" s="883">
        <v>14</v>
      </c>
      <c r="D9" s="883">
        <v>229</v>
      </c>
      <c r="E9" s="883">
        <v>27</v>
      </c>
      <c r="F9" s="883">
        <v>110</v>
      </c>
      <c r="G9" s="883">
        <v>71</v>
      </c>
      <c r="H9" s="883">
        <v>68</v>
      </c>
      <c r="I9" s="883">
        <v>133</v>
      </c>
      <c r="J9" s="883">
        <v>38</v>
      </c>
      <c r="K9" s="883">
        <v>131</v>
      </c>
      <c r="L9" s="883">
        <v>42</v>
      </c>
      <c r="M9" s="873">
        <v>522</v>
      </c>
      <c r="N9" s="879">
        <f t="shared" si="22"/>
        <v>1385</v>
      </c>
      <c r="O9" s="883"/>
      <c r="P9" s="883">
        <v>18</v>
      </c>
      <c r="Q9" s="883">
        <v>140</v>
      </c>
      <c r="R9" s="883">
        <v>117</v>
      </c>
      <c r="S9" s="883">
        <v>310</v>
      </c>
      <c r="T9" s="883">
        <v>936</v>
      </c>
      <c r="U9" s="883">
        <v>219</v>
      </c>
      <c r="V9" s="883">
        <v>334</v>
      </c>
      <c r="W9" s="883">
        <v>177</v>
      </c>
      <c r="X9" s="883">
        <v>412</v>
      </c>
      <c r="Y9" s="883">
        <v>341</v>
      </c>
      <c r="Z9" s="873">
        <v>2473</v>
      </c>
      <c r="AA9" s="879">
        <f t="shared" si="23"/>
        <v>5477</v>
      </c>
      <c r="AB9" s="883"/>
      <c r="AC9" s="883">
        <v>269</v>
      </c>
      <c r="AD9" s="883">
        <v>430</v>
      </c>
      <c r="AE9" s="883">
        <v>572</v>
      </c>
      <c r="AF9" s="883">
        <v>1294</v>
      </c>
      <c r="AG9" s="883">
        <v>722</v>
      </c>
      <c r="AH9" s="883">
        <v>671</v>
      </c>
      <c r="AI9" s="883">
        <v>723</v>
      </c>
      <c r="AJ9" s="883">
        <v>1028</v>
      </c>
      <c r="AK9" s="883">
        <v>356</v>
      </c>
      <c r="AL9" s="883">
        <v>3706</v>
      </c>
      <c r="AM9" s="873">
        <v>4219</v>
      </c>
      <c r="AN9" s="879">
        <f t="shared" si="24"/>
        <v>13990</v>
      </c>
      <c r="AO9" s="883">
        <v>74</v>
      </c>
      <c r="AP9" s="883">
        <v>140</v>
      </c>
      <c r="AQ9" s="883">
        <v>328</v>
      </c>
      <c r="AR9" s="883">
        <v>399</v>
      </c>
      <c r="AS9" s="883">
        <v>488</v>
      </c>
      <c r="AT9" s="883">
        <v>341</v>
      </c>
      <c r="AU9" s="883">
        <v>481</v>
      </c>
      <c r="AV9" s="883">
        <v>1198</v>
      </c>
      <c r="AW9" s="883">
        <v>995</v>
      </c>
      <c r="AX9" s="883">
        <v>571</v>
      </c>
      <c r="AY9" s="883">
        <v>549</v>
      </c>
      <c r="AZ9" s="873">
        <v>984</v>
      </c>
      <c r="BA9" s="879">
        <f t="shared" si="25"/>
        <v>6548</v>
      </c>
      <c r="BB9" s="883">
        <v>26</v>
      </c>
      <c r="BC9" s="883">
        <v>232</v>
      </c>
      <c r="BD9" s="883">
        <v>321</v>
      </c>
      <c r="BE9" s="883">
        <v>787</v>
      </c>
      <c r="BF9" s="883">
        <v>908</v>
      </c>
      <c r="BG9" s="883">
        <v>264</v>
      </c>
      <c r="BH9" s="883">
        <v>399</v>
      </c>
      <c r="BI9" s="883">
        <v>318</v>
      </c>
      <c r="BJ9" s="883">
        <v>285</v>
      </c>
      <c r="BK9" s="883">
        <v>447</v>
      </c>
      <c r="BL9" s="883">
        <v>799</v>
      </c>
      <c r="BM9" s="873">
        <v>1041</v>
      </c>
      <c r="BN9" s="879">
        <f t="shared" si="26"/>
        <v>5827</v>
      </c>
      <c r="BO9" s="883">
        <v>103</v>
      </c>
      <c r="BP9" s="883">
        <v>458</v>
      </c>
      <c r="BQ9" s="883">
        <v>432</v>
      </c>
      <c r="BR9" s="883">
        <v>118</v>
      </c>
      <c r="BS9" s="883">
        <v>580</v>
      </c>
      <c r="BT9" s="883">
        <v>69</v>
      </c>
      <c r="BU9" s="883">
        <v>168</v>
      </c>
      <c r="BV9" s="883">
        <v>272</v>
      </c>
      <c r="BW9" s="883">
        <v>731</v>
      </c>
      <c r="BX9" s="883">
        <v>1103</v>
      </c>
      <c r="BY9" s="883">
        <v>565</v>
      </c>
      <c r="BZ9" s="873">
        <v>1325</v>
      </c>
      <c r="CA9" s="879">
        <f t="shared" si="27"/>
        <v>5924</v>
      </c>
      <c r="CB9" s="883"/>
      <c r="CC9" s="883">
        <v>399</v>
      </c>
      <c r="CD9" s="883">
        <v>535</v>
      </c>
      <c r="CE9" s="883">
        <v>363</v>
      </c>
      <c r="CF9" s="883">
        <v>681</v>
      </c>
      <c r="CG9" s="883">
        <v>680</v>
      </c>
      <c r="CH9" s="883">
        <v>461</v>
      </c>
      <c r="CI9" s="883">
        <v>687</v>
      </c>
      <c r="CJ9" s="883">
        <v>667</v>
      </c>
      <c r="CK9" s="883">
        <v>805</v>
      </c>
      <c r="CL9" s="883">
        <v>1159</v>
      </c>
      <c r="CM9" s="873">
        <v>3150</v>
      </c>
      <c r="CN9" s="879">
        <f t="shared" si="28"/>
        <v>9587</v>
      </c>
      <c r="CO9" s="883"/>
      <c r="CP9" s="883">
        <v>27</v>
      </c>
      <c r="CQ9" s="883">
        <v>149</v>
      </c>
      <c r="CR9" s="883">
        <v>263</v>
      </c>
      <c r="CS9" s="883">
        <v>496</v>
      </c>
      <c r="CT9" s="883">
        <v>600</v>
      </c>
      <c r="CU9" s="883">
        <v>708</v>
      </c>
      <c r="CV9" s="883">
        <v>727</v>
      </c>
      <c r="CW9" s="883">
        <v>629</v>
      </c>
      <c r="CX9" s="883">
        <v>794</v>
      </c>
      <c r="CY9" s="883">
        <v>548</v>
      </c>
      <c r="CZ9" s="873">
        <v>1478</v>
      </c>
      <c r="DA9" s="879">
        <f t="shared" si="29"/>
        <v>6419</v>
      </c>
      <c r="DB9" s="883">
        <v>167</v>
      </c>
      <c r="DC9" s="883">
        <v>53</v>
      </c>
      <c r="DD9" s="883">
        <v>190</v>
      </c>
      <c r="DE9" s="883">
        <v>184</v>
      </c>
      <c r="DF9" s="883">
        <v>406</v>
      </c>
      <c r="DG9" s="883">
        <v>978</v>
      </c>
      <c r="DH9" s="883">
        <v>684</v>
      </c>
      <c r="DI9" s="883">
        <v>675</v>
      </c>
      <c r="DJ9" s="883">
        <v>1667</v>
      </c>
      <c r="DK9" s="883">
        <v>1054</v>
      </c>
      <c r="DL9" s="883">
        <v>1156</v>
      </c>
      <c r="DM9" s="873">
        <v>3350</v>
      </c>
      <c r="DN9" s="879">
        <f t="shared" si="30"/>
        <v>10564</v>
      </c>
      <c r="DO9" s="883"/>
      <c r="DP9" s="883">
        <v>730</v>
      </c>
      <c r="DQ9" s="883">
        <v>1609</v>
      </c>
      <c r="DR9" s="883">
        <v>916</v>
      </c>
      <c r="DS9" s="883">
        <v>837</v>
      </c>
      <c r="DT9" s="883">
        <v>1800</v>
      </c>
      <c r="DU9" s="883">
        <v>1721</v>
      </c>
      <c r="DV9" s="883">
        <v>420</v>
      </c>
      <c r="DW9" s="883">
        <v>1842</v>
      </c>
      <c r="DX9" s="883">
        <v>912</v>
      </c>
      <c r="DY9" s="883">
        <v>2125</v>
      </c>
      <c r="DZ9" s="873">
        <v>1651</v>
      </c>
      <c r="EA9" s="879">
        <f t="shared" si="31"/>
        <v>14563</v>
      </c>
      <c r="EB9" s="883">
        <v>0</v>
      </c>
      <c r="EC9" s="883">
        <v>502</v>
      </c>
      <c r="ED9" s="883">
        <v>62</v>
      </c>
      <c r="EE9" s="883">
        <v>845</v>
      </c>
      <c r="EF9" s="883">
        <v>1489</v>
      </c>
      <c r="EG9" s="883">
        <v>678</v>
      </c>
      <c r="EH9" s="883">
        <v>806</v>
      </c>
      <c r="EI9" s="883">
        <v>613</v>
      </c>
      <c r="EJ9" s="883">
        <v>486</v>
      </c>
      <c r="EK9" s="883">
        <v>628</v>
      </c>
      <c r="EL9" s="883">
        <v>1714</v>
      </c>
      <c r="EM9" s="873">
        <v>3649</v>
      </c>
      <c r="EN9" s="879">
        <f t="shared" si="32"/>
        <v>11472</v>
      </c>
      <c r="EO9" s="883">
        <v>0</v>
      </c>
      <c r="EP9" s="883">
        <v>1778</v>
      </c>
      <c r="EQ9" s="883">
        <v>27</v>
      </c>
      <c r="ER9" s="883">
        <v>416</v>
      </c>
      <c r="ES9" s="883">
        <v>847</v>
      </c>
      <c r="ET9" s="883">
        <v>766</v>
      </c>
      <c r="EU9" s="883">
        <v>1970</v>
      </c>
      <c r="EV9" s="973">
        <v>1767</v>
      </c>
      <c r="EW9" s="883"/>
      <c r="EX9" s="883"/>
      <c r="EY9" s="883"/>
      <c r="EZ9" s="873"/>
      <c r="FA9" s="879">
        <f t="shared" si="33"/>
        <v>7571</v>
      </c>
      <c r="FC9" s="843">
        <f t="shared" si="34"/>
        <v>188.25448613376835</v>
      </c>
      <c r="FD9" s="844">
        <f t="shared" si="35"/>
        <v>51.571571571571575</v>
      </c>
      <c r="FE9" s="845">
        <f t="shared" si="36"/>
        <v>4995</v>
      </c>
      <c r="FF9" s="846">
        <f t="shared" si="37"/>
        <v>7571</v>
      </c>
      <c r="FH9" s="127">
        <f t="shared" si="38"/>
        <v>1154</v>
      </c>
    </row>
    <row r="10" spans="1:164" ht="15" customHeight="1" x14ac:dyDescent="0.25">
      <c r="A10" s="403" t="s">
        <v>661</v>
      </c>
      <c r="B10" s="883"/>
      <c r="C10" s="883"/>
      <c r="D10" s="883">
        <v>11</v>
      </c>
      <c r="E10" s="883">
        <v>32</v>
      </c>
      <c r="F10" s="883">
        <v>43</v>
      </c>
      <c r="G10" s="883">
        <v>21</v>
      </c>
      <c r="H10" s="883">
        <v>22</v>
      </c>
      <c r="I10" s="883">
        <v>8</v>
      </c>
      <c r="J10" s="883">
        <v>18</v>
      </c>
      <c r="K10" s="883">
        <v>34</v>
      </c>
      <c r="L10" s="883">
        <v>38</v>
      </c>
      <c r="M10" s="873">
        <v>39</v>
      </c>
      <c r="N10" s="879">
        <f t="shared" si="22"/>
        <v>266</v>
      </c>
      <c r="O10" s="883"/>
      <c r="P10" s="883">
        <v>4</v>
      </c>
      <c r="Q10" s="883">
        <v>27</v>
      </c>
      <c r="R10" s="883">
        <v>17</v>
      </c>
      <c r="S10" s="883">
        <v>23</v>
      </c>
      <c r="T10" s="883">
        <v>20</v>
      </c>
      <c r="U10" s="883">
        <v>3</v>
      </c>
      <c r="V10" s="883">
        <v>16</v>
      </c>
      <c r="W10" s="883"/>
      <c r="X10" s="883">
        <v>2</v>
      </c>
      <c r="Y10" s="883"/>
      <c r="Z10" s="873">
        <v>12</v>
      </c>
      <c r="AA10" s="879">
        <f t="shared" si="23"/>
        <v>124</v>
      </c>
      <c r="AB10" s="883"/>
      <c r="AC10" s="883"/>
      <c r="AD10" s="883"/>
      <c r="AE10" s="883"/>
      <c r="AF10" s="883"/>
      <c r="AG10" s="883"/>
      <c r="AH10" s="883">
        <v>4</v>
      </c>
      <c r="AI10" s="883">
        <v>27</v>
      </c>
      <c r="AJ10" s="883"/>
      <c r="AK10" s="883"/>
      <c r="AL10" s="883"/>
      <c r="AM10" s="873">
        <v>61</v>
      </c>
      <c r="AN10" s="879">
        <f t="shared" si="24"/>
        <v>92</v>
      </c>
      <c r="AO10" s="883"/>
      <c r="AP10" s="883"/>
      <c r="AQ10" s="883">
        <v>51</v>
      </c>
      <c r="AR10" s="883">
        <v>17</v>
      </c>
      <c r="AS10" s="883"/>
      <c r="AT10" s="883"/>
      <c r="AU10" s="883"/>
      <c r="AV10" s="883"/>
      <c r="AW10" s="883"/>
      <c r="AX10" s="883"/>
      <c r="AY10" s="883"/>
      <c r="AZ10" s="873">
        <v>1</v>
      </c>
      <c r="BA10" s="879">
        <f t="shared" si="25"/>
        <v>69</v>
      </c>
      <c r="BB10" s="883"/>
      <c r="BC10" s="883"/>
      <c r="BD10" s="883"/>
      <c r="BE10" s="883"/>
      <c r="BF10" s="883"/>
      <c r="BG10" s="883"/>
      <c r="BH10" s="883"/>
      <c r="BI10" s="883"/>
      <c r="BJ10" s="883"/>
      <c r="BK10" s="883"/>
      <c r="BL10" s="883"/>
      <c r="BM10" s="873">
        <v>69</v>
      </c>
      <c r="BN10" s="879">
        <f t="shared" si="26"/>
        <v>69</v>
      </c>
      <c r="BO10" s="883"/>
      <c r="BP10" s="883"/>
      <c r="BQ10" s="883"/>
      <c r="BR10" s="883">
        <v>3</v>
      </c>
      <c r="BS10" s="883"/>
      <c r="BT10" s="883">
        <v>8</v>
      </c>
      <c r="BU10" s="883"/>
      <c r="BV10" s="883"/>
      <c r="BW10" s="883"/>
      <c r="BX10" s="883"/>
      <c r="BY10" s="883"/>
      <c r="BZ10" s="873">
        <v>1</v>
      </c>
      <c r="CA10" s="879">
        <f t="shared" si="27"/>
        <v>12</v>
      </c>
      <c r="CB10" s="883"/>
      <c r="CC10" s="883"/>
      <c r="CD10" s="883"/>
      <c r="CE10" s="883"/>
      <c r="CF10" s="883"/>
      <c r="CG10" s="883"/>
      <c r="CH10" s="883"/>
      <c r="CI10" s="883"/>
      <c r="CJ10" s="883"/>
      <c r="CK10" s="883"/>
      <c r="CL10" s="883"/>
      <c r="CM10" s="873"/>
      <c r="CN10" s="879">
        <f t="shared" si="28"/>
        <v>0</v>
      </c>
      <c r="CO10" s="883"/>
      <c r="CP10" s="883"/>
      <c r="CQ10" s="883"/>
      <c r="CR10" s="883"/>
      <c r="CS10" s="883"/>
      <c r="CT10" s="883"/>
      <c r="CU10" s="883"/>
      <c r="CV10" s="883"/>
      <c r="CW10" s="883"/>
      <c r="CX10" s="883"/>
      <c r="CY10" s="883">
        <v>3</v>
      </c>
      <c r="CZ10" s="873"/>
      <c r="DA10" s="879">
        <f t="shared" si="29"/>
        <v>3</v>
      </c>
      <c r="DB10" s="883"/>
      <c r="DC10" s="883"/>
      <c r="DD10" s="883"/>
      <c r="DE10" s="883"/>
      <c r="DF10" s="883"/>
      <c r="DG10" s="883"/>
      <c r="DH10" s="883"/>
      <c r="DI10" s="883"/>
      <c r="DJ10" s="883"/>
      <c r="DK10" s="883"/>
      <c r="DL10" s="883"/>
      <c r="DM10" s="873"/>
      <c r="DN10" s="879">
        <f t="shared" si="30"/>
        <v>0</v>
      </c>
      <c r="DO10" s="883"/>
      <c r="DP10" s="883"/>
      <c r="DQ10" s="883"/>
      <c r="DR10" s="883">
        <v>24</v>
      </c>
      <c r="DS10" s="883"/>
      <c r="DT10" s="883"/>
      <c r="DU10" s="883"/>
      <c r="DV10" s="883"/>
      <c r="DW10" s="883"/>
      <c r="DX10" s="883"/>
      <c r="DY10" s="883"/>
      <c r="DZ10" s="873"/>
      <c r="EA10" s="879">
        <f t="shared" si="31"/>
        <v>24</v>
      </c>
      <c r="EB10" s="883">
        <v>0</v>
      </c>
      <c r="EC10" s="883">
        <v>0</v>
      </c>
      <c r="ED10" s="883">
        <v>7</v>
      </c>
      <c r="EE10" s="883">
        <v>0</v>
      </c>
      <c r="EF10" s="883">
        <v>0</v>
      </c>
      <c r="EG10" s="883">
        <v>256</v>
      </c>
      <c r="EH10" s="883">
        <v>50</v>
      </c>
      <c r="EI10" s="883">
        <v>141</v>
      </c>
      <c r="EJ10" s="883">
        <v>18</v>
      </c>
      <c r="EK10" s="883">
        <v>128</v>
      </c>
      <c r="EL10" s="883">
        <v>0</v>
      </c>
      <c r="EM10" s="873">
        <v>0</v>
      </c>
      <c r="EN10" s="879">
        <f t="shared" si="32"/>
        <v>600</v>
      </c>
      <c r="EO10" s="883">
        <v>0</v>
      </c>
      <c r="EP10" s="883">
        <v>0</v>
      </c>
      <c r="EQ10" s="883">
        <v>1</v>
      </c>
      <c r="ER10" s="883">
        <v>0</v>
      </c>
      <c r="ES10" s="883">
        <v>0</v>
      </c>
      <c r="ET10" s="883">
        <v>0</v>
      </c>
      <c r="EU10" s="883">
        <v>0</v>
      </c>
      <c r="EV10" s="973">
        <v>0</v>
      </c>
      <c r="EW10" s="883"/>
      <c r="EX10" s="883"/>
      <c r="EY10" s="883"/>
      <c r="EZ10" s="873"/>
      <c r="FA10" s="879">
        <f t="shared" si="33"/>
        <v>1</v>
      </c>
      <c r="FC10" s="843">
        <f t="shared" si="34"/>
        <v>-100</v>
      </c>
      <c r="FD10" s="844">
        <f t="shared" si="35"/>
        <v>-99.779735682819378</v>
      </c>
      <c r="FE10" s="845">
        <f t="shared" si="36"/>
        <v>454</v>
      </c>
      <c r="FF10" s="846">
        <f t="shared" si="37"/>
        <v>1</v>
      </c>
      <c r="FH10" s="127">
        <f t="shared" si="38"/>
        <v>-141</v>
      </c>
    </row>
    <row r="11" spans="1:164" ht="15" customHeight="1" x14ac:dyDescent="0.25">
      <c r="A11" s="403" t="s">
        <v>395</v>
      </c>
      <c r="B11" s="883"/>
      <c r="C11" s="883"/>
      <c r="D11" s="883"/>
      <c r="E11" s="883"/>
      <c r="F11" s="883"/>
      <c r="G11" s="883"/>
      <c r="H11" s="883">
        <v>2</v>
      </c>
      <c r="I11" s="883">
        <v>19</v>
      </c>
      <c r="J11" s="883">
        <v>1</v>
      </c>
      <c r="K11" s="883"/>
      <c r="L11" s="883"/>
      <c r="M11" s="873">
        <v>20</v>
      </c>
      <c r="N11" s="879">
        <f t="shared" si="22"/>
        <v>42</v>
      </c>
      <c r="O11" s="883"/>
      <c r="P11" s="883"/>
      <c r="Q11" s="883"/>
      <c r="R11" s="883"/>
      <c r="S11" s="883">
        <v>23</v>
      </c>
      <c r="T11" s="883"/>
      <c r="U11" s="883">
        <v>3</v>
      </c>
      <c r="V11" s="883">
        <v>4</v>
      </c>
      <c r="W11" s="883"/>
      <c r="X11" s="883">
        <v>3</v>
      </c>
      <c r="Y11" s="883">
        <v>26</v>
      </c>
      <c r="Z11" s="873">
        <v>1</v>
      </c>
      <c r="AA11" s="879">
        <f t="shared" si="23"/>
        <v>60</v>
      </c>
      <c r="AB11" s="883"/>
      <c r="AC11" s="883"/>
      <c r="AD11" s="883"/>
      <c r="AE11" s="883"/>
      <c r="AF11" s="883"/>
      <c r="AG11" s="883"/>
      <c r="AH11" s="883"/>
      <c r="AI11" s="883"/>
      <c r="AJ11" s="883">
        <v>9</v>
      </c>
      <c r="AK11" s="883"/>
      <c r="AL11" s="883">
        <v>23</v>
      </c>
      <c r="AM11" s="873">
        <v>8</v>
      </c>
      <c r="AN11" s="879">
        <f t="shared" si="24"/>
        <v>40</v>
      </c>
      <c r="AO11" s="883"/>
      <c r="AP11" s="883"/>
      <c r="AQ11" s="883">
        <v>35</v>
      </c>
      <c r="AR11" s="883"/>
      <c r="AS11" s="883">
        <v>4</v>
      </c>
      <c r="AT11" s="883"/>
      <c r="AU11" s="883"/>
      <c r="AV11" s="883">
        <v>1</v>
      </c>
      <c r="AW11" s="883"/>
      <c r="AX11" s="883">
        <v>3</v>
      </c>
      <c r="AY11" s="883"/>
      <c r="AZ11" s="873">
        <v>25</v>
      </c>
      <c r="BA11" s="879">
        <f t="shared" si="25"/>
        <v>68</v>
      </c>
      <c r="BB11" s="883"/>
      <c r="BC11" s="883"/>
      <c r="BD11" s="883"/>
      <c r="BE11" s="883"/>
      <c r="BF11" s="883">
        <v>46</v>
      </c>
      <c r="BG11" s="883"/>
      <c r="BH11" s="883"/>
      <c r="BI11" s="883"/>
      <c r="BJ11" s="883"/>
      <c r="BK11" s="883">
        <v>9</v>
      </c>
      <c r="BL11" s="883">
        <v>11</v>
      </c>
      <c r="BM11" s="873">
        <v>27</v>
      </c>
      <c r="BN11" s="879">
        <f t="shared" si="26"/>
        <v>93</v>
      </c>
      <c r="BO11" s="883"/>
      <c r="BP11" s="883"/>
      <c r="BQ11" s="883"/>
      <c r="BR11" s="883"/>
      <c r="BS11" s="883"/>
      <c r="BT11" s="883"/>
      <c r="BU11" s="883"/>
      <c r="BV11" s="883"/>
      <c r="BW11" s="883">
        <v>1</v>
      </c>
      <c r="BX11" s="883"/>
      <c r="BY11" s="883"/>
      <c r="BZ11" s="873">
        <v>125</v>
      </c>
      <c r="CA11" s="879">
        <f t="shared" si="27"/>
        <v>126</v>
      </c>
      <c r="CB11" s="883"/>
      <c r="CC11" s="883"/>
      <c r="CD11" s="883"/>
      <c r="CE11" s="883">
        <v>6</v>
      </c>
      <c r="CF11" s="883"/>
      <c r="CG11" s="883"/>
      <c r="CH11" s="883">
        <v>10</v>
      </c>
      <c r="CI11" s="883"/>
      <c r="CJ11" s="883"/>
      <c r="CK11" s="883"/>
      <c r="CL11" s="883">
        <v>11</v>
      </c>
      <c r="CM11" s="873">
        <v>66</v>
      </c>
      <c r="CN11" s="879">
        <f t="shared" si="28"/>
        <v>93</v>
      </c>
      <c r="CO11" s="883"/>
      <c r="CP11" s="883"/>
      <c r="CQ11" s="883"/>
      <c r="CR11" s="883"/>
      <c r="CS11" s="883"/>
      <c r="CT11" s="883"/>
      <c r="CU11" s="883"/>
      <c r="CV11" s="883"/>
      <c r="CW11" s="883">
        <v>4</v>
      </c>
      <c r="CX11" s="883">
        <v>20</v>
      </c>
      <c r="CY11" s="883">
        <v>12</v>
      </c>
      <c r="CZ11" s="873"/>
      <c r="DA11" s="879">
        <f t="shared" si="29"/>
        <v>36</v>
      </c>
      <c r="DB11" s="883"/>
      <c r="DC11" s="883"/>
      <c r="DD11" s="883"/>
      <c r="DE11" s="883"/>
      <c r="DF11" s="883"/>
      <c r="DG11" s="883"/>
      <c r="DH11" s="883">
        <v>13</v>
      </c>
      <c r="DI11" s="883"/>
      <c r="DJ11" s="883"/>
      <c r="DK11" s="883">
        <v>64</v>
      </c>
      <c r="DL11" s="883">
        <v>7</v>
      </c>
      <c r="DM11" s="873"/>
      <c r="DN11" s="879">
        <f t="shared" si="30"/>
        <v>84</v>
      </c>
      <c r="DO11" s="883"/>
      <c r="DP11" s="883"/>
      <c r="DQ11" s="883"/>
      <c r="DR11" s="883"/>
      <c r="DS11" s="883"/>
      <c r="DT11" s="883"/>
      <c r="DU11" s="883"/>
      <c r="DV11" s="883">
        <v>7</v>
      </c>
      <c r="DW11" s="883">
        <v>53</v>
      </c>
      <c r="DX11" s="883">
        <v>34</v>
      </c>
      <c r="DY11" s="883"/>
      <c r="DZ11" s="873"/>
      <c r="EA11" s="879">
        <f t="shared" si="31"/>
        <v>94</v>
      </c>
      <c r="EB11" s="883">
        <v>0</v>
      </c>
      <c r="EC11" s="883">
        <v>0</v>
      </c>
      <c r="ED11" s="883">
        <v>0</v>
      </c>
      <c r="EE11" s="883">
        <v>0</v>
      </c>
      <c r="EF11" s="883">
        <v>0</v>
      </c>
      <c r="EG11" s="883">
        <v>0</v>
      </c>
      <c r="EH11" s="883">
        <v>0</v>
      </c>
      <c r="EI11" s="883">
        <v>0</v>
      </c>
      <c r="EJ11" s="883">
        <v>7</v>
      </c>
      <c r="EK11" s="883">
        <v>34</v>
      </c>
      <c r="EL11" s="883">
        <v>0</v>
      </c>
      <c r="EM11" s="873">
        <v>31</v>
      </c>
      <c r="EN11" s="879">
        <f t="shared" si="32"/>
        <v>72</v>
      </c>
      <c r="EO11" s="883">
        <v>0</v>
      </c>
      <c r="EP11" s="883">
        <v>0</v>
      </c>
      <c r="EQ11" s="883">
        <v>0</v>
      </c>
      <c r="ER11" s="883">
        <v>0</v>
      </c>
      <c r="ES11" s="883">
        <v>0</v>
      </c>
      <c r="ET11" s="883">
        <v>0</v>
      </c>
      <c r="EU11" s="883">
        <v>0</v>
      </c>
      <c r="EV11" s="973">
        <v>0</v>
      </c>
      <c r="EW11" s="883"/>
      <c r="EX11" s="883"/>
      <c r="EY11" s="883"/>
      <c r="EZ11" s="873"/>
      <c r="FA11" s="879">
        <f t="shared" si="33"/>
        <v>0</v>
      </c>
      <c r="FC11" s="843" t="str">
        <f t="shared" si="34"/>
        <v/>
      </c>
      <c r="FD11" s="844" t="str">
        <f t="shared" si="35"/>
        <v/>
      </c>
      <c r="FE11" s="845">
        <f t="shared" si="36"/>
        <v>0</v>
      </c>
      <c r="FF11" s="846">
        <f t="shared" si="37"/>
        <v>0</v>
      </c>
      <c r="FH11" s="127">
        <f t="shared" si="38"/>
        <v>0</v>
      </c>
    </row>
    <row r="12" spans="1:164" ht="15" customHeight="1" x14ac:dyDescent="0.25">
      <c r="A12" s="403" t="s">
        <v>407</v>
      </c>
      <c r="B12" s="883"/>
      <c r="C12" s="883">
        <v>117</v>
      </c>
      <c r="D12" s="883">
        <v>38</v>
      </c>
      <c r="E12" s="883">
        <v>29</v>
      </c>
      <c r="F12" s="883">
        <v>35</v>
      </c>
      <c r="G12" s="883">
        <v>21</v>
      </c>
      <c r="H12" s="883">
        <v>17</v>
      </c>
      <c r="I12" s="883">
        <v>129</v>
      </c>
      <c r="J12" s="883"/>
      <c r="K12" s="883">
        <v>20</v>
      </c>
      <c r="L12" s="883">
        <v>4</v>
      </c>
      <c r="M12" s="873">
        <v>90</v>
      </c>
      <c r="N12" s="879">
        <f t="shared" si="22"/>
        <v>500</v>
      </c>
      <c r="O12" s="883"/>
      <c r="P12" s="883">
        <v>32</v>
      </c>
      <c r="Q12" s="883">
        <v>169</v>
      </c>
      <c r="R12" s="883">
        <v>61</v>
      </c>
      <c r="S12" s="883">
        <v>8</v>
      </c>
      <c r="T12" s="883">
        <v>49</v>
      </c>
      <c r="U12" s="883">
        <v>30</v>
      </c>
      <c r="V12" s="883">
        <v>41</v>
      </c>
      <c r="W12" s="883">
        <v>40</v>
      </c>
      <c r="X12" s="883">
        <v>27</v>
      </c>
      <c r="Y12" s="883">
        <v>62</v>
      </c>
      <c r="Z12" s="873">
        <v>91</v>
      </c>
      <c r="AA12" s="879">
        <f t="shared" si="23"/>
        <v>610</v>
      </c>
      <c r="AB12" s="883"/>
      <c r="AC12" s="883"/>
      <c r="AD12" s="883">
        <v>47</v>
      </c>
      <c r="AE12" s="883">
        <v>66</v>
      </c>
      <c r="AF12" s="883">
        <v>39</v>
      </c>
      <c r="AG12" s="883">
        <v>23</v>
      </c>
      <c r="AH12" s="883">
        <v>52</v>
      </c>
      <c r="AI12" s="883">
        <v>80</v>
      </c>
      <c r="AJ12" s="883">
        <v>39</v>
      </c>
      <c r="AK12" s="883">
        <v>34</v>
      </c>
      <c r="AL12" s="883">
        <v>25</v>
      </c>
      <c r="AM12" s="873">
        <v>70</v>
      </c>
      <c r="AN12" s="879">
        <f t="shared" si="24"/>
        <v>475</v>
      </c>
      <c r="AO12" s="883"/>
      <c r="AP12" s="883"/>
      <c r="AQ12" s="883">
        <v>52</v>
      </c>
      <c r="AR12" s="883">
        <v>47</v>
      </c>
      <c r="AS12" s="883">
        <v>37</v>
      </c>
      <c r="AT12" s="883">
        <v>18</v>
      </c>
      <c r="AU12" s="883">
        <v>74</v>
      </c>
      <c r="AV12" s="883">
        <v>40</v>
      </c>
      <c r="AW12" s="883">
        <v>38</v>
      </c>
      <c r="AX12" s="883">
        <v>30</v>
      </c>
      <c r="AY12" s="883">
        <v>23</v>
      </c>
      <c r="AZ12" s="873">
        <v>46</v>
      </c>
      <c r="BA12" s="879">
        <f t="shared" si="25"/>
        <v>405</v>
      </c>
      <c r="BB12" s="883"/>
      <c r="BC12" s="883"/>
      <c r="BD12" s="883"/>
      <c r="BE12" s="883"/>
      <c r="BF12" s="883"/>
      <c r="BG12" s="883"/>
      <c r="BH12" s="883"/>
      <c r="BI12" s="883"/>
      <c r="BJ12" s="883"/>
      <c r="BK12" s="883"/>
      <c r="BL12" s="883"/>
      <c r="BM12" s="873">
        <v>32</v>
      </c>
      <c r="BN12" s="879">
        <f t="shared" si="26"/>
        <v>32</v>
      </c>
      <c r="BO12" s="883"/>
      <c r="BP12" s="883"/>
      <c r="BQ12" s="883"/>
      <c r="BR12" s="883"/>
      <c r="BS12" s="883"/>
      <c r="BT12" s="883">
        <v>9</v>
      </c>
      <c r="BU12" s="883">
        <v>45</v>
      </c>
      <c r="BV12" s="883"/>
      <c r="BW12" s="883"/>
      <c r="BX12" s="883"/>
      <c r="BY12" s="883"/>
      <c r="BZ12" s="873">
        <v>51</v>
      </c>
      <c r="CA12" s="879">
        <f t="shared" si="27"/>
        <v>105</v>
      </c>
      <c r="CB12" s="883"/>
      <c r="CC12" s="883"/>
      <c r="CD12" s="883"/>
      <c r="CE12" s="883"/>
      <c r="CF12" s="883"/>
      <c r="CG12" s="883">
        <v>50</v>
      </c>
      <c r="CH12" s="883"/>
      <c r="CI12" s="883"/>
      <c r="CJ12" s="883"/>
      <c r="CK12" s="883"/>
      <c r="CL12" s="883"/>
      <c r="CM12" s="873">
        <v>34</v>
      </c>
      <c r="CN12" s="879">
        <f t="shared" si="28"/>
        <v>84</v>
      </c>
      <c r="CO12" s="883"/>
      <c r="CP12" s="883"/>
      <c r="CQ12" s="883"/>
      <c r="CR12" s="883"/>
      <c r="CS12" s="883"/>
      <c r="CT12" s="883"/>
      <c r="CU12" s="883"/>
      <c r="CV12" s="883">
        <v>99</v>
      </c>
      <c r="CW12" s="883">
        <v>89</v>
      </c>
      <c r="CX12" s="883">
        <v>6348</v>
      </c>
      <c r="CY12" s="883">
        <v>1</v>
      </c>
      <c r="CZ12" s="873">
        <v>5874</v>
      </c>
      <c r="DA12" s="879">
        <f t="shared" si="29"/>
        <v>12411</v>
      </c>
      <c r="DB12" s="883"/>
      <c r="DC12" s="883"/>
      <c r="DD12" s="883"/>
      <c r="DE12" s="883"/>
      <c r="DF12" s="883"/>
      <c r="DG12" s="883">
        <v>20</v>
      </c>
      <c r="DH12" s="883"/>
      <c r="DI12" s="883">
        <v>35</v>
      </c>
      <c r="DJ12" s="883">
        <v>75</v>
      </c>
      <c r="DK12" s="883">
        <v>4</v>
      </c>
      <c r="DL12" s="883">
        <v>1762</v>
      </c>
      <c r="DM12" s="873">
        <v>400</v>
      </c>
      <c r="DN12" s="879">
        <f t="shared" si="30"/>
        <v>2296</v>
      </c>
      <c r="DO12" s="883"/>
      <c r="DP12" s="883"/>
      <c r="DQ12" s="883"/>
      <c r="DR12" s="883">
        <v>1758</v>
      </c>
      <c r="DS12" s="883">
        <v>21</v>
      </c>
      <c r="DT12" s="883">
        <v>177</v>
      </c>
      <c r="DU12" s="883">
        <v>1107</v>
      </c>
      <c r="DV12" s="883">
        <v>815</v>
      </c>
      <c r="DW12" s="883">
        <v>-927</v>
      </c>
      <c r="DX12" s="883">
        <v>26</v>
      </c>
      <c r="DY12" s="883">
        <v>70</v>
      </c>
      <c r="DZ12" s="873">
        <v>106</v>
      </c>
      <c r="EA12" s="879">
        <f t="shared" si="31"/>
        <v>3153</v>
      </c>
      <c r="EB12" s="883">
        <v>0</v>
      </c>
      <c r="EC12" s="883">
        <v>0</v>
      </c>
      <c r="ED12" s="883">
        <v>0</v>
      </c>
      <c r="EE12" s="883">
        <v>10</v>
      </c>
      <c r="EF12" s="883">
        <v>103</v>
      </c>
      <c r="EG12" s="883">
        <v>7</v>
      </c>
      <c r="EH12" s="883">
        <v>482</v>
      </c>
      <c r="EI12" s="883">
        <v>513</v>
      </c>
      <c r="EJ12" s="883">
        <v>334</v>
      </c>
      <c r="EK12" s="883">
        <v>544</v>
      </c>
      <c r="EL12" s="883">
        <v>206</v>
      </c>
      <c r="EM12" s="873">
        <v>348</v>
      </c>
      <c r="EN12" s="879">
        <f t="shared" si="32"/>
        <v>2547</v>
      </c>
      <c r="EO12" s="883">
        <v>0</v>
      </c>
      <c r="EP12" s="883">
        <v>1639</v>
      </c>
      <c r="EQ12" s="883">
        <v>20</v>
      </c>
      <c r="ER12" s="883">
        <v>37</v>
      </c>
      <c r="ES12" s="883">
        <v>538</v>
      </c>
      <c r="ET12" s="883">
        <v>143</v>
      </c>
      <c r="EU12" s="883">
        <v>79</v>
      </c>
      <c r="EV12" s="973">
        <v>39</v>
      </c>
      <c r="EW12" s="883"/>
      <c r="EX12" s="883"/>
      <c r="EY12" s="883"/>
      <c r="EZ12" s="873"/>
      <c r="FA12" s="879">
        <f t="shared" si="33"/>
        <v>2495</v>
      </c>
      <c r="FC12" s="843">
        <f t="shared" si="34"/>
        <v>-92.397660818713462</v>
      </c>
      <c r="FD12" s="844">
        <f t="shared" si="35"/>
        <v>123.76681614349776</v>
      </c>
      <c r="FE12" s="845">
        <f t="shared" si="36"/>
        <v>1115</v>
      </c>
      <c r="FF12" s="846">
        <f t="shared" si="37"/>
        <v>2495</v>
      </c>
      <c r="FH12" s="127">
        <f t="shared" si="38"/>
        <v>-474</v>
      </c>
    </row>
    <row r="13" spans="1:164" ht="15" customHeight="1" x14ac:dyDescent="0.25">
      <c r="A13" s="403" t="s">
        <v>397</v>
      </c>
      <c r="B13" s="883"/>
      <c r="C13" s="883">
        <v>1674</v>
      </c>
      <c r="D13" s="883">
        <v>2151</v>
      </c>
      <c r="E13" s="883">
        <v>176</v>
      </c>
      <c r="F13" s="883">
        <v>3275</v>
      </c>
      <c r="G13" s="883">
        <v>6663</v>
      </c>
      <c r="H13" s="883">
        <v>5276</v>
      </c>
      <c r="I13" s="883">
        <v>4300</v>
      </c>
      <c r="J13" s="883">
        <v>2981</v>
      </c>
      <c r="K13" s="883">
        <v>4656</v>
      </c>
      <c r="L13" s="883">
        <v>2289</v>
      </c>
      <c r="M13" s="873">
        <v>6811</v>
      </c>
      <c r="N13" s="879">
        <f t="shared" si="22"/>
        <v>40252</v>
      </c>
      <c r="O13" s="883">
        <v>3095</v>
      </c>
      <c r="P13" s="883">
        <v>2898</v>
      </c>
      <c r="Q13" s="883">
        <v>1517</v>
      </c>
      <c r="R13" s="883">
        <v>1440</v>
      </c>
      <c r="S13" s="883">
        <v>1730</v>
      </c>
      <c r="T13" s="883">
        <v>734</v>
      </c>
      <c r="U13" s="883">
        <v>683</v>
      </c>
      <c r="V13" s="883">
        <v>1016</v>
      </c>
      <c r="W13" s="883">
        <v>3214</v>
      </c>
      <c r="X13" s="883">
        <v>725</v>
      </c>
      <c r="Y13" s="883">
        <v>1387</v>
      </c>
      <c r="Z13" s="873">
        <v>13721</v>
      </c>
      <c r="AA13" s="879">
        <f t="shared" si="23"/>
        <v>32160</v>
      </c>
      <c r="AB13" s="883">
        <v>137</v>
      </c>
      <c r="AC13" s="883">
        <v>1857</v>
      </c>
      <c r="AD13" s="883">
        <v>6534</v>
      </c>
      <c r="AE13" s="883">
        <v>4031</v>
      </c>
      <c r="AF13" s="883">
        <v>6122</v>
      </c>
      <c r="AG13" s="883">
        <v>6874</v>
      </c>
      <c r="AH13" s="883">
        <v>4079</v>
      </c>
      <c r="AI13" s="883">
        <v>4802</v>
      </c>
      <c r="AJ13" s="883">
        <v>3870</v>
      </c>
      <c r="AK13" s="883">
        <v>3850</v>
      </c>
      <c r="AL13" s="883">
        <v>3204</v>
      </c>
      <c r="AM13" s="873">
        <v>17019</v>
      </c>
      <c r="AN13" s="879">
        <f t="shared" si="24"/>
        <v>62379</v>
      </c>
      <c r="AO13" s="883"/>
      <c r="AP13" s="883">
        <v>987</v>
      </c>
      <c r="AQ13" s="883">
        <v>2044</v>
      </c>
      <c r="AR13" s="883">
        <v>5104</v>
      </c>
      <c r="AS13" s="883">
        <v>2132</v>
      </c>
      <c r="AT13" s="883">
        <v>4318</v>
      </c>
      <c r="AU13" s="883">
        <v>2690</v>
      </c>
      <c r="AV13" s="883">
        <v>3208</v>
      </c>
      <c r="AW13" s="883">
        <v>4727</v>
      </c>
      <c r="AX13" s="883">
        <v>1670</v>
      </c>
      <c r="AY13" s="883">
        <v>20318</v>
      </c>
      <c r="AZ13" s="873">
        <v>3892</v>
      </c>
      <c r="BA13" s="879">
        <f t="shared" si="25"/>
        <v>51090</v>
      </c>
      <c r="BB13" s="883"/>
      <c r="BC13" s="883">
        <v>6208</v>
      </c>
      <c r="BD13" s="883">
        <v>8633</v>
      </c>
      <c r="BE13" s="883">
        <v>621</v>
      </c>
      <c r="BF13" s="883">
        <v>6623</v>
      </c>
      <c r="BG13" s="883">
        <v>7984</v>
      </c>
      <c r="BH13" s="883">
        <v>10591</v>
      </c>
      <c r="BI13" s="883">
        <v>6117</v>
      </c>
      <c r="BJ13" s="883">
        <v>1622</v>
      </c>
      <c r="BK13" s="883">
        <v>4402</v>
      </c>
      <c r="BL13" s="883">
        <v>5360</v>
      </c>
      <c r="BM13" s="873">
        <v>7267</v>
      </c>
      <c r="BN13" s="879">
        <f t="shared" si="26"/>
        <v>65428</v>
      </c>
      <c r="BO13" s="883">
        <v>2396</v>
      </c>
      <c r="BP13" s="883">
        <v>818</v>
      </c>
      <c r="BQ13" s="883">
        <v>157</v>
      </c>
      <c r="BR13" s="883">
        <v>20</v>
      </c>
      <c r="BS13" s="883">
        <v>117</v>
      </c>
      <c r="BT13" s="883">
        <v>228</v>
      </c>
      <c r="BU13" s="883">
        <v>185</v>
      </c>
      <c r="BV13" s="883">
        <v>7678</v>
      </c>
      <c r="BW13" s="883">
        <v>585</v>
      </c>
      <c r="BX13" s="883">
        <v>3931</v>
      </c>
      <c r="BY13" s="883">
        <v>2117</v>
      </c>
      <c r="BZ13" s="873">
        <v>10107</v>
      </c>
      <c r="CA13" s="879">
        <f t="shared" si="27"/>
        <v>28339</v>
      </c>
      <c r="CB13" s="883">
        <v>361</v>
      </c>
      <c r="CC13" s="883">
        <v>2454</v>
      </c>
      <c r="CD13" s="883">
        <v>4099</v>
      </c>
      <c r="CE13" s="883">
        <v>1435</v>
      </c>
      <c r="CF13" s="883">
        <v>5247</v>
      </c>
      <c r="CG13" s="883">
        <v>6123</v>
      </c>
      <c r="CH13" s="883">
        <v>1708</v>
      </c>
      <c r="CI13" s="883">
        <v>2855</v>
      </c>
      <c r="CJ13" s="883">
        <v>3175</v>
      </c>
      <c r="CK13" s="883">
        <v>1958</v>
      </c>
      <c r="CL13" s="883">
        <v>1725</v>
      </c>
      <c r="CM13" s="873">
        <v>4342</v>
      </c>
      <c r="CN13" s="879">
        <f t="shared" si="28"/>
        <v>35482</v>
      </c>
      <c r="CO13" s="883"/>
      <c r="CP13" s="883">
        <v>647</v>
      </c>
      <c r="CQ13" s="883">
        <v>808</v>
      </c>
      <c r="CR13" s="883">
        <v>355</v>
      </c>
      <c r="CS13" s="883">
        <v>1825</v>
      </c>
      <c r="CT13" s="883">
        <v>866</v>
      </c>
      <c r="CU13" s="883">
        <v>5153</v>
      </c>
      <c r="CV13" s="883">
        <v>2334</v>
      </c>
      <c r="CW13" s="883">
        <v>6526</v>
      </c>
      <c r="CX13" s="883">
        <v>4539</v>
      </c>
      <c r="CY13" s="883">
        <v>1257</v>
      </c>
      <c r="CZ13" s="873">
        <v>5351</v>
      </c>
      <c r="DA13" s="879">
        <f t="shared" si="29"/>
        <v>29661</v>
      </c>
      <c r="DB13" s="883">
        <v>966</v>
      </c>
      <c r="DC13" s="883">
        <v>4048</v>
      </c>
      <c r="DD13" s="883">
        <v>3236</v>
      </c>
      <c r="DE13" s="883">
        <v>7060</v>
      </c>
      <c r="DF13" s="883">
        <v>5138</v>
      </c>
      <c r="DG13" s="883">
        <v>6994</v>
      </c>
      <c r="DH13" s="883">
        <v>7539</v>
      </c>
      <c r="DI13" s="883">
        <v>9299</v>
      </c>
      <c r="DJ13" s="883">
        <v>5306</v>
      </c>
      <c r="DK13" s="883">
        <v>13128</v>
      </c>
      <c r="DL13" s="883">
        <v>13186</v>
      </c>
      <c r="DM13" s="873">
        <v>96200</v>
      </c>
      <c r="DN13" s="879">
        <f t="shared" si="30"/>
        <v>172100</v>
      </c>
      <c r="DO13" s="883">
        <v>5563</v>
      </c>
      <c r="DP13" s="883">
        <v>8611</v>
      </c>
      <c r="DQ13" s="883">
        <v>18970</v>
      </c>
      <c r="DR13" s="883">
        <v>10116</v>
      </c>
      <c r="DS13" s="883">
        <v>23551</v>
      </c>
      <c r="DT13" s="883">
        <v>12498</v>
      </c>
      <c r="DU13" s="883">
        <v>15625</v>
      </c>
      <c r="DV13" s="883">
        <v>19401</v>
      </c>
      <c r="DW13" s="883">
        <v>9305</v>
      </c>
      <c r="DX13" s="883">
        <v>16210</v>
      </c>
      <c r="DY13" s="883">
        <v>19579</v>
      </c>
      <c r="DZ13" s="873">
        <v>29567</v>
      </c>
      <c r="EA13" s="879">
        <f t="shared" si="31"/>
        <v>188996</v>
      </c>
      <c r="EB13" s="883">
        <v>4644</v>
      </c>
      <c r="EC13" s="883">
        <v>15041</v>
      </c>
      <c r="ED13" s="883">
        <v>7833</v>
      </c>
      <c r="EE13" s="883">
        <v>12547</v>
      </c>
      <c r="EF13" s="883">
        <v>21645</v>
      </c>
      <c r="EG13" s="883">
        <v>14603</v>
      </c>
      <c r="EH13" s="883">
        <v>17285</v>
      </c>
      <c r="EI13" s="883">
        <v>18609</v>
      </c>
      <c r="EJ13" s="883">
        <v>14631</v>
      </c>
      <c r="EK13" s="883">
        <v>16841</v>
      </c>
      <c r="EL13" s="883">
        <v>16455</v>
      </c>
      <c r="EM13" s="873">
        <v>33634</v>
      </c>
      <c r="EN13" s="879">
        <f t="shared" si="32"/>
        <v>193768</v>
      </c>
      <c r="EO13" s="883">
        <v>6414</v>
      </c>
      <c r="EP13" s="883">
        <v>11337</v>
      </c>
      <c r="EQ13" s="883">
        <v>10090</v>
      </c>
      <c r="ER13" s="883">
        <v>31147</v>
      </c>
      <c r="ES13" s="883">
        <v>45192</v>
      </c>
      <c r="ET13" s="883">
        <v>25136</v>
      </c>
      <c r="EU13" s="883">
        <v>27219</v>
      </c>
      <c r="EV13" s="973">
        <v>34269</v>
      </c>
      <c r="EW13" s="883"/>
      <c r="EX13" s="883"/>
      <c r="EY13" s="883"/>
      <c r="EZ13" s="873"/>
      <c r="FA13" s="879">
        <f t="shared" si="33"/>
        <v>190804</v>
      </c>
      <c r="FC13" s="843">
        <f t="shared" si="34"/>
        <v>84.152829276156709</v>
      </c>
      <c r="FD13" s="844">
        <f t="shared" si="35"/>
        <v>70.046432040781752</v>
      </c>
      <c r="FE13" s="845">
        <f t="shared" si="36"/>
        <v>112207</v>
      </c>
      <c r="FF13" s="846">
        <f t="shared" si="37"/>
        <v>190804</v>
      </c>
      <c r="FH13" s="954">
        <f t="shared" si="38"/>
        <v>15660</v>
      </c>
    </row>
    <row r="14" spans="1:164" ht="15" customHeight="1" x14ac:dyDescent="0.25">
      <c r="A14" s="403" t="s">
        <v>393</v>
      </c>
      <c r="B14" s="883"/>
      <c r="C14" s="883"/>
      <c r="D14" s="883"/>
      <c r="E14" s="883"/>
      <c r="F14" s="883"/>
      <c r="G14" s="883"/>
      <c r="H14" s="883"/>
      <c r="I14" s="883"/>
      <c r="J14" s="883"/>
      <c r="K14" s="883"/>
      <c r="L14" s="883"/>
      <c r="M14" s="873"/>
      <c r="N14" s="879"/>
      <c r="O14" s="883"/>
      <c r="P14" s="883"/>
      <c r="Q14" s="883"/>
      <c r="R14" s="883"/>
      <c r="S14" s="883"/>
      <c r="T14" s="883"/>
      <c r="U14" s="883"/>
      <c r="V14" s="883"/>
      <c r="W14" s="883"/>
      <c r="X14" s="883"/>
      <c r="Y14" s="883"/>
      <c r="Z14" s="873"/>
      <c r="AA14" s="879"/>
      <c r="AB14" s="883"/>
      <c r="AC14" s="883"/>
      <c r="AD14" s="883"/>
      <c r="AE14" s="883"/>
      <c r="AF14" s="883"/>
      <c r="AG14" s="883"/>
      <c r="AH14" s="883"/>
      <c r="AI14" s="883"/>
      <c r="AJ14" s="883"/>
      <c r="AK14" s="883"/>
      <c r="AL14" s="883"/>
      <c r="AM14" s="873"/>
      <c r="AN14" s="879"/>
      <c r="AO14" s="883"/>
      <c r="AP14" s="883"/>
      <c r="AQ14" s="883"/>
      <c r="AR14" s="883"/>
      <c r="AS14" s="883"/>
      <c r="AT14" s="883"/>
      <c r="AU14" s="883"/>
      <c r="AV14" s="883"/>
      <c r="AW14" s="883"/>
      <c r="AX14" s="883"/>
      <c r="AY14" s="883"/>
      <c r="AZ14" s="873"/>
      <c r="BA14" s="879"/>
      <c r="BB14" s="883"/>
      <c r="BC14" s="883"/>
      <c r="BD14" s="883"/>
      <c r="BE14" s="883"/>
      <c r="BF14" s="883"/>
      <c r="BG14" s="883"/>
      <c r="BH14" s="883"/>
      <c r="BI14" s="883"/>
      <c r="BJ14" s="883"/>
      <c r="BK14" s="883"/>
      <c r="BL14" s="883"/>
      <c r="BM14" s="873"/>
      <c r="BN14" s="879"/>
      <c r="BO14" s="883"/>
      <c r="BP14" s="883"/>
      <c r="BQ14" s="883"/>
      <c r="BR14" s="883"/>
      <c r="BS14" s="883"/>
      <c r="BT14" s="883"/>
      <c r="BU14" s="883"/>
      <c r="BV14" s="883"/>
      <c r="BW14" s="883"/>
      <c r="BX14" s="883"/>
      <c r="BY14" s="883"/>
      <c r="BZ14" s="873"/>
      <c r="CA14" s="879">
        <f t="shared" si="27"/>
        <v>0</v>
      </c>
      <c r="CB14" s="883"/>
      <c r="CC14" s="883"/>
      <c r="CD14" s="883"/>
      <c r="CE14" s="883"/>
      <c r="CF14" s="883"/>
      <c r="CG14" s="883"/>
      <c r="CH14" s="883"/>
      <c r="CI14" s="883"/>
      <c r="CJ14" s="883"/>
      <c r="CK14" s="883"/>
      <c r="CL14" s="883"/>
      <c r="CM14" s="873"/>
      <c r="CN14" s="879">
        <f t="shared" si="28"/>
        <v>0</v>
      </c>
      <c r="CO14" s="883"/>
      <c r="CP14" s="883"/>
      <c r="CQ14" s="883"/>
      <c r="CR14" s="883"/>
      <c r="CS14" s="883"/>
      <c r="CT14" s="883"/>
      <c r="CU14" s="883"/>
      <c r="CV14" s="883"/>
      <c r="CW14" s="883"/>
      <c r="CX14" s="883"/>
      <c r="CY14" s="883"/>
      <c r="CZ14" s="873"/>
      <c r="DA14" s="879">
        <f t="shared" si="29"/>
        <v>0</v>
      </c>
      <c r="DB14" s="883"/>
      <c r="DC14" s="883"/>
      <c r="DD14" s="883"/>
      <c r="DE14" s="883"/>
      <c r="DF14" s="883"/>
      <c r="DG14" s="883"/>
      <c r="DH14" s="883"/>
      <c r="DI14" s="883"/>
      <c r="DJ14" s="883"/>
      <c r="DK14" s="883"/>
      <c r="DL14" s="883"/>
      <c r="DM14" s="873"/>
      <c r="DN14" s="879">
        <f t="shared" si="30"/>
        <v>0</v>
      </c>
      <c r="DO14" s="883"/>
      <c r="DP14" s="883"/>
      <c r="DQ14" s="883"/>
      <c r="DR14" s="883"/>
      <c r="DS14" s="883"/>
      <c r="DT14" s="883"/>
      <c r="DU14" s="883"/>
      <c r="DV14" s="883"/>
      <c r="DW14" s="883"/>
      <c r="DX14" s="883"/>
      <c r="DY14" s="883"/>
      <c r="DZ14" s="873"/>
      <c r="EA14" s="879">
        <f t="shared" si="31"/>
        <v>0</v>
      </c>
      <c r="EB14" s="883">
        <v>0</v>
      </c>
      <c r="EC14" s="883">
        <v>0</v>
      </c>
      <c r="ED14" s="883">
        <v>0</v>
      </c>
      <c r="EE14" s="883">
        <v>0</v>
      </c>
      <c r="EF14" s="883">
        <v>0</v>
      </c>
      <c r="EG14" s="883">
        <v>0</v>
      </c>
      <c r="EH14" s="883">
        <v>0</v>
      </c>
      <c r="EI14" s="883">
        <v>0</v>
      </c>
      <c r="EJ14" s="883">
        <v>0</v>
      </c>
      <c r="EK14" s="883">
        <v>0</v>
      </c>
      <c r="EL14" s="883">
        <v>0</v>
      </c>
      <c r="EM14" s="873">
        <v>0</v>
      </c>
      <c r="EN14" s="879">
        <f t="shared" si="32"/>
        <v>0</v>
      </c>
      <c r="EO14" s="883">
        <v>0</v>
      </c>
      <c r="EP14" s="883">
        <v>0</v>
      </c>
      <c r="EQ14" s="883">
        <v>0</v>
      </c>
      <c r="ER14" s="883">
        <v>0</v>
      </c>
      <c r="ES14" s="883">
        <v>0</v>
      </c>
      <c r="ET14" s="883">
        <v>0</v>
      </c>
      <c r="EU14" s="883">
        <v>0</v>
      </c>
      <c r="EV14" s="973">
        <v>0</v>
      </c>
      <c r="EW14" s="883"/>
      <c r="EX14" s="883"/>
      <c r="EY14" s="883"/>
      <c r="EZ14" s="873"/>
      <c r="FA14" s="879">
        <f t="shared" si="33"/>
        <v>0</v>
      </c>
      <c r="FC14" s="843" t="str">
        <f t="shared" si="34"/>
        <v/>
      </c>
      <c r="FD14" s="844" t="str">
        <f t="shared" si="35"/>
        <v/>
      </c>
      <c r="FE14" s="845">
        <f t="shared" si="36"/>
        <v>0</v>
      </c>
      <c r="FF14" s="846">
        <f t="shared" si="37"/>
        <v>0</v>
      </c>
      <c r="FH14" s="127">
        <f t="shared" si="38"/>
        <v>0</v>
      </c>
    </row>
    <row r="15" spans="1:164" ht="15" customHeight="1" x14ac:dyDescent="0.25">
      <c r="A15" s="403" t="s">
        <v>663</v>
      </c>
      <c r="B15" s="883"/>
      <c r="C15" s="883"/>
      <c r="D15" s="883">
        <v>51</v>
      </c>
      <c r="E15" s="883">
        <v>-52</v>
      </c>
      <c r="F15" s="883"/>
      <c r="G15" s="883"/>
      <c r="H15" s="883"/>
      <c r="I15" s="883"/>
      <c r="J15" s="883">
        <v>26</v>
      </c>
      <c r="K15" s="883"/>
      <c r="L15" s="883"/>
      <c r="M15" s="873"/>
      <c r="N15" s="879">
        <f t="shared" si="22"/>
        <v>25</v>
      </c>
      <c r="O15" s="883"/>
      <c r="P15" s="883"/>
      <c r="Q15" s="883"/>
      <c r="R15" s="883"/>
      <c r="S15" s="883">
        <v>6</v>
      </c>
      <c r="T15" s="883"/>
      <c r="U15" s="883"/>
      <c r="V15" s="883"/>
      <c r="W15" s="883"/>
      <c r="X15" s="883"/>
      <c r="Y15" s="883"/>
      <c r="Z15" s="873">
        <v>35</v>
      </c>
      <c r="AA15" s="879">
        <f t="shared" si="23"/>
        <v>41</v>
      </c>
      <c r="AB15" s="883"/>
      <c r="AC15" s="883"/>
      <c r="AD15" s="883"/>
      <c r="AE15" s="883"/>
      <c r="AF15" s="883"/>
      <c r="AG15" s="883"/>
      <c r="AH15" s="883"/>
      <c r="AI15" s="883"/>
      <c r="AJ15" s="883"/>
      <c r="AK15" s="883"/>
      <c r="AL15" s="883"/>
      <c r="AM15" s="873"/>
      <c r="AN15" s="879">
        <f t="shared" si="24"/>
        <v>0</v>
      </c>
      <c r="AO15" s="883"/>
      <c r="AP15" s="883"/>
      <c r="AQ15" s="883">
        <v>80</v>
      </c>
      <c r="AR15" s="883">
        <v>1023</v>
      </c>
      <c r="AS15" s="883">
        <v>74</v>
      </c>
      <c r="AT15" s="883">
        <v>198</v>
      </c>
      <c r="AU15" s="883">
        <v>103</v>
      </c>
      <c r="AV15" s="883">
        <v>834</v>
      </c>
      <c r="AW15" s="883">
        <v>181</v>
      </c>
      <c r="AX15" s="883">
        <v>39</v>
      </c>
      <c r="AY15" s="883">
        <v>542</v>
      </c>
      <c r="AZ15" s="873">
        <v>685</v>
      </c>
      <c r="BA15" s="879">
        <f t="shared" si="25"/>
        <v>3759</v>
      </c>
      <c r="BB15" s="883"/>
      <c r="BC15" s="883"/>
      <c r="BD15" s="883"/>
      <c r="BE15" s="883"/>
      <c r="BF15" s="883"/>
      <c r="BG15" s="883"/>
      <c r="BH15" s="883"/>
      <c r="BI15" s="883"/>
      <c r="BJ15" s="883"/>
      <c r="BK15" s="883"/>
      <c r="BL15" s="883"/>
      <c r="BM15" s="873"/>
      <c r="BN15" s="879">
        <f t="shared" si="26"/>
        <v>0</v>
      </c>
      <c r="BO15" s="883"/>
      <c r="BP15" s="883"/>
      <c r="BQ15" s="883"/>
      <c r="BR15" s="883"/>
      <c r="BS15" s="883"/>
      <c r="BT15" s="883"/>
      <c r="BU15" s="883"/>
      <c r="BV15" s="883">
        <v>9</v>
      </c>
      <c r="BW15" s="883"/>
      <c r="BX15" s="883"/>
      <c r="BY15" s="883"/>
      <c r="BZ15" s="873">
        <v>29</v>
      </c>
      <c r="CA15" s="879">
        <f t="shared" si="27"/>
        <v>38</v>
      </c>
      <c r="CB15" s="883"/>
      <c r="CC15" s="883"/>
      <c r="CD15" s="883"/>
      <c r="CE15" s="883"/>
      <c r="CF15" s="883"/>
      <c r="CG15" s="883"/>
      <c r="CH15" s="883"/>
      <c r="CI15" s="883"/>
      <c r="CJ15" s="883"/>
      <c r="CK15" s="883"/>
      <c r="CL15" s="883"/>
      <c r="CM15" s="873"/>
      <c r="CN15" s="879">
        <f t="shared" si="28"/>
        <v>0</v>
      </c>
      <c r="CO15" s="883"/>
      <c r="CP15" s="883"/>
      <c r="CQ15" s="883"/>
      <c r="CR15" s="883"/>
      <c r="CS15" s="883"/>
      <c r="CT15" s="883"/>
      <c r="CU15" s="883"/>
      <c r="CV15" s="883"/>
      <c r="CW15" s="883"/>
      <c r="CX15" s="883"/>
      <c r="CY15" s="883"/>
      <c r="CZ15" s="873"/>
      <c r="DA15" s="879">
        <f t="shared" si="29"/>
        <v>0</v>
      </c>
      <c r="DB15" s="883"/>
      <c r="DC15" s="883"/>
      <c r="DD15" s="883"/>
      <c r="DE15" s="883"/>
      <c r="DF15" s="883"/>
      <c r="DG15" s="883"/>
      <c r="DH15" s="883"/>
      <c r="DI15" s="883"/>
      <c r="DJ15" s="883"/>
      <c r="DK15" s="883">
        <v>11</v>
      </c>
      <c r="DL15" s="883">
        <v>94</v>
      </c>
      <c r="DM15" s="873">
        <v>190</v>
      </c>
      <c r="DN15" s="879">
        <f t="shared" si="30"/>
        <v>295</v>
      </c>
      <c r="DO15" s="883"/>
      <c r="DP15" s="883"/>
      <c r="DQ15" s="883">
        <v>148</v>
      </c>
      <c r="DR15" s="883">
        <v>199</v>
      </c>
      <c r="DS15" s="883">
        <v>116</v>
      </c>
      <c r="DT15" s="883">
        <v>452</v>
      </c>
      <c r="DU15" s="883">
        <v>4</v>
      </c>
      <c r="DV15" s="883">
        <v>-28</v>
      </c>
      <c r="DW15" s="883">
        <v>78</v>
      </c>
      <c r="DX15" s="883">
        <v>3</v>
      </c>
      <c r="DY15" s="883">
        <v>153</v>
      </c>
      <c r="DZ15" s="873">
        <v>142</v>
      </c>
      <c r="EA15" s="879">
        <f t="shared" si="31"/>
        <v>1267</v>
      </c>
      <c r="EB15" s="883">
        <v>0</v>
      </c>
      <c r="EC15" s="883">
        <v>0</v>
      </c>
      <c r="ED15" s="883">
        <v>172</v>
      </c>
      <c r="EE15" s="883">
        <v>5418</v>
      </c>
      <c r="EF15" s="883">
        <v>1188</v>
      </c>
      <c r="EG15" s="883">
        <v>1108</v>
      </c>
      <c r="EH15" s="883">
        <v>1167</v>
      </c>
      <c r="EI15" s="883">
        <v>1343</v>
      </c>
      <c r="EJ15" s="883">
        <v>915</v>
      </c>
      <c r="EK15" s="883">
        <v>964</v>
      </c>
      <c r="EL15" s="883">
        <v>925</v>
      </c>
      <c r="EM15" s="873">
        <v>1573</v>
      </c>
      <c r="EN15" s="879">
        <f t="shared" si="32"/>
        <v>14773</v>
      </c>
      <c r="EO15" s="883">
        <v>30</v>
      </c>
      <c r="EP15" s="883">
        <v>1306</v>
      </c>
      <c r="EQ15" s="883">
        <v>701</v>
      </c>
      <c r="ER15" s="883">
        <v>786</v>
      </c>
      <c r="ES15" s="883">
        <v>470</v>
      </c>
      <c r="ET15" s="883">
        <v>10</v>
      </c>
      <c r="EU15" s="883">
        <v>565</v>
      </c>
      <c r="EV15" s="973">
        <v>547</v>
      </c>
      <c r="EW15" s="883"/>
      <c r="EX15" s="883"/>
      <c r="EY15" s="883"/>
      <c r="EZ15" s="873"/>
      <c r="FA15" s="879">
        <f t="shared" si="33"/>
        <v>4415</v>
      </c>
      <c r="FC15" s="843">
        <f t="shared" si="34"/>
        <v>-59.27029039463887</v>
      </c>
      <c r="FD15" s="844">
        <f t="shared" si="35"/>
        <v>-57.531742978068493</v>
      </c>
      <c r="FE15" s="845">
        <f t="shared" si="36"/>
        <v>10396</v>
      </c>
      <c r="FF15" s="846">
        <f t="shared" si="37"/>
        <v>4415</v>
      </c>
      <c r="FH15" s="127">
        <f t="shared" si="38"/>
        <v>-796</v>
      </c>
    </row>
    <row r="16" spans="1:164" ht="15" customHeight="1" x14ac:dyDescent="0.25">
      <c r="A16" s="403" t="s">
        <v>398</v>
      </c>
      <c r="B16" s="883"/>
      <c r="C16" s="883"/>
      <c r="D16" s="883">
        <v>224</v>
      </c>
      <c r="E16" s="883">
        <v>-102</v>
      </c>
      <c r="F16" s="883"/>
      <c r="G16" s="883">
        <v>15</v>
      </c>
      <c r="H16" s="883">
        <v>-15</v>
      </c>
      <c r="I16" s="883"/>
      <c r="J16" s="883">
        <v>15</v>
      </c>
      <c r="K16" s="883">
        <v>-11</v>
      </c>
      <c r="L16" s="883">
        <v>15</v>
      </c>
      <c r="M16" s="873"/>
      <c r="N16" s="879">
        <f t="shared" si="22"/>
        <v>141</v>
      </c>
      <c r="O16" s="883"/>
      <c r="P16" s="883"/>
      <c r="Q16" s="883"/>
      <c r="R16" s="883"/>
      <c r="S16" s="883">
        <v>21</v>
      </c>
      <c r="T16" s="883"/>
      <c r="U16" s="883"/>
      <c r="V16" s="883"/>
      <c r="W16" s="883"/>
      <c r="X16" s="883"/>
      <c r="Y16" s="883"/>
      <c r="Z16" s="873"/>
      <c r="AA16" s="879">
        <f t="shared" si="23"/>
        <v>21</v>
      </c>
      <c r="AB16" s="883"/>
      <c r="AC16" s="883"/>
      <c r="AD16" s="883"/>
      <c r="AE16" s="883"/>
      <c r="AF16" s="883"/>
      <c r="AG16" s="883"/>
      <c r="AH16" s="883">
        <v>4</v>
      </c>
      <c r="AI16" s="883"/>
      <c r="AJ16" s="883"/>
      <c r="AK16" s="883"/>
      <c r="AL16" s="883"/>
      <c r="AM16" s="873"/>
      <c r="AN16" s="879">
        <f t="shared" si="24"/>
        <v>4</v>
      </c>
      <c r="AO16" s="883"/>
      <c r="AP16" s="883">
        <v>107</v>
      </c>
      <c r="AQ16" s="883">
        <v>334</v>
      </c>
      <c r="AR16" s="883">
        <v>335</v>
      </c>
      <c r="AS16" s="883">
        <v>147</v>
      </c>
      <c r="AT16" s="883">
        <v>64</v>
      </c>
      <c r="AU16" s="883">
        <v>119</v>
      </c>
      <c r="AV16" s="883">
        <v>38</v>
      </c>
      <c r="AW16" s="883"/>
      <c r="AX16" s="883"/>
      <c r="AY16" s="883">
        <v>27</v>
      </c>
      <c r="AZ16" s="873">
        <v>25</v>
      </c>
      <c r="BA16" s="879">
        <f t="shared" si="25"/>
        <v>1196</v>
      </c>
      <c r="BB16" s="883"/>
      <c r="BC16" s="883"/>
      <c r="BD16" s="883"/>
      <c r="BE16" s="883"/>
      <c r="BF16" s="883"/>
      <c r="BG16" s="883"/>
      <c r="BH16" s="883">
        <v>15</v>
      </c>
      <c r="BI16" s="883"/>
      <c r="BJ16" s="883"/>
      <c r="BK16" s="883"/>
      <c r="BL16" s="883">
        <v>2</v>
      </c>
      <c r="BM16" s="873">
        <v>6</v>
      </c>
      <c r="BN16" s="879">
        <f t="shared" si="26"/>
        <v>23</v>
      </c>
      <c r="BO16" s="883"/>
      <c r="BP16" s="883"/>
      <c r="BQ16" s="883"/>
      <c r="BR16" s="883"/>
      <c r="BS16" s="883"/>
      <c r="BT16" s="883"/>
      <c r="BU16" s="883"/>
      <c r="BV16" s="883"/>
      <c r="BW16" s="883"/>
      <c r="BX16" s="883">
        <v>3</v>
      </c>
      <c r="BY16" s="883"/>
      <c r="BZ16" s="873"/>
      <c r="CA16" s="879">
        <f t="shared" si="27"/>
        <v>3</v>
      </c>
      <c r="CB16" s="883"/>
      <c r="CC16" s="883"/>
      <c r="CD16" s="883"/>
      <c r="CE16" s="883"/>
      <c r="CF16" s="883"/>
      <c r="CG16" s="883"/>
      <c r="CH16" s="883"/>
      <c r="CI16" s="883"/>
      <c r="CJ16" s="883"/>
      <c r="CK16" s="883"/>
      <c r="CL16" s="883"/>
      <c r="CM16" s="873"/>
      <c r="CN16" s="879">
        <f t="shared" si="28"/>
        <v>0</v>
      </c>
      <c r="CO16" s="883"/>
      <c r="CP16" s="883"/>
      <c r="CQ16" s="883"/>
      <c r="CR16" s="883"/>
      <c r="CS16" s="883"/>
      <c r="CT16" s="883"/>
      <c r="CU16" s="883"/>
      <c r="CV16" s="883">
        <v>1</v>
      </c>
      <c r="CW16" s="883">
        <v>8</v>
      </c>
      <c r="CX16" s="883"/>
      <c r="CY16" s="883"/>
      <c r="CZ16" s="873">
        <v>16</v>
      </c>
      <c r="DA16" s="879">
        <f t="shared" si="29"/>
        <v>25</v>
      </c>
      <c r="DB16" s="883"/>
      <c r="DC16" s="883"/>
      <c r="DD16" s="883"/>
      <c r="DE16" s="883">
        <v>127</v>
      </c>
      <c r="DF16" s="883">
        <v>5</v>
      </c>
      <c r="DG16" s="883">
        <v>224</v>
      </c>
      <c r="DH16" s="883">
        <v>3</v>
      </c>
      <c r="DI16" s="883"/>
      <c r="DJ16" s="883">
        <v>12</v>
      </c>
      <c r="DK16" s="883"/>
      <c r="DL16" s="883">
        <v>5</v>
      </c>
      <c r="DM16" s="873"/>
      <c r="DN16" s="879">
        <f t="shared" si="30"/>
        <v>376</v>
      </c>
      <c r="DO16" s="883"/>
      <c r="DP16" s="883"/>
      <c r="DQ16" s="883"/>
      <c r="DR16" s="883"/>
      <c r="DS16" s="883">
        <v>85</v>
      </c>
      <c r="DT16" s="883"/>
      <c r="DU16" s="883"/>
      <c r="DV16" s="883">
        <v>93</v>
      </c>
      <c r="DW16" s="883"/>
      <c r="DX16" s="883"/>
      <c r="DY16" s="883"/>
      <c r="DZ16" s="873">
        <v>159</v>
      </c>
      <c r="EA16" s="879">
        <f t="shared" si="31"/>
        <v>337</v>
      </c>
      <c r="EB16" s="883">
        <v>0</v>
      </c>
      <c r="EC16" s="883">
        <v>0</v>
      </c>
      <c r="ED16" s="883">
        <v>0</v>
      </c>
      <c r="EE16" s="883">
        <v>0</v>
      </c>
      <c r="EF16" s="883">
        <v>0</v>
      </c>
      <c r="EG16" s="883">
        <v>0</v>
      </c>
      <c r="EH16" s="883">
        <v>0</v>
      </c>
      <c r="EI16" s="883">
        <v>0</v>
      </c>
      <c r="EJ16" s="883">
        <v>2</v>
      </c>
      <c r="EK16" s="883">
        <v>40</v>
      </c>
      <c r="EL16" s="883">
        <v>27</v>
      </c>
      <c r="EM16" s="873">
        <v>0</v>
      </c>
      <c r="EN16" s="879">
        <f t="shared" si="32"/>
        <v>69</v>
      </c>
      <c r="EO16" s="883">
        <v>0</v>
      </c>
      <c r="EP16" s="883">
        <v>0</v>
      </c>
      <c r="EQ16" s="883">
        <v>0</v>
      </c>
      <c r="ER16" s="883">
        <v>0</v>
      </c>
      <c r="ES16" s="883">
        <v>0</v>
      </c>
      <c r="ET16" s="883">
        <v>0</v>
      </c>
      <c r="EU16" s="883">
        <v>0</v>
      </c>
      <c r="EV16" s="973">
        <v>0</v>
      </c>
      <c r="EW16" s="883"/>
      <c r="EX16" s="883"/>
      <c r="EY16" s="883"/>
      <c r="EZ16" s="873"/>
      <c r="FA16" s="879">
        <f t="shared" si="33"/>
        <v>0</v>
      </c>
      <c r="FC16" s="843" t="str">
        <f t="shared" si="34"/>
        <v/>
      </c>
      <c r="FD16" s="844" t="str">
        <f t="shared" si="35"/>
        <v/>
      </c>
      <c r="FE16" s="845">
        <f t="shared" si="36"/>
        <v>0</v>
      </c>
      <c r="FF16" s="846">
        <f t="shared" si="37"/>
        <v>0</v>
      </c>
      <c r="FH16" s="127">
        <f t="shared" si="38"/>
        <v>0</v>
      </c>
    </row>
    <row r="17" spans="1:164" ht="15" customHeight="1" x14ac:dyDescent="0.25">
      <c r="A17" s="403" t="s">
        <v>399</v>
      </c>
      <c r="B17" s="883"/>
      <c r="C17" s="883"/>
      <c r="D17" s="883"/>
      <c r="E17" s="883"/>
      <c r="F17" s="883"/>
      <c r="G17" s="883"/>
      <c r="H17" s="883"/>
      <c r="I17" s="883"/>
      <c r="J17" s="883"/>
      <c r="K17" s="883"/>
      <c r="L17" s="883"/>
      <c r="M17" s="873"/>
      <c r="N17" s="879">
        <f t="shared" si="22"/>
        <v>0</v>
      </c>
      <c r="O17" s="883"/>
      <c r="P17" s="883"/>
      <c r="Q17" s="883"/>
      <c r="R17" s="883"/>
      <c r="S17" s="883"/>
      <c r="T17" s="883"/>
      <c r="U17" s="883"/>
      <c r="V17" s="883"/>
      <c r="W17" s="883"/>
      <c r="X17" s="883"/>
      <c r="Y17" s="883"/>
      <c r="Z17" s="873"/>
      <c r="AA17" s="879">
        <f t="shared" si="23"/>
        <v>0</v>
      </c>
      <c r="AB17" s="883"/>
      <c r="AC17" s="883"/>
      <c r="AD17" s="883"/>
      <c r="AE17" s="883"/>
      <c r="AF17" s="883"/>
      <c r="AG17" s="883"/>
      <c r="AH17" s="883"/>
      <c r="AI17" s="883"/>
      <c r="AJ17" s="883"/>
      <c r="AK17" s="883"/>
      <c r="AL17" s="883"/>
      <c r="AM17" s="873"/>
      <c r="AN17" s="879">
        <f t="shared" si="24"/>
        <v>0</v>
      </c>
      <c r="AO17" s="883"/>
      <c r="AP17" s="883"/>
      <c r="AQ17" s="883"/>
      <c r="AR17" s="883"/>
      <c r="AS17" s="883"/>
      <c r="AT17" s="883"/>
      <c r="AU17" s="883"/>
      <c r="AV17" s="883"/>
      <c r="AW17" s="883"/>
      <c r="AX17" s="883"/>
      <c r="AY17" s="883"/>
      <c r="AZ17" s="873"/>
      <c r="BA17" s="879">
        <f t="shared" si="25"/>
        <v>0</v>
      </c>
      <c r="BB17" s="883"/>
      <c r="BC17" s="883"/>
      <c r="BD17" s="883"/>
      <c r="BE17" s="883"/>
      <c r="BF17" s="883"/>
      <c r="BG17" s="883"/>
      <c r="BH17" s="883"/>
      <c r="BI17" s="883"/>
      <c r="BJ17" s="883"/>
      <c r="BK17" s="883"/>
      <c r="BL17" s="883"/>
      <c r="BM17" s="873"/>
      <c r="BN17" s="879">
        <f t="shared" si="26"/>
        <v>0</v>
      </c>
      <c r="BO17" s="883"/>
      <c r="BP17" s="883"/>
      <c r="BQ17" s="883"/>
      <c r="BR17" s="883"/>
      <c r="BS17" s="883"/>
      <c r="BT17" s="883"/>
      <c r="BU17" s="883"/>
      <c r="BV17" s="883"/>
      <c r="BW17" s="883"/>
      <c r="BX17" s="883"/>
      <c r="BY17" s="883"/>
      <c r="BZ17" s="873"/>
      <c r="CA17" s="879">
        <f t="shared" si="27"/>
        <v>0</v>
      </c>
      <c r="CB17" s="883"/>
      <c r="CC17" s="883"/>
      <c r="CD17" s="883"/>
      <c r="CE17" s="883"/>
      <c r="CF17" s="883"/>
      <c r="CG17" s="883"/>
      <c r="CH17" s="883"/>
      <c r="CI17" s="883"/>
      <c r="CJ17" s="883"/>
      <c r="CK17" s="883"/>
      <c r="CL17" s="883"/>
      <c r="CM17" s="873"/>
      <c r="CN17" s="879">
        <f t="shared" si="28"/>
        <v>0</v>
      </c>
      <c r="CO17" s="883"/>
      <c r="CP17" s="883"/>
      <c r="CQ17" s="883"/>
      <c r="CR17" s="883"/>
      <c r="CS17" s="883"/>
      <c r="CT17" s="883"/>
      <c r="CU17" s="883"/>
      <c r="CV17" s="883"/>
      <c r="CW17" s="883"/>
      <c r="CX17" s="883">
        <v>42</v>
      </c>
      <c r="CY17" s="883">
        <v>1259</v>
      </c>
      <c r="CZ17" s="873">
        <v>1585</v>
      </c>
      <c r="DA17" s="879">
        <f t="shared" si="29"/>
        <v>2886</v>
      </c>
      <c r="DB17" s="883"/>
      <c r="DC17" s="883"/>
      <c r="DD17" s="883">
        <v>538</v>
      </c>
      <c r="DE17" s="883">
        <v>496</v>
      </c>
      <c r="DF17" s="883"/>
      <c r="DG17" s="883">
        <v>49</v>
      </c>
      <c r="DH17" s="883">
        <v>549</v>
      </c>
      <c r="DI17" s="883">
        <v>409</v>
      </c>
      <c r="DJ17" s="883">
        <v>331</v>
      </c>
      <c r="DK17" s="883"/>
      <c r="DL17" s="883">
        <v>401</v>
      </c>
      <c r="DM17" s="873">
        <v>575</v>
      </c>
      <c r="DN17" s="879">
        <f t="shared" si="30"/>
        <v>3348</v>
      </c>
      <c r="DO17" s="883"/>
      <c r="DP17" s="883"/>
      <c r="DQ17" s="883"/>
      <c r="DR17" s="883"/>
      <c r="DS17" s="883"/>
      <c r="DT17" s="883"/>
      <c r="DU17" s="883">
        <v>67</v>
      </c>
      <c r="DV17" s="883"/>
      <c r="DW17" s="883"/>
      <c r="DX17" s="883">
        <v>331</v>
      </c>
      <c r="DY17" s="883"/>
      <c r="DZ17" s="873">
        <v>-34</v>
      </c>
      <c r="EA17" s="879">
        <f t="shared" si="31"/>
        <v>364</v>
      </c>
      <c r="EB17" s="883">
        <v>0</v>
      </c>
      <c r="EC17" s="883">
        <v>0</v>
      </c>
      <c r="ED17" s="883">
        <v>0</v>
      </c>
      <c r="EE17" s="883">
        <v>0</v>
      </c>
      <c r="EF17" s="883">
        <v>0</v>
      </c>
      <c r="EG17" s="883">
        <v>13</v>
      </c>
      <c r="EH17" s="883">
        <v>34</v>
      </c>
      <c r="EI17" s="883">
        <v>0</v>
      </c>
      <c r="EJ17" s="883">
        <v>0</v>
      </c>
      <c r="EK17" s="883">
        <v>7</v>
      </c>
      <c r="EL17" s="883">
        <v>17</v>
      </c>
      <c r="EM17" s="873">
        <v>21</v>
      </c>
      <c r="EN17" s="879">
        <f t="shared" si="32"/>
        <v>92</v>
      </c>
      <c r="EO17" s="883">
        <v>0</v>
      </c>
      <c r="EP17" s="883">
        <v>4280</v>
      </c>
      <c r="EQ17" s="883">
        <v>12</v>
      </c>
      <c r="ER17" s="883">
        <v>625</v>
      </c>
      <c r="ES17" s="883">
        <v>1296</v>
      </c>
      <c r="ET17" s="883">
        <v>56</v>
      </c>
      <c r="EU17" s="883">
        <v>1600</v>
      </c>
      <c r="EV17" s="973">
        <v>453</v>
      </c>
      <c r="EW17" s="883"/>
      <c r="EX17" s="883"/>
      <c r="EY17" s="883"/>
      <c r="EZ17" s="873"/>
      <c r="FA17" s="879">
        <f t="shared" si="33"/>
        <v>8322</v>
      </c>
      <c r="FC17" s="843" t="str">
        <f t="shared" si="34"/>
        <v/>
      </c>
      <c r="FD17" s="844">
        <f t="shared" si="35"/>
        <v>17606.382978723406</v>
      </c>
      <c r="FE17" s="845">
        <f t="shared" si="36"/>
        <v>47</v>
      </c>
      <c r="FF17" s="846">
        <f t="shared" si="37"/>
        <v>8322</v>
      </c>
      <c r="FH17" s="127">
        <f t="shared" si="38"/>
        <v>453</v>
      </c>
    </row>
    <row r="18" spans="1:164" ht="15" customHeight="1" x14ac:dyDescent="0.25">
      <c r="A18" s="403" t="s">
        <v>400</v>
      </c>
      <c r="B18" s="883"/>
      <c r="C18" s="883"/>
      <c r="D18" s="883"/>
      <c r="E18" s="883"/>
      <c r="F18" s="883"/>
      <c r="G18" s="883">
        <v>3</v>
      </c>
      <c r="H18" s="883"/>
      <c r="I18" s="883"/>
      <c r="J18" s="883"/>
      <c r="K18" s="883"/>
      <c r="L18" s="883"/>
      <c r="M18" s="873"/>
      <c r="N18" s="879">
        <f t="shared" si="22"/>
        <v>3</v>
      </c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73"/>
      <c r="AA18" s="879">
        <f t="shared" si="23"/>
        <v>0</v>
      </c>
      <c r="AB18" s="883"/>
      <c r="AC18" s="883"/>
      <c r="AD18" s="883">
        <v>20</v>
      </c>
      <c r="AE18" s="883"/>
      <c r="AF18" s="883">
        <v>47</v>
      </c>
      <c r="AG18" s="883"/>
      <c r="AH18" s="883">
        <v>4</v>
      </c>
      <c r="AI18" s="883"/>
      <c r="AJ18" s="883"/>
      <c r="AK18" s="883"/>
      <c r="AL18" s="883"/>
      <c r="AM18" s="873">
        <v>329</v>
      </c>
      <c r="AN18" s="879">
        <f t="shared" si="24"/>
        <v>400</v>
      </c>
      <c r="AO18" s="883"/>
      <c r="AP18" s="883"/>
      <c r="AQ18" s="883">
        <v>124</v>
      </c>
      <c r="AR18" s="883">
        <v>42</v>
      </c>
      <c r="AS18" s="883">
        <v>79</v>
      </c>
      <c r="AT18" s="883">
        <v>203</v>
      </c>
      <c r="AU18" s="883">
        <v>129</v>
      </c>
      <c r="AV18" s="883">
        <v>141</v>
      </c>
      <c r="AW18" s="883">
        <v>76</v>
      </c>
      <c r="AX18" s="883">
        <v>210</v>
      </c>
      <c r="AY18" s="883">
        <v>88</v>
      </c>
      <c r="AZ18" s="873">
        <v>60</v>
      </c>
      <c r="BA18" s="879">
        <f t="shared" si="25"/>
        <v>1152</v>
      </c>
      <c r="BB18" s="883"/>
      <c r="BC18" s="883"/>
      <c r="BD18" s="883">
        <v>121</v>
      </c>
      <c r="BE18" s="883">
        <v>60</v>
      </c>
      <c r="BF18" s="883">
        <v>104</v>
      </c>
      <c r="BG18" s="883">
        <v>216</v>
      </c>
      <c r="BH18" s="883">
        <v>117</v>
      </c>
      <c r="BI18" s="883">
        <v>105</v>
      </c>
      <c r="BJ18" s="883">
        <v>205</v>
      </c>
      <c r="BK18" s="883">
        <v>203</v>
      </c>
      <c r="BL18" s="883">
        <v>307</v>
      </c>
      <c r="BM18" s="873">
        <v>130</v>
      </c>
      <c r="BN18" s="879">
        <f t="shared" si="26"/>
        <v>1568</v>
      </c>
      <c r="BO18" s="883">
        <v>136</v>
      </c>
      <c r="BP18" s="883"/>
      <c r="BQ18" s="883">
        <v>160</v>
      </c>
      <c r="BR18" s="883">
        <v>42</v>
      </c>
      <c r="BS18" s="883">
        <v>33</v>
      </c>
      <c r="BT18" s="883">
        <v>43</v>
      </c>
      <c r="BU18" s="883">
        <v>6</v>
      </c>
      <c r="BV18" s="883">
        <v>167</v>
      </c>
      <c r="BW18" s="883">
        <v>43</v>
      </c>
      <c r="BX18" s="883">
        <v>338</v>
      </c>
      <c r="BY18" s="883">
        <v>1276</v>
      </c>
      <c r="BZ18" s="873">
        <v>872</v>
      </c>
      <c r="CA18" s="879">
        <f t="shared" si="27"/>
        <v>3116</v>
      </c>
      <c r="CB18" s="883">
        <v>132</v>
      </c>
      <c r="CC18" s="883">
        <v>227</v>
      </c>
      <c r="CD18" s="883">
        <v>125</v>
      </c>
      <c r="CE18" s="883">
        <v>25</v>
      </c>
      <c r="CF18" s="883">
        <v>408</v>
      </c>
      <c r="CG18" s="883">
        <v>281</v>
      </c>
      <c r="CH18" s="883">
        <v>200</v>
      </c>
      <c r="CI18" s="883">
        <v>285</v>
      </c>
      <c r="CJ18" s="883">
        <v>170</v>
      </c>
      <c r="CK18" s="883">
        <v>236</v>
      </c>
      <c r="CL18" s="883">
        <v>188</v>
      </c>
      <c r="CM18" s="873">
        <v>700</v>
      </c>
      <c r="CN18" s="879">
        <f t="shared" si="28"/>
        <v>2977</v>
      </c>
      <c r="CO18" s="883"/>
      <c r="CP18" s="883">
        <v>39</v>
      </c>
      <c r="CQ18" s="883">
        <v>61</v>
      </c>
      <c r="CR18" s="883">
        <v>86</v>
      </c>
      <c r="CS18" s="883">
        <v>199</v>
      </c>
      <c r="CT18" s="883">
        <v>87</v>
      </c>
      <c r="CU18" s="883">
        <v>296</v>
      </c>
      <c r="CV18" s="883">
        <v>196</v>
      </c>
      <c r="CW18" s="883">
        <v>359</v>
      </c>
      <c r="CX18" s="883">
        <v>398</v>
      </c>
      <c r="CY18" s="883">
        <v>493</v>
      </c>
      <c r="CZ18" s="873">
        <v>204</v>
      </c>
      <c r="DA18" s="879">
        <f t="shared" si="29"/>
        <v>2418</v>
      </c>
      <c r="DB18" s="883"/>
      <c r="DC18" s="883">
        <v>140</v>
      </c>
      <c r="DD18" s="883">
        <v>216</v>
      </c>
      <c r="DE18" s="883">
        <v>144</v>
      </c>
      <c r="DF18" s="883">
        <v>128</v>
      </c>
      <c r="DG18" s="883">
        <v>118</v>
      </c>
      <c r="DH18" s="883">
        <v>1023</v>
      </c>
      <c r="DI18" s="883">
        <v>1040</v>
      </c>
      <c r="DJ18" s="883">
        <v>343</v>
      </c>
      <c r="DK18" s="883">
        <v>173</v>
      </c>
      <c r="DL18" s="883">
        <v>269</v>
      </c>
      <c r="DM18" s="873">
        <v>1908</v>
      </c>
      <c r="DN18" s="879">
        <f t="shared" si="30"/>
        <v>5502</v>
      </c>
      <c r="DO18" s="883">
        <v>38</v>
      </c>
      <c r="DP18" s="883">
        <v>187</v>
      </c>
      <c r="DQ18" s="883">
        <v>129</v>
      </c>
      <c r="DR18" s="883">
        <v>193</v>
      </c>
      <c r="DS18" s="883">
        <v>609</v>
      </c>
      <c r="DT18" s="883">
        <v>108</v>
      </c>
      <c r="DU18" s="883">
        <v>209</v>
      </c>
      <c r="DV18" s="883">
        <v>95</v>
      </c>
      <c r="DW18" s="883">
        <v>405</v>
      </c>
      <c r="DX18" s="883">
        <v>1012</v>
      </c>
      <c r="DY18" s="883">
        <v>259</v>
      </c>
      <c r="DZ18" s="873">
        <v>163</v>
      </c>
      <c r="EA18" s="879">
        <f t="shared" si="31"/>
        <v>3407</v>
      </c>
      <c r="EB18" s="883">
        <v>22</v>
      </c>
      <c r="EC18" s="883">
        <v>21</v>
      </c>
      <c r="ED18" s="883">
        <v>22</v>
      </c>
      <c r="EE18" s="883">
        <v>143</v>
      </c>
      <c r="EF18" s="883">
        <v>120</v>
      </c>
      <c r="EG18" s="883">
        <v>161</v>
      </c>
      <c r="EH18" s="883">
        <v>204</v>
      </c>
      <c r="EI18" s="883">
        <v>316</v>
      </c>
      <c r="EJ18" s="883">
        <v>81</v>
      </c>
      <c r="EK18" s="883">
        <v>0</v>
      </c>
      <c r="EL18" s="883">
        <v>0</v>
      </c>
      <c r="EM18" s="873">
        <v>0</v>
      </c>
      <c r="EN18" s="879">
        <f t="shared" si="32"/>
        <v>1090</v>
      </c>
      <c r="EO18" s="883">
        <v>0</v>
      </c>
      <c r="EP18" s="883">
        <v>0</v>
      </c>
      <c r="EQ18" s="883">
        <v>0</v>
      </c>
      <c r="ER18" s="883">
        <v>0</v>
      </c>
      <c r="ES18" s="883">
        <v>0</v>
      </c>
      <c r="ET18" s="883">
        <v>0</v>
      </c>
      <c r="EU18" s="883">
        <v>0</v>
      </c>
      <c r="EV18" s="973">
        <v>0</v>
      </c>
      <c r="EW18" s="883"/>
      <c r="EX18" s="883"/>
      <c r="EY18" s="883"/>
      <c r="EZ18" s="873"/>
      <c r="FA18" s="879">
        <f t="shared" si="33"/>
        <v>0</v>
      </c>
      <c r="FC18" s="843">
        <f t="shared" si="34"/>
        <v>-100</v>
      </c>
      <c r="FD18" s="844">
        <f t="shared" si="35"/>
        <v>-100</v>
      </c>
      <c r="FE18" s="845">
        <f t="shared" si="36"/>
        <v>1009</v>
      </c>
      <c r="FF18" s="846">
        <f t="shared" si="37"/>
        <v>0</v>
      </c>
      <c r="FH18" s="127">
        <f t="shared" si="38"/>
        <v>-316</v>
      </c>
    </row>
    <row r="19" spans="1:164" ht="15" customHeight="1" x14ac:dyDescent="0.25">
      <c r="A19" s="403" t="s">
        <v>401</v>
      </c>
      <c r="B19" s="883"/>
      <c r="C19" s="883">
        <v>3</v>
      </c>
      <c r="D19" s="883">
        <v>1081</v>
      </c>
      <c r="E19" s="883">
        <v>67</v>
      </c>
      <c r="F19" s="883">
        <v>16</v>
      </c>
      <c r="G19" s="883">
        <v>16</v>
      </c>
      <c r="H19" s="883">
        <v>6</v>
      </c>
      <c r="I19" s="883">
        <v>6</v>
      </c>
      <c r="J19" s="883">
        <v>18</v>
      </c>
      <c r="K19" s="883">
        <v>122</v>
      </c>
      <c r="L19" s="883">
        <v>121</v>
      </c>
      <c r="M19" s="873">
        <v>64</v>
      </c>
      <c r="N19" s="879">
        <f t="shared" si="22"/>
        <v>1520</v>
      </c>
      <c r="O19" s="883"/>
      <c r="P19" s="883">
        <v>1019</v>
      </c>
      <c r="Q19" s="883"/>
      <c r="R19" s="883"/>
      <c r="S19" s="883"/>
      <c r="T19" s="883">
        <v>16</v>
      </c>
      <c r="U19" s="883">
        <v>8</v>
      </c>
      <c r="V19" s="883">
        <v>43</v>
      </c>
      <c r="W19" s="883">
        <v>19</v>
      </c>
      <c r="X19" s="883">
        <v>662</v>
      </c>
      <c r="Y19" s="883">
        <v>10</v>
      </c>
      <c r="Z19" s="873">
        <v>1957</v>
      </c>
      <c r="AA19" s="879">
        <f t="shared" si="23"/>
        <v>3734</v>
      </c>
      <c r="AB19" s="883"/>
      <c r="AC19" s="883"/>
      <c r="AD19" s="883">
        <v>1088</v>
      </c>
      <c r="AE19" s="883">
        <v>511</v>
      </c>
      <c r="AF19" s="883">
        <v>598</v>
      </c>
      <c r="AG19" s="883">
        <v>253</v>
      </c>
      <c r="AH19" s="883">
        <v>715</v>
      </c>
      <c r="AI19" s="883">
        <v>599</v>
      </c>
      <c r="AJ19" s="883">
        <v>391</v>
      </c>
      <c r="AK19" s="883">
        <v>70</v>
      </c>
      <c r="AL19" s="883">
        <v>57</v>
      </c>
      <c r="AM19" s="873">
        <v>861</v>
      </c>
      <c r="AN19" s="879">
        <f t="shared" si="24"/>
        <v>5143</v>
      </c>
      <c r="AO19" s="883"/>
      <c r="AP19" s="883"/>
      <c r="AQ19" s="883">
        <v>51</v>
      </c>
      <c r="AR19" s="883">
        <v>430</v>
      </c>
      <c r="AS19" s="883">
        <v>177</v>
      </c>
      <c r="AT19" s="883">
        <v>20</v>
      </c>
      <c r="AU19" s="883">
        <v>96</v>
      </c>
      <c r="AV19" s="883">
        <v>27</v>
      </c>
      <c r="AW19" s="883">
        <v>143</v>
      </c>
      <c r="AX19" s="883"/>
      <c r="AY19" s="883">
        <v>19529</v>
      </c>
      <c r="AZ19" s="873">
        <v>-6695</v>
      </c>
      <c r="BA19" s="879">
        <f t="shared" si="25"/>
        <v>13778</v>
      </c>
      <c r="BB19" s="883"/>
      <c r="BC19" s="883"/>
      <c r="BD19" s="883">
        <v>781</v>
      </c>
      <c r="BE19" s="883">
        <v>10</v>
      </c>
      <c r="BF19" s="883">
        <v>1068</v>
      </c>
      <c r="BG19" s="883">
        <v>1162</v>
      </c>
      <c r="BH19" s="883">
        <v>1300</v>
      </c>
      <c r="BI19" s="883">
        <v>1220</v>
      </c>
      <c r="BJ19" s="883">
        <v>2537</v>
      </c>
      <c r="BK19" s="883">
        <v>1655</v>
      </c>
      <c r="BL19" s="883">
        <v>3956</v>
      </c>
      <c r="BM19" s="873">
        <v>1978</v>
      </c>
      <c r="BN19" s="879">
        <f t="shared" si="26"/>
        <v>15667</v>
      </c>
      <c r="BO19" s="883">
        <v>590</v>
      </c>
      <c r="BP19" s="883">
        <v>431</v>
      </c>
      <c r="BQ19" s="883">
        <v>407</v>
      </c>
      <c r="BR19" s="883"/>
      <c r="BS19" s="883">
        <v>4</v>
      </c>
      <c r="BT19" s="883">
        <v>47</v>
      </c>
      <c r="BU19" s="883">
        <v>4</v>
      </c>
      <c r="BV19" s="883">
        <v>271</v>
      </c>
      <c r="BW19" s="883">
        <v>1729</v>
      </c>
      <c r="BX19" s="883">
        <v>5357</v>
      </c>
      <c r="BY19" s="883">
        <v>1288</v>
      </c>
      <c r="BZ19" s="873">
        <v>3790</v>
      </c>
      <c r="CA19" s="879">
        <f t="shared" si="27"/>
        <v>13918</v>
      </c>
      <c r="CB19" s="883">
        <v>110</v>
      </c>
      <c r="CC19" s="883">
        <v>1042</v>
      </c>
      <c r="CD19" s="883">
        <v>2370</v>
      </c>
      <c r="CE19" s="883">
        <v>1166</v>
      </c>
      <c r="CF19" s="883">
        <v>1809</v>
      </c>
      <c r="CG19" s="883">
        <v>1766</v>
      </c>
      <c r="CH19" s="883">
        <v>297</v>
      </c>
      <c r="CI19" s="883">
        <v>2160</v>
      </c>
      <c r="CJ19" s="883">
        <v>2825</v>
      </c>
      <c r="CK19" s="883">
        <v>-234</v>
      </c>
      <c r="CL19" s="883">
        <v>1543</v>
      </c>
      <c r="CM19" s="873">
        <v>1984</v>
      </c>
      <c r="CN19" s="879">
        <f t="shared" si="28"/>
        <v>16838</v>
      </c>
      <c r="CO19" s="883"/>
      <c r="CP19" s="883"/>
      <c r="CQ19" s="883">
        <v>699</v>
      </c>
      <c r="CR19" s="883">
        <v>69</v>
      </c>
      <c r="CS19" s="883">
        <v>340</v>
      </c>
      <c r="CT19" s="883">
        <v>709</v>
      </c>
      <c r="CU19" s="883">
        <v>1979</v>
      </c>
      <c r="CV19" s="883">
        <v>1249</v>
      </c>
      <c r="CW19" s="883">
        <v>1066</v>
      </c>
      <c r="CX19" s="883">
        <v>461</v>
      </c>
      <c r="CY19" s="883">
        <v>317</v>
      </c>
      <c r="CZ19" s="873">
        <v>1546</v>
      </c>
      <c r="DA19" s="879">
        <f t="shared" si="29"/>
        <v>8435</v>
      </c>
      <c r="DB19" s="883"/>
      <c r="DC19" s="883">
        <v>418</v>
      </c>
      <c r="DD19" s="883">
        <v>288</v>
      </c>
      <c r="DE19" s="883">
        <v>315</v>
      </c>
      <c r="DF19" s="883">
        <v>414</v>
      </c>
      <c r="DG19" s="883">
        <v>393</v>
      </c>
      <c r="DH19" s="883">
        <v>791</v>
      </c>
      <c r="DI19" s="883">
        <v>93</v>
      </c>
      <c r="DJ19" s="883">
        <v>246</v>
      </c>
      <c r="DK19" s="883">
        <v>2305</v>
      </c>
      <c r="DL19" s="883">
        <v>2990</v>
      </c>
      <c r="DM19" s="873">
        <v>2944</v>
      </c>
      <c r="DN19" s="879">
        <f t="shared" si="30"/>
        <v>11197</v>
      </c>
      <c r="DO19" s="883">
        <v>717</v>
      </c>
      <c r="DP19" s="883">
        <v>1614</v>
      </c>
      <c r="DQ19" s="883">
        <v>798</v>
      </c>
      <c r="DR19" s="883">
        <v>2796</v>
      </c>
      <c r="DS19" s="883">
        <v>2274</v>
      </c>
      <c r="DT19" s="883">
        <v>1425</v>
      </c>
      <c r="DU19" s="883">
        <v>294</v>
      </c>
      <c r="DV19" s="883">
        <v>715</v>
      </c>
      <c r="DW19" s="883">
        <v>731</v>
      </c>
      <c r="DX19" s="883">
        <v>707</v>
      </c>
      <c r="DY19" s="883">
        <v>1085</v>
      </c>
      <c r="DZ19" s="873">
        <v>2069</v>
      </c>
      <c r="EA19" s="879">
        <f t="shared" si="31"/>
        <v>15225</v>
      </c>
      <c r="EB19" s="883">
        <v>0</v>
      </c>
      <c r="EC19" s="883">
        <v>3093</v>
      </c>
      <c r="ED19" s="883">
        <v>257</v>
      </c>
      <c r="EE19" s="883">
        <v>639</v>
      </c>
      <c r="EF19" s="883">
        <v>2102</v>
      </c>
      <c r="EG19" s="883">
        <v>2680</v>
      </c>
      <c r="EH19" s="883">
        <v>3494</v>
      </c>
      <c r="EI19" s="883">
        <v>3805</v>
      </c>
      <c r="EJ19" s="883">
        <v>2421</v>
      </c>
      <c r="EK19" s="883">
        <v>5283</v>
      </c>
      <c r="EL19" s="883">
        <v>5867</v>
      </c>
      <c r="EM19" s="873">
        <v>10485</v>
      </c>
      <c r="EN19" s="879">
        <f t="shared" si="32"/>
        <v>40126</v>
      </c>
      <c r="EO19" s="883">
        <v>783</v>
      </c>
      <c r="EP19" s="883">
        <v>2591</v>
      </c>
      <c r="EQ19" s="883">
        <v>1120</v>
      </c>
      <c r="ER19" s="883">
        <v>1770</v>
      </c>
      <c r="ES19" s="883">
        <v>2582</v>
      </c>
      <c r="ET19" s="883">
        <v>1404</v>
      </c>
      <c r="EU19" s="883">
        <v>3730</v>
      </c>
      <c r="EV19" s="973">
        <v>4561</v>
      </c>
      <c r="EW19" s="883"/>
      <c r="EX19" s="883"/>
      <c r="EY19" s="883"/>
      <c r="EZ19" s="873"/>
      <c r="FA19" s="879">
        <f t="shared" si="33"/>
        <v>18541</v>
      </c>
      <c r="FC19" s="843">
        <f t="shared" si="34"/>
        <v>19.868593955321945</v>
      </c>
      <c r="FD19" s="844">
        <f t="shared" si="35"/>
        <v>15.376477909147489</v>
      </c>
      <c r="FE19" s="845">
        <f t="shared" si="36"/>
        <v>16070</v>
      </c>
      <c r="FF19" s="846">
        <f t="shared" si="37"/>
        <v>18541</v>
      </c>
      <c r="FH19" s="127">
        <f t="shared" si="38"/>
        <v>756</v>
      </c>
    </row>
    <row r="20" spans="1:164" ht="15" customHeight="1" x14ac:dyDescent="0.25">
      <c r="A20" s="403" t="s">
        <v>402</v>
      </c>
      <c r="B20" s="883"/>
      <c r="C20" s="883">
        <v>5</v>
      </c>
      <c r="D20" s="883">
        <v>4418</v>
      </c>
      <c r="E20" s="883">
        <v>4555</v>
      </c>
      <c r="F20" s="883">
        <v>1291</v>
      </c>
      <c r="G20" s="883">
        <v>9541</v>
      </c>
      <c r="H20" s="883">
        <v>143</v>
      </c>
      <c r="I20" s="883">
        <v>285</v>
      </c>
      <c r="J20" s="883">
        <v>864</v>
      </c>
      <c r="K20" s="883">
        <v>3065</v>
      </c>
      <c r="L20" s="883">
        <v>5531</v>
      </c>
      <c r="M20" s="873">
        <v>10501</v>
      </c>
      <c r="N20" s="879">
        <f t="shared" si="22"/>
        <v>40199</v>
      </c>
      <c r="O20" s="883"/>
      <c r="P20" s="883">
        <v>236</v>
      </c>
      <c r="Q20" s="883">
        <v>910</v>
      </c>
      <c r="R20" s="883">
        <v>1696</v>
      </c>
      <c r="S20" s="883">
        <v>29907</v>
      </c>
      <c r="T20" s="883">
        <v>3634</v>
      </c>
      <c r="U20" s="883">
        <v>41479</v>
      </c>
      <c r="V20" s="883">
        <v>850</v>
      </c>
      <c r="W20" s="883">
        <v>930</v>
      </c>
      <c r="X20" s="883">
        <v>16341</v>
      </c>
      <c r="Y20" s="883">
        <v>1289</v>
      </c>
      <c r="Z20" s="873">
        <v>41487</v>
      </c>
      <c r="AA20" s="879">
        <f t="shared" si="23"/>
        <v>138759</v>
      </c>
      <c r="AB20" s="883"/>
      <c r="AC20" s="883">
        <v>36</v>
      </c>
      <c r="AD20" s="883">
        <v>10453</v>
      </c>
      <c r="AE20" s="883">
        <v>15985</v>
      </c>
      <c r="AF20" s="883">
        <v>4842</v>
      </c>
      <c r="AG20" s="883">
        <v>6020</v>
      </c>
      <c r="AH20" s="883">
        <v>2540</v>
      </c>
      <c r="AI20" s="883">
        <v>44700</v>
      </c>
      <c r="AJ20" s="883">
        <v>8612</v>
      </c>
      <c r="AK20" s="883">
        <v>9857</v>
      </c>
      <c r="AL20" s="883">
        <v>8272</v>
      </c>
      <c r="AM20" s="873">
        <v>29915</v>
      </c>
      <c r="AN20" s="879">
        <f t="shared" si="24"/>
        <v>141232</v>
      </c>
      <c r="AO20" s="883">
        <v>2</v>
      </c>
      <c r="AP20" s="883">
        <v>12</v>
      </c>
      <c r="AQ20" s="883">
        <v>153</v>
      </c>
      <c r="AR20" s="883">
        <v>17229</v>
      </c>
      <c r="AS20" s="883">
        <v>16290</v>
      </c>
      <c r="AT20" s="883">
        <v>3078</v>
      </c>
      <c r="AU20" s="883">
        <v>13211</v>
      </c>
      <c r="AV20" s="883">
        <v>15986</v>
      </c>
      <c r="AW20" s="883">
        <v>9273</v>
      </c>
      <c r="AX20" s="883">
        <v>3657</v>
      </c>
      <c r="AY20" s="883">
        <v>9615</v>
      </c>
      <c r="AZ20" s="873">
        <v>9065</v>
      </c>
      <c r="BA20" s="879">
        <f t="shared" si="25"/>
        <v>97571</v>
      </c>
      <c r="BB20" s="883">
        <v>61807</v>
      </c>
      <c r="BC20" s="883">
        <v>10269</v>
      </c>
      <c r="BD20" s="883">
        <v>699</v>
      </c>
      <c r="BE20" s="883">
        <v>844</v>
      </c>
      <c r="BF20" s="883">
        <v>2626</v>
      </c>
      <c r="BG20" s="883">
        <v>10558</v>
      </c>
      <c r="BH20" s="883">
        <v>6032</v>
      </c>
      <c r="BI20" s="883">
        <v>20960</v>
      </c>
      <c r="BJ20" s="883">
        <v>23575</v>
      </c>
      <c r="BK20" s="883">
        <v>12294</v>
      </c>
      <c r="BL20" s="883">
        <v>9657</v>
      </c>
      <c r="BM20" s="873">
        <v>26168</v>
      </c>
      <c r="BN20" s="879">
        <f t="shared" si="26"/>
        <v>185489</v>
      </c>
      <c r="BO20" s="883">
        <v>5530</v>
      </c>
      <c r="BP20" s="883">
        <v>5755</v>
      </c>
      <c r="BQ20" s="883">
        <v>2089</v>
      </c>
      <c r="BR20" s="883">
        <v>6641</v>
      </c>
      <c r="BS20" s="883">
        <v>507</v>
      </c>
      <c r="BT20" s="883">
        <v>286</v>
      </c>
      <c r="BU20" s="883">
        <v>1132</v>
      </c>
      <c r="BV20" s="883">
        <v>9497</v>
      </c>
      <c r="BW20" s="883">
        <v>2730</v>
      </c>
      <c r="BX20" s="883">
        <v>16733</v>
      </c>
      <c r="BY20" s="883">
        <v>10438</v>
      </c>
      <c r="BZ20" s="873">
        <v>25412</v>
      </c>
      <c r="CA20" s="879">
        <f t="shared" si="27"/>
        <v>86750</v>
      </c>
      <c r="CB20" s="883">
        <v>11548</v>
      </c>
      <c r="CC20" s="883">
        <v>4560</v>
      </c>
      <c r="CD20" s="883">
        <v>4752</v>
      </c>
      <c r="CE20" s="883">
        <v>2264</v>
      </c>
      <c r="CF20" s="883">
        <v>8126</v>
      </c>
      <c r="CG20" s="883">
        <v>6757</v>
      </c>
      <c r="CH20" s="883">
        <v>5229</v>
      </c>
      <c r="CI20" s="883">
        <v>3329</v>
      </c>
      <c r="CJ20" s="883">
        <v>5301</v>
      </c>
      <c r="CK20" s="883">
        <v>6537</v>
      </c>
      <c r="CL20" s="883">
        <v>5623</v>
      </c>
      <c r="CM20" s="873">
        <v>14911</v>
      </c>
      <c r="CN20" s="879">
        <f t="shared" si="28"/>
        <v>78937</v>
      </c>
      <c r="CO20" s="883">
        <v>230</v>
      </c>
      <c r="CP20" s="883">
        <v>1147</v>
      </c>
      <c r="CQ20" s="883">
        <v>3294</v>
      </c>
      <c r="CR20" s="883">
        <v>3504</v>
      </c>
      <c r="CS20" s="883">
        <v>2807</v>
      </c>
      <c r="CT20" s="883">
        <v>4205</v>
      </c>
      <c r="CU20" s="883">
        <v>3632</v>
      </c>
      <c r="CV20" s="883">
        <v>3398</v>
      </c>
      <c r="CW20" s="883">
        <v>1804</v>
      </c>
      <c r="CX20" s="883">
        <v>2615</v>
      </c>
      <c r="CY20" s="883">
        <v>2626</v>
      </c>
      <c r="CZ20" s="873">
        <v>6591</v>
      </c>
      <c r="DA20" s="879">
        <f t="shared" si="29"/>
        <v>35853</v>
      </c>
      <c r="DB20" s="883"/>
      <c r="DC20" s="883">
        <v>74</v>
      </c>
      <c r="DD20" s="883">
        <v>1145</v>
      </c>
      <c r="DE20" s="883">
        <v>1214</v>
      </c>
      <c r="DF20" s="883">
        <v>990</v>
      </c>
      <c r="DG20" s="883">
        <v>1225</v>
      </c>
      <c r="DH20" s="883">
        <v>1505</v>
      </c>
      <c r="DI20" s="883">
        <v>1838</v>
      </c>
      <c r="DJ20" s="883">
        <v>1369</v>
      </c>
      <c r="DK20" s="883">
        <v>3690</v>
      </c>
      <c r="DL20" s="883">
        <v>2929</v>
      </c>
      <c r="DM20" s="873">
        <v>13474</v>
      </c>
      <c r="DN20" s="879">
        <f t="shared" si="30"/>
        <v>29453</v>
      </c>
      <c r="DO20" s="883">
        <v>1467</v>
      </c>
      <c r="DP20" s="883">
        <v>860</v>
      </c>
      <c r="DQ20" s="883">
        <v>2175</v>
      </c>
      <c r="DR20" s="883">
        <v>1850</v>
      </c>
      <c r="DS20" s="883">
        <v>5918</v>
      </c>
      <c r="DT20" s="883">
        <v>2596</v>
      </c>
      <c r="DU20" s="883">
        <v>4554</v>
      </c>
      <c r="DV20" s="883">
        <v>5365</v>
      </c>
      <c r="DW20" s="883">
        <v>1575</v>
      </c>
      <c r="DX20" s="883">
        <v>4216</v>
      </c>
      <c r="DY20" s="883">
        <v>3814</v>
      </c>
      <c r="DZ20" s="873">
        <v>9790</v>
      </c>
      <c r="EA20" s="879">
        <f t="shared" si="31"/>
        <v>44180</v>
      </c>
      <c r="EB20" s="883">
        <v>36</v>
      </c>
      <c r="EC20" s="883">
        <v>336</v>
      </c>
      <c r="ED20" s="883">
        <v>615</v>
      </c>
      <c r="EE20" s="883">
        <v>1392</v>
      </c>
      <c r="EF20" s="883">
        <v>1043</v>
      </c>
      <c r="EG20" s="883">
        <v>1053</v>
      </c>
      <c r="EH20" s="883">
        <v>4355</v>
      </c>
      <c r="EI20" s="883">
        <v>1828</v>
      </c>
      <c r="EJ20" s="883">
        <v>1768</v>
      </c>
      <c r="EK20" s="883">
        <v>3695</v>
      </c>
      <c r="EL20" s="883">
        <v>4267</v>
      </c>
      <c r="EM20" s="873">
        <v>8591</v>
      </c>
      <c r="EN20" s="879">
        <f t="shared" si="32"/>
        <v>28979</v>
      </c>
      <c r="EO20" s="883">
        <v>1271</v>
      </c>
      <c r="EP20" s="883">
        <v>2295</v>
      </c>
      <c r="EQ20" s="883">
        <v>4780</v>
      </c>
      <c r="ER20" s="883">
        <v>15502</v>
      </c>
      <c r="ES20" s="883">
        <v>11296</v>
      </c>
      <c r="ET20" s="883">
        <v>6387</v>
      </c>
      <c r="EU20" s="883">
        <v>10653</v>
      </c>
      <c r="EV20" s="973">
        <v>7458</v>
      </c>
      <c r="EW20" s="883"/>
      <c r="EX20" s="883"/>
      <c r="EY20" s="883"/>
      <c r="EZ20" s="873"/>
      <c r="FA20" s="879">
        <f t="shared" si="33"/>
        <v>59642</v>
      </c>
      <c r="FC20" s="843">
        <f t="shared" si="34"/>
        <v>307.98687089715537</v>
      </c>
      <c r="FD20" s="844">
        <f t="shared" si="35"/>
        <v>459.59842371927192</v>
      </c>
      <c r="FE20" s="845">
        <f t="shared" si="36"/>
        <v>10658</v>
      </c>
      <c r="FF20" s="846">
        <f t="shared" si="37"/>
        <v>59642</v>
      </c>
      <c r="FH20" s="954">
        <f t="shared" si="38"/>
        <v>5630</v>
      </c>
    </row>
    <row r="21" spans="1:164" ht="15" customHeight="1" x14ac:dyDescent="0.25">
      <c r="A21" s="403" t="s">
        <v>665</v>
      </c>
      <c r="B21" s="883"/>
      <c r="C21" s="883">
        <v>15</v>
      </c>
      <c r="D21" s="883">
        <v>493</v>
      </c>
      <c r="E21" s="883">
        <v>-176</v>
      </c>
      <c r="F21" s="883">
        <v>232</v>
      </c>
      <c r="G21" s="883">
        <v>79</v>
      </c>
      <c r="H21" s="883">
        <v>224</v>
      </c>
      <c r="I21" s="883">
        <v>223</v>
      </c>
      <c r="J21" s="883">
        <v>215</v>
      </c>
      <c r="K21" s="883">
        <v>192</v>
      </c>
      <c r="L21" s="883">
        <v>219</v>
      </c>
      <c r="M21" s="873">
        <v>1006</v>
      </c>
      <c r="N21" s="879">
        <f t="shared" si="22"/>
        <v>2722</v>
      </c>
      <c r="O21" s="883">
        <v>34</v>
      </c>
      <c r="P21" s="883">
        <v>73</v>
      </c>
      <c r="Q21" s="883">
        <v>269</v>
      </c>
      <c r="R21" s="883">
        <v>182</v>
      </c>
      <c r="S21" s="883">
        <v>225</v>
      </c>
      <c r="T21" s="883">
        <v>233</v>
      </c>
      <c r="U21" s="883">
        <v>237</v>
      </c>
      <c r="V21" s="883">
        <v>202</v>
      </c>
      <c r="W21" s="883">
        <v>194</v>
      </c>
      <c r="X21" s="883">
        <v>896</v>
      </c>
      <c r="Y21" s="883">
        <v>172</v>
      </c>
      <c r="Z21" s="873">
        <v>280</v>
      </c>
      <c r="AA21" s="879">
        <f t="shared" si="23"/>
        <v>2997</v>
      </c>
      <c r="AB21" s="883"/>
      <c r="AC21" s="883">
        <v>66</v>
      </c>
      <c r="AD21" s="883">
        <v>281</v>
      </c>
      <c r="AE21" s="883">
        <v>951</v>
      </c>
      <c r="AF21" s="883">
        <v>141</v>
      </c>
      <c r="AG21" s="883">
        <v>134</v>
      </c>
      <c r="AH21" s="883">
        <v>171</v>
      </c>
      <c r="AI21" s="883">
        <v>125</v>
      </c>
      <c r="AJ21" s="883">
        <v>646</v>
      </c>
      <c r="AK21" s="883">
        <v>-426</v>
      </c>
      <c r="AL21" s="883">
        <v>179</v>
      </c>
      <c r="AM21" s="873">
        <v>559</v>
      </c>
      <c r="AN21" s="879">
        <f t="shared" si="24"/>
        <v>2827</v>
      </c>
      <c r="AO21" s="883">
        <v>27</v>
      </c>
      <c r="AP21" s="883">
        <v>86</v>
      </c>
      <c r="AQ21" s="883">
        <v>155</v>
      </c>
      <c r="AR21" s="883">
        <v>123</v>
      </c>
      <c r="AS21" s="883">
        <v>87</v>
      </c>
      <c r="AT21" s="883">
        <v>132</v>
      </c>
      <c r="AU21" s="883">
        <v>174</v>
      </c>
      <c r="AV21" s="883">
        <v>139</v>
      </c>
      <c r="AW21" s="883">
        <v>428</v>
      </c>
      <c r="AX21" s="883">
        <v>28</v>
      </c>
      <c r="AY21" s="883">
        <v>32</v>
      </c>
      <c r="AZ21" s="873">
        <v>32</v>
      </c>
      <c r="BA21" s="879">
        <f t="shared" si="25"/>
        <v>1443</v>
      </c>
      <c r="BB21" s="883"/>
      <c r="BC21" s="883"/>
      <c r="BD21" s="883"/>
      <c r="BE21" s="883"/>
      <c r="BF21" s="883"/>
      <c r="BG21" s="883"/>
      <c r="BH21" s="883"/>
      <c r="BI21" s="883"/>
      <c r="BJ21" s="883"/>
      <c r="BK21" s="883">
        <v>15</v>
      </c>
      <c r="BL21" s="883">
        <v>195</v>
      </c>
      <c r="BM21" s="873">
        <v>20</v>
      </c>
      <c r="BN21" s="879">
        <f t="shared" si="26"/>
        <v>230</v>
      </c>
      <c r="BO21" s="883"/>
      <c r="BP21" s="883"/>
      <c r="BQ21" s="883"/>
      <c r="BR21" s="883">
        <v>42</v>
      </c>
      <c r="BS21" s="883"/>
      <c r="BT21" s="883"/>
      <c r="BU21" s="883"/>
      <c r="BV21" s="883"/>
      <c r="BW21" s="883">
        <v>89</v>
      </c>
      <c r="BX21" s="883">
        <v>111</v>
      </c>
      <c r="BY21" s="883">
        <v>193</v>
      </c>
      <c r="BZ21" s="873">
        <v>861</v>
      </c>
      <c r="CA21" s="879">
        <f t="shared" si="27"/>
        <v>1296</v>
      </c>
      <c r="CB21" s="883"/>
      <c r="CC21" s="883">
        <v>69</v>
      </c>
      <c r="CD21" s="883">
        <v>157</v>
      </c>
      <c r="CE21" s="883">
        <v>18</v>
      </c>
      <c r="CF21" s="883">
        <v>122</v>
      </c>
      <c r="CG21" s="883">
        <v>225</v>
      </c>
      <c r="CH21" s="883">
        <v>434</v>
      </c>
      <c r="CI21" s="883">
        <v>167</v>
      </c>
      <c r="CJ21" s="883">
        <v>293</v>
      </c>
      <c r="CK21" s="883">
        <v>356</v>
      </c>
      <c r="CL21" s="883">
        <v>345</v>
      </c>
      <c r="CM21" s="873">
        <v>767</v>
      </c>
      <c r="CN21" s="879">
        <f t="shared" si="28"/>
        <v>2953</v>
      </c>
      <c r="CO21" s="883">
        <v>65</v>
      </c>
      <c r="CP21" s="883">
        <v>85</v>
      </c>
      <c r="CQ21" s="883">
        <v>257</v>
      </c>
      <c r="CR21" s="883">
        <v>117</v>
      </c>
      <c r="CS21" s="883">
        <v>155</v>
      </c>
      <c r="CT21" s="883">
        <v>238</v>
      </c>
      <c r="CU21" s="883">
        <v>251</v>
      </c>
      <c r="CV21" s="883">
        <v>429</v>
      </c>
      <c r="CW21" s="883">
        <v>365</v>
      </c>
      <c r="CX21" s="883">
        <v>585</v>
      </c>
      <c r="CY21" s="883">
        <v>710</v>
      </c>
      <c r="CZ21" s="873">
        <v>1019</v>
      </c>
      <c r="DA21" s="879">
        <f t="shared" si="29"/>
        <v>4276</v>
      </c>
      <c r="DB21" s="883"/>
      <c r="DC21" s="883">
        <v>99</v>
      </c>
      <c r="DD21" s="883">
        <v>279</v>
      </c>
      <c r="DE21" s="883">
        <v>217</v>
      </c>
      <c r="DF21" s="883">
        <v>543</v>
      </c>
      <c r="DG21" s="883">
        <v>546</v>
      </c>
      <c r="DH21" s="883">
        <v>1355</v>
      </c>
      <c r="DI21" s="883">
        <v>1351</v>
      </c>
      <c r="DJ21" s="883">
        <v>355</v>
      </c>
      <c r="DK21" s="883">
        <v>677</v>
      </c>
      <c r="DL21" s="883">
        <v>1134</v>
      </c>
      <c r="DM21" s="873">
        <v>1763</v>
      </c>
      <c r="DN21" s="879">
        <f t="shared" si="30"/>
        <v>8319</v>
      </c>
      <c r="DO21" s="883">
        <v>5</v>
      </c>
      <c r="DP21" s="883">
        <v>277</v>
      </c>
      <c r="DQ21" s="883">
        <v>657</v>
      </c>
      <c r="DR21" s="883">
        <v>675</v>
      </c>
      <c r="DS21" s="883">
        <v>574</v>
      </c>
      <c r="DT21" s="883">
        <v>773</v>
      </c>
      <c r="DU21" s="883">
        <v>204</v>
      </c>
      <c r="DV21" s="883">
        <v>464</v>
      </c>
      <c r="DW21" s="883">
        <v>1007</v>
      </c>
      <c r="DX21" s="883">
        <v>1980</v>
      </c>
      <c r="DY21" s="883">
        <v>2424</v>
      </c>
      <c r="DZ21" s="873">
        <v>869</v>
      </c>
      <c r="EA21" s="879">
        <f t="shared" si="31"/>
        <v>9909</v>
      </c>
      <c r="EB21" s="883">
        <v>799</v>
      </c>
      <c r="EC21" s="883">
        <v>1267</v>
      </c>
      <c r="ED21" s="883">
        <v>3154</v>
      </c>
      <c r="EE21" s="883">
        <v>636</v>
      </c>
      <c r="EF21" s="883">
        <v>322</v>
      </c>
      <c r="EG21" s="883">
        <v>957</v>
      </c>
      <c r="EH21" s="883">
        <v>585</v>
      </c>
      <c r="EI21" s="883">
        <v>961</v>
      </c>
      <c r="EJ21" s="883">
        <v>371</v>
      </c>
      <c r="EK21" s="883">
        <v>765</v>
      </c>
      <c r="EL21" s="883">
        <v>718</v>
      </c>
      <c r="EM21" s="873">
        <v>3647</v>
      </c>
      <c r="EN21" s="879">
        <f t="shared" si="32"/>
        <v>14182</v>
      </c>
      <c r="EO21" s="883">
        <v>0</v>
      </c>
      <c r="EP21" s="883">
        <v>268</v>
      </c>
      <c r="EQ21" s="883">
        <v>445</v>
      </c>
      <c r="ER21" s="883">
        <v>383</v>
      </c>
      <c r="ES21" s="883">
        <v>374</v>
      </c>
      <c r="ET21" s="883">
        <v>274</v>
      </c>
      <c r="EU21" s="883">
        <v>383</v>
      </c>
      <c r="EV21" s="973">
        <v>272</v>
      </c>
      <c r="EW21" s="883"/>
      <c r="EX21" s="883"/>
      <c r="EY21" s="883"/>
      <c r="EZ21" s="873"/>
      <c r="FA21" s="879">
        <f t="shared" si="33"/>
        <v>2399</v>
      </c>
      <c r="FC21" s="843">
        <f t="shared" si="34"/>
        <v>-71.696149843912593</v>
      </c>
      <c r="FD21" s="844">
        <f t="shared" si="35"/>
        <v>-72.364934915332341</v>
      </c>
      <c r="FE21" s="845">
        <f t="shared" si="36"/>
        <v>8681</v>
      </c>
      <c r="FF21" s="846">
        <f t="shared" si="37"/>
        <v>2399</v>
      </c>
      <c r="FH21" s="127">
        <f t="shared" si="38"/>
        <v>-689</v>
      </c>
    </row>
    <row r="22" spans="1:164" ht="15" customHeight="1" x14ac:dyDescent="0.25">
      <c r="A22" s="403" t="s">
        <v>404</v>
      </c>
      <c r="B22" s="883">
        <v>152</v>
      </c>
      <c r="C22" s="883">
        <v>2734</v>
      </c>
      <c r="D22" s="883">
        <v>10383</v>
      </c>
      <c r="E22" s="883">
        <v>132</v>
      </c>
      <c r="F22" s="883">
        <v>12323</v>
      </c>
      <c r="G22" s="883">
        <v>4693</v>
      </c>
      <c r="H22" s="883">
        <v>-3432</v>
      </c>
      <c r="I22" s="883">
        <v>1764</v>
      </c>
      <c r="J22" s="883">
        <v>317</v>
      </c>
      <c r="K22" s="883">
        <v>2317</v>
      </c>
      <c r="L22" s="883">
        <v>382</v>
      </c>
      <c r="M22" s="873">
        <v>9658</v>
      </c>
      <c r="N22" s="879">
        <f t="shared" si="22"/>
        <v>41423</v>
      </c>
      <c r="O22" s="883">
        <v>162</v>
      </c>
      <c r="P22" s="883">
        <v>329</v>
      </c>
      <c r="Q22" s="883">
        <v>1693</v>
      </c>
      <c r="R22" s="883">
        <v>445</v>
      </c>
      <c r="S22" s="883">
        <v>493</v>
      </c>
      <c r="T22" s="883">
        <v>12577</v>
      </c>
      <c r="U22" s="883">
        <v>13177</v>
      </c>
      <c r="V22" s="883">
        <v>113</v>
      </c>
      <c r="W22" s="883">
        <v>675</v>
      </c>
      <c r="X22" s="883">
        <v>-1915</v>
      </c>
      <c r="Y22" s="883">
        <v>137</v>
      </c>
      <c r="Z22" s="873">
        <v>2117</v>
      </c>
      <c r="AA22" s="879">
        <f t="shared" si="23"/>
        <v>30003</v>
      </c>
      <c r="AB22" s="883">
        <v>141</v>
      </c>
      <c r="AC22" s="883">
        <v>160</v>
      </c>
      <c r="AD22" s="883">
        <v>2487</v>
      </c>
      <c r="AE22" s="883">
        <v>1042</v>
      </c>
      <c r="AF22" s="883">
        <v>1160</v>
      </c>
      <c r="AG22" s="883">
        <v>1200</v>
      </c>
      <c r="AH22" s="883">
        <v>2508</v>
      </c>
      <c r="AI22" s="883">
        <v>1008</v>
      </c>
      <c r="AJ22" s="883">
        <v>1236</v>
      </c>
      <c r="AK22" s="883">
        <v>2942</v>
      </c>
      <c r="AL22" s="883">
        <v>2067</v>
      </c>
      <c r="AM22" s="873">
        <v>7551</v>
      </c>
      <c r="AN22" s="879">
        <f t="shared" si="24"/>
        <v>23502</v>
      </c>
      <c r="AO22" s="883">
        <v>172</v>
      </c>
      <c r="AP22" s="883">
        <v>1127</v>
      </c>
      <c r="AQ22" s="883">
        <v>691</v>
      </c>
      <c r="AR22" s="883">
        <v>238</v>
      </c>
      <c r="AS22" s="883">
        <v>950</v>
      </c>
      <c r="AT22" s="883">
        <v>1173</v>
      </c>
      <c r="AU22" s="883">
        <v>645</v>
      </c>
      <c r="AV22" s="883">
        <v>4171</v>
      </c>
      <c r="AW22" s="883">
        <v>2724</v>
      </c>
      <c r="AX22" s="883">
        <v>2550</v>
      </c>
      <c r="AY22" s="883">
        <v>4200</v>
      </c>
      <c r="AZ22" s="873">
        <v>1512</v>
      </c>
      <c r="BA22" s="879">
        <f t="shared" si="25"/>
        <v>20153</v>
      </c>
      <c r="BB22" s="883">
        <v>20501</v>
      </c>
      <c r="BC22" s="883">
        <v>7588</v>
      </c>
      <c r="BD22" s="883">
        <v>3997</v>
      </c>
      <c r="BE22" s="883">
        <v>57</v>
      </c>
      <c r="BF22" s="883">
        <v>15556</v>
      </c>
      <c r="BG22" s="883">
        <v>9840</v>
      </c>
      <c r="BH22" s="883">
        <v>13233</v>
      </c>
      <c r="BI22" s="883">
        <v>19702</v>
      </c>
      <c r="BJ22" s="883">
        <v>17499</v>
      </c>
      <c r="BK22" s="883">
        <v>38849</v>
      </c>
      <c r="BL22" s="883">
        <v>20071</v>
      </c>
      <c r="BM22" s="873">
        <v>26359</v>
      </c>
      <c r="BN22" s="879">
        <f t="shared" si="26"/>
        <v>193252</v>
      </c>
      <c r="BO22" s="883">
        <v>9356</v>
      </c>
      <c r="BP22" s="883">
        <v>1859</v>
      </c>
      <c r="BQ22" s="883">
        <v>1855</v>
      </c>
      <c r="BR22" s="883">
        <v>7761</v>
      </c>
      <c r="BS22" s="883">
        <v>1815</v>
      </c>
      <c r="BT22" s="883">
        <v>367</v>
      </c>
      <c r="BU22" s="883">
        <v>5243</v>
      </c>
      <c r="BV22" s="883">
        <v>10501</v>
      </c>
      <c r="BW22" s="883">
        <v>21487</v>
      </c>
      <c r="BX22" s="883">
        <v>11573</v>
      </c>
      <c r="BY22" s="883">
        <v>30554</v>
      </c>
      <c r="BZ22" s="873">
        <v>21995</v>
      </c>
      <c r="CA22" s="879">
        <f t="shared" si="27"/>
        <v>124366</v>
      </c>
      <c r="CB22" s="883">
        <v>1278</v>
      </c>
      <c r="CC22" s="883">
        <v>5466</v>
      </c>
      <c r="CD22" s="883">
        <v>4827</v>
      </c>
      <c r="CE22" s="883">
        <v>5428</v>
      </c>
      <c r="CF22" s="883">
        <v>4282</v>
      </c>
      <c r="CG22" s="883">
        <v>4253</v>
      </c>
      <c r="CH22" s="883">
        <v>24033</v>
      </c>
      <c r="CI22" s="883">
        <v>7116</v>
      </c>
      <c r="CJ22" s="883">
        <v>10398</v>
      </c>
      <c r="CK22" s="883">
        <v>5365</v>
      </c>
      <c r="CL22" s="883">
        <v>5511</v>
      </c>
      <c r="CM22" s="873">
        <v>39634</v>
      </c>
      <c r="CN22" s="879">
        <f t="shared" si="28"/>
        <v>117591</v>
      </c>
      <c r="CO22" s="883">
        <v>185</v>
      </c>
      <c r="CP22" s="883">
        <v>20247</v>
      </c>
      <c r="CQ22" s="883">
        <v>16360</v>
      </c>
      <c r="CR22" s="883">
        <v>8067</v>
      </c>
      <c r="CS22" s="883">
        <v>4435</v>
      </c>
      <c r="CT22" s="883">
        <v>7113</v>
      </c>
      <c r="CU22" s="883">
        <v>6908</v>
      </c>
      <c r="CV22" s="883">
        <v>7647</v>
      </c>
      <c r="CW22" s="883">
        <v>14258</v>
      </c>
      <c r="CX22" s="883">
        <v>9854</v>
      </c>
      <c r="CY22" s="883">
        <v>11591</v>
      </c>
      <c r="CZ22" s="873">
        <v>13957</v>
      </c>
      <c r="DA22" s="879">
        <f t="shared" si="29"/>
        <v>120622</v>
      </c>
      <c r="DB22" s="883">
        <v>724</v>
      </c>
      <c r="DC22" s="883">
        <v>5973</v>
      </c>
      <c r="DD22" s="883">
        <v>6596</v>
      </c>
      <c r="DE22" s="883">
        <v>4581</v>
      </c>
      <c r="DF22" s="883">
        <v>10192</v>
      </c>
      <c r="DG22" s="883">
        <v>20723</v>
      </c>
      <c r="DH22" s="883">
        <v>9504</v>
      </c>
      <c r="DI22" s="883">
        <v>15093</v>
      </c>
      <c r="DJ22" s="883">
        <v>18222</v>
      </c>
      <c r="DK22" s="883">
        <v>16048</v>
      </c>
      <c r="DL22" s="883">
        <v>17440</v>
      </c>
      <c r="DM22" s="873">
        <v>50720</v>
      </c>
      <c r="DN22" s="879">
        <f t="shared" si="30"/>
        <v>175816</v>
      </c>
      <c r="DO22" s="883">
        <v>3879</v>
      </c>
      <c r="DP22" s="883">
        <v>11842</v>
      </c>
      <c r="DQ22" s="883">
        <v>6013</v>
      </c>
      <c r="DR22" s="883">
        <v>14575</v>
      </c>
      <c r="DS22" s="883">
        <v>35738</v>
      </c>
      <c r="DT22" s="883">
        <v>9897</v>
      </c>
      <c r="DU22" s="883">
        <v>24998</v>
      </c>
      <c r="DV22" s="883">
        <v>45823</v>
      </c>
      <c r="DW22" s="883">
        <v>13927</v>
      </c>
      <c r="DX22" s="883">
        <v>33927</v>
      </c>
      <c r="DY22" s="883">
        <v>11142</v>
      </c>
      <c r="DZ22" s="873">
        <v>8293</v>
      </c>
      <c r="EA22" s="879">
        <f t="shared" si="31"/>
        <v>220054</v>
      </c>
      <c r="EB22" s="883">
        <v>2318</v>
      </c>
      <c r="EC22" s="883">
        <v>9909</v>
      </c>
      <c r="ED22" s="883">
        <v>6463</v>
      </c>
      <c r="EE22" s="883">
        <v>5709</v>
      </c>
      <c r="EF22" s="883">
        <v>9538</v>
      </c>
      <c r="EG22" s="883">
        <v>12955</v>
      </c>
      <c r="EH22" s="883">
        <v>2793</v>
      </c>
      <c r="EI22" s="883">
        <v>4814</v>
      </c>
      <c r="EJ22" s="883">
        <v>2986</v>
      </c>
      <c r="EK22" s="883">
        <v>5665</v>
      </c>
      <c r="EL22" s="883">
        <v>11764</v>
      </c>
      <c r="EM22" s="873">
        <v>12926</v>
      </c>
      <c r="EN22" s="879">
        <f t="shared" si="32"/>
        <v>87840</v>
      </c>
      <c r="EO22" s="883">
        <v>1991</v>
      </c>
      <c r="EP22" s="883">
        <v>42722</v>
      </c>
      <c r="EQ22" s="883">
        <v>4205</v>
      </c>
      <c r="ER22" s="883">
        <v>2893</v>
      </c>
      <c r="ES22" s="883">
        <v>6731</v>
      </c>
      <c r="ET22" s="883">
        <v>1460</v>
      </c>
      <c r="EU22" s="883">
        <v>4030</v>
      </c>
      <c r="EV22" s="973">
        <v>8755</v>
      </c>
      <c r="EW22" s="883"/>
      <c r="EX22" s="883"/>
      <c r="EY22" s="883"/>
      <c r="EZ22" s="873"/>
      <c r="FA22" s="879">
        <f t="shared" si="33"/>
        <v>72787</v>
      </c>
      <c r="FC22" s="843">
        <f t="shared" si="34"/>
        <v>81.865392604902382</v>
      </c>
      <c r="FD22" s="844">
        <f t="shared" si="35"/>
        <v>33.556579019798541</v>
      </c>
      <c r="FE22" s="845">
        <f t="shared" si="36"/>
        <v>54499</v>
      </c>
      <c r="FF22" s="846">
        <f t="shared" si="37"/>
        <v>72787</v>
      </c>
      <c r="FH22" s="127">
        <f t="shared" si="38"/>
        <v>3941</v>
      </c>
    </row>
    <row r="23" spans="1:164" ht="15" customHeight="1" x14ac:dyDescent="0.25">
      <c r="A23" s="403" t="s">
        <v>406</v>
      </c>
      <c r="B23" s="883"/>
      <c r="C23" s="883"/>
      <c r="D23" s="883"/>
      <c r="E23" s="883"/>
      <c r="F23" s="883">
        <v>108</v>
      </c>
      <c r="G23" s="883">
        <v>19</v>
      </c>
      <c r="H23" s="883">
        <v>87</v>
      </c>
      <c r="I23" s="883">
        <v>58</v>
      </c>
      <c r="J23" s="883">
        <v>185</v>
      </c>
      <c r="K23" s="883">
        <v>206</v>
      </c>
      <c r="L23" s="883">
        <v>608</v>
      </c>
      <c r="M23" s="873">
        <v>2091</v>
      </c>
      <c r="N23" s="879">
        <f t="shared" si="22"/>
        <v>3362</v>
      </c>
      <c r="O23" s="883">
        <v>19</v>
      </c>
      <c r="P23" s="883">
        <v>3</v>
      </c>
      <c r="Q23" s="883">
        <v>63</v>
      </c>
      <c r="R23" s="883"/>
      <c r="S23" s="883">
        <v>200</v>
      </c>
      <c r="T23" s="883">
        <v>76</v>
      </c>
      <c r="U23" s="883">
        <v>31</v>
      </c>
      <c r="V23" s="883">
        <v>16</v>
      </c>
      <c r="W23" s="883">
        <v>145</v>
      </c>
      <c r="X23" s="883">
        <v>162</v>
      </c>
      <c r="Y23" s="883">
        <v>250</v>
      </c>
      <c r="Z23" s="873">
        <v>715</v>
      </c>
      <c r="AA23" s="879">
        <f t="shared" si="23"/>
        <v>1680</v>
      </c>
      <c r="AB23" s="883"/>
      <c r="AC23" s="883">
        <v>15</v>
      </c>
      <c r="AD23" s="883">
        <v>19</v>
      </c>
      <c r="AE23" s="883"/>
      <c r="AF23" s="883">
        <v>24</v>
      </c>
      <c r="AG23" s="883">
        <v>2</v>
      </c>
      <c r="AH23" s="883"/>
      <c r="AI23" s="883">
        <v>10</v>
      </c>
      <c r="AJ23" s="883">
        <v>5</v>
      </c>
      <c r="AK23" s="883"/>
      <c r="AL23" s="883"/>
      <c r="AM23" s="873">
        <v>5</v>
      </c>
      <c r="AN23" s="879">
        <f t="shared" si="24"/>
        <v>80</v>
      </c>
      <c r="AO23" s="883"/>
      <c r="AP23" s="883"/>
      <c r="AQ23" s="883">
        <v>16</v>
      </c>
      <c r="AR23" s="883">
        <v>33</v>
      </c>
      <c r="AS23" s="883">
        <v>13</v>
      </c>
      <c r="AT23" s="883"/>
      <c r="AU23" s="883"/>
      <c r="AV23" s="883"/>
      <c r="AW23" s="883"/>
      <c r="AX23" s="883">
        <v>13</v>
      </c>
      <c r="AY23" s="883"/>
      <c r="AZ23" s="873">
        <v>1</v>
      </c>
      <c r="BA23" s="879">
        <f t="shared" si="25"/>
        <v>76</v>
      </c>
      <c r="BB23" s="883"/>
      <c r="BC23" s="883"/>
      <c r="BD23" s="883">
        <v>14</v>
      </c>
      <c r="BE23" s="883"/>
      <c r="BF23" s="883">
        <v>2</v>
      </c>
      <c r="BG23" s="883">
        <v>1</v>
      </c>
      <c r="BH23" s="883">
        <v>7</v>
      </c>
      <c r="BI23" s="883"/>
      <c r="BJ23" s="883">
        <v>20</v>
      </c>
      <c r="BK23" s="883">
        <v>15</v>
      </c>
      <c r="BL23" s="883">
        <v>11</v>
      </c>
      <c r="BM23" s="873">
        <v>56</v>
      </c>
      <c r="BN23" s="879">
        <f t="shared" si="26"/>
        <v>126</v>
      </c>
      <c r="BO23" s="883"/>
      <c r="BP23" s="883"/>
      <c r="BQ23" s="883"/>
      <c r="BR23" s="883"/>
      <c r="BS23" s="883"/>
      <c r="BT23" s="883">
        <v>3</v>
      </c>
      <c r="BU23" s="883">
        <v>18</v>
      </c>
      <c r="BV23" s="883">
        <v>2</v>
      </c>
      <c r="BW23" s="883">
        <v>1</v>
      </c>
      <c r="BX23" s="883">
        <v>223</v>
      </c>
      <c r="BY23" s="883">
        <v>911</v>
      </c>
      <c r="BZ23" s="873">
        <v>2537</v>
      </c>
      <c r="CA23" s="879">
        <f t="shared" si="27"/>
        <v>3695</v>
      </c>
      <c r="CB23" s="883"/>
      <c r="CC23" s="883"/>
      <c r="CD23" s="883"/>
      <c r="CE23" s="883">
        <v>976</v>
      </c>
      <c r="CF23" s="883">
        <v>5</v>
      </c>
      <c r="CG23" s="883">
        <v>79</v>
      </c>
      <c r="CH23" s="883">
        <v>281</v>
      </c>
      <c r="CI23" s="883"/>
      <c r="CJ23" s="883">
        <v>75</v>
      </c>
      <c r="CK23" s="883">
        <v>39</v>
      </c>
      <c r="CL23" s="883">
        <v>24</v>
      </c>
      <c r="CM23" s="873">
        <v>720</v>
      </c>
      <c r="CN23" s="879">
        <f t="shared" si="28"/>
        <v>2199</v>
      </c>
      <c r="CO23" s="883"/>
      <c r="CP23" s="883">
        <v>255</v>
      </c>
      <c r="CQ23" s="883">
        <v>41</v>
      </c>
      <c r="CR23" s="883">
        <v>485</v>
      </c>
      <c r="CS23" s="883">
        <v>1117</v>
      </c>
      <c r="CT23" s="883">
        <v>-734</v>
      </c>
      <c r="CU23" s="883">
        <v>187</v>
      </c>
      <c r="CV23" s="883">
        <v>508</v>
      </c>
      <c r="CW23" s="883">
        <v>235</v>
      </c>
      <c r="CX23" s="883">
        <v>352</v>
      </c>
      <c r="CY23" s="883">
        <v>179</v>
      </c>
      <c r="CZ23" s="873">
        <v>521</v>
      </c>
      <c r="DA23" s="879">
        <f t="shared" si="29"/>
        <v>3146</v>
      </c>
      <c r="DB23" s="883"/>
      <c r="DC23" s="883">
        <v>16</v>
      </c>
      <c r="DD23" s="883">
        <v>111</v>
      </c>
      <c r="DE23" s="883">
        <v>16</v>
      </c>
      <c r="DF23" s="883">
        <v>1365</v>
      </c>
      <c r="DG23" s="883">
        <v>2072</v>
      </c>
      <c r="DH23" s="883">
        <v>425</v>
      </c>
      <c r="DI23" s="883">
        <v>1765</v>
      </c>
      <c r="DJ23" s="883">
        <v>2966</v>
      </c>
      <c r="DK23" s="883">
        <v>3551</v>
      </c>
      <c r="DL23" s="883">
        <v>2462</v>
      </c>
      <c r="DM23" s="873">
        <v>4161</v>
      </c>
      <c r="DN23" s="879">
        <f t="shared" si="30"/>
        <v>18910</v>
      </c>
      <c r="DO23" s="883">
        <v>84</v>
      </c>
      <c r="DP23" s="883">
        <v>963</v>
      </c>
      <c r="DQ23" s="883">
        <v>1613</v>
      </c>
      <c r="DR23" s="883">
        <v>654</v>
      </c>
      <c r="DS23" s="883">
        <v>1092</v>
      </c>
      <c r="DT23" s="883">
        <v>1368</v>
      </c>
      <c r="DU23" s="883">
        <v>1078</v>
      </c>
      <c r="DV23" s="883">
        <v>432</v>
      </c>
      <c r="DW23" s="883">
        <v>1240</v>
      </c>
      <c r="DX23" s="883">
        <v>1126</v>
      </c>
      <c r="DY23" s="883">
        <v>1980</v>
      </c>
      <c r="DZ23" s="873">
        <v>-690</v>
      </c>
      <c r="EA23" s="879">
        <f t="shared" si="31"/>
        <v>10940</v>
      </c>
      <c r="EB23" s="883">
        <v>0</v>
      </c>
      <c r="EC23" s="883">
        <v>727</v>
      </c>
      <c r="ED23" s="883">
        <v>713</v>
      </c>
      <c r="EE23" s="883">
        <v>980</v>
      </c>
      <c r="EF23" s="883">
        <v>385</v>
      </c>
      <c r="EG23" s="883">
        <v>228</v>
      </c>
      <c r="EH23" s="883">
        <v>698</v>
      </c>
      <c r="EI23" s="883">
        <v>205</v>
      </c>
      <c r="EJ23" s="883">
        <v>319</v>
      </c>
      <c r="EK23" s="883">
        <v>46</v>
      </c>
      <c r="EL23" s="883">
        <v>53</v>
      </c>
      <c r="EM23" s="873">
        <v>1317</v>
      </c>
      <c r="EN23" s="879">
        <f t="shared" si="32"/>
        <v>5671</v>
      </c>
      <c r="EO23" s="883">
        <v>0</v>
      </c>
      <c r="EP23" s="883">
        <v>0</v>
      </c>
      <c r="EQ23" s="883">
        <v>0</v>
      </c>
      <c r="ER23" s="883">
        <v>622</v>
      </c>
      <c r="ES23" s="883">
        <v>108</v>
      </c>
      <c r="ET23" s="883">
        <v>591</v>
      </c>
      <c r="EU23" s="883">
        <v>364</v>
      </c>
      <c r="EV23" s="973">
        <v>69</v>
      </c>
      <c r="EW23" s="883"/>
      <c r="EX23" s="883"/>
      <c r="EY23" s="883"/>
      <c r="EZ23" s="873"/>
      <c r="FA23" s="879">
        <f t="shared" si="33"/>
        <v>1754</v>
      </c>
      <c r="FC23" s="843">
        <f t="shared" si="34"/>
        <v>-66.341463414634134</v>
      </c>
      <c r="FD23" s="844">
        <f t="shared" si="35"/>
        <v>-55.436991869918707</v>
      </c>
      <c r="FE23" s="845">
        <f t="shared" si="36"/>
        <v>3936</v>
      </c>
      <c r="FF23" s="846">
        <f t="shared" si="37"/>
        <v>1754</v>
      </c>
      <c r="FH23" s="127">
        <f t="shared" si="38"/>
        <v>-136</v>
      </c>
    </row>
    <row r="24" spans="1:164" ht="15" customHeight="1" x14ac:dyDescent="0.25">
      <c r="A24" s="403" t="s">
        <v>664</v>
      </c>
      <c r="B24" s="883"/>
      <c r="C24" s="883">
        <v>2308</v>
      </c>
      <c r="D24" s="883">
        <v>6311</v>
      </c>
      <c r="E24" s="883">
        <v>-358</v>
      </c>
      <c r="F24" s="883">
        <v>1962</v>
      </c>
      <c r="G24" s="883">
        <v>2844</v>
      </c>
      <c r="H24" s="883">
        <v>608</v>
      </c>
      <c r="I24" s="883">
        <v>2152</v>
      </c>
      <c r="J24" s="883">
        <v>836</v>
      </c>
      <c r="K24" s="883">
        <v>1138</v>
      </c>
      <c r="L24" s="883">
        <v>17</v>
      </c>
      <c r="M24" s="873">
        <v>1804</v>
      </c>
      <c r="N24" s="879">
        <f t="shared" si="22"/>
        <v>19622</v>
      </c>
      <c r="O24" s="883">
        <v>138</v>
      </c>
      <c r="P24" s="883">
        <v>655</v>
      </c>
      <c r="Q24" s="883">
        <v>178</v>
      </c>
      <c r="R24" s="883">
        <v>124</v>
      </c>
      <c r="S24" s="883">
        <v>322</v>
      </c>
      <c r="T24" s="883">
        <v>1892</v>
      </c>
      <c r="U24" s="883">
        <v>174</v>
      </c>
      <c r="V24" s="883">
        <v>57</v>
      </c>
      <c r="W24" s="883">
        <v>650</v>
      </c>
      <c r="X24" s="883">
        <v>112</v>
      </c>
      <c r="Y24" s="883">
        <v>253</v>
      </c>
      <c r="Z24" s="873">
        <v>7257</v>
      </c>
      <c r="AA24" s="879">
        <f t="shared" si="23"/>
        <v>11812</v>
      </c>
      <c r="AB24" s="883"/>
      <c r="AC24" s="883">
        <v>607</v>
      </c>
      <c r="AD24" s="883">
        <v>802</v>
      </c>
      <c r="AE24" s="883">
        <v>895</v>
      </c>
      <c r="AF24" s="883">
        <v>1025</v>
      </c>
      <c r="AG24" s="883">
        <v>1689</v>
      </c>
      <c r="AH24" s="883">
        <v>690</v>
      </c>
      <c r="AI24" s="883">
        <v>2498</v>
      </c>
      <c r="AJ24" s="883">
        <v>2265</v>
      </c>
      <c r="AK24" s="883">
        <v>1372</v>
      </c>
      <c r="AL24" s="883">
        <v>2258</v>
      </c>
      <c r="AM24" s="873">
        <v>9212</v>
      </c>
      <c r="AN24" s="879">
        <f t="shared" si="24"/>
        <v>23313</v>
      </c>
      <c r="AO24" s="883"/>
      <c r="AP24" s="883">
        <v>315</v>
      </c>
      <c r="AQ24" s="883">
        <v>772</v>
      </c>
      <c r="AR24" s="883">
        <v>1167</v>
      </c>
      <c r="AS24" s="883">
        <v>1120</v>
      </c>
      <c r="AT24" s="883">
        <v>1891</v>
      </c>
      <c r="AU24" s="883">
        <v>1095</v>
      </c>
      <c r="AV24" s="883">
        <v>1142</v>
      </c>
      <c r="AW24" s="883">
        <v>1109</v>
      </c>
      <c r="AX24" s="883">
        <v>1136</v>
      </c>
      <c r="AY24" s="883">
        <v>1016</v>
      </c>
      <c r="AZ24" s="873">
        <v>1546</v>
      </c>
      <c r="BA24" s="879">
        <f t="shared" si="25"/>
        <v>12309</v>
      </c>
      <c r="BB24" s="883">
        <v>16</v>
      </c>
      <c r="BC24" s="883">
        <v>737</v>
      </c>
      <c r="BD24" s="883">
        <v>270</v>
      </c>
      <c r="BE24" s="883">
        <v>8</v>
      </c>
      <c r="BF24" s="883">
        <v>364</v>
      </c>
      <c r="BG24" s="883">
        <v>15</v>
      </c>
      <c r="BH24" s="883">
        <v>19</v>
      </c>
      <c r="BI24" s="883"/>
      <c r="BJ24" s="883"/>
      <c r="BK24" s="883">
        <v>1338</v>
      </c>
      <c r="BL24" s="883">
        <v>113</v>
      </c>
      <c r="BM24" s="873">
        <v>8</v>
      </c>
      <c r="BN24" s="879">
        <f t="shared" si="26"/>
        <v>2888</v>
      </c>
      <c r="BO24" s="883"/>
      <c r="BP24" s="883"/>
      <c r="BQ24" s="883"/>
      <c r="BR24" s="883">
        <v>33</v>
      </c>
      <c r="BS24" s="883"/>
      <c r="BT24" s="883"/>
      <c r="BU24" s="883"/>
      <c r="BV24" s="883"/>
      <c r="BW24" s="883"/>
      <c r="BX24" s="883"/>
      <c r="BY24" s="883">
        <v>78</v>
      </c>
      <c r="BZ24" s="873">
        <v>33</v>
      </c>
      <c r="CA24" s="879">
        <f t="shared" si="27"/>
        <v>144</v>
      </c>
      <c r="CB24" s="883"/>
      <c r="CC24" s="883"/>
      <c r="CD24" s="883"/>
      <c r="CE24" s="883"/>
      <c r="CF24" s="883"/>
      <c r="CG24" s="883">
        <v>103</v>
      </c>
      <c r="CH24" s="883">
        <v>-68</v>
      </c>
      <c r="CI24" s="883">
        <v>19</v>
      </c>
      <c r="CJ24" s="883">
        <v>197</v>
      </c>
      <c r="CK24" s="883">
        <v>40</v>
      </c>
      <c r="CL24" s="883"/>
      <c r="CM24" s="873">
        <v>589</v>
      </c>
      <c r="CN24" s="879">
        <f t="shared" si="28"/>
        <v>880</v>
      </c>
      <c r="CO24" s="883"/>
      <c r="CP24" s="883">
        <v>950</v>
      </c>
      <c r="CQ24" s="883">
        <v>733</v>
      </c>
      <c r="CR24" s="883">
        <v>397</v>
      </c>
      <c r="CS24" s="883">
        <v>558</v>
      </c>
      <c r="CT24" s="883">
        <v>238</v>
      </c>
      <c r="CU24" s="883">
        <v>227</v>
      </c>
      <c r="CV24" s="883">
        <v>235</v>
      </c>
      <c r="CW24" s="883">
        <v>343</v>
      </c>
      <c r="CX24" s="883">
        <v>539</v>
      </c>
      <c r="CY24" s="883">
        <v>588</v>
      </c>
      <c r="CZ24" s="873">
        <v>451</v>
      </c>
      <c r="DA24" s="879">
        <f t="shared" si="29"/>
        <v>5259</v>
      </c>
      <c r="DB24" s="883"/>
      <c r="DC24" s="883"/>
      <c r="DD24" s="883"/>
      <c r="DE24" s="883">
        <v>18</v>
      </c>
      <c r="DF24" s="883">
        <v>67</v>
      </c>
      <c r="DG24" s="883">
        <v>654</v>
      </c>
      <c r="DH24" s="883">
        <v>325</v>
      </c>
      <c r="DI24" s="883">
        <v>42</v>
      </c>
      <c r="DJ24" s="883">
        <v>363</v>
      </c>
      <c r="DK24" s="883">
        <v>-230</v>
      </c>
      <c r="DL24" s="883">
        <v>234</v>
      </c>
      <c r="DM24" s="873">
        <v>99</v>
      </c>
      <c r="DN24" s="879">
        <f t="shared" si="30"/>
        <v>1572</v>
      </c>
      <c r="DO24" s="883"/>
      <c r="DP24" s="883"/>
      <c r="DQ24" s="883">
        <v>38</v>
      </c>
      <c r="DR24" s="883">
        <v>437</v>
      </c>
      <c r="DS24" s="883">
        <v>626</v>
      </c>
      <c r="DT24" s="883">
        <v>629</v>
      </c>
      <c r="DU24" s="883">
        <v>540</v>
      </c>
      <c r="DV24" s="883">
        <v>206</v>
      </c>
      <c r="DW24" s="883">
        <v>383</v>
      </c>
      <c r="DX24" s="883">
        <v>1275</v>
      </c>
      <c r="DY24" s="883">
        <v>38</v>
      </c>
      <c r="DZ24" s="873">
        <v>565</v>
      </c>
      <c r="EA24" s="879">
        <f t="shared" si="31"/>
        <v>4737</v>
      </c>
      <c r="EB24" s="883">
        <v>0</v>
      </c>
      <c r="EC24" s="883">
        <v>0</v>
      </c>
      <c r="ED24" s="883">
        <v>208</v>
      </c>
      <c r="EE24" s="883">
        <v>263</v>
      </c>
      <c r="EF24" s="883">
        <v>326</v>
      </c>
      <c r="EG24" s="883">
        <v>188</v>
      </c>
      <c r="EH24" s="883">
        <v>120</v>
      </c>
      <c r="EI24" s="883">
        <v>486</v>
      </c>
      <c r="EJ24" s="883">
        <v>412</v>
      </c>
      <c r="EK24" s="883">
        <v>485</v>
      </c>
      <c r="EL24" s="883">
        <v>438</v>
      </c>
      <c r="EM24" s="873">
        <v>1141</v>
      </c>
      <c r="EN24" s="879">
        <f t="shared" si="32"/>
        <v>4067</v>
      </c>
      <c r="EO24" s="883">
        <v>0</v>
      </c>
      <c r="EP24" s="883">
        <v>0</v>
      </c>
      <c r="EQ24" s="883">
        <v>123</v>
      </c>
      <c r="ER24" s="883">
        <v>141</v>
      </c>
      <c r="ES24" s="883">
        <v>196</v>
      </c>
      <c r="ET24" s="883">
        <v>190</v>
      </c>
      <c r="EU24" s="883">
        <v>201</v>
      </c>
      <c r="EV24" s="973">
        <v>130</v>
      </c>
      <c r="EW24" s="883"/>
      <c r="EX24" s="883"/>
      <c r="EY24" s="883"/>
      <c r="EZ24" s="873"/>
      <c r="FA24" s="879">
        <f t="shared" si="33"/>
        <v>981</v>
      </c>
      <c r="FC24" s="843">
        <f t="shared" si="34"/>
        <v>-73.251028806584358</v>
      </c>
      <c r="FD24" s="844">
        <f t="shared" si="35"/>
        <v>-38.340666247642993</v>
      </c>
      <c r="FE24" s="845">
        <f t="shared" si="36"/>
        <v>1591</v>
      </c>
      <c r="FF24" s="846">
        <f t="shared" si="37"/>
        <v>981</v>
      </c>
      <c r="FH24" s="127">
        <f t="shared" si="38"/>
        <v>-356</v>
      </c>
    </row>
    <row r="25" spans="1:164" ht="15" customHeight="1" x14ac:dyDescent="0.25">
      <c r="A25" s="403" t="s">
        <v>469</v>
      </c>
      <c r="B25" s="883"/>
      <c r="C25" s="883"/>
      <c r="D25" s="883"/>
      <c r="E25" s="883"/>
      <c r="F25" s="883"/>
      <c r="G25" s="883"/>
      <c r="H25" s="883"/>
      <c r="I25" s="883">
        <v>26</v>
      </c>
      <c r="J25" s="883"/>
      <c r="K25" s="883"/>
      <c r="L25" s="883"/>
      <c r="M25" s="873">
        <v>32</v>
      </c>
      <c r="N25" s="879">
        <f t="shared" si="22"/>
        <v>58</v>
      </c>
      <c r="O25" s="883"/>
      <c r="P25" s="883"/>
      <c r="Q25" s="883">
        <v>120</v>
      </c>
      <c r="R25" s="883"/>
      <c r="S25" s="883"/>
      <c r="T25" s="883"/>
      <c r="U25" s="883"/>
      <c r="V25" s="883"/>
      <c r="W25" s="883"/>
      <c r="X25" s="883">
        <v>16</v>
      </c>
      <c r="Y25" s="883">
        <v>17</v>
      </c>
      <c r="Z25" s="873">
        <v>10</v>
      </c>
      <c r="AA25" s="879">
        <f t="shared" si="23"/>
        <v>163</v>
      </c>
      <c r="AB25" s="883"/>
      <c r="AC25" s="883"/>
      <c r="AD25" s="883"/>
      <c r="AE25" s="883"/>
      <c r="AF25" s="883"/>
      <c r="AG25" s="883"/>
      <c r="AH25" s="883"/>
      <c r="AI25" s="883"/>
      <c r="AJ25" s="883"/>
      <c r="AK25" s="883"/>
      <c r="AL25" s="883"/>
      <c r="AM25" s="873"/>
      <c r="AN25" s="879">
        <f t="shared" si="24"/>
        <v>0</v>
      </c>
      <c r="AO25" s="883"/>
      <c r="AP25" s="883"/>
      <c r="AQ25" s="883"/>
      <c r="AR25" s="883"/>
      <c r="AS25" s="883"/>
      <c r="AT25" s="883"/>
      <c r="AU25" s="883"/>
      <c r="AV25" s="883"/>
      <c r="AW25" s="883"/>
      <c r="AX25" s="883"/>
      <c r="AY25" s="883">
        <v>8</v>
      </c>
      <c r="AZ25" s="873">
        <v>21</v>
      </c>
      <c r="BA25" s="879">
        <f t="shared" si="25"/>
        <v>29</v>
      </c>
      <c r="BB25" s="883"/>
      <c r="BC25" s="883"/>
      <c r="BD25" s="883"/>
      <c r="BE25" s="883"/>
      <c r="BF25" s="883"/>
      <c r="BG25" s="883"/>
      <c r="BH25" s="883"/>
      <c r="BI25" s="883">
        <v>11</v>
      </c>
      <c r="BJ25" s="883"/>
      <c r="BK25" s="883"/>
      <c r="BL25" s="883"/>
      <c r="BM25" s="873"/>
      <c r="BN25" s="879">
        <f t="shared" si="26"/>
        <v>11</v>
      </c>
      <c r="BO25" s="883"/>
      <c r="BP25" s="883"/>
      <c r="BQ25" s="883"/>
      <c r="BR25" s="883"/>
      <c r="BS25" s="883"/>
      <c r="BT25" s="883"/>
      <c r="BU25" s="883"/>
      <c r="BV25" s="883"/>
      <c r="BW25" s="883"/>
      <c r="BX25" s="883"/>
      <c r="BY25" s="883"/>
      <c r="BZ25" s="873"/>
      <c r="CA25" s="879">
        <f t="shared" si="27"/>
        <v>0</v>
      </c>
      <c r="CB25" s="883"/>
      <c r="CC25" s="883"/>
      <c r="CD25" s="883"/>
      <c r="CE25" s="883"/>
      <c r="CF25" s="883"/>
      <c r="CG25" s="883"/>
      <c r="CH25" s="883"/>
      <c r="CI25" s="883"/>
      <c r="CJ25" s="883"/>
      <c r="CK25" s="883"/>
      <c r="CL25" s="883"/>
      <c r="CM25" s="873">
        <v>10</v>
      </c>
      <c r="CN25" s="879">
        <f t="shared" si="28"/>
        <v>10</v>
      </c>
      <c r="CO25" s="883"/>
      <c r="CP25" s="883"/>
      <c r="CQ25" s="883"/>
      <c r="CR25" s="883"/>
      <c r="CS25" s="883"/>
      <c r="CT25" s="883"/>
      <c r="CU25" s="883"/>
      <c r="CV25" s="883"/>
      <c r="CW25" s="883"/>
      <c r="CX25" s="883"/>
      <c r="CY25" s="883"/>
      <c r="CZ25" s="873"/>
      <c r="DA25" s="879">
        <f t="shared" si="29"/>
        <v>0</v>
      </c>
      <c r="DB25" s="883"/>
      <c r="DC25" s="883"/>
      <c r="DD25" s="883"/>
      <c r="DE25" s="883"/>
      <c r="DF25" s="883"/>
      <c r="DG25" s="883"/>
      <c r="DH25" s="883"/>
      <c r="DI25" s="883"/>
      <c r="DJ25" s="883"/>
      <c r="DK25" s="883"/>
      <c r="DL25" s="883">
        <v>13</v>
      </c>
      <c r="DM25" s="873"/>
      <c r="DN25" s="879">
        <f t="shared" si="30"/>
        <v>13</v>
      </c>
      <c r="DO25" s="883"/>
      <c r="DP25" s="883"/>
      <c r="DQ25" s="883"/>
      <c r="DR25" s="883"/>
      <c r="DS25" s="883"/>
      <c r="DT25" s="883"/>
      <c r="DU25" s="883"/>
      <c r="DV25" s="883"/>
      <c r="DW25" s="883">
        <v>20</v>
      </c>
      <c r="DX25" s="883"/>
      <c r="DY25" s="883">
        <v>5</v>
      </c>
      <c r="DZ25" s="873"/>
      <c r="EA25" s="879">
        <f t="shared" si="31"/>
        <v>25</v>
      </c>
      <c r="EB25" s="883">
        <v>0</v>
      </c>
      <c r="EC25" s="883">
        <v>0</v>
      </c>
      <c r="ED25" s="883">
        <v>0</v>
      </c>
      <c r="EE25" s="883">
        <v>0</v>
      </c>
      <c r="EF25" s="883">
        <v>0</v>
      </c>
      <c r="EG25" s="883">
        <v>0</v>
      </c>
      <c r="EH25" s="883">
        <v>0</v>
      </c>
      <c r="EI25" s="883">
        <v>0</v>
      </c>
      <c r="EJ25" s="883">
        <v>0</v>
      </c>
      <c r="EK25" s="883">
        <v>0</v>
      </c>
      <c r="EL25" s="883">
        <v>0</v>
      </c>
      <c r="EM25" s="873">
        <v>0</v>
      </c>
      <c r="EN25" s="879">
        <f t="shared" si="32"/>
        <v>0</v>
      </c>
      <c r="EO25" s="883">
        <v>0</v>
      </c>
      <c r="EP25" s="883">
        <v>0</v>
      </c>
      <c r="EQ25" s="883">
        <v>0</v>
      </c>
      <c r="ER25" s="883">
        <v>0</v>
      </c>
      <c r="ES25" s="883">
        <v>0</v>
      </c>
      <c r="ET25" s="883">
        <v>0</v>
      </c>
      <c r="EU25" s="883">
        <v>0</v>
      </c>
      <c r="EV25" s="973">
        <v>0</v>
      </c>
      <c r="EW25" s="883"/>
      <c r="EX25" s="883"/>
      <c r="EY25" s="883"/>
      <c r="EZ25" s="873"/>
      <c r="FA25" s="879">
        <f t="shared" si="33"/>
        <v>0</v>
      </c>
      <c r="FC25" s="843" t="str">
        <f t="shared" si="34"/>
        <v/>
      </c>
      <c r="FD25" s="844" t="str">
        <f t="shared" si="35"/>
        <v/>
      </c>
      <c r="FE25" s="845">
        <f t="shared" si="36"/>
        <v>0</v>
      </c>
      <c r="FF25" s="846">
        <f t="shared" si="37"/>
        <v>0</v>
      </c>
      <c r="FH25" s="127">
        <f t="shared" si="38"/>
        <v>0</v>
      </c>
    </row>
    <row r="26" spans="1:164" ht="15" customHeight="1" x14ac:dyDescent="0.25">
      <c r="A26" s="403" t="s">
        <v>396</v>
      </c>
      <c r="B26" s="883"/>
      <c r="C26" s="883"/>
      <c r="D26" s="883">
        <v>93</v>
      </c>
      <c r="E26" s="883">
        <v>149</v>
      </c>
      <c r="F26" s="883">
        <v>91</v>
      </c>
      <c r="G26" s="883">
        <v>81</v>
      </c>
      <c r="H26" s="883">
        <v>126</v>
      </c>
      <c r="I26" s="883">
        <v>81</v>
      </c>
      <c r="J26" s="883">
        <v>60</v>
      </c>
      <c r="K26" s="883">
        <v>53</v>
      </c>
      <c r="L26" s="883"/>
      <c r="M26" s="873">
        <v>-13</v>
      </c>
      <c r="N26" s="879">
        <f t="shared" si="22"/>
        <v>721</v>
      </c>
      <c r="O26" s="883">
        <v>76</v>
      </c>
      <c r="P26" s="883">
        <v>162</v>
      </c>
      <c r="Q26" s="883">
        <v>169</v>
      </c>
      <c r="R26" s="883">
        <v>57</v>
      </c>
      <c r="S26" s="883">
        <v>34</v>
      </c>
      <c r="T26" s="883"/>
      <c r="U26" s="883">
        <v>187</v>
      </c>
      <c r="V26" s="883">
        <v>-187</v>
      </c>
      <c r="W26" s="883">
        <v>953</v>
      </c>
      <c r="X26" s="883">
        <v>107</v>
      </c>
      <c r="Y26" s="883">
        <v>355</v>
      </c>
      <c r="Z26" s="873">
        <v>187</v>
      </c>
      <c r="AA26" s="879">
        <f t="shared" si="23"/>
        <v>2100</v>
      </c>
      <c r="AB26" s="883"/>
      <c r="AC26" s="883">
        <v>147</v>
      </c>
      <c r="AD26" s="883">
        <v>116</v>
      </c>
      <c r="AE26" s="883">
        <v>58</v>
      </c>
      <c r="AF26" s="883">
        <v>82</v>
      </c>
      <c r="AG26" s="883">
        <v>21</v>
      </c>
      <c r="AH26" s="883">
        <v>55</v>
      </c>
      <c r="AI26" s="883">
        <v>37</v>
      </c>
      <c r="AJ26" s="883">
        <v>20</v>
      </c>
      <c r="AK26" s="883">
        <v>79</v>
      </c>
      <c r="AL26" s="883">
        <v>24</v>
      </c>
      <c r="AM26" s="873">
        <v>126</v>
      </c>
      <c r="AN26" s="879">
        <f t="shared" si="24"/>
        <v>765</v>
      </c>
      <c r="AO26" s="883"/>
      <c r="AP26" s="883"/>
      <c r="AQ26" s="883">
        <v>62</v>
      </c>
      <c r="AR26" s="883">
        <v>46</v>
      </c>
      <c r="AS26" s="883">
        <v>28</v>
      </c>
      <c r="AT26" s="883">
        <v>267</v>
      </c>
      <c r="AU26" s="883">
        <v>361</v>
      </c>
      <c r="AV26" s="883">
        <v>1448</v>
      </c>
      <c r="AW26" s="883">
        <v>762</v>
      </c>
      <c r="AX26" s="883">
        <v>171</v>
      </c>
      <c r="AY26" s="883">
        <v>34</v>
      </c>
      <c r="AZ26" s="873">
        <v>212</v>
      </c>
      <c r="BA26" s="879">
        <f t="shared" si="25"/>
        <v>3391</v>
      </c>
      <c r="BB26" s="883"/>
      <c r="BC26" s="883"/>
      <c r="BD26" s="883">
        <v>15</v>
      </c>
      <c r="BE26" s="883">
        <v>82</v>
      </c>
      <c r="BF26" s="883">
        <v>37</v>
      </c>
      <c r="BG26" s="883">
        <v>109</v>
      </c>
      <c r="BH26" s="883">
        <v>291</v>
      </c>
      <c r="BI26" s="883">
        <v>238</v>
      </c>
      <c r="BJ26" s="883">
        <v>35</v>
      </c>
      <c r="BK26" s="883">
        <v>327</v>
      </c>
      <c r="BL26" s="883">
        <v>96</v>
      </c>
      <c r="BM26" s="873">
        <v>253</v>
      </c>
      <c r="BN26" s="879">
        <f t="shared" si="26"/>
        <v>1483</v>
      </c>
      <c r="BO26" s="883"/>
      <c r="BP26" s="883">
        <v>86</v>
      </c>
      <c r="BQ26" s="883">
        <v>51</v>
      </c>
      <c r="BR26" s="883">
        <v>23</v>
      </c>
      <c r="BS26" s="883">
        <v>46</v>
      </c>
      <c r="BT26" s="883">
        <v>26</v>
      </c>
      <c r="BU26" s="883">
        <v>128</v>
      </c>
      <c r="BV26" s="883">
        <v>10</v>
      </c>
      <c r="BW26" s="883">
        <v>117</v>
      </c>
      <c r="BX26" s="883">
        <v>67</v>
      </c>
      <c r="BY26" s="883">
        <v>186</v>
      </c>
      <c r="BZ26" s="873">
        <v>774</v>
      </c>
      <c r="CA26" s="879">
        <f t="shared" si="27"/>
        <v>1514</v>
      </c>
      <c r="CB26" s="883"/>
      <c r="CC26" s="883">
        <v>19</v>
      </c>
      <c r="CD26" s="883">
        <v>201</v>
      </c>
      <c r="CE26" s="883">
        <v>39</v>
      </c>
      <c r="CF26" s="883">
        <v>121</v>
      </c>
      <c r="CG26" s="883">
        <v>121</v>
      </c>
      <c r="CH26" s="883">
        <v>65</v>
      </c>
      <c r="CI26" s="883">
        <v>119</v>
      </c>
      <c r="CJ26" s="883">
        <v>236</v>
      </c>
      <c r="CK26" s="883">
        <v>325</v>
      </c>
      <c r="CL26" s="883">
        <v>179</v>
      </c>
      <c r="CM26" s="873">
        <v>681</v>
      </c>
      <c r="CN26" s="879">
        <f t="shared" si="28"/>
        <v>2106</v>
      </c>
      <c r="CO26" s="883"/>
      <c r="CP26" s="883"/>
      <c r="CQ26" s="883">
        <v>81</v>
      </c>
      <c r="CR26" s="883">
        <v>54</v>
      </c>
      <c r="CS26" s="883">
        <v>124</v>
      </c>
      <c r="CT26" s="883">
        <v>94</v>
      </c>
      <c r="CU26" s="883">
        <v>259</v>
      </c>
      <c r="CV26" s="883">
        <v>381</v>
      </c>
      <c r="CW26" s="883">
        <v>698</v>
      </c>
      <c r="CX26" s="883">
        <v>208</v>
      </c>
      <c r="CY26" s="883">
        <v>192</v>
      </c>
      <c r="CZ26" s="873">
        <v>641</v>
      </c>
      <c r="DA26" s="879">
        <f t="shared" si="29"/>
        <v>2732</v>
      </c>
      <c r="DB26" s="883"/>
      <c r="DC26" s="883">
        <v>32</v>
      </c>
      <c r="DD26" s="883">
        <v>38</v>
      </c>
      <c r="DE26" s="883">
        <v>67</v>
      </c>
      <c r="DF26" s="883">
        <v>57</v>
      </c>
      <c r="DG26" s="883">
        <v>117</v>
      </c>
      <c r="DH26" s="883">
        <v>328</v>
      </c>
      <c r="DI26" s="883">
        <v>223</v>
      </c>
      <c r="DJ26" s="883">
        <v>201</v>
      </c>
      <c r="DK26" s="883">
        <v>354</v>
      </c>
      <c r="DL26" s="883">
        <v>562</v>
      </c>
      <c r="DM26" s="873">
        <v>967</v>
      </c>
      <c r="DN26" s="879">
        <f t="shared" si="30"/>
        <v>2946</v>
      </c>
      <c r="DO26" s="883"/>
      <c r="DP26" s="883">
        <v>19</v>
      </c>
      <c r="DQ26" s="883">
        <v>56</v>
      </c>
      <c r="DR26" s="883">
        <v>1</v>
      </c>
      <c r="DS26" s="883">
        <v>57</v>
      </c>
      <c r="DT26" s="883">
        <v>10</v>
      </c>
      <c r="DU26" s="883">
        <v>13</v>
      </c>
      <c r="DV26" s="883"/>
      <c r="DW26" s="883">
        <v>27</v>
      </c>
      <c r="DX26" s="883">
        <v>43</v>
      </c>
      <c r="DY26" s="883">
        <v>10</v>
      </c>
      <c r="DZ26" s="873">
        <v>412</v>
      </c>
      <c r="EA26" s="879">
        <f t="shared" si="31"/>
        <v>648</v>
      </c>
      <c r="EB26" s="883">
        <v>0</v>
      </c>
      <c r="EC26" s="883">
        <v>0</v>
      </c>
      <c r="ED26" s="883">
        <v>12</v>
      </c>
      <c r="EE26" s="883">
        <v>36</v>
      </c>
      <c r="EF26" s="883">
        <v>21</v>
      </c>
      <c r="EG26" s="883">
        <v>80</v>
      </c>
      <c r="EH26" s="883">
        <v>40</v>
      </c>
      <c r="EI26" s="883">
        <v>495</v>
      </c>
      <c r="EJ26" s="883">
        <v>127</v>
      </c>
      <c r="EK26" s="883">
        <v>95</v>
      </c>
      <c r="EL26" s="883">
        <v>98</v>
      </c>
      <c r="EM26" s="873">
        <v>196</v>
      </c>
      <c r="EN26" s="879">
        <f t="shared" si="32"/>
        <v>1200</v>
      </c>
      <c r="EO26" s="883">
        <v>0</v>
      </c>
      <c r="EP26" s="883">
        <v>0</v>
      </c>
      <c r="EQ26" s="883">
        <v>1285</v>
      </c>
      <c r="ER26" s="883">
        <v>781</v>
      </c>
      <c r="ES26" s="883">
        <v>10</v>
      </c>
      <c r="ET26" s="883">
        <v>123</v>
      </c>
      <c r="EU26" s="883">
        <v>241</v>
      </c>
      <c r="EV26" s="973">
        <v>288</v>
      </c>
      <c r="EW26" s="883"/>
      <c r="EX26" s="883"/>
      <c r="EY26" s="883"/>
      <c r="EZ26" s="873"/>
      <c r="FA26" s="879">
        <f t="shared" si="33"/>
        <v>2728</v>
      </c>
      <c r="FC26" s="843">
        <f t="shared" si="34"/>
        <v>-41.81818181818182</v>
      </c>
      <c r="FD26" s="844">
        <f t="shared" si="35"/>
        <v>298.83040935672517</v>
      </c>
      <c r="FE26" s="845">
        <f t="shared" si="36"/>
        <v>684</v>
      </c>
      <c r="FF26" s="846">
        <f t="shared" si="37"/>
        <v>2728</v>
      </c>
      <c r="FH26" s="127">
        <f t="shared" si="38"/>
        <v>-207</v>
      </c>
    </row>
    <row r="27" spans="1:164" ht="15" customHeight="1" x14ac:dyDescent="0.25">
      <c r="A27" s="403" t="s">
        <v>405</v>
      </c>
      <c r="B27" s="883"/>
      <c r="C27" s="883"/>
      <c r="D27" s="883"/>
      <c r="E27" s="883"/>
      <c r="F27" s="883">
        <v>9</v>
      </c>
      <c r="G27" s="883"/>
      <c r="H27" s="883">
        <v>5</v>
      </c>
      <c r="I27" s="883"/>
      <c r="J27" s="883"/>
      <c r="K27" s="883"/>
      <c r="L27" s="883"/>
      <c r="M27" s="873"/>
      <c r="N27" s="879">
        <f t="shared" si="22"/>
        <v>14</v>
      </c>
      <c r="O27" s="883"/>
      <c r="P27" s="883"/>
      <c r="Q27" s="883"/>
      <c r="R27" s="883"/>
      <c r="S27" s="883">
        <v>11</v>
      </c>
      <c r="T27" s="883"/>
      <c r="U27" s="883"/>
      <c r="V27" s="883"/>
      <c r="W27" s="883"/>
      <c r="X27" s="883"/>
      <c r="Y27" s="883"/>
      <c r="Z27" s="873">
        <v>12</v>
      </c>
      <c r="AA27" s="879">
        <f t="shared" si="23"/>
        <v>23</v>
      </c>
      <c r="AB27" s="883"/>
      <c r="AC27" s="883"/>
      <c r="AD27" s="883"/>
      <c r="AE27" s="883">
        <v>2</v>
      </c>
      <c r="AF27" s="883"/>
      <c r="AG27" s="883">
        <v>29</v>
      </c>
      <c r="AH27" s="883"/>
      <c r="AI27" s="883"/>
      <c r="AJ27" s="883">
        <v>140</v>
      </c>
      <c r="AK27" s="883"/>
      <c r="AL27" s="883">
        <v>10</v>
      </c>
      <c r="AM27" s="873"/>
      <c r="AN27" s="879">
        <f t="shared" si="24"/>
        <v>181</v>
      </c>
      <c r="AO27" s="883"/>
      <c r="AP27" s="883"/>
      <c r="AQ27" s="883"/>
      <c r="AR27" s="883"/>
      <c r="AS27" s="883">
        <v>29</v>
      </c>
      <c r="AT27" s="883"/>
      <c r="AU27" s="883">
        <v>44</v>
      </c>
      <c r="AV27" s="883">
        <v>28</v>
      </c>
      <c r="AW27" s="883"/>
      <c r="AX27" s="883"/>
      <c r="AY27" s="883"/>
      <c r="AZ27" s="873"/>
      <c r="BA27" s="879">
        <f t="shared" si="25"/>
        <v>101</v>
      </c>
      <c r="BB27" s="883"/>
      <c r="BC27" s="883"/>
      <c r="BD27" s="883"/>
      <c r="BE27" s="883"/>
      <c r="BF27" s="883"/>
      <c r="BG27" s="883"/>
      <c r="BH27" s="883">
        <v>1</v>
      </c>
      <c r="BI27" s="883">
        <v>20</v>
      </c>
      <c r="BJ27" s="883">
        <v>3</v>
      </c>
      <c r="BK27" s="883">
        <v>52</v>
      </c>
      <c r="BL27" s="883"/>
      <c r="BM27" s="873"/>
      <c r="BN27" s="879">
        <f t="shared" si="26"/>
        <v>76</v>
      </c>
      <c r="BO27" s="883"/>
      <c r="BP27" s="883"/>
      <c r="BQ27" s="883"/>
      <c r="BR27" s="883"/>
      <c r="BS27" s="883"/>
      <c r="BT27" s="883"/>
      <c r="BU27" s="883"/>
      <c r="BV27" s="883"/>
      <c r="BW27" s="883">
        <v>7</v>
      </c>
      <c r="BX27" s="883"/>
      <c r="BY27" s="883"/>
      <c r="BZ27" s="873"/>
      <c r="CA27" s="879">
        <f t="shared" si="27"/>
        <v>7</v>
      </c>
      <c r="CB27" s="883"/>
      <c r="CC27" s="883"/>
      <c r="CD27" s="883"/>
      <c r="CE27" s="883"/>
      <c r="CF27" s="883"/>
      <c r="CG27" s="883"/>
      <c r="CH27" s="883"/>
      <c r="CI27" s="883">
        <v>11</v>
      </c>
      <c r="CJ27" s="883"/>
      <c r="CK27" s="883"/>
      <c r="CL27" s="883">
        <v>14</v>
      </c>
      <c r="CM27" s="873">
        <v>53</v>
      </c>
      <c r="CN27" s="879">
        <f t="shared" si="28"/>
        <v>78</v>
      </c>
      <c r="CO27" s="883"/>
      <c r="CP27" s="883"/>
      <c r="CQ27" s="883"/>
      <c r="CR27" s="883"/>
      <c r="CS27" s="883"/>
      <c r="CT27" s="883"/>
      <c r="CU27" s="883"/>
      <c r="CV27" s="883"/>
      <c r="CW27" s="883"/>
      <c r="CX27" s="883">
        <v>10</v>
      </c>
      <c r="CY27" s="883">
        <v>3</v>
      </c>
      <c r="CZ27" s="873">
        <v>300</v>
      </c>
      <c r="DA27" s="879">
        <f t="shared" si="29"/>
        <v>313</v>
      </c>
      <c r="DB27" s="883"/>
      <c r="DC27" s="883"/>
      <c r="DD27" s="883"/>
      <c r="DE27" s="883"/>
      <c r="DF27" s="883"/>
      <c r="DG27" s="883"/>
      <c r="DH27" s="883"/>
      <c r="DI27" s="883"/>
      <c r="DJ27" s="883"/>
      <c r="DK27" s="883"/>
      <c r="DL27" s="883"/>
      <c r="DM27" s="873"/>
      <c r="DN27" s="879">
        <f t="shared" si="30"/>
        <v>0</v>
      </c>
      <c r="DO27" s="883"/>
      <c r="DP27" s="883"/>
      <c r="DQ27" s="883"/>
      <c r="DR27" s="883"/>
      <c r="DS27" s="883">
        <v>83</v>
      </c>
      <c r="DT27" s="883"/>
      <c r="DU27" s="883">
        <v>39</v>
      </c>
      <c r="DV27" s="883">
        <v>305</v>
      </c>
      <c r="DW27" s="883">
        <v>39</v>
      </c>
      <c r="DX27" s="883">
        <v>387</v>
      </c>
      <c r="DY27" s="883"/>
      <c r="DZ27" s="873"/>
      <c r="EA27" s="879">
        <f t="shared" si="31"/>
        <v>853</v>
      </c>
      <c r="EB27" s="883">
        <v>0</v>
      </c>
      <c r="EC27" s="883">
        <v>0</v>
      </c>
      <c r="ED27" s="883">
        <v>0</v>
      </c>
      <c r="EE27" s="883">
        <v>0</v>
      </c>
      <c r="EF27" s="883">
        <v>0</v>
      </c>
      <c r="EG27" s="883">
        <v>0</v>
      </c>
      <c r="EH27" s="883">
        <v>0</v>
      </c>
      <c r="EI27" s="883">
        <v>0</v>
      </c>
      <c r="EJ27" s="883">
        <v>0</v>
      </c>
      <c r="EK27" s="883">
        <v>0</v>
      </c>
      <c r="EL27" s="883">
        <v>0</v>
      </c>
      <c r="EM27" s="873">
        <v>0</v>
      </c>
      <c r="EN27" s="879">
        <f t="shared" si="32"/>
        <v>0</v>
      </c>
      <c r="EO27" s="883">
        <v>0</v>
      </c>
      <c r="EP27" s="883">
        <v>0</v>
      </c>
      <c r="EQ27" s="883">
        <v>0</v>
      </c>
      <c r="ER27" s="883">
        <v>0</v>
      </c>
      <c r="ES27" s="883">
        <v>0</v>
      </c>
      <c r="ET27" s="883">
        <v>0</v>
      </c>
      <c r="EU27" s="883">
        <v>0</v>
      </c>
      <c r="EV27" s="973">
        <v>0</v>
      </c>
      <c r="EW27" s="883"/>
      <c r="EX27" s="883"/>
      <c r="EY27" s="883"/>
      <c r="EZ27" s="873"/>
      <c r="FA27" s="879">
        <f t="shared" si="33"/>
        <v>0</v>
      </c>
      <c r="FC27" s="843" t="str">
        <f t="shared" si="34"/>
        <v/>
      </c>
      <c r="FD27" s="844" t="str">
        <f t="shared" si="35"/>
        <v/>
      </c>
      <c r="FE27" s="845">
        <f t="shared" si="36"/>
        <v>0</v>
      </c>
      <c r="FF27" s="846">
        <f t="shared" si="37"/>
        <v>0</v>
      </c>
      <c r="FH27" s="127">
        <f t="shared" si="38"/>
        <v>0</v>
      </c>
    </row>
    <row r="28" spans="1:164" ht="15" customHeight="1" x14ac:dyDescent="0.25">
      <c r="A28" s="403"/>
      <c r="B28" s="883"/>
      <c r="C28" s="883"/>
      <c r="D28" s="883"/>
      <c r="E28" s="883"/>
      <c r="F28" s="883"/>
      <c r="G28" s="883"/>
      <c r="H28" s="883"/>
      <c r="I28" s="883"/>
      <c r="J28" s="883"/>
      <c r="K28" s="883"/>
      <c r="L28" s="883"/>
      <c r="M28" s="873"/>
      <c r="N28" s="879"/>
      <c r="O28" s="883"/>
      <c r="P28" s="883"/>
      <c r="Q28" s="883"/>
      <c r="R28" s="883"/>
      <c r="S28" s="883"/>
      <c r="T28" s="883"/>
      <c r="U28" s="883"/>
      <c r="V28" s="883"/>
      <c r="W28" s="883"/>
      <c r="X28" s="883"/>
      <c r="Y28" s="883"/>
      <c r="Z28" s="873"/>
      <c r="AA28" s="879"/>
      <c r="AB28" s="883"/>
      <c r="AC28" s="883"/>
      <c r="AD28" s="883"/>
      <c r="AE28" s="883"/>
      <c r="AF28" s="883"/>
      <c r="AG28" s="883"/>
      <c r="AH28" s="883"/>
      <c r="AI28" s="883"/>
      <c r="AJ28" s="883"/>
      <c r="AK28" s="883"/>
      <c r="AL28" s="883"/>
      <c r="AM28" s="873"/>
      <c r="AN28" s="879"/>
      <c r="AO28" s="883"/>
      <c r="AP28" s="883"/>
      <c r="AQ28" s="883"/>
      <c r="AR28" s="883"/>
      <c r="AS28" s="883"/>
      <c r="AT28" s="883"/>
      <c r="AU28" s="883"/>
      <c r="AV28" s="883"/>
      <c r="AW28" s="883"/>
      <c r="AX28" s="883"/>
      <c r="AY28" s="883"/>
      <c r="AZ28" s="873"/>
      <c r="BA28" s="879"/>
      <c r="BB28" s="883"/>
      <c r="BC28" s="883"/>
      <c r="BD28" s="883"/>
      <c r="BE28" s="883"/>
      <c r="BF28" s="883"/>
      <c r="BG28" s="883"/>
      <c r="BH28" s="883"/>
      <c r="BI28" s="883"/>
      <c r="BJ28" s="883"/>
      <c r="BK28" s="883"/>
      <c r="BL28" s="883"/>
      <c r="BM28" s="873"/>
      <c r="BN28" s="879"/>
      <c r="BO28" s="883"/>
      <c r="BP28" s="883"/>
      <c r="BQ28" s="883"/>
      <c r="BR28" s="883"/>
      <c r="BS28" s="883"/>
      <c r="BT28" s="883"/>
      <c r="BU28" s="883"/>
      <c r="BV28" s="883"/>
      <c r="BW28" s="883"/>
      <c r="BX28" s="883"/>
      <c r="BY28" s="883"/>
      <c r="BZ28" s="873"/>
      <c r="CA28" s="879"/>
      <c r="CB28" s="883"/>
      <c r="CC28" s="883"/>
      <c r="CD28" s="883"/>
      <c r="CE28" s="883"/>
      <c r="CF28" s="883"/>
      <c r="CG28" s="883"/>
      <c r="CH28" s="883"/>
      <c r="CI28" s="883"/>
      <c r="CJ28" s="883"/>
      <c r="CK28" s="883"/>
      <c r="CL28" s="883"/>
      <c r="CM28" s="873"/>
      <c r="CN28" s="879"/>
      <c r="CO28" s="883"/>
      <c r="CP28" s="883"/>
      <c r="CQ28" s="883"/>
      <c r="CR28" s="883"/>
      <c r="CS28" s="883"/>
      <c r="CT28" s="883"/>
      <c r="CU28" s="883"/>
      <c r="CV28" s="883"/>
      <c r="CW28" s="883"/>
      <c r="CX28" s="883"/>
      <c r="CY28" s="883"/>
      <c r="CZ28" s="873"/>
      <c r="DA28" s="879"/>
      <c r="DB28" s="883"/>
      <c r="DC28" s="883"/>
      <c r="DD28" s="883"/>
      <c r="DE28" s="883"/>
      <c r="DF28" s="883"/>
      <c r="DG28" s="883"/>
      <c r="DH28" s="883"/>
      <c r="DI28" s="883"/>
      <c r="DJ28" s="883"/>
      <c r="DK28" s="883"/>
      <c r="DL28" s="883"/>
      <c r="DM28" s="873"/>
      <c r="DN28" s="879"/>
      <c r="DO28" s="883"/>
      <c r="DP28" s="883"/>
      <c r="DQ28" s="883"/>
      <c r="DR28" s="883"/>
      <c r="DS28" s="883"/>
      <c r="DT28" s="883"/>
      <c r="DU28" s="883"/>
      <c r="DV28" s="883"/>
      <c r="DW28" s="883"/>
      <c r="DX28" s="883"/>
      <c r="DY28" s="883"/>
      <c r="DZ28" s="873"/>
      <c r="EA28" s="879"/>
      <c r="EB28" s="883"/>
      <c r="EC28" s="883"/>
      <c r="ED28" s="883"/>
      <c r="EE28" s="883"/>
      <c r="EF28" s="883"/>
      <c r="EG28" s="883"/>
      <c r="EH28" s="883"/>
      <c r="EI28" s="883"/>
      <c r="EJ28" s="883"/>
      <c r="EK28" s="883"/>
      <c r="EL28" s="883"/>
      <c r="EM28" s="873"/>
      <c r="EN28" s="879"/>
      <c r="EO28" s="883"/>
      <c r="EP28" s="883"/>
      <c r="EQ28" s="883"/>
      <c r="ER28" s="883"/>
      <c r="ES28" s="883"/>
      <c r="ET28" s="883"/>
      <c r="EU28" s="883"/>
      <c r="EV28" s="973"/>
      <c r="EW28" s="883"/>
      <c r="EX28" s="883"/>
      <c r="EY28" s="883"/>
      <c r="EZ28" s="873"/>
      <c r="FA28" s="879"/>
      <c r="FC28" s="843" t="str">
        <f t="shared" ref="FC28" si="39">IFERROR((((EY28/DY28)-1)*100),"")</f>
        <v/>
      </c>
      <c r="FD28" s="844"/>
      <c r="FE28" s="845"/>
      <c r="FF28" s="846"/>
      <c r="FH28" s="127"/>
    </row>
    <row r="29" spans="1:164" s="753" customFormat="1" ht="15" customHeight="1" x14ac:dyDescent="0.25">
      <c r="A29" s="822" t="s">
        <v>226</v>
      </c>
      <c r="B29" s="884">
        <f t="shared" ref="B29:M29" si="40">SUM(B30:B35)</f>
        <v>317</v>
      </c>
      <c r="C29" s="884">
        <f t="shared" si="40"/>
        <v>7049</v>
      </c>
      <c r="D29" s="884">
        <f t="shared" si="40"/>
        <v>25782</v>
      </c>
      <c r="E29" s="884">
        <f t="shared" si="40"/>
        <v>4825</v>
      </c>
      <c r="F29" s="884">
        <f t="shared" si="40"/>
        <v>19863</v>
      </c>
      <c r="G29" s="884">
        <f t="shared" si="40"/>
        <v>24768</v>
      </c>
      <c r="H29" s="884">
        <f t="shared" si="40"/>
        <v>3547</v>
      </c>
      <c r="I29" s="884">
        <f t="shared" si="40"/>
        <v>9413</v>
      </c>
      <c r="J29" s="884">
        <f t="shared" si="40"/>
        <v>5938</v>
      </c>
      <c r="K29" s="884">
        <f t="shared" si="40"/>
        <v>12403</v>
      </c>
      <c r="L29" s="884">
        <f t="shared" si="40"/>
        <v>9599</v>
      </c>
      <c r="M29" s="875">
        <f t="shared" si="40"/>
        <v>33745</v>
      </c>
      <c r="N29" s="876">
        <f t="shared" ref="N29:N34" si="41">SUM(B29:M29)</f>
        <v>157249</v>
      </c>
      <c r="O29" s="884">
        <f t="shared" ref="O29:Z29" si="42">SUM(O30:O35)</f>
        <v>3679</v>
      </c>
      <c r="P29" s="884">
        <f t="shared" si="42"/>
        <v>5674</v>
      </c>
      <c r="Q29" s="884">
        <f t="shared" si="42"/>
        <v>5844</v>
      </c>
      <c r="R29" s="884">
        <f t="shared" si="42"/>
        <v>4667</v>
      </c>
      <c r="S29" s="884">
        <f t="shared" si="42"/>
        <v>33760</v>
      </c>
      <c r="T29" s="884">
        <f t="shared" si="42"/>
        <v>21030</v>
      </c>
      <c r="U29" s="884">
        <f t="shared" si="42"/>
        <v>56465</v>
      </c>
      <c r="V29" s="884">
        <f t="shared" si="42"/>
        <v>3000</v>
      </c>
      <c r="W29" s="884">
        <f t="shared" si="42"/>
        <v>7737</v>
      </c>
      <c r="X29" s="884">
        <f t="shared" si="42"/>
        <v>18150</v>
      </c>
      <c r="Y29" s="884">
        <f t="shared" si="42"/>
        <v>4887</v>
      </c>
      <c r="Z29" s="875">
        <f t="shared" si="42"/>
        <v>72427</v>
      </c>
      <c r="AA29" s="876">
        <f t="shared" ref="AA29:AA34" si="43">SUM(O29:Z29)</f>
        <v>237320</v>
      </c>
      <c r="AB29" s="884">
        <f t="shared" ref="AB29:AM29" si="44">SUM(AB30:AB34)</f>
        <v>436</v>
      </c>
      <c r="AC29" s="884">
        <f t="shared" si="44"/>
        <v>3495</v>
      </c>
      <c r="AD29" s="884">
        <f t="shared" si="44"/>
        <v>23052</v>
      </c>
      <c r="AE29" s="884">
        <f t="shared" si="44"/>
        <v>25035</v>
      </c>
      <c r="AF29" s="884">
        <f t="shared" si="44"/>
        <v>16081</v>
      </c>
      <c r="AG29" s="884">
        <f t="shared" si="44"/>
        <v>17652</v>
      </c>
      <c r="AH29" s="884">
        <f t="shared" si="44"/>
        <v>11744</v>
      </c>
      <c r="AI29" s="884">
        <f t="shared" si="44"/>
        <v>55219</v>
      </c>
      <c r="AJ29" s="884">
        <f t="shared" si="44"/>
        <v>19010</v>
      </c>
      <c r="AK29" s="884">
        <f t="shared" si="44"/>
        <v>19556</v>
      </c>
      <c r="AL29" s="884">
        <f t="shared" si="44"/>
        <v>20452</v>
      </c>
      <c r="AM29" s="875">
        <f t="shared" si="44"/>
        <v>71730</v>
      </c>
      <c r="AN29" s="876">
        <f t="shared" ref="AN29:AN34" si="45">SUM(AB29:AM29)</f>
        <v>283462</v>
      </c>
      <c r="AO29" s="884">
        <f t="shared" ref="AO29:AU29" si="46">SUM(AO30:AO34)</f>
        <v>429</v>
      </c>
      <c r="AP29" s="884">
        <f t="shared" si="46"/>
        <v>3238</v>
      </c>
      <c r="AQ29" s="884">
        <f t="shared" si="46"/>
        <v>5347</v>
      </c>
      <c r="AR29" s="884">
        <f t="shared" si="46"/>
        <v>26667</v>
      </c>
      <c r="AS29" s="884">
        <f t="shared" si="46"/>
        <v>21978</v>
      </c>
      <c r="AT29" s="884">
        <f t="shared" si="46"/>
        <v>12212</v>
      </c>
      <c r="AU29" s="884">
        <f t="shared" si="46"/>
        <v>21182</v>
      </c>
      <c r="AV29" s="884">
        <f>SUM(AV30:AV34)</f>
        <v>28947</v>
      </c>
      <c r="AW29" s="884">
        <f>SUM(AW30:AW34)</f>
        <v>22150</v>
      </c>
      <c r="AX29" s="884">
        <f>SUM(AX30:AX34)</f>
        <v>10858</v>
      </c>
      <c r="AY29" s="884">
        <f>SUM(AY30:AY34)</f>
        <v>56282</v>
      </c>
      <c r="AZ29" s="875">
        <f>SUM(AZ30:AZ34)</f>
        <v>13427</v>
      </c>
      <c r="BA29" s="876">
        <f t="shared" ref="BA29:BA34" si="47">SUM(AO29:AZ29)</f>
        <v>222717</v>
      </c>
      <c r="BB29" s="884">
        <f>SUM(BB30:BB34)</f>
        <v>93033</v>
      </c>
      <c r="BC29" s="884">
        <f>SUM(BC30:BC34)</f>
        <v>25423</v>
      </c>
      <c r="BD29" s="884">
        <f>SUM(BD30:BD34)</f>
        <v>15266</v>
      </c>
      <c r="BE29" s="884">
        <f t="shared" ref="BE29:BM29" si="48">SUM(BE30:BE34)</f>
        <v>2707</v>
      </c>
      <c r="BF29" s="884">
        <f t="shared" si="48"/>
        <v>36698</v>
      </c>
      <c r="BG29" s="884">
        <f t="shared" si="48"/>
        <v>30739</v>
      </c>
      <c r="BH29" s="884">
        <f t="shared" si="48"/>
        <v>33496</v>
      </c>
      <c r="BI29" s="884">
        <f t="shared" si="48"/>
        <v>49572</v>
      </c>
      <c r="BJ29" s="884">
        <f t="shared" si="48"/>
        <v>46059</v>
      </c>
      <c r="BK29" s="884">
        <f t="shared" si="48"/>
        <v>62233</v>
      </c>
      <c r="BL29" s="884">
        <f t="shared" si="48"/>
        <v>42595</v>
      </c>
      <c r="BM29" s="875">
        <f t="shared" si="48"/>
        <v>64212</v>
      </c>
      <c r="BN29" s="876">
        <f t="shared" ref="BN29:BN34" si="49">SUM(BB29:BM29)</f>
        <v>502033</v>
      </c>
      <c r="BO29" s="884">
        <f t="shared" ref="BO29:BZ29" si="50">SUM(BO30:BO34)</f>
        <v>26708</v>
      </c>
      <c r="BP29" s="884">
        <f t="shared" si="50"/>
        <v>12889</v>
      </c>
      <c r="BQ29" s="884">
        <f t="shared" si="50"/>
        <v>5474</v>
      </c>
      <c r="BR29" s="884">
        <f t="shared" si="50"/>
        <v>15971</v>
      </c>
      <c r="BS29" s="884">
        <f t="shared" si="50"/>
        <v>3394</v>
      </c>
      <c r="BT29" s="884">
        <f t="shared" si="50"/>
        <v>1314</v>
      </c>
      <c r="BU29" s="884">
        <f t="shared" si="50"/>
        <v>12547</v>
      </c>
      <c r="BV29" s="884">
        <f t="shared" si="50"/>
        <v>29017</v>
      </c>
      <c r="BW29" s="884">
        <f t="shared" si="50"/>
        <v>28100</v>
      </c>
      <c r="BX29" s="884">
        <f t="shared" si="50"/>
        <v>40150</v>
      </c>
      <c r="BY29" s="884">
        <f t="shared" si="50"/>
        <v>48098</v>
      </c>
      <c r="BZ29" s="875">
        <f t="shared" si="50"/>
        <v>68399</v>
      </c>
      <c r="CA29" s="876">
        <f t="shared" ref="CA29:CA34" si="51">SUM(BO29:BZ29)</f>
        <v>292061</v>
      </c>
      <c r="CB29" s="884">
        <f t="shared" ref="CB29:CM29" si="52">SUM(CB30:CB34)</f>
        <v>15226</v>
      </c>
      <c r="CC29" s="884">
        <f t="shared" si="52"/>
        <v>18901</v>
      </c>
      <c r="CD29" s="884">
        <f t="shared" si="52"/>
        <v>18632</v>
      </c>
      <c r="CE29" s="884">
        <f t="shared" si="52"/>
        <v>17504</v>
      </c>
      <c r="CF29" s="884">
        <f t="shared" si="52"/>
        <v>22546</v>
      </c>
      <c r="CG29" s="884">
        <f t="shared" si="52"/>
        <v>20465</v>
      </c>
      <c r="CH29" s="884">
        <f t="shared" si="52"/>
        <v>33855</v>
      </c>
      <c r="CI29" s="884">
        <f t="shared" si="52"/>
        <v>19131</v>
      </c>
      <c r="CJ29" s="884">
        <f t="shared" si="52"/>
        <v>25673</v>
      </c>
      <c r="CK29" s="884">
        <f t="shared" si="52"/>
        <v>17713</v>
      </c>
      <c r="CL29" s="884">
        <f t="shared" si="52"/>
        <v>19267</v>
      </c>
      <c r="CM29" s="875">
        <f t="shared" si="52"/>
        <v>75271</v>
      </c>
      <c r="CN29" s="876">
        <f t="shared" si="28"/>
        <v>304184</v>
      </c>
      <c r="CO29" s="884">
        <f t="shared" ref="CO29:CZ29" si="53">SUM(CO30:CO34)</f>
        <v>480</v>
      </c>
      <c r="CP29" s="884">
        <f t="shared" si="53"/>
        <v>29415</v>
      </c>
      <c r="CQ29" s="884">
        <f t="shared" si="53"/>
        <v>36441</v>
      </c>
      <c r="CR29" s="884">
        <f t="shared" si="53"/>
        <v>16076</v>
      </c>
      <c r="CS29" s="884">
        <f t="shared" si="53"/>
        <v>13798</v>
      </c>
      <c r="CT29" s="884">
        <f t="shared" si="53"/>
        <v>16732</v>
      </c>
      <c r="CU29" s="884">
        <f t="shared" si="53"/>
        <v>22256</v>
      </c>
      <c r="CV29" s="884">
        <f t="shared" si="53"/>
        <v>22012</v>
      </c>
      <c r="CW29" s="884">
        <f t="shared" si="53"/>
        <v>31044</v>
      </c>
      <c r="CX29" s="884">
        <f t="shared" si="53"/>
        <v>33008</v>
      </c>
      <c r="CY29" s="884">
        <f t="shared" si="53"/>
        <v>35413</v>
      </c>
      <c r="CZ29" s="875">
        <f t="shared" si="53"/>
        <v>47055</v>
      </c>
      <c r="DA29" s="876">
        <f t="shared" si="29"/>
        <v>303730</v>
      </c>
      <c r="DB29" s="884">
        <f t="shared" ref="DB29:DM29" si="54">SUM(DB30:DB34)</f>
        <v>1980</v>
      </c>
      <c r="DC29" s="884">
        <f t="shared" si="54"/>
        <v>15882</v>
      </c>
      <c r="DD29" s="884">
        <f t="shared" si="54"/>
        <v>16508</v>
      </c>
      <c r="DE29" s="884">
        <f t="shared" si="54"/>
        <v>17806</v>
      </c>
      <c r="DF29" s="884">
        <f t="shared" si="54"/>
        <v>26930</v>
      </c>
      <c r="DG29" s="884">
        <f t="shared" si="54"/>
        <v>35048</v>
      </c>
      <c r="DH29" s="884">
        <f t="shared" si="54"/>
        <v>35818</v>
      </c>
      <c r="DI29" s="884">
        <f t="shared" si="54"/>
        <v>35690</v>
      </c>
      <c r="DJ29" s="884">
        <f t="shared" si="54"/>
        <v>32347</v>
      </c>
      <c r="DK29" s="884">
        <f t="shared" si="54"/>
        <v>49140</v>
      </c>
      <c r="DL29" s="884">
        <f t="shared" si="54"/>
        <v>51296</v>
      </c>
      <c r="DM29" s="875">
        <f t="shared" si="54"/>
        <v>182546</v>
      </c>
      <c r="DN29" s="876">
        <f>SUM(DB29:DM29)</f>
        <v>500991</v>
      </c>
      <c r="DO29" s="884">
        <f t="shared" ref="DO29:DZ29" si="55">SUM(DO30:DO34)</f>
        <v>12397</v>
      </c>
      <c r="DP29" s="884">
        <f t="shared" si="55"/>
        <v>28376</v>
      </c>
      <c r="DQ29" s="884">
        <f t="shared" si="55"/>
        <v>51150</v>
      </c>
      <c r="DR29" s="884">
        <f t="shared" si="55"/>
        <v>39105</v>
      </c>
      <c r="DS29" s="884">
        <f t="shared" si="55"/>
        <v>82696</v>
      </c>
      <c r="DT29" s="884">
        <f t="shared" si="55"/>
        <v>37504</v>
      </c>
      <c r="DU29" s="884">
        <f t="shared" si="55"/>
        <v>53422</v>
      </c>
      <c r="DV29" s="884">
        <f t="shared" si="55"/>
        <v>78749</v>
      </c>
      <c r="DW29" s="884">
        <f t="shared" si="55"/>
        <v>32049</v>
      </c>
      <c r="DX29" s="884">
        <f t="shared" si="55"/>
        <v>65103</v>
      </c>
      <c r="DY29" s="884">
        <f t="shared" si="55"/>
        <v>51608</v>
      </c>
      <c r="DZ29" s="875">
        <f t="shared" si="55"/>
        <v>55573</v>
      </c>
      <c r="EA29" s="876">
        <f t="shared" si="31"/>
        <v>587732</v>
      </c>
      <c r="EB29" s="884">
        <f t="shared" ref="EB29:EM29" si="56">SUM(EB30:EB34)</f>
        <v>8355</v>
      </c>
      <c r="EC29" s="884">
        <f t="shared" si="56"/>
        <v>38567</v>
      </c>
      <c r="ED29" s="884">
        <f t="shared" si="56"/>
        <v>21928</v>
      </c>
      <c r="EE29" s="884">
        <f t="shared" si="56"/>
        <v>33764</v>
      </c>
      <c r="EF29" s="884">
        <f t="shared" si="56"/>
        <v>41258</v>
      </c>
      <c r="EG29" s="884">
        <f t="shared" si="56"/>
        <v>37456</v>
      </c>
      <c r="EH29" s="884">
        <f t="shared" si="56"/>
        <v>37549</v>
      </c>
      <c r="EI29" s="884">
        <f t="shared" si="56"/>
        <v>37060</v>
      </c>
      <c r="EJ29" s="884">
        <f t="shared" si="56"/>
        <v>29299</v>
      </c>
      <c r="EK29" s="884">
        <f t="shared" si="56"/>
        <v>37834</v>
      </c>
      <c r="EL29" s="884">
        <f t="shared" si="56"/>
        <v>44901</v>
      </c>
      <c r="EM29" s="884">
        <f t="shared" si="56"/>
        <v>84107</v>
      </c>
      <c r="EN29" s="876">
        <f t="shared" ref="EN29:EN33" si="57">SUM(EB29:EM29)</f>
        <v>452078</v>
      </c>
      <c r="EO29" s="884">
        <f t="shared" ref="EO29:EV29" si="58">SUM(EO30:EO34)</f>
        <v>11981</v>
      </c>
      <c r="EP29" s="884">
        <f t="shared" si="58"/>
        <v>72222</v>
      </c>
      <c r="EQ29" s="884">
        <f t="shared" si="58"/>
        <v>24503</v>
      </c>
      <c r="ER29" s="884">
        <f t="shared" si="58"/>
        <v>57800</v>
      </c>
      <c r="ES29" s="884">
        <f t="shared" si="58"/>
        <v>82610</v>
      </c>
      <c r="ET29" s="884">
        <f t="shared" si="58"/>
        <v>49316</v>
      </c>
      <c r="EU29" s="884">
        <f t="shared" si="58"/>
        <v>60508</v>
      </c>
      <c r="EV29" s="971">
        <f t="shared" si="58"/>
        <v>70807</v>
      </c>
      <c r="EW29" s="884"/>
      <c r="EX29" s="884"/>
      <c r="EY29" s="884"/>
      <c r="EZ29" s="875"/>
      <c r="FA29" s="876">
        <f t="shared" si="33"/>
        <v>429747</v>
      </c>
      <c r="FB29" s="757"/>
      <c r="FC29" s="841">
        <f t="shared" ref="FC29:FC34" si="59">IFERROR(((
_xlfn.XLOOKUP((DATE(YEAR($FC$5),MONTH($FC$5),1)),$B$5:$FA$5,$B29:$FA29) /
_xlfn.XLOOKUP((DATE(YEAR($FC$5)-1,MONTH($FC$5),1)),$B$5:$FA$5,$B29:$FA29)
)-1)*100,"")</f>
        <v>91.060442525634102</v>
      </c>
      <c r="FD29" s="842">
        <f t="shared" ref="FD29:FD34" si="60">IFERROR(((FF29/FE29)-1)*100,"")</f>
        <v>67.911243782649635</v>
      </c>
      <c r="FE29" s="702">
        <f t="shared" ref="FE29:FE34" si="61">SUMIFS($B29:$FA29,$B$5:$FA$5,"&gt;="&amp;DATE(YEAR($FC$5)-1,1,1),$B$5:$FA$5,"&lt;="&amp;DATE(YEAR($FC$5)-1,MONTH($FC$5),1))</f>
        <v>255937</v>
      </c>
      <c r="FF29" s="703">
        <f t="shared" ref="FF29:FF34" si="62">SUMIFS($B29:$FA29,$B$5:$FA$5,"&gt;="&amp;DATE(YEAR($FC$5),1,1),$B$5:$FA$5,"&lt;="&amp;$FC$5)</f>
        <v>429747</v>
      </c>
      <c r="FG29" s="757"/>
      <c r="FH29" s="838"/>
    </row>
    <row r="30" spans="1:164" ht="15" customHeight="1" x14ac:dyDescent="0.25">
      <c r="A30" s="403" t="s">
        <v>384</v>
      </c>
      <c r="B30" s="883"/>
      <c r="C30" s="883">
        <v>6201</v>
      </c>
      <c r="D30" s="883">
        <v>14606</v>
      </c>
      <c r="E30" s="883">
        <v>5058</v>
      </c>
      <c r="F30" s="883">
        <v>15297</v>
      </c>
      <c r="G30" s="883">
        <v>20348</v>
      </c>
      <c r="H30" s="883">
        <v>6336</v>
      </c>
      <c r="I30" s="883">
        <v>5784</v>
      </c>
      <c r="J30" s="883">
        <v>3724</v>
      </c>
      <c r="K30" s="883">
        <v>10477</v>
      </c>
      <c r="L30" s="883">
        <v>8364</v>
      </c>
      <c r="M30" s="873">
        <v>29218</v>
      </c>
      <c r="N30" s="879">
        <f t="shared" si="41"/>
        <v>125413</v>
      </c>
      <c r="O30" s="883">
        <v>3253</v>
      </c>
      <c r="P30" s="883">
        <v>5044</v>
      </c>
      <c r="Q30" s="883">
        <v>3331</v>
      </c>
      <c r="R30" s="883">
        <v>3709</v>
      </c>
      <c r="S30" s="883">
        <v>31409</v>
      </c>
      <c r="T30" s="883">
        <v>6257</v>
      </c>
      <c r="U30" s="883">
        <v>42323</v>
      </c>
      <c r="V30" s="883">
        <v>1608</v>
      </c>
      <c r="W30" s="883">
        <v>3868</v>
      </c>
      <c r="X30" s="883">
        <v>17301</v>
      </c>
      <c r="Y30" s="883">
        <v>4195</v>
      </c>
      <c r="Z30" s="873">
        <v>53211</v>
      </c>
      <c r="AA30" s="879">
        <f t="shared" si="43"/>
        <v>175509</v>
      </c>
      <c r="AB30" s="883">
        <v>7</v>
      </c>
      <c r="AC30" s="883">
        <v>1932</v>
      </c>
      <c r="AD30" s="883">
        <v>17970</v>
      </c>
      <c r="AE30" s="883">
        <v>21580</v>
      </c>
      <c r="AF30" s="883">
        <v>13611</v>
      </c>
      <c r="AG30" s="883">
        <v>13113</v>
      </c>
      <c r="AH30" s="883">
        <v>5963</v>
      </c>
      <c r="AI30" s="883">
        <v>48837</v>
      </c>
      <c r="AJ30" s="883">
        <v>12767</v>
      </c>
      <c r="AK30" s="883">
        <v>16643</v>
      </c>
      <c r="AL30" s="883">
        <v>15792</v>
      </c>
      <c r="AM30" s="873">
        <v>49194</v>
      </c>
      <c r="AN30" s="879">
        <f t="shared" si="45"/>
        <v>217409</v>
      </c>
      <c r="AO30" s="883">
        <v>1</v>
      </c>
      <c r="AP30" s="883">
        <v>1579</v>
      </c>
      <c r="AQ30" s="883">
        <v>3053</v>
      </c>
      <c r="AR30" s="883">
        <v>21195</v>
      </c>
      <c r="AS30" s="883">
        <v>18835</v>
      </c>
      <c r="AT30" s="883">
        <v>8304</v>
      </c>
      <c r="AU30" s="883">
        <v>17673</v>
      </c>
      <c r="AV30" s="883">
        <v>7510</v>
      </c>
      <c r="AW30" s="883">
        <v>7499</v>
      </c>
      <c r="AX30" s="883">
        <v>3926</v>
      </c>
      <c r="AY30" s="883">
        <v>11296</v>
      </c>
      <c r="AZ30" s="873">
        <v>6843</v>
      </c>
      <c r="BA30" s="879">
        <f t="shared" si="47"/>
        <v>107714</v>
      </c>
      <c r="BB30" s="883">
        <v>92981</v>
      </c>
      <c r="BC30" s="883">
        <v>24361</v>
      </c>
      <c r="BD30" s="883">
        <v>7627</v>
      </c>
      <c r="BE30" s="883">
        <v>2465</v>
      </c>
      <c r="BF30" s="883">
        <v>25939</v>
      </c>
      <c r="BG30" s="883">
        <v>19981</v>
      </c>
      <c r="BH30" s="883">
        <v>16579</v>
      </c>
      <c r="BI30" s="883">
        <v>17591</v>
      </c>
      <c r="BJ30" s="883">
        <v>2972</v>
      </c>
      <c r="BK30" s="883">
        <v>10762</v>
      </c>
      <c r="BL30" s="883">
        <v>8772</v>
      </c>
      <c r="BM30" s="873">
        <v>17353</v>
      </c>
      <c r="BN30" s="879">
        <f t="shared" si="49"/>
        <v>247383</v>
      </c>
      <c r="BO30" s="883">
        <v>20899</v>
      </c>
      <c r="BP30" s="883">
        <v>12622</v>
      </c>
      <c r="BQ30" s="883">
        <v>4260</v>
      </c>
      <c r="BR30" s="883">
        <v>6461</v>
      </c>
      <c r="BS30" s="883">
        <v>2387</v>
      </c>
      <c r="BT30" s="883">
        <v>841</v>
      </c>
      <c r="BU30" s="883">
        <v>6598</v>
      </c>
      <c r="BV30" s="883">
        <v>11656</v>
      </c>
      <c r="BW30" s="883">
        <v>20772</v>
      </c>
      <c r="BX30" s="883">
        <v>23771</v>
      </c>
      <c r="BY30" s="883">
        <v>38253</v>
      </c>
      <c r="BZ30" s="873">
        <v>40703</v>
      </c>
      <c r="CA30" s="879">
        <f t="shared" si="51"/>
        <v>189223</v>
      </c>
      <c r="CB30" s="883">
        <v>2682</v>
      </c>
      <c r="CC30" s="883">
        <v>84</v>
      </c>
      <c r="CD30" s="883">
        <v>1529</v>
      </c>
      <c r="CE30" s="883">
        <v>615</v>
      </c>
      <c r="CF30" s="883">
        <v>335</v>
      </c>
      <c r="CG30" s="883">
        <v>186</v>
      </c>
      <c r="CH30" s="883">
        <v>142</v>
      </c>
      <c r="CI30" s="883">
        <v>95</v>
      </c>
      <c r="CJ30" s="883">
        <v>79</v>
      </c>
      <c r="CK30" s="883">
        <v>120</v>
      </c>
      <c r="CL30" s="883">
        <v>4330</v>
      </c>
      <c r="CM30" s="873">
        <v>13237</v>
      </c>
      <c r="CN30" s="879">
        <f t="shared" si="28"/>
        <v>23434</v>
      </c>
      <c r="CO30" s="883">
        <v>167</v>
      </c>
      <c r="CP30" s="883">
        <v>1881</v>
      </c>
      <c r="CQ30" s="883">
        <v>4849</v>
      </c>
      <c r="CR30" s="883">
        <v>3626</v>
      </c>
      <c r="CS30" s="883">
        <v>1713</v>
      </c>
      <c r="CT30" s="883">
        <v>3449</v>
      </c>
      <c r="CU30" s="883">
        <v>4767</v>
      </c>
      <c r="CV30" s="883">
        <v>4762</v>
      </c>
      <c r="CW30" s="883">
        <v>6710</v>
      </c>
      <c r="CX30" s="883">
        <v>3200</v>
      </c>
      <c r="CY30" s="883">
        <v>3715</v>
      </c>
      <c r="CZ30" s="873">
        <v>11413</v>
      </c>
      <c r="DA30" s="879">
        <f>SUM(CO30:CZ30)</f>
        <v>50252</v>
      </c>
      <c r="DB30" s="883">
        <v>318</v>
      </c>
      <c r="DC30" s="883">
        <v>1091</v>
      </c>
      <c r="DD30" s="883">
        <v>935</v>
      </c>
      <c r="DE30" s="883">
        <v>1817</v>
      </c>
      <c r="DF30" s="883">
        <v>1134</v>
      </c>
      <c r="DG30" s="883">
        <v>1274</v>
      </c>
      <c r="DH30" s="883">
        <v>4650</v>
      </c>
      <c r="DI30" s="883">
        <v>9356</v>
      </c>
      <c r="DJ30" s="883">
        <v>7879</v>
      </c>
      <c r="DK30" s="883">
        <v>6603</v>
      </c>
      <c r="DL30" s="883">
        <v>5595</v>
      </c>
      <c r="DM30" s="873">
        <v>11509</v>
      </c>
      <c r="DN30" s="879">
        <f t="shared" si="30"/>
        <v>52161</v>
      </c>
      <c r="DO30" s="883">
        <v>567</v>
      </c>
      <c r="DP30" s="883">
        <v>1334</v>
      </c>
      <c r="DQ30" s="883">
        <v>1164</v>
      </c>
      <c r="DR30" s="883">
        <v>2166</v>
      </c>
      <c r="DS30" s="883">
        <v>2721</v>
      </c>
      <c r="DT30" s="883">
        <v>4935</v>
      </c>
      <c r="DU30" s="883">
        <v>8127</v>
      </c>
      <c r="DV30" s="883">
        <v>4737</v>
      </c>
      <c r="DW30" s="883">
        <v>1617</v>
      </c>
      <c r="DX30" s="883">
        <v>1025</v>
      </c>
      <c r="DY30" s="883">
        <v>1121</v>
      </c>
      <c r="DZ30" s="873">
        <v>7972</v>
      </c>
      <c r="EA30" s="879">
        <f t="shared" si="31"/>
        <v>37486</v>
      </c>
      <c r="EB30" s="883">
        <v>1303</v>
      </c>
      <c r="EC30" s="883">
        <v>1125</v>
      </c>
      <c r="ED30" s="883">
        <v>413</v>
      </c>
      <c r="EE30" s="883">
        <v>669</v>
      </c>
      <c r="EF30" s="883">
        <v>873</v>
      </c>
      <c r="EG30" s="883">
        <v>10769</v>
      </c>
      <c r="EH30" s="883">
        <v>2238</v>
      </c>
      <c r="EI30" s="883">
        <v>1057</v>
      </c>
      <c r="EJ30" s="883">
        <v>1645</v>
      </c>
      <c r="EK30" s="883">
        <v>1103</v>
      </c>
      <c r="EL30" s="883">
        <v>1416</v>
      </c>
      <c r="EM30" s="873">
        <v>12945</v>
      </c>
      <c r="EN30" s="879">
        <f t="shared" si="57"/>
        <v>35556</v>
      </c>
      <c r="EO30" s="883">
        <v>822</v>
      </c>
      <c r="EP30" s="883">
        <v>1640</v>
      </c>
      <c r="EQ30" s="883">
        <v>3006</v>
      </c>
      <c r="ER30" s="883">
        <v>2852</v>
      </c>
      <c r="ES30" s="883">
        <v>4233</v>
      </c>
      <c r="ET30" s="883">
        <v>3137</v>
      </c>
      <c r="EU30" s="883">
        <v>2668</v>
      </c>
      <c r="EV30" s="973">
        <v>2895</v>
      </c>
      <c r="EW30" s="883"/>
      <c r="EX30" s="883"/>
      <c r="EY30" s="883"/>
      <c r="EZ30" s="873"/>
      <c r="FA30" s="879">
        <f t="shared" si="33"/>
        <v>21253</v>
      </c>
      <c r="FC30" s="843">
        <f t="shared" si="59"/>
        <v>173.88836329233678</v>
      </c>
      <c r="FD30" s="844">
        <f t="shared" si="60"/>
        <v>15.21114544370359</v>
      </c>
      <c r="FE30" s="845">
        <f t="shared" si="61"/>
        <v>18447</v>
      </c>
      <c r="FF30" s="846">
        <f t="shared" si="62"/>
        <v>21253</v>
      </c>
      <c r="FH30" s="127"/>
    </row>
    <row r="31" spans="1:164" ht="15" customHeight="1" x14ac:dyDescent="0.25">
      <c r="A31" s="403" t="s">
        <v>387</v>
      </c>
      <c r="B31" s="883">
        <v>315</v>
      </c>
      <c r="C31" s="883">
        <v>844</v>
      </c>
      <c r="D31" s="883">
        <v>11151</v>
      </c>
      <c r="E31" s="883">
        <v>-265</v>
      </c>
      <c r="F31" s="883">
        <v>4352</v>
      </c>
      <c r="G31" s="883">
        <v>4373</v>
      </c>
      <c r="H31" s="883">
        <v>-2903</v>
      </c>
      <c r="I31" s="883">
        <v>3462</v>
      </c>
      <c r="J31" s="883">
        <v>1885</v>
      </c>
      <c r="K31" s="883">
        <v>1792</v>
      </c>
      <c r="L31" s="883">
        <v>904</v>
      </c>
      <c r="M31" s="873">
        <v>3038</v>
      </c>
      <c r="N31" s="879">
        <f t="shared" si="41"/>
        <v>28948</v>
      </c>
      <c r="O31" s="883">
        <v>426</v>
      </c>
      <c r="P31" s="883">
        <v>562</v>
      </c>
      <c r="Q31" s="883">
        <v>2214</v>
      </c>
      <c r="R31" s="883">
        <v>904</v>
      </c>
      <c r="S31" s="883">
        <v>2153</v>
      </c>
      <c r="T31" s="883">
        <v>2476</v>
      </c>
      <c r="U31" s="883">
        <v>778</v>
      </c>
      <c r="V31" s="883">
        <v>934</v>
      </c>
      <c r="W31" s="883">
        <v>1163</v>
      </c>
      <c r="X31" s="883">
        <v>440</v>
      </c>
      <c r="Y31" s="883">
        <v>-603</v>
      </c>
      <c r="Z31" s="873">
        <v>1044</v>
      </c>
      <c r="AA31" s="879">
        <f t="shared" si="43"/>
        <v>12491</v>
      </c>
      <c r="AB31" s="883">
        <v>429</v>
      </c>
      <c r="AC31" s="883">
        <v>1268</v>
      </c>
      <c r="AD31" s="883">
        <v>935</v>
      </c>
      <c r="AE31" s="883">
        <v>512</v>
      </c>
      <c r="AF31" s="883">
        <v>712</v>
      </c>
      <c r="AG31" s="883">
        <v>1557</v>
      </c>
      <c r="AH31" s="883">
        <v>543</v>
      </c>
      <c r="AI31" s="883">
        <v>1293</v>
      </c>
      <c r="AJ31" s="883">
        <v>855</v>
      </c>
      <c r="AK31" s="883">
        <v>854</v>
      </c>
      <c r="AL31" s="883">
        <v>558</v>
      </c>
      <c r="AM31" s="873">
        <v>1648</v>
      </c>
      <c r="AN31" s="879">
        <f t="shared" si="45"/>
        <v>11164</v>
      </c>
      <c r="AO31" s="883">
        <v>426</v>
      </c>
      <c r="AP31" s="883">
        <v>585</v>
      </c>
      <c r="AQ31" s="883">
        <v>1079</v>
      </c>
      <c r="AR31" s="883">
        <v>3571</v>
      </c>
      <c r="AS31" s="883">
        <v>1249</v>
      </c>
      <c r="AT31" s="883">
        <v>990</v>
      </c>
      <c r="AU31" s="883">
        <v>1041</v>
      </c>
      <c r="AV31" s="883">
        <v>934</v>
      </c>
      <c r="AW31" s="883">
        <v>1110</v>
      </c>
      <c r="AX31" s="883">
        <v>855</v>
      </c>
      <c r="AY31" s="883">
        <v>3889</v>
      </c>
      <c r="AZ31" s="873">
        <v>64</v>
      </c>
      <c r="BA31" s="879">
        <f t="shared" si="47"/>
        <v>15793</v>
      </c>
      <c r="BB31" s="883">
        <v>52</v>
      </c>
      <c r="BC31" s="883">
        <v>1062</v>
      </c>
      <c r="BD31" s="883">
        <v>3165</v>
      </c>
      <c r="BE31" s="883">
        <v>943</v>
      </c>
      <c r="BF31" s="883">
        <v>1956</v>
      </c>
      <c r="BG31" s="883">
        <v>2131</v>
      </c>
      <c r="BH31" s="883">
        <v>4828</v>
      </c>
      <c r="BI31" s="883">
        <v>1699</v>
      </c>
      <c r="BJ31" s="883">
        <v>2373</v>
      </c>
      <c r="BK31" s="883">
        <v>1301</v>
      </c>
      <c r="BL31" s="883">
        <v>6311</v>
      </c>
      <c r="BM31" s="873">
        <v>2493</v>
      </c>
      <c r="BN31" s="879">
        <f t="shared" si="49"/>
        <v>28314</v>
      </c>
      <c r="BO31" s="883">
        <v>3413</v>
      </c>
      <c r="BP31" s="883">
        <v>259</v>
      </c>
      <c r="BQ31" s="883">
        <v>1145</v>
      </c>
      <c r="BR31" s="883">
        <v>1865</v>
      </c>
      <c r="BS31" s="883">
        <v>930</v>
      </c>
      <c r="BT31" s="883">
        <v>407</v>
      </c>
      <c r="BU31" s="883">
        <v>5793</v>
      </c>
      <c r="BV31" s="883">
        <v>15688</v>
      </c>
      <c r="BW31" s="883">
        <v>5471</v>
      </c>
      <c r="BX31" s="883">
        <v>5468</v>
      </c>
      <c r="BY31" s="883">
        <v>8051</v>
      </c>
      <c r="BZ31" s="873">
        <v>10827</v>
      </c>
      <c r="CA31" s="879">
        <f t="shared" si="51"/>
        <v>59317</v>
      </c>
      <c r="CB31" s="883">
        <v>1711</v>
      </c>
      <c r="CC31" s="883">
        <v>14547</v>
      </c>
      <c r="CD31" s="883">
        <v>10995</v>
      </c>
      <c r="CE31" s="883">
        <v>5903</v>
      </c>
      <c r="CF31" s="883">
        <v>9656</v>
      </c>
      <c r="CG31" s="883">
        <v>4483</v>
      </c>
      <c r="CH31" s="883">
        <v>6162</v>
      </c>
      <c r="CI31" s="883">
        <v>6381</v>
      </c>
      <c r="CJ31" s="883">
        <v>10984</v>
      </c>
      <c r="CK31" s="883">
        <v>5042</v>
      </c>
      <c r="CL31" s="883">
        <v>5557</v>
      </c>
      <c r="CM31" s="873">
        <v>19145</v>
      </c>
      <c r="CN31" s="879">
        <f t="shared" si="28"/>
        <v>100566</v>
      </c>
      <c r="CO31" s="883">
        <v>313</v>
      </c>
      <c r="CP31" s="883">
        <v>14219</v>
      </c>
      <c r="CQ31" s="883">
        <v>20895</v>
      </c>
      <c r="CR31" s="883">
        <v>11464</v>
      </c>
      <c r="CS31" s="883">
        <v>11793</v>
      </c>
      <c r="CT31" s="883">
        <v>11175</v>
      </c>
      <c r="CU31" s="883">
        <v>13972</v>
      </c>
      <c r="CV31" s="883">
        <v>16116</v>
      </c>
      <c r="CW31" s="883">
        <v>23846</v>
      </c>
      <c r="CX31" s="883">
        <v>28915</v>
      </c>
      <c r="CY31" s="883">
        <v>30379</v>
      </c>
      <c r="CZ31" s="873">
        <v>29539</v>
      </c>
      <c r="DA31" s="879">
        <f t="shared" si="29"/>
        <v>212626</v>
      </c>
      <c r="DB31" s="883">
        <v>1662</v>
      </c>
      <c r="DC31" s="883">
        <v>14791</v>
      </c>
      <c r="DD31" s="883">
        <v>15547</v>
      </c>
      <c r="DE31" s="883">
        <v>15568</v>
      </c>
      <c r="DF31" s="883">
        <v>25549</v>
      </c>
      <c r="DG31" s="883">
        <v>33637</v>
      </c>
      <c r="DH31" s="883">
        <v>30804</v>
      </c>
      <c r="DI31" s="883">
        <v>25382</v>
      </c>
      <c r="DJ31" s="883">
        <v>22098</v>
      </c>
      <c r="DK31" s="883">
        <v>41989</v>
      </c>
      <c r="DL31" s="883">
        <v>45542</v>
      </c>
      <c r="DM31" s="873">
        <v>146269</v>
      </c>
      <c r="DN31" s="879">
        <f t="shared" si="30"/>
        <v>418838</v>
      </c>
      <c r="DO31" s="883">
        <v>11830</v>
      </c>
      <c r="DP31" s="883">
        <v>27001</v>
      </c>
      <c r="DQ31" s="883">
        <v>49797</v>
      </c>
      <c r="DR31" s="883">
        <v>36831</v>
      </c>
      <c r="DS31" s="883">
        <v>59264</v>
      </c>
      <c r="DT31" s="883">
        <v>32456</v>
      </c>
      <c r="DU31" s="883">
        <v>45229</v>
      </c>
      <c r="DV31" s="883">
        <v>44437</v>
      </c>
      <c r="DW31" s="883">
        <v>30275</v>
      </c>
      <c r="DX31" s="883">
        <v>42295</v>
      </c>
      <c r="DY31" s="883">
        <v>50326</v>
      </c>
      <c r="DZ31" s="873">
        <v>47325</v>
      </c>
      <c r="EA31" s="879">
        <f t="shared" si="31"/>
        <v>477066</v>
      </c>
      <c r="EB31" s="883">
        <v>0</v>
      </c>
      <c r="EC31" s="883">
        <v>37442</v>
      </c>
      <c r="ED31" s="883">
        <v>21408</v>
      </c>
      <c r="EE31" s="883">
        <v>33072</v>
      </c>
      <c r="EF31" s="883">
        <v>40324</v>
      </c>
      <c r="EG31" s="883">
        <v>26592</v>
      </c>
      <c r="EH31" s="883">
        <v>35240</v>
      </c>
      <c r="EI31" s="883">
        <v>35932</v>
      </c>
      <c r="EJ31" s="883">
        <v>27153</v>
      </c>
      <c r="EK31" s="883">
        <v>35973</v>
      </c>
      <c r="EL31" s="883">
        <v>42476</v>
      </c>
      <c r="EM31" s="873">
        <v>52871</v>
      </c>
      <c r="EN31" s="879">
        <f t="shared" si="57"/>
        <v>388483</v>
      </c>
      <c r="EO31" s="883">
        <v>10088</v>
      </c>
      <c r="EP31" s="883">
        <v>29630</v>
      </c>
      <c r="EQ31" s="883">
        <v>16797</v>
      </c>
      <c r="ER31" s="883">
        <v>41613</v>
      </c>
      <c r="ES31" s="883">
        <v>60654</v>
      </c>
      <c r="ET31" s="883">
        <v>22515</v>
      </c>
      <c r="EU31" s="883">
        <v>41524</v>
      </c>
      <c r="EV31" s="973">
        <v>51702</v>
      </c>
      <c r="EW31" s="883"/>
      <c r="EX31" s="883"/>
      <c r="EY31" s="883"/>
      <c r="EZ31" s="873"/>
      <c r="FA31" s="879">
        <f t="shared" si="33"/>
        <v>274523</v>
      </c>
      <c r="FC31" s="843">
        <f t="shared" si="59"/>
        <v>43.888455972392308</v>
      </c>
      <c r="FD31" s="844">
        <f t="shared" si="60"/>
        <v>19.352636841876446</v>
      </c>
      <c r="FE31" s="845">
        <f t="shared" si="61"/>
        <v>230010</v>
      </c>
      <c r="FF31" s="846">
        <f t="shared" si="62"/>
        <v>274523</v>
      </c>
      <c r="FH31" s="127"/>
    </row>
    <row r="32" spans="1:164" ht="15" customHeight="1" x14ac:dyDescent="0.25">
      <c r="A32" s="403" t="s">
        <v>385</v>
      </c>
      <c r="B32" s="883">
        <v>2</v>
      </c>
      <c r="C32" s="883">
        <v>4</v>
      </c>
      <c r="D32" s="883">
        <v>20</v>
      </c>
      <c r="E32" s="883">
        <v>32</v>
      </c>
      <c r="F32" s="883">
        <v>51</v>
      </c>
      <c r="G32" s="883">
        <v>21</v>
      </c>
      <c r="H32" s="883">
        <v>50</v>
      </c>
      <c r="I32" s="883">
        <v>44</v>
      </c>
      <c r="J32" s="883">
        <v>38</v>
      </c>
      <c r="K32" s="883">
        <v>37</v>
      </c>
      <c r="L32" s="883">
        <v>305</v>
      </c>
      <c r="M32" s="873">
        <v>58</v>
      </c>
      <c r="N32" s="879">
        <f t="shared" si="41"/>
        <v>662</v>
      </c>
      <c r="O32" s="883"/>
      <c r="P32" s="883"/>
      <c r="Q32" s="883">
        <v>3</v>
      </c>
      <c r="R32" s="883">
        <v>13</v>
      </c>
      <c r="S32" s="883">
        <v>47</v>
      </c>
      <c r="T32" s="883">
        <v>1</v>
      </c>
      <c r="U32" s="883">
        <v>11</v>
      </c>
      <c r="V32" s="883">
        <v>11</v>
      </c>
      <c r="W32" s="883">
        <v>21</v>
      </c>
      <c r="X32" s="883">
        <v>17</v>
      </c>
      <c r="Y32" s="883">
        <v>37</v>
      </c>
      <c r="Z32" s="873">
        <v>16</v>
      </c>
      <c r="AA32" s="879">
        <f t="shared" si="43"/>
        <v>177</v>
      </c>
      <c r="AB32" s="883"/>
      <c r="AC32" s="883">
        <v>9</v>
      </c>
      <c r="AD32" s="883"/>
      <c r="AE32" s="883">
        <v>13</v>
      </c>
      <c r="AF32" s="883">
        <v>25</v>
      </c>
      <c r="AG32" s="883">
        <v>40</v>
      </c>
      <c r="AH32" s="883">
        <v>35</v>
      </c>
      <c r="AI32" s="883">
        <v>2</v>
      </c>
      <c r="AJ32" s="883">
        <v>156</v>
      </c>
      <c r="AK32" s="883">
        <v>69</v>
      </c>
      <c r="AL32" s="883">
        <v>33</v>
      </c>
      <c r="AM32" s="873">
        <v>48</v>
      </c>
      <c r="AN32" s="879">
        <f t="shared" si="45"/>
        <v>430</v>
      </c>
      <c r="AO32" s="883">
        <v>2</v>
      </c>
      <c r="AP32" s="883">
        <v>12</v>
      </c>
      <c r="AQ32" s="883">
        <v>19</v>
      </c>
      <c r="AR32" s="883">
        <v>11</v>
      </c>
      <c r="AS32" s="883">
        <v>42</v>
      </c>
      <c r="AT32" s="883">
        <v>14</v>
      </c>
      <c r="AU32" s="883">
        <v>66</v>
      </c>
      <c r="AV32" s="883">
        <v>32</v>
      </c>
      <c r="AW32" s="883">
        <v>30</v>
      </c>
      <c r="AX32" s="883">
        <v>11</v>
      </c>
      <c r="AY32" s="883">
        <v>6</v>
      </c>
      <c r="AZ32" s="873">
        <v>44</v>
      </c>
      <c r="BA32" s="879">
        <f t="shared" si="47"/>
        <v>289</v>
      </c>
      <c r="BB32" s="883"/>
      <c r="BC32" s="883"/>
      <c r="BD32" s="883">
        <v>57</v>
      </c>
      <c r="BE32" s="883">
        <v>16</v>
      </c>
      <c r="BF32" s="883">
        <v>31</v>
      </c>
      <c r="BG32" s="883">
        <v>14</v>
      </c>
      <c r="BH32" s="883">
        <v>67</v>
      </c>
      <c r="BI32" s="883">
        <v>24</v>
      </c>
      <c r="BJ32" s="883">
        <v>23</v>
      </c>
      <c r="BK32" s="883">
        <v>107</v>
      </c>
      <c r="BL32" s="883">
        <v>47</v>
      </c>
      <c r="BM32" s="873">
        <v>75</v>
      </c>
      <c r="BN32" s="879">
        <f t="shared" si="49"/>
        <v>461</v>
      </c>
      <c r="BO32" s="883"/>
      <c r="BP32" s="883">
        <v>8</v>
      </c>
      <c r="BQ32" s="883">
        <v>9</v>
      </c>
      <c r="BR32" s="883">
        <v>5</v>
      </c>
      <c r="BS32" s="883">
        <v>6</v>
      </c>
      <c r="BT32" s="883">
        <v>12</v>
      </c>
      <c r="BU32" s="883">
        <v>40</v>
      </c>
      <c r="BV32" s="883">
        <v>34</v>
      </c>
      <c r="BW32" s="883">
        <v>27</v>
      </c>
      <c r="BX32" s="883">
        <v>51</v>
      </c>
      <c r="BY32" s="883">
        <v>31</v>
      </c>
      <c r="BZ32" s="873">
        <v>74</v>
      </c>
      <c r="CA32" s="879">
        <f t="shared" si="51"/>
        <v>297</v>
      </c>
      <c r="CB32" s="883"/>
      <c r="CC32" s="883"/>
      <c r="CD32" s="883"/>
      <c r="CE32" s="883">
        <v>33</v>
      </c>
      <c r="CF32" s="883">
        <v>81</v>
      </c>
      <c r="CG32" s="883">
        <v>6</v>
      </c>
      <c r="CH32" s="883">
        <v>159</v>
      </c>
      <c r="CI32" s="883">
        <v>191</v>
      </c>
      <c r="CJ32" s="883">
        <v>127</v>
      </c>
      <c r="CK32" s="883">
        <v>77</v>
      </c>
      <c r="CL32" s="883">
        <v>29</v>
      </c>
      <c r="CM32" s="873">
        <v>106</v>
      </c>
      <c r="CN32" s="879">
        <f t="shared" si="28"/>
        <v>809</v>
      </c>
      <c r="CO32" s="883"/>
      <c r="CP32" s="883"/>
      <c r="CQ32" s="883">
        <v>41</v>
      </c>
      <c r="CR32" s="883">
        <v>17</v>
      </c>
      <c r="CS32" s="883">
        <v>47</v>
      </c>
      <c r="CT32" s="883">
        <v>23</v>
      </c>
      <c r="CU32" s="883">
        <v>40</v>
      </c>
      <c r="CV32" s="883">
        <v>11</v>
      </c>
      <c r="CW32" s="883">
        <v>53</v>
      </c>
      <c r="CX32" s="883">
        <v>42</v>
      </c>
      <c r="CY32" s="883">
        <v>15</v>
      </c>
      <c r="CZ32" s="873">
        <v>141</v>
      </c>
      <c r="DA32" s="879">
        <f t="shared" si="29"/>
        <v>430</v>
      </c>
      <c r="DB32" s="883"/>
      <c r="DC32" s="883"/>
      <c r="DD32" s="883">
        <v>26</v>
      </c>
      <c r="DE32" s="883">
        <v>11</v>
      </c>
      <c r="DF32" s="883">
        <v>68</v>
      </c>
      <c r="DG32" s="883">
        <v>50</v>
      </c>
      <c r="DH32" s="883">
        <v>115</v>
      </c>
      <c r="DI32" s="883">
        <v>53</v>
      </c>
      <c r="DJ32" s="883">
        <v>83</v>
      </c>
      <c r="DK32" s="883">
        <v>36</v>
      </c>
      <c r="DL32" s="883">
        <v>24</v>
      </c>
      <c r="DM32" s="873">
        <v>45</v>
      </c>
      <c r="DN32" s="879">
        <f t="shared" si="30"/>
        <v>511</v>
      </c>
      <c r="DO32" s="883"/>
      <c r="DP32" s="883">
        <v>41</v>
      </c>
      <c r="DQ32" s="883">
        <v>18</v>
      </c>
      <c r="DR32" s="883">
        <v>34</v>
      </c>
      <c r="DS32" s="883">
        <v>136</v>
      </c>
      <c r="DT32" s="883">
        <v>71</v>
      </c>
      <c r="DU32" s="883">
        <v>57</v>
      </c>
      <c r="DV32" s="883">
        <v>148</v>
      </c>
      <c r="DW32" s="883">
        <v>23</v>
      </c>
      <c r="DX32" s="883">
        <v>45</v>
      </c>
      <c r="DY32" s="883">
        <v>77</v>
      </c>
      <c r="DZ32" s="873">
        <v>124</v>
      </c>
      <c r="EA32" s="879">
        <f t="shared" si="31"/>
        <v>774</v>
      </c>
      <c r="EB32" s="883">
        <v>0</v>
      </c>
      <c r="EC32" s="883">
        <v>0</v>
      </c>
      <c r="ED32" s="883">
        <v>107</v>
      </c>
      <c r="EE32" s="883">
        <v>19</v>
      </c>
      <c r="EF32" s="883">
        <v>39</v>
      </c>
      <c r="EG32" s="883">
        <v>34</v>
      </c>
      <c r="EH32" s="883">
        <v>58</v>
      </c>
      <c r="EI32" s="883">
        <v>55</v>
      </c>
      <c r="EJ32" s="883">
        <v>35</v>
      </c>
      <c r="EK32" s="883">
        <v>45</v>
      </c>
      <c r="EL32" s="883">
        <v>81</v>
      </c>
      <c r="EM32" s="873">
        <v>117</v>
      </c>
      <c r="EN32" s="879">
        <f t="shared" si="57"/>
        <v>590</v>
      </c>
      <c r="EO32" s="883">
        <v>0</v>
      </c>
      <c r="EP32" s="883">
        <v>60</v>
      </c>
      <c r="EQ32" s="883">
        <v>80</v>
      </c>
      <c r="ER32" s="883">
        <v>264</v>
      </c>
      <c r="ES32" s="883">
        <v>62</v>
      </c>
      <c r="ET32" s="883">
        <v>115</v>
      </c>
      <c r="EU32" s="883">
        <v>56</v>
      </c>
      <c r="EV32" s="973">
        <v>90</v>
      </c>
      <c r="EW32" s="883"/>
      <c r="EX32" s="883"/>
      <c r="EY32" s="883"/>
      <c r="EZ32" s="873"/>
      <c r="FA32" s="879">
        <f t="shared" si="33"/>
        <v>727</v>
      </c>
      <c r="FC32" s="843">
        <f t="shared" si="59"/>
        <v>63.636363636363647</v>
      </c>
      <c r="FD32" s="844">
        <f t="shared" si="60"/>
        <v>133.01282051282053</v>
      </c>
      <c r="FE32" s="845">
        <f t="shared" si="61"/>
        <v>312</v>
      </c>
      <c r="FF32" s="846">
        <f t="shared" si="62"/>
        <v>727</v>
      </c>
      <c r="FH32" s="127"/>
    </row>
    <row r="33" spans="1:164" ht="15" customHeight="1" x14ac:dyDescent="0.25">
      <c r="A33" s="403" t="s">
        <v>470</v>
      </c>
      <c r="B33" s="883"/>
      <c r="C33" s="883"/>
      <c r="D33" s="883"/>
      <c r="E33" s="883"/>
      <c r="F33" s="883"/>
      <c r="G33" s="883"/>
      <c r="H33" s="883"/>
      <c r="I33" s="883"/>
      <c r="J33" s="883"/>
      <c r="K33" s="883"/>
      <c r="L33" s="883"/>
      <c r="M33" s="873">
        <v>1204</v>
      </c>
      <c r="N33" s="879">
        <f t="shared" si="41"/>
        <v>1204</v>
      </c>
      <c r="O33" s="883"/>
      <c r="P33" s="883"/>
      <c r="Q33" s="883"/>
      <c r="R33" s="883"/>
      <c r="S33" s="883">
        <v>151</v>
      </c>
      <c r="T33" s="883">
        <v>12123</v>
      </c>
      <c r="U33" s="883">
        <v>13168</v>
      </c>
      <c r="V33" s="883">
        <v>346</v>
      </c>
      <c r="W33" s="883">
        <v>1552</v>
      </c>
      <c r="X33" s="883">
        <v>-25</v>
      </c>
      <c r="Y33" s="883">
        <v>1052</v>
      </c>
      <c r="Z33" s="873">
        <v>16596</v>
      </c>
      <c r="AA33" s="879">
        <f t="shared" si="43"/>
        <v>44963</v>
      </c>
      <c r="AB33" s="883"/>
      <c r="AC33" s="883">
        <v>274</v>
      </c>
      <c r="AD33" s="883">
        <v>3780</v>
      </c>
      <c r="AE33" s="883">
        <v>2639</v>
      </c>
      <c r="AF33" s="883">
        <v>1575</v>
      </c>
      <c r="AG33" s="883">
        <v>2905</v>
      </c>
      <c r="AH33" s="883">
        <v>4901</v>
      </c>
      <c r="AI33" s="883">
        <v>4897</v>
      </c>
      <c r="AJ33" s="883">
        <v>5008</v>
      </c>
      <c r="AK33" s="883">
        <v>1844</v>
      </c>
      <c r="AL33" s="883">
        <v>3985</v>
      </c>
      <c r="AM33" s="873">
        <v>20509</v>
      </c>
      <c r="AN33" s="879">
        <f t="shared" si="45"/>
        <v>52317</v>
      </c>
      <c r="AO33" s="883"/>
      <c r="AP33" s="883">
        <v>1062</v>
      </c>
      <c r="AQ33" s="883">
        <v>1070</v>
      </c>
      <c r="AR33" s="883">
        <v>1840</v>
      </c>
      <c r="AS33" s="883">
        <v>1179</v>
      </c>
      <c r="AT33" s="883">
        <v>2837</v>
      </c>
      <c r="AU33" s="883">
        <v>2207</v>
      </c>
      <c r="AV33" s="883">
        <v>19831</v>
      </c>
      <c r="AW33" s="883">
        <v>13326</v>
      </c>
      <c r="AX33" s="883">
        <v>5878</v>
      </c>
      <c r="AY33" s="883">
        <v>40922</v>
      </c>
      <c r="AZ33" s="873">
        <v>6157</v>
      </c>
      <c r="BA33" s="879">
        <f t="shared" si="47"/>
        <v>96309</v>
      </c>
      <c r="BB33" s="883"/>
      <c r="BC33" s="883"/>
      <c r="BD33" s="883">
        <v>4417</v>
      </c>
      <c r="BE33" s="883">
        <v>-729</v>
      </c>
      <c r="BF33" s="883">
        <v>8720</v>
      </c>
      <c r="BG33" s="883">
        <v>8231</v>
      </c>
      <c r="BH33" s="883">
        <v>11892</v>
      </c>
      <c r="BI33" s="883">
        <v>29696</v>
      </c>
      <c r="BJ33" s="883">
        <v>40559</v>
      </c>
      <c r="BK33" s="883">
        <v>49702</v>
      </c>
      <c r="BL33" s="883">
        <v>27320</v>
      </c>
      <c r="BM33" s="873">
        <v>43977</v>
      </c>
      <c r="BN33" s="879">
        <f t="shared" si="49"/>
        <v>223785</v>
      </c>
      <c r="BO33" s="883">
        <v>2396</v>
      </c>
      <c r="BP33" s="883"/>
      <c r="BQ33" s="883"/>
      <c r="BR33" s="883">
        <v>7590</v>
      </c>
      <c r="BS33" s="883"/>
      <c r="BT33" s="883"/>
      <c r="BU33" s="883"/>
      <c r="BV33" s="883">
        <v>1580</v>
      </c>
      <c r="BW33" s="883">
        <v>1700</v>
      </c>
      <c r="BX33" s="883">
        <v>10408</v>
      </c>
      <c r="BY33" s="883">
        <v>1518</v>
      </c>
      <c r="BZ33" s="873">
        <v>15828</v>
      </c>
      <c r="CA33" s="879">
        <f t="shared" si="51"/>
        <v>41020</v>
      </c>
      <c r="CB33" s="883">
        <v>10833</v>
      </c>
      <c r="CC33" s="883">
        <v>4270</v>
      </c>
      <c r="CD33" s="883">
        <v>5853</v>
      </c>
      <c r="CE33" s="883">
        <v>10610</v>
      </c>
      <c r="CF33" s="883">
        <v>12145</v>
      </c>
      <c r="CG33" s="883">
        <v>15666</v>
      </c>
      <c r="CH33" s="883">
        <v>27004</v>
      </c>
      <c r="CI33" s="883">
        <v>12226</v>
      </c>
      <c r="CJ33" s="883">
        <v>14254</v>
      </c>
      <c r="CK33" s="883">
        <v>12041</v>
      </c>
      <c r="CL33" s="883">
        <v>9147</v>
      </c>
      <c r="CM33" s="873">
        <v>42219</v>
      </c>
      <c r="CN33" s="879">
        <f t="shared" si="28"/>
        <v>176268</v>
      </c>
      <c r="CO33" s="883"/>
      <c r="CP33" s="883">
        <v>13315</v>
      </c>
      <c r="CQ33" s="883">
        <v>10649</v>
      </c>
      <c r="CR33" s="883">
        <v>826</v>
      </c>
      <c r="CS33" s="883">
        <v>35</v>
      </c>
      <c r="CT33" s="883">
        <v>1736</v>
      </c>
      <c r="CU33" s="883">
        <v>3039</v>
      </c>
      <c r="CV33" s="883">
        <v>1056</v>
      </c>
      <c r="CW33" s="883">
        <v>311</v>
      </c>
      <c r="CX33" s="883">
        <v>784</v>
      </c>
      <c r="CY33" s="883">
        <v>1076</v>
      </c>
      <c r="CZ33" s="873">
        <v>4481</v>
      </c>
      <c r="DA33" s="879">
        <f>SUM(CO33:CZ33)</f>
        <v>37308</v>
      </c>
      <c r="DB33" s="883"/>
      <c r="DC33" s="883"/>
      <c r="DD33" s="883"/>
      <c r="DE33" s="883">
        <v>410</v>
      </c>
      <c r="DF33" s="883"/>
      <c r="DG33" s="883"/>
      <c r="DH33" s="883"/>
      <c r="DI33" s="883">
        <v>692</v>
      </c>
      <c r="DJ33" s="883">
        <v>2037</v>
      </c>
      <c r="DK33" s="883">
        <v>314</v>
      </c>
      <c r="DL33" s="883">
        <v>-16</v>
      </c>
      <c r="DM33" s="873">
        <v>24511</v>
      </c>
      <c r="DN33" s="879">
        <f t="shared" si="30"/>
        <v>27948</v>
      </c>
      <c r="DO33" s="883"/>
      <c r="DP33" s="883"/>
      <c r="DQ33" s="883"/>
      <c r="DR33" s="883"/>
      <c r="DS33" s="883">
        <v>20525</v>
      </c>
      <c r="DT33" s="883"/>
      <c r="DU33" s="883"/>
      <c r="DV33" s="883">
        <v>29395</v>
      </c>
      <c r="DW33" s="883"/>
      <c r="DX33" s="883">
        <v>21649</v>
      </c>
      <c r="DY33" s="883"/>
      <c r="DZ33" s="873"/>
      <c r="EA33" s="879">
        <f t="shared" si="31"/>
        <v>71569</v>
      </c>
      <c r="EB33" s="883">
        <v>0</v>
      </c>
      <c r="EC33" s="883">
        <v>0</v>
      </c>
      <c r="ED33" s="883">
        <v>0</v>
      </c>
      <c r="EE33" s="883">
        <v>0</v>
      </c>
      <c r="EF33" s="883">
        <v>0</v>
      </c>
      <c r="EG33" s="883">
        <v>0</v>
      </c>
      <c r="EH33" s="883">
        <v>0</v>
      </c>
      <c r="EI33" s="883">
        <v>0</v>
      </c>
      <c r="EJ33" s="883">
        <v>465</v>
      </c>
      <c r="EK33" s="883">
        <v>661</v>
      </c>
      <c r="EL33" s="883">
        <v>919</v>
      </c>
      <c r="EM33" s="873">
        <v>17570</v>
      </c>
      <c r="EN33" s="879">
        <f t="shared" si="57"/>
        <v>19615</v>
      </c>
      <c r="EO33" s="883">
        <v>1071</v>
      </c>
      <c r="EP33" s="883">
        <v>40892</v>
      </c>
      <c r="EQ33" s="883">
        <v>4620</v>
      </c>
      <c r="ER33" s="883">
        <v>13071</v>
      </c>
      <c r="ES33" s="883">
        <v>17648</v>
      </c>
      <c r="ET33" s="883">
        <v>23515</v>
      </c>
      <c r="EU33" s="883">
        <v>16254</v>
      </c>
      <c r="EV33" s="973">
        <v>16115</v>
      </c>
      <c r="EW33" s="883"/>
      <c r="EX33" s="883"/>
      <c r="EY33" s="883"/>
      <c r="EZ33" s="873"/>
      <c r="FA33" s="879">
        <f t="shared" si="33"/>
        <v>133186</v>
      </c>
      <c r="FC33" s="843" t="str">
        <f t="shared" si="59"/>
        <v/>
      </c>
      <c r="FD33" s="844" t="str">
        <f t="shared" si="60"/>
        <v/>
      </c>
      <c r="FE33" s="845">
        <f t="shared" si="61"/>
        <v>0</v>
      </c>
      <c r="FF33" s="846">
        <f t="shared" si="62"/>
        <v>133186</v>
      </c>
      <c r="FH33" s="127"/>
    </row>
    <row r="34" spans="1:164" ht="15" customHeight="1" x14ac:dyDescent="0.25">
      <c r="A34" s="403" t="s">
        <v>299</v>
      </c>
      <c r="B34" s="883"/>
      <c r="C34" s="883"/>
      <c r="D34" s="883">
        <v>5</v>
      </c>
      <c r="E34" s="883"/>
      <c r="F34" s="883">
        <v>163</v>
      </c>
      <c r="G34" s="883">
        <v>26</v>
      </c>
      <c r="H34" s="883">
        <v>64</v>
      </c>
      <c r="I34" s="883">
        <v>123</v>
      </c>
      <c r="J34" s="883">
        <v>291</v>
      </c>
      <c r="K34" s="883">
        <v>97</v>
      </c>
      <c r="L34" s="883">
        <v>26</v>
      </c>
      <c r="M34" s="873">
        <v>227</v>
      </c>
      <c r="N34" s="879">
        <f t="shared" si="41"/>
        <v>1022</v>
      </c>
      <c r="O34" s="883"/>
      <c r="P34" s="883">
        <v>68</v>
      </c>
      <c r="Q34" s="883">
        <v>296</v>
      </c>
      <c r="R34" s="883">
        <v>41</v>
      </c>
      <c r="S34" s="883"/>
      <c r="T34" s="883">
        <v>173</v>
      </c>
      <c r="U34" s="883">
        <v>185</v>
      </c>
      <c r="V34" s="883">
        <v>101</v>
      </c>
      <c r="W34" s="883">
        <v>1133</v>
      </c>
      <c r="X34" s="883">
        <v>417</v>
      </c>
      <c r="Y34" s="883">
        <v>206</v>
      </c>
      <c r="Z34" s="873">
        <v>1560</v>
      </c>
      <c r="AA34" s="879">
        <f t="shared" si="43"/>
        <v>4180</v>
      </c>
      <c r="AB34" s="883"/>
      <c r="AC34" s="883">
        <v>12</v>
      </c>
      <c r="AD34" s="883">
        <v>367</v>
      </c>
      <c r="AE34" s="883">
        <v>291</v>
      </c>
      <c r="AF34" s="883">
        <v>158</v>
      </c>
      <c r="AG34" s="883">
        <v>37</v>
      </c>
      <c r="AH34" s="883">
        <v>302</v>
      </c>
      <c r="AI34" s="883">
        <v>190</v>
      </c>
      <c r="AJ34" s="883">
        <v>224</v>
      </c>
      <c r="AK34" s="883">
        <v>146</v>
      </c>
      <c r="AL34" s="883">
        <v>84</v>
      </c>
      <c r="AM34" s="873">
        <v>331</v>
      </c>
      <c r="AN34" s="879">
        <f t="shared" si="45"/>
        <v>2142</v>
      </c>
      <c r="AO34" s="883"/>
      <c r="AP34" s="883"/>
      <c r="AQ34" s="883">
        <v>126</v>
      </c>
      <c r="AR34" s="883">
        <v>50</v>
      </c>
      <c r="AS34" s="883">
        <v>673</v>
      </c>
      <c r="AT34" s="883">
        <v>67</v>
      </c>
      <c r="AU34" s="883">
        <v>195</v>
      </c>
      <c r="AV34" s="883">
        <v>640</v>
      </c>
      <c r="AW34" s="883">
        <v>185</v>
      </c>
      <c r="AX34" s="883">
        <v>188</v>
      </c>
      <c r="AY34" s="883">
        <v>169</v>
      </c>
      <c r="AZ34" s="873">
        <v>319</v>
      </c>
      <c r="BA34" s="879">
        <f t="shared" si="47"/>
        <v>2612</v>
      </c>
      <c r="BB34" s="883"/>
      <c r="BC34" s="883"/>
      <c r="BD34" s="883"/>
      <c r="BE34" s="883">
        <v>12</v>
      </c>
      <c r="BF34" s="883">
        <v>52</v>
      </c>
      <c r="BG34" s="883">
        <v>382</v>
      </c>
      <c r="BH34" s="883">
        <v>130</v>
      </c>
      <c r="BI34" s="883">
        <v>562</v>
      </c>
      <c r="BJ34" s="883">
        <v>132</v>
      </c>
      <c r="BK34" s="883">
        <v>361</v>
      </c>
      <c r="BL34" s="883">
        <v>145</v>
      </c>
      <c r="BM34" s="873">
        <v>314</v>
      </c>
      <c r="BN34" s="879">
        <f t="shared" si="49"/>
        <v>2090</v>
      </c>
      <c r="BO34" s="883"/>
      <c r="BP34" s="883"/>
      <c r="BQ34" s="883">
        <v>60</v>
      </c>
      <c r="BR34" s="883">
        <v>50</v>
      </c>
      <c r="BS34" s="883">
        <v>71</v>
      </c>
      <c r="BT34" s="883">
        <v>54</v>
      </c>
      <c r="BU34" s="883">
        <v>116</v>
      </c>
      <c r="BV34" s="883">
        <v>59</v>
      </c>
      <c r="BW34" s="883">
        <v>130</v>
      </c>
      <c r="BX34" s="883">
        <v>452</v>
      </c>
      <c r="BY34" s="883">
        <v>245</v>
      </c>
      <c r="BZ34" s="873">
        <v>967</v>
      </c>
      <c r="CA34" s="879">
        <f t="shared" si="51"/>
        <v>2204</v>
      </c>
      <c r="CB34" s="883"/>
      <c r="CC34" s="883"/>
      <c r="CD34" s="883">
        <v>255</v>
      </c>
      <c r="CE34" s="883">
        <v>343</v>
      </c>
      <c r="CF34" s="883">
        <v>329</v>
      </c>
      <c r="CG34" s="883">
        <v>124</v>
      </c>
      <c r="CH34" s="883">
        <v>388</v>
      </c>
      <c r="CI34" s="883">
        <v>238</v>
      </c>
      <c r="CJ34" s="883">
        <v>229</v>
      </c>
      <c r="CK34" s="883">
        <v>433</v>
      </c>
      <c r="CL34" s="883">
        <v>204</v>
      </c>
      <c r="CM34" s="873">
        <v>564</v>
      </c>
      <c r="CN34" s="879">
        <f t="shared" si="28"/>
        <v>3107</v>
      </c>
      <c r="CO34" s="883"/>
      <c r="CP34" s="883"/>
      <c r="CQ34" s="883">
        <v>7</v>
      </c>
      <c r="CR34" s="883">
        <v>143</v>
      </c>
      <c r="CS34" s="883">
        <v>210</v>
      </c>
      <c r="CT34" s="883">
        <v>349</v>
      </c>
      <c r="CU34" s="883">
        <v>438</v>
      </c>
      <c r="CV34" s="883">
        <v>67</v>
      </c>
      <c r="CW34" s="883">
        <v>124</v>
      </c>
      <c r="CX34" s="883">
        <v>67</v>
      </c>
      <c r="CY34" s="883">
        <v>228</v>
      </c>
      <c r="CZ34" s="873">
        <v>1481</v>
      </c>
      <c r="DA34" s="879">
        <f>SUM(CO34:CZ34)</f>
        <v>3114</v>
      </c>
      <c r="DB34" s="883"/>
      <c r="DC34" s="883"/>
      <c r="DD34" s="883"/>
      <c r="DE34" s="883"/>
      <c r="DF34" s="883">
        <v>179</v>
      </c>
      <c r="DG34" s="883">
        <v>87</v>
      </c>
      <c r="DH34" s="883">
        <v>249</v>
      </c>
      <c r="DI34" s="883">
        <v>207</v>
      </c>
      <c r="DJ34" s="883">
        <v>250</v>
      </c>
      <c r="DK34" s="883">
        <v>198</v>
      </c>
      <c r="DL34" s="883">
        <v>151</v>
      </c>
      <c r="DM34" s="873">
        <v>212</v>
      </c>
      <c r="DN34" s="879">
        <f t="shared" si="30"/>
        <v>1533</v>
      </c>
      <c r="DO34" s="883"/>
      <c r="DP34" s="883"/>
      <c r="DQ34" s="883">
        <v>171</v>
      </c>
      <c r="DR34" s="883">
        <v>74</v>
      </c>
      <c r="DS34" s="883">
        <v>50</v>
      </c>
      <c r="DT34" s="883">
        <v>42</v>
      </c>
      <c r="DU34" s="883">
        <v>9</v>
      </c>
      <c r="DV34" s="883">
        <v>32</v>
      </c>
      <c r="DW34" s="883">
        <v>134</v>
      </c>
      <c r="DX34" s="883">
        <v>89</v>
      </c>
      <c r="DY34" s="883">
        <v>84</v>
      </c>
      <c r="DZ34" s="873">
        <v>152</v>
      </c>
      <c r="EA34" s="879">
        <f t="shared" si="31"/>
        <v>837</v>
      </c>
      <c r="EB34" s="883">
        <v>7052</v>
      </c>
      <c r="EC34" s="883">
        <v>0</v>
      </c>
      <c r="ED34" s="883">
        <v>0</v>
      </c>
      <c r="EE34" s="883">
        <v>4</v>
      </c>
      <c r="EF34" s="883">
        <v>22</v>
      </c>
      <c r="EG34" s="883">
        <v>61</v>
      </c>
      <c r="EH34" s="883">
        <v>13</v>
      </c>
      <c r="EI34" s="883">
        <v>16</v>
      </c>
      <c r="EJ34" s="883">
        <v>1</v>
      </c>
      <c r="EK34" s="883">
        <v>52</v>
      </c>
      <c r="EL34" s="883">
        <v>9</v>
      </c>
      <c r="EM34" s="873">
        <v>604</v>
      </c>
      <c r="EN34" s="879">
        <f>SUM(EB34:EM34)</f>
        <v>7834</v>
      </c>
      <c r="EO34" s="883">
        <v>0</v>
      </c>
      <c r="EP34" s="883">
        <v>0</v>
      </c>
      <c r="EQ34" s="883">
        <v>0</v>
      </c>
      <c r="ER34" s="883">
        <v>0</v>
      </c>
      <c r="ES34" s="883">
        <v>13</v>
      </c>
      <c r="ET34" s="883">
        <v>34</v>
      </c>
      <c r="EU34" s="883">
        <v>6</v>
      </c>
      <c r="EV34" s="973">
        <v>5</v>
      </c>
      <c r="EW34" s="883"/>
      <c r="EX34" s="883"/>
      <c r="EY34" s="883"/>
      <c r="EZ34" s="873"/>
      <c r="FA34" s="879">
        <f>SUM(EO34:EZ34)</f>
        <v>58</v>
      </c>
      <c r="FC34" s="843">
        <f t="shared" si="59"/>
        <v>-68.75</v>
      </c>
      <c r="FD34" s="844">
        <f t="shared" si="60"/>
        <v>-99.190848214285708</v>
      </c>
      <c r="FE34" s="845">
        <f t="shared" si="61"/>
        <v>7168</v>
      </c>
      <c r="FF34" s="846">
        <f t="shared" si="62"/>
        <v>58</v>
      </c>
      <c r="FH34" s="127"/>
    </row>
    <row r="35" spans="1:164" ht="15" customHeight="1" x14ac:dyDescent="0.25">
      <c r="A35" s="133"/>
      <c r="B35" s="880"/>
      <c r="C35" s="880"/>
      <c r="D35" s="880"/>
      <c r="E35" s="880"/>
      <c r="F35" s="880"/>
      <c r="G35" s="880"/>
      <c r="H35" s="880"/>
      <c r="I35" s="880"/>
      <c r="J35" s="880"/>
      <c r="K35" s="880"/>
      <c r="L35" s="880"/>
      <c r="M35" s="881"/>
      <c r="N35" s="882"/>
      <c r="O35" s="880"/>
      <c r="P35" s="880"/>
      <c r="Q35" s="880"/>
      <c r="R35" s="880"/>
      <c r="S35" s="880"/>
      <c r="T35" s="880"/>
      <c r="U35" s="880"/>
      <c r="V35" s="880"/>
      <c r="W35" s="880"/>
      <c r="X35" s="880"/>
      <c r="Y35" s="880"/>
      <c r="Z35" s="881"/>
      <c r="AA35" s="882"/>
      <c r="AB35" s="880"/>
      <c r="AC35" s="880"/>
      <c r="AD35" s="880"/>
      <c r="AE35" s="880"/>
      <c r="AF35" s="880"/>
      <c r="AG35" s="880"/>
      <c r="AH35" s="880"/>
      <c r="AI35" s="880"/>
      <c r="AJ35" s="880"/>
      <c r="AK35" s="880"/>
      <c r="AL35" s="880"/>
      <c r="AM35" s="881"/>
      <c r="AN35" s="882"/>
      <c r="AO35" s="880"/>
      <c r="AP35" s="880"/>
      <c r="AQ35" s="880"/>
      <c r="AR35" s="880"/>
      <c r="AS35" s="880"/>
      <c r="AT35" s="880"/>
      <c r="AU35" s="880"/>
      <c r="AV35" s="880"/>
      <c r="AW35" s="880"/>
      <c r="AX35" s="880"/>
      <c r="AY35" s="880"/>
      <c r="AZ35" s="881"/>
      <c r="BA35" s="882"/>
      <c r="BB35" s="880"/>
      <c r="BC35" s="880"/>
      <c r="BD35" s="880"/>
      <c r="BE35" s="880"/>
      <c r="BF35" s="880"/>
      <c r="BG35" s="880"/>
      <c r="BH35" s="880"/>
      <c r="BI35" s="880"/>
      <c r="BJ35" s="880"/>
      <c r="BK35" s="880"/>
      <c r="BL35" s="880"/>
      <c r="BM35" s="881"/>
      <c r="BN35" s="882"/>
      <c r="BO35" s="880"/>
      <c r="BP35" s="880"/>
      <c r="BQ35" s="880"/>
      <c r="BR35" s="880"/>
      <c r="BS35" s="880"/>
      <c r="BT35" s="880"/>
      <c r="BU35" s="880"/>
      <c r="BV35" s="880"/>
      <c r="BW35" s="880"/>
      <c r="BX35" s="880"/>
      <c r="BY35" s="880"/>
      <c r="BZ35" s="881"/>
      <c r="CA35" s="882"/>
      <c r="CB35" s="880"/>
      <c r="CC35" s="880"/>
      <c r="CD35" s="880"/>
      <c r="CE35" s="880"/>
      <c r="CF35" s="880"/>
      <c r="CG35" s="880"/>
      <c r="CH35" s="880"/>
      <c r="CI35" s="880"/>
      <c r="CJ35" s="880"/>
      <c r="CK35" s="880"/>
      <c r="CL35" s="880"/>
      <c r="CM35" s="881"/>
      <c r="CN35" s="882"/>
      <c r="CO35" s="880"/>
      <c r="CP35" s="880"/>
      <c r="CQ35" s="880"/>
      <c r="CR35" s="880"/>
      <c r="CS35" s="880"/>
      <c r="CT35" s="880"/>
      <c r="CU35" s="880"/>
      <c r="CV35" s="880"/>
      <c r="CW35" s="880"/>
      <c r="CX35" s="880"/>
      <c r="CY35" s="880"/>
      <c r="CZ35" s="881"/>
      <c r="DA35" s="882"/>
      <c r="DB35" s="880"/>
      <c r="DC35" s="880"/>
      <c r="DD35" s="880"/>
      <c r="DE35" s="880"/>
      <c r="DF35" s="880"/>
      <c r="DG35" s="880"/>
      <c r="DH35" s="880"/>
      <c r="DI35" s="880"/>
      <c r="DJ35" s="880"/>
      <c r="DK35" s="880"/>
      <c r="DL35" s="880"/>
      <c r="DM35" s="881"/>
      <c r="DN35" s="882"/>
      <c r="DO35" s="880"/>
      <c r="DP35" s="880"/>
      <c r="DQ35" s="880"/>
      <c r="DR35" s="880"/>
      <c r="DS35" s="880"/>
      <c r="DT35" s="880"/>
      <c r="DU35" s="880"/>
      <c r="DV35" s="880"/>
      <c r="DW35" s="880"/>
      <c r="DX35" s="880"/>
      <c r="DY35" s="880"/>
      <c r="DZ35" s="881"/>
      <c r="EA35" s="882"/>
      <c r="EB35" s="880"/>
      <c r="EC35" s="880"/>
      <c r="ED35" s="880"/>
      <c r="EE35" s="880"/>
      <c r="EF35" s="880"/>
      <c r="EG35" s="880"/>
      <c r="EH35" s="880"/>
      <c r="EI35" s="880"/>
      <c r="EJ35" s="880"/>
      <c r="EK35" s="880"/>
      <c r="EL35" s="880"/>
      <c r="EM35" s="881"/>
      <c r="EN35" s="882"/>
      <c r="EO35" s="880"/>
      <c r="EP35" s="880"/>
      <c r="EQ35" s="880"/>
      <c r="ER35" s="880"/>
      <c r="ES35" s="880"/>
      <c r="ET35" s="880"/>
      <c r="EU35" s="880"/>
      <c r="EV35" s="978"/>
      <c r="EW35" s="880"/>
      <c r="EX35" s="880"/>
      <c r="EY35" s="880"/>
      <c r="EZ35" s="881"/>
      <c r="FA35" s="882"/>
      <c r="FC35" s="340"/>
      <c r="FD35" s="228"/>
      <c r="FE35" s="305"/>
      <c r="FF35" s="218"/>
    </row>
    <row r="36" spans="1:164" ht="15" customHeight="1" x14ac:dyDescent="0.25">
      <c r="A36" s="131" t="s">
        <v>471</v>
      </c>
      <c r="FC36" s="205"/>
      <c r="FD36" s="205"/>
    </row>
    <row r="37" spans="1:164" ht="15" customHeight="1" x14ac:dyDescent="0.25">
      <c r="A37" s="175" t="s">
        <v>472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FC37" s="205"/>
      <c r="FD37" s="205"/>
    </row>
    <row r="38" spans="1:164" ht="15" customHeight="1" x14ac:dyDescent="0.25">
      <c r="A38" t="s">
        <v>145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 s="961"/>
      <c r="EW38"/>
      <c r="EX38"/>
      <c r="EY38"/>
      <c r="EZ38"/>
      <c r="FA38"/>
      <c r="FC38"/>
      <c r="FD38"/>
      <c r="FE38"/>
      <c r="FF38"/>
      <c r="FH38"/>
    </row>
    <row r="39" spans="1:164" ht="15" customHeight="1" x14ac:dyDescent="0.25">
      <c r="A39" t="s">
        <v>666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 s="961"/>
      <c r="EW39"/>
      <c r="EX39"/>
      <c r="EY39"/>
      <c r="EZ39"/>
      <c r="FA39"/>
      <c r="FC39"/>
      <c r="FD39"/>
      <c r="FE39"/>
      <c r="FF39"/>
      <c r="FH39"/>
    </row>
    <row r="40" spans="1:164" ht="15" customHeight="1" x14ac:dyDescent="0.25">
      <c r="A40" t="s">
        <v>667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 s="961"/>
      <c r="EW40"/>
      <c r="EX40"/>
      <c r="EY40"/>
      <c r="EZ40"/>
      <c r="FA40"/>
      <c r="FC40"/>
      <c r="FD40"/>
      <c r="FE40"/>
      <c r="FF40"/>
      <c r="FH40"/>
    </row>
    <row r="41" spans="1:164" ht="15" customHeight="1" x14ac:dyDescent="0.25">
      <c r="A41" t="s">
        <v>668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 s="961"/>
      <c r="EW41"/>
      <c r="EX41"/>
      <c r="EY41"/>
      <c r="EZ41"/>
      <c r="FA41"/>
      <c r="FC41"/>
      <c r="FD41"/>
      <c r="FE41"/>
      <c r="FF41"/>
      <c r="FH41"/>
    </row>
    <row r="42" spans="1:164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 s="961"/>
      <c r="EW42"/>
      <c r="EX42"/>
      <c r="EY42"/>
      <c r="EZ42"/>
      <c r="FA42"/>
      <c r="FC42"/>
      <c r="FD42"/>
      <c r="FE42"/>
      <c r="FF42"/>
      <c r="FH42"/>
    </row>
    <row r="43" spans="1:164" ht="1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 s="961"/>
      <c r="EW43"/>
      <c r="EX43"/>
      <c r="EY43"/>
      <c r="EZ43"/>
      <c r="FA43"/>
      <c r="FC43"/>
      <c r="FD43"/>
      <c r="FE43"/>
      <c r="FF43"/>
      <c r="FH43"/>
    </row>
    <row r="44" spans="1:164" ht="1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 s="961"/>
      <c r="EW44"/>
      <c r="EX44"/>
      <c r="EY44"/>
      <c r="EZ44"/>
      <c r="FA44"/>
      <c r="FC44"/>
      <c r="FD44"/>
      <c r="FE44"/>
      <c r="FF44"/>
      <c r="FH44"/>
    </row>
    <row r="45" spans="1:164" ht="1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 s="961"/>
      <c r="EW45"/>
      <c r="EX45"/>
      <c r="EY45"/>
      <c r="EZ45"/>
      <c r="FA45"/>
      <c r="FC45"/>
      <c r="FD45"/>
      <c r="FE45"/>
      <c r="FF45"/>
      <c r="FH45"/>
    </row>
    <row r="46" spans="1:164" ht="1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 s="961"/>
      <c r="EW46"/>
      <c r="EX46"/>
      <c r="EY46"/>
      <c r="EZ46"/>
      <c r="FA46"/>
      <c r="FC46"/>
      <c r="FD46"/>
      <c r="FE46"/>
      <c r="FF46"/>
      <c r="FH46"/>
    </row>
    <row r="47" spans="1:164" ht="1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 s="961"/>
      <c r="EW47"/>
      <c r="EX47"/>
      <c r="EY47"/>
      <c r="EZ47"/>
      <c r="FA47"/>
      <c r="FC47"/>
      <c r="FD47"/>
      <c r="FE47"/>
      <c r="FF47"/>
      <c r="FH47"/>
    </row>
    <row r="48" spans="1:164" ht="1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 s="961"/>
      <c r="EW48"/>
      <c r="EX48"/>
      <c r="EY48"/>
      <c r="EZ48"/>
      <c r="FA48"/>
      <c r="FC48"/>
      <c r="FD48"/>
      <c r="FE48"/>
      <c r="FF48"/>
      <c r="FH48"/>
    </row>
    <row r="49" spans="152:152" customFormat="1" ht="15" customHeight="1" x14ac:dyDescent="0.25">
      <c r="EV49" s="961"/>
    </row>
    <row r="50" spans="152:152" customFormat="1" ht="15" customHeight="1" x14ac:dyDescent="0.25">
      <c r="EV50" s="961"/>
    </row>
    <row r="51" spans="152:152" customFormat="1" ht="15" customHeight="1" x14ac:dyDescent="0.25">
      <c r="EV51" s="961"/>
    </row>
    <row r="52" spans="152:152" customFormat="1" ht="15" customHeight="1" x14ac:dyDescent="0.25">
      <c r="EV52" s="961"/>
    </row>
    <row r="53" spans="152:152" customFormat="1" ht="15" customHeight="1" x14ac:dyDescent="0.25">
      <c r="EV53" s="961"/>
    </row>
    <row r="54" spans="152:152" customFormat="1" ht="15" customHeight="1" x14ac:dyDescent="0.25">
      <c r="EV54" s="961"/>
    </row>
    <row r="55" spans="152:152" customFormat="1" ht="15" customHeight="1" x14ac:dyDescent="0.25">
      <c r="EV55" s="961"/>
    </row>
    <row r="56" spans="152:152" customFormat="1" ht="15" customHeight="1" x14ac:dyDescent="0.25">
      <c r="EV56" s="961"/>
    </row>
    <row r="57" spans="152:152" customFormat="1" ht="15" customHeight="1" x14ac:dyDescent="0.25">
      <c r="EV57" s="961"/>
    </row>
    <row r="58" spans="152:152" customFormat="1" ht="15" customHeight="1" x14ac:dyDescent="0.25">
      <c r="EV58" s="961"/>
    </row>
    <row r="59" spans="152:152" customFormat="1" ht="15" customHeight="1" x14ac:dyDescent="0.25">
      <c r="EV59" s="961"/>
    </row>
    <row r="60" spans="152:152" customFormat="1" ht="15" customHeight="1" x14ac:dyDescent="0.25">
      <c r="EV60" s="961"/>
    </row>
    <row r="61" spans="152:152" customFormat="1" ht="15" customHeight="1" x14ac:dyDescent="0.25">
      <c r="EV61" s="961"/>
    </row>
    <row r="62" spans="152:152" customFormat="1" ht="15" customHeight="1" x14ac:dyDescent="0.25">
      <c r="EV62" s="961"/>
    </row>
    <row r="63" spans="152:152" customFormat="1" ht="15" customHeight="1" x14ac:dyDescent="0.25">
      <c r="EV63" s="961"/>
    </row>
    <row r="64" spans="152:152" customFormat="1" ht="15" customHeight="1" x14ac:dyDescent="0.25">
      <c r="EV64" s="961"/>
    </row>
    <row r="65" spans="152:152" customFormat="1" ht="15" customHeight="1" x14ac:dyDescent="0.25">
      <c r="EV65" s="961"/>
    </row>
    <row r="66" spans="152:152" customFormat="1" ht="15" customHeight="1" x14ac:dyDescent="0.25">
      <c r="EV66" s="961"/>
    </row>
    <row r="67" spans="152:152" customFormat="1" ht="15" customHeight="1" x14ac:dyDescent="0.25">
      <c r="EV67" s="961"/>
    </row>
    <row r="68" spans="152:152" customFormat="1" ht="15" customHeight="1" x14ac:dyDescent="0.25">
      <c r="EV68" s="961"/>
    </row>
    <row r="69" spans="152:152" customFormat="1" ht="15" customHeight="1" x14ac:dyDescent="0.25">
      <c r="EV69" s="961"/>
    </row>
    <row r="70" spans="152:152" customFormat="1" ht="15" customHeight="1" x14ac:dyDescent="0.25">
      <c r="EV70" s="961"/>
    </row>
    <row r="71" spans="152:152" customFormat="1" ht="15" customHeight="1" x14ac:dyDescent="0.25">
      <c r="EV71" s="961"/>
    </row>
    <row r="72" spans="152:152" customFormat="1" ht="15" customHeight="1" x14ac:dyDescent="0.25">
      <c r="EV72" s="961"/>
    </row>
    <row r="73" spans="152:152" customFormat="1" ht="15" customHeight="1" x14ac:dyDescent="0.25">
      <c r="EV73" s="961"/>
    </row>
    <row r="74" spans="152:152" customFormat="1" ht="15" customHeight="1" x14ac:dyDescent="0.25">
      <c r="EV74" s="961"/>
    </row>
    <row r="75" spans="152:152" customFormat="1" ht="15" customHeight="1" x14ac:dyDescent="0.25">
      <c r="EV75" s="961"/>
    </row>
    <row r="76" spans="152:152" customFormat="1" ht="15" customHeight="1" x14ac:dyDescent="0.25">
      <c r="EV76" s="961"/>
    </row>
    <row r="77" spans="152:152" customFormat="1" ht="15" customHeight="1" x14ac:dyDescent="0.25">
      <c r="EV77" s="961"/>
    </row>
    <row r="78" spans="152:152" customFormat="1" ht="15" customHeight="1" x14ac:dyDescent="0.25">
      <c r="EV78" s="961"/>
    </row>
    <row r="79" spans="152:152" customFormat="1" ht="15" customHeight="1" x14ac:dyDescent="0.25">
      <c r="EV79" s="961"/>
    </row>
    <row r="80" spans="152:152" customFormat="1" ht="15" customHeight="1" x14ac:dyDescent="0.25">
      <c r="EV80" s="961"/>
    </row>
    <row r="81" spans="152:152" customFormat="1" ht="15" customHeight="1" x14ac:dyDescent="0.25">
      <c r="EV81" s="961"/>
    </row>
    <row r="82" spans="152:152" customFormat="1" ht="15" customHeight="1" x14ac:dyDescent="0.25">
      <c r="EV82" s="961"/>
    </row>
    <row r="83" spans="152:152" customFormat="1" ht="15" customHeight="1" x14ac:dyDescent="0.25">
      <c r="EV83" s="961"/>
    </row>
    <row r="84" spans="152:152" customFormat="1" ht="15" customHeight="1" x14ac:dyDescent="0.25">
      <c r="EV84" s="961"/>
    </row>
    <row r="85" spans="152:152" customFormat="1" ht="15" customHeight="1" x14ac:dyDescent="0.25">
      <c r="EV85" s="961"/>
    </row>
    <row r="86" spans="152:152" customFormat="1" ht="15" customHeight="1" x14ac:dyDescent="0.25">
      <c r="EV86" s="961"/>
    </row>
    <row r="87" spans="152:152" customFormat="1" ht="15" customHeight="1" x14ac:dyDescent="0.25">
      <c r="EV87" s="961"/>
    </row>
    <row r="88" spans="152:152" customFormat="1" ht="15" customHeight="1" x14ac:dyDescent="0.25">
      <c r="EV88" s="961"/>
    </row>
    <row r="89" spans="152:152" customFormat="1" ht="15" customHeight="1" x14ac:dyDescent="0.25">
      <c r="EV89" s="961"/>
    </row>
    <row r="90" spans="152:152" customFormat="1" ht="15" customHeight="1" x14ac:dyDescent="0.25">
      <c r="EV90" s="961"/>
    </row>
    <row r="91" spans="152:152" customFormat="1" ht="15" customHeight="1" x14ac:dyDescent="0.25">
      <c r="EV91" s="961"/>
    </row>
    <row r="92" spans="152:152" customFormat="1" ht="15" customHeight="1" x14ac:dyDescent="0.25">
      <c r="EV92" s="961"/>
    </row>
    <row r="93" spans="152:152" customFormat="1" ht="15" customHeight="1" x14ac:dyDescent="0.25">
      <c r="EV93" s="961"/>
    </row>
    <row r="94" spans="152:152" customFormat="1" ht="15" customHeight="1" x14ac:dyDescent="0.25">
      <c r="EV94" s="961"/>
    </row>
    <row r="95" spans="152:152" customFormat="1" ht="15" customHeight="1" x14ac:dyDescent="0.25">
      <c r="EV95" s="961"/>
    </row>
  </sheetData>
  <mergeCells count="1">
    <mergeCell ref="FC4:FD4"/>
  </mergeCells>
  <printOptions horizontalCentered="1" verticalCentered="1"/>
  <pageMargins left="0.75" right="0.75" top="1" bottom="1" header="0" footer="0"/>
  <pageSetup paperSize="9" scale="1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59999389629810485"/>
    <pageSetUpPr fitToPage="1"/>
  </sheetPr>
  <dimension ref="A1:FG93"/>
  <sheetViews>
    <sheetView showGridLines="0" view="pageBreakPreview" zoomScale="90" zoomScaleNormal="80" zoomScaleSheetLayoutView="90" workbookViewId="0">
      <pane xSplit="1" topLeftCell="EB1" activePane="topRight" state="frozen"/>
      <selection activeCell="FG21" sqref="FG21"/>
      <selection pane="topRight" activeCell="EV7" sqref="EV7"/>
    </sheetView>
  </sheetViews>
  <sheetFormatPr baseColWidth="10" defaultColWidth="9.7109375" defaultRowHeight="15" customHeight="1" x14ac:dyDescent="0.25"/>
  <cols>
    <col min="1" max="1" width="30.7109375" style="126" customWidth="1"/>
    <col min="2" max="144" width="9.7109375" style="126"/>
    <col min="145" max="145" width="9.28515625" style="126" customWidth="1"/>
    <col min="146" max="147" width="9" style="126" customWidth="1"/>
    <col min="148" max="149" width="9.7109375" style="126"/>
    <col min="150" max="151" width="9.7109375" style="126" customWidth="1"/>
    <col min="152" max="152" width="9.7109375" style="946" customWidth="1"/>
    <col min="153" max="154" width="9.7109375" style="126" customWidth="1"/>
    <col min="155" max="156" width="9.7109375" style="126"/>
    <col min="157" max="157" width="9.7109375" style="126" customWidth="1"/>
    <col min="158" max="158" width="4.28515625" customWidth="1"/>
    <col min="159" max="159" width="11.42578125" style="126" customWidth="1"/>
    <col min="160" max="160" width="11.85546875" style="126" customWidth="1"/>
    <col min="161" max="162" width="9.7109375" style="126" customWidth="1"/>
    <col min="163" max="16384" width="9.7109375" style="126"/>
  </cols>
  <sheetData>
    <row r="1" spans="1:162" ht="15" customHeight="1" x14ac:dyDescent="0.25">
      <c r="A1" s="125" t="s">
        <v>239</v>
      </c>
    </row>
    <row r="2" spans="1:162" ht="15" customHeight="1" x14ac:dyDescent="0.25">
      <c r="A2" s="125" t="s">
        <v>473</v>
      </c>
      <c r="BP2" s="127"/>
      <c r="BQ2" s="127"/>
      <c r="BR2" s="127"/>
      <c r="BS2" s="127"/>
      <c r="BT2" s="127"/>
      <c r="BU2" s="127"/>
      <c r="BV2" s="127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</row>
    <row r="3" spans="1:162" ht="15" customHeight="1" x14ac:dyDescent="0.25">
      <c r="A3" s="128" t="s">
        <v>305</v>
      </c>
    </row>
    <row r="4" spans="1:162" ht="15" customHeight="1" x14ac:dyDescent="0.25">
      <c r="A4" s="165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 t="s">
        <v>83</v>
      </c>
      <c r="O4" s="102">
        <v>2016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4" t="s">
        <v>83</v>
      </c>
      <c r="AB4" s="102">
        <v>2017</v>
      </c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4" t="s">
        <v>83</v>
      </c>
      <c r="AO4" s="102">
        <v>2018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4" t="s">
        <v>83</v>
      </c>
      <c r="BB4" s="102">
        <v>2019</v>
      </c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4" t="s">
        <v>83</v>
      </c>
      <c r="BO4" s="102">
        <v>2020</v>
      </c>
      <c r="BP4" s="103"/>
      <c r="BQ4" s="103"/>
      <c r="BR4" s="103"/>
      <c r="BS4" s="103"/>
      <c r="BT4" s="103"/>
      <c r="BU4" s="103"/>
      <c r="BV4" s="103"/>
      <c r="BW4" s="103"/>
      <c r="BX4" s="103"/>
      <c r="BY4" s="103"/>
      <c r="BZ4" s="103"/>
      <c r="CA4" s="104" t="s">
        <v>83</v>
      </c>
      <c r="CB4" s="102">
        <v>2021</v>
      </c>
      <c r="CC4" s="103"/>
      <c r="CD4" s="103"/>
      <c r="CE4" s="103"/>
      <c r="CF4" s="103"/>
      <c r="CG4" s="103"/>
      <c r="CH4" s="103"/>
      <c r="CI4" s="103"/>
      <c r="CJ4" s="103"/>
      <c r="CK4" s="103"/>
      <c r="CL4" s="103"/>
      <c r="CM4" s="103"/>
      <c r="CN4" s="104" t="s">
        <v>83</v>
      </c>
      <c r="CO4" s="102">
        <v>2022</v>
      </c>
      <c r="CP4" s="103"/>
      <c r="CQ4" s="103"/>
      <c r="CR4" s="103"/>
      <c r="CS4" s="103"/>
      <c r="CT4" s="103"/>
      <c r="CU4" s="103"/>
      <c r="CV4" s="103"/>
      <c r="CW4" s="103"/>
      <c r="CX4" s="103"/>
      <c r="CY4" s="103"/>
      <c r="CZ4" s="103"/>
      <c r="DA4" s="104" t="s">
        <v>83</v>
      </c>
      <c r="DB4" s="102">
        <v>2023</v>
      </c>
      <c r="DC4" s="103"/>
      <c r="DD4" s="103"/>
      <c r="DE4" s="103"/>
      <c r="DF4" s="103"/>
      <c r="DG4" s="103"/>
      <c r="DH4" s="103"/>
      <c r="DI4" s="103"/>
      <c r="DJ4" s="103"/>
      <c r="DK4" s="103"/>
      <c r="DL4" s="103"/>
      <c r="DM4" s="103"/>
      <c r="DN4" s="104" t="s">
        <v>83</v>
      </c>
      <c r="DO4" s="102">
        <v>2024</v>
      </c>
      <c r="DP4" s="103"/>
      <c r="DQ4" s="103"/>
      <c r="DR4" s="103"/>
      <c r="DS4" s="103"/>
      <c r="DT4" s="103"/>
      <c r="DU4" s="103"/>
      <c r="DV4" s="103"/>
      <c r="DW4" s="103"/>
      <c r="DX4" s="103"/>
      <c r="DY4" s="103"/>
      <c r="DZ4" s="103"/>
      <c r="EA4" s="104" t="s">
        <v>83</v>
      </c>
      <c r="EB4" s="102">
        <v>2025</v>
      </c>
      <c r="EC4" s="103"/>
      <c r="ED4" s="103"/>
      <c r="EE4" s="103"/>
      <c r="EF4" s="103"/>
      <c r="EG4" s="103"/>
      <c r="EH4" s="103"/>
      <c r="EI4" s="103"/>
      <c r="EJ4" s="103"/>
      <c r="EK4" s="103"/>
      <c r="EL4" s="103"/>
      <c r="EM4" s="103"/>
      <c r="EN4" s="104" t="s">
        <v>83</v>
      </c>
      <c r="EO4" s="102">
        <v>2026</v>
      </c>
      <c r="EP4" s="103"/>
      <c r="EQ4" s="103"/>
      <c r="ER4" s="103"/>
      <c r="ES4" s="103"/>
      <c r="ET4" s="103"/>
      <c r="EU4" s="103"/>
      <c r="EV4" s="948"/>
      <c r="EW4" s="103"/>
      <c r="EX4" s="103"/>
      <c r="EY4" s="103"/>
      <c r="EZ4" s="103"/>
      <c r="FA4" s="104" t="s">
        <v>83</v>
      </c>
      <c r="FC4" s="982" t="str">
        <f>CONCATENATE("Var.% ",FF4,"/",FE4)</f>
        <v>Var.% 2026/2025</v>
      </c>
      <c r="FD4" s="983"/>
      <c r="FE4" s="105">
        <f>FF4-1</f>
        <v>2025</v>
      </c>
      <c r="FF4" s="105">
        <f>YEAR(FC5)</f>
        <v>2026</v>
      </c>
    </row>
    <row r="5" spans="1:162" ht="15" customHeight="1" x14ac:dyDescent="0.25">
      <c r="A5" s="232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107">
        <v>42339</v>
      </c>
      <c r="N5" s="108">
        <f t="shared" ref="N5" si="0">YEAR(M5)</f>
        <v>2015</v>
      </c>
      <c r="O5" s="106">
        <v>42370</v>
      </c>
      <c r="P5" s="107">
        <v>42401</v>
      </c>
      <c r="Q5" s="107">
        <v>42430</v>
      </c>
      <c r="R5" s="107">
        <v>42461</v>
      </c>
      <c r="S5" s="107">
        <v>42491</v>
      </c>
      <c r="T5" s="107">
        <v>42522</v>
      </c>
      <c r="U5" s="107">
        <v>42552</v>
      </c>
      <c r="V5" s="107">
        <v>42583</v>
      </c>
      <c r="W5" s="107">
        <v>42614</v>
      </c>
      <c r="X5" s="107">
        <v>42644</v>
      </c>
      <c r="Y5" s="107">
        <v>42675</v>
      </c>
      <c r="Z5" s="107">
        <v>42705</v>
      </c>
      <c r="AA5" s="108">
        <f t="shared" ref="AA5" si="1">YEAR(Z5)</f>
        <v>2016</v>
      </c>
      <c r="AB5" s="106">
        <v>42736</v>
      </c>
      <c r="AC5" s="107">
        <v>42767</v>
      </c>
      <c r="AD5" s="107">
        <v>42795</v>
      </c>
      <c r="AE5" s="107">
        <v>42826</v>
      </c>
      <c r="AF5" s="107">
        <v>42856</v>
      </c>
      <c r="AG5" s="107">
        <v>42887</v>
      </c>
      <c r="AH5" s="107">
        <v>42917</v>
      </c>
      <c r="AI5" s="107">
        <v>42948</v>
      </c>
      <c r="AJ5" s="107">
        <v>42979</v>
      </c>
      <c r="AK5" s="107">
        <v>43009</v>
      </c>
      <c r="AL5" s="107">
        <v>43040</v>
      </c>
      <c r="AM5" s="107">
        <v>43070</v>
      </c>
      <c r="AN5" s="108">
        <f t="shared" ref="AN5" si="2">YEAR(AM5)</f>
        <v>2017</v>
      </c>
      <c r="AO5" s="106">
        <v>43101</v>
      </c>
      <c r="AP5" s="107">
        <v>43132</v>
      </c>
      <c r="AQ5" s="107">
        <v>43160</v>
      </c>
      <c r="AR5" s="107">
        <v>43191</v>
      </c>
      <c r="AS5" s="107">
        <v>43221</v>
      </c>
      <c r="AT5" s="107">
        <v>43252</v>
      </c>
      <c r="AU5" s="107">
        <v>43282</v>
      </c>
      <c r="AV5" s="107">
        <v>43313</v>
      </c>
      <c r="AW5" s="107">
        <v>43344</v>
      </c>
      <c r="AX5" s="107">
        <v>43374</v>
      </c>
      <c r="AY5" s="107">
        <v>43405</v>
      </c>
      <c r="AZ5" s="107">
        <v>43435</v>
      </c>
      <c r="BA5" s="108">
        <f t="shared" ref="BA5" si="3">YEAR(AZ5)</f>
        <v>2018</v>
      </c>
      <c r="BB5" s="106">
        <v>43466</v>
      </c>
      <c r="BC5" s="107">
        <v>43497</v>
      </c>
      <c r="BD5" s="107">
        <v>43525</v>
      </c>
      <c r="BE5" s="107">
        <v>43556</v>
      </c>
      <c r="BF5" s="107">
        <v>43586</v>
      </c>
      <c r="BG5" s="107">
        <v>43617</v>
      </c>
      <c r="BH5" s="107">
        <v>43647</v>
      </c>
      <c r="BI5" s="107">
        <v>43678</v>
      </c>
      <c r="BJ5" s="107">
        <v>43709</v>
      </c>
      <c r="BK5" s="107">
        <v>43739</v>
      </c>
      <c r="BL5" s="107">
        <v>43770</v>
      </c>
      <c r="BM5" s="107">
        <v>43800</v>
      </c>
      <c r="BN5" s="108">
        <f t="shared" ref="BN5" si="4">YEAR(BM5)</f>
        <v>2019</v>
      </c>
      <c r="BO5" s="106">
        <v>43831</v>
      </c>
      <c r="BP5" s="107">
        <v>43862</v>
      </c>
      <c r="BQ5" s="107">
        <v>43891</v>
      </c>
      <c r="BR5" s="107">
        <v>43922</v>
      </c>
      <c r="BS5" s="107">
        <v>43952</v>
      </c>
      <c r="BT5" s="107">
        <v>43983</v>
      </c>
      <c r="BU5" s="107">
        <v>44013</v>
      </c>
      <c r="BV5" s="107">
        <v>44044</v>
      </c>
      <c r="BW5" s="107">
        <v>44075</v>
      </c>
      <c r="BX5" s="107">
        <v>44105</v>
      </c>
      <c r="BY5" s="107">
        <v>44136</v>
      </c>
      <c r="BZ5" s="107">
        <v>44166</v>
      </c>
      <c r="CA5" s="108">
        <f t="shared" ref="CA5" si="5">YEAR(BZ5)</f>
        <v>2020</v>
      </c>
      <c r="CB5" s="106">
        <v>44197</v>
      </c>
      <c r="CC5" s="107">
        <v>44228</v>
      </c>
      <c r="CD5" s="107">
        <v>44256</v>
      </c>
      <c r="CE5" s="107">
        <v>44287</v>
      </c>
      <c r="CF5" s="107">
        <v>44317</v>
      </c>
      <c r="CG5" s="107">
        <v>44348</v>
      </c>
      <c r="CH5" s="107">
        <v>44378</v>
      </c>
      <c r="CI5" s="107">
        <v>44409</v>
      </c>
      <c r="CJ5" s="107">
        <v>44440</v>
      </c>
      <c r="CK5" s="107">
        <v>44470</v>
      </c>
      <c r="CL5" s="107">
        <v>44501</v>
      </c>
      <c r="CM5" s="107">
        <v>44531</v>
      </c>
      <c r="CN5" s="108">
        <f t="shared" ref="CN5" si="6">YEAR(CM5)</f>
        <v>2021</v>
      </c>
      <c r="CO5" s="106">
        <v>44562</v>
      </c>
      <c r="CP5" s="107">
        <v>44593</v>
      </c>
      <c r="CQ5" s="107">
        <v>44621</v>
      </c>
      <c r="CR5" s="107">
        <v>44652</v>
      </c>
      <c r="CS5" s="107">
        <v>44682</v>
      </c>
      <c r="CT5" s="107">
        <v>44713</v>
      </c>
      <c r="CU5" s="107">
        <v>44743</v>
      </c>
      <c r="CV5" s="107">
        <v>44774</v>
      </c>
      <c r="CW5" s="107">
        <v>44805</v>
      </c>
      <c r="CX5" s="107">
        <v>44835</v>
      </c>
      <c r="CY5" s="107">
        <v>44866</v>
      </c>
      <c r="CZ5" s="107">
        <v>44896</v>
      </c>
      <c r="DA5" s="108">
        <f t="shared" ref="DA5" si="7">YEAR(CZ5)</f>
        <v>2022</v>
      </c>
      <c r="DB5" s="106">
        <v>44927</v>
      </c>
      <c r="DC5" s="107">
        <v>44958</v>
      </c>
      <c r="DD5" s="107">
        <v>44986</v>
      </c>
      <c r="DE5" s="107">
        <v>45017</v>
      </c>
      <c r="DF5" s="107">
        <v>45047</v>
      </c>
      <c r="DG5" s="107">
        <v>45078</v>
      </c>
      <c r="DH5" s="107">
        <v>45108</v>
      </c>
      <c r="DI5" s="107">
        <v>45139</v>
      </c>
      <c r="DJ5" s="107">
        <v>45170</v>
      </c>
      <c r="DK5" s="107">
        <v>45200</v>
      </c>
      <c r="DL5" s="107">
        <v>45231</v>
      </c>
      <c r="DM5" s="107">
        <v>45261</v>
      </c>
      <c r="DN5" s="108">
        <f t="shared" ref="DN5" si="8">YEAR(DM5)</f>
        <v>2023</v>
      </c>
      <c r="DO5" s="106">
        <v>45292</v>
      </c>
      <c r="DP5" s="107">
        <v>45323</v>
      </c>
      <c r="DQ5" s="107">
        <v>45352</v>
      </c>
      <c r="DR5" s="107">
        <v>45383</v>
      </c>
      <c r="DS5" s="107">
        <v>45413</v>
      </c>
      <c r="DT5" s="107">
        <v>45444</v>
      </c>
      <c r="DU5" s="107">
        <v>45474</v>
      </c>
      <c r="DV5" s="107">
        <v>45505</v>
      </c>
      <c r="DW5" s="107">
        <v>45536</v>
      </c>
      <c r="DX5" s="107">
        <v>45566</v>
      </c>
      <c r="DY5" s="107">
        <v>45597</v>
      </c>
      <c r="DZ5" s="107">
        <v>45627</v>
      </c>
      <c r="EA5" s="108">
        <f t="shared" ref="EA5" si="9">YEAR(DZ5)</f>
        <v>2024</v>
      </c>
      <c r="EB5" s="106">
        <v>45658</v>
      </c>
      <c r="EC5" s="107">
        <v>45689</v>
      </c>
      <c r="ED5" s="107">
        <v>45717</v>
      </c>
      <c r="EE5" s="107">
        <v>45748</v>
      </c>
      <c r="EF5" s="107">
        <v>45778</v>
      </c>
      <c r="EG5" s="107">
        <v>45809</v>
      </c>
      <c r="EH5" s="107">
        <v>45839</v>
      </c>
      <c r="EI5" s="107">
        <v>45870</v>
      </c>
      <c r="EJ5" s="107">
        <v>45901</v>
      </c>
      <c r="EK5" s="107">
        <v>45931</v>
      </c>
      <c r="EL5" s="107">
        <v>45962</v>
      </c>
      <c r="EM5" s="107">
        <v>45992</v>
      </c>
      <c r="EN5" s="108">
        <f>YEAR(EM5)</f>
        <v>2025</v>
      </c>
      <c r="EO5" s="106">
        <v>46023</v>
      </c>
      <c r="EP5" s="107">
        <v>46054</v>
      </c>
      <c r="EQ5" s="107">
        <v>46082</v>
      </c>
      <c r="ER5" s="107">
        <v>46113</v>
      </c>
      <c r="ES5" s="107">
        <v>46143</v>
      </c>
      <c r="ET5" s="107">
        <v>46174</v>
      </c>
      <c r="EU5" s="107">
        <v>46204</v>
      </c>
      <c r="EV5" s="949">
        <v>46235</v>
      </c>
      <c r="EW5" s="107">
        <v>46266</v>
      </c>
      <c r="EX5" s="107">
        <v>46296</v>
      </c>
      <c r="EY5" s="107">
        <v>46327</v>
      </c>
      <c r="EZ5" s="107">
        <v>46357</v>
      </c>
      <c r="FA5" s="108">
        <f>YEAR(EZ5)</f>
        <v>2026</v>
      </c>
      <c r="FC5" s="106">
        <f>EV5</f>
        <v>46235</v>
      </c>
      <c r="FD5" s="109" t="str">
        <f>CONCATENATE("Ene.-",TEXT(FC5,"MMM."))</f>
        <v>Ene.-Ago.</v>
      </c>
      <c r="FE5" s="109" t="str">
        <f>FD5</f>
        <v>Ene.-Ago.</v>
      </c>
      <c r="FF5" s="109" t="str">
        <f>FD5</f>
        <v>Ene.-Ago.</v>
      </c>
    </row>
    <row r="6" spans="1:162" ht="15" customHeight="1" x14ac:dyDescent="0.25">
      <c r="A6" s="138"/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241"/>
      <c r="N6" s="24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241"/>
      <c r="AA6" s="24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241"/>
      <c r="AN6" s="24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1"/>
      <c r="AZ6" s="241"/>
      <c r="BA6" s="24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241"/>
      <c r="BN6" s="24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241"/>
      <c r="CA6" s="24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241"/>
      <c r="CN6" s="24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241"/>
      <c r="DA6" s="24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241"/>
      <c r="DN6" s="241"/>
      <c r="DO6" s="151"/>
      <c r="DP6" s="151"/>
      <c r="DQ6" s="151"/>
      <c r="DR6" s="151"/>
      <c r="DS6" s="151"/>
      <c r="DT6" s="151"/>
      <c r="DU6" s="151"/>
      <c r="DV6" s="151"/>
      <c r="DW6" s="151"/>
      <c r="DX6" s="151"/>
      <c r="DY6" s="151"/>
      <c r="DZ6" s="241"/>
      <c r="EA6" s="241"/>
      <c r="EB6" s="151"/>
      <c r="EC6" s="151"/>
      <c r="ED6" s="151"/>
      <c r="EE6" s="151"/>
      <c r="EF6" s="151"/>
      <c r="EG6" s="151"/>
      <c r="EH6" s="151"/>
      <c r="EI6" s="151"/>
      <c r="EJ6" s="151"/>
      <c r="EK6" s="151"/>
      <c r="EL6" s="151"/>
      <c r="EM6" s="241"/>
      <c r="EN6" s="241"/>
      <c r="EO6" s="151"/>
      <c r="EP6" s="151"/>
      <c r="EQ6" s="151"/>
      <c r="ER6" s="151"/>
      <c r="ES6" s="151"/>
      <c r="ET6" s="151"/>
      <c r="EU6" s="151"/>
      <c r="EV6" s="950"/>
      <c r="EW6" s="151"/>
      <c r="EX6" s="151"/>
      <c r="EY6" s="151"/>
      <c r="EZ6" s="241"/>
      <c r="FA6" s="241"/>
      <c r="FC6" s="409"/>
      <c r="FD6" s="409"/>
      <c r="FE6" s="400"/>
      <c r="FF6" s="400"/>
    </row>
    <row r="7" spans="1:162" ht="15" customHeight="1" x14ac:dyDescent="0.25">
      <c r="A7" s="141" t="s">
        <v>151</v>
      </c>
      <c r="B7" s="147">
        <f t="shared" ref="B7:M7" si="10">B8+B18+B23</f>
        <v>44156</v>
      </c>
      <c r="C7" s="147">
        <f t="shared" si="10"/>
        <v>29461</v>
      </c>
      <c r="D7" s="147">
        <f t="shared" si="10"/>
        <v>30224</v>
      </c>
      <c r="E7" s="147">
        <f t="shared" si="10"/>
        <v>23170</v>
      </c>
      <c r="F7" s="147">
        <f t="shared" si="10"/>
        <v>36648</v>
      </c>
      <c r="G7" s="147">
        <f t="shared" si="10"/>
        <v>28363</v>
      </c>
      <c r="H7" s="147">
        <f t="shared" si="10"/>
        <v>26915</v>
      </c>
      <c r="I7" s="147">
        <f t="shared" si="10"/>
        <v>24663</v>
      </c>
      <c r="J7" s="147">
        <f t="shared" si="10"/>
        <v>19409</v>
      </c>
      <c r="K7" s="147">
        <f t="shared" si="10"/>
        <v>22017</v>
      </c>
      <c r="L7" s="147">
        <f t="shared" si="10"/>
        <v>29387</v>
      </c>
      <c r="M7" s="273">
        <f t="shared" si="10"/>
        <v>19205</v>
      </c>
      <c r="N7" s="273">
        <f>SUM(B7:M7)</f>
        <v>333618</v>
      </c>
      <c r="O7" s="147">
        <f t="shared" ref="O7:Z7" si="11">O8+O18+O23</f>
        <v>49383</v>
      </c>
      <c r="P7" s="147">
        <f t="shared" si="11"/>
        <v>14009</v>
      </c>
      <c r="Q7" s="147">
        <f t="shared" si="11"/>
        <v>40837</v>
      </c>
      <c r="R7" s="147">
        <f t="shared" si="11"/>
        <v>21231</v>
      </c>
      <c r="S7" s="147">
        <f t="shared" si="11"/>
        <v>29019</v>
      </c>
      <c r="T7" s="147">
        <f t="shared" si="11"/>
        <v>24389</v>
      </c>
      <c r="U7" s="147">
        <f t="shared" si="11"/>
        <v>36666</v>
      </c>
      <c r="V7" s="147">
        <f t="shared" si="11"/>
        <v>27894</v>
      </c>
      <c r="W7" s="147">
        <f t="shared" si="11"/>
        <v>34810</v>
      </c>
      <c r="X7" s="147">
        <f t="shared" si="11"/>
        <v>50263</v>
      </c>
      <c r="Y7" s="147">
        <f t="shared" si="11"/>
        <v>47464</v>
      </c>
      <c r="Z7" s="273">
        <f t="shared" si="11"/>
        <v>22654</v>
      </c>
      <c r="AA7" s="273">
        <f>SUM(O7:Z7)</f>
        <v>398619</v>
      </c>
      <c r="AB7" s="147">
        <f t="shared" ref="AB7:AM7" si="12">AB8+AB18+AB23</f>
        <v>57151</v>
      </c>
      <c r="AC7" s="147">
        <f t="shared" si="12"/>
        <v>9323</v>
      </c>
      <c r="AD7" s="147">
        <f t="shared" si="12"/>
        <v>88494</v>
      </c>
      <c r="AE7" s="147">
        <f t="shared" si="12"/>
        <v>17122</v>
      </c>
      <c r="AF7" s="147">
        <f t="shared" si="12"/>
        <v>31297</v>
      </c>
      <c r="AG7" s="147">
        <f t="shared" si="12"/>
        <v>39591</v>
      </c>
      <c r="AH7" s="147">
        <f t="shared" si="12"/>
        <v>28179</v>
      </c>
      <c r="AI7" s="147">
        <f t="shared" si="12"/>
        <v>21622</v>
      </c>
      <c r="AJ7" s="147">
        <f t="shared" si="12"/>
        <v>21458</v>
      </c>
      <c r="AK7" s="147">
        <f t="shared" si="12"/>
        <v>27346</v>
      </c>
      <c r="AL7" s="147">
        <f t="shared" si="12"/>
        <v>21892</v>
      </c>
      <c r="AM7" s="273">
        <f t="shared" si="12"/>
        <v>49436</v>
      </c>
      <c r="AN7" s="273">
        <f>SUM(AB7:AM7)</f>
        <v>412911</v>
      </c>
      <c r="AO7" s="147">
        <f t="shared" ref="AO7:AZ7" si="13">AO8+AO18+AO23</f>
        <v>61869</v>
      </c>
      <c r="AP7" s="147">
        <f t="shared" si="13"/>
        <v>38686</v>
      </c>
      <c r="AQ7" s="147">
        <f t="shared" si="13"/>
        <v>52902</v>
      </c>
      <c r="AR7" s="147">
        <f t="shared" si="13"/>
        <v>44006</v>
      </c>
      <c r="AS7" s="147">
        <f t="shared" si="13"/>
        <v>22185</v>
      </c>
      <c r="AT7" s="147">
        <f t="shared" si="13"/>
        <v>37881</v>
      </c>
      <c r="AU7" s="147">
        <f t="shared" si="13"/>
        <v>20190</v>
      </c>
      <c r="AV7" s="147">
        <f t="shared" si="13"/>
        <v>37881</v>
      </c>
      <c r="AW7" s="147">
        <f t="shared" si="13"/>
        <v>36066</v>
      </c>
      <c r="AX7" s="147">
        <f t="shared" si="13"/>
        <v>38187</v>
      </c>
      <c r="AY7" s="147">
        <f t="shared" si="13"/>
        <v>36159</v>
      </c>
      <c r="AZ7" s="273">
        <f t="shared" si="13"/>
        <v>24502</v>
      </c>
      <c r="BA7" s="273">
        <f>SUM(AO7:AZ7)</f>
        <v>450514</v>
      </c>
      <c r="BB7" s="147">
        <f t="shared" ref="BB7:BM7" si="14">BB8+BB18+BB23</f>
        <v>24619</v>
      </c>
      <c r="BC7" s="147">
        <f t="shared" si="14"/>
        <v>46719</v>
      </c>
      <c r="BD7" s="147">
        <f t="shared" si="14"/>
        <v>80502</v>
      </c>
      <c r="BE7" s="147">
        <f t="shared" si="14"/>
        <v>38456</v>
      </c>
      <c r="BF7" s="147">
        <f t="shared" si="14"/>
        <v>32461</v>
      </c>
      <c r="BG7" s="147">
        <f t="shared" si="14"/>
        <v>31373</v>
      </c>
      <c r="BH7" s="147">
        <f t="shared" si="14"/>
        <v>23316</v>
      </c>
      <c r="BI7" s="147">
        <f t="shared" si="14"/>
        <v>25889</v>
      </c>
      <c r="BJ7" s="147">
        <f t="shared" si="14"/>
        <v>24260</v>
      </c>
      <c r="BK7" s="147">
        <f t="shared" si="14"/>
        <v>24535</v>
      </c>
      <c r="BL7" s="147">
        <f t="shared" si="14"/>
        <v>23093</v>
      </c>
      <c r="BM7" s="273">
        <f t="shared" si="14"/>
        <v>32950</v>
      </c>
      <c r="BN7" s="273">
        <f>SUM(BB7:BM7)</f>
        <v>408173</v>
      </c>
      <c r="BO7" s="147">
        <f t="shared" ref="BO7:BZ7" si="15">BO8+BO18+BO23</f>
        <v>58575</v>
      </c>
      <c r="BP7" s="147">
        <f t="shared" si="15"/>
        <v>39852</v>
      </c>
      <c r="BQ7" s="147">
        <f t="shared" si="15"/>
        <v>44919</v>
      </c>
      <c r="BR7" s="147">
        <f t="shared" si="15"/>
        <v>12583</v>
      </c>
      <c r="BS7" s="147">
        <f t="shared" si="15"/>
        <v>9582</v>
      </c>
      <c r="BT7" s="147">
        <f t="shared" si="15"/>
        <v>21738</v>
      </c>
      <c r="BU7" s="147">
        <f t="shared" si="15"/>
        <v>117523</v>
      </c>
      <c r="BV7" s="147">
        <f t="shared" si="15"/>
        <v>27898</v>
      </c>
      <c r="BW7" s="147">
        <f t="shared" si="15"/>
        <v>73441</v>
      </c>
      <c r="BX7" s="147">
        <f t="shared" si="15"/>
        <v>21293</v>
      </c>
      <c r="BY7" s="147">
        <f t="shared" si="15"/>
        <v>21206</v>
      </c>
      <c r="BZ7" s="273">
        <f t="shared" si="15"/>
        <v>-5957</v>
      </c>
      <c r="CA7" s="273">
        <f>SUM(BO7:BZ7)</f>
        <v>442653</v>
      </c>
      <c r="CB7" s="147">
        <f t="shared" ref="CB7:CM7" si="16">CB8+CB18+CB23</f>
        <v>67265</v>
      </c>
      <c r="CC7" s="147">
        <f t="shared" si="16"/>
        <v>78936</v>
      </c>
      <c r="CD7" s="147">
        <f t="shared" si="16"/>
        <v>36331</v>
      </c>
      <c r="CE7" s="147">
        <f t="shared" si="16"/>
        <v>38741</v>
      </c>
      <c r="CF7" s="147">
        <f t="shared" si="16"/>
        <v>35431</v>
      </c>
      <c r="CG7" s="147">
        <f t="shared" si="16"/>
        <v>33875</v>
      </c>
      <c r="CH7" s="147">
        <f t="shared" si="16"/>
        <v>31864</v>
      </c>
      <c r="CI7" s="147">
        <f t="shared" si="16"/>
        <v>34147</v>
      </c>
      <c r="CJ7" s="147">
        <f t="shared" si="16"/>
        <v>39631</v>
      </c>
      <c r="CK7" s="147">
        <f t="shared" si="16"/>
        <v>41670</v>
      </c>
      <c r="CL7" s="147">
        <f t="shared" si="16"/>
        <v>37655</v>
      </c>
      <c r="CM7" s="273">
        <f t="shared" si="16"/>
        <v>48485</v>
      </c>
      <c r="CN7" s="273">
        <f>SUM(CB7:CM7)</f>
        <v>524031</v>
      </c>
      <c r="CO7" s="147">
        <f t="shared" ref="CO7:CZ7" si="17">CO8+CO18+CO23</f>
        <v>93310</v>
      </c>
      <c r="CP7" s="147">
        <f t="shared" si="17"/>
        <v>86777</v>
      </c>
      <c r="CQ7" s="147">
        <f t="shared" si="17"/>
        <v>60560</v>
      </c>
      <c r="CR7" s="147">
        <f t="shared" si="17"/>
        <v>38193</v>
      </c>
      <c r="CS7" s="147">
        <f t="shared" si="17"/>
        <v>53302</v>
      </c>
      <c r="CT7" s="147">
        <f t="shared" si="17"/>
        <v>36970</v>
      </c>
      <c r="CU7" s="147">
        <f t="shared" si="17"/>
        <v>40183</v>
      </c>
      <c r="CV7" s="147">
        <f t="shared" si="17"/>
        <v>39488</v>
      </c>
      <c r="CW7" s="147">
        <f t="shared" si="17"/>
        <v>43687</v>
      </c>
      <c r="CX7" s="147">
        <f t="shared" si="17"/>
        <v>53566</v>
      </c>
      <c r="CY7" s="147">
        <f t="shared" si="17"/>
        <v>34306</v>
      </c>
      <c r="CZ7" s="273">
        <f t="shared" si="17"/>
        <v>45387</v>
      </c>
      <c r="DA7" s="273">
        <f>SUM(CO7:CZ7)</f>
        <v>625729</v>
      </c>
      <c r="DB7" s="147">
        <f t="shared" ref="DB7:DM7" si="18">DB8+DB18+DB23</f>
        <v>86903</v>
      </c>
      <c r="DC7" s="147">
        <f t="shared" si="18"/>
        <v>67041</v>
      </c>
      <c r="DD7" s="147">
        <f t="shared" si="18"/>
        <v>72644</v>
      </c>
      <c r="DE7" s="147">
        <f t="shared" si="18"/>
        <v>48078</v>
      </c>
      <c r="DF7" s="147">
        <f t="shared" si="18"/>
        <v>47562</v>
      </c>
      <c r="DG7" s="147">
        <f t="shared" si="18"/>
        <v>35979</v>
      </c>
      <c r="DH7" s="147">
        <f t="shared" si="18"/>
        <v>28334</v>
      </c>
      <c r="DI7" s="147">
        <f t="shared" si="18"/>
        <v>42055</v>
      </c>
      <c r="DJ7" s="147">
        <f t="shared" si="18"/>
        <v>31513</v>
      </c>
      <c r="DK7" s="147">
        <f t="shared" si="18"/>
        <v>23278</v>
      </c>
      <c r="DL7" s="147">
        <f t="shared" si="18"/>
        <v>38894</v>
      </c>
      <c r="DM7" s="273">
        <f t="shared" si="18"/>
        <v>33319</v>
      </c>
      <c r="DN7" s="273">
        <f>SUM(DB7:DM7)</f>
        <v>555600</v>
      </c>
      <c r="DO7" s="147">
        <f t="shared" ref="DO7:DZ7" si="19">DO8+DO18+DO23</f>
        <v>137227</v>
      </c>
      <c r="DP7" s="147">
        <f t="shared" si="19"/>
        <v>53970</v>
      </c>
      <c r="DQ7" s="147">
        <f t="shared" si="19"/>
        <v>36489</v>
      </c>
      <c r="DR7" s="147">
        <f t="shared" si="19"/>
        <v>35858</v>
      </c>
      <c r="DS7" s="147">
        <f t="shared" si="19"/>
        <v>46515</v>
      </c>
      <c r="DT7" s="147">
        <f t="shared" si="19"/>
        <v>36637</v>
      </c>
      <c r="DU7" s="147">
        <f t="shared" si="19"/>
        <v>36075</v>
      </c>
      <c r="DV7" s="147">
        <f t="shared" si="19"/>
        <v>37568</v>
      </c>
      <c r="DW7" s="147">
        <f t="shared" si="19"/>
        <v>41362</v>
      </c>
      <c r="DX7" s="147">
        <f t="shared" si="19"/>
        <v>40529</v>
      </c>
      <c r="DY7" s="147">
        <f t="shared" si="19"/>
        <v>38071</v>
      </c>
      <c r="DZ7" s="273">
        <f t="shared" si="19"/>
        <v>43471</v>
      </c>
      <c r="EA7" s="273">
        <f>SUM(DO7:DZ7)</f>
        <v>583772</v>
      </c>
      <c r="EB7" s="147">
        <f>+EB8+EB18+EB23</f>
        <v>118489</v>
      </c>
      <c r="EC7" s="147">
        <f>+EC8+EC18+EC23</f>
        <v>63307</v>
      </c>
      <c r="ED7" s="147">
        <f>+ED8+ED18+ED23</f>
        <v>40442</v>
      </c>
      <c r="EE7" s="147">
        <f>+EE8+EE18+EE23</f>
        <v>39007</v>
      </c>
      <c r="EF7" s="147">
        <f>+EF8+EF18+EF23</f>
        <v>56023</v>
      </c>
      <c r="EG7" s="147">
        <f t="shared" ref="EG7:EH7" si="20">+EG8+EG18+EG23</f>
        <v>39630</v>
      </c>
      <c r="EH7" s="147">
        <f t="shared" si="20"/>
        <v>41315</v>
      </c>
      <c r="EI7" s="147">
        <f>+EI8+EI18+EI23</f>
        <v>48904</v>
      </c>
      <c r="EJ7" s="147">
        <f>+EJ8+EJ18+EJ23</f>
        <v>40723</v>
      </c>
      <c r="EK7" s="147">
        <f>+EK8+EK18+EK23</f>
        <v>53678</v>
      </c>
      <c r="EL7" s="147">
        <f>+EL8+EL18+EL23</f>
        <v>38449</v>
      </c>
      <c r="EM7" s="273">
        <f>+EM8+EM18+EM23</f>
        <v>40306</v>
      </c>
      <c r="EN7" s="273">
        <f>SUM(EB7:EM7)</f>
        <v>620273</v>
      </c>
      <c r="EO7" s="147">
        <f t="shared" ref="EO7:ET7" si="21">+EO8+EO18+EO23</f>
        <v>94059</v>
      </c>
      <c r="EP7" s="147">
        <f t="shared" si="21"/>
        <v>60169</v>
      </c>
      <c r="EQ7" s="147">
        <f t="shared" si="21"/>
        <v>73854</v>
      </c>
      <c r="ER7" s="147">
        <f t="shared" si="21"/>
        <v>49480</v>
      </c>
      <c r="ES7" s="147">
        <f t="shared" si="21"/>
        <v>56387</v>
      </c>
      <c r="ET7" s="147">
        <f t="shared" si="21"/>
        <v>51598</v>
      </c>
      <c r="EU7" s="147">
        <f>+EU8+EU18+EU23</f>
        <v>50641</v>
      </c>
      <c r="EV7" s="951">
        <v>41238</v>
      </c>
      <c r="EW7" s="147"/>
      <c r="EX7" s="147"/>
      <c r="EY7" s="147"/>
      <c r="EZ7" s="273"/>
      <c r="FA7" s="273">
        <f>SUM(EO7:EZ7)</f>
        <v>477426</v>
      </c>
      <c r="FC7" s="179">
        <f>IFERROR((((EV7/EI7)-1)*100),"")</f>
        <v>-15.675609357107801</v>
      </c>
      <c r="FD7" s="179">
        <f>IFERROR(((FF7/FE7)-1)*100,"")</f>
        <v>6.7787626057609129</v>
      </c>
      <c r="FE7" s="234">
        <f>SUMIFS($B7:$FA7,$B$5:$FA$5,"&gt;="&amp;DATE(YEAR($FC$5)-1,1,1),$B$5:$FA$5,"&lt;="&amp;DATE(YEAR($FC$5)-1,MONTH($FC$5),1))</f>
        <v>447117</v>
      </c>
      <c r="FF7" s="234">
        <f>SUMIFS($B7:$FA7,$B$5:$FA$5,"&gt;="&amp;DATE(YEAR($FC$5),1,1),$B$5:$FA$5,"&lt;="&amp;$FC$5)</f>
        <v>477426</v>
      </c>
    </row>
    <row r="8" spans="1:162" s="125" customFormat="1" ht="15" customHeight="1" x14ac:dyDescent="0.25">
      <c r="A8" s="401" t="s">
        <v>410</v>
      </c>
      <c r="B8" s="229">
        <f t="shared" ref="B8:M8" si="22">SUM(B9:B17)</f>
        <v>16367</v>
      </c>
      <c r="C8" s="229">
        <f t="shared" si="22"/>
        <v>23058</v>
      </c>
      <c r="D8" s="229">
        <f t="shared" si="22"/>
        <v>23617</v>
      </c>
      <c r="E8" s="229">
        <f t="shared" si="22"/>
        <v>19938</v>
      </c>
      <c r="F8" s="229">
        <f t="shared" si="22"/>
        <v>34311</v>
      </c>
      <c r="G8" s="229">
        <f t="shared" si="22"/>
        <v>28118</v>
      </c>
      <c r="H8" s="229">
        <f t="shared" si="22"/>
        <v>21477</v>
      </c>
      <c r="I8" s="229">
        <f t="shared" si="22"/>
        <v>24429</v>
      </c>
      <c r="J8" s="229">
        <f t="shared" si="22"/>
        <v>19115</v>
      </c>
      <c r="K8" s="229">
        <f t="shared" si="22"/>
        <v>19209</v>
      </c>
      <c r="L8" s="229">
        <f t="shared" si="22"/>
        <v>29215</v>
      </c>
      <c r="M8" s="268">
        <f t="shared" si="22"/>
        <v>22167</v>
      </c>
      <c r="N8" s="268">
        <f t="shared" ref="N8:N25" si="23">SUM(B8:M8)</f>
        <v>281021</v>
      </c>
      <c r="O8" s="229">
        <f>SUM(O9:O17)</f>
        <v>19584</v>
      </c>
      <c r="P8" s="229">
        <f t="shared" ref="P8:AM8" si="24">SUM(P9:P17)</f>
        <v>12580</v>
      </c>
      <c r="Q8" s="229">
        <f t="shared" si="24"/>
        <v>34164</v>
      </c>
      <c r="R8" s="229">
        <f t="shared" si="24"/>
        <v>18420</v>
      </c>
      <c r="S8" s="229">
        <f t="shared" si="24"/>
        <v>24457</v>
      </c>
      <c r="T8" s="229">
        <f t="shared" si="24"/>
        <v>19172</v>
      </c>
      <c r="U8" s="229">
        <f t="shared" si="24"/>
        <v>19656</v>
      </c>
      <c r="V8" s="229">
        <f t="shared" si="24"/>
        <v>20109</v>
      </c>
      <c r="W8" s="229">
        <f t="shared" si="24"/>
        <v>19780</v>
      </c>
      <c r="X8" s="229">
        <f t="shared" si="24"/>
        <v>19223</v>
      </c>
      <c r="Y8" s="229">
        <f t="shared" si="24"/>
        <v>28031</v>
      </c>
      <c r="Z8" s="268">
        <f t="shared" si="24"/>
        <v>19436</v>
      </c>
      <c r="AA8" s="268">
        <f t="shared" ref="AA8:AA25" si="25">SUM(O8:Z8)</f>
        <v>254612</v>
      </c>
      <c r="AB8" s="229">
        <f t="shared" si="24"/>
        <v>17744</v>
      </c>
      <c r="AC8" s="229">
        <f t="shared" si="24"/>
        <v>13438</v>
      </c>
      <c r="AD8" s="229">
        <f t="shared" si="24"/>
        <v>33961</v>
      </c>
      <c r="AE8" s="229">
        <f t="shared" si="24"/>
        <v>15290</v>
      </c>
      <c r="AF8" s="229">
        <f t="shared" si="24"/>
        <v>27545</v>
      </c>
      <c r="AG8" s="229">
        <f t="shared" si="24"/>
        <v>17550</v>
      </c>
      <c r="AH8" s="229">
        <f t="shared" si="24"/>
        <v>16859</v>
      </c>
      <c r="AI8" s="229">
        <f t="shared" si="24"/>
        <v>21006</v>
      </c>
      <c r="AJ8" s="229">
        <f t="shared" si="24"/>
        <v>20409</v>
      </c>
      <c r="AK8" s="229">
        <f t="shared" si="24"/>
        <v>26818</v>
      </c>
      <c r="AL8" s="229">
        <f t="shared" si="24"/>
        <v>21460</v>
      </c>
      <c r="AM8" s="268">
        <f t="shared" si="24"/>
        <v>24847</v>
      </c>
      <c r="AN8" s="268">
        <f t="shared" ref="AN8:AN25" si="26">SUM(AB8:AM8)</f>
        <v>256927</v>
      </c>
      <c r="AO8" s="229">
        <f t="shared" ref="AO8:AZ8" si="27">SUM(AO9:AO17)</f>
        <v>17788</v>
      </c>
      <c r="AP8" s="229">
        <f t="shared" si="27"/>
        <v>31224</v>
      </c>
      <c r="AQ8" s="229">
        <f t="shared" si="27"/>
        <v>24144</v>
      </c>
      <c r="AR8" s="229">
        <f t="shared" si="27"/>
        <v>35118</v>
      </c>
      <c r="AS8" s="229">
        <f t="shared" si="27"/>
        <v>21656</v>
      </c>
      <c r="AT8" s="229">
        <f t="shared" si="27"/>
        <v>25822</v>
      </c>
      <c r="AU8" s="229">
        <f t="shared" si="27"/>
        <v>21094</v>
      </c>
      <c r="AV8" s="229">
        <f t="shared" si="27"/>
        <v>21738</v>
      </c>
      <c r="AW8" s="229">
        <f t="shared" si="27"/>
        <v>15590</v>
      </c>
      <c r="AX8" s="229">
        <f t="shared" si="27"/>
        <v>37658</v>
      </c>
      <c r="AY8" s="229">
        <f t="shared" si="27"/>
        <v>23643</v>
      </c>
      <c r="AZ8" s="268">
        <f t="shared" si="27"/>
        <v>23810</v>
      </c>
      <c r="BA8" s="268">
        <f t="shared" ref="BA8:BA25" si="28">SUM(AO8:AZ8)</f>
        <v>299285</v>
      </c>
      <c r="BB8" s="229">
        <f t="shared" ref="BB8:BM8" si="29">SUM(BB9:BB17)</f>
        <v>16979</v>
      </c>
      <c r="BC8" s="229">
        <f t="shared" si="29"/>
        <v>29067</v>
      </c>
      <c r="BD8" s="229">
        <f t="shared" si="29"/>
        <v>21145</v>
      </c>
      <c r="BE8" s="229">
        <f t="shared" si="29"/>
        <v>18494</v>
      </c>
      <c r="BF8" s="229">
        <f t="shared" si="29"/>
        <v>26341</v>
      </c>
      <c r="BG8" s="229">
        <f t="shared" si="29"/>
        <v>23228</v>
      </c>
      <c r="BH8" s="229">
        <f t="shared" si="29"/>
        <v>21831</v>
      </c>
      <c r="BI8" s="229">
        <f t="shared" si="29"/>
        <v>20625</v>
      </c>
      <c r="BJ8" s="229">
        <f t="shared" si="29"/>
        <v>21612</v>
      </c>
      <c r="BK8" s="229">
        <f t="shared" si="29"/>
        <v>22772</v>
      </c>
      <c r="BL8" s="229">
        <f t="shared" si="29"/>
        <v>21881</v>
      </c>
      <c r="BM8" s="268">
        <f t="shared" si="29"/>
        <v>23718</v>
      </c>
      <c r="BN8" s="268">
        <f t="shared" ref="BN8:BN25" si="30">SUM(BB8:BM8)</f>
        <v>267693</v>
      </c>
      <c r="BO8" s="229">
        <f>SUM(BO9:BO17)</f>
        <v>18702</v>
      </c>
      <c r="BP8" s="229">
        <f>SUM(BP9:BP17)</f>
        <v>10695</v>
      </c>
      <c r="BQ8" s="229">
        <f>SUM(BQ9:BQ17)</f>
        <v>39652</v>
      </c>
      <c r="BR8" s="229">
        <f>SUM(BR9:BR17)</f>
        <v>12655</v>
      </c>
      <c r="BS8" s="229">
        <f>SUM(BS9:BS17)</f>
        <v>9007</v>
      </c>
      <c r="BT8" s="229">
        <f t="shared" ref="BT8:BZ8" si="31">SUM(BT9:BT17)</f>
        <v>21408</v>
      </c>
      <c r="BU8" s="229">
        <f t="shared" si="31"/>
        <v>19152</v>
      </c>
      <c r="BV8" s="229">
        <f t="shared" si="31"/>
        <v>21926</v>
      </c>
      <c r="BW8" s="229">
        <f t="shared" si="31"/>
        <v>26238</v>
      </c>
      <c r="BX8" s="229">
        <f t="shared" si="31"/>
        <v>21062</v>
      </c>
      <c r="BY8" s="229">
        <f t="shared" si="31"/>
        <v>20047</v>
      </c>
      <c r="BZ8" s="268">
        <f t="shared" si="31"/>
        <v>23812</v>
      </c>
      <c r="CA8" s="268">
        <f t="shared" ref="CA8:CA31" si="32">SUM(BO8:BZ8)</f>
        <v>244356</v>
      </c>
      <c r="CB8" s="229">
        <f t="shared" ref="CB8:CM8" si="33">SUM(CB9:CB17)</f>
        <v>25785</v>
      </c>
      <c r="CC8" s="229">
        <f t="shared" si="33"/>
        <v>29827</v>
      </c>
      <c r="CD8" s="229">
        <f t="shared" si="33"/>
        <v>26571</v>
      </c>
      <c r="CE8" s="229">
        <f t="shared" si="33"/>
        <v>36661</v>
      </c>
      <c r="CF8" s="229">
        <f t="shared" si="33"/>
        <v>25894</v>
      </c>
      <c r="CG8" s="229">
        <f t="shared" si="33"/>
        <v>28345</v>
      </c>
      <c r="CH8" s="229">
        <f t="shared" si="33"/>
        <v>27989</v>
      </c>
      <c r="CI8" s="229">
        <f t="shared" si="33"/>
        <v>29443</v>
      </c>
      <c r="CJ8" s="229">
        <f t="shared" si="33"/>
        <v>33813</v>
      </c>
      <c r="CK8" s="229">
        <f t="shared" si="33"/>
        <v>36563</v>
      </c>
      <c r="CL8" s="229">
        <f t="shared" si="33"/>
        <v>33358</v>
      </c>
      <c r="CM8" s="268">
        <f t="shared" si="33"/>
        <v>40703</v>
      </c>
      <c r="CN8" s="268">
        <f t="shared" ref="CN8:CN31" si="34">SUM(CB8:CM8)</f>
        <v>374952</v>
      </c>
      <c r="CO8" s="229">
        <f t="shared" ref="CO8:CZ8" si="35">SUM(CO9:CO17)</f>
        <v>37974</v>
      </c>
      <c r="CP8" s="229">
        <f t="shared" si="35"/>
        <v>42531</v>
      </c>
      <c r="CQ8" s="229">
        <f t="shared" si="35"/>
        <v>43511</v>
      </c>
      <c r="CR8" s="229">
        <f t="shared" si="35"/>
        <v>37084</v>
      </c>
      <c r="CS8" s="229">
        <f t="shared" si="35"/>
        <v>53383</v>
      </c>
      <c r="CT8" s="229">
        <f t="shared" si="35"/>
        <v>39338</v>
      </c>
      <c r="CU8" s="229">
        <f t="shared" si="35"/>
        <v>40011</v>
      </c>
      <c r="CV8" s="229">
        <f t="shared" si="35"/>
        <v>36472</v>
      </c>
      <c r="CW8" s="229">
        <f t="shared" si="35"/>
        <v>43357</v>
      </c>
      <c r="CX8" s="229">
        <f t="shared" si="35"/>
        <v>39406</v>
      </c>
      <c r="CY8" s="229">
        <f t="shared" si="35"/>
        <v>32114</v>
      </c>
      <c r="CZ8" s="268">
        <f t="shared" si="35"/>
        <v>44074</v>
      </c>
      <c r="DA8" s="268">
        <f t="shared" ref="DA8:DA30" si="36">SUM(CO8:CZ8)</f>
        <v>489255</v>
      </c>
      <c r="DB8" s="229">
        <f t="shared" ref="DB8:DM8" si="37">SUM(DB9:DB17)</f>
        <v>36655</v>
      </c>
      <c r="DC8" s="229">
        <f t="shared" si="37"/>
        <v>44251</v>
      </c>
      <c r="DD8" s="229">
        <f t="shared" si="37"/>
        <v>38427</v>
      </c>
      <c r="DE8" s="229">
        <f t="shared" si="37"/>
        <v>45317</v>
      </c>
      <c r="DF8" s="229">
        <f t="shared" si="37"/>
        <v>47148</v>
      </c>
      <c r="DG8" s="229">
        <f t="shared" si="37"/>
        <v>35460</v>
      </c>
      <c r="DH8" s="229">
        <f t="shared" si="37"/>
        <v>28162</v>
      </c>
      <c r="DI8" s="229">
        <f t="shared" si="37"/>
        <v>38822</v>
      </c>
      <c r="DJ8" s="229">
        <f t="shared" si="37"/>
        <v>30942</v>
      </c>
      <c r="DK8" s="229">
        <f t="shared" si="37"/>
        <v>34826</v>
      </c>
      <c r="DL8" s="229">
        <f t="shared" si="37"/>
        <v>37462</v>
      </c>
      <c r="DM8" s="268">
        <f t="shared" si="37"/>
        <v>33421</v>
      </c>
      <c r="DN8" s="268">
        <f t="shared" ref="DN8:DN25" si="38">SUM(DB8:DM8)</f>
        <v>450893</v>
      </c>
      <c r="DO8" s="229">
        <f t="shared" ref="DO8:DZ8" si="39">SUM(DO9:DO17)</f>
        <v>28259</v>
      </c>
      <c r="DP8" s="229">
        <f t="shared" si="39"/>
        <v>48285</v>
      </c>
      <c r="DQ8" s="229">
        <f t="shared" si="39"/>
        <v>34665</v>
      </c>
      <c r="DR8" s="229">
        <f t="shared" si="39"/>
        <v>32719</v>
      </c>
      <c r="DS8" s="229">
        <f t="shared" si="39"/>
        <v>46154</v>
      </c>
      <c r="DT8" s="229">
        <f t="shared" si="39"/>
        <v>36524</v>
      </c>
      <c r="DU8" s="229">
        <f t="shared" si="39"/>
        <v>35588</v>
      </c>
      <c r="DV8" s="229">
        <f t="shared" si="39"/>
        <v>36772</v>
      </c>
      <c r="DW8" s="229">
        <f t="shared" si="39"/>
        <v>42186</v>
      </c>
      <c r="DX8" s="229">
        <f t="shared" si="39"/>
        <v>40392</v>
      </c>
      <c r="DY8" s="229">
        <f t="shared" si="39"/>
        <v>37917</v>
      </c>
      <c r="DZ8" s="268">
        <f t="shared" si="39"/>
        <v>43905</v>
      </c>
      <c r="EA8" s="268">
        <f t="shared" ref="EA8:EA31" si="40">SUM(DO8:DZ8)</f>
        <v>463366</v>
      </c>
      <c r="EB8" s="229">
        <f t="shared" ref="EB8:EH8" si="41">SUM(EB9:EB17)</f>
        <v>34739</v>
      </c>
      <c r="EC8" s="229">
        <f t="shared" si="41"/>
        <v>55014</v>
      </c>
      <c r="ED8" s="229">
        <f t="shared" si="41"/>
        <v>39932</v>
      </c>
      <c r="EE8" s="229">
        <f t="shared" si="41"/>
        <v>37502</v>
      </c>
      <c r="EF8" s="229">
        <f t="shared" si="41"/>
        <v>53550</v>
      </c>
      <c r="EG8" s="229">
        <f t="shared" si="41"/>
        <v>39330</v>
      </c>
      <c r="EH8" s="229">
        <f t="shared" si="41"/>
        <v>41116</v>
      </c>
      <c r="EI8" s="229">
        <f>SUM(EI9:EI17)</f>
        <v>40165</v>
      </c>
      <c r="EJ8" s="229">
        <f>SUM(EJ9:EJ17)</f>
        <v>40382</v>
      </c>
      <c r="EK8" s="229">
        <f>SUM(EK9:EK17)</f>
        <v>40821</v>
      </c>
      <c r="EL8" s="229">
        <f>SUM(EL9:EL17)</f>
        <v>38525</v>
      </c>
      <c r="EM8" s="268">
        <f>SUM(EM9:EM17)</f>
        <v>38758</v>
      </c>
      <c r="EN8" s="268">
        <f t="shared" ref="EN8:EN30" si="42">SUM(EB8:EM8)</f>
        <v>499834</v>
      </c>
      <c r="EO8" s="229">
        <f t="shared" ref="EO8:EU8" si="43">SUM(EO9:EO17)</f>
        <v>33060</v>
      </c>
      <c r="EP8" s="229">
        <f t="shared" si="43"/>
        <v>51335</v>
      </c>
      <c r="EQ8" s="229">
        <f t="shared" si="43"/>
        <v>40631</v>
      </c>
      <c r="ER8" s="229">
        <f t="shared" si="43"/>
        <v>49426</v>
      </c>
      <c r="ES8" s="229">
        <f t="shared" si="43"/>
        <v>55604</v>
      </c>
      <c r="ET8" s="229">
        <f t="shared" si="43"/>
        <v>51301</v>
      </c>
      <c r="EU8" s="229">
        <f t="shared" si="43"/>
        <v>49887</v>
      </c>
      <c r="EV8" s="952">
        <v>40667</v>
      </c>
      <c r="EW8" s="229"/>
      <c r="EX8" s="229"/>
      <c r="EY8" s="229"/>
      <c r="EZ8" s="268"/>
      <c r="FA8" s="268">
        <f t="shared" ref="FA8:FA30" si="44">SUM(EO8:EZ8)</f>
        <v>371911</v>
      </c>
      <c r="FB8" s="110"/>
      <c r="FC8" s="379">
        <f t="shared" ref="FC8:FC31" si="45">IFERROR((((EV8/EI8)-1)*100),"")</f>
        <v>1.2498443918834701</v>
      </c>
      <c r="FD8" s="379">
        <f t="shared" ref="FD8:FD30" si="46">IFERROR(((FF8/FE8)-1)*100,"")</f>
        <v>8.9536191804258323</v>
      </c>
      <c r="FE8" s="235">
        <f>SUMIFS($B8:$FA8,$B$5:$FA$5,"&gt;="&amp;DATE(YEAR($FC$5)-1,1,1),$B$5:$FA$5,"&lt;="&amp;DATE(YEAR($FC$5)-1,MONTH($FC$5),1))</f>
        <v>341348</v>
      </c>
      <c r="FF8" s="235">
        <f t="shared" ref="FF8:FF29" si="47">SUMIFS($B8:$FA8,$B$5:$FA$5,"&gt;="&amp;DATE(YEAR($FC$5),1,1),$B$5:$FA$5,"&lt;="&amp;$FC$5)</f>
        <v>371911</v>
      </c>
    </row>
    <row r="9" spans="1:162" ht="15" customHeight="1" x14ac:dyDescent="0.25">
      <c r="A9" s="403" t="s">
        <v>411</v>
      </c>
      <c r="B9" s="151">
        <v>477</v>
      </c>
      <c r="C9" s="151">
        <v>1788</v>
      </c>
      <c r="D9" s="151">
        <v>1590</v>
      </c>
      <c r="E9" s="151">
        <v>761</v>
      </c>
      <c r="F9" s="151">
        <v>963</v>
      </c>
      <c r="G9" s="151">
        <v>925</v>
      </c>
      <c r="H9" s="151">
        <v>1096</v>
      </c>
      <c r="I9" s="151">
        <v>1386</v>
      </c>
      <c r="J9" s="151">
        <v>1050</v>
      </c>
      <c r="K9" s="151">
        <v>884</v>
      </c>
      <c r="L9" s="151">
        <v>1045</v>
      </c>
      <c r="M9" s="241">
        <v>1212</v>
      </c>
      <c r="N9" s="241">
        <f t="shared" si="23"/>
        <v>13177</v>
      </c>
      <c r="O9" s="151">
        <v>804</v>
      </c>
      <c r="P9" s="151">
        <v>2930</v>
      </c>
      <c r="Q9" s="151">
        <v>1671</v>
      </c>
      <c r="R9" s="151">
        <v>1535</v>
      </c>
      <c r="S9" s="151">
        <v>981</v>
      </c>
      <c r="T9" s="151">
        <v>903</v>
      </c>
      <c r="U9" s="151">
        <v>1134</v>
      </c>
      <c r="V9" s="151">
        <v>3502</v>
      </c>
      <c r="W9" s="151">
        <v>2447</v>
      </c>
      <c r="X9" s="151">
        <v>665</v>
      </c>
      <c r="Y9" s="151">
        <v>1008</v>
      </c>
      <c r="Z9" s="241">
        <v>1802</v>
      </c>
      <c r="AA9" s="241">
        <f t="shared" si="25"/>
        <v>19382</v>
      </c>
      <c r="AB9" s="151">
        <v>1419</v>
      </c>
      <c r="AC9" s="151">
        <v>2886</v>
      </c>
      <c r="AD9" s="151">
        <v>2531</v>
      </c>
      <c r="AE9" s="151">
        <v>830</v>
      </c>
      <c r="AF9" s="151">
        <v>1285</v>
      </c>
      <c r="AG9" s="151">
        <v>1068</v>
      </c>
      <c r="AH9" s="151">
        <v>1383</v>
      </c>
      <c r="AI9" s="151">
        <v>1765</v>
      </c>
      <c r="AJ9" s="151">
        <v>931</v>
      </c>
      <c r="AK9" s="151">
        <v>1025</v>
      </c>
      <c r="AL9" s="151">
        <v>1295</v>
      </c>
      <c r="AM9" s="241">
        <v>1115</v>
      </c>
      <c r="AN9" s="241">
        <f t="shared" si="26"/>
        <v>17533</v>
      </c>
      <c r="AO9" s="151">
        <v>1124</v>
      </c>
      <c r="AP9" s="151">
        <v>3171</v>
      </c>
      <c r="AQ9" s="151">
        <v>1474</v>
      </c>
      <c r="AR9" s="151">
        <v>1189</v>
      </c>
      <c r="AS9" s="151">
        <v>1340</v>
      </c>
      <c r="AT9" s="151">
        <v>1214</v>
      </c>
      <c r="AU9" s="151">
        <v>1137</v>
      </c>
      <c r="AV9" s="151">
        <v>1623</v>
      </c>
      <c r="AW9" s="151">
        <v>1199</v>
      </c>
      <c r="AX9" s="151">
        <v>1117</v>
      </c>
      <c r="AY9" s="151">
        <v>1344</v>
      </c>
      <c r="AZ9" s="241">
        <v>1178</v>
      </c>
      <c r="BA9" s="241">
        <f t="shared" si="28"/>
        <v>17110</v>
      </c>
      <c r="BB9" s="151">
        <v>1033</v>
      </c>
      <c r="BC9" s="151">
        <v>2784</v>
      </c>
      <c r="BD9" s="151">
        <v>1848</v>
      </c>
      <c r="BE9" s="151">
        <v>1170</v>
      </c>
      <c r="BF9" s="151">
        <v>2089</v>
      </c>
      <c r="BG9" s="151">
        <v>1198</v>
      </c>
      <c r="BH9" s="151">
        <v>2355</v>
      </c>
      <c r="BI9" s="151">
        <v>1876</v>
      </c>
      <c r="BJ9" s="151">
        <v>1415</v>
      </c>
      <c r="BK9" s="151">
        <v>998</v>
      </c>
      <c r="BL9" s="151">
        <v>1463</v>
      </c>
      <c r="BM9" s="241">
        <v>1444</v>
      </c>
      <c r="BN9" s="241">
        <f t="shared" si="30"/>
        <v>19673</v>
      </c>
      <c r="BO9" s="151">
        <v>1065</v>
      </c>
      <c r="BP9" s="151">
        <v>3218</v>
      </c>
      <c r="BQ9" s="151">
        <v>1235</v>
      </c>
      <c r="BR9" s="151">
        <v>25</v>
      </c>
      <c r="BS9" s="151">
        <v>269</v>
      </c>
      <c r="BT9" s="151">
        <v>629</v>
      </c>
      <c r="BU9" s="151">
        <v>1729</v>
      </c>
      <c r="BV9" s="151">
        <v>1933</v>
      </c>
      <c r="BW9" s="151">
        <v>2479</v>
      </c>
      <c r="BX9" s="151">
        <v>1472</v>
      </c>
      <c r="BY9" s="151">
        <v>1714</v>
      </c>
      <c r="BZ9" s="241">
        <v>2052</v>
      </c>
      <c r="CA9" s="241">
        <f t="shared" si="32"/>
        <v>17820</v>
      </c>
      <c r="CB9" s="151">
        <v>1935</v>
      </c>
      <c r="CC9" s="151">
        <v>1989</v>
      </c>
      <c r="CD9" s="151">
        <v>2575</v>
      </c>
      <c r="CE9" s="151">
        <v>1526</v>
      </c>
      <c r="CF9" s="151">
        <v>2104</v>
      </c>
      <c r="CG9" s="151">
        <v>1644</v>
      </c>
      <c r="CH9" s="151">
        <v>2186</v>
      </c>
      <c r="CI9" s="151">
        <v>2124</v>
      </c>
      <c r="CJ9" s="151">
        <v>1792</v>
      </c>
      <c r="CK9" s="151">
        <v>1764</v>
      </c>
      <c r="CL9" s="151">
        <v>2195</v>
      </c>
      <c r="CM9" s="241">
        <v>1804</v>
      </c>
      <c r="CN9" s="241">
        <f t="shared" si="34"/>
        <v>23638</v>
      </c>
      <c r="CO9" s="151">
        <v>1422</v>
      </c>
      <c r="CP9" s="151">
        <v>2735</v>
      </c>
      <c r="CQ9" s="151">
        <v>3307</v>
      </c>
      <c r="CR9" s="151">
        <v>1440</v>
      </c>
      <c r="CS9" s="151">
        <v>1600</v>
      </c>
      <c r="CT9" s="151">
        <v>2021</v>
      </c>
      <c r="CU9" s="151">
        <v>1904</v>
      </c>
      <c r="CV9" s="151">
        <v>1877</v>
      </c>
      <c r="CW9" s="151">
        <v>1537</v>
      </c>
      <c r="CX9" s="151">
        <v>1256</v>
      </c>
      <c r="CY9" s="151">
        <v>1402</v>
      </c>
      <c r="CZ9" s="241">
        <v>1424</v>
      </c>
      <c r="DA9" s="241">
        <f t="shared" si="36"/>
        <v>21925</v>
      </c>
      <c r="DB9" s="151">
        <v>1187</v>
      </c>
      <c r="DC9" s="151">
        <v>3812</v>
      </c>
      <c r="DD9" s="151">
        <v>3044</v>
      </c>
      <c r="DE9" s="151">
        <v>1471</v>
      </c>
      <c r="DF9" s="151">
        <v>2233</v>
      </c>
      <c r="DG9" s="151">
        <v>1946</v>
      </c>
      <c r="DH9" s="151">
        <v>1681</v>
      </c>
      <c r="DI9" s="151">
        <v>2199</v>
      </c>
      <c r="DJ9" s="151">
        <v>1206</v>
      </c>
      <c r="DK9" s="151">
        <v>1331</v>
      </c>
      <c r="DL9" s="151">
        <v>1599</v>
      </c>
      <c r="DM9" s="241">
        <v>2188</v>
      </c>
      <c r="DN9" s="241">
        <f t="shared" si="38"/>
        <v>23897</v>
      </c>
      <c r="DO9" s="151">
        <v>1333</v>
      </c>
      <c r="DP9" s="151">
        <v>4426</v>
      </c>
      <c r="DQ9" s="151">
        <v>1942</v>
      </c>
      <c r="DR9" s="151">
        <v>1521</v>
      </c>
      <c r="DS9" s="151">
        <v>2594</v>
      </c>
      <c r="DT9" s="151">
        <v>1561</v>
      </c>
      <c r="DU9" s="151">
        <v>2314</v>
      </c>
      <c r="DV9" s="151">
        <v>2261</v>
      </c>
      <c r="DW9" s="151">
        <v>1798</v>
      </c>
      <c r="DX9" s="151">
        <v>2549</v>
      </c>
      <c r="DY9" s="151">
        <v>2312</v>
      </c>
      <c r="DZ9" s="241">
        <v>1843</v>
      </c>
      <c r="EA9" s="241">
        <f t="shared" si="40"/>
        <v>26454</v>
      </c>
      <c r="EB9" s="151">
        <v>2028</v>
      </c>
      <c r="EC9" s="151">
        <v>3247</v>
      </c>
      <c r="ED9" s="151">
        <v>3059</v>
      </c>
      <c r="EE9" s="151">
        <v>2216</v>
      </c>
      <c r="EF9" s="151">
        <v>2723</v>
      </c>
      <c r="EG9" s="151">
        <v>2136</v>
      </c>
      <c r="EH9" s="151">
        <v>2005</v>
      </c>
      <c r="EI9" s="151">
        <v>2520</v>
      </c>
      <c r="EJ9" s="151">
        <v>2861</v>
      </c>
      <c r="EK9" s="151">
        <v>2275</v>
      </c>
      <c r="EL9" s="151">
        <v>2314</v>
      </c>
      <c r="EM9" s="241">
        <v>2520</v>
      </c>
      <c r="EN9" s="241">
        <f t="shared" si="42"/>
        <v>29904</v>
      </c>
      <c r="EO9" s="151">
        <v>1541</v>
      </c>
      <c r="EP9" s="151">
        <v>4601</v>
      </c>
      <c r="EQ9" s="151">
        <v>2208</v>
      </c>
      <c r="ER9" s="151">
        <v>1856</v>
      </c>
      <c r="ES9" s="151">
        <v>2992</v>
      </c>
      <c r="ET9" s="151">
        <v>2302</v>
      </c>
      <c r="EU9" s="151">
        <v>2288</v>
      </c>
      <c r="EV9" s="950">
        <v>2331</v>
      </c>
      <c r="EW9" s="151"/>
      <c r="EX9" s="151"/>
      <c r="EY9" s="151"/>
      <c r="EZ9" s="241"/>
      <c r="FA9" s="241">
        <f t="shared" si="44"/>
        <v>20119</v>
      </c>
      <c r="FC9" s="184">
        <f t="shared" si="45"/>
        <v>-7.4999999999999956</v>
      </c>
      <c r="FD9" s="184">
        <f t="shared" si="46"/>
        <v>0.92806260660178719</v>
      </c>
      <c r="FE9" s="161">
        <f t="shared" ref="FE9:FE29" si="48">SUMIFS($B9:$FA9,$B$5:$FA$5,"&gt;="&amp;DATE(YEAR($FC$5)-1,1,1),$B$5:$FA$5,"&lt;="&amp;DATE(YEAR($FC$5)-1,MONTH($FC$5),1))</f>
        <v>19934</v>
      </c>
      <c r="FF9" s="161">
        <f t="shared" si="47"/>
        <v>20119</v>
      </c>
    </row>
    <row r="10" spans="1:162" ht="15" customHeight="1" x14ac:dyDescent="0.25">
      <c r="A10" s="403" t="s">
        <v>412</v>
      </c>
      <c r="B10" s="162">
        <v>917</v>
      </c>
      <c r="C10" s="151">
        <v>1580</v>
      </c>
      <c r="D10" s="151">
        <v>1544</v>
      </c>
      <c r="E10" s="151">
        <v>1133</v>
      </c>
      <c r="F10" s="151">
        <v>1038</v>
      </c>
      <c r="G10" s="151">
        <v>1309</v>
      </c>
      <c r="H10" s="151">
        <v>1714</v>
      </c>
      <c r="I10" s="151">
        <v>1280</v>
      </c>
      <c r="J10" s="151">
        <v>1454</v>
      </c>
      <c r="K10" s="151">
        <v>1459</v>
      </c>
      <c r="L10" s="151">
        <v>1343</v>
      </c>
      <c r="M10" s="241">
        <v>1242</v>
      </c>
      <c r="N10" s="241">
        <f t="shared" si="23"/>
        <v>16013</v>
      </c>
      <c r="O10" s="162">
        <v>1706</v>
      </c>
      <c r="P10" s="151">
        <v>2132</v>
      </c>
      <c r="Q10" s="151">
        <v>1341</v>
      </c>
      <c r="R10" s="151">
        <v>1542</v>
      </c>
      <c r="S10" s="151">
        <v>1469</v>
      </c>
      <c r="T10" s="151">
        <v>1316</v>
      </c>
      <c r="U10" s="151">
        <v>1554</v>
      </c>
      <c r="V10" s="151">
        <v>2206</v>
      </c>
      <c r="W10" s="151">
        <v>2358</v>
      </c>
      <c r="X10" s="151">
        <v>1274</v>
      </c>
      <c r="Y10" s="151">
        <v>1392</v>
      </c>
      <c r="Z10" s="241">
        <v>1369</v>
      </c>
      <c r="AA10" s="241">
        <f t="shared" si="25"/>
        <v>19659</v>
      </c>
      <c r="AB10" s="162">
        <v>1725</v>
      </c>
      <c r="AC10" s="151">
        <v>1920</v>
      </c>
      <c r="AD10" s="151">
        <v>2269</v>
      </c>
      <c r="AE10" s="151">
        <v>1178</v>
      </c>
      <c r="AF10" s="151">
        <v>1490</v>
      </c>
      <c r="AG10" s="151">
        <v>1062</v>
      </c>
      <c r="AH10" s="151">
        <v>1347</v>
      </c>
      <c r="AI10" s="151">
        <v>1734</v>
      </c>
      <c r="AJ10" s="151">
        <v>1648</v>
      </c>
      <c r="AK10" s="151">
        <v>1545</v>
      </c>
      <c r="AL10" s="151">
        <v>1426</v>
      </c>
      <c r="AM10" s="241">
        <v>1359</v>
      </c>
      <c r="AN10" s="241">
        <f t="shared" si="26"/>
        <v>18703</v>
      </c>
      <c r="AO10" s="162">
        <v>1335</v>
      </c>
      <c r="AP10" s="151">
        <v>2021</v>
      </c>
      <c r="AQ10" s="151">
        <v>1689</v>
      </c>
      <c r="AR10" s="151">
        <v>1578</v>
      </c>
      <c r="AS10" s="151">
        <v>1256</v>
      </c>
      <c r="AT10" s="151">
        <v>1072</v>
      </c>
      <c r="AU10" s="151">
        <v>1546</v>
      </c>
      <c r="AV10" s="151">
        <v>1370</v>
      </c>
      <c r="AW10" s="151">
        <v>1178</v>
      </c>
      <c r="AX10" s="151">
        <v>1205</v>
      </c>
      <c r="AY10" s="151">
        <v>1106</v>
      </c>
      <c r="AZ10" s="241">
        <v>1565</v>
      </c>
      <c r="BA10" s="241">
        <f t="shared" si="28"/>
        <v>16921</v>
      </c>
      <c r="BB10" s="162">
        <v>1200</v>
      </c>
      <c r="BC10" s="151">
        <v>2223</v>
      </c>
      <c r="BD10" s="151">
        <v>1840</v>
      </c>
      <c r="BE10" s="151">
        <v>1570</v>
      </c>
      <c r="BF10" s="151">
        <v>1847</v>
      </c>
      <c r="BG10" s="151">
        <v>1508</v>
      </c>
      <c r="BH10" s="151">
        <v>1999</v>
      </c>
      <c r="BI10" s="151">
        <v>2183</v>
      </c>
      <c r="BJ10" s="151">
        <v>1858</v>
      </c>
      <c r="BK10" s="151">
        <v>1894</v>
      </c>
      <c r="BL10" s="151">
        <v>1508</v>
      </c>
      <c r="BM10" s="241">
        <v>1821</v>
      </c>
      <c r="BN10" s="241">
        <f t="shared" si="30"/>
        <v>21451</v>
      </c>
      <c r="BO10" s="162">
        <v>1811</v>
      </c>
      <c r="BP10" s="151">
        <v>2513</v>
      </c>
      <c r="BQ10" s="151">
        <v>1096</v>
      </c>
      <c r="BR10" s="151">
        <v>81</v>
      </c>
      <c r="BS10" s="151">
        <v>193</v>
      </c>
      <c r="BT10" s="151">
        <v>931</v>
      </c>
      <c r="BU10" s="151">
        <v>2462</v>
      </c>
      <c r="BV10" s="151">
        <v>2270</v>
      </c>
      <c r="BW10" s="151">
        <v>1975</v>
      </c>
      <c r="BX10" s="151">
        <v>2111</v>
      </c>
      <c r="BY10" s="151">
        <v>1943</v>
      </c>
      <c r="BZ10" s="241">
        <v>1700</v>
      </c>
      <c r="CA10" s="241">
        <f t="shared" si="32"/>
        <v>19086</v>
      </c>
      <c r="CB10" s="162">
        <v>1724</v>
      </c>
      <c r="CC10" s="151">
        <v>2184</v>
      </c>
      <c r="CD10" s="151">
        <v>2486</v>
      </c>
      <c r="CE10" s="151">
        <v>1764</v>
      </c>
      <c r="CF10" s="151">
        <v>2040</v>
      </c>
      <c r="CG10" s="151">
        <v>1706</v>
      </c>
      <c r="CH10" s="151">
        <v>2212</v>
      </c>
      <c r="CI10" s="151">
        <v>2304</v>
      </c>
      <c r="CJ10" s="151">
        <v>2173</v>
      </c>
      <c r="CK10" s="151">
        <v>2042</v>
      </c>
      <c r="CL10" s="151">
        <v>2158</v>
      </c>
      <c r="CM10" s="241">
        <v>2423</v>
      </c>
      <c r="CN10" s="241">
        <f t="shared" si="34"/>
        <v>25216</v>
      </c>
      <c r="CO10" s="162">
        <v>1836</v>
      </c>
      <c r="CP10" s="151">
        <v>2685</v>
      </c>
      <c r="CQ10" s="151">
        <v>2326</v>
      </c>
      <c r="CR10" s="151">
        <v>1554</v>
      </c>
      <c r="CS10" s="151">
        <v>1953</v>
      </c>
      <c r="CT10" s="151">
        <v>1643</v>
      </c>
      <c r="CU10" s="151">
        <v>1923</v>
      </c>
      <c r="CV10" s="151">
        <v>1793</v>
      </c>
      <c r="CW10" s="151">
        <v>2100</v>
      </c>
      <c r="CX10" s="151">
        <v>1595</v>
      </c>
      <c r="CY10" s="151">
        <v>1550</v>
      </c>
      <c r="CZ10" s="241">
        <v>1489</v>
      </c>
      <c r="DA10" s="241">
        <f t="shared" si="36"/>
        <v>22447</v>
      </c>
      <c r="DB10" s="162">
        <v>1528</v>
      </c>
      <c r="DC10" s="151">
        <v>2728</v>
      </c>
      <c r="DD10" s="151">
        <v>2527</v>
      </c>
      <c r="DE10" s="151">
        <v>1676</v>
      </c>
      <c r="DF10" s="151">
        <v>2017</v>
      </c>
      <c r="DG10" s="151">
        <v>1690</v>
      </c>
      <c r="DH10" s="151">
        <v>1896</v>
      </c>
      <c r="DI10" s="151">
        <v>2150</v>
      </c>
      <c r="DJ10" s="151">
        <v>1475</v>
      </c>
      <c r="DK10" s="151">
        <v>1563</v>
      </c>
      <c r="DL10" s="151">
        <v>1778</v>
      </c>
      <c r="DM10" s="241">
        <v>1802</v>
      </c>
      <c r="DN10" s="241">
        <f t="shared" si="38"/>
        <v>22830</v>
      </c>
      <c r="DO10" s="162">
        <v>1864</v>
      </c>
      <c r="DP10" s="151">
        <v>2860</v>
      </c>
      <c r="DQ10" s="151">
        <v>1768</v>
      </c>
      <c r="DR10" s="151">
        <v>2075</v>
      </c>
      <c r="DS10" s="151">
        <v>2071</v>
      </c>
      <c r="DT10" s="151">
        <v>1826</v>
      </c>
      <c r="DU10" s="151">
        <v>2040</v>
      </c>
      <c r="DV10" s="151">
        <v>2212</v>
      </c>
      <c r="DW10" s="151">
        <v>1956</v>
      </c>
      <c r="DX10" s="151">
        <v>1803</v>
      </c>
      <c r="DY10" s="151">
        <v>1980</v>
      </c>
      <c r="DZ10" s="241">
        <v>1788</v>
      </c>
      <c r="EA10" s="241">
        <f t="shared" si="40"/>
        <v>24243</v>
      </c>
      <c r="EB10" s="162">
        <v>2159</v>
      </c>
      <c r="EC10" s="151">
        <v>2546</v>
      </c>
      <c r="ED10" s="151">
        <v>2717</v>
      </c>
      <c r="EE10" s="151">
        <v>2018</v>
      </c>
      <c r="EF10" s="151">
        <v>2391</v>
      </c>
      <c r="EG10" s="151">
        <v>2156</v>
      </c>
      <c r="EH10" s="151">
        <v>2454</v>
      </c>
      <c r="EI10" s="151">
        <v>2267</v>
      </c>
      <c r="EJ10" s="151">
        <v>2347</v>
      </c>
      <c r="EK10" s="151">
        <v>2247</v>
      </c>
      <c r="EL10" s="151">
        <v>2191</v>
      </c>
      <c r="EM10" s="241">
        <v>2536</v>
      </c>
      <c r="EN10" s="241">
        <f t="shared" si="42"/>
        <v>28029</v>
      </c>
      <c r="EO10" s="162">
        <v>1882</v>
      </c>
      <c r="EP10" s="151">
        <v>3634</v>
      </c>
      <c r="EQ10" s="151">
        <v>2200</v>
      </c>
      <c r="ER10" s="151">
        <v>2027</v>
      </c>
      <c r="ES10" s="151">
        <v>2275</v>
      </c>
      <c r="ET10" s="151">
        <v>2219</v>
      </c>
      <c r="EU10" s="151">
        <v>2223</v>
      </c>
      <c r="EV10" s="950">
        <v>1824</v>
      </c>
      <c r="EW10" s="151"/>
      <c r="EX10" s="151"/>
      <c r="EY10" s="151"/>
      <c r="EZ10" s="241"/>
      <c r="FA10" s="241">
        <f t="shared" si="44"/>
        <v>18284</v>
      </c>
      <c r="FC10" s="184">
        <f t="shared" si="45"/>
        <v>-19.541243934715482</v>
      </c>
      <c r="FD10" s="184">
        <f t="shared" si="46"/>
        <v>-2.2664100919392749</v>
      </c>
      <c r="FE10" s="161">
        <f>SUMIFS($B10:$FA10,$B$5:$FA$5,"&gt;="&amp;DATE(YEAR($FC$5)-1,1,1),$B$5:$FA$5,"&lt;="&amp;DATE(YEAR($FC$5)-1,MONTH($FC$5),1))</f>
        <v>18708</v>
      </c>
      <c r="FF10" s="161">
        <f t="shared" si="47"/>
        <v>18284</v>
      </c>
    </row>
    <row r="11" spans="1:162" ht="15" customHeight="1" x14ac:dyDescent="0.25">
      <c r="A11" s="403" t="s">
        <v>413</v>
      </c>
      <c r="B11" s="151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241"/>
      <c r="N11" s="241">
        <f t="shared" si="23"/>
        <v>0</v>
      </c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241"/>
      <c r="AA11" s="241">
        <f t="shared" si="25"/>
        <v>0</v>
      </c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1"/>
      <c r="AM11" s="241"/>
      <c r="AN11" s="241">
        <f t="shared" si="26"/>
        <v>0</v>
      </c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241"/>
      <c r="BA11" s="241">
        <f t="shared" si="28"/>
        <v>0</v>
      </c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241"/>
      <c r="BN11" s="241">
        <f t="shared" si="30"/>
        <v>0</v>
      </c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241"/>
      <c r="CA11" s="241">
        <f t="shared" si="32"/>
        <v>0</v>
      </c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241"/>
      <c r="CN11" s="241">
        <f t="shared" si="34"/>
        <v>0</v>
      </c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241"/>
      <c r="DA11" s="241">
        <f t="shared" si="36"/>
        <v>0</v>
      </c>
      <c r="DB11" s="151"/>
      <c r="DC11" s="151"/>
      <c r="DD11" s="151"/>
      <c r="DE11" s="151"/>
      <c r="DF11" s="151"/>
      <c r="DG11" s="151"/>
      <c r="DH11" s="151"/>
      <c r="DI11" s="151"/>
      <c r="DJ11" s="151"/>
      <c r="DK11" s="151"/>
      <c r="DL11" s="151"/>
      <c r="DM11" s="241"/>
      <c r="DN11" s="241">
        <f t="shared" si="38"/>
        <v>0</v>
      </c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241"/>
      <c r="EA11" s="241">
        <f t="shared" si="40"/>
        <v>0</v>
      </c>
      <c r="EB11" s="151"/>
      <c r="EC11" s="151"/>
      <c r="ED11" s="151"/>
      <c r="EE11" s="151"/>
      <c r="EF11" s="151"/>
      <c r="EG11" s="151"/>
      <c r="EH11" s="151"/>
      <c r="EI11" s="151"/>
      <c r="EJ11" s="151"/>
      <c r="EK11" s="151"/>
      <c r="EL11" s="151"/>
      <c r="EM11" s="241"/>
      <c r="EN11" s="241">
        <f t="shared" si="42"/>
        <v>0</v>
      </c>
      <c r="EO11" s="151"/>
      <c r="EP11" s="151"/>
      <c r="EQ11" s="151"/>
      <c r="ER11" s="151"/>
      <c r="ES11" s="151"/>
      <c r="ET11" s="151"/>
      <c r="EU11" s="151"/>
      <c r="EV11" s="950"/>
      <c r="EW11" s="151"/>
      <c r="EX11" s="151"/>
      <c r="EY11" s="151"/>
      <c r="EZ11" s="241"/>
      <c r="FA11" s="241">
        <f t="shared" si="44"/>
        <v>0</v>
      </c>
      <c r="FC11" s="184" t="str">
        <f t="shared" si="45"/>
        <v/>
      </c>
      <c r="FD11" s="184" t="str">
        <f t="shared" si="46"/>
        <v/>
      </c>
      <c r="FE11" s="161">
        <f t="shared" si="48"/>
        <v>0</v>
      </c>
      <c r="FF11" s="161">
        <f t="shared" si="47"/>
        <v>0</v>
      </c>
    </row>
    <row r="12" spans="1:162" ht="15" customHeight="1" x14ac:dyDescent="0.25">
      <c r="A12" s="403" t="s">
        <v>414</v>
      </c>
      <c r="B12" s="151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241"/>
      <c r="N12" s="241">
        <f t="shared" si="23"/>
        <v>0</v>
      </c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241"/>
      <c r="AA12" s="241">
        <f t="shared" si="25"/>
        <v>0</v>
      </c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241"/>
      <c r="AN12" s="241">
        <f t="shared" si="26"/>
        <v>0</v>
      </c>
      <c r="AO12" s="151"/>
      <c r="AP12" s="151"/>
      <c r="AQ12" s="151"/>
      <c r="AR12" s="151"/>
      <c r="AS12" s="151"/>
      <c r="AT12" s="151"/>
      <c r="AU12" s="151"/>
      <c r="AV12" s="151"/>
      <c r="AW12" s="151"/>
      <c r="AX12" s="151"/>
      <c r="AY12" s="151"/>
      <c r="AZ12" s="241"/>
      <c r="BA12" s="241">
        <f t="shared" si="28"/>
        <v>0</v>
      </c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241"/>
      <c r="BN12" s="241">
        <f t="shared" si="30"/>
        <v>0</v>
      </c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241"/>
      <c r="CA12" s="241">
        <f t="shared" si="32"/>
        <v>0</v>
      </c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241"/>
      <c r="CN12" s="241">
        <f t="shared" si="34"/>
        <v>0</v>
      </c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241"/>
      <c r="DA12" s="241">
        <f t="shared" si="36"/>
        <v>0</v>
      </c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241"/>
      <c r="DN12" s="241">
        <f t="shared" si="38"/>
        <v>0</v>
      </c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241"/>
      <c r="EA12" s="241">
        <f t="shared" si="40"/>
        <v>0</v>
      </c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241"/>
      <c r="EN12" s="241">
        <f t="shared" si="42"/>
        <v>0</v>
      </c>
      <c r="EO12" s="151"/>
      <c r="EP12" s="151"/>
      <c r="EQ12" s="151"/>
      <c r="ER12" s="151"/>
      <c r="ES12" s="151"/>
      <c r="ET12" s="151"/>
      <c r="EU12" s="151"/>
      <c r="EV12" s="950"/>
      <c r="EW12" s="151"/>
      <c r="EX12" s="151"/>
      <c r="EY12" s="151"/>
      <c r="EZ12" s="241"/>
      <c r="FA12" s="241">
        <f t="shared" si="44"/>
        <v>0</v>
      </c>
      <c r="FC12" s="184" t="str">
        <f t="shared" si="45"/>
        <v/>
      </c>
      <c r="FD12" s="184" t="str">
        <f t="shared" si="46"/>
        <v/>
      </c>
      <c r="FE12" s="161">
        <f t="shared" si="48"/>
        <v>0</v>
      </c>
      <c r="FF12" s="161">
        <f t="shared" si="47"/>
        <v>0</v>
      </c>
    </row>
    <row r="13" spans="1:162" ht="15" customHeight="1" x14ac:dyDescent="0.25">
      <c r="A13" s="403" t="s">
        <v>415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241"/>
      <c r="N13" s="241">
        <f t="shared" si="23"/>
        <v>0</v>
      </c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241"/>
      <c r="AA13" s="241">
        <f t="shared" si="25"/>
        <v>0</v>
      </c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241"/>
      <c r="AN13" s="241">
        <f t="shared" si="26"/>
        <v>0</v>
      </c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151"/>
      <c r="AZ13" s="241"/>
      <c r="BA13" s="241">
        <f t="shared" si="28"/>
        <v>0</v>
      </c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241"/>
      <c r="BN13" s="241">
        <f t="shared" si="30"/>
        <v>0</v>
      </c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241"/>
      <c r="CA13" s="241">
        <f t="shared" si="32"/>
        <v>0</v>
      </c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241"/>
      <c r="CN13" s="241">
        <f t="shared" si="34"/>
        <v>0</v>
      </c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241"/>
      <c r="DA13" s="241">
        <f t="shared" si="36"/>
        <v>0</v>
      </c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241"/>
      <c r="DN13" s="241">
        <f t="shared" si="38"/>
        <v>0</v>
      </c>
      <c r="DO13" s="151"/>
      <c r="DP13" s="151"/>
      <c r="DQ13" s="151"/>
      <c r="DR13" s="151"/>
      <c r="DS13" s="151"/>
      <c r="DT13" s="151"/>
      <c r="DU13" s="151"/>
      <c r="DV13" s="151"/>
      <c r="DW13" s="151"/>
      <c r="DX13" s="151"/>
      <c r="DY13" s="151"/>
      <c r="DZ13" s="241"/>
      <c r="EA13" s="241">
        <f t="shared" si="40"/>
        <v>0</v>
      </c>
      <c r="EB13" s="151"/>
      <c r="EC13" s="151"/>
      <c r="ED13" s="151"/>
      <c r="EE13" s="151"/>
      <c r="EF13" s="151"/>
      <c r="EG13" s="151"/>
      <c r="EH13" s="151"/>
      <c r="EI13" s="151"/>
      <c r="EJ13" s="151"/>
      <c r="EK13" s="151"/>
      <c r="EL13" s="151"/>
      <c r="EM13" s="241"/>
      <c r="EN13" s="241">
        <f t="shared" si="42"/>
        <v>0</v>
      </c>
      <c r="EO13" s="151"/>
      <c r="EP13" s="151"/>
      <c r="EQ13" s="151"/>
      <c r="ER13" s="151"/>
      <c r="ES13" s="151"/>
      <c r="ET13" s="151"/>
      <c r="EU13" s="151"/>
      <c r="EV13" s="950"/>
      <c r="EW13" s="151"/>
      <c r="EX13" s="151"/>
      <c r="EY13" s="151"/>
      <c r="EZ13" s="241"/>
      <c r="FA13" s="241">
        <f t="shared" si="44"/>
        <v>0</v>
      </c>
      <c r="FC13" s="184" t="str">
        <f t="shared" si="45"/>
        <v/>
      </c>
      <c r="FD13" s="184" t="str">
        <f t="shared" si="46"/>
        <v/>
      </c>
      <c r="FE13" s="161">
        <f t="shared" si="48"/>
        <v>0</v>
      </c>
      <c r="FF13" s="161">
        <f t="shared" si="47"/>
        <v>0</v>
      </c>
    </row>
    <row r="14" spans="1:162" ht="15" customHeight="1" x14ac:dyDescent="0.25">
      <c r="A14" s="403" t="s">
        <v>416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241"/>
      <c r="N14" s="241">
        <f t="shared" si="23"/>
        <v>0</v>
      </c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241"/>
      <c r="AA14" s="241">
        <f t="shared" si="25"/>
        <v>0</v>
      </c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241"/>
      <c r="AN14" s="241">
        <f t="shared" si="26"/>
        <v>0</v>
      </c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241"/>
      <c r="BA14" s="241">
        <f t="shared" si="28"/>
        <v>0</v>
      </c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241"/>
      <c r="BN14" s="241">
        <f t="shared" si="30"/>
        <v>0</v>
      </c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241"/>
      <c r="CA14" s="241">
        <f t="shared" si="32"/>
        <v>0</v>
      </c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241"/>
      <c r="CN14" s="241">
        <f t="shared" si="34"/>
        <v>0</v>
      </c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241"/>
      <c r="DA14" s="241">
        <f t="shared" si="36"/>
        <v>0</v>
      </c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241"/>
      <c r="DN14" s="241">
        <f t="shared" si="38"/>
        <v>0</v>
      </c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51"/>
      <c r="DZ14" s="241"/>
      <c r="EA14" s="241">
        <f t="shared" si="40"/>
        <v>0</v>
      </c>
      <c r="EB14" s="151"/>
      <c r="EC14" s="151"/>
      <c r="ED14" s="151"/>
      <c r="EE14" s="151"/>
      <c r="EF14" s="151"/>
      <c r="EG14" s="151"/>
      <c r="EH14" s="151"/>
      <c r="EI14" s="151"/>
      <c r="EJ14" s="151"/>
      <c r="EK14" s="151"/>
      <c r="EL14" s="151"/>
      <c r="EM14" s="241"/>
      <c r="EN14" s="241">
        <f t="shared" si="42"/>
        <v>0</v>
      </c>
      <c r="EO14" s="151"/>
      <c r="EP14" s="151"/>
      <c r="EQ14" s="151"/>
      <c r="ER14" s="151"/>
      <c r="ES14" s="151"/>
      <c r="ET14" s="151"/>
      <c r="EU14" s="151"/>
      <c r="EV14" s="950"/>
      <c r="EW14" s="151"/>
      <c r="EX14" s="151"/>
      <c r="EY14" s="151"/>
      <c r="EZ14" s="241"/>
      <c r="FA14" s="241">
        <f t="shared" si="44"/>
        <v>0</v>
      </c>
      <c r="FC14" s="184" t="str">
        <f t="shared" si="45"/>
        <v/>
      </c>
      <c r="FD14" s="184" t="str">
        <f t="shared" si="46"/>
        <v/>
      </c>
      <c r="FE14" s="161">
        <f t="shared" si="48"/>
        <v>0</v>
      </c>
      <c r="FF14" s="161">
        <f>SUMIFS($B14:$FA14,$B$5:$FA$5,"&gt;="&amp;DATE(YEAR($FC$5),1,1),$B$5:$FA$5,"&lt;="&amp;$FC$5)</f>
        <v>0</v>
      </c>
    </row>
    <row r="15" spans="1:162" ht="15" customHeight="1" x14ac:dyDescent="0.25">
      <c r="A15" s="403" t="s">
        <v>299</v>
      </c>
      <c r="B15" s="151">
        <v>14735</v>
      </c>
      <c r="C15" s="151">
        <v>19461</v>
      </c>
      <c r="D15" s="151">
        <v>20171</v>
      </c>
      <c r="E15" s="151">
        <v>17731</v>
      </c>
      <c r="F15" s="151">
        <v>31975</v>
      </c>
      <c r="G15" s="151">
        <v>25300</v>
      </c>
      <c r="H15" s="151">
        <v>18214</v>
      </c>
      <c r="I15" s="151">
        <v>21165</v>
      </c>
      <c r="J15" s="151">
        <v>16350</v>
      </c>
      <c r="K15" s="151">
        <v>16587</v>
      </c>
      <c r="L15" s="151">
        <v>26365</v>
      </c>
      <c r="M15" s="241">
        <v>19123</v>
      </c>
      <c r="N15" s="241">
        <f t="shared" si="23"/>
        <v>247177</v>
      </c>
      <c r="O15" s="151">
        <v>16699</v>
      </c>
      <c r="P15" s="151">
        <v>7025</v>
      </c>
      <c r="Q15" s="151">
        <v>30883</v>
      </c>
      <c r="R15" s="151">
        <v>14929</v>
      </c>
      <c r="S15" s="151">
        <v>21647</v>
      </c>
      <c r="T15" s="151">
        <v>16604</v>
      </c>
      <c r="U15" s="151">
        <v>16598</v>
      </c>
      <c r="V15" s="151">
        <v>14064</v>
      </c>
      <c r="W15" s="151">
        <v>14611</v>
      </c>
      <c r="X15" s="151">
        <v>16890</v>
      </c>
      <c r="Y15" s="151">
        <v>25281</v>
      </c>
      <c r="Z15" s="241">
        <v>15814</v>
      </c>
      <c r="AA15" s="241">
        <f t="shared" si="25"/>
        <v>211045</v>
      </c>
      <c r="AB15" s="151">
        <v>14223</v>
      </c>
      <c r="AC15" s="151">
        <v>8226</v>
      </c>
      <c r="AD15" s="151">
        <v>28770</v>
      </c>
      <c r="AE15" s="151">
        <v>12983</v>
      </c>
      <c r="AF15" s="151">
        <v>24380</v>
      </c>
      <c r="AG15" s="151">
        <v>15117</v>
      </c>
      <c r="AH15" s="151">
        <v>13830</v>
      </c>
      <c r="AI15" s="151">
        <v>17188</v>
      </c>
      <c r="AJ15" s="151">
        <v>17570</v>
      </c>
      <c r="AK15" s="151">
        <v>23846</v>
      </c>
      <c r="AL15" s="151">
        <v>18403</v>
      </c>
      <c r="AM15" s="241">
        <v>21875</v>
      </c>
      <c r="AN15" s="241">
        <f t="shared" si="26"/>
        <v>216411</v>
      </c>
      <c r="AO15" s="151">
        <v>14830</v>
      </c>
      <c r="AP15" s="151">
        <v>25704</v>
      </c>
      <c r="AQ15" s="151">
        <v>20605</v>
      </c>
      <c r="AR15" s="151">
        <v>31943</v>
      </c>
      <c r="AS15" s="151">
        <v>18665</v>
      </c>
      <c r="AT15" s="151">
        <v>22808</v>
      </c>
      <c r="AU15" s="151">
        <v>17945</v>
      </c>
      <c r="AV15" s="151">
        <v>18253</v>
      </c>
      <c r="AW15" s="151">
        <v>12678</v>
      </c>
      <c r="AX15" s="151">
        <v>34972</v>
      </c>
      <c r="AY15" s="151">
        <v>20711</v>
      </c>
      <c r="AZ15" s="241">
        <v>20547</v>
      </c>
      <c r="BA15" s="241">
        <f t="shared" si="28"/>
        <v>259661</v>
      </c>
      <c r="BB15" s="151">
        <v>14485</v>
      </c>
      <c r="BC15" s="151">
        <v>23760</v>
      </c>
      <c r="BD15" s="151">
        <v>17078</v>
      </c>
      <c r="BE15" s="151">
        <v>15493</v>
      </c>
      <c r="BF15" s="151">
        <v>22053</v>
      </c>
      <c r="BG15" s="151">
        <v>20260</v>
      </c>
      <c r="BH15" s="151">
        <v>17063</v>
      </c>
      <c r="BI15" s="151">
        <v>16161</v>
      </c>
      <c r="BJ15" s="151">
        <v>17904</v>
      </c>
      <c r="BK15" s="151">
        <v>19347</v>
      </c>
      <c r="BL15" s="151">
        <v>18500</v>
      </c>
      <c r="BM15" s="241">
        <v>20058</v>
      </c>
      <c r="BN15" s="241">
        <f t="shared" si="30"/>
        <v>222162</v>
      </c>
      <c r="BO15" s="151">
        <v>15398</v>
      </c>
      <c r="BP15" s="151">
        <v>4565</v>
      </c>
      <c r="BQ15" s="151">
        <v>36453</v>
      </c>
      <c r="BR15" s="151">
        <v>12041</v>
      </c>
      <c r="BS15" s="151">
        <v>8220</v>
      </c>
      <c r="BT15" s="151">
        <v>18657</v>
      </c>
      <c r="BU15" s="151">
        <v>16483</v>
      </c>
      <c r="BV15" s="151">
        <v>17481</v>
      </c>
      <c r="BW15" s="151">
        <v>21444</v>
      </c>
      <c r="BX15" s="151">
        <v>17179</v>
      </c>
      <c r="BY15" s="151">
        <v>16042</v>
      </c>
      <c r="BZ15" s="241">
        <v>19533</v>
      </c>
      <c r="CA15" s="241">
        <f t="shared" si="32"/>
        <v>203496</v>
      </c>
      <c r="CB15" s="151">
        <v>21792</v>
      </c>
      <c r="CC15" s="151">
        <v>25275</v>
      </c>
      <c r="CD15" s="151">
        <v>21096</v>
      </c>
      <c r="CE15" s="151">
        <v>33056</v>
      </c>
      <c r="CF15" s="151">
        <v>21362</v>
      </c>
      <c r="CG15" s="151">
        <v>24624</v>
      </c>
      <c r="CH15" s="151">
        <v>23231</v>
      </c>
      <c r="CI15" s="151">
        <v>24672</v>
      </c>
      <c r="CJ15" s="151">
        <v>29530</v>
      </c>
      <c r="CK15" s="151">
        <v>32311</v>
      </c>
      <c r="CL15" s="151">
        <v>28547</v>
      </c>
      <c r="CM15" s="241">
        <v>35999</v>
      </c>
      <c r="CN15" s="241">
        <f t="shared" si="34"/>
        <v>321495</v>
      </c>
      <c r="CO15" s="151">
        <v>34130</v>
      </c>
      <c r="CP15" s="151">
        <v>36529</v>
      </c>
      <c r="CQ15" s="151">
        <v>37346</v>
      </c>
      <c r="CR15" s="151">
        <v>33571</v>
      </c>
      <c r="CS15" s="151">
        <v>49202</v>
      </c>
      <c r="CT15" s="151">
        <v>34933</v>
      </c>
      <c r="CU15" s="151">
        <v>35448</v>
      </c>
      <c r="CV15" s="151">
        <v>32116</v>
      </c>
      <c r="CW15" s="151">
        <v>38800</v>
      </c>
      <c r="CX15" s="151">
        <v>35127</v>
      </c>
      <c r="CY15" s="151">
        <v>27868</v>
      </c>
      <c r="CZ15" s="241">
        <v>40493</v>
      </c>
      <c r="DA15" s="241">
        <f t="shared" si="36"/>
        <v>435563</v>
      </c>
      <c r="DB15" s="151">
        <v>33239</v>
      </c>
      <c r="DC15" s="151">
        <v>36467</v>
      </c>
      <c r="DD15" s="151">
        <v>31931</v>
      </c>
      <c r="DE15" s="151">
        <v>41202</v>
      </c>
      <c r="DF15" s="151">
        <v>41641</v>
      </c>
      <c r="DG15" s="151">
        <v>30609</v>
      </c>
      <c r="DH15" s="151">
        <v>23706</v>
      </c>
      <c r="DI15" s="151">
        <v>33028</v>
      </c>
      <c r="DJ15" s="151">
        <v>27112</v>
      </c>
      <c r="DK15" s="151">
        <v>30858</v>
      </c>
      <c r="DL15" s="151">
        <v>32479</v>
      </c>
      <c r="DM15" s="241">
        <v>27808</v>
      </c>
      <c r="DN15" s="241">
        <f t="shared" si="38"/>
        <v>390080</v>
      </c>
      <c r="DO15" s="151">
        <v>24148</v>
      </c>
      <c r="DP15" s="151">
        <v>40281</v>
      </c>
      <c r="DQ15" s="151">
        <v>30009</v>
      </c>
      <c r="DR15" s="151">
        <v>28265</v>
      </c>
      <c r="DS15" s="151">
        <v>41259</v>
      </c>
      <c r="DT15" s="151">
        <v>32273</v>
      </c>
      <c r="DU15" s="151">
        <v>30595</v>
      </c>
      <c r="DV15" s="151">
        <v>31591</v>
      </c>
      <c r="DW15" s="151">
        <v>37132</v>
      </c>
      <c r="DX15" s="151">
        <v>34847</v>
      </c>
      <c r="DY15" s="151">
        <v>32872</v>
      </c>
      <c r="DZ15" s="241">
        <v>39506</v>
      </c>
      <c r="EA15" s="241">
        <f t="shared" si="40"/>
        <v>402778</v>
      </c>
      <c r="EB15" s="151">
        <v>29485</v>
      </c>
      <c r="EC15" s="151">
        <v>48705</v>
      </c>
      <c r="ED15" s="151">
        <v>33609</v>
      </c>
      <c r="EE15" s="151">
        <v>32140</v>
      </c>
      <c r="EF15" s="151">
        <v>47589</v>
      </c>
      <c r="EG15" s="151">
        <v>34432</v>
      </c>
      <c r="EH15" s="151">
        <v>36019</v>
      </c>
      <c r="EI15" s="151">
        <v>34656</v>
      </c>
      <c r="EJ15" s="151">
        <v>34142</v>
      </c>
      <c r="EK15" s="151">
        <v>35611</v>
      </c>
      <c r="EL15" s="151">
        <v>33444</v>
      </c>
      <c r="EM15" s="241">
        <v>32394</v>
      </c>
      <c r="EN15" s="241">
        <f t="shared" si="42"/>
        <v>432226</v>
      </c>
      <c r="EO15" s="151">
        <v>29170</v>
      </c>
      <c r="EP15" s="151">
        <v>42461</v>
      </c>
      <c r="EQ15" s="151">
        <v>35669</v>
      </c>
      <c r="ER15" s="151">
        <v>45055</v>
      </c>
      <c r="ES15" s="151">
        <v>49880</v>
      </c>
      <c r="ET15" s="151">
        <v>46164</v>
      </c>
      <c r="EU15" s="151">
        <v>44672</v>
      </c>
      <c r="EV15" s="950">
        <v>35944</v>
      </c>
      <c r="EW15" s="151"/>
      <c r="EX15" s="151"/>
      <c r="EY15" s="151"/>
      <c r="EZ15" s="241"/>
      <c r="FA15" s="241">
        <f t="shared" si="44"/>
        <v>329015</v>
      </c>
      <c r="FC15" s="184">
        <f t="shared" si="45"/>
        <v>3.7165281625115343</v>
      </c>
      <c r="FD15" s="184">
        <f t="shared" si="46"/>
        <v>10.915771908237403</v>
      </c>
      <c r="FE15" s="161">
        <f>SUMIFS($B15:$FA15,$B$5:$FA$5,"&gt;="&amp;DATE(YEAR($FC$5)-1,1,1),$B$5:$FA$5,"&lt;="&amp;DATE(YEAR($FC$5)-1,MONTH($FC$5),1))</f>
        <v>296635</v>
      </c>
      <c r="FF15" s="161">
        <f>SUMIFS($B15:$FA15,$B$5:$FA$5,"&gt;="&amp;DATE(YEAR($FC$5),1,1),$B$5:$FA$5,"&lt;="&amp;$FC$5)</f>
        <v>329015</v>
      </c>
    </row>
    <row r="16" spans="1:162" ht="15" customHeight="1" x14ac:dyDescent="0.25">
      <c r="A16" s="403" t="s">
        <v>417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241"/>
      <c r="N16" s="241">
        <f t="shared" si="23"/>
        <v>0</v>
      </c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241"/>
      <c r="AA16" s="241">
        <f t="shared" si="25"/>
        <v>0</v>
      </c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241"/>
      <c r="AN16" s="241">
        <f t="shared" si="26"/>
        <v>0</v>
      </c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241"/>
      <c r="BA16" s="241">
        <f t="shared" si="28"/>
        <v>0</v>
      </c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241"/>
      <c r="BN16" s="241">
        <f t="shared" si="30"/>
        <v>0</v>
      </c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241"/>
      <c r="CA16" s="241">
        <f t="shared" si="32"/>
        <v>0</v>
      </c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241"/>
      <c r="CN16" s="241">
        <f t="shared" si="34"/>
        <v>0</v>
      </c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241"/>
      <c r="DA16" s="241">
        <f t="shared" si="36"/>
        <v>0</v>
      </c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241"/>
      <c r="DN16" s="241">
        <f t="shared" si="38"/>
        <v>0</v>
      </c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241"/>
      <c r="EA16" s="241">
        <f t="shared" si="40"/>
        <v>0</v>
      </c>
      <c r="EB16" s="151"/>
      <c r="EC16" s="151"/>
      <c r="ED16" s="151"/>
      <c r="EE16" s="151"/>
      <c r="EF16" s="151"/>
      <c r="EG16" s="151"/>
      <c r="EH16" s="151"/>
      <c r="EI16" s="151">
        <v>0</v>
      </c>
      <c r="EJ16" s="151">
        <v>0</v>
      </c>
      <c r="EK16" s="151">
        <v>0</v>
      </c>
      <c r="EL16" s="151">
        <v>0</v>
      </c>
      <c r="EM16" s="241">
        <v>0</v>
      </c>
      <c r="EN16" s="241">
        <f t="shared" si="42"/>
        <v>0</v>
      </c>
      <c r="EO16" s="151">
        <v>0</v>
      </c>
      <c r="EP16" s="151">
        <v>0</v>
      </c>
      <c r="EQ16" s="151">
        <v>0</v>
      </c>
      <c r="ER16" s="151">
        <v>0</v>
      </c>
      <c r="ES16" s="151">
        <v>0</v>
      </c>
      <c r="ET16" s="151">
        <v>0</v>
      </c>
      <c r="EU16" s="151">
        <v>0</v>
      </c>
      <c r="EV16" s="950">
        <v>0</v>
      </c>
      <c r="EW16" s="151"/>
      <c r="EX16" s="151"/>
      <c r="EY16" s="151"/>
      <c r="EZ16" s="241"/>
      <c r="FA16" s="241">
        <f t="shared" si="44"/>
        <v>0</v>
      </c>
      <c r="FC16" s="184" t="str">
        <f t="shared" si="45"/>
        <v/>
      </c>
      <c r="FD16" s="184" t="str">
        <f t="shared" si="46"/>
        <v/>
      </c>
      <c r="FE16" s="161">
        <f t="shared" si="48"/>
        <v>0</v>
      </c>
      <c r="FF16" s="161">
        <f t="shared" si="47"/>
        <v>0</v>
      </c>
    </row>
    <row r="17" spans="1:162" ht="15" customHeight="1" x14ac:dyDescent="0.25">
      <c r="A17" s="403" t="s">
        <v>418</v>
      </c>
      <c r="B17" s="151">
        <v>238</v>
      </c>
      <c r="C17" s="151">
        <v>229</v>
      </c>
      <c r="D17" s="151">
        <v>312</v>
      </c>
      <c r="E17" s="151">
        <v>313</v>
      </c>
      <c r="F17" s="151">
        <v>335</v>
      </c>
      <c r="G17" s="151">
        <v>584</v>
      </c>
      <c r="H17" s="151">
        <v>453</v>
      </c>
      <c r="I17" s="151">
        <v>598</v>
      </c>
      <c r="J17" s="151">
        <v>261</v>
      </c>
      <c r="K17" s="151">
        <v>279</v>
      </c>
      <c r="L17" s="151">
        <v>462</v>
      </c>
      <c r="M17" s="241">
        <v>590</v>
      </c>
      <c r="N17" s="241">
        <f t="shared" si="23"/>
        <v>4654</v>
      </c>
      <c r="O17" s="151">
        <v>375</v>
      </c>
      <c r="P17" s="151">
        <v>493</v>
      </c>
      <c r="Q17" s="151">
        <v>269</v>
      </c>
      <c r="R17" s="151">
        <v>414</v>
      </c>
      <c r="S17" s="151">
        <v>360</v>
      </c>
      <c r="T17" s="151">
        <v>349</v>
      </c>
      <c r="U17" s="151">
        <v>370</v>
      </c>
      <c r="V17" s="151">
        <v>337</v>
      </c>
      <c r="W17" s="151">
        <v>364</v>
      </c>
      <c r="X17" s="151">
        <v>394</v>
      </c>
      <c r="Y17" s="151">
        <v>350</v>
      </c>
      <c r="Z17" s="241">
        <v>451</v>
      </c>
      <c r="AA17" s="241">
        <f t="shared" si="25"/>
        <v>4526</v>
      </c>
      <c r="AB17" s="151">
        <v>377</v>
      </c>
      <c r="AC17" s="151">
        <v>406</v>
      </c>
      <c r="AD17" s="151">
        <v>391</v>
      </c>
      <c r="AE17" s="151">
        <v>299</v>
      </c>
      <c r="AF17" s="151">
        <v>390</v>
      </c>
      <c r="AG17" s="151">
        <v>303</v>
      </c>
      <c r="AH17" s="151">
        <v>299</v>
      </c>
      <c r="AI17" s="151">
        <v>319</v>
      </c>
      <c r="AJ17" s="151">
        <v>260</v>
      </c>
      <c r="AK17" s="151">
        <v>402</v>
      </c>
      <c r="AL17" s="151">
        <v>336</v>
      </c>
      <c r="AM17" s="241">
        <v>498</v>
      </c>
      <c r="AN17" s="241">
        <f t="shared" si="26"/>
        <v>4280</v>
      </c>
      <c r="AO17" s="151">
        <v>499</v>
      </c>
      <c r="AP17" s="151">
        <v>328</v>
      </c>
      <c r="AQ17" s="151">
        <v>376</v>
      </c>
      <c r="AR17" s="151">
        <v>408</v>
      </c>
      <c r="AS17" s="151">
        <v>395</v>
      </c>
      <c r="AT17" s="151">
        <v>728</v>
      </c>
      <c r="AU17" s="151">
        <v>466</v>
      </c>
      <c r="AV17" s="151">
        <v>492</v>
      </c>
      <c r="AW17" s="151">
        <v>535</v>
      </c>
      <c r="AX17" s="151">
        <v>364</v>
      </c>
      <c r="AY17" s="151">
        <v>482</v>
      </c>
      <c r="AZ17" s="241">
        <v>520</v>
      </c>
      <c r="BA17" s="241">
        <f t="shared" si="28"/>
        <v>5593</v>
      </c>
      <c r="BB17" s="151">
        <v>261</v>
      </c>
      <c r="BC17" s="151">
        <v>300</v>
      </c>
      <c r="BD17" s="151">
        <v>379</v>
      </c>
      <c r="BE17" s="151">
        <v>261</v>
      </c>
      <c r="BF17" s="151">
        <v>352</v>
      </c>
      <c r="BG17" s="151">
        <v>262</v>
      </c>
      <c r="BH17" s="151">
        <v>414</v>
      </c>
      <c r="BI17" s="151">
        <v>405</v>
      </c>
      <c r="BJ17" s="151">
        <v>435</v>
      </c>
      <c r="BK17" s="151">
        <v>533</v>
      </c>
      <c r="BL17" s="151">
        <v>410</v>
      </c>
      <c r="BM17" s="241">
        <v>395</v>
      </c>
      <c r="BN17" s="241">
        <f t="shared" si="30"/>
        <v>4407</v>
      </c>
      <c r="BO17" s="151">
        <v>428</v>
      </c>
      <c r="BP17" s="151">
        <v>399</v>
      </c>
      <c r="BQ17" s="151">
        <v>868</v>
      </c>
      <c r="BR17" s="151">
        <v>508</v>
      </c>
      <c r="BS17" s="151">
        <v>325</v>
      </c>
      <c r="BT17" s="151">
        <v>1191</v>
      </c>
      <c r="BU17" s="151">
        <v>-1522</v>
      </c>
      <c r="BV17" s="151">
        <v>242</v>
      </c>
      <c r="BW17" s="151">
        <v>340</v>
      </c>
      <c r="BX17" s="151">
        <v>300</v>
      </c>
      <c r="BY17" s="151">
        <v>348</v>
      </c>
      <c r="BZ17" s="241">
        <v>527</v>
      </c>
      <c r="CA17" s="241">
        <f t="shared" si="32"/>
        <v>3954</v>
      </c>
      <c r="CB17" s="151">
        <v>334</v>
      </c>
      <c r="CC17" s="151">
        <v>379</v>
      </c>
      <c r="CD17" s="151">
        <v>414</v>
      </c>
      <c r="CE17" s="151">
        <v>315</v>
      </c>
      <c r="CF17" s="151">
        <v>388</v>
      </c>
      <c r="CG17" s="151">
        <v>371</v>
      </c>
      <c r="CH17" s="151">
        <v>360</v>
      </c>
      <c r="CI17" s="151">
        <v>343</v>
      </c>
      <c r="CJ17" s="151">
        <v>318</v>
      </c>
      <c r="CK17" s="151">
        <v>446</v>
      </c>
      <c r="CL17" s="151">
        <v>458</v>
      </c>
      <c r="CM17" s="241">
        <v>477</v>
      </c>
      <c r="CN17" s="241">
        <f t="shared" si="34"/>
        <v>4603</v>
      </c>
      <c r="CO17" s="151">
        <v>586</v>
      </c>
      <c r="CP17" s="151">
        <v>582</v>
      </c>
      <c r="CQ17" s="151">
        <v>532</v>
      </c>
      <c r="CR17" s="151">
        <v>519</v>
      </c>
      <c r="CS17" s="151">
        <v>628</v>
      </c>
      <c r="CT17" s="151">
        <v>741</v>
      </c>
      <c r="CU17" s="151">
        <v>736</v>
      </c>
      <c r="CV17" s="151">
        <v>686</v>
      </c>
      <c r="CW17" s="151">
        <v>920</v>
      </c>
      <c r="CX17" s="151">
        <v>1428</v>
      </c>
      <c r="CY17" s="151">
        <v>1294</v>
      </c>
      <c r="CZ17" s="241">
        <v>668</v>
      </c>
      <c r="DA17" s="241">
        <f t="shared" si="36"/>
        <v>9320</v>
      </c>
      <c r="DB17" s="151">
        <v>701</v>
      </c>
      <c r="DC17" s="151">
        <v>1244</v>
      </c>
      <c r="DD17" s="151">
        <v>925</v>
      </c>
      <c r="DE17" s="151">
        <v>968</v>
      </c>
      <c r="DF17" s="151">
        <v>1257</v>
      </c>
      <c r="DG17" s="151">
        <v>1215</v>
      </c>
      <c r="DH17" s="151">
        <v>879</v>
      </c>
      <c r="DI17" s="151">
        <v>1445</v>
      </c>
      <c r="DJ17" s="151">
        <v>1149</v>
      </c>
      <c r="DK17" s="151">
        <v>1074</v>
      </c>
      <c r="DL17" s="151">
        <v>1606</v>
      </c>
      <c r="DM17" s="241">
        <v>1623</v>
      </c>
      <c r="DN17" s="241">
        <f t="shared" si="38"/>
        <v>14086</v>
      </c>
      <c r="DO17" s="151">
        <v>914</v>
      </c>
      <c r="DP17" s="151">
        <v>718</v>
      </c>
      <c r="DQ17" s="151">
        <v>946</v>
      </c>
      <c r="DR17" s="151">
        <v>858</v>
      </c>
      <c r="DS17" s="151">
        <v>230</v>
      </c>
      <c r="DT17" s="151">
        <v>864</v>
      </c>
      <c r="DU17" s="151">
        <v>639</v>
      </c>
      <c r="DV17" s="151">
        <v>708</v>
      </c>
      <c r="DW17" s="151">
        <v>1300</v>
      </c>
      <c r="DX17" s="151">
        <v>1193</v>
      </c>
      <c r="DY17" s="151">
        <v>753</v>
      </c>
      <c r="DZ17" s="241">
        <v>768</v>
      </c>
      <c r="EA17" s="241">
        <f t="shared" si="40"/>
        <v>9891</v>
      </c>
      <c r="EB17" s="151">
        <v>1067</v>
      </c>
      <c r="EC17" s="151">
        <v>516</v>
      </c>
      <c r="ED17" s="151">
        <v>547</v>
      </c>
      <c r="EE17" s="151">
        <v>1128</v>
      </c>
      <c r="EF17" s="151">
        <v>847</v>
      </c>
      <c r="EG17" s="151">
        <v>606</v>
      </c>
      <c r="EH17" s="151">
        <v>638</v>
      </c>
      <c r="EI17" s="151">
        <v>722</v>
      </c>
      <c r="EJ17" s="151">
        <v>1032</v>
      </c>
      <c r="EK17" s="151">
        <v>688</v>
      </c>
      <c r="EL17" s="151">
        <v>576</v>
      </c>
      <c r="EM17" s="241">
        <v>1308</v>
      </c>
      <c r="EN17" s="241">
        <f t="shared" si="42"/>
        <v>9675</v>
      </c>
      <c r="EO17" s="151">
        <v>467</v>
      </c>
      <c r="EP17" s="151">
        <v>639</v>
      </c>
      <c r="EQ17" s="151">
        <v>554</v>
      </c>
      <c r="ER17" s="151">
        <v>488</v>
      </c>
      <c r="ES17" s="151">
        <v>457</v>
      </c>
      <c r="ET17" s="151">
        <v>616</v>
      </c>
      <c r="EU17" s="151">
        <v>704</v>
      </c>
      <c r="EV17" s="950">
        <v>568</v>
      </c>
      <c r="EW17" s="151"/>
      <c r="EX17" s="151"/>
      <c r="EY17" s="151"/>
      <c r="EZ17" s="241"/>
      <c r="FA17" s="241">
        <f t="shared" si="44"/>
        <v>4493</v>
      </c>
      <c r="FC17" s="184">
        <f t="shared" si="45"/>
        <v>-21.32963988919667</v>
      </c>
      <c r="FD17" s="184">
        <f t="shared" si="46"/>
        <v>-25.992422994564322</v>
      </c>
      <c r="FE17" s="161">
        <f t="shared" si="48"/>
        <v>6071</v>
      </c>
      <c r="FF17" s="161">
        <f t="shared" si="47"/>
        <v>4493</v>
      </c>
    </row>
    <row r="18" spans="1:162" s="125" customFormat="1" ht="15" customHeight="1" x14ac:dyDescent="0.25">
      <c r="A18" s="401" t="s">
        <v>419</v>
      </c>
      <c r="B18" s="229">
        <f t="shared" ref="B18:M18" si="49">SUM(B19:B20)</f>
        <v>40</v>
      </c>
      <c r="C18" s="229">
        <f t="shared" si="49"/>
        <v>45</v>
      </c>
      <c r="D18" s="229">
        <f t="shared" si="49"/>
        <v>100</v>
      </c>
      <c r="E18" s="229">
        <f t="shared" si="49"/>
        <v>48</v>
      </c>
      <c r="F18" s="229">
        <f t="shared" si="49"/>
        <v>46</v>
      </c>
      <c r="G18" s="229">
        <f t="shared" si="49"/>
        <v>88</v>
      </c>
      <c r="H18" s="229">
        <f t="shared" si="49"/>
        <v>94</v>
      </c>
      <c r="I18" s="229">
        <f t="shared" si="49"/>
        <v>92</v>
      </c>
      <c r="J18" s="229">
        <f t="shared" si="49"/>
        <v>103</v>
      </c>
      <c r="K18" s="229">
        <f t="shared" si="49"/>
        <v>108</v>
      </c>
      <c r="L18" s="229">
        <f t="shared" si="49"/>
        <v>110</v>
      </c>
      <c r="M18" s="268">
        <f t="shared" si="49"/>
        <v>134</v>
      </c>
      <c r="N18" s="268">
        <f t="shared" si="23"/>
        <v>1008</v>
      </c>
      <c r="O18" s="229">
        <f>SUM(O19:O20)</f>
        <v>146</v>
      </c>
      <c r="P18" s="229">
        <f t="shared" ref="P18:AM18" si="50">SUM(P19:P20)</f>
        <v>94</v>
      </c>
      <c r="Q18" s="229">
        <f t="shared" si="50"/>
        <v>40</v>
      </c>
      <c r="R18" s="229">
        <f t="shared" si="50"/>
        <v>70</v>
      </c>
      <c r="S18" s="229">
        <f t="shared" si="50"/>
        <v>76</v>
      </c>
      <c r="T18" s="229">
        <f t="shared" si="50"/>
        <v>65</v>
      </c>
      <c r="U18" s="229">
        <f t="shared" si="50"/>
        <v>70</v>
      </c>
      <c r="V18" s="229">
        <f t="shared" si="50"/>
        <v>119</v>
      </c>
      <c r="W18" s="229">
        <f t="shared" si="50"/>
        <v>65</v>
      </c>
      <c r="X18" s="229">
        <f t="shared" si="50"/>
        <v>75</v>
      </c>
      <c r="Y18" s="229">
        <f t="shared" si="50"/>
        <v>52</v>
      </c>
      <c r="Z18" s="268">
        <f t="shared" si="50"/>
        <v>179</v>
      </c>
      <c r="AA18" s="268">
        <f t="shared" si="25"/>
        <v>1051</v>
      </c>
      <c r="AB18" s="229">
        <f t="shared" si="50"/>
        <v>100</v>
      </c>
      <c r="AC18" s="229">
        <f t="shared" si="50"/>
        <v>29</v>
      </c>
      <c r="AD18" s="229">
        <f t="shared" si="50"/>
        <v>70</v>
      </c>
      <c r="AE18" s="229">
        <f t="shared" si="50"/>
        <v>70</v>
      </c>
      <c r="AF18" s="229">
        <f t="shared" si="50"/>
        <v>44</v>
      </c>
      <c r="AG18" s="229">
        <f t="shared" si="50"/>
        <v>49</v>
      </c>
      <c r="AH18" s="229">
        <f t="shared" si="50"/>
        <v>82</v>
      </c>
      <c r="AI18" s="229">
        <f t="shared" si="50"/>
        <v>44</v>
      </c>
      <c r="AJ18" s="229">
        <f t="shared" si="50"/>
        <v>36</v>
      </c>
      <c r="AK18" s="229">
        <f t="shared" si="50"/>
        <v>130</v>
      </c>
      <c r="AL18" s="229">
        <f t="shared" si="50"/>
        <v>58</v>
      </c>
      <c r="AM18" s="268">
        <f t="shared" si="50"/>
        <v>151</v>
      </c>
      <c r="AN18" s="268">
        <f t="shared" si="26"/>
        <v>863</v>
      </c>
      <c r="AO18" s="229">
        <f t="shared" ref="AO18:AZ18" si="51">SUM(AO19:AO20)</f>
        <v>19</v>
      </c>
      <c r="AP18" s="229">
        <f t="shared" si="51"/>
        <v>47</v>
      </c>
      <c r="AQ18" s="229">
        <f t="shared" si="51"/>
        <v>24</v>
      </c>
      <c r="AR18" s="229">
        <f t="shared" si="51"/>
        <v>39</v>
      </c>
      <c r="AS18" s="229">
        <f t="shared" si="51"/>
        <v>29</v>
      </c>
      <c r="AT18" s="229">
        <f t="shared" si="51"/>
        <v>100</v>
      </c>
      <c r="AU18" s="229">
        <f t="shared" si="51"/>
        <v>75</v>
      </c>
      <c r="AV18" s="229">
        <f t="shared" si="51"/>
        <v>35</v>
      </c>
      <c r="AW18" s="229">
        <f t="shared" si="51"/>
        <v>55</v>
      </c>
      <c r="AX18" s="229">
        <f t="shared" si="51"/>
        <v>115</v>
      </c>
      <c r="AY18" s="229">
        <f t="shared" si="51"/>
        <v>52</v>
      </c>
      <c r="AZ18" s="268">
        <f t="shared" si="51"/>
        <v>106</v>
      </c>
      <c r="BA18" s="268">
        <f t="shared" si="28"/>
        <v>696</v>
      </c>
      <c r="BB18" s="229">
        <f t="shared" ref="BB18:BM18" si="52">SUM(BB19:BB20)</f>
        <v>8</v>
      </c>
      <c r="BC18" s="229">
        <f t="shared" si="52"/>
        <v>58</v>
      </c>
      <c r="BD18" s="229">
        <f t="shared" si="52"/>
        <v>33</v>
      </c>
      <c r="BE18" s="229">
        <f t="shared" si="52"/>
        <v>13</v>
      </c>
      <c r="BF18" s="229">
        <f t="shared" si="52"/>
        <v>53</v>
      </c>
      <c r="BG18" s="229">
        <f t="shared" si="52"/>
        <v>17</v>
      </c>
      <c r="BH18" s="229">
        <f t="shared" si="52"/>
        <v>97</v>
      </c>
      <c r="BI18" s="229">
        <f t="shared" si="52"/>
        <v>9</v>
      </c>
      <c r="BJ18" s="229">
        <f t="shared" si="52"/>
        <v>77</v>
      </c>
      <c r="BK18" s="229">
        <f t="shared" si="52"/>
        <v>99</v>
      </c>
      <c r="BL18" s="229">
        <f t="shared" si="52"/>
        <v>39</v>
      </c>
      <c r="BM18" s="268">
        <f t="shared" si="52"/>
        <v>206</v>
      </c>
      <c r="BN18" s="268">
        <f t="shared" si="30"/>
        <v>709</v>
      </c>
      <c r="BO18" s="229">
        <f t="shared" ref="BO18:BZ18" si="53">SUM(BO19:BO20)</f>
        <v>54</v>
      </c>
      <c r="BP18" s="229">
        <f t="shared" si="53"/>
        <v>39</v>
      </c>
      <c r="BQ18" s="229">
        <f t="shared" si="53"/>
        <v>39</v>
      </c>
      <c r="BR18" s="229">
        <f t="shared" si="53"/>
        <v>1</v>
      </c>
      <c r="BS18" s="229">
        <f t="shared" si="53"/>
        <v>10</v>
      </c>
      <c r="BT18" s="229">
        <f t="shared" si="53"/>
        <v>23</v>
      </c>
      <c r="BU18" s="229">
        <f t="shared" si="53"/>
        <v>294</v>
      </c>
      <c r="BV18" s="229">
        <f t="shared" si="53"/>
        <v>71</v>
      </c>
      <c r="BW18" s="229">
        <f t="shared" si="53"/>
        <v>83</v>
      </c>
      <c r="BX18" s="229">
        <f t="shared" si="53"/>
        <v>156</v>
      </c>
      <c r="BY18" s="229">
        <f t="shared" si="53"/>
        <v>126</v>
      </c>
      <c r="BZ18" s="268">
        <f t="shared" si="53"/>
        <v>222</v>
      </c>
      <c r="CA18" s="268">
        <f t="shared" si="32"/>
        <v>1118</v>
      </c>
      <c r="CB18" s="229">
        <f t="shared" ref="CB18:CM18" si="54">SUM(CB19:CB20)</f>
        <v>89</v>
      </c>
      <c r="CC18" s="229">
        <f t="shared" si="54"/>
        <v>103</v>
      </c>
      <c r="CD18" s="229">
        <f t="shared" si="54"/>
        <v>72</v>
      </c>
      <c r="CE18" s="229">
        <f t="shared" si="54"/>
        <v>97</v>
      </c>
      <c r="CF18" s="229">
        <f t="shared" si="54"/>
        <v>105</v>
      </c>
      <c r="CG18" s="229">
        <f t="shared" si="54"/>
        <v>95</v>
      </c>
      <c r="CH18" s="229">
        <f t="shared" si="54"/>
        <v>154</v>
      </c>
      <c r="CI18" s="229">
        <f t="shared" si="54"/>
        <v>141</v>
      </c>
      <c r="CJ18" s="229">
        <f t="shared" si="54"/>
        <v>187</v>
      </c>
      <c r="CK18" s="229">
        <f t="shared" si="54"/>
        <v>130</v>
      </c>
      <c r="CL18" s="229">
        <f t="shared" si="54"/>
        <v>186</v>
      </c>
      <c r="CM18" s="268">
        <f t="shared" si="54"/>
        <v>228</v>
      </c>
      <c r="CN18" s="268">
        <f t="shared" si="34"/>
        <v>1587</v>
      </c>
      <c r="CO18" s="229">
        <f t="shared" ref="CO18:CZ18" si="55">SUM(CO19:CO20)</f>
        <v>111</v>
      </c>
      <c r="CP18" s="229">
        <f t="shared" si="55"/>
        <v>81</v>
      </c>
      <c r="CQ18" s="229">
        <f t="shared" si="55"/>
        <v>157</v>
      </c>
      <c r="CR18" s="229">
        <f t="shared" si="55"/>
        <v>80</v>
      </c>
      <c r="CS18" s="229">
        <f t="shared" si="55"/>
        <v>102</v>
      </c>
      <c r="CT18" s="229">
        <f t="shared" si="55"/>
        <v>168</v>
      </c>
      <c r="CU18" s="229">
        <f t="shared" si="55"/>
        <v>87</v>
      </c>
      <c r="CV18" s="229">
        <f t="shared" si="55"/>
        <v>77</v>
      </c>
      <c r="CW18" s="229">
        <f t="shared" si="55"/>
        <v>243</v>
      </c>
      <c r="CX18" s="229">
        <f t="shared" si="55"/>
        <v>190</v>
      </c>
      <c r="CY18" s="229">
        <f t="shared" si="55"/>
        <v>158</v>
      </c>
      <c r="CZ18" s="268">
        <f t="shared" si="55"/>
        <v>90</v>
      </c>
      <c r="DA18" s="268">
        <f t="shared" si="36"/>
        <v>1544</v>
      </c>
      <c r="DB18" s="229">
        <f t="shared" ref="DB18:DM18" si="56">SUM(DB19:DB20)</f>
        <v>47</v>
      </c>
      <c r="DC18" s="229">
        <f t="shared" si="56"/>
        <v>24</v>
      </c>
      <c r="DD18" s="229">
        <f t="shared" si="56"/>
        <v>60</v>
      </c>
      <c r="DE18" s="229">
        <f t="shared" si="56"/>
        <v>77</v>
      </c>
      <c r="DF18" s="229">
        <f t="shared" si="56"/>
        <v>85</v>
      </c>
      <c r="DG18" s="229">
        <f t="shared" si="56"/>
        <v>100</v>
      </c>
      <c r="DH18" s="229">
        <f t="shared" si="56"/>
        <v>49</v>
      </c>
      <c r="DI18" s="229">
        <f t="shared" si="56"/>
        <v>66</v>
      </c>
      <c r="DJ18" s="229">
        <f t="shared" si="56"/>
        <v>48</v>
      </c>
      <c r="DK18" s="229">
        <f t="shared" si="56"/>
        <v>36</v>
      </c>
      <c r="DL18" s="229">
        <f t="shared" si="56"/>
        <v>67</v>
      </c>
      <c r="DM18" s="268">
        <f t="shared" si="56"/>
        <v>103</v>
      </c>
      <c r="DN18" s="268">
        <f t="shared" si="38"/>
        <v>762</v>
      </c>
      <c r="DO18" s="229">
        <f t="shared" ref="DO18:DZ18" si="57">SUM(DO19:DO20)</f>
        <v>49</v>
      </c>
      <c r="DP18" s="229">
        <f t="shared" si="57"/>
        <v>38</v>
      </c>
      <c r="DQ18" s="229">
        <f t="shared" si="57"/>
        <v>79</v>
      </c>
      <c r="DR18" s="229">
        <f t="shared" si="57"/>
        <v>87</v>
      </c>
      <c r="DS18" s="229">
        <f t="shared" si="57"/>
        <v>87</v>
      </c>
      <c r="DT18" s="229">
        <f t="shared" si="57"/>
        <v>54</v>
      </c>
      <c r="DU18" s="229">
        <f t="shared" si="57"/>
        <v>23</v>
      </c>
      <c r="DV18" s="229">
        <f t="shared" si="57"/>
        <v>88</v>
      </c>
      <c r="DW18" s="229">
        <f t="shared" si="57"/>
        <v>57</v>
      </c>
      <c r="DX18" s="229">
        <f t="shared" si="57"/>
        <v>69</v>
      </c>
      <c r="DY18" s="229">
        <f t="shared" si="57"/>
        <v>97</v>
      </c>
      <c r="DZ18" s="268">
        <f t="shared" si="57"/>
        <v>124</v>
      </c>
      <c r="EA18" s="268">
        <f t="shared" si="40"/>
        <v>852</v>
      </c>
      <c r="EB18" s="229">
        <f t="shared" ref="EB18:EM18" si="58">SUM(EB19:EB20)</f>
        <v>27</v>
      </c>
      <c r="EC18" s="229">
        <f t="shared" si="58"/>
        <v>46</v>
      </c>
      <c r="ED18" s="229">
        <f t="shared" si="58"/>
        <v>64</v>
      </c>
      <c r="EE18" s="229">
        <f t="shared" si="58"/>
        <v>19</v>
      </c>
      <c r="EF18" s="229">
        <f t="shared" si="58"/>
        <v>104</v>
      </c>
      <c r="EG18" s="229">
        <f t="shared" si="58"/>
        <v>84</v>
      </c>
      <c r="EH18" s="229">
        <f t="shared" si="58"/>
        <v>39</v>
      </c>
      <c r="EI18" s="229">
        <f t="shared" si="58"/>
        <v>40</v>
      </c>
      <c r="EJ18" s="229">
        <f t="shared" si="58"/>
        <v>26</v>
      </c>
      <c r="EK18" s="229">
        <f t="shared" si="58"/>
        <v>44</v>
      </c>
      <c r="EL18" s="229">
        <f t="shared" si="58"/>
        <v>39</v>
      </c>
      <c r="EM18" s="268">
        <f t="shared" si="58"/>
        <v>51</v>
      </c>
      <c r="EN18" s="268">
        <f t="shared" si="42"/>
        <v>583</v>
      </c>
      <c r="EO18" s="229">
        <f t="shared" ref="EO18:EU18" si="59">SUM(EO19:EO20)</f>
        <v>32</v>
      </c>
      <c r="EP18" s="229">
        <f t="shared" si="59"/>
        <v>46</v>
      </c>
      <c r="EQ18" s="229">
        <f t="shared" si="59"/>
        <v>25</v>
      </c>
      <c r="ER18" s="229">
        <f t="shared" si="59"/>
        <v>28</v>
      </c>
      <c r="ES18" s="229">
        <f t="shared" si="59"/>
        <v>59</v>
      </c>
      <c r="ET18" s="229">
        <f t="shared" si="59"/>
        <v>27</v>
      </c>
      <c r="EU18" s="229">
        <f t="shared" si="59"/>
        <v>58</v>
      </c>
      <c r="EV18" s="952">
        <v>69</v>
      </c>
      <c r="EW18" s="229"/>
      <c r="EX18" s="229"/>
      <c r="EY18" s="229"/>
      <c r="EZ18" s="268"/>
      <c r="FA18" s="268">
        <f t="shared" si="44"/>
        <v>344</v>
      </c>
      <c r="FB18" s="110"/>
      <c r="FC18" s="379">
        <f t="shared" si="45"/>
        <v>72.500000000000014</v>
      </c>
      <c r="FD18" s="379">
        <f t="shared" si="46"/>
        <v>-18.676122931442084</v>
      </c>
      <c r="FE18" s="235">
        <f>SUMIFS($B18:$FA18,$B$5:$FA$5,"&gt;="&amp;DATE(YEAR($FC$5)-1,1,1),$B$5:$FA$5,"&lt;="&amp;DATE(YEAR($FC$5)-1,MONTH($FC$5),1))</f>
        <v>423</v>
      </c>
      <c r="FF18" s="235">
        <f t="shared" si="47"/>
        <v>344</v>
      </c>
    </row>
    <row r="19" spans="1:162" ht="15" customHeight="1" x14ac:dyDescent="0.25">
      <c r="A19" s="403" t="s">
        <v>420</v>
      </c>
      <c r="B19" s="151">
        <v>40</v>
      </c>
      <c r="C19" s="151">
        <v>45</v>
      </c>
      <c r="D19" s="151">
        <v>100</v>
      </c>
      <c r="E19" s="151">
        <v>48</v>
      </c>
      <c r="F19" s="151">
        <v>46</v>
      </c>
      <c r="G19" s="151">
        <v>88</v>
      </c>
      <c r="H19" s="151">
        <v>94</v>
      </c>
      <c r="I19" s="151">
        <v>92</v>
      </c>
      <c r="J19" s="151">
        <v>103</v>
      </c>
      <c r="K19" s="151">
        <v>108</v>
      </c>
      <c r="L19" s="151">
        <v>110</v>
      </c>
      <c r="M19" s="241">
        <v>134</v>
      </c>
      <c r="N19" s="241">
        <f t="shared" si="23"/>
        <v>1008</v>
      </c>
      <c r="O19" s="151">
        <v>146</v>
      </c>
      <c r="P19" s="151">
        <v>94</v>
      </c>
      <c r="Q19" s="151">
        <v>40</v>
      </c>
      <c r="R19" s="151">
        <v>70</v>
      </c>
      <c r="S19" s="151">
        <v>76</v>
      </c>
      <c r="T19" s="151">
        <v>65</v>
      </c>
      <c r="U19" s="151">
        <v>70</v>
      </c>
      <c r="V19" s="151">
        <v>119</v>
      </c>
      <c r="W19" s="151">
        <v>65</v>
      </c>
      <c r="X19" s="151">
        <v>75</v>
      </c>
      <c r="Y19" s="151">
        <v>52</v>
      </c>
      <c r="Z19" s="241">
        <v>179</v>
      </c>
      <c r="AA19" s="241">
        <f t="shared" si="25"/>
        <v>1051</v>
      </c>
      <c r="AB19" s="151">
        <v>100</v>
      </c>
      <c r="AC19" s="151">
        <v>29</v>
      </c>
      <c r="AD19" s="151">
        <v>70</v>
      </c>
      <c r="AE19" s="151">
        <v>70</v>
      </c>
      <c r="AF19" s="151">
        <v>44</v>
      </c>
      <c r="AG19" s="151">
        <v>49</v>
      </c>
      <c r="AH19" s="151">
        <v>82</v>
      </c>
      <c r="AI19" s="151">
        <v>44</v>
      </c>
      <c r="AJ19" s="151">
        <v>36</v>
      </c>
      <c r="AK19" s="151">
        <v>130</v>
      </c>
      <c r="AL19" s="151">
        <v>58</v>
      </c>
      <c r="AM19" s="241">
        <v>151</v>
      </c>
      <c r="AN19" s="241">
        <f t="shared" si="26"/>
        <v>863</v>
      </c>
      <c r="AO19" s="151">
        <v>19</v>
      </c>
      <c r="AP19" s="151">
        <v>47</v>
      </c>
      <c r="AQ19" s="151">
        <v>24</v>
      </c>
      <c r="AR19" s="151">
        <v>39</v>
      </c>
      <c r="AS19" s="151">
        <v>29</v>
      </c>
      <c r="AT19" s="151">
        <v>100</v>
      </c>
      <c r="AU19" s="151">
        <v>75</v>
      </c>
      <c r="AV19" s="151">
        <v>35</v>
      </c>
      <c r="AW19" s="151">
        <v>55</v>
      </c>
      <c r="AX19" s="151">
        <v>115</v>
      </c>
      <c r="AY19" s="151">
        <v>52</v>
      </c>
      <c r="AZ19" s="241">
        <v>106</v>
      </c>
      <c r="BA19" s="241">
        <f t="shared" si="28"/>
        <v>696</v>
      </c>
      <c r="BB19" s="151">
        <v>8</v>
      </c>
      <c r="BC19" s="151">
        <v>58</v>
      </c>
      <c r="BD19" s="151">
        <v>33</v>
      </c>
      <c r="BE19" s="151">
        <v>13</v>
      </c>
      <c r="BF19" s="151">
        <v>53</v>
      </c>
      <c r="BG19" s="151">
        <v>17</v>
      </c>
      <c r="BH19" s="151">
        <v>97</v>
      </c>
      <c r="BI19" s="151">
        <v>9</v>
      </c>
      <c r="BJ19" s="151">
        <v>77</v>
      </c>
      <c r="BK19" s="151">
        <v>99</v>
      </c>
      <c r="BL19" s="151">
        <v>39</v>
      </c>
      <c r="BM19" s="241">
        <v>206</v>
      </c>
      <c r="BN19" s="241">
        <f t="shared" si="30"/>
        <v>709</v>
      </c>
      <c r="BO19" s="151">
        <v>54</v>
      </c>
      <c r="BP19" s="151">
        <v>39</v>
      </c>
      <c r="BQ19" s="151">
        <v>39</v>
      </c>
      <c r="BR19" s="151">
        <v>1</v>
      </c>
      <c r="BS19" s="151">
        <v>10</v>
      </c>
      <c r="BT19" s="151">
        <v>23</v>
      </c>
      <c r="BU19" s="151">
        <v>294</v>
      </c>
      <c r="BV19" s="151">
        <v>71</v>
      </c>
      <c r="BW19" s="151">
        <v>83</v>
      </c>
      <c r="BX19" s="151">
        <v>156</v>
      </c>
      <c r="BY19" s="151">
        <v>126</v>
      </c>
      <c r="BZ19" s="241">
        <v>222</v>
      </c>
      <c r="CA19" s="241">
        <f t="shared" si="32"/>
        <v>1118</v>
      </c>
      <c r="CB19" s="151">
        <v>89</v>
      </c>
      <c r="CC19" s="151">
        <v>103</v>
      </c>
      <c r="CD19" s="151">
        <v>72</v>
      </c>
      <c r="CE19" s="151">
        <v>97</v>
      </c>
      <c r="CF19" s="151">
        <v>105</v>
      </c>
      <c r="CG19" s="151">
        <v>95</v>
      </c>
      <c r="CH19" s="151">
        <v>154</v>
      </c>
      <c r="CI19" s="151">
        <v>141</v>
      </c>
      <c r="CJ19" s="151">
        <v>187</v>
      </c>
      <c r="CK19" s="151">
        <v>130</v>
      </c>
      <c r="CL19" s="151">
        <v>186</v>
      </c>
      <c r="CM19" s="241">
        <v>228</v>
      </c>
      <c r="CN19" s="241">
        <f t="shared" si="34"/>
        <v>1587</v>
      </c>
      <c r="CO19" s="151">
        <v>111</v>
      </c>
      <c r="CP19" s="151">
        <v>81</v>
      </c>
      <c r="CQ19" s="151">
        <v>157</v>
      </c>
      <c r="CR19" s="151">
        <v>80</v>
      </c>
      <c r="CS19" s="151">
        <v>102</v>
      </c>
      <c r="CT19" s="151">
        <v>168</v>
      </c>
      <c r="CU19" s="151">
        <v>87</v>
      </c>
      <c r="CV19" s="151">
        <v>77</v>
      </c>
      <c r="CW19" s="151">
        <v>243</v>
      </c>
      <c r="CX19" s="151">
        <v>190</v>
      </c>
      <c r="CY19" s="151">
        <v>158</v>
      </c>
      <c r="CZ19" s="241">
        <v>90</v>
      </c>
      <c r="DA19" s="241">
        <f t="shared" si="36"/>
        <v>1544</v>
      </c>
      <c r="DB19" s="151">
        <v>47</v>
      </c>
      <c r="DC19" s="151">
        <v>24</v>
      </c>
      <c r="DD19" s="151">
        <v>60</v>
      </c>
      <c r="DE19" s="151">
        <v>77</v>
      </c>
      <c r="DF19" s="151">
        <v>85</v>
      </c>
      <c r="DG19" s="151">
        <v>100</v>
      </c>
      <c r="DH19" s="151">
        <v>49</v>
      </c>
      <c r="DI19" s="151">
        <v>66</v>
      </c>
      <c r="DJ19" s="151">
        <v>48</v>
      </c>
      <c r="DK19" s="151">
        <v>36</v>
      </c>
      <c r="DL19" s="151">
        <v>67</v>
      </c>
      <c r="DM19" s="241">
        <v>103</v>
      </c>
      <c r="DN19" s="241">
        <f t="shared" si="38"/>
        <v>762</v>
      </c>
      <c r="DO19" s="151">
        <v>49</v>
      </c>
      <c r="DP19" s="151">
        <v>38</v>
      </c>
      <c r="DQ19" s="151">
        <v>79</v>
      </c>
      <c r="DR19" s="151">
        <v>87</v>
      </c>
      <c r="DS19" s="151">
        <v>87</v>
      </c>
      <c r="DT19" s="151">
        <v>54</v>
      </c>
      <c r="DU19" s="151">
        <v>23</v>
      </c>
      <c r="DV19" s="151">
        <v>88</v>
      </c>
      <c r="DW19" s="151">
        <v>57</v>
      </c>
      <c r="DX19" s="151">
        <v>69</v>
      </c>
      <c r="DY19" s="151">
        <v>97</v>
      </c>
      <c r="DZ19" s="241">
        <v>124</v>
      </c>
      <c r="EA19" s="241">
        <f t="shared" si="40"/>
        <v>852</v>
      </c>
      <c r="EB19" s="151">
        <v>27</v>
      </c>
      <c r="EC19" s="151">
        <v>46</v>
      </c>
      <c r="ED19" s="151">
        <v>64</v>
      </c>
      <c r="EE19" s="151">
        <v>19</v>
      </c>
      <c r="EF19" s="151">
        <v>104</v>
      </c>
      <c r="EG19" s="151">
        <v>84</v>
      </c>
      <c r="EH19" s="151">
        <v>39</v>
      </c>
      <c r="EI19" s="151">
        <v>40</v>
      </c>
      <c r="EJ19" s="151">
        <v>26</v>
      </c>
      <c r="EK19" s="151">
        <v>44</v>
      </c>
      <c r="EL19" s="151">
        <v>39</v>
      </c>
      <c r="EM19" s="241">
        <v>51</v>
      </c>
      <c r="EN19" s="241">
        <f t="shared" si="42"/>
        <v>583</v>
      </c>
      <c r="EO19" s="151">
        <v>32</v>
      </c>
      <c r="EP19" s="151">
        <v>46</v>
      </c>
      <c r="EQ19" s="151">
        <v>25</v>
      </c>
      <c r="ER19" s="151">
        <v>28</v>
      </c>
      <c r="ES19" s="151">
        <v>59</v>
      </c>
      <c r="ET19" s="151">
        <v>27</v>
      </c>
      <c r="EU19" s="151">
        <v>58</v>
      </c>
      <c r="EV19" s="950">
        <v>69</v>
      </c>
      <c r="EW19" s="151"/>
      <c r="EX19" s="151"/>
      <c r="EY19" s="151"/>
      <c r="EZ19" s="241"/>
      <c r="FA19" s="241">
        <f t="shared" si="44"/>
        <v>344</v>
      </c>
      <c r="FC19" s="184">
        <f t="shared" si="45"/>
        <v>72.500000000000014</v>
      </c>
      <c r="FD19" s="184">
        <f t="shared" si="46"/>
        <v>-18.676122931442084</v>
      </c>
      <c r="FE19" s="161">
        <f t="shared" si="48"/>
        <v>423</v>
      </c>
      <c r="FF19" s="161">
        <f t="shared" si="47"/>
        <v>344</v>
      </c>
    </row>
    <row r="20" spans="1:162" ht="15" customHeight="1" x14ac:dyDescent="0.25">
      <c r="A20" s="403" t="s">
        <v>421</v>
      </c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241"/>
      <c r="N20" s="241">
        <f t="shared" si="23"/>
        <v>0</v>
      </c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241"/>
      <c r="AA20" s="241">
        <f t="shared" si="25"/>
        <v>0</v>
      </c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241"/>
      <c r="AN20" s="241">
        <f t="shared" si="26"/>
        <v>0</v>
      </c>
      <c r="AO20" s="151"/>
      <c r="AP20" s="151"/>
      <c r="AQ20" s="151"/>
      <c r="AR20" s="151"/>
      <c r="AS20" s="151"/>
      <c r="AT20" s="151"/>
      <c r="AU20" s="151"/>
      <c r="AV20" s="151"/>
      <c r="AW20" s="151"/>
      <c r="AX20" s="151"/>
      <c r="AY20" s="151"/>
      <c r="AZ20" s="241"/>
      <c r="BA20" s="241">
        <f t="shared" si="28"/>
        <v>0</v>
      </c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241"/>
      <c r="BN20" s="241">
        <f t="shared" si="30"/>
        <v>0</v>
      </c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241"/>
      <c r="CA20" s="241">
        <f t="shared" si="32"/>
        <v>0</v>
      </c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241"/>
      <c r="CN20" s="241">
        <f t="shared" si="34"/>
        <v>0</v>
      </c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241"/>
      <c r="DA20" s="241">
        <f t="shared" si="36"/>
        <v>0</v>
      </c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241"/>
      <c r="DN20" s="241">
        <f t="shared" si="38"/>
        <v>0</v>
      </c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241"/>
      <c r="EA20" s="241">
        <f t="shared" si="40"/>
        <v>0</v>
      </c>
      <c r="EB20" s="151">
        <v>0</v>
      </c>
      <c r="EC20" s="151">
        <v>0</v>
      </c>
      <c r="ED20" s="151">
        <v>0</v>
      </c>
      <c r="EE20" s="151">
        <v>0</v>
      </c>
      <c r="EF20" s="151">
        <v>0</v>
      </c>
      <c r="EG20" s="151">
        <v>0</v>
      </c>
      <c r="EH20" s="151">
        <v>0</v>
      </c>
      <c r="EI20" s="151">
        <v>0</v>
      </c>
      <c r="EJ20" s="151">
        <v>0</v>
      </c>
      <c r="EK20" s="151">
        <v>0</v>
      </c>
      <c r="EL20" s="151">
        <v>0</v>
      </c>
      <c r="EM20" s="241">
        <v>0</v>
      </c>
      <c r="EN20" s="241">
        <f t="shared" si="42"/>
        <v>0</v>
      </c>
      <c r="EO20" s="151">
        <v>0</v>
      </c>
      <c r="EP20" s="151">
        <v>0</v>
      </c>
      <c r="EQ20" s="151">
        <v>0</v>
      </c>
      <c r="ER20" s="151">
        <v>0</v>
      </c>
      <c r="ES20" s="151">
        <v>0</v>
      </c>
      <c r="ET20" s="151">
        <v>0</v>
      </c>
      <c r="EU20" s="151">
        <v>0</v>
      </c>
      <c r="EV20" s="950">
        <v>0</v>
      </c>
      <c r="EW20" s="151"/>
      <c r="EX20" s="151"/>
      <c r="EY20" s="151"/>
      <c r="EZ20" s="241"/>
      <c r="FA20" s="241">
        <f t="shared" si="44"/>
        <v>0</v>
      </c>
      <c r="FC20" s="184" t="str">
        <f t="shared" si="45"/>
        <v/>
      </c>
      <c r="FD20" s="184" t="str">
        <f t="shared" si="46"/>
        <v/>
      </c>
      <c r="FE20" s="161">
        <f t="shared" si="48"/>
        <v>0</v>
      </c>
      <c r="FF20" s="161">
        <f t="shared" si="47"/>
        <v>0</v>
      </c>
    </row>
    <row r="21" spans="1:162" s="125" customFormat="1" ht="15" customHeight="1" x14ac:dyDescent="0.25">
      <c r="A21" s="401" t="s">
        <v>422</v>
      </c>
      <c r="B21" s="229">
        <f t="shared" ref="B21:M21" si="60">SUM(B22)</f>
        <v>0</v>
      </c>
      <c r="C21" s="229">
        <f t="shared" si="60"/>
        <v>0</v>
      </c>
      <c r="D21" s="229">
        <f t="shared" si="60"/>
        <v>0</v>
      </c>
      <c r="E21" s="229">
        <f t="shared" si="60"/>
        <v>0</v>
      </c>
      <c r="F21" s="229">
        <f t="shared" si="60"/>
        <v>0</v>
      </c>
      <c r="G21" s="229">
        <f t="shared" si="60"/>
        <v>0</v>
      </c>
      <c r="H21" s="229">
        <f t="shared" si="60"/>
        <v>0</v>
      </c>
      <c r="I21" s="229">
        <f t="shared" si="60"/>
        <v>0</v>
      </c>
      <c r="J21" s="229">
        <f t="shared" si="60"/>
        <v>0</v>
      </c>
      <c r="K21" s="229">
        <f t="shared" si="60"/>
        <v>0</v>
      </c>
      <c r="L21" s="229">
        <f t="shared" si="60"/>
        <v>0</v>
      </c>
      <c r="M21" s="268">
        <f t="shared" si="60"/>
        <v>0</v>
      </c>
      <c r="N21" s="268">
        <f t="shared" si="23"/>
        <v>0</v>
      </c>
      <c r="O21" s="229">
        <f t="shared" ref="O21:AM21" si="61">SUM(O22)</f>
        <v>0</v>
      </c>
      <c r="P21" s="229">
        <f t="shared" si="61"/>
        <v>0</v>
      </c>
      <c r="Q21" s="229">
        <f t="shared" si="61"/>
        <v>0</v>
      </c>
      <c r="R21" s="229">
        <f t="shared" si="61"/>
        <v>0</v>
      </c>
      <c r="S21" s="229">
        <f t="shared" si="61"/>
        <v>0</v>
      </c>
      <c r="T21" s="229">
        <f t="shared" si="61"/>
        <v>0</v>
      </c>
      <c r="U21" s="229">
        <f t="shared" si="61"/>
        <v>0</v>
      </c>
      <c r="V21" s="229">
        <f t="shared" si="61"/>
        <v>0</v>
      </c>
      <c r="W21" s="229">
        <f t="shared" si="61"/>
        <v>0</v>
      </c>
      <c r="X21" s="229">
        <f t="shared" si="61"/>
        <v>0</v>
      </c>
      <c r="Y21" s="229">
        <f t="shared" si="61"/>
        <v>0</v>
      </c>
      <c r="Z21" s="268">
        <f t="shared" si="61"/>
        <v>0</v>
      </c>
      <c r="AA21" s="268">
        <f t="shared" si="25"/>
        <v>0</v>
      </c>
      <c r="AB21" s="229">
        <f t="shared" si="61"/>
        <v>0</v>
      </c>
      <c r="AC21" s="229">
        <f t="shared" si="61"/>
        <v>0</v>
      </c>
      <c r="AD21" s="229">
        <f t="shared" si="61"/>
        <v>0</v>
      </c>
      <c r="AE21" s="229">
        <f t="shared" si="61"/>
        <v>0</v>
      </c>
      <c r="AF21" s="229">
        <f t="shared" si="61"/>
        <v>0</v>
      </c>
      <c r="AG21" s="229">
        <f t="shared" si="61"/>
        <v>0</v>
      </c>
      <c r="AH21" s="229">
        <f t="shared" si="61"/>
        <v>0</v>
      </c>
      <c r="AI21" s="229">
        <f t="shared" si="61"/>
        <v>0</v>
      </c>
      <c r="AJ21" s="229">
        <f t="shared" si="61"/>
        <v>0</v>
      </c>
      <c r="AK21" s="229">
        <f t="shared" si="61"/>
        <v>0</v>
      </c>
      <c r="AL21" s="229">
        <f t="shared" si="61"/>
        <v>0</v>
      </c>
      <c r="AM21" s="268">
        <f t="shared" si="61"/>
        <v>0</v>
      </c>
      <c r="AN21" s="268">
        <f t="shared" si="26"/>
        <v>0</v>
      </c>
      <c r="AO21" s="229">
        <f t="shared" ref="AO21:BM21" si="62">SUM(AO22)</f>
        <v>0</v>
      </c>
      <c r="AP21" s="229">
        <f t="shared" si="62"/>
        <v>0</v>
      </c>
      <c r="AQ21" s="229">
        <f t="shared" si="62"/>
        <v>0</v>
      </c>
      <c r="AR21" s="229">
        <f t="shared" si="62"/>
        <v>0</v>
      </c>
      <c r="AS21" s="229">
        <f t="shared" si="62"/>
        <v>0</v>
      </c>
      <c r="AT21" s="229">
        <f t="shared" si="62"/>
        <v>0</v>
      </c>
      <c r="AU21" s="229">
        <f t="shared" si="62"/>
        <v>0</v>
      </c>
      <c r="AV21" s="229">
        <f t="shared" si="62"/>
        <v>0</v>
      </c>
      <c r="AW21" s="229">
        <f t="shared" si="62"/>
        <v>0</v>
      </c>
      <c r="AX21" s="229">
        <f t="shared" si="62"/>
        <v>0</v>
      </c>
      <c r="AY21" s="229">
        <f t="shared" si="62"/>
        <v>0</v>
      </c>
      <c r="AZ21" s="268">
        <f t="shared" si="62"/>
        <v>0</v>
      </c>
      <c r="BA21" s="268">
        <f t="shared" si="28"/>
        <v>0</v>
      </c>
      <c r="BB21" s="229">
        <f t="shared" si="62"/>
        <v>0</v>
      </c>
      <c r="BC21" s="229">
        <f t="shared" si="62"/>
        <v>0</v>
      </c>
      <c r="BD21" s="229">
        <f t="shared" si="62"/>
        <v>0</v>
      </c>
      <c r="BE21" s="229">
        <f t="shared" si="62"/>
        <v>0</v>
      </c>
      <c r="BF21" s="229">
        <f t="shared" si="62"/>
        <v>0</v>
      </c>
      <c r="BG21" s="229">
        <f t="shared" si="62"/>
        <v>0</v>
      </c>
      <c r="BH21" s="229">
        <f t="shared" si="62"/>
        <v>0</v>
      </c>
      <c r="BI21" s="229">
        <f t="shared" si="62"/>
        <v>0</v>
      </c>
      <c r="BJ21" s="229">
        <f t="shared" si="62"/>
        <v>0</v>
      </c>
      <c r="BK21" s="229">
        <f t="shared" si="62"/>
        <v>0</v>
      </c>
      <c r="BL21" s="229">
        <f t="shared" si="62"/>
        <v>0</v>
      </c>
      <c r="BM21" s="268">
        <f t="shared" si="62"/>
        <v>0</v>
      </c>
      <c r="BN21" s="268">
        <f t="shared" si="30"/>
        <v>0</v>
      </c>
      <c r="BO21" s="229">
        <f t="shared" ref="BO21:BZ21" si="63">SUM(BO22)</f>
        <v>0</v>
      </c>
      <c r="BP21" s="229">
        <f t="shared" si="63"/>
        <v>0</v>
      </c>
      <c r="BQ21" s="229">
        <f t="shared" si="63"/>
        <v>0</v>
      </c>
      <c r="BR21" s="229">
        <f t="shared" si="63"/>
        <v>0</v>
      </c>
      <c r="BS21" s="229">
        <f t="shared" si="63"/>
        <v>0</v>
      </c>
      <c r="BT21" s="229">
        <f t="shared" si="63"/>
        <v>0</v>
      </c>
      <c r="BU21" s="229">
        <f t="shared" si="63"/>
        <v>0</v>
      </c>
      <c r="BV21" s="229">
        <f t="shared" si="63"/>
        <v>0</v>
      </c>
      <c r="BW21" s="229">
        <f t="shared" si="63"/>
        <v>0</v>
      </c>
      <c r="BX21" s="229">
        <f t="shared" si="63"/>
        <v>0</v>
      </c>
      <c r="BY21" s="229">
        <f t="shared" si="63"/>
        <v>0</v>
      </c>
      <c r="BZ21" s="268">
        <f t="shared" si="63"/>
        <v>0</v>
      </c>
      <c r="CA21" s="268">
        <f t="shared" si="32"/>
        <v>0</v>
      </c>
      <c r="CB21" s="229">
        <f>SUM(CB22)</f>
        <v>0</v>
      </c>
      <c r="CC21" s="229">
        <f>SUM(CC22)</f>
        <v>0</v>
      </c>
      <c r="CD21" s="229">
        <f>SUM(CD22)</f>
        <v>0</v>
      </c>
      <c r="CE21" s="229">
        <f>SUM(CE22)</f>
        <v>0</v>
      </c>
      <c r="CF21" s="229">
        <f>SUM(CF22)</f>
        <v>0</v>
      </c>
      <c r="CG21" s="229"/>
      <c r="CH21" s="229"/>
      <c r="CI21" s="229"/>
      <c r="CJ21" s="229"/>
      <c r="CK21" s="229"/>
      <c r="CL21" s="229"/>
      <c r="CM21" s="268"/>
      <c r="CN21" s="268">
        <f t="shared" si="34"/>
        <v>0</v>
      </c>
      <c r="CO21" s="229"/>
      <c r="CP21" s="229"/>
      <c r="CQ21" s="229"/>
      <c r="CR21" s="229"/>
      <c r="CS21" s="229"/>
      <c r="CT21" s="229"/>
      <c r="CU21" s="229"/>
      <c r="CV21" s="229"/>
      <c r="CW21" s="229"/>
      <c r="CX21" s="229"/>
      <c r="CY21" s="229"/>
      <c r="CZ21" s="268"/>
      <c r="DA21" s="268">
        <f t="shared" si="36"/>
        <v>0</v>
      </c>
      <c r="DB21" s="229"/>
      <c r="DC21" s="229"/>
      <c r="DD21" s="229"/>
      <c r="DE21" s="229"/>
      <c r="DF21" s="229"/>
      <c r="DG21" s="229"/>
      <c r="DH21" s="229"/>
      <c r="DI21" s="229"/>
      <c r="DJ21" s="229"/>
      <c r="DK21" s="229"/>
      <c r="DL21" s="229"/>
      <c r="DM21" s="268"/>
      <c r="DN21" s="268">
        <f t="shared" si="38"/>
        <v>0</v>
      </c>
      <c r="DO21" s="229"/>
      <c r="DP21" s="229"/>
      <c r="DQ21" s="229"/>
      <c r="DR21" s="229"/>
      <c r="DS21" s="229"/>
      <c r="DT21" s="229"/>
      <c r="DU21" s="229"/>
      <c r="DV21" s="229"/>
      <c r="DW21" s="229"/>
      <c r="DX21" s="229"/>
      <c r="DY21" s="229"/>
      <c r="DZ21" s="268"/>
      <c r="EA21" s="268">
        <f t="shared" si="40"/>
        <v>0</v>
      </c>
      <c r="EB21" s="229">
        <v>0</v>
      </c>
      <c r="EC21" s="229">
        <v>0</v>
      </c>
      <c r="ED21" s="229">
        <v>0</v>
      </c>
      <c r="EE21" s="229">
        <v>0</v>
      </c>
      <c r="EF21" s="229">
        <v>0</v>
      </c>
      <c r="EG21" s="229">
        <v>0</v>
      </c>
      <c r="EH21" s="229">
        <v>0</v>
      </c>
      <c r="EI21" s="229">
        <v>0</v>
      </c>
      <c r="EJ21" s="229">
        <v>0</v>
      </c>
      <c r="EK21" s="229">
        <v>0</v>
      </c>
      <c r="EL21" s="229">
        <v>0</v>
      </c>
      <c r="EM21" s="268">
        <v>0</v>
      </c>
      <c r="EN21" s="268">
        <f t="shared" si="42"/>
        <v>0</v>
      </c>
      <c r="EO21" s="229">
        <v>0</v>
      </c>
      <c r="EP21" s="229">
        <v>0</v>
      </c>
      <c r="EQ21" s="229">
        <v>0</v>
      </c>
      <c r="ER21" s="229">
        <v>0</v>
      </c>
      <c r="ES21" s="229">
        <v>0</v>
      </c>
      <c r="ET21" s="229">
        <v>0</v>
      </c>
      <c r="EU21" s="229">
        <v>0</v>
      </c>
      <c r="EV21" s="952">
        <v>0</v>
      </c>
      <c r="EW21" s="229"/>
      <c r="EX21" s="229"/>
      <c r="EY21" s="229"/>
      <c r="EZ21" s="268"/>
      <c r="FA21" s="268">
        <f t="shared" si="44"/>
        <v>0</v>
      </c>
      <c r="FB21" s="110"/>
      <c r="FC21" s="379" t="str">
        <f t="shared" si="45"/>
        <v/>
      </c>
      <c r="FD21" s="379" t="str">
        <f t="shared" si="46"/>
        <v/>
      </c>
      <c r="FE21" s="235">
        <f t="shared" si="48"/>
        <v>0</v>
      </c>
      <c r="FF21" s="235">
        <f t="shared" si="47"/>
        <v>0</v>
      </c>
    </row>
    <row r="22" spans="1:162" ht="15" customHeight="1" x14ac:dyDescent="0.25">
      <c r="A22" s="403" t="s">
        <v>423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241"/>
      <c r="N22" s="241">
        <f t="shared" si="23"/>
        <v>0</v>
      </c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241"/>
      <c r="AA22" s="241">
        <f t="shared" si="25"/>
        <v>0</v>
      </c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241"/>
      <c r="AN22" s="241">
        <f t="shared" si="26"/>
        <v>0</v>
      </c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  <c r="AY22" s="151"/>
      <c r="AZ22" s="241"/>
      <c r="BA22" s="241">
        <f t="shared" si="28"/>
        <v>0</v>
      </c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241"/>
      <c r="BN22" s="241">
        <f t="shared" si="30"/>
        <v>0</v>
      </c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241"/>
      <c r="CA22" s="241">
        <f t="shared" si="32"/>
        <v>0</v>
      </c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241"/>
      <c r="CN22" s="241">
        <f t="shared" si="34"/>
        <v>0</v>
      </c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241"/>
      <c r="DA22" s="241">
        <f t="shared" si="36"/>
        <v>0</v>
      </c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241"/>
      <c r="DN22" s="241">
        <f t="shared" si="38"/>
        <v>0</v>
      </c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241"/>
      <c r="EA22" s="241">
        <f t="shared" si="40"/>
        <v>0</v>
      </c>
      <c r="EB22" s="151">
        <v>0</v>
      </c>
      <c r="EC22" s="151">
        <v>0</v>
      </c>
      <c r="ED22" s="151">
        <v>0</v>
      </c>
      <c r="EE22" s="151">
        <v>0</v>
      </c>
      <c r="EF22" s="151">
        <v>0</v>
      </c>
      <c r="EG22" s="151">
        <v>0</v>
      </c>
      <c r="EH22" s="151">
        <v>0</v>
      </c>
      <c r="EI22" s="151">
        <v>0</v>
      </c>
      <c r="EJ22" s="151">
        <v>0</v>
      </c>
      <c r="EK22" s="151">
        <v>0</v>
      </c>
      <c r="EL22" s="151">
        <v>0</v>
      </c>
      <c r="EM22" s="241">
        <v>0</v>
      </c>
      <c r="EN22" s="241">
        <f t="shared" si="42"/>
        <v>0</v>
      </c>
      <c r="EO22" s="151">
        <v>0</v>
      </c>
      <c r="EP22" s="151">
        <v>0</v>
      </c>
      <c r="EQ22" s="151">
        <v>0</v>
      </c>
      <c r="ER22" s="151">
        <v>0</v>
      </c>
      <c r="ES22" s="151">
        <v>0</v>
      </c>
      <c r="ET22" s="151">
        <v>0</v>
      </c>
      <c r="EU22" s="151">
        <v>0</v>
      </c>
      <c r="EV22" s="950">
        <v>0</v>
      </c>
      <c r="EW22" s="151"/>
      <c r="EX22" s="151"/>
      <c r="EY22" s="151"/>
      <c r="EZ22" s="241"/>
      <c r="FA22" s="241">
        <f t="shared" si="44"/>
        <v>0</v>
      </c>
      <c r="FC22" s="184" t="str">
        <f t="shared" si="45"/>
        <v/>
      </c>
      <c r="FD22" s="184" t="str">
        <f t="shared" si="46"/>
        <v/>
      </c>
      <c r="FE22" s="161">
        <f t="shared" si="48"/>
        <v>0</v>
      </c>
      <c r="FF22" s="161">
        <f>SUMIFS($B22:$FA22,$B$5:$FA$5,"&gt;="&amp;DATE(YEAR($FC$5),1,1),$B$5:$FA$5,"&lt;="&amp;$FC$5)</f>
        <v>0</v>
      </c>
    </row>
    <row r="23" spans="1:162" s="125" customFormat="1" ht="15" customHeight="1" x14ac:dyDescent="0.25">
      <c r="A23" s="401" t="s">
        <v>424</v>
      </c>
      <c r="B23" s="229">
        <f t="shared" ref="B23:M23" si="64">SUM(B24:B25)</f>
        <v>27749</v>
      </c>
      <c r="C23" s="229">
        <f t="shared" si="64"/>
        <v>6358</v>
      </c>
      <c r="D23" s="229">
        <f t="shared" si="64"/>
        <v>6507</v>
      </c>
      <c r="E23" s="229">
        <f t="shared" si="64"/>
        <v>3184</v>
      </c>
      <c r="F23" s="229">
        <f t="shared" si="64"/>
        <v>2291</v>
      </c>
      <c r="G23" s="229">
        <f t="shared" si="64"/>
        <v>157</v>
      </c>
      <c r="H23" s="229">
        <f t="shared" si="64"/>
        <v>5344</v>
      </c>
      <c r="I23" s="229">
        <f t="shared" si="64"/>
        <v>142</v>
      </c>
      <c r="J23" s="229">
        <f t="shared" si="64"/>
        <v>191</v>
      </c>
      <c r="K23" s="229">
        <f t="shared" si="64"/>
        <v>2700</v>
      </c>
      <c r="L23" s="229">
        <f t="shared" si="64"/>
        <v>62</v>
      </c>
      <c r="M23" s="268">
        <f t="shared" si="64"/>
        <v>-3096</v>
      </c>
      <c r="N23" s="268">
        <f t="shared" si="23"/>
        <v>51589</v>
      </c>
      <c r="O23" s="229">
        <f>SUM(O24:O25)</f>
        <v>29653</v>
      </c>
      <c r="P23" s="229">
        <f t="shared" ref="P23:V23" si="65">SUM(P24:P25)</f>
        <v>1335</v>
      </c>
      <c r="Q23" s="229">
        <f t="shared" si="65"/>
        <v>6633</v>
      </c>
      <c r="R23" s="229">
        <f t="shared" si="65"/>
        <v>2741</v>
      </c>
      <c r="S23" s="229">
        <f t="shared" si="65"/>
        <v>4486</v>
      </c>
      <c r="T23" s="229">
        <f t="shared" si="65"/>
        <v>5152</v>
      </c>
      <c r="U23" s="229">
        <f t="shared" si="65"/>
        <v>16940</v>
      </c>
      <c r="V23" s="229">
        <f t="shared" si="65"/>
        <v>7666</v>
      </c>
      <c r="W23" s="229">
        <f>SUM(W24:W25)</f>
        <v>14965</v>
      </c>
      <c r="X23" s="229">
        <f>SUM(X24:X25)</f>
        <v>30965</v>
      </c>
      <c r="Y23" s="229">
        <f>SUM(Y24:Y25)</f>
        <v>19381</v>
      </c>
      <c r="Z23" s="268">
        <f>SUM(Z24:Z25)</f>
        <v>3039</v>
      </c>
      <c r="AA23" s="268">
        <f t="shared" si="25"/>
        <v>142956</v>
      </c>
      <c r="AB23" s="229">
        <f t="shared" ref="AB23:AM23" si="66">SUM(AB24:AB25)</f>
        <v>39307</v>
      </c>
      <c r="AC23" s="229">
        <f t="shared" si="66"/>
        <v>-4144</v>
      </c>
      <c r="AD23" s="229">
        <f t="shared" si="66"/>
        <v>54463</v>
      </c>
      <c r="AE23" s="229">
        <f t="shared" si="66"/>
        <v>1762</v>
      </c>
      <c r="AF23" s="229">
        <f t="shared" si="66"/>
        <v>3708</v>
      </c>
      <c r="AG23" s="229">
        <f t="shared" si="66"/>
        <v>21992</v>
      </c>
      <c r="AH23" s="229">
        <f t="shared" si="66"/>
        <v>11238</v>
      </c>
      <c r="AI23" s="229">
        <f t="shared" si="66"/>
        <v>572</v>
      </c>
      <c r="AJ23" s="229">
        <f t="shared" si="66"/>
        <v>1013</v>
      </c>
      <c r="AK23" s="229">
        <f t="shared" si="66"/>
        <v>398</v>
      </c>
      <c r="AL23" s="229">
        <f t="shared" si="66"/>
        <v>374</v>
      </c>
      <c r="AM23" s="268">
        <f t="shared" si="66"/>
        <v>24438</v>
      </c>
      <c r="AN23" s="268">
        <f t="shared" si="26"/>
        <v>155121</v>
      </c>
      <c r="AO23" s="229">
        <f t="shared" ref="AO23:AZ23" si="67">SUM(AO24:AO25)</f>
        <v>44062</v>
      </c>
      <c r="AP23" s="229">
        <f t="shared" si="67"/>
        <v>7415</v>
      </c>
      <c r="AQ23" s="229">
        <f t="shared" si="67"/>
        <v>28734</v>
      </c>
      <c r="AR23" s="229">
        <f t="shared" si="67"/>
        <v>8849</v>
      </c>
      <c r="AS23" s="229">
        <f t="shared" si="67"/>
        <v>500</v>
      </c>
      <c r="AT23" s="229">
        <f t="shared" si="67"/>
        <v>11959</v>
      </c>
      <c r="AU23" s="229">
        <f t="shared" si="67"/>
        <v>-979</v>
      </c>
      <c r="AV23" s="229">
        <f t="shared" si="67"/>
        <v>16108</v>
      </c>
      <c r="AW23" s="229">
        <f t="shared" si="67"/>
        <v>20421</v>
      </c>
      <c r="AX23" s="229">
        <f t="shared" si="67"/>
        <v>414</v>
      </c>
      <c r="AY23" s="229">
        <f t="shared" si="67"/>
        <v>12464</v>
      </c>
      <c r="AZ23" s="268">
        <f t="shared" si="67"/>
        <v>586</v>
      </c>
      <c r="BA23" s="268">
        <f t="shared" si="28"/>
        <v>150533</v>
      </c>
      <c r="BB23" s="229">
        <f t="shared" ref="BB23:BM23" si="68">SUM(BB24:BB25)</f>
        <v>7632</v>
      </c>
      <c r="BC23" s="229">
        <f t="shared" si="68"/>
        <v>17594</v>
      </c>
      <c r="BD23" s="229">
        <f t="shared" si="68"/>
        <v>59324</v>
      </c>
      <c r="BE23" s="229">
        <f t="shared" si="68"/>
        <v>19949</v>
      </c>
      <c r="BF23" s="229">
        <f t="shared" si="68"/>
        <v>6067</v>
      </c>
      <c r="BG23" s="229">
        <f t="shared" si="68"/>
        <v>8128</v>
      </c>
      <c r="BH23" s="229">
        <f t="shared" si="68"/>
        <v>1388</v>
      </c>
      <c r="BI23" s="229">
        <f t="shared" si="68"/>
        <v>5255</v>
      </c>
      <c r="BJ23" s="229">
        <f t="shared" si="68"/>
        <v>2571</v>
      </c>
      <c r="BK23" s="229">
        <f t="shared" si="68"/>
        <v>1664</v>
      </c>
      <c r="BL23" s="229">
        <f t="shared" si="68"/>
        <v>1173</v>
      </c>
      <c r="BM23" s="268">
        <f t="shared" si="68"/>
        <v>9026</v>
      </c>
      <c r="BN23" s="268">
        <f t="shared" si="30"/>
        <v>139771</v>
      </c>
      <c r="BO23" s="229">
        <f t="shared" ref="BO23:BZ23" si="69">SUM(BO24:BO25)</f>
        <v>39819</v>
      </c>
      <c r="BP23" s="229">
        <f t="shared" si="69"/>
        <v>29118</v>
      </c>
      <c r="BQ23" s="229">
        <f t="shared" si="69"/>
        <v>5228</v>
      </c>
      <c r="BR23" s="229">
        <f t="shared" si="69"/>
        <v>-73</v>
      </c>
      <c r="BS23" s="229">
        <f t="shared" si="69"/>
        <v>565</v>
      </c>
      <c r="BT23" s="229">
        <f t="shared" si="69"/>
        <v>307</v>
      </c>
      <c r="BU23" s="229">
        <f t="shared" si="69"/>
        <v>98077</v>
      </c>
      <c r="BV23" s="229">
        <f t="shared" si="69"/>
        <v>5901</v>
      </c>
      <c r="BW23" s="229">
        <f t="shared" si="69"/>
        <v>47120</v>
      </c>
      <c r="BX23" s="229">
        <f t="shared" si="69"/>
        <v>75</v>
      </c>
      <c r="BY23" s="229">
        <f t="shared" si="69"/>
        <v>1033</v>
      </c>
      <c r="BZ23" s="268">
        <f t="shared" si="69"/>
        <v>-29991</v>
      </c>
      <c r="CA23" s="268">
        <f t="shared" si="32"/>
        <v>197179</v>
      </c>
      <c r="CB23" s="229">
        <f t="shared" ref="CB23:CM23" si="70">SUM(CB24:CB25)</f>
        <v>41391</v>
      </c>
      <c r="CC23" s="229">
        <f t="shared" si="70"/>
        <v>49006</v>
      </c>
      <c r="CD23" s="229">
        <f t="shared" si="70"/>
        <v>9688</v>
      </c>
      <c r="CE23" s="229">
        <f t="shared" si="70"/>
        <v>1983</v>
      </c>
      <c r="CF23" s="229">
        <f t="shared" si="70"/>
        <v>9432</v>
      </c>
      <c r="CG23" s="229">
        <f t="shared" si="70"/>
        <v>5435</v>
      </c>
      <c r="CH23" s="229">
        <f t="shared" si="70"/>
        <v>3721</v>
      </c>
      <c r="CI23" s="229">
        <f t="shared" si="70"/>
        <v>4563</v>
      </c>
      <c r="CJ23" s="229">
        <f t="shared" si="70"/>
        <v>5631</v>
      </c>
      <c r="CK23" s="229">
        <f t="shared" si="70"/>
        <v>4977</v>
      </c>
      <c r="CL23" s="229">
        <f t="shared" si="70"/>
        <v>4111</v>
      </c>
      <c r="CM23" s="268">
        <f t="shared" si="70"/>
        <v>7554</v>
      </c>
      <c r="CN23" s="268">
        <f t="shared" si="34"/>
        <v>147492</v>
      </c>
      <c r="CO23" s="229">
        <f t="shared" ref="CO23:CZ23" si="71">SUM(CO24:CO25)</f>
        <v>55225</v>
      </c>
      <c r="CP23" s="229">
        <f t="shared" si="71"/>
        <v>44165</v>
      </c>
      <c r="CQ23" s="229">
        <f t="shared" si="71"/>
        <v>16892</v>
      </c>
      <c r="CR23" s="229">
        <f t="shared" si="71"/>
        <v>1029</v>
      </c>
      <c r="CS23" s="229">
        <f t="shared" si="71"/>
        <v>-183</v>
      </c>
      <c r="CT23" s="229">
        <f t="shared" si="71"/>
        <v>-2536</v>
      </c>
      <c r="CU23" s="229">
        <f t="shared" si="71"/>
        <v>85</v>
      </c>
      <c r="CV23" s="229">
        <f t="shared" si="71"/>
        <v>2939</v>
      </c>
      <c r="CW23" s="229">
        <f t="shared" si="71"/>
        <v>87</v>
      </c>
      <c r="CX23" s="229">
        <f t="shared" si="71"/>
        <v>13970</v>
      </c>
      <c r="CY23" s="229">
        <f t="shared" si="71"/>
        <v>2034</v>
      </c>
      <c r="CZ23" s="268">
        <f t="shared" si="71"/>
        <v>1223</v>
      </c>
      <c r="DA23" s="268">
        <f t="shared" si="36"/>
        <v>134930</v>
      </c>
      <c r="DB23" s="229">
        <f t="shared" ref="DB23:DM23" si="72">SUM(DB24:DB25)</f>
        <v>50201</v>
      </c>
      <c r="DC23" s="229">
        <f t="shared" si="72"/>
        <v>22766</v>
      </c>
      <c r="DD23" s="229">
        <f t="shared" si="72"/>
        <v>34157</v>
      </c>
      <c r="DE23" s="229">
        <f t="shared" si="72"/>
        <v>2684</v>
      </c>
      <c r="DF23" s="229">
        <f t="shared" si="72"/>
        <v>329</v>
      </c>
      <c r="DG23" s="229">
        <f t="shared" si="72"/>
        <v>419</v>
      </c>
      <c r="DH23" s="229">
        <f t="shared" si="72"/>
        <v>123</v>
      </c>
      <c r="DI23" s="229">
        <f t="shared" si="72"/>
        <v>3167</v>
      </c>
      <c r="DJ23" s="229">
        <f t="shared" si="72"/>
        <v>523</v>
      </c>
      <c r="DK23" s="229">
        <f t="shared" si="72"/>
        <v>-11584</v>
      </c>
      <c r="DL23" s="229">
        <f t="shared" si="72"/>
        <v>1365</v>
      </c>
      <c r="DM23" s="268">
        <f t="shared" si="72"/>
        <v>-205</v>
      </c>
      <c r="DN23" s="268">
        <f t="shared" si="38"/>
        <v>103945</v>
      </c>
      <c r="DO23" s="229">
        <f t="shared" ref="DO23:DZ23" si="73">SUM(DO24:DO25)</f>
        <v>108919</v>
      </c>
      <c r="DP23" s="229">
        <f t="shared" si="73"/>
        <v>5647</v>
      </c>
      <c r="DQ23" s="229">
        <f t="shared" si="73"/>
        <v>1745</v>
      </c>
      <c r="DR23" s="229">
        <f t="shared" si="73"/>
        <v>3052</v>
      </c>
      <c r="DS23" s="229">
        <f t="shared" si="73"/>
        <v>274</v>
      </c>
      <c r="DT23" s="229">
        <f t="shared" si="73"/>
        <v>59</v>
      </c>
      <c r="DU23" s="229">
        <f t="shared" si="73"/>
        <v>464</v>
      </c>
      <c r="DV23" s="229">
        <f t="shared" si="73"/>
        <v>708</v>
      </c>
      <c r="DW23" s="229">
        <f t="shared" si="73"/>
        <v>-881</v>
      </c>
      <c r="DX23" s="229">
        <f t="shared" si="73"/>
        <v>68</v>
      </c>
      <c r="DY23" s="229">
        <f t="shared" si="73"/>
        <v>57</v>
      </c>
      <c r="DZ23" s="268">
        <f t="shared" si="73"/>
        <v>-558</v>
      </c>
      <c r="EA23" s="268">
        <f t="shared" si="40"/>
        <v>119554</v>
      </c>
      <c r="EB23" s="229">
        <f t="shared" ref="EB23:EM23" si="74">SUM(EB24:EB25)</f>
        <v>83723</v>
      </c>
      <c r="EC23" s="229">
        <f t="shared" si="74"/>
        <v>8247</v>
      </c>
      <c r="ED23" s="229">
        <f t="shared" si="74"/>
        <v>446</v>
      </c>
      <c r="EE23" s="229">
        <f t="shared" si="74"/>
        <v>1486</v>
      </c>
      <c r="EF23" s="229">
        <f t="shared" si="74"/>
        <v>2369</v>
      </c>
      <c r="EG23" s="229">
        <f t="shared" si="74"/>
        <v>216</v>
      </c>
      <c r="EH23" s="229">
        <f t="shared" si="74"/>
        <v>160</v>
      </c>
      <c r="EI23" s="229">
        <f t="shared" si="74"/>
        <v>8699</v>
      </c>
      <c r="EJ23" s="229">
        <f t="shared" si="74"/>
        <v>315</v>
      </c>
      <c r="EK23" s="229">
        <f t="shared" si="74"/>
        <v>12813</v>
      </c>
      <c r="EL23" s="229">
        <f t="shared" si="74"/>
        <v>-115</v>
      </c>
      <c r="EM23" s="268">
        <f t="shared" si="74"/>
        <v>1497</v>
      </c>
      <c r="EN23" s="268">
        <f t="shared" si="42"/>
        <v>119856</v>
      </c>
      <c r="EO23" s="229">
        <f t="shared" ref="EO23:EU23" si="75">SUM(EO24:EO25)</f>
        <v>60967</v>
      </c>
      <c r="EP23" s="229">
        <f t="shared" si="75"/>
        <v>8788</v>
      </c>
      <c r="EQ23" s="229">
        <f t="shared" si="75"/>
        <v>33198</v>
      </c>
      <c r="ER23" s="229">
        <f t="shared" si="75"/>
        <v>26</v>
      </c>
      <c r="ES23" s="229">
        <f t="shared" si="75"/>
        <v>724</v>
      </c>
      <c r="ET23" s="229">
        <f t="shared" si="75"/>
        <v>270</v>
      </c>
      <c r="EU23" s="229">
        <f t="shared" si="75"/>
        <v>696</v>
      </c>
      <c r="EV23" s="952">
        <v>502</v>
      </c>
      <c r="EW23" s="229"/>
      <c r="EX23" s="229"/>
      <c r="EY23" s="229"/>
      <c r="EZ23" s="268"/>
      <c r="FA23" s="268">
        <f t="shared" si="44"/>
        <v>105171</v>
      </c>
      <c r="FB23" s="110"/>
      <c r="FC23" s="379">
        <f t="shared" si="45"/>
        <v>-94.22922174962639</v>
      </c>
      <c r="FD23" s="379">
        <f t="shared" si="46"/>
        <v>-0.16611926413911959</v>
      </c>
      <c r="FE23" s="235">
        <f t="shared" si="48"/>
        <v>105346</v>
      </c>
      <c r="FF23" s="235">
        <f t="shared" si="47"/>
        <v>105171</v>
      </c>
    </row>
    <row r="24" spans="1:162" ht="15" customHeight="1" x14ac:dyDescent="0.25">
      <c r="A24" s="403" t="s">
        <v>425</v>
      </c>
      <c r="B24" s="151"/>
      <c r="C24" s="151">
        <v>1000</v>
      </c>
      <c r="D24" s="151">
        <v>3516</v>
      </c>
      <c r="E24" s="151"/>
      <c r="F24" s="151">
        <v>1870</v>
      </c>
      <c r="G24" s="151"/>
      <c r="H24" s="151">
        <v>4099</v>
      </c>
      <c r="I24" s="151"/>
      <c r="J24" s="151"/>
      <c r="K24" s="151">
        <v>2650</v>
      </c>
      <c r="L24" s="151"/>
      <c r="M24" s="241">
        <v>-3219</v>
      </c>
      <c r="N24" s="241">
        <f t="shared" si="23"/>
        <v>9916</v>
      </c>
      <c r="O24" s="151">
        <v>703</v>
      </c>
      <c r="P24" s="151"/>
      <c r="Q24" s="151"/>
      <c r="R24" s="151"/>
      <c r="S24" s="151">
        <v>6200</v>
      </c>
      <c r="T24" s="151">
        <v>2952</v>
      </c>
      <c r="U24" s="151">
        <v>16974</v>
      </c>
      <c r="V24" s="151">
        <v>7676</v>
      </c>
      <c r="W24" s="151">
        <v>13351</v>
      </c>
      <c r="X24" s="151">
        <v>31784</v>
      </c>
      <c r="Y24" s="151">
        <v>19385</v>
      </c>
      <c r="Z24" s="241">
        <v>1799</v>
      </c>
      <c r="AA24" s="241">
        <f t="shared" si="25"/>
        <v>100824</v>
      </c>
      <c r="AB24" s="151"/>
      <c r="AC24" s="151"/>
      <c r="AD24" s="151">
        <v>4144</v>
      </c>
      <c r="AE24" s="151">
        <v>8502</v>
      </c>
      <c r="AF24" s="151">
        <v>3709</v>
      </c>
      <c r="AG24" s="151">
        <v>3476</v>
      </c>
      <c r="AH24" s="151">
        <v>15520</v>
      </c>
      <c r="AI24" s="151">
        <v>628</v>
      </c>
      <c r="AJ24" s="151">
        <v>1172</v>
      </c>
      <c r="AK24" s="151">
        <v>407</v>
      </c>
      <c r="AL24" s="151">
        <v>389</v>
      </c>
      <c r="AM24" s="241">
        <v>14763</v>
      </c>
      <c r="AN24" s="241">
        <f t="shared" si="26"/>
        <v>52710</v>
      </c>
      <c r="AO24" s="151">
        <v>4429</v>
      </c>
      <c r="AP24" s="151"/>
      <c r="AQ24" s="151">
        <v>9141</v>
      </c>
      <c r="AR24" s="151">
        <v>8835</v>
      </c>
      <c r="AS24" s="151">
        <v>500</v>
      </c>
      <c r="AT24" s="151">
        <v>9710</v>
      </c>
      <c r="AU24" s="151">
        <v>-519</v>
      </c>
      <c r="AV24" s="151">
        <v>17307</v>
      </c>
      <c r="AW24" s="151">
        <v>17356</v>
      </c>
      <c r="AX24" s="151">
        <v>258</v>
      </c>
      <c r="AY24" s="151">
        <v>13301</v>
      </c>
      <c r="AZ24" s="241">
        <v>710</v>
      </c>
      <c r="BA24" s="241">
        <f t="shared" si="28"/>
        <v>81028</v>
      </c>
      <c r="BB24" s="151"/>
      <c r="BC24" s="151"/>
      <c r="BD24" s="151">
        <v>43511</v>
      </c>
      <c r="BE24" s="151">
        <v>4587</v>
      </c>
      <c r="BF24" s="151">
        <v>2000</v>
      </c>
      <c r="BG24" s="151">
        <v>6833</v>
      </c>
      <c r="BH24" s="151">
        <v>540</v>
      </c>
      <c r="BI24" s="151">
        <v>4581</v>
      </c>
      <c r="BJ24" s="151">
        <v>1584</v>
      </c>
      <c r="BK24" s="151">
        <v>1871</v>
      </c>
      <c r="BL24" s="151">
        <v>219</v>
      </c>
      <c r="BM24" s="241">
        <v>5724</v>
      </c>
      <c r="BN24" s="241">
        <f t="shared" si="30"/>
        <v>71450</v>
      </c>
      <c r="BO24" s="151"/>
      <c r="BP24" s="151"/>
      <c r="BQ24" s="151"/>
      <c r="BR24" s="151"/>
      <c r="BS24" s="151">
        <v>565</v>
      </c>
      <c r="BT24" s="151"/>
      <c r="BU24" s="151">
        <v>97909</v>
      </c>
      <c r="BV24" s="151">
        <v>5902</v>
      </c>
      <c r="BW24" s="151">
        <v>46682</v>
      </c>
      <c r="BX24" s="151">
        <v>-105</v>
      </c>
      <c r="BY24" s="151">
        <v>1032</v>
      </c>
      <c r="BZ24" s="241">
        <v>-39708</v>
      </c>
      <c r="CA24" s="241">
        <f t="shared" si="32"/>
        <v>112277</v>
      </c>
      <c r="CB24" s="151">
        <v>7967</v>
      </c>
      <c r="CC24" s="151">
        <v>20933</v>
      </c>
      <c r="CD24" s="151">
        <v>6378</v>
      </c>
      <c r="CE24" s="151">
        <v>2024</v>
      </c>
      <c r="CF24" s="151">
        <v>9440</v>
      </c>
      <c r="CG24" s="151">
        <v>5323</v>
      </c>
      <c r="CH24" s="151">
        <v>3891</v>
      </c>
      <c r="CI24" s="151">
        <v>4145</v>
      </c>
      <c r="CJ24" s="151">
        <v>4765</v>
      </c>
      <c r="CK24" s="151">
        <v>4925</v>
      </c>
      <c r="CL24" s="151">
        <v>4137</v>
      </c>
      <c r="CM24" s="241">
        <v>7581</v>
      </c>
      <c r="CN24" s="241">
        <f t="shared" si="34"/>
        <v>81509</v>
      </c>
      <c r="CO24" s="151">
        <v>14</v>
      </c>
      <c r="CP24" s="151"/>
      <c r="CQ24" s="151">
        <v>908</v>
      </c>
      <c r="CR24" s="151">
        <v>541</v>
      </c>
      <c r="CS24" s="151"/>
      <c r="CT24" s="151">
        <v>17</v>
      </c>
      <c r="CU24" s="151">
        <v>44</v>
      </c>
      <c r="CV24" s="151">
        <v>2823</v>
      </c>
      <c r="CW24" s="151">
        <v>75</v>
      </c>
      <c r="CX24" s="151">
        <v>10724</v>
      </c>
      <c r="CY24" s="151">
        <v>2988</v>
      </c>
      <c r="CZ24" s="241">
        <v>819</v>
      </c>
      <c r="DA24" s="241">
        <f t="shared" si="36"/>
        <v>18953</v>
      </c>
      <c r="DB24" s="151"/>
      <c r="DC24" s="151"/>
      <c r="DD24" s="151"/>
      <c r="DE24" s="151">
        <v>1366</v>
      </c>
      <c r="DF24" s="151"/>
      <c r="DG24" s="151"/>
      <c r="DH24" s="151"/>
      <c r="DI24" s="151">
        <v>2759</v>
      </c>
      <c r="DJ24" s="151"/>
      <c r="DK24" s="151">
        <v>9</v>
      </c>
      <c r="DL24" s="151">
        <v>2462</v>
      </c>
      <c r="DM24" s="241"/>
      <c r="DN24" s="241">
        <f t="shared" si="38"/>
        <v>6596</v>
      </c>
      <c r="DO24" s="151"/>
      <c r="DP24" s="151"/>
      <c r="DQ24" s="151"/>
      <c r="DR24" s="151">
        <v>1775</v>
      </c>
      <c r="DS24" s="151"/>
      <c r="DT24" s="151"/>
      <c r="DU24" s="151"/>
      <c r="DV24" s="151"/>
      <c r="DW24" s="151"/>
      <c r="DX24" s="151"/>
      <c r="DY24" s="151"/>
      <c r="DZ24" s="241"/>
      <c r="EA24" s="241">
        <f t="shared" si="40"/>
        <v>1775</v>
      </c>
      <c r="EB24" s="151">
        <v>0</v>
      </c>
      <c r="EC24" s="151">
        <v>0</v>
      </c>
      <c r="ED24" s="151">
        <v>0</v>
      </c>
      <c r="EE24" s="151">
        <v>0</v>
      </c>
      <c r="EF24" s="151">
        <v>2032</v>
      </c>
      <c r="EG24" s="151">
        <v>0</v>
      </c>
      <c r="EH24" s="151">
        <v>0</v>
      </c>
      <c r="EI24" s="151">
        <v>7245</v>
      </c>
      <c r="EJ24" s="151">
        <v>0</v>
      </c>
      <c r="EK24" s="151">
        <v>47</v>
      </c>
      <c r="EL24" s="151">
        <v>13</v>
      </c>
      <c r="EM24" s="241">
        <v>12858</v>
      </c>
      <c r="EN24" s="241">
        <f t="shared" si="42"/>
        <v>22195</v>
      </c>
      <c r="EO24" s="151">
        <v>0</v>
      </c>
      <c r="EP24" s="151">
        <v>0</v>
      </c>
      <c r="EQ24" s="151">
        <v>2913</v>
      </c>
      <c r="ER24" s="151">
        <v>0</v>
      </c>
      <c r="ES24" s="151">
        <v>1045</v>
      </c>
      <c r="ET24" s="151">
        <v>0</v>
      </c>
      <c r="EU24" s="151">
        <v>0</v>
      </c>
      <c r="EV24" s="950">
        <v>491</v>
      </c>
      <c r="EW24" s="151"/>
      <c r="EX24" s="151"/>
      <c r="EY24" s="151"/>
      <c r="EZ24" s="241"/>
      <c r="FA24" s="241">
        <f t="shared" si="44"/>
        <v>4449</v>
      </c>
      <c r="FC24" s="184">
        <f t="shared" si="45"/>
        <v>-93.222912353347127</v>
      </c>
      <c r="FD24" s="184">
        <f t="shared" si="46"/>
        <v>-52.042686213215482</v>
      </c>
      <c r="FE24" s="161">
        <f t="shared" si="48"/>
        <v>9277</v>
      </c>
      <c r="FF24" s="161">
        <f t="shared" si="47"/>
        <v>4449</v>
      </c>
    </row>
    <row r="25" spans="1:162" ht="15" customHeight="1" x14ac:dyDescent="0.25">
      <c r="A25" s="403" t="s">
        <v>426</v>
      </c>
      <c r="B25" s="151">
        <v>27749</v>
      </c>
      <c r="C25" s="151">
        <v>5358</v>
      </c>
      <c r="D25" s="151">
        <v>2991</v>
      </c>
      <c r="E25" s="151">
        <v>3184</v>
      </c>
      <c r="F25" s="151">
        <v>421</v>
      </c>
      <c r="G25" s="151">
        <v>157</v>
      </c>
      <c r="H25" s="151">
        <v>1245</v>
      </c>
      <c r="I25" s="151">
        <v>142</v>
      </c>
      <c r="J25" s="151">
        <v>191</v>
      </c>
      <c r="K25" s="151">
        <v>50</v>
      </c>
      <c r="L25" s="151">
        <v>62</v>
      </c>
      <c r="M25" s="241">
        <v>123</v>
      </c>
      <c r="N25" s="241">
        <f t="shared" si="23"/>
        <v>41673</v>
      </c>
      <c r="O25" s="151">
        <v>28950</v>
      </c>
      <c r="P25" s="151">
        <v>1335</v>
      </c>
      <c r="Q25" s="151">
        <v>6633</v>
      </c>
      <c r="R25" s="151">
        <v>2741</v>
      </c>
      <c r="S25" s="151">
        <v>-1714</v>
      </c>
      <c r="T25" s="151">
        <v>2200</v>
      </c>
      <c r="U25" s="151">
        <v>-34</v>
      </c>
      <c r="V25" s="151">
        <v>-10</v>
      </c>
      <c r="W25" s="151">
        <v>1614</v>
      </c>
      <c r="X25" s="151">
        <v>-819</v>
      </c>
      <c r="Y25" s="151">
        <v>-4</v>
      </c>
      <c r="Z25" s="241">
        <v>1240</v>
      </c>
      <c r="AA25" s="241">
        <f t="shared" si="25"/>
        <v>42132</v>
      </c>
      <c r="AB25" s="151">
        <v>39307</v>
      </c>
      <c r="AC25" s="151">
        <v>-4144</v>
      </c>
      <c r="AD25" s="151">
        <v>50319</v>
      </c>
      <c r="AE25" s="151">
        <v>-6740</v>
      </c>
      <c r="AF25" s="151">
        <v>-1</v>
      </c>
      <c r="AG25" s="151">
        <v>18516</v>
      </c>
      <c r="AH25" s="151">
        <v>-4282</v>
      </c>
      <c r="AI25" s="151">
        <v>-56</v>
      </c>
      <c r="AJ25" s="151">
        <v>-159</v>
      </c>
      <c r="AK25" s="151">
        <v>-9</v>
      </c>
      <c r="AL25" s="151">
        <v>-15</v>
      </c>
      <c r="AM25" s="241">
        <v>9675</v>
      </c>
      <c r="AN25" s="241">
        <f t="shared" si="26"/>
        <v>102411</v>
      </c>
      <c r="AO25" s="151">
        <v>39633</v>
      </c>
      <c r="AP25" s="151">
        <v>7415</v>
      </c>
      <c r="AQ25" s="151">
        <v>19593</v>
      </c>
      <c r="AR25" s="151">
        <v>14</v>
      </c>
      <c r="AS25" s="151"/>
      <c r="AT25" s="151">
        <v>2249</v>
      </c>
      <c r="AU25" s="151">
        <v>-460</v>
      </c>
      <c r="AV25" s="151">
        <v>-1199</v>
      </c>
      <c r="AW25" s="151">
        <v>3065</v>
      </c>
      <c r="AX25" s="151">
        <v>156</v>
      </c>
      <c r="AY25" s="151">
        <v>-837</v>
      </c>
      <c r="AZ25" s="241">
        <v>-124</v>
      </c>
      <c r="BA25" s="241">
        <f t="shared" si="28"/>
        <v>69505</v>
      </c>
      <c r="BB25" s="151">
        <v>7632</v>
      </c>
      <c r="BC25" s="151">
        <v>17594</v>
      </c>
      <c r="BD25" s="151">
        <v>15813</v>
      </c>
      <c r="BE25" s="151">
        <v>15362</v>
      </c>
      <c r="BF25" s="151">
        <v>4067</v>
      </c>
      <c r="BG25" s="151">
        <v>1295</v>
      </c>
      <c r="BH25" s="151">
        <v>848</v>
      </c>
      <c r="BI25" s="151">
        <v>674</v>
      </c>
      <c r="BJ25" s="151">
        <v>987</v>
      </c>
      <c r="BK25" s="151">
        <v>-207</v>
      </c>
      <c r="BL25" s="151">
        <v>954</v>
      </c>
      <c r="BM25" s="241">
        <v>3302</v>
      </c>
      <c r="BN25" s="241">
        <f t="shared" si="30"/>
        <v>68321</v>
      </c>
      <c r="BO25" s="151">
        <v>39819</v>
      </c>
      <c r="BP25" s="151">
        <v>29118</v>
      </c>
      <c r="BQ25" s="151">
        <v>5228</v>
      </c>
      <c r="BR25" s="151">
        <v>-73</v>
      </c>
      <c r="BS25" s="151"/>
      <c r="BT25" s="151">
        <v>307</v>
      </c>
      <c r="BU25" s="151">
        <v>168</v>
      </c>
      <c r="BV25" s="151">
        <v>-1</v>
      </c>
      <c r="BW25" s="151">
        <v>438</v>
      </c>
      <c r="BX25" s="151">
        <v>180</v>
      </c>
      <c r="BY25" s="151">
        <v>1</v>
      </c>
      <c r="BZ25" s="241">
        <v>9717</v>
      </c>
      <c r="CA25" s="241">
        <f t="shared" si="32"/>
        <v>84902</v>
      </c>
      <c r="CB25" s="151">
        <v>33424</v>
      </c>
      <c r="CC25" s="151">
        <v>28073</v>
      </c>
      <c r="CD25" s="151">
        <v>3310</v>
      </c>
      <c r="CE25" s="151">
        <v>-41</v>
      </c>
      <c r="CF25" s="151">
        <v>-8</v>
      </c>
      <c r="CG25" s="151">
        <v>112</v>
      </c>
      <c r="CH25" s="151">
        <v>-170</v>
      </c>
      <c r="CI25" s="151">
        <v>418</v>
      </c>
      <c r="CJ25" s="151">
        <v>866</v>
      </c>
      <c r="CK25" s="151">
        <v>52</v>
      </c>
      <c r="CL25" s="151">
        <v>-26</v>
      </c>
      <c r="CM25" s="241">
        <v>-27</v>
      </c>
      <c r="CN25" s="241">
        <f t="shared" si="34"/>
        <v>65983</v>
      </c>
      <c r="CO25" s="151">
        <v>55211</v>
      </c>
      <c r="CP25" s="151">
        <v>44165</v>
      </c>
      <c r="CQ25" s="151">
        <v>15984</v>
      </c>
      <c r="CR25" s="151">
        <v>488</v>
      </c>
      <c r="CS25" s="151">
        <v>-183</v>
      </c>
      <c r="CT25" s="151">
        <v>-2553</v>
      </c>
      <c r="CU25" s="151">
        <v>41</v>
      </c>
      <c r="CV25" s="151">
        <v>116</v>
      </c>
      <c r="CW25" s="151">
        <v>12</v>
      </c>
      <c r="CX25" s="151">
        <v>3246</v>
      </c>
      <c r="CY25" s="151">
        <v>-954</v>
      </c>
      <c r="CZ25" s="241">
        <v>404</v>
      </c>
      <c r="DA25" s="241">
        <f t="shared" si="36"/>
        <v>115977</v>
      </c>
      <c r="DB25" s="151">
        <v>50201</v>
      </c>
      <c r="DC25" s="151">
        <v>22766</v>
      </c>
      <c r="DD25" s="151">
        <v>34157</v>
      </c>
      <c r="DE25" s="151">
        <v>1318</v>
      </c>
      <c r="DF25" s="151">
        <v>329</v>
      </c>
      <c r="DG25" s="151">
        <v>419</v>
      </c>
      <c r="DH25" s="151">
        <v>123</v>
      </c>
      <c r="DI25" s="151">
        <v>408</v>
      </c>
      <c r="DJ25" s="151">
        <v>523</v>
      </c>
      <c r="DK25" s="151">
        <v>-11593</v>
      </c>
      <c r="DL25" s="151">
        <v>-1097</v>
      </c>
      <c r="DM25" s="241">
        <v>-205</v>
      </c>
      <c r="DN25" s="241">
        <f t="shared" si="38"/>
        <v>97349</v>
      </c>
      <c r="DO25" s="151">
        <v>108919</v>
      </c>
      <c r="DP25" s="151">
        <v>5647</v>
      </c>
      <c r="DQ25" s="151">
        <v>1745</v>
      </c>
      <c r="DR25" s="151">
        <v>1277</v>
      </c>
      <c r="DS25" s="151">
        <v>274</v>
      </c>
      <c r="DT25" s="151">
        <v>59</v>
      </c>
      <c r="DU25" s="151">
        <v>464</v>
      </c>
      <c r="DV25" s="151">
        <v>708</v>
      </c>
      <c r="DW25" s="151">
        <v>-881</v>
      </c>
      <c r="DX25" s="151">
        <v>68</v>
      </c>
      <c r="DY25" s="151">
        <v>57</v>
      </c>
      <c r="DZ25" s="241">
        <v>-558</v>
      </c>
      <c r="EA25" s="241">
        <f t="shared" si="40"/>
        <v>117779</v>
      </c>
      <c r="EB25" s="151">
        <v>83723</v>
      </c>
      <c r="EC25" s="151">
        <v>8247</v>
      </c>
      <c r="ED25" s="151">
        <v>446</v>
      </c>
      <c r="EE25" s="151">
        <v>1486</v>
      </c>
      <c r="EF25" s="151">
        <v>337</v>
      </c>
      <c r="EG25" s="151">
        <v>216</v>
      </c>
      <c r="EH25" s="151">
        <v>160</v>
      </c>
      <c r="EI25" s="151">
        <v>1454</v>
      </c>
      <c r="EJ25" s="151">
        <v>315</v>
      </c>
      <c r="EK25" s="151">
        <v>12766</v>
      </c>
      <c r="EL25" s="151">
        <v>-128</v>
      </c>
      <c r="EM25" s="241">
        <v>-11361</v>
      </c>
      <c r="EN25" s="241">
        <f t="shared" si="42"/>
        <v>97661</v>
      </c>
      <c r="EO25" s="151">
        <v>60967</v>
      </c>
      <c r="EP25" s="151">
        <v>8788</v>
      </c>
      <c r="EQ25" s="151">
        <v>30285</v>
      </c>
      <c r="ER25" s="151">
        <v>26</v>
      </c>
      <c r="ES25" s="151">
        <v>-321</v>
      </c>
      <c r="ET25" s="151">
        <v>270</v>
      </c>
      <c r="EU25" s="151">
        <v>696</v>
      </c>
      <c r="EV25" s="950">
        <v>11</v>
      </c>
      <c r="EW25" s="151"/>
      <c r="EX25" s="151"/>
      <c r="EY25" s="151"/>
      <c r="EZ25" s="241"/>
      <c r="FA25" s="241">
        <f t="shared" si="44"/>
        <v>100722</v>
      </c>
      <c r="FC25" s="184">
        <f t="shared" si="45"/>
        <v>-99.243466299862447</v>
      </c>
      <c r="FD25" s="184">
        <f t="shared" si="46"/>
        <v>4.8433938106985597</v>
      </c>
      <c r="FE25" s="161">
        <f t="shared" si="48"/>
        <v>96069</v>
      </c>
      <c r="FF25" s="161">
        <f t="shared" si="47"/>
        <v>100722</v>
      </c>
    </row>
    <row r="26" spans="1:162" ht="15" customHeight="1" x14ac:dyDescent="0.25">
      <c r="A26" s="138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241"/>
      <c r="N26" s="24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241"/>
      <c r="AA26" s="24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241"/>
      <c r="AN26" s="24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241"/>
      <c r="BA26" s="24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241"/>
      <c r="BN26" s="24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241"/>
      <c r="CA26" s="24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241"/>
      <c r="CN26" s="24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241"/>
      <c r="DA26" s="241"/>
      <c r="DB26" s="151"/>
      <c r="DC26" s="151"/>
      <c r="DD26" s="151"/>
      <c r="DE26" s="151"/>
      <c r="DF26" s="151"/>
      <c r="DG26" s="151"/>
      <c r="DH26" s="151"/>
      <c r="DI26" s="151"/>
      <c r="DJ26" s="151"/>
      <c r="DK26" s="151"/>
      <c r="DL26" s="151"/>
      <c r="DM26" s="241"/>
      <c r="DN26" s="241"/>
      <c r="DO26" s="151"/>
      <c r="DP26" s="151"/>
      <c r="DQ26" s="151"/>
      <c r="DR26" s="151"/>
      <c r="DS26" s="151"/>
      <c r="DT26" s="151"/>
      <c r="DU26" s="151"/>
      <c r="DV26" s="151"/>
      <c r="DW26" s="151"/>
      <c r="DX26" s="151"/>
      <c r="DY26" s="151"/>
      <c r="DZ26" s="241"/>
      <c r="EA26" s="241"/>
      <c r="EB26" s="151"/>
      <c r="EC26" s="151"/>
      <c r="ED26" s="151"/>
      <c r="EE26" s="151"/>
      <c r="EF26" s="151"/>
      <c r="EG26" s="151"/>
      <c r="EH26" s="151"/>
      <c r="EI26" s="151"/>
      <c r="EJ26" s="151"/>
      <c r="EK26" s="151"/>
      <c r="EL26" s="151"/>
      <c r="EM26" s="241"/>
      <c r="EN26" s="241"/>
      <c r="EO26" s="151"/>
      <c r="EP26" s="151"/>
      <c r="EQ26" s="151"/>
      <c r="ER26" s="151"/>
      <c r="ES26" s="151"/>
      <c r="ET26" s="151"/>
      <c r="EU26" s="151"/>
      <c r="EV26" s="950"/>
      <c r="EW26" s="151"/>
      <c r="EX26" s="151"/>
      <c r="EY26" s="151"/>
      <c r="EZ26" s="241"/>
      <c r="FA26" s="241"/>
      <c r="FC26" s="184" t="str">
        <f t="shared" si="45"/>
        <v/>
      </c>
      <c r="FD26" s="184"/>
      <c r="FE26" s="161"/>
      <c r="FF26" s="161"/>
    </row>
    <row r="27" spans="1:162" ht="15" customHeight="1" x14ac:dyDescent="0.25">
      <c r="A27" s="141" t="s">
        <v>427</v>
      </c>
      <c r="B27" s="147">
        <f t="shared" ref="B27:M27" si="76">SUM(B28:B31)</f>
        <v>44156</v>
      </c>
      <c r="C27" s="147">
        <f t="shared" si="76"/>
        <v>29461</v>
      </c>
      <c r="D27" s="147">
        <f t="shared" si="76"/>
        <v>30224</v>
      </c>
      <c r="E27" s="147">
        <f t="shared" si="76"/>
        <v>23170</v>
      </c>
      <c r="F27" s="147">
        <f t="shared" si="76"/>
        <v>36648</v>
      </c>
      <c r="G27" s="147">
        <f t="shared" si="76"/>
        <v>28363</v>
      </c>
      <c r="H27" s="147">
        <f t="shared" si="76"/>
        <v>26915</v>
      </c>
      <c r="I27" s="147">
        <f t="shared" si="76"/>
        <v>24663</v>
      </c>
      <c r="J27" s="147">
        <f t="shared" si="76"/>
        <v>19409</v>
      </c>
      <c r="K27" s="147">
        <f t="shared" si="76"/>
        <v>22017</v>
      </c>
      <c r="L27" s="147">
        <f t="shared" si="76"/>
        <v>29387</v>
      </c>
      <c r="M27" s="273">
        <f t="shared" si="76"/>
        <v>19205</v>
      </c>
      <c r="N27" s="273">
        <f>SUM(B27:M27)</f>
        <v>333618</v>
      </c>
      <c r="O27" s="147">
        <f>SUM(O28:O31)</f>
        <v>49383</v>
      </c>
      <c r="P27" s="147">
        <f t="shared" ref="P27:AM27" si="77">SUM(P28:P31)</f>
        <v>14009</v>
      </c>
      <c r="Q27" s="147">
        <f t="shared" si="77"/>
        <v>40837</v>
      </c>
      <c r="R27" s="147">
        <f t="shared" si="77"/>
        <v>21231</v>
      </c>
      <c r="S27" s="147">
        <f t="shared" si="77"/>
        <v>29019</v>
      </c>
      <c r="T27" s="147">
        <f t="shared" si="77"/>
        <v>24389</v>
      </c>
      <c r="U27" s="147">
        <f t="shared" si="77"/>
        <v>36666</v>
      </c>
      <c r="V27" s="147">
        <f t="shared" si="77"/>
        <v>27894</v>
      </c>
      <c r="W27" s="147">
        <f t="shared" si="77"/>
        <v>34810</v>
      </c>
      <c r="X27" s="147">
        <f t="shared" si="77"/>
        <v>50263</v>
      </c>
      <c r="Y27" s="147">
        <f t="shared" si="77"/>
        <v>47464</v>
      </c>
      <c r="Z27" s="273">
        <f t="shared" si="77"/>
        <v>22654</v>
      </c>
      <c r="AA27" s="273">
        <f>SUM(O27:Z27)</f>
        <v>398619</v>
      </c>
      <c r="AB27" s="147">
        <f t="shared" si="77"/>
        <v>57151</v>
      </c>
      <c r="AC27" s="147">
        <f t="shared" si="77"/>
        <v>9323</v>
      </c>
      <c r="AD27" s="147">
        <f t="shared" si="77"/>
        <v>88494</v>
      </c>
      <c r="AE27" s="147">
        <f t="shared" si="77"/>
        <v>17122</v>
      </c>
      <c r="AF27" s="147">
        <f t="shared" si="77"/>
        <v>31297</v>
      </c>
      <c r="AG27" s="147">
        <f t="shared" si="77"/>
        <v>39591</v>
      </c>
      <c r="AH27" s="147">
        <f t="shared" si="77"/>
        <v>28179</v>
      </c>
      <c r="AI27" s="147">
        <f t="shared" si="77"/>
        <v>21622</v>
      </c>
      <c r="AJ27" s="147">
        <f t="shared" si="77"/>
        <v>21458</v>
      </c>
      <c r="AK27" s="147">
        <f t="shared" si="77"/>
        <v>27346</v>
      </c>
      <c r="AL27" s="147">
        <f t="shared" si="77"/>
        <v>21892</v>
      </c>
      <c r="AM27" s="273">
        <f t="shared" si="77"/>
        <v>49436</v>
      </c>
      <c r="AN27" s="273">
        <f>SUM(AB27:AM27)</f>
        <v>412911</v>
      </c>
      <c r="AO27" s="147">
        <f>SUM(AO28:AO31)</f>
        <v>61869</v>
      </c>
      <c r="AP27" s="147">
        <f>SUM(AP28:AP31)</f>
        <v>38686</v>
      </c>
      <c r="AQ27" s="147">
        <f>SUM(AQ28:AQ31)</f>
        <v>52902</v>
      </c>
      <c r="AR27" s="147">
        <f t="shared" ref="AR27:AZ27" si="78">SUM(AR28:AR31)</f>
        <v>44006</v>
      </c>
      <c r="AS27" s="147">
        <f t="shared" si="78"/>
        <v>22185</v>
      </c>
      <c r="AT27" s="147">
        <f t="shared" si="78"/>
        <v>37881</v>
      </c>
      <c r="AU27" s="147">
        <f t="shared" si="78"/>
        <v>20190</v>
      </c>
      <c r="AV27" s="147">
        <f t="shared" si="78"/>
        <v>37881</v>
      </c>
      <c r="AW27" s="147">
        <f t="shared" si="78"/>
        <v>36066</v>
      </c>
      <c r="AX27" s="147">
        <f t="shared" si="78"/>
        <v>38187</v>
      </c>
      <c r="AY27" s="147">
        <f t="shared" si="78"/>
        <v>36159</v>
      </c>
      <c r="AZ27" s="273">
        <f t="shared" si="78"/>
        <v>24502</v>
      </c>
      <c r="BA27" s="273">
        <f>SUM(AO27:AZ27)</f>
        <v>450514</v>
      </c>
      <c r="BB27" s="147">
        <f>SUM(BB28:BB31)</f>
        <v>24619</v>
      </c>
      <c r="BC27" s="147">
        <f>SUM(BC28:BC31)</f>
        <v>46719</v>
      </c>
      <c r="BD27" s="147">
        <f>SUM(BD28:BD31)</f>
        <v>80502</v>
      </c>
      <c r="BE27" s="147">
        <f t="shared" ref="BE27:BM27" si="79">SUM(BE28:BE31)</f>
        <v>38456</v>
      </c>
      <c r="BF27" s="147">
        <f t="shared" si="79"/>
        <v>32461</v>
      </c>
      <c r="BG27" s="147">
        <f t="shared" si="79"/>
        <v>31373</v>
      </c>
      <c r="BH27" s="147">
        <f t="shared" si="79"/>
        <v>23316</v>
      </c>
      <c r="BI27" s="147">
        <f t="shared" si="79"/>
        <v>25889</v>
      </c>
      <c r="BJ27" s="147">
        <f t="shared" si="79"/>
        <v>24260</v>
      </c>
      <c r="BK27" s="147">
        <f t="shared" si="79"/>
        <v>24535</v>
      </c>
      <c r="BL27" s="147">
        <f t="shared" si="79"/>
        <v>23093</v>
      </c>
      <c r="BM27" s="273">
        <f t="shared" si="79"/>
        <v>32950</v>
      </c>
      <c r="BN27" s="273">
        <f>SUM(BB27:BM27)</f>
        <v>408173</v>
      </c>
      <c r="BO27" s="147">
        <f t="shared" ref="BO27:BZ27" si="80">SUM(BO28:BO31)</f>
        <v>58575</v>
      </c>
      <c r="BP27" s="147">
        <f t="shared" si="80"/>
        <v>39852</v>
      </c>
      <c r="BQ27" s="147">
        <f t="shared" si="80"/>
        <v>44919</v>
      </c>
      <c r="BR27" s="147">
        <f t="shared" si="80"/>
        <v>12583</v>
      </c>
      <c r="BS27" s="147">
        <f t="shared" si="80"/>
        <v>9582</v>
      </c>
      <c r="BT27" s="147">
        <f t="shared" si="80"/>
        <v>21738</v>
      </c>
      <c r="BU27" s="147">
        <f t="shared" si="80"/>
        <v>117523</v>
      </c>
      <c r="BV27" s="147">
        <f t="shared" si="80"/>
        <v>27898</v>
      </c>
      <c r="BW27" s="147">
        <f t="shared" si="80"/>
        <v>73441</v>
      </c>
      <c r="BX27" s="147">
        <f t="shared" si="80"/>
        <v>21293</v>
      </c>
      <c r="BY27" s="147">
        <f t="shared" si="80"/>
        <v>21206</v>
      </c>
      <c r="BZ27" s="273">
        <f t="shared" si="80"/>
        <v>-5957</v>
      </c>
      <c r="CA27" s="273">
        <f t="shared" si="32"/>
        <v>442653</v>
      </c>
      <c r="CB27" s="147">
        <f t="shared" ref="CB27:CM27" si="81">SUM(CB28:CB31)</f>
        <v>67265</v>
      </c>
      <c r="CC27" s="147">
        <f t="shared" si="81"/>
        <v>78936</v>
      </c>
      <c r="CD27" s="147">
        <f t="shared" si="81"/>
        <v>36331</v>
      </c>
      <c r="CE27" s="147">
        <f t="shared" si="81"/>
        <v>38741</v>
      </c>
      <c r="CF27" s="147">
        <f t="shared" si="81"/>
        <v>35431</v>
      </c>
      <c r="CG27" s="147">
        <f t="shared" si="81"/>
        <v>33875</v>
      </c>
      <c r="CH27" s="147">
        <f t="shared" si="81"/>
        <v>31864</v>
      </c>
      <c r="CI27" s="147">
        <f t="shared" si="81"/>
        <v>34147</v>
      </c>
      <c r="CJ27" s="147">
        <f t="shared" si="81"/>
        <v>39631</v>
      </c>
      <c r="CK27" s="147">
        <f t="shared" si="81"/>
        <v>41670</v>
      </c>
      <c r="CL27" s="147">
        <f t="shared" si="81"/>
        <v>37655</v>
      </c>
      <c r="CM27" s="273">
        <f t="shared" si="81"/>
        <v>48485</v>
      </c>
      <c r="CN27" s="273">
        <f t="shared" si="34"/>
        <v>524031</v>
      </c>
      <c r="CO27" s="147">
        <f t="shared" ref="CO27:CW27" si="82">SUM(CO28:CO31)</f>
        <v>93310</v>
      </c>
      <c r="CP27" s="147">
        <f t="shared" si="82"/>
        <v>86777</v>
      </c>
      <c r="CQ27" s="147">
        <f t="shared" si="82"/>
        <v>60560</v>
      </c>
      <c r="CR27" s="147">
        <f t="shared" si="82"/>
        <v>38193</v>
      </c>
      <c r="CS27" s="147">
        <f t="shared" si="82"/>
        <v>53302</v>
      </c>
      <c r="CT27" s="147">
        <f t="shared" si="82"/>
        <v>36970</v>
      </c>
      <c r="CU27" s="147">
        <f t="shared" si="82"/>
        <v>40183</v>
      </c>
      <c r="CV27" s="147">
        <f t="shared" si="82"/>
        <v>39488</v>
      </c>
      <c r="CW27" s="147">
        <f t="shared" si="82"/>
        <v>43687</v>
      </c>
      <c r="CX27" s="147">
        <f>SUM(CX28:CX31)</f>
        <v>53566</v>
      </c>
      <c r="CY27" s="147">
        <f>SUM(CY28:CY31)</f>
        <v>34306</v>
      </c>
      <c r="CZ27" s="273">
        <f>SUM(CZ28:CZ31)</f>
        <v>45387</v>
      </c>
      <c r="DA27" s="273">
        <f t="shared" si="36"/>
        <v>625729</v>
      </c>
      <c r="DB27" s="147">
        <f>SUM(DB28:DB31)</f>
        <v>86903</v>
      </c>
      <c r="DC27" s="147">
        <f>SUM(DC28:DC31)</f>
        <v>67041</v>
      </c>
      <c r="DD27" s="147">
        <f>SUM(DD28:DD31)</f>
        <v>72644</v>
      </c>
      <c r="DE27" s="147">
        <f>SUM(DE28:DE31)</f>
        <v>48078</v>
      </c>
      <c r="DF27" s="147">
        <f t="shared" ref="DF27:DM27" si="83">SUM(DF28:DF31)</f>
        <v>47562</v>
      </c>
      <c r="DG27" s="147">
        <f t="shared" si="83"/>
        <v>35979</v>
      </c>
      <c r="DH27" s="147">
        <f t="shared" si="83"/>
        <v>28334</v>
      </c>
      <c r="DI27" s="147">
        <f t="shared" si="83"/>
        <v>42055</v>
      </c>
      <c r="DJ27" s="147">
        <f t="shared" si="83"/>
        <v>31513</v>
      </c>
      <c r="DK27" s="147">
        <f t="shared" si="83"/>
        <v>23278</v>
      </c>
      <c r="DL27" s="147">
        <f t="shared" si="83"/>
        <v>38894</v>
      </c>
      <c r="DM27" s="273">
        <f t="shared" si="83"/>
        <v>33319</v>
      </c>
      <c r="DN27" s="273">
        <f>SUM(DB27:DM27)</f>
        <v>555600</v>
      </c>
      <c r="DO27" s="147">
        <f t="shared" ref="DO27:DZ27" si="84">SUM(DO28:DO31)</f>
        <v>137227</v>
      </c>
      <c r="DP27" s="147">
        <f t="shared" si="84"/>
        <v>53970</v>
      </c>
      <c r="DQ27" s="147">
        <f t="shared" si="84"/>
        <v>36489</v>
      </c>
      <c r="DR27" s="147">
        <f t="shared" si="84"/>
        <v>35858</v>
      </c>
      <c r="DS27" s="147">
        <f t="shared" si="84"/>
        <v>46515</v>
      </c>
      <c r="DT27" s="147">
        <f t="shared" si="84"/>
        <v>36637</v>
      </c>
      <c r="DU27" s="147">
        <f t="shared" si="84"/>
        <v>36075</v>
      </c>
      <c r="DV27" s="147">
        <f t="shared" si="84"/>
        <v>37568</v>
      </c>
      <c r="DW27" s="147">
        <f t="shared" si="84"/>
        <v>41362</v>
      </c>
      <c r="DX27" s="147">
        <f t="shared" si="84"/>
        <v>40529</v>
      </c>
      <c r="DY27" s="147">
        <f t="shared" si="84"/>
        <v>38071</v>
      </c>
      <c r="DZ27" s="273">
        <f t="shared" si="84"/>
        <v>43471</v>
      </c>
      <c r="EA27" s="273">
        <f t="shared" si="40"/>
        <v>583772</v>
      </c>
      <c r="EB27" s="147">
        <f t="shared" ref="EB27:EH27" si="85">SUM(EB28:EB31)</f>
        <v>118489</v>
      </c>
      <c r="EC27" s="147">
        <f t="shared" si="85"/>
        <v>63307</v>
      </c>
      <c r="ED27" s="147">
        <f t="shared" si="85"/>
        <v>40442</v>
      </c>
      <c r="EE27" s="147">
        <f t="shared" si="85"/>
        <v>39007</v>
      </c>
      <c r="EF27" s="147">
        <f t="shared" si="85"/>
        <v>56023</v>
      </c>
      <c r="EG27" s="147">
        <f t="shared" si="85"/>
        <v>39630</v>
      </c>
      <c r="EH27" s="147">
        <f t="shared" si="85"/>
        <v>41315</v>
      </c>
      <c r="EI27" s="147">
        <f>SUM(EI28:EI31)</f>
        <v>48904</v>
      </c>
      <c r="EJ27" s="147">
        <f>SUM(EJ28:EJ31)</f>
        <v>40723</v>
      </c>
      <c r="EK27" s="147">
        <f>SUM(EK28:EK31)</f>
        <v>53678</v>
      </c>
      <c r="EL27" s="147">
        <f>SUM(EL28:EL31)</f>
        <v>38449</v>
      </c>
      <c r="EM27" s="273">
        <f>SUM(EM28:EM31)</f>
        <v>40306</v>
      </c>
      <c r="EN27" s="273">
        <f t="shared" si="42"/>
        <v>620273</v>
      </c>
      <c r="EO27" s="147">
        <f t="shared" ref="EO27:EU27" si="86">SUM(EO28:EO31)</f>
        <v>94059</v>
      </c>
      <c r="EP27" s="147">
        <f t="shared" si="86"/>
        <v>60169</v>
      </c>
      <c r="EQ27" s="147">
        <f t="shared" si="86"/>
        <v>73854</v>
      </c>
      <c r="ER27" s="147">
        <f t="shared" si="86"/>
        <v>49480</v>
      </c>
      <c r="ES27" s="147">
        <f t="shared" si="86"/>
        <v>56387</v>
      </c>
      <c r="ET27" s="147">
        <f t="shared" si="86"/>
        <v>51598</v>
      </c>
      <c r="EU27" s="147">
        <f t="shared" si="86"/>
        <v>50641</v>
      </c>
      <c r="EV27" s="951">
        <v>41238</v>
      </c>
      <c r="EW27" s="147"/>
      <c r="EX27" s="147"/>
      <c r="EY27" s="147"/>
      <c r="EZ27" s="273"/>
      <c r="FA27" s="273">
        <f t="shared" si="44"/>
        <v>477426</v>
      </c>
      <c r="FC27" s="179">
        <f t="shared" si="45"/>
        <v>-15.675609357107801</v>
      </c>
      <c r="FD27" s="179">
        <f t="shared" si="46"/>
        <v>6.7787626057609129</v>
      </c>
      <c r="FE27" s="234">
        <f>SUMIFS($B27:$FA27,$B$5:$FA$5,"&gt;="&amp;DATE(YEAR($FC$5)-1,1,1),$B$5:$FA$5,"&lt;="&amp;DATE(YEAR($FC$5)-1,MONTH($FC$5),1))</f>
        <v>447117</v>
      </c>
      <c r="FF27" s="234">
        <f t="shared" si="47"/>
        <v>477426</v>
      </c>
    </row>
    <row r="28" spans="1:162" ht="15" customHeight="1" x14ac:dyDescent="0.25">
      <c r="A28" s="402" t="s">
        <v>387</v>
      </c>
      <c r="B28" s="151">
        <v>40965</v>
      </c>
      <c r="C28" s="151">
        <v>25567</v>
      </c>
      <c r="D28" s="151">
        <v>23146</v>
      </c>
      <c r="E28" s="151">
        <v>20287</v>
      </c>
      <c r="F28" s="151">
        <v>25462</v>
      </c>
      <c r="G28" s="151">
        <v>22765</v>
      </c>
      <c r="H28" s="151">
        <v>18670</v>
      </c>
      <c r="I28" s="151">
        <v>22727</v>
      </c>
      <c r="J28" s="151">
        <v>17327</v>
      </c>
      <c r="K28" s="151">
        <v>17462</v>
      </c>
      <c r="L28" s="151">
        <v>27381</v>
      </c>
      <c r="M28" s="241">
        <v>18370</v>
      </c>
      <c r="N28" s="241">
        <f>SUM(B28:M28)</f>
        <v>280129</v>
      </c>
      <c r="O28" s="151">
        <v>40921</v>
      </c>
      <c r="P28" s="151">
        <v>9636</v>
      </c>
      <c r="Q28" s="151">
        <v>37644</v>
      </c>
      <c r="R28" s="151">
        <v>19242</v>
      </c>
      <c r="S28" s="151">
        <v>21594</v>
      </c>
      <c r="T28" s="151">
        <v>17730</v>
      </c>
      <c r="U28" s="151">
        <v>16851</v>
      </c>
      <c r="V28" s="151">
        <v>16039</v>
      </c>
      <c r="W28" s="151">
        <v>18618</v>
      </c>
      <c r="X28" s="151">
        <v>14849</v>
      </c>
      <c r="Y28" s="151">
        <v>25963</v>
      </c>
      <c r="Z28" s="241">
        <v>18585</v>
      </c>
      <c r="AA28" s="241">
        <f>SUM(O28:Z28)</f>
        <v>257672</v>
      </c>
      <c r="AB28" s="151">
        <v>30996</v>
      </c>
      <c r="AC28" s="151">
        <v>6064</v>
      </c>
      <c r="AD28" s="151">
        <v>42298</v>
      </c>
      <c r="AE28" s="151">
        <v>7037</v>
      </c>
      <c r="AF28" s="151">
        <v>25224</v>
      </c>
      <c r="AG28" s="151">
        <v>34387</v>
      </c>
      <c r="AH28" s="151">
        <v>14741</v>
      </c>
      <c r="AI28" s="151">
        <v>18798</v>
      </c>
      <c r="AJ28" s="151">
        <v>18455</v>
      </c>
      <c r="AK28" s="151">
        <v>25046</v>
      </c>
      <c r="AL28" s="151">
        <v>18572</v>
      </c>
      <c r="AM28" s="241">
        <v>19342</v>
      </c>
      <c r="AN28" s="241">
        <f>SUM(AB28:AM28)</f>
        <v>260960</v>
      </c>
      <c r="AO28" s="151">
        <v>29882</v>
      </c>
      <c r="AP28" s="151">
        <v>31041</v>
      </c>
      <c r="AQ28" s="151">
        <v>25715</v>
      </c>
      <c r="AR28" s="151">
        <v>30752</v>
      </c>
      <c r="AS28" s="151">
        <v>20043</v>
      </c>
      <c r="AT28" s="151">
        <v>25128</v>
      </c>
      <c r="AU28" s="151">
        <v>18274</v>
      </c>
      <c r="AV28" s="151">
        <v>18675</v>
      </c>
      <c r="AW28" s="151">
        <v>16554</v>
      </c>
      <c r="AX28" s="151">
        <v>35167</v>
      </c>
      <c r="AY28" s="151">
        <v>21517</v>
      </c>
      <c r="AZ28" s="241">
        <v>22343</v>
      </c>
      <c r="BA28" s="241">
        <f>SUM(AO28:AZ28)</f>
        <v>295091</v>
      </c>
      <c r="BB28" s="151">
        <v>20786</v>
      </c>
      <c r="BC28" s="151">
        <v>29444</v>
      </c>
      <c r="BD28" s="151">
        <v>20143</v>
      </c>
      <c r="BE28" s="151">
        <v>30339</v>
      </c>
      <c r="BF28" s="151">
        <v>27225</v>
      </c>
      <c r="BG28" s="151">
        <v>20428</v>
      </c>
      <c r="BH28" s="151">
        <v>19589</v>
      </c>
      <c r="BI28" s="151">
        <v>18039</v>
      </c>
      <c r="BJ28" s="151">
        <v>19635</v>
      </c>
      <c r="BK28" s="151">
        <v>19086</v>
      </c>
      <c r="BL28" s="151">
        <v>20420</v>
      </c>
      <c r="BM28" s="241">
        <v>24948</v>
      </c>
      <c r="BN28" s="241">
        <f>SUM(BB28:BM28)</f>
        <v>270082</v>
      </c>
      <c r="BO28" s="151">
        <v>29230</v>
      </c>
      <c r="BP28" s="151">
        <v>31092</v>
      </c>
      <c r="BQ28" s="151">
        <v>40047</v>
      </c>
      <c r="BR28" s="151">
        <v>12013</v>
      </c>
      <c r="BS28" s="151">
        <v>8787</v>
      </c>
      <c r="BT28" s="151">
        <v>19811</v>
      </c>
      <c r="BU28" s="151">
        <v>14563</v>
      </c>
      <c r="BV28" s="151">
        <v>18504</v>
      </c>
      <c r="BW28" s="151">
        <v>24038</v>
      </c>
      <c r="BX28" s="151">
        <v>18601</v>
      </c>
      <c r="BY28" s="151">
        <v>16349</v>
      </c>
      <c r="BZ28" s="241">
        <v>22507</v>
      </c>
      <c r="CA28" s="241">
        <f t="shared" si="32"/>
        <v>255542</v>
      </c>
      <c r="CB28" s="151">
        <v>50617</v>
      </c>
      <c r="CC28" s="151">
        <v>44662</v>
      </c>
      <c r="CD28" s="151">
        <v>24994</v>
      </c>
      <c r="CE28" s="151">
        <v>33409</v>
      </c>
      <c r="CF28" s="151">
        <v>22935</v>
      </c>
      <c r="CG28" s="151">
        <v>26085</v>
      </c>
      <c r="CH28" s="151">
        <v>25254</v>
      </c>
      <c r="CI28" s="151">
        <v>26482</v>
      </c>
      <c r="CJ28" s="151">
        <v>29400</v>
      </c>
      <c r="CK28" s="151">
        <v>34203</v>
      </c>
      <c r="CL28" s="151">
        <v>30864</v>
      </c>
      <c r="CM28" s="241">
        <v>37628</v>
      </c>
      <c r="CN28" s="241">
        <f t="shared" si="34"/>
        <v>386533</v>
      </c>
      <c r="CO28" s="151">
        <v>81779</v>
      </c>
      <c r="CP28" s="151">
        <v>76693</v>
      </c>
      <c r="CQ28" s="151">
        <v>52582</v>
      </c>
      <c r="CR28" s="151">
        <v>35363</v>
      </c>
      <c r="CS28" s="151">
        <v>49238</v>
      </c>
      <c r="CT28" s="151">
        <v>36158</v>
      </c>
      <c r="CU28" s="151">
        <v>37864</v>
      </c>
      <c r="CV28" s="151">
        <v>34211</v>
      </c>
      <c r="CW28" s="151">
        <v>40867</v>
      </c>
      <c r="CX28" s="151">
        <v>38383</v>
      </c>
      <c r="CY28" s="151">
        <v>28936</v>
      </c>
      <c r="CZ28" s="241">
        <v>35099</v>
      </c>
      <c r="DA28" s="241">
        <f t="shared" si="36"/>
        <v>547173</v>
      </c>
      <c r="DB28" s="151">
        <v>78888</v>
      </c>
      <c r="DC28" s="151">
        <v>62536</v>
      </c>
      <c r="DD28" s="151">
        <v>53818</v>
      </c>
      <c r="DE28" s="151">
        <v>41528</v>
      </c>
      <c r="DF28" s="151">
        <v>44215</v>
      </c>
      <c r="DG28" s="151">
        <v>33425</v>
      </c>
      <c r="DH28" s="151">
        <v>26102</v>
      </c>
      <c r="DI28" s="151">
        <v>34600</v>
      </c>
      <c r="DJ28" s="151">
        <v>28527</v>
      </c>
      <c r="DK28" s="151">
        <v>32215</v>
      </c>
      <c r="DL28" s="151">
        <v>32941</v>
      </c>
      <c r="DM28" s="241">
        <v>31788</v>
      </c>
      <c r="DN28" s="241">
        <f>SUM(DB28:DM28)</f>
        <v>500583</v>
      </c>
      <c r="DO28" s="151">
        <v>131160</v>
      </c>
      <c r="DP28" s="151">
        <v>46436</v>
      </c>
      <c r="DQ28" s="151">
        <v>33216</v>
      </c>
      <c r="DR28" s="151">
        <v>31458</v>
      </c>
      <c r="DS28" s="151">
        <v>44560</v>
      </c>
      <c r="DT28" s="151">
        <v>32481</v>
      </c>
      <c r="DU28" s="151">
        <v>33451</v>
      </c>
      <c r="DV28" s="151">
        <v>34984</v>
      </c>
      <c r="DW28" s="151">
        <v>32838</v>
      </c>
      <c r="DX28" s="151">
        <v>37563</v>
      </c>
      <c r="DY28" s="151">
        <v>35754</v>
      </c>
      <c r="DZ28" s="241">
        <v>39635</v>
      </c>
      <c r="EA28" s="241">
        <f t="shared" si="40"/>
        <v>533536</v>
      </c>
      <c r="EB28" s="151">
        <v>109286</v>
      </c>
      <c r="EC28" s="151">
        <v>59318</v>
      </c>
      <c r="ED28" s="151">
        <v>37340</v>
      </c>
      <c r="EE28" s="151">
        <v>36106</v>
      </c>
      <c r="EF28" s="151">
        <v>49941</v>
      </c>
      <c r="EG28" s="151">
        <v>33514</v>
      </c>
      <c r="EH28" s="151">
        <v>34777</v>
      </c>
      <c r="EI28" s="151">
        <v>38536</v>
      </c>
      <c r="EJ28" s="151">
        <v>36416</v>
      </c>
      <c r="EK28" s="151">
        <v>36499</v>
      </c>
      <c r="EL28" s="151">
        <v>35931</v>
      </c>
      <c r="EM28" s="241">
        <v>30271</v>
      </c>
      <c r="EN28" s="241">
        <f t="shared" si="42"/>
        <v>537935</v>
      </c>
      <c r="EO28" s="151">
        <v>82336</v>
      </c>
      <c r="EP28" s="151">
        <v>56172</v>
      </c>
      <c r="EQ28" s="151">
        <v>61608</v>
      </c>
      <c r="ER28" s="151">
        <v>34862</v>
      </c>
      <c r="ES28" s="151">
        <v>53405</v>
      </c>
      <c r="ET28" s="151">
        <v>47197</v>
      </c>
      <c r="EU28" s="151">
        <v>44562</v>
      </c>
      <c r="EV28" s="950">
        <v>38641</v>
      </c>
      <c r="EW28" s="151"/>
      <c r="EX28" s="151"/>
      <c r="EY28" s="151"/>
      <c r="EZ28" s="241"/>
      <c r="FA28" s="241">
        <f t="shared" si="44"/>
        <v>418783</v>
      </c>
      <c r="FC28" s="184">
        <f t="shared" si="45"/>
        <v>0.272472493253062</v>
      </c>
      <c r="FD28" s="184">
        <f t="shared" si="46"/>
        <v>5.0060428566413684</v>
      </c>
      <c r="FE28" s="161">
        <f t="shared" si="48"/>
        <v>398818</v>
      </c>
      <c r="FF28" s="161">
        <f t="shared" si="47"/>
        <v>418783</v>
      </c>
    </row>
    <row r="29" spans="1:162" ht="15" customHeight="1" x14ac:dyDescent="0.25">
      <c r="A29" s="402" t="s">
        <v>385</v>
      </c>
      <c r="B29" s="151">
        <v>2027</v>
      </c>
      <c r="C29" s="151">
        <v>1835</v>
      </c>
      <c r="D29" s="151">
        <v>2018</v>
      </c>
      <c r="E29" s="151">
        <v>1383</v>
      </c>
      <c r="F29" s="151">
        <v>1300</v>
      </c>
      <c r="G29" s="151">
        <v>1586</v>
      </c>
      <c r="H29" s="151">
        <v>2096</v>
      </c>
      <c r="I29" s="151">
        <v>1906</v>
      </c>
      <c r="J29" s="151">
        <v>1731</v>
      </c>
      <c r="K29" s="151">
        <v>1905</v>
      </c>
      <c r="L29" s="151">
        <v>1723</v>
      </c>
      <c r="M29" s="241">
        <v>1966</v>
      </c>
      <c r="N29" s="241">
        <f>SUM(B29:M29)</f>
        <v>21476</v>
      </c>
      <c r="O29" s="151">
        <v>3113</v>
      </c>
      <c r="P29" s="151">
        <v>2656</v>
      </c>
      <c r="Q29" s="151">
        <v>2248</v>
      </c>
      <c r="R29" s="151">
        <v>1966</v>
      </c>
      <c r="S29" s="151">
        <v>1303</v>
      </c>
      <c r="T29" s="151">
        <v>1771</v>
      </c>
      <c r="U29" s="151">
        <v>1841</v>
      </c>
      <c r="V29" s="151">
        <v>2664</v>
      </c>
      <c r="W29" s="151">
        <v>2800</v>
      </c>
      <c r="X29" s="151">
        <v>1666</v>
      </c>
      <c r="Y29" s="151">
        <v>1763</v>
      </c>
      <c r="Z29" s="241">
        <v>2297</v>
      </c>
      <c r="AA29" s="241">
        <f>SUM(O29:Z29)</f>
        <v>26088</v>
      </c>
      <c r="AB29" s="151">
        <v>2898</v>
      </c>
      <c r="AC29" s="151">
        <v>2259</v>
      </c>
      <c r="AD29" s="151">
        <v>2883</v>
      </c>
      <c r="AE29" s="151">
        <v>1463</v>
      </c>
      <c r="AF29" s="151">
        <v>1864</v>
      </c>
      <c r="AG29" s="151">
        <v>1728</v>
      </c>
      <c r="AH29" s="151">
        <v>1701</v>
      </c>
      <c r="AI29" s="151">
        <v>2034</v>
      </c>
      <c r="AJ29" s="151">
        <v>1950</v>
      </c>
      <c r="AK29" s="151">
        <v>1992</v>
      </c>
      <c r="AL29" s="151">
        <v>1763</v>
      </c>
      <c r="AM29" s="241">
        <v>2047</v>
      </c>
      <c r="AN29" s="241">
        <f>SUM(AB29:AM29)</f>
        <v>24582</v>
      </c>
      <c r="AO29" s="151">
        <v>2516</v>
      </c>
      <c r="AP29" s="151">
        <v>2755</v>
      </c>
      <c r="AQ29" s="151">
        <v>2317</v>
      </c>
      <c r="AR29" s="151">
        <v>1977</v>
      </c>
      <c r="AS29" s="151">
        <v>1642</v>
      </c>
      <c r="AT29" s="151">
        <v>2348</v>
      </c>
      <c r="AU29" s="151">
        <v>1776</v>
      </c>
      <c r="AV29" s="151">
        <v>1900</v>
      </c>
      <c r="AW29" s="151">
        <v>2155</v>
      </c>
      <c r="AX29" s="151">
        <v>1683</v>
      </c>
      <c r="AY29" s="151">
        <v>1341</v>
      </c>
      <c r="AZ29" s="241">
        <v>1954</v>
      </c>
      <c r="BA29" s="241">
        <f>SUM(AO29:AZ29)</f>
        <v>24364</v>
      </c>
      <c r="BB29" s="151">
        <v>1486</v>
      </c>
      <c r="BC29" s="151">
        <v>2558</v>
      </c>
      <c r="BD29" s="151">
        <v>2290</v>
      </c>
      <c r="BE29" s="151">
        <v>2545</v>
      </c>
      <c r="BF29" s="151">
        <v>2761</v>
      </c>
      <c r="BG29" s="151">
        <v>1765</v>
      </c>
      <c r="BH29" s="151">
        <v>2389</v>
      </c>
      <c r="BI29" s="151">
        <v>2594</v>
      </c>
      <c r="BJ29" s="151">
        <v>2515</v>
      </c>
      <c r="BK29" s="151">
        <v>2366</v>
      </c>
      <c r="BL29" s="151">
        <v>1967</v>
      </c>
      <c r="BM29" s="241">
        <v>2674</v>
      </c>
      <c r="BN29" s="241">
        <f>SUM(BB29:BM29)</f>
        <v>27910</v>
      </c>
      <c r="BO29" s="151">
        <v>4234</v>
      </c>
      <c r="BP29" s="151">
        <v>3387</v>
      </c>
      <c r="BQ29" s="151">
        <v>1491</v>
      </c>
      <c r="BR29" s="151">
        <v>193</v>
      </c>
      <c r="BS29" s="151">
        <v>230</v>
      </c>
      <c r="BT29" s="151">
        <v>1337</v>
      </c>
      <c r="BU29" s="151">
        <v>3152</v>
      </c>
      <c r="BV29" s="151">
        <v>2585</v>
      </c>
      <c r="BW29" s="151">
        <v>2408</v>
      </c>
      <c r="BX29" s="151">
        <v>2617</v>
      </c>
      <c r="BY29" s="151">
        <v>2423</v>
      </c>
      <c r="BZ29" s="241">
        <v>2687</v>
      </c>
      <c r="CA29" s="241">
        <f t="shared" si="32"/>
        <v>26744</v>
      </c>
      <c r="CB29" s="151">
        <v>2777</v>
      </c>
      <c r="CC29" s="151">
        <v>8026</v>
      </c>
      <c r="CD29" s="151">
        <v>3297</v>
      </c>
      <c r="CE29" s="151">
        <v>2147</v>
      </c>
      <c r="CF29" s="151">
        <v>2527</v>
      </c>
      <c r="CG29" s="151">
        <v>2188</v>
      </c>
      <c r="CH29" s="151">
        <v>2720</v>
      </c>
      <c r="CI29" s="151">
        <v>2976</v>
      </c>
      <c r="CJ29" s="151">
        <v>3287</v>
      </c>
      <c r="CK29" s="151">
        <v>2592</v>
      </c>
      <c r="CL29" s="151">
        <v>2824</v>
      </c>
      <c r="CM29" s="241">
        <v>2942</v>
      </c>
      <c r="CN29" s="241">
        <f t="shared" si="34"/>
        <v>38303</v>
      </c>
      <c r="CO29" s="151">
        <v>8491</v>
      </c>
      <c r="CP29" s="151">
        <v>4656</v>
      </c>
      <c r="CQ29" s="151">
        <v>3677</v>
      </c>
      <c r="CR29" s="151">
        <v>1842</v>
      </c>
      <c r="CS29" s="151">
        <v>2344</v>
      </c>
      <c r="CT29" s="151">
        <v>2039</v>
      </c>
      <c r="CU29" s="151">
        <v>2249</v>
      </c>
      <c r="CV29" s="151">
        <v>2082</v>
      </c>
      <c r="CW29" s="151">
        <v>2722</v>
      </c>
      <c r="CX29" s="151">
        <v>2599</v>
      </c>
      <c r="CY29" s="151">
        <v>2079</v>
      </c>
      <c r="CZ29" s="241">
        <v>1708</v>
      </c>
      <c r="DA29" s="241">
        <f t="shared" si="36"/>
        <v>36488</v>
      </c>
      <c r="DB29" s="151">
        <v>4838</v>
      </c>
      <c r="DC29" s="151">
        <v>3506</v>
      </c>
      <c r="DD29" s="151">
        <v>4201</v>
      </c>
      <c r="DE29" s="151">
        <v>2330</v>
      </c>
      <c r="DF29" s="151">
        <v>2569</v>
      </c>
      <c r="DG29" s="151">
        <v>2263</v>
      </c>
      <c r="DH29" s="151">
        <v>2267</v>
      </c>
      <c r="DI29" s="151">
        <v>2934</v>
      </c>
      <c r="DJ29" s="151">
        <v>2085</v>
      </c>
      <c r="DK29" s="151">
        <v>2144</v>
      </c>
      <c r="DL29" s="151">
        <v>2772</v>
      </c>
      <c r="DM29" s="241">
        <v>2494</v>
      </c>
      <c r="DN29" s="241">
        <f>SUM(DB29:DM29)</f>
        <v>34403</v>
      </c>
      <c r="DO29" s="151">
        <v>4538</v>
      </c>
      <c r="DP29" s="151">
        <v>3286</v>
      </c>
      <c r="DQ29" s="151">
        <v>2468</v>
      </c>
      <c r="DR29" s="151">
        <v>2555</v>
      </c>
      <c r="DS29" s="151">
        <v>2486</v>
      </c>
      <c r="DT29" s="151">
        <v>2137</v>
      </c>
      <c r="DU29" s="151">
        <v>2325</v>
      </c>
      <c r="DV29" s="151">
        <v>2585</v>
      </c>
      <c r="DW29" s="151">
        <v>2912</v>
      </c>
      <c r="DX29" s="151">
        <v>2443</v>
      </c>
      <c r="DY29" s="151">
        <v>2329</v>
      </c>
      <c r="DZ29" s="241">
        <v>2177</v>
      </c>
      <c r="EA29" s="241">
        <f t="shared" si="40"/>
        <v>32241</v>
      </c>
      <c r="EB29" s="151">
        <v>4767</v>
      </c>
      <c r="EC29" s="151">
        <v>3047</v>
      </c>
      <c r="ED29" s="151">
        <v>3081</v>
      </c>
      <c r="EE29" s="151">
        <v>2889</v>
      </c>
      <c r="EF29" s="151">
        <v>2866</v>
      </c>
      <c r="EG29" s="151">
        <v>2488</v>
      </c>
      <c r="EH29" s="151">
        <v>2860</v>
      </c>
      <c r="EI29" s="151">
        <v>2806</v>
      </c>
      <c r="EJ29" s="151">
        <v>3055</v>
      </c>
      <c r="EK29" s="151">
        <v>2723</v>
      </c>
      <c r="EL29" s="151">
        <v>2516</v>
      </c>
      <c r="EM29" s="241">
        <v>3581</v>
      </c>
      <c r="EN29" s="241">
        <f t="shared" si="42"/>
        <v>36679</v>
      </c>
      <c r="EO29" s="151">
        <v>7586</v>
      </c>
      <c r="EP29" s="151">
        <v>4197</v>
      </c>
      <c r="EQ29" s="151">
        <v>3233</v>
      </c>
      <c r="ER29" s="151">
        <v>2365</v>
      </c>
      <c r="ES29" s="151">
        <v>2579</v>
      </c>
      <c r="ET29" s="151">
        <v>2524</v>
      </c>
      <c r="EU29" s="151">
        <v>2360</v>
      </c>
      <c r="EV29" s="950">
        <v>2148</v>
      </c>
      <c r="EW29" s="151"/>
      <c r="EX29" s="151"/>
      <c r="EY29" s="151"/>
      <c r="EZ29" s="241"/>
      <c r="FA29" s="241">
        <f t="shared" si="44"/>
        <v>26992</v>
      </c>
      <c r="FC29" s="184">
        <f t="shared" si="45"/>
        <v>-23.449750534568782</v>
      </c>
      <c r="FD29" s="184">
        <f t="shared" si="46"/>
        <v>8.8211578777616531</v>
      </c>
      <c r="FE29" s="161">
        <f t="shared" si="48"/>
        <v>24804</v>
      </c>
      <c r="FF29" s="161">
        <f t="shared" si="47"/>
        <v>26992</v>
      </c>
    </row>
    <row r="30" spans="1:162" ht="15" customHeight="1" x14ac:dyDescent="0.25">
      <c r="A30" s="402" t="s">
        <v>428</v>
      </c>
      <c r="B30" s="151">
        <v>238</v>
      </c>
      <c r="C30" s="151">
        <v>1000</v>
      </c>
      <c r="D30" s="151">
        <v>3351</v>
      </c>
      <c r="E30" s="151">
        <v>-164</v>
      </c>
      <c r="F30" s="151">
        <v>1870</v>
      </c>
      <c r="G30" s="151"/>
      <c r="H30" s="151">
        <v>4099</v>
      </c>
      <c r="I30" s="151"/>
      <c r="J30" s="151"/>
      <c r="K30" s="151">
        <v>2650</v>
      </c>
      <c r="L30" s="151"/>
      <c r="M30" s="241">
        <v>-3218</v>
      </c>
      <c r="N30" s="241">
        <f>SUM(B30:M30)</f>
        <v>9826</v>
      </c>
      <c r="O30" s="151">
        <v>1938</v>
      </c>
      <c r="P30" s="151"/>
      <c r="Q30" s="151"/>
      <c r="R30" s="151"/>
      <c r="S30" s="151">
        <v>6200</v>
      </c>
      <c r="T30" s="151">
        <v>2952</v>
      </c>
      <c r="U30" s="151">
        <v>16974</v>
      </c>
      <c r="V30" s="151">
        <v>7676</v>
      </c>
      <c r="W30" s="151">
        <v>13352</v>
      </c>
      <c r="X30" s="151">
        <v>31784</v>
      </c>
      <c r="Y30" s="151">
        <v>19386</v>
      </c>
      <c r="Z30" s="241">
        <v>1799</v>
      </c>
      <c r="AA30" s="241">
        <f>SUM(O30:Z30)</f>
        <v>102061</v>
      </c>
      <c r="AB30" s="151">
        <v>19088</v>
      </c>
      <c r="AC30" s="151"/>
      <c r="AD30" s="151">
        <v>41765</v>
      </c>
      <c r="AE30" s="151">
        <v>8502</v>
      </c>
      <c r="AF30" s="151">
        <v>3709</v>
      </c>
      <c r="AG30" s="151">
        <v>3476</v>
      </c>
      <c r="AH30" s="151">
        <v>11237</v>
      </c>
      <c r="AI30" s="151">
        <v>630</v>
      </c>
      <c r="AJ30" s="151">
        <v>1174</v>
      </c>
      <c r="AK30" s="151">
        <v>408</v>
      </c>
      <c r="AL30" s="151">
        <v>390</v>
      </c>
      <c r="AM30" s="241">
        <v>22920</v>
      </c>
      <c r="AN30" s="241">
        <f>SUM(AB30:AM30)</f>
        <v>113299</v>
      </c>
      <c r="AO30" s="151">
        <v>22964</v>
      </c>
      <c r="AP30" s="151">
        <v>4842</v>
      </c>
      <c r="AQ30" s="151">
        <v>24869</v>
      </c>
      <c r="AR30" s="151">
        <v>8855</v>
      </c>
      <c r="AS30" s="151">
        <v>500</v>
      </c>
      <c r="AT30" s="151">
        <v>9711</v>
      </c>
      <c r="AU30" s="151">
        <v>-519</v>
      </c>
      <c r="AV30" s="151">
        <v>17306</v>
      </c>
      <c r="AW30" s="151">
        <v>17357</v>
      </c>
      <c r="AX30" s="151">
        <v>-13</v>
      </c>
      <c r="AY30" s="151">
        <v>13301</v>
      </c>
      <c r="AZ30" s="241">
        <v>879</v>
      </c>
      <c r="BA30" s="241">
        <f>SUM(AO30:AZ30)</f>
        <v>120052</v>
      </c>
      <c r="BB30" s="151">
        <v>890</v>
      </c>
      <c r="BC30" s="151">
        <v>14658</v>
      </c>
      <c r="BD30" s="151">
        <v>57906</v>
      </c>
      <c r="BE30" s="151">
        <v>5572</v>
      </c>
      <c r="BF30" s="151">
        <v>2000</v>
      </c>
      <c r="BG30" s="151">
        <v>7199</v>
      </c>
      <c r="BH30" s="151">
        <v>1338</v>
      </c>
      <c r="BI30" s="151">
        <v>4581</v>
      </c>
      <c r="BJ30" s="151">
        <v>1584</v>
      </c>
      <c r="BK30" s="151">
        <v>1872</v>
      </c>
      <c r="BL30" s="151">
        <v>484</v>
      </c>
      <c r="BM30" s="241">
        <v>5538</v>
      </c>
      <c r="BN30" s="241">
        <f>SUM(BB30:BM30)</f>
        <v>103622</v>
      </c>
      <c r="BO30" s="151">
        <v>24775</v>
      </c>
      <c r="BP30" s="151">
        <v>3737</v>
      </c>
      <c r="BQ30" s="151">
        <v>3123</v>
      </c>
      <c r="BR30" s="151"/>
      <c r="BS30" s="151">
        <v>565</v>
      </c>
      <c r="BT30" s="151"/>
      <c r="BU30" s="151">
        <v>98163</v>
      </c>
      <c r="BV30" s="151">
        <v>5902</v>
      </c>
      <c r="BW30" s="151">
        <v>46682</v>
      </c>
      <c r="BX30" s="151">
        <v>-105</v>
      </c>
      <c r="BY30" s="151">
        <v>1032</v>
      </c>
      <c r="BZ30" s="241">
        <v>-31351</v>
      </c>
      <c r="CA30" s="241">
        <f t="shared" si="32"/>
        <v>152523</v>
      </c>
      <c r="CB30" s="151">
        <v>12078</v>
      </c>
      <c r="CC30" s="151">
        <v>25694</v>
      </c>
      <c r="CD30" s="151">
        <v>7468</v>
      </c>
      <c r="CE30" s="151">
        <v>2024</v>
      </c>
      <c r="CF30" s="151">
        <v>9440</v>
      </c>
      <c r="CG30" s="151">
        <v>5323</v>
      </c>
      <c r="CH30" s="151">
        <v>3890</v>
      </c>
      <c r="CI30" s="151">
        <v>4145</v>
      </c>
      <c r="CJ30" s="151">
        <v>4778</v>
      </c>
      <c r="CK30" s="151">
        <v>4925</v>
      </c>
      <c r="CL30" s="151">
        <v>3967</v>
      </c>
      <c r="CM30" s="241">
        <v>7581</v>
      </c>
      <c r="CN30" s="241">
        <f t="shared" si="34"/>
        <v>91313</v>
      </c>
      <c r="CO30" s="151">
        <v>1726</v>
      </c>
      <c r="CP30" s="151">
        <v>4273</v>
      </c>
      <c r="CQ30" s="151">
        <v>1986</v>
      </c>
      <c r="CR30" s="151">
        <v>540</v>
      </c>
      <c r="CS30" s="151">
        <v>-362</v>
      </c>
      <c r="CT30" s="151">
        <v>-2674</v>
      </c>
      <c r="CU30" s="151">
        <v>44</v>
      </c>
      <c r="CV30" s="151">
        <v>2823</v>
      </c>
      <c r="CW30" s="151">
        <v>75</v>
      </c>
      <c r="CX30" s="151">
        <v>12383</v>
      </c>
      <c r="CY30" s="151">
        <v>2988</v>
      </c>
      <c r="CZ30" s="241">
        <v>820</v>
      </c>
      <c r="DA30" s="241">
        <f t="shared" si="36"/>
        <v>24622</v>
      </c>
      <c r="DB30" s="151">
        <v>2014</v>
      </c>
      <c r="DC30" s="151">
        <v>999</v>
      </c>
      <c r="DD30" s="151">
        <v>11765</v>
      </c>
      <c r="DE30" s="151">
        <v>1366</v>
      </c>
      <c r="DF30" s="151"/>
      <c r="DG30" s="151"/>
      <c r="DH30" s="151"/>
      <c r="DI30" s="151">
        <v>2759</v>
      </c>
      <c r="DJ30" s="151">
        <v>1</v>
      </c>
      <c r="DK30" s="151">
        <v>-11934</v>
      </c>
      <c r="DL30" s="151">
        <v>1487</v>
      </c>
      <c r="DM30" s="241">
        <v>-959</v>
      </c>
      <c r="DN30" s="241">
        <f>SUM(DB30:DM30)</f>
        <v>7498</v>
      </c>
      <c r="DO30" s="151">
        <v>7</v>
      </c>
      <c r="DP30" s="151">
        <v>1</v>
      </c>
      <c r="DQ30" s="151">
        <v>62</v>
      </c>
      <c r="DR30" s="151">
        <v>1775</v>
      </c>
      <c r="DS30" s="151"/>
      <c r="DT30" s="151"/>
      <c r="DU30" s="151"/>
      <c r="DV30" s="151"/>
      <c r="DW30" s="151"/>
      <c r="DX30" s="151"/>
      <c r="DY30" s="151"/>
      <c r="DZ30" s="241"/>
      <c r="EA30" s="241">
        <f t="shared" si="40"/>
        <v>1845</v>
      </c>
      <c r="EB30" s="151">
        <v>143</v>
      </c>
      <c r="EC30" s="151">
        <v>275</v>
      </c>
      <c r="ED30" s="151">
        <v>29</v>
      </c>
      <c r="EE30" s="151">
        <v>4</v>
      </c>
      <c r="EF30" s="151">
        <v>2032</v>
      </c>
      <c r="EG30" s="151">
        <v>0</v>
      </c>
      <c r="EH30" s="151">
        <v>-62</v>
      </c>
      <c r="EI30" s="151">
        <v>7245</v>
      </c>
      <c r="EJ30" s="151">
        <v>0</v>
      </c>
      <c r="EK30" s="151">
        <v>12225</v>
      </c>
      <c r="EL30" s="151">
        <v>159</v>
      </c>
      <c r="EM30" s="241">
        <v>2008</v>
      </c>
      <c r="EN30" s="241">
        <f t="shared" si="42"/>
        <v>24058</v>
      </c>
      <c r="EO30" s="151">
        <v>999</v>
      </c>
      <c r="EP30" s="151">
        <v>0</v>
      </c>
      <c r="EQ30" s="151">
        <v>9054</v>
      </c>
      <c r="ER30" s="151">
        <v>0</v>
      </c>
      <c r="ES30" s="151">
        <v>1045</v>
      </c>
      <c r="ET30" s="151">
        <v>296</v>
      </c>
      <c r="EU30" s="151">
        <v>934</v>
      </c>
      <c r="EV30" s="950">
        <v>491</v>
      </c>
      <c r="EW30" s="151"/>
      <c r="EX30" s="151"/>
      <c r="EY30" s="151"/>
      <c r="EZ30" s="241"/>
      <c r="FA30" s="241">
        <f t="shared" si="44"/>
        <v>12819</v>
      </c>
      <c r="FC30" s="184">
        <f t="shared" si="45"/>
        <v>-93.222912353347127</v>
      </c>
      <c r="FD30" s="184">
        <f t="shared" si="46"/>
        <v>32.619490999379266</v>
      </c>
      <c r="FE30" s="161">
        <f>SUMIFS($B30:$FA30,$B$5:$FA$5,"&gt;="&amp;DATE(YEAR($FC$5)-1,1,1),$B$5:$FA$5,"&lt;="&amp;DATE(YEAR($FC$5)-1,MONTH($FC$5),1))</f>
        <v>9666</v>
      </c>
      <c r="FF30" s="161">
        <f>SUMIFS($B30:$FA30,$B$5:$FA$5,"&gt;="&amp;DATE(YEAR($FC$5),1,1),$B$5:$FA$5,"&lt;="&amp;$FC$5)</f>
        <v>12819</v>
      </c>
    </row>
    <row r="31" spans="1:162" ht="15" customHeight="1" x14ac:dyDescent="0.25">
      <c r="A31" s="402" t="s">
        <v>299</v>
      </c>
      <c r="B31" s="151">
        <v>926</v>
      </c>
      <c r="C31" s="151">
        <v>1059</v>
      </c>
      <c r="D31" s="151">
        <v>1709</v>
      </c>
      <c r="E31" s="151">
        <v>1664</v>
      </c>
      <c r="F31" s="151">
        <v>8016</v>
      </c>
      <c r="G31" s="151">
        <v>4012</v>
      </c>
      <c r="H31" s="151">
        <v>2050</v>
      </c>
      <c r="I31" s="151">
        <v>30</v>
      </c>
      <c r="J31" s="151">
        <v>351</v>
      </c>
      <c r="K31" s="151"/>
      <c r="L31" s="151">
        <v>283</v>
      </c>
      <c r="M31" s="241">
        <v>2087</v>
      </c>
      <c r="N31" s="241">
        <f>SUM(B31:M31)</f>
        <v>22187</v>
      </c>
      <c r="O31" s="151">
        <v>3411</v>
      </c>
      <c r="P31" s="151">
        <v>1717</v>
      </c>
      <c r="Q31" s="151">
        <v>945</v>
      </c>
      <c r="R31" s="151">
        <v>23</v>
      </c>
      <c r="S31" s="151">
        <v>-78</v>
      </c>
      <c r="T31" s="151">
        <v>1936</v>
      </c>
      <c r="U31" s="151">
        <v>1000</v>
      </c>
      <c r="V31" s="151">
        <v>1515</v>
      </c>
      <c r="W31" s="151">
        <v>40</v>
      </c>
      <c r="X31" s="151">
        <v>1964</v>
      </c>
      <c r="Y31" s="151">
        <v>352</v>
      </c>
      <c r="Z31" s="241">
        <v>-27</v>
      </c>
      <c r="AA31" s="241">
        <f>SUM(O31:Z31)</f>
        <v>12798</v>
      </c>
      <c r="AB31" s="151">
        <v>4169</v>
      </c>
      <c r="AC31" s="151">
        <v>1000</v>
      </c>
      <c r="AD31" s="151">
        <v>1548</v>
      </c>
      <c r="AE31" s="151">
        <v>120</v>
      </c>
      <c r="AF31" s="151">
        <v>500</v>
      </c>
      <c r="AG31" s="151"/>
      <c r="AH31" s="151">
        <v>500</v>
      </c>
      <c r="AI31" s="151">
        <v>160</v>
      </c>
      <c r="AJ31" s="151">
        <v>-121</v>
      </c>
      <c r="AK31" s="151">
        <v>-100</v>
      </c>
      <c r="AL31" s="151">
        <v>1167</v>
      </c>
      <c r="AM31" s="241">
        <v>5127</v>
      </c>
      <c r="AN31" s="241">
        <f>SUM(AB31:AM31)</f>
        <v>14070</v>
      </c>
      <c r="AO31" s="151">
        <v>6507</v>
      </c>
      <c r="AP31" s="151">
        <v>48</v>
      </c>
      <c r="AQ31" s="151">
        <v>1</v>
      </c>
      <c r="AR31" s="151">
        <v>2422</v>
      </c>
      <c r="AS31" s="151"/>
      <c r="AT31" s="151">
        <v>694</v>
      </c>
      <c r="AU31" s="151">
        <v>659</v>
      </c>
      <c r="AV31" s="151"/>
      <c r="AW31" s="151"/>
      <c r="AX31" s="151">
        <v>1350</v>
      </c>
      <c r="AY31" s="151"/>
      <c r="AZ31" s="241">
        <v>-674</v>
      </c>
      <c r="BA31" s="241">
        <f>SUM(AO31:AZ31)</f>
        <v>11007</v>
      </c>
      <c r="BB31" s="151">
        <v>1457</v>
      </c>
      <c r="BC31" s="151">
        <v>59</v>
      </c>
      <c r="BD31" s="151">
        <v>163</v>
      </c>
      <c r="BE31" s="151"/>
      <c r="BF31" s="151">
        <v>475</v>
      </c>
      <c r="BG31" s="151">
        <v>1981</v>
      </c>
      <c r="BH31" s="151"/>
      <c r="BI31" s="151">
        <v>675</v>
      </c>
      <c r="BJ31" s="151">
        <v>526</v>
      </c>
      <c r="BK31" s="151">
        <v>1211</v>
      </c>
      <c r="BL31" s="151">
        <v>222</v>
      </c>
      <c r="BM31" s="241">
        <v>-210</v>
      </c>
      <c r="BN31" s="241">
        <f>SUM(BB31:BM31)</f>
        <v>6559</v>
      </c>
      <c r="BO31" s="151">
        <v>336</v>
      </c>
      <c r="BP31" s="151">
        <v>1636</v>
      </c>
      <c r="BQ31" s="151">
        <v>258</v>
      </c>
      <c r="BR31" s="151">
        <v>377</v>
      </c>
      <c r="BS31" s="151"/>
      <c r="BT31" s="151">
        <v>590</v>
      </c>
      <c r="BU31" s="151">
        <v>1645</v>
      </c>
      <c r="BV31" s="151">
        <v>907</v>
      </c>
      <c r="BW31" s="151">
        <v>313</v>
      </c>
      <c r="BX31" s="151">
        <v>180</v>
      </c>
      <c r="BY31" s="151">
        <v>1402</v>
      </c>
      <c r="BZ31" s="241">
        <v>200</v>
      </c>
      <c r="CA31" s="241">
        <f t="shared" si="32"/>
        <v>7844</v>
      </c>
      <c r="CB31" s="151">
        <v>1793</v>
      </c>
      <c r="CC31" s="151">
        <v>554</v>
      </c>
      <c r="CD31" s="151">
        <v>572</v>
      </c>
      <c r="CE31" s="151">
        <v>1161</v>
      </c>
      <c r="CF31" s="151">
        <v>529</v>
      </c>
      <c r="CG31" s="151">
        <v>279</v>
      </c>
      <c r="CH31" s="151"/>
      <c r="CI31" s="151">
        <v>544</v>
      </c>
      <c r="CJ31" s="151">
        <v>2166</v>
      </c>
      <c r="CK31" s="151">
        <v>-50</v>
      </c>
      <c r="CL31" s="151"/>
      <c r="CM31" s="241">
        <v>334</v>
      </c>
      <c r="CN31" s="241">
        <f t="shared" si="34"/>
        <v>7882</v>
      </c>
      <c r="CO31" s="151">
        <v>1314</v>
      </c>
      <c r="CP31" s="151">
        <v>1155</v>
      </c>
      <c r="CQ31" s="151">
        <v>2315</v>
      </c>
      <c r="CR31" s="151">
        <v>448</v>
      </c>
      <c r="CS31" s="151">
        <v>2082</v>
      </c>
      <c r="CT31" s="151">
        <v>1447</v>
      </c>
      <c r="CU31" s="151">
        <v>26</v>
      </c>
      <c r="CV31" s="151">
        <v>372</v>
      </c>
      <c r="CW31" s="151">
        <v>23</v>
      </c>
      <c r="CX31" s="151">
        <v>201</v>
      </c>
      <c r="CY31" s="151">
        <v>303</v>
      </c>
      <c r="CZ31" s="241">
        <v>7760</v>
      </c>
      <c r="DA31" s="241">
        <f>SUM(CO31:CZ31)</f>
        <v>17446</v>
      </c>
      <c r="DB31" s="151">
        <v>1163</v>
      </c>
      <c r="DC31" s="151"/>
      <c r="DD31" s="151">
        <v>2860</v>
      </c>
      <c r="DE31" s="151">
        <v>2854</v>
      </c>
      <c r="DF31" s="151">
        <v>778</v>
      </c>
      <c r="DG31" s="151">
        <v>291</v>
      </c>
      <c r="DH31" s="151">
        <v>-35</v>
      </c>
      <c r="DI31" s="151">
        <v>1762</v>
      </c>
      <c r="DJ31" s="151">
        <v>900</v>
      </c>
      <c r="DK31" s="151">
        <v>853</v>
      </c>
      <c r="DL31" s="151">
        <v>1694</v>
      </c>
      <c r="DM31" s="241">
        <v>-4</v>
      </c>
      <c r="DN31" s="241">
        <f>SUM(DB31:DM31)</f>
        <v>13116</v>
      </c>
      <c r="DO31" s="151">
        <v>1522</v>
      </c>
      <c r="DP31" s="151">
        <v>4247</v>
      </c>
      <c r="DQ31" s="151">
        <v>743</v>
      </c>
      <c r="DR31" s="151">
        <v>70</v>
      </c>
      <c r="DS31" s="151">
        <v>-531</v>
      </c>
      <c r="DT31" s="151">
        <v>2019</v>
      </c>
      <c r="DU31" s="151">
        <v>299</v>
      </c>
      <c r="DV31" s="151">
        <v>-1</v>
      </c>
      <c r="DW31" s="151">
        <v>5612</v>
      </c>
      <c r="DX31" s="151">
        <v>523</v>
      </c>
      <c r="DY31" s="151">
        <v>-12</v>
      </c>
      <c r="DZ31" s="241">
        <v>1659</v>
      </c>
      <c r="EA31" s="241">
        <f t="shared" si="40"/>
        <v>16150</v>
      </c>
      <c r="EB31" s="151">
        <v>4293</v>
      </c>
      <c r="EC31" s="151">
        <v>667</v>
      </c>
      <c r="ED31" s="151">
        <v>-8</v>
      </c>
      <c r="EE31" s="151">
        <v>8</v>
      </c>
      <c r="EF31" s="151">
        <v>1184</v>
      </c>
      <c r="EG31" s="151">
        <v>3628</v>
      </c>
      <c r="EH31" s="151">
        <v>3740</v>
      </c>
      <c r="EI31" s="151">
        <v>317</v>
      </c>
      <c r="EJ31" s="151">
        <v>1252</v>
      </c>
      <c r="EK31" s="151">
        <v>2231</v>
      </c>
      <c r="EL31" s="151">
        <v>-157</v>
      </c>
      <c r="EM31" s="241">
        <v>4446</v>
      </c>
      <c r="EN31" s="241">
        <f>SUM(EB31:EM31)</f>
        <v>21601</v>
      </c>
      <c r="EO31" s="151">
        <v>3138</v>
      </c>
      <c r="EP31" s="151">
        <v>-200</v>
      </c>
      <c r="EQ31" s="151">
        <v>-41</v>
      </c>
      <c r="ER31" s="151">
        <v>12253</v>
      </c>
      <c r="ES31" s="151">
        <v>-642</v>
      </c>
      <c r="ET31" s="151">
        <v>1581</v>
      </c>
      <c r="EU31" s="151">
        <v>2785</v>
      </c>
      <c r="EV31" s="950">
        <v>-42</v>
      </c>
      <c r="EW31" s="151"/>
      <c r="EX31" s="151"/>
      <c r="EY31" s="151"/>
      <c r="EZ31" s="241"/>
      <c r="FA31" s="241">
        <f>SUM(EO31:EZ31)</f>
        <v>18832</v>
      </c>
      <c r="FC31" s="184">
        <f t="shared" si="45"/>
        <v>-113.24921135646689</v>
      </c>
      <c r="FD31" s="184">
        <f>IFERROR(((FF31/FE31)-1)*100,"")</f>
        <v>36.177597801721028</v>
      </c>
      <c r="FE31" s="161">
        <f>SUMIFS($B31:$FA31,$B$5:$FA$5,"&gt;="&amp;DATE(YEAR($FC$5)-1,1,1),$B$5:$FA$5,"&lt;="&amp;DATE(YEAR($FC$5)-1,MONTH($FC$5),1))</f>
        <v>13829</v>
      </c>
      <c r="FF31" s="161">
        <f>SUMIFS($B31:$FA31,$B$5:$FA$5,"&gt;="&amp;DATE(YEAR($FC$5),1,1),$B$5:$FA$5,"&lt;="&amp;$FC$5)</f>
        <v>18832</v>
      </c>
    </row>
    <row r="32" spans="1:162" ht="15" customHeight="1" x14ac:dyDescent="0.25">
      <c r="A32" s="414"/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199"/>
      <c r="N32" s="199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199"/>
      <c r="AA32" s="199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199"/>
      <c r="AN32" s="199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199"/>
      <c r="BA32" s="199"/>
      <c r="BB32" s="230"/>
      <c r="BC32" s="230"/>
      <c r="BD32" s="230"/>
      <c r="BE32" s="230"/>
      <c r="BF32" s="230"/>
      <c r="BG32" s="230"/>
      <c r="BH32" s="230"/>
      <c r="BI32" s="230"/>
      <c r="BJ32" s="230"/>
      <c r="BK32" s="230"/>
      <c r="BL32" s="230"/>
      <c r="BM32" s="199"/>
      <c r="BN32" s="199"/>
      <c r="BO32" s="230"/>
      <c r="BP32" s="230"/>
      <c r="BQ32" s="230"/>
      <c r="BR32" s="230"/>
      <c r="BS32" s="230"/>
      <c r="BT32" s="230"/>
      <c r="BU32" s="230"/>
      <c r="BV32" s="230"/>
      <c r="BW32" s="230"/>
      <c r="BX32" s="230"/>
      <c r="BY32" s="230"/>
      <c r="BZ32" s="199"/>
      <c r="CA32" s="199"/>
      <c r="CB32" s="230"/>
      <c r="CC32" s="230"/>
      <c r="CD32" s="230"/>
      <c r="CE32" s="230"/>
      <c r="CF32" s="230"/>
      <c r="CG32" s="230"/>
      <c r="CH32" s="230"/>
      <c r="CI32" s="230"/>
      <c r="CJ32" s="230"/>
      <c r="CK32" s="230"/>
      <c r="CL32" s="230"/>
      <c r="CM32" s="199"/>
      <c r="CN32" s="199"/>
      <c r="CO32" s="230"/>
      <c r="CP32" s="230"/>
      <c r="CQ32" s="230"/>
      <c r="CR32" s="230"/>
      <c r="CS32" s="230"/>
      <c r="CT32" s="230"/>
      <c r="CU32" s="230"/>
      <c r="CV32" s="230"/>
      <c r="CW32" s="230"/>
      <c r="CX32" s="230"/>
      <c r="CY32" s="230"/>
      <c r="CZ32" s="199"/>
      <c r="DA32" s="199"/>
      <c r="DB32" s="230"/>
      <c r="DC32" s="230"/>
      <c r="DD32" s="230"/>
      <c r="DE32" s="230"/>
      <c r="DF32" s="230"/>
      <c r="DG32" s="230"/>
      <c r="DH32" s="230"/>
      <c r="DI32" s="230"/>
      <c r="DJ32" s="230"/>
      <c r="DK32" s="230"/>
      <c r="DL32" s="230"/>
      <c r="DM32" s="199"/>
      <c r="DN32" s="199"/>
      <c r="DO32" s="230"/>
      <c r="DP32" s="230"/>
      <c r="DQ32" s="230"/>
      <c r="DR32" s="230"/>
      <c r="DS32" s="230"/>
      <c r="DT32" s="230"/>
      <c r="DU32" s="230"/>
      <c r="DV32" s="230"/>
      <c r="DW32" s="230"/>
      <c r="DX32" s="230"/>
      <c r="DY32" s="230"/>
      <c r="DZ32" s="199"/>
      <c r="EA32" s="199"/>
      <c r="EB32" s="230"/>
      <c r="EC32" s="230"/>
      <c r="ED32" s="230"/>
      <c r="EE32" s="230"/>
      <c r="EF32" s="230"/>
      <c r="EG32" s="230"/>
      <c r="EH32" s="230"/>
      <c r="EI32" s="230"/>
      <c r="EJ32" s="230"/>
      <c r="EK32" s="230"/>
      <c r="EL32" s="230"/>
      <c r="EM32" s="199"/>
      <c r="EN32" s="199"/>
      <c r="EO32" s="230"/>
      <c r="EP32" s="230"/>
      <c r="EQ32" s="230"/>
      <c r="ER32" s="230"/>
      <c r="ES32" s="230"/>
      <c r="ET32" s="230"/>
      <c r="EU32" s="230"/>
      <c r="EV32" s="953"/>
      <c r="EW32" s="230"/>
      <c r="EX32" s="230"/>
      <c r="EY32" s="230"/>
      <c r="EZ32" s="199"/>
      <c r="FA32" s="199"/>
      <c r="FC32" s="177"/>
      <c r="FD32" s="177"/>
      <c r="FE32" s="232"/>
      <c r="FF32" s="232"/>
    </row>
    <row r="33" spans="1:163" ht="15" customHeight="1" x14ac:dyDescent="0.25">
      <c r="A33" s="415" t="s">
        <v>244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  <c r="AO33" s="160"/>
      <c r="AP33" s="160"/>
      <c r="AQ33" s="160"/>
      <c r="AR33" s="160"/>
      <c r="AS33" s="160"/>
      <c r="AT33" s="160"/>
      <c r="AU33" s="160"/>
      <c r="AV33" s="160"/>
      <c r="AW33" s="160"/>
      <c r="AX33" s="160"/>
      <c r="AY33" s="160"/>
      <c r="AZ33" s="160"/>
      <c r="BA33" s="160"/>
      <c r="BB33" s="160"/>
      <c r="BC33" s="160"/>
      <c r="BD33" s="160"/>
      <c r="BE33" s="160"/>
      <c r="BF33" s="160"/>
      <c r="BG33" s="160"/>
      <c r="BH33" s="160"/>
      <c r="BI33" s="160"/>
      <c r="BJ33" s="160"/>
      <c r="BK33" s="160"/>
      <c r="BL33" s="160"/>
      <c r="BM33" s="160"/>
      <c r="BN33" s="160"/>
      <c r="BO33" s="160"/>
      <c r="BP33" s="160"/>
      <c r="BQ33" s="160"/>
      <c r="BR33" s="160"/>
      <c r="BS33" s="160"/>
      <c r="BT33" s="160"/>
      <c r="BU33" s="160"/>
      <c r="BV33" s="160"/>
      <c r="BW33" s="160"/>
      <c r="BX33" s="160"/>
      <c r="BY33" s="160"/>
      <c r="BZ33" s="160"/>
      <c r="CA33" s="160"/>
      <c r="CB33" s="160"/>
      <c r="CC33" s="160"/>
      <c r="CD33" s="160"/>
      <c r="CE33" s="160"/>
      <c r="CF33" s="160"/>
      <c r="CG33" s="160"/>
      <c r="CH33" s="160"/>
      <c r="CI33" s="160"/>
      <c r="CJ33" s="160"/>
      <c r="CK33" s="160"/>
      <c r="CL33" s="160"/>
      <c r="CM33" s="160"/>
      <c r="CN33" s="160"/>
      <c r="CO33" s="160"/>
      <c r="CP33" s="160"/>
      <c r="CQ33" s="160"/>
      <c r="CR33" s="160"/>
      <c r="CS33" s="160"/>
      <c r="CT33" s="160"/>
      <c r="CU33" s="160"/>
      <c r="CV33" s="160"/>
      <c r="CW33" s="160"/>
      <c r="CX33" s="160"/>
      <c r="CY33" s="160"/>
      <c r="CZ33" s="160"/>
      <c r="DA33" s="160"/>
      <c r="DB33" s="160"/>
      <c r="DC33" s="160"/>
      <c r="DD33" s="160"/>
      <c r="DE33" s="160"/>
      <c r="DF33" s="160"/>
      <c r="DG33" s="160"/>
      <c r="DH33" s="160"/>
      <c r="DI33" s="160"/>
      <c r="DJ33" s="160"/>
      <c r="DK33" s="160"/>
      <c r="DL33" s="160"/>
      <c r="DM33" s="160"/>
      <c r="DN33" s="160"/>
      <c r="DO33" s="160"/>
      <c r="DP33" s="160"/>
      <c r="DQ33" s="160"/>
      <c r="DR33" s="160"/>
      <c r="DS33" s="160"/>
      <c r="DT33" s="160"/>
      <c r="DU33" s="160"/>
      <c r="DV33" s="160"/>
      <c r="DW33" s="160"/>
      <c r="DX33" s="160"/>
      <c r="DY33" s="160"/>
      <c r="DZ33" s="160"/>
      <c r="EA33" s="160"/>
      <c r="EB33" s="160"/>
      <c r="EC33" s="160"/>
      <c r="ED33" s="160"/>
      <c r="EE33" s="160"/>
      <c r="EF33" s="160"/>
      <c r="EG33" s="160"/>
      <c r="EH33" s="160"/>
      <c r="EI33" s="160"/>
      <c r="EJ33" s="160"/>
      <c r="EK33" s="160"/>
      <c r="EL33" s="160"/>
      <c r="EM33" s="160"/>
      <c r="EN33" s="160"/>
      <c r="EO33" s="160"/>
      <c r="EP33" s="160"/>
      <c r="EQ33" s="160"/>
      <c r="ER33" s="160"/>
      <c r="ES33" s="160"/>
      <c r="ET33" s="160"/>
      <c r="EU33" s="160"/>
      <c r="EV33" s="960"/>
      <c r="EW33" s="160"/>
      <c r="EX33" s="160"/>
      <c r="EY33" s="160"/>
      <c r="EZ33" s="160"/>
      <c r="FA33" s="160"/>
      <c r="FC33" s="416"/>
      <c r="FD33" s="416"/>
      <c r="FE33" s="160"/>
      <c r="FF33" s="160"/>
    </row>
    <row r="34" spans="1:163" ht="15" customHeight="1" x14ac:dyDescent="0.25">
      <c r="A34" s="126" t="s">
        <v>145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51"/>
      <c r="DQ34" s="151"/>
      <c r="DR34" s="151"/>
      <c r="DS34" s="151"/>
      <c r="DT34" s="151"/>
      <c r="DU34" s="151"/>
      <c r="DV34" s="151"/>
      <c r="DW34" s="151"/>
      <c r="DX34" s="151"/>
      <c r="DY34" s="151"/>
      <c r="DZ34" s="151"/>
      <c r="EA34" s="151"/>
      <c r="EB34" s="151"/>
      <c r="EC34" s="151"/>
      <c r="ED34" s="151"/>
      <c r="EE34" s="151"/>
      <c r="EF34" s="151"/>
      <c r="EG34" s="151"/>
      <c r="EH34" s="151"/>
      <c r="EI34" s="151"/>
      <c r="EJ34" s="151"/>
      <c r="EK34" s="151"/>
      <c r="EL34" s="151"/>
      <c r="EM34" s="151"/>
      <c r="EN34" s="151"/>
      <c r="EO34" s="151"/>
      <c r="EP34" s="151"/>
      <c r="EQ34" s="151"/>
      <c r="ER34" s="151"/>
      <c r="ES34" s="151"/>
      <c r="ET34" s="151"/>
      <c r="EU34" s="151"/>
      <c r="EV34" s="950"/>
      <c r="EW34" s="151"/>
      <c r="EX34" s="151"/>
      <c r="EY34" s="151"/>
      <c r="EZ34" s="151"/>
      <c r="FA34" s="151"/>
      <c r="FC34" s="417"/>
      <c r="FD34" s="417"/>
      <c r="FE34" s="205"/>
      <c r="FF34" s="205"/>
    </row>
    <row r="35" spans="1:163" ht="15" customHeight="1" x14ac:dyDescent="0.25">
      <c r="A35" s="175"/>
      <c r="O35" s="127">
        <f t="shared" ref="O35:Z35" si="87">O7-O23</f>
        <v>19730</v>
      </c>
      <c r="P35" s="127">
        <f t="shared" si="87"/>
        <v>12674</v>
      </c>
      <c r="Q35" s="127">
        <f t="shared" si="87"/>
        <v>34204</v>
      </c>
      <c r="R35" s="127">
        <f t="shared" si="87"/>
        <v>18490</v>
      </c>
      <c r="S35" s="127">
        <f t="shared" si="87"/>
        <v>24533</v>
      </c>
      <c r="T35" s="127">
        <f t="shared" si="87"/>
        <v>19237</v>
      </c>
      <c r="U35" s="127">
        <f t="shared" si="87"/>
        <v>19726</v>
      </c>
      <c r="V35" s="127">
        <f t="shared" si="87"/>
        <v>20228</v>
      </c>
      <c r="W35" s="127">
        <f t="shared" si="87"/>
        <v>19845</v>
      </c>
      <c r="X35" s="127">
        <f t="shared" si="87"/>
        <v>19298</v>
      </c>
      <c r="Y35" s="127">
        <f t="shared" si="87"/>
        <v>28083</v>
      </c>
      <c r="Z35" s="127">
        <f t="shared" si="87"/>
        <v>19615</v>
      </c>
      <c r="AA35" s="127"/>
      <c r="AB35" s="127">
        <f t="shared" ref="AB35:AM35" si="88">AB7-AB23</f>
        <v>17844</v>
      </c>
      <c r="AC35" s="127">
        <f t="shared" si="88"/>
        <v>13467</v>
      </c>
      <c r="AD35" s="127">
        <f t="shared" si="88"/>
        <v>34031</v>
      </c>
      <c r="AE35" s="127">
        <f t="shared" si="88"/>
        <v>15360</v>
      </c>
      <c r="AF35" s="127">
        <f t="shared" si="88"/>
        <v>27589</v>
      </c>
      <c r="AG35" s="127">
        <f t="shared" si="88"/>
        <v>17599</v>
      </c>
      <c r="AH35" s="127">
        <f t="shared" si="88"/>
        <v>16941</v>
      </c>
      <c r="AI35" s="127">
        <f t="shared" si="88"/>
        <v>21050</v>
      </c>
      <c r="AJ35" s="127">
        <f t="shared" si="88"/>
        <v>20445</v>
      </c>
      <c r="AK35" s="127">
        <f t="shared" si="88"/>
        <v>26948</v>
      </c>
      <c r="AL35" s="127">
        <f t="shared" si="88"/>
        <v>21518</v>
      </c>
      <c r="AM35" s="127">
        <f t="shared" si="88"/>
        <v>24998</v>
      </c>
      <c r="AN35" s="127"/>
      <c r="AO35" s="127">
        <f t="shared" ref="AO35:AZ35" si="89">AO7-AO23</f>
        <v>17807</v>
      </c>
      <c r="AP35" s="127">
        <f t="shared" si="89"/>
        <v>31271</v>
      </c>
      <c r="AQ35" s="127">
        <f t="shared" si="89"/>
        <v>24168</v>
      </c>
      <c r="AR35" s="127">
        <f t="shared" si="89"/>
        <v>35157</v>
      </c>
      <c r="AS35" s="127">
        <f t="shared" si="89"/>
        <v>21685</v>
      </c>
      <c r="AT35" s="127">
        <f t="shared" si="89"/>
        <v>25922</v>
      </c>
      <c r="AU35" s="127">
        <f t="shared" si="89"/>
        <v>21169</v>
      </c>
      <c r="AV35" s="127">
        <f t="shared" si="89"/>
        <v>21773</v>
      </c>
      <c r="AW35" s="127">
        <f t="shared" si="89"/>
        <v>15645</v>
      </c>
      <c r="AX35" s="127">
        <f t="shared" si="89"/>
        <v>37773</v>
      </c>
      <c r="AY35" s="127">
        <f t="shared" si="89"/>
        <v>23695</v>
      </c>
      <c r="AZ35" s="127">
        <f t="shared" si="89"/>
        <v>23916</v>
      </c>
      <c r="BA35" s="127"/>
      <c r="BB35" s="127">
        <f t="shared" ref="BB35:BM35" si="90">BB7-BB23</f>
        <v>16987</v>
      </c>
      <c r="BC35" s="127">
        <f t="shared" si="90"/>
        <v>29125</v>
      </c>
      <c r="BD35" s="127">
        <f t="shared" si="90"/>
        <v>21178</v>
      </c>
      <c r="BE35" s="127">
        <f t="shared" si="90"/>
        <v>18507</v>
      </c>
      <c r="BF35" s="127">
        <f t="shared" si="90"/>
        <v>26394</v>
      </c>
      <c r="BG35" s="127">
        <f t="shared" si="90"/>
        <v>23245</v>
      </c>
      <c r="BH35" s="127">
        <f t="shared" si="90"/>
        <v>21928</v>
      </c>
      <c r="BI35" s="127">
        <f t="shared" si="90"/>
        <v>20634</v>
      </c>
      <c r="BJ35" s="127">
        <f t="shared" si="90"/>
        <v>21689</v>
      </c>
      <c r="BK35" s="127">
        <f t="shared" si="90"/>
        <v>22871</v>
      </c>
      <c r="BL35" s="127">
        <f t="shared" si="90"/>
        <v>21920</v>
      </c>
      <c r="BM35" s="127">
        <f t="shared" si="90"/>
        <v>23924</v>
      </c>
      <c r="BN35" s="127"/>
      <c r="BO35" s="127">
        <f t="shared" ref="BO35:BZ35" si="91">BO7-BO23</f>
        <v>18756</v>
      </c>
      <c r="BP35" s="127">
        <f t="shared" si="91"/>
        <v>10734</v>
      </c>
      <c r="BQ35" s="127">
        <f t="shared" si="91"/>
        <v>39691</v>
      </c>
      <c r="BR35" s="127">
        <f t="shared" si="91"/>
        <v>12656</v>
      </c>
      <c r="BS35" s="127">
        <f t="shared" si="91"/>
        <v>9017</v>
      </c>
      <c r="BT35" s="127">
        <f t="shared" si="91"/>
        <v>21431</v>
      </c>
      <c r="BU35" s="127">
        <f t="shared" si="91"/>
        <v>19446</v>
      </c>
      <c r="BV35" s="127">
        <f t="shared" si="91"/>
        <v>21997</v>
      </c>
      <c r="BW35" s="127">
        <f t="shared" si="91"/>
        <v>26321</v>
      </c>
      <c r="BX35" s="127">
        <f t="shared" si="91"/>
        <v>21218</v>
      </c>
      <c r="BY35" s="127">
        <f t="shared" si="91"/>
        <v>20173</v>
      </c>
      <c r="BZ35" s="127">
        <f t="shared" si="91"/>
        <v>24034</v>
      </c>
      <c r="CA35" s="127"/>
      <c r="CB35" s="127">
        <f t="shared" ref="CB35:CM35" si="92">CB7-CB23</f>
        <v>25874</v>
      </c>
      <c r="CC35" s="127">
        <f t="shared" si="92"/>
        <v>29930</v>
      </c>
      <c r="CD35" s="127">
        <f t="shared" si="92"/>
        <v>26643</v>
      </c>
      <c r="CE35" s="127">
        <f t="shared" si="92"/>
        <v>36758</v>
      </c>
      <c r="CF35" s="127">
        <f t="shared" si="92"/>
        <v>25999</v>
      </c>
      <c r="CG35" s="127">
        <f t="shared" si="92"/>
        <v>28440</v>
      </c>
      <c r="CH35" s="127">
        <f t="shared" si="92"/>
        <v>28143</v>
      </c>
      <c r="CI35" s="127">
        <f t="shared" si="92"/>
        <v>29584</v>
      </c>
      <c r="CJ35" s="127">
        <f t="shared" si="92"/>
        <v>34000</v>
      </c>
      <c r="CK35" s="127">
        <f t="shared" si="92"/>
        <v>36693</v>
      </c>
      <c r="CL35" s="127">
        <f t="shared" si="92"/>
        <v>33544</v>
      </c>
      <c r="CM35" s="127">
        <f t="shared" si="92"/>
        <v>40931</v>
      </c>
      <c r="CN35" s="127"/>
      <c r="CO35" s="127">
        <f t="shared" ref="CO35:CZ35" si="93">CO7-CO23</f>
        <v>38085</v>
      </c>
      <c r="CP35" s="127">
        <f t="shared" si="93"/>
        <v>42612</v>
      </c>
      <c r="CQ35" s="127">
        <f t="shared" si="93"/>
        <v>43668</v>
      </c>
      <c r="CR35" s="127">
        <f t="shared" si="93"/>
        <v>37164</v>
      </c>
      <c r="CS35" s="127">
        <f t="shared" si="93"/>
        <v>53485</v>
      </c>
      <c r="CT35" s="127">
        <f t="shared" si="93"/>
        <v>39506</v>
      </c>
      <c r="CU35" s="127">
        <f t="shared" si="93"/>
        <v>40098</v>
      </c>
      <c r="CV35" s="127">
        <f t="shared" si="93"/>
        <v>36549</v>
      </c>
      <c r="CW35" s="127">
        <f t="shared" si="93"/>
        <v>43600</v>
      </c>
      <c r="CX35" s="127">
        <f t="shared" si="93"/>
        <v>39596</v>
      </c>
      <c r="CY35" s="127">
        <f t="shared" si="93"/>
        <v>32272</v>
      </c>
      <c r="CZ35" s="127">
        <f t="shared" si="93"/>
        <v>44164</v>
      </c>
      <c r="DA35" s="127"/>
      <c r="DB35" s="127">
        <f t="shared" ref="DB35:DM35" si="94">DB7-DB23</f>
        <v>36702</v>
      </c>
      <c r="DC35" s="127">
        <f t="shared" si="94"/>
        <v>44275</v>
      </c>
      <c r="DD35" s="127">
        <f t="shared" si="94"/>
        <v>38487</v>
      </c>
      <c r="DE35" s="127">
        <f t="shared" si="94"/>
        <v>45394</v>
      </c>
      <c r="DF35" s="127">
        <f t="shared" si="94"/>
        <v>47233</v>
      </c>
      <c r="DG35" s="127">
        <f t="shared" si="94"/>
        <v>35560</v>
      </c>
      <c r="DH35" s="127">
        <f t="shared" si="94"/>
        <v>28211</v>
      </c>
      <c r="DI35" s="127">
        <f t="shared" si="94"/>
        <v>38888</v>
      </c>
      <c r="DJ35" s="127">
        <f t="shared" si="94"/>
        <v>30990</v>
      </c>
      <c r="DK35" s="127">
        <f t="shared" si="94"/>
        <v>34862</v>
      </c>
      <c r="DL35" s="127">
        <f t="shared" si="94"/>
        <v>37529</v>
      </c>
      <c r="DM35" s="127">
        <f t="shared" si="94"/>
        <v>33524</v>
      </c>
      <c r="DN35" s="127"/>
      <c r="DO35" s="127">
        <f t="shared" ref="DO35:DZ35" si="95">DO7-DO23</f>
        <v>28308</v>
      </c>
      <c r="DP35" s="127">
        <f t="shared" si="95"/>
        <v>48323</v>
      </c>
      <c r="DQ35" s="127">
        <f t="shared" si="95"/>
        <v>34744</v>
      </c>
      <c r="DR35" s="127">
        <f t="shared" si="95"/>
        <v>32806</v>
      </c>
      <c r="DS35" s="127">
        <f t="shared" si="95"/>
        <v>46241</v>
      </c>
      <c r="DT35" s="127">
        <f t="shared" si="95"/>
        <v>36578</v>
      </c>
      <c r="DU35" s="127">
        <f t="shared" si="95"/>
        <v>35611</v>
      </c>
      <c r="DV35" s="127">
        <f t="shared" si="95"/>
        <v>36860</v>
      </c>
      <c r="DW35" s="127">
        <f t="shared" si="95"/>
        <v>42243</v>
      </c>
      <c r="DX35" s="127">
        <f t="shared" si="95"/>
        <v>40461</v>
      </c>
      <c r="DY35" s="127">
        <f t="shared" si="95"/>
        <v>38014</v>
      </c>
      <c r="DZ35" s="127">
        <f t="shared" si="95"/>
        <v>44029</v>
      </c>
      <c r="EA35" s="127"/>
      <c r="EB35" s="127">
        <f>EB7-EB23</f>
        <v>34766</v>
      </c>
      <c r="EC35" s="127">
        <f>EC7-EC23</f>
        <v>55060</v>
      </c>
      <c r="ED35" s="127">
        <f>ED7-ED23</f>
        <v>39996</v>
      </c>
      <c r="EE35" s="127">
        <f>EE7-EE23</f>
        <v>37521</v>
      </c>
      <c r="EF35" s="127">
        <f>EF7-EF23</f>
        <v>53654</v>
      </c>
      <c r="EG35" s="127">
        <f t="shared" ref="EG35:EM35" si="96">EG7-EG23</f>
        <v>39414</v>
      </c>
      <c r="EH35" s="127">
        <f t="shared" si="96"/>
        <v>41155</v>
      </c>
      <c r="EI35" s="127">
        <f t="shared" si="96"/>
        <v>40205</v>
      </c>
      <c r="EJ35" s="127">
        <f t="shared" si="96"/>
        <v>40408</v>
      </c>
      <c r="EK35" s="127">
        <f t="shared" si="96"/>
        <v>40865</v>
      </c>
      <c r="EL35" s="127">
        <f t="shared" si="96"/>
        <v>38564</v>
      </c>
      <c r="EM35" s="127">
        <f t="shared" si="96"/>
        <v>38809</v>
      </c>
      <c r="EN35" s="127"/>
      <c r="EO35" s="127">
        <f t="shared" ref="EO35:ET35" si="97">EO7-EO23</f>
        <v>33092</v>
      </c>
      <c r="EP35" s="127">
        <f t="shared" si="97"/>
        <v>51381</v>
      </c>
      <c r="EQ35" s="127">
        <f t="shared" si="97"/>
        <v>40656</v>
      </c>
      <c r="ER35" s="127">
        <f t="shared" si="97"/>
        <v>49454</v>
      </c>
      <c r="ES35" s="127">
        <f t="shared" si="97"/>
        <v>55663</v>
      </c>
      <c r="ET35" s="127">
        <f t="shared" si="97"/>
        <v>51328</v>
      </c>
      <c r="EU35" s="127">
        <f t="shared" ref="EU35:EV35" si="98">EU7-EU23</f>
        <v>49945</v>
      </c>
      <c r="EV35" s="954">
        <f t="shared" si="98"/>
        <v>40736</v>
      </c>
      <c r="EW35" s="127"/>
      <c r="EX35" s="127"/>
      <c r="EY35" s="127"/>
      <c r="EZ35" s="127"/>
      <c r="FA35" s="127"/>
    </row>
    <row r="36" spans="1:163" ht="15" customHeight="1" x14ac:dyDescent="0.25">
      <c r="O36" s="127">
        <f>O40-O35</f>
        <v>0</v>
      </c>
      <c r="P36" s="127">
        <f t="shared" ref="P36:Z36" si="99">P40-P35</f>
        <v>0</v>
      </c>
      <c r="Q36" s="127">
        <f t="shared" si="99"/>
        <v>0</v>
      </c>
      <c r="R36" s="127">
        <f t="shared" si="99"/>
        <v>0</v>
      </c>
      <c r="S36" s="127">
        <f t="shared" si="99"/>
        <v>0</v>
      </c>
      <c r="T36" s="127">
        <f t="shared" si="99"/>
        <v>0</v>
      </c>
      <c r="U36" s="127">
        <f t="shared" si="99"/>
        <v>0</v>
      </c>
      <c r="V36" s="127">
        <f t="shared" si="99"/>
        <v>0</v>
      </c>
      <c r="W36" s="127">
        <f t="shared" si="99"/>
        <v>0</v>
      </c>
      <c r="X36" s="127">
        <f t="shared" si="99"/>
        <v>0</v>
      </c>
      <c r="Y36" s="127">
        <f t="shared" si="99"/>
        <v>0</v>
      </c>
      <c r="Z36" s="127">
        <f t="shared" si="99"/>
        <v>0</v>
      </c>
      <c r="AA36" s="127"/>
      <c r="AB36" s="127">
        <f>AB40-AB35</f>
        <v>0</v>
      </c>
      <c r="AC36" s="127">
        <f t="shared" ref="AC36:AM36" si="100">AC40-AC35</f>
        <v>0</v>
      </c>
      <c r="AD36" s="127">
        <f t="shared" si="100"/>
        <v>0</v>
      </c>
      <c r="AE36" s="127">
        <f t="shared" si="100"/>
        <v>0</v>
      </c>
      <c r="AF36" s="127">
        <f t="shared" si="100"/>
        <v>0</v>
      </c>
      <c r="AG36" s="127">
        <f t="shared" si="100"/>
        <v>0</v>
      </c>
      <c r="AH36" s="127">
        <f t="shared" si="100"/>
        <v>0</v>
      </c>
      <c r="AI36" s="127">
        <f t="shared" si="100"/>
        <v>0</v>
      </c>
      <c r="AJ36" s="127">
        <f t="shared" si="100"/>
        <v>0</v>
      </c>
      <c r="AK36" s="127">
        <f t="shared" si="100"/>
        <v>0</v>
      </c>
      <c r="AL36" s="127">
        <f t="shared" si="100"/>
        <v>0</v>
      </c>
      <c r="AM36" s="127">
        <f t="shared" si="100"/>
        <v>0</v>
      </c>
      <c r="AN36" s="127"/>
      <c r="AO36" s="127">
        <f>AO40-AO35</f>
        <v>-3596</v>
      </c>
      <c r="AP36" s="127">
        <f t="shared" ref="AP36:AZ36" si="101">AP40-AP35</f>
        <v>-3056</v>
      </c>
      <c r="AQ36" s="127">
        <f t="shared" si="101"/>
        <v>-727</v>
      </c>
      <c r="AR36" s="127">
        <f t="shared" si="101"/>
        <v>-7028</v>
      </c>
      <c r="AS36" s="127">
        <f t="shared" si="101"/>
        <v>-3766</v>
      </c>
      <c r="AT36" s="127">
        <f t="shared" si="101"/>
        <v>0</v>
      </c>
      <c r="AU36" s="127">
        <f t="shared" si="101"/>
        <v>-4213</v>
      </c>
      <c r="AV36" s="127">
        <f t="shared" si="101"/>
        <v>-2916</v>
      </c>
      <c r="AW36" s="127">
        <f t="shared" si="101"/>
        <v>25</v>
      </c>
      <c r="AX36" s="127">
        <f t="shared" si="101"/>
        <v>-1904</v>
      </c>
      <c r="AY36" s="127">
        <f t="shared" si="101"/>
        <v>-1579</v>
      </c>
      <c r="AZ36" s="127">
        <f t="shared" si="101"/>
        <v>-2246</v>
      </c>
      <c r="BA36" s="127"/>
      <c r="BB36" s="127">
        <f>BB40-BB35</f>
        <v>0</v>
      </c>
      <c r="BC36" s="127">
        <f t="shared" ref="BC36:BM36" si="102">BC40-BC35</f>
        <v>0</v>
      </c>
      <c r="BD36" s="127">
        <f t="shared" si="102"/>
        <v>0</v>
      </c>
      <c r="BE36" s="127">
        <f t="shared" si="102"/>
        <v>0</v>
      </c>
      <c r="BF36" s="127">
        <f t="shared" si="102"/>
        <v>0</v>
      </c>
      <c r="BG36" s="127">
        <f>BG40-BG35</f>
        <v>-1</v>
      </c>
      <c r="BH36" s="127">
        <f t="shared" si="102"/>
        <v>0</v>
      </c>
      <c r="BI36" s="127">
        <f t="shared" si="102"/>
        <v>0</v>
      </c>
      <c r="BJ36" s="127">
        <f>BJ40-BJ35</f>
        <v>0</v>
      </c>
      <c r="BK36" s="127">
        <f t="shared" si="102"/>
        <v>0</v>
      </c>
      <c r="BL36" s="127">
        <f t="shared" si="102"/>
        <v>-121</v>
      </c>
      <c r="BM36" s="127">
        <f t="shared" si="102"/>
        <v>0</v>
      </c>
      <c r="BN36" s="127"/>
      <c r="BO36" s="127">
        <f>BO40-BO35</f>
        <v>0</v>
      </c>
      <c r="BP36" s="127">
        <f>BP40-BP35</f>
        <v>0</v>
      </c>
      <c r="BQ36" s="127">
        <f t="shared" ref="BQ36:BZ36" si="103">BQ40-BQ35</f>
        <v>-1</v>
      </c>
      <c r="BR36" s="127">
        <f t="shared" si="103"/>
        <v>0</v>
      </c>
      <c r="BS36" s="127">
        <f t="shared" si="103"/>
        <v>0</v>
      </c>
      <c r="BT36" s="127">
        <f t="shared" si="103"/>
        <v>0</v>
      </c>
      <c r="BU36" s="127">
        <f t="shared" si="103"/>
        <v>0</v>
      </c>
      <c r="BV36" s="127">
        <f t="shared" si="103"/>
        <v>0</v>
      </c>
      <c r="BW36" s="127">
        <f t="shared" si="103"/>
        <v>0</v>
      </c>
      <c r="BX36" s="127">
        <f t="shared" si="103"/>
        <v>0</v>
      </c>
      <c r="BY36" s="127">
        <f t="shared" si="103"/>
        <v>0</v>
      </c>
      <c r="BZ36" s="127">
        <f t="shared" si="103"/>
        <v>0</v>
      </c>
      <c r="CA36" s="127"/>
      <c r="CB36" s="127">
        <f>CB40-CB35</f>
        <v>0</v>
      </c>
      <c r="CC36" s="127">
        <f>CC40-CC35</f>
        <v>0</v>
      </c>
      <c r="CD36" s="127">
        <f t="shared" ref="CD36:CM36" si="104">CD40-CD35</f>
        <v>0</v>
      </c>
      <c r="CE36" s="127">
        <f t="shared" si="104"/>
        <v>0</v>
      </c>
      <c r="CF36" s="127">
        <f t="shared" si="104"/>
        <v>0</v>
      </c>
      <c r="CG36" s="127">
        <f t="shared" si="104"/>
        <v>0</v>
      </c>
      <c r="CH36" s="127">
        <f t="shared" si="104"/>
        <v>0</v>
      </c>
      <c r="CI36" s="127">
        <f t="shared" si="104"/>
        <v>0</v>
      </c>
      <c r="CJ36" s="127">
        <f t="shared" si="104"/>
        <v>0</v>
      </c>
      <c r="CK36" s="127">
        <f t="shared" si="104"/>
        <v>0</v>
      </c>
      <c r="CL36" s="127">
        <f t="shared" si="104"/>
        <v>0</v>
      </c>
      <c r="CM36" s="127">
        <f t="shared" si="104"/>
        <v>0</v>
      </c>
      <c r="CN36" s="127"/>
      <c r="CO36" s="127">
        <f t="shared" ref="CO36:CZ36" si="105">CO40-CO35</f>
        <v>0</v>
      </c>
      <c r="CP36" s="127">
        <f t="shared" si="105"/>
        <v>0</v>
      </c>
      <c r="CQ36" s="127">
        <f t="shared" si="105"/>
        <v>0</v>
      </c>
      <c r="CR36" s="127">
        <f t="shared" si="105"/>
        <v>0</v>
      </c>
      <c r="CS36" s="127">
        <f t="shared" si="105"/>
        <v>0</v>
      </c>
      <c r="CT36" s="127">
        <f t="shared" si="105"/>
        <v>0</v>
      </c>
      <c r="CU36" s="127">
        <f t="shared" si="105"/>
        <v>0</v>
      </c>
      <c r="CV36" s="127">
        <f t="shared" si="105"/>
        <v>0</v>
      </c>
      <c r="CW36" s="127">
        <f t="shared" si="105"/>
        <v>0</v>
      </c>
      <c r="CX36" s="127">
        <f t="shared" si="105"/>
        <v>0</v>
      </c>
      <c r="CY36" s="127">
        <f t="shared" si="105"/>
        <v>0</v>
      </c>
      <c r="CZ36" s="127">
        <f t="shared" si="105"/>
        <v>0</v>
      </c>
      <c r="DA36" s="127"/>
      <c r="DB36" s="127">
        <f t="shared" ref="DB36:DM36" si="106">DB40-DB35</f>
        <v>0</v>
      </c>
      <c r="DC36" s="127">
        <f t="shared" si="106"/>
        <v>0</v>
      </c>
      <c r="DD36" s="127">
        <f t="shared" si="106"/>
        <v>0</v>
      </c>
      <c r="DE36" s="127">
        <f t="shared" si="106"/>
        <v>0</v>
      </c>
      <c r="DF36" s="127">
        <f t="shared" si="106"/>
        <v>0</v>
      </c>
      <c r="DG36" s="127">
        <f t="shared" si="106"/>
        <v>0</v>
      </c>
      <c r="DH36" s="127">
        <f t="shared" si="106"/>
        <v>0</v>
      </c>
      <c r="DI36" s="127">
        <f t="shared" si="106"/>
        <v>0</v>
      </c>
      <c r="DJ36" s="127">
        <f t="shared" si="106"/>
        <v>0</v>
      </c>
      <c r="DK36" s="127">
        <f t="shared" si="106"/>
        <v>0</v>
      </c>
      <c r="DL36" s="127">
        <f t="shared" si="106"/>
        <v>0</v>
      </c>
      <c r="DM36" s="127">
        <f t="shared" si="106"/>
        <v>0</v>
      </c>
      <c r="DN36" s="127"/>
      <c r="DO36" s="127">
        <f t="shared" ref="DO36:DZ36" si="107">DO40-DO35</f>
        <v>0</v>
      </c>
      <c r="DP36" s="127">
        <f t="shared" si="107"/>
        <v>0</v>
      </c>
      <c r="DQ36" s="127">
        <f t="shared" si="107"/>
        <v>0</v>
      </c>
      <c r="DR36" s="127">
        <f t="shared" si="107"/>
        <v>0</v>
      </c>
      <c r="DS36" s="127">
        <f t="shared" si="107"/>
        <v>0</v>
      </c>
      <c r="DT36" s="127">
        <f t="shared" si="107"/>
        <v>0</v>
      </c>
      <c r="DU36" s="127">
        <f t="shared" si="107"/>
        <v>0</v>
      </c>
      <c r="DV36" s="127">
        <f t="shared" si="107"/>
        <v>0</v>
      </c>
      <c r="DW36" s="127">
        <f t="shared" si="107"/>
        <v>0</v>
      </c>
      <c r="DX36" s="127">
        <f t="shared" si="107"/>
        <v>0</v>
      </c>
      <c r="DY36" s="127">
        <f t="shared" si="107"/>
        <v>0</v>
      </c>
      <c r="DZ36" s="127">
        <f t="shared" si="107"/>
        <v>0</v>
      </c>
      <c r="EA36" s="127"/>
      <c r="EB36" s="127">
        <f t="shared" ref="EB36:EE36" si="108">EB40-EB35</f>
        <v>0</v>
      </c>
      <c r="EC36" s="127">
        <f t="shared" si="108"/>
        <v>0</v>
      </c>
      <c r="ED36" s="127">
        <f t="shared" si="108"/>
        <v>0</v>
      </c>
      <c r="EE36" s="127">
        <f t="shared" si="108"/>
        <v>0</v>
      </c>
      <c r="EF36" s="127">
        <f>EF40-EF35</f>
        <v>0</v>
      </c>
      <c r="EG36" s="127">
        <f t="shared" ref="EG36:EM36" si="109">EG40-EG35</f>
        <v>0</v>
      </c>
      <c r="EH36" s="127">
        <f t="shared" si="109"/>
        <v>0</v>
      </c>
      <c r="EI36" s="127">
        <f t="shared" si="109"/>
        <v>0</v>
      </c>
      <c r="EJ36" s="127">
        <f t="shared" si="109"/>
        <v>0</v>
      </c>
      <c r="EK36" s="127">
        <f t="shared" si="109"/>
        <v>0</v>
      </c>
      <c r="EL36" s="127">
        <f t="shared" si="109"/>
        <v>0</v>
      </c>
      <c r="EM36" s="127">
        <f t="shared" si="109"/>
        <v>0</v>
      </c>
      <c r="EN36" s="127"/>
      <c r="EO36" s="127">
        <f t="shared" ref="EO36:ER36" si="110">EO40-EO35</f>
        <v>0</v>
      </c>
      <c r="EP36" s="127">
        <f t="shared" si="110"/>
        <v>0</v>
      </c>
      <c r="EQ36" s="127">
        <f t="shared" si="110"/>
        <v>0</v>
      </c>
      <c r="ER36" s="127">
        <f t="shared" si="110"/>
        <v>0</v>
      </c>
      <c r="ES36" s="127">
        <f t="shared" ref="ES36" si="111">ES40-ES35</f>
        <v>0</v>
      </c>
      <c r="ET36" s="127">
        <f t="shared" ref="ET36" si="112">ET40-ET35</f>
        <v>0</v>
      </c>
      <c r="EU36" s="127">
        <f t="shared" ref="EU36:EV36" si="113">EU40-EU35</f>
        <v>0</v>
      </c>
      <c r="EV36" s="954">
        <f t="shared" si="113"/>
        <v>0</v>
      </c>
      <c r="EW36" s="127"/>
      <c r="EX36" s="127"/>
      <c r="EY36" s="127"/>
      <c r="EZ36" s="127"/>
      <c r="FA36" s="127"/>
    </row>
    <row r="37" spans="1:163" customFormat="1" ht="15" customHeight="1" x14ac:dyDescent="0.25">
      <c r="EV37" s="961"/>
    </row>
    <row r="38" spans="1:163" ht="15" customHeight="1" x14ac:dyDescent="0.25">
      <c r="A38" s="165"/>
      <c r="B38" s="102">
        <v>2015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4" t="s">
        <v>83</v>
      </c>
      <c r="O38" s="102">
        <v>2016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4" t="s">
        <v>83</v>
      </c>
      <c r="AB38" s="102">
        <v>2017</v>
      </c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4" t="s">
        <v>83</v>
      </c>
      <c r="AO38" s="102">
        <v>2018</v>
      </c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4" t="s">
        <v>83</v>
      </c>
      <c r="BB38" s="102">
        <v>2019</v>
      </c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4" t="s">
        <v>83</v>
      </c>
      <c r="BO38" s="102">
        <v>2020</v>
      </c>
      <c r="BP38" s="103"/>
      <c r="BQ38" s="103"/>
      <c r="BR38" s="103"/>
      <c r="BS38" s="103"/>
      <c r="BT38" s="103"/>
      <c r="BU38" s="103"/>
      <c r="BV38" s="103"/>
      <c r="BW38" s="103"/>
      <c r="BX38" s="103"/>
      <c r="BY38" s="103"/>
      <c r="BZ38" s="103"/>
      <c r="CA38" s="104" t="s">
        <v>83</v>
      </c>
      <c r="CB38" s="102">
        <v>2021</v>
      </c>
      <c r="CC38" s="103"/>
      <c r="CD38" s="103"/>
      <c r="CE38" s="103"/>
      <c r="CF38" s="103"/>
      <c r="CG38" s="103"/>
      <c r="CH38" s="103"/>
      <c r="CI38" s="103"/>
      <c r="CJ38" s="103"/>
      <c r="CK38" s="103"/>
      <c r="CL38" s="103"/>
      <c r="CM38" s="103"/>
      <c r="CN38" s="104" t="s">
        <v>83</v>
      </c>
      <c r="CO38" s="102">
        <v>2022</v>
      </c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3"/>
      <c r="DA38" s="104" t="s">
        <v>83</v>
      </c>
      <c r="DB38" s="102">
        <v>2023</v>
      </c>
      <c r="DC38" s="103"/>
      <c r="DD38" s="103"/>
      <c r="DE38" s="103"/>
      <c r="DF38" s="103"/>
      <c r="DG38" s="103"/>
      <c r="DH38" s="103"/>
      <c r="DI38" s="103"/>
      <c r="DJ38" s="103"/>
      <c r="DK38" s="103"/>
      <c r="DL38" s="103"/>
      <c r="DM38" s="103"/>
      <c r="DN38" s="104" t="s">
        <v>83</v>
      </c>
      <c r="DO38" s="102">
        <v>2024</v>
      </c>
      <c r="DP38" s="103"/>
      <c r="DQ38" s="103"/>
      <c r="DR38" s="103"/>
      <c r="DS38" s="103"/>
      <c r="DT38" s="103"/>
      <c r="DU38" s="103"/>
      <c r="DV38" s="103"/>
      <c r="DW38" s="103"/>
      <c r="DX38" s="103"/>
      <c r="DY38" s="103"/>
      <c r="DZ38" s="103"/>
      <c r="EA38" s="104" t="s">
        <v>83</v>
      </c>
      <c r="EB38" s="102">
        <v>2025</v>
      </c>
      <c r="EC38" s="103"/>
      <c r="ED38" s="103"/>
      <c r="EE38" s="103"/>
      <c r="EF38" s="103"/>
      <c r="EG38" s="103"/>
      <c r="EH38" s="103"/>
      <c r="EI38" s="103"/>
      <c r="EJ38" s="103"/>
      <c r="EK38" s="103"/>
      <c r="EL38" s="103"/>
      <c r="EM38" s="103"/>
      <c r="EN38" s="104" t="s">
        <v>83</v>
      </c>
      <c r="EO38" s="102">
        <v>2026</v>
      </c>
      <c r="EP38" s="103"/>
      <c r="EQ38" s="103"/>
      <c r="ER38" s="103"/>
      <c r="ES38" s="103"/>
      <c r="ET38" s="103"/>
      <c r="EU38" s="103"/>
      <c r="EV38" s="948"/>
      <c r="EW38" s="103"/>
      <c r="EX38" s="103"/>
      <c r="EY38" s="103"/>
      <c r="EZ38" s="103"/>
      <c r="FA38" s="104" t="s">
        <v>83</v>
      </c>
      <c r="FC38" s="982" t="str">
        <f>CONCATENATE("Var.% ",FF38,"/",FE38)</f>
        <v>Var.% 2026/2025</v>
      </c>
      <c r="FD38" s="983"/>
      <c r="FE38" s="105">
        <f>FF38-1</f>
        <v>2025</v>
      </c>
      <c r="FF38" s="105">
        <f>YEAR(FC39)</f>
        <v>2026</v>
      </c>
    </row>
    <row r="39" spans="1:163" ht="15" customHeight="1" x14ac:dyDescent="0.25">
      <c r="A39" s="232"/>
      <c r="B39" s="106">
        <v>42005</v>
      </c>
      <c r="C39" s="107">
        <v>42036</v>
      </c>
      <c r="D39" s="107">
        <v>42064</v>
      </c>
      <c r="E39" s="107">
        <v>42095</v>
      </c>
      <c r="F39" s="107">
        <v>42125</v>
      </c>
      <c r="G39" s="107">
        <v>42156</v>
      </c>
      <c r="H39" s="107">
        <v>42186</v>
      </c>
      <c r="I39" s="107">
        <v>42217</v>
      </c>
      <c r="J39" s="107">
        <v>42248</v>
      </c>
      <c r="K39" s="107">
        <v>42278</v>
      </c>
      <c r="L39" s="107">
        <v>42309</v>
      </c>
      <c r="M39" s="107">
        <v>42339</v>
      </c>
      <c r="N39" s="108">
        <f t="shared" ref="N39" si="114">YEAR(M39)</f>
        <v>2015</v>
      </c>
      <c r="O39" s="106">
        <v>42370</v>
      </c>
      <c r="P39" s="107">
        <v>42401</v>
      </c>
      <c r="Q39" s="107">
        <v>42430</v>
      </c>
      <c r="R39" s="107">
        <v>42461</v>
      </c>
      <c r="S39" s="107">
        <v>42491</v>
      </c>
      <c r="T39" s="107">
        <v>42522</v>
      </c>
      <c r="U39" s="107">
        <v>42552</v>
      </c>
      <c r="V39" s="107">
        <v>42583</v>
      </c>
      <c r="W39" s="107">
        <v>42614</v>
      </c>
      <c r="X39" s="107">
        <v>42644</v>
      </c>
      <c r="Y39" s="107">
        <v>42675</v>
      </c>
      <c r="Z39" s="107">
        <v>42705</v>
      </c>
      <c r="AA39" s="108">
        <f t="shared" ref="AA39" si="115">YEAR(Z39)</f>
        <v>2016</v>
      </c>
      <c r="AB39" s="106">
        <v>42736</v>
      </c>
      <c r="AC39" s="107">
        <v>42767</v>
      </c>
      <c r="AD39" s="107">
        <v>42795</v>
      </c>
      <c r="AE39" s="107">
        <v>42826</v>
      </c>
      <c r="AF39" s="107">
        <v>42856</v>
      </c>
      <c r="AG39" s="107">
        <v>42887</v>
      </c>
      <c r="AH39" s="107">
        <v>42917</v>
      </c>
      <c r="AI39" s="107">
        <v>42948</v>
      </c>
      <c r="AJ39" s="107">
        <v>42979</v>
      </c>
      <c r="AK39" s="107">
        <v>43009</v>
      </c>
      <c r="AL39" s="107">
        <v>43040</v>
      </c>
      <c r="AM39" s="107">
        <v>43070</v>
      </c>
      <c r="AN39" s="108">
        <f t="shared" ref="AN39" si="116">YEAR(AM39)</f>
        <v>2017</v>
      </c>
      <c r="AO39" s="106">
        <v>43101</v>
      </c>
      <c r="AP39" s="107">
        <v>43132</v>
      </c>
      <c r="AQ39" s="107">
        <v>43160</v>
      </c>
      <c r="AR39" s="107">
        <v>43191</v>
      </c>
      <c r="AS39" s="107">
        <v>43221</v>
      </c>
      <c r="AT39" s="107">
        <v>43252</v>
      </c>
      <c r="AU39" s="107">
        <v>43282</v>
      </c>
      <c r="AV39" s="107">
        <v>43313</v>
      </c>
      <c r="AW39" s="107">
        <v>43344</v>
      </c>
      <c r="AX39" s="107">
        <v>43374</v>
      </c>
      <c r="AY39" s="107">
        <v>43405</v>
      </c>
      <c r="AZ39" s="107">
        <v>43435</v>
      </c>
      <c r="BA39" s="108">
        <f t="shared" ref="BA39" si="117">YEAR(AZ39)</f>
        <v>2018</v>
      </c>
      <c r="BB39" s="106">
        <v>43466</v>
      </c>
      <c r="BC39" s="107">
        <v>43497</v>
      </c>
      <c r="BD39" s="107">
        <v>43525</v>
      </c>
      <c r="BE39" s="107">
        <v>43556</v>
      </c>
      <c r="BF39" s="107">
        <v>43586</v>
      </c>
      <c r="BG39" s="107">
        <v>43617</v>
      </c>
      <c r="BH39" s="107">
        <v>43647</v>
      </c>
      <c r="BI39" s="107">
        <v>43678</v>
      </c>
      <c r="BJ39" s="107">
        <v>43709</v>
      </c>
      <c r="BK39" s="107">
        <v>43739</v>
      </c>
      <c r="BL39" s="107">
        <v>43770</v>
      </c>
      <c r="BM39" s="107">
        <v>43800</v>
      </c>
      <c r="BN39" s="108">
        <f t="shared" ref="BN39" si="118">YEAR(BM39)</f>
        <v>2019</v>
      </c>
      <c r="BO39" s="106">
        <v>43831</v>
      </c>
      <c r="BP39" s="107">
        <v>43862</v>
      </c>
      <c r="BQ39" s="107">
        <v>43891</v>
      </c>
      <c r="BR39" s="107">
        <v>43922</v>
      </c>
      <c r="BS39" s="107">
        <v>43952</v>
      </c>
      <c r="BT39" s="107">
        <v>43983</v>
      </c>
      <c r="BU39" s="107">
        <v>44013</v>
      </c>
      <c r="BV39" s="107">
        <v>44044</v>
      </c>
      <c r="BW39" s="107">
        <v>44075</v>
      </c>
      <c r="BX39" s="107">
        <v>44105</v>
      </c>
      <c r="BY39" s="107">
        <v>44136</v>
      </c>
      <c r="BZ39" s="107">
        <v>44166</v>
      </c>
      <c r="CA39" s="108">
        <f t="shared" ref="CA39" si="119">YEAR(BZ39)</f>
        <v>2020</v>
      </c>
      <c r="CB39" s="106">
        <v>44197</v>
      </c>
      <c r="CC39" s="107">
        <v>44228</v>
      </c>
      <c r="CD39" s="107">
        <v>44256</v>
      </c>
      <c r="CE39" s="107">
        <v>44287</v>
      </c>
      <c r="CF39" s="107">
        <v>44317</v>
      </c>
      <c r="CG39" s="107">
        <v>44348</v>
      </c>
      <c r="CH39" s="107">
        <v>44378</v>
      </c>
      <c r="CI39" s="107">
        <v>44409</v>
      </c>
      <c r="CJ39" s="107">
        <v>44440</v>
      </c>
      <c r="CK39" s="107">
        <v>44470</v>
      </c>
      <c r="CL39" s="107">
        <v>44501</v>
      </c>
      <c r="CM39" s="107">
        <v>44531</v>
      </c>
      <c r="CN39" s="108">
        <f t="shared" ref="CN39" si="120">YEAR(CM39)</f>
        <v>2021</v>
      </c>
      <c r="CO39" s="106">
        <v>44562</v>
      </c>
      <c r="CP39" s="107">
        <v>44593</v>
      </c>
      <c r="CQ39" s="107">
        <v>44621</v>
      </c>
      <c r="CR39" s="107">
        <v>44652</v>
      </c>
      <c r="CS39" s="107">
        <v>44682</v>
      </c>
      <c r="CT39" s="107">
        <v>44713</v>
      </c>
      <c r="CU39" s="107">
        <v>44743</v>
      </c>
      <c r="CV39" s="107">
        <v>44774</v>
      </c>
      <c r="CW39" s="107">
        <v>44805</v>
      </c>
      <c r="CX39" s="107">
        <v>44835</v>
      </c>
      <c r="CY39" s="107">
        <v>44866</v>
      </c>
      <c r="CZ39" s="107">
        <v>44896</v>
      </c>
      <c r="DA39" s="108">
        <f t="shared" ref="DA39" si="121">YEAR(CZ39)</f>
        <v>2022</v>
      </c>
      <c r="DB39" s="106">
        <v>44927</v>
      </c>
      <c r="DC39" s="107">
        <v>44958</v>
      </c>
      <c r="DD39" s="107">
        <v>44986</v>
      </c>
      <c r="DE39" s="107">
        <v>45017</v>
      </c>
      <c r="DF39" s="107">
        <v>45047</v>
      </c>
      <c r="DG39" s="107">
        <v>45078</v>
      </c>
      <c r="DH39" s="107">
        <v>45108</v>
      </c>
      <c r="DI39" s="107">
        <v>45139</v>
      </c>
      <c r="DJ39" s="107">
        <v>45170</v>
      </c>
      <c r="DK39" s="107">
        <v>45200</v>
      </c>
      <c r="DL39" s="107">
        <v>45231</v>
      </c>
      <c r="DM39" s="107">
        <v>45261</v>
      </c>
      <c r="DN39" s="108">
        <f t="shared" ref="DN39" si="122">YEAR(DM39)</f>
        <v>2023</v>
      </c>
      <c r="DO39" s="106">
        <v>45292</v>
      </c>
      <c r="DP39" s="107">
        <v>45323</v>
      </c>
      <c r="DQ39" s="107">
        <v>45352</v>
      </c>
      <c r="DR39" s="107">
        <v>45383</v>
      </c>
      <c r="DS39" s="107">
        <v>45413</v>
      </c>
      <c r="DT39" s="107">
        <v>45444</v>
      </c>
      <c r="DU39" s="107">
        <v>45474</v>
      </c>
      <c r="DV39" s="107">
        <v>45505</v>
      </c>
      <c r="DW39" s="107">
        <v>45536</v>
      </c>
      <c r="DX39" s="107">
        <v>45566</v>
      </c>
      <c r="DY39" s="107">
        <v>45597</v>
      </c>
      <c r="DZ39" s="107">
        <v>45627</v>
      </c>
      <c r="EA39" s="108">
        <f t="shared" ref="EA39" si="123">YEAR(DZ39)</f>
        <v>2024</v>
      </c>
      <c r="EB39" s="106">
        <v>45658</v>
      </c>
      <c r="EC39" s="107">
        <v>45689</v>
      </c>
      <c r="ED39" s="107">
        <v>45717</v>
      </c>
      <c r="EE39" s="107">
        <v>45748</v>
      </c>
      <c r="EF39" s="107">
        <v>45778</v>
      </c>
      <c r="EG39" s="107">
        <v>45809</v>
      </c>
      <c r="EH39" s="107">
        <v>45839</v>
      </c>
      <c r="EI39" s="107">
        <v>45870</v>
      </c>
      <c r="EJ39" s="107">
        <v>45901</v>
      </c>
      <c r="EK39" s="107">
        <v>45931</v>
      </c>
      <c r="EL39" s="107">
        <v>45962</v>
      </c>
      <c r="EM39" s="107">
        <v>45992</v>
      </c>
      <c r="EN39" s="108">
        <f>YEAR(EM39)</f>
        <v>2025</v>
      </c>
      <c r="EO39" s="106">
        <v>46023</v>
      </c>
      <c r="EP39" s="107">
        <v>46054</v>
      </c>
      <c r="EQ39" s="107">
        <v>46082</v>
      </c>
      <c r="ER39" s="107">
        <v>46113</v>
      </c>
      <c r="ES39" s="107">
        <v>46143</v>
      </c>
      <c r="ET39" s="107">
        <v>46174</v>
      </c>
      <c r="EU39" s="107">
        <v>46204</v>
      </c>
      <c r="EV39" s="949">
        <v>46235</v>
      </c>
      <c r="EW39" s="107">
        <v>46266</v>
      </c>
      <c r="EX39" s="107">
        <v>46296</v>
      </c>
      <c r="EY39" s="107">
        <v>46327</v>
      </c>
      <c r="EZ39" s="107">
        <v>46357</v>
      </c>
      <c r="FA39" s="108">
        <f>YEAR(EZ39)</f>
        <v>2026</v>
      </c>
      <c r="FC39" s="106">
        <f>$EV$39</f>
        <v>46235</v>
      </c>
      <c r="FD39" s="109" t="str">
        <f>CONCATENATE("Ene.-",TEXT(FC39,"MMM."))</f>
        <v>Ene.-Ago.</v>
      </c>
      <c r="FE39" s="109" t="str">
        <f>FD39</f>
        <v>Ene.-Ago.</v>
      </c>
      <c r="FF39" s="109" t="str">
        <f>FD39</f>
        <v>Ene.-Ago.</v>
      </c>
      <c r="FG39" s="134"/>
    </row>
    <row r="40" spans="1:163" ht="15" customHeight="1" x14ac:dyDescent="0.25">
      <c r="A40" s="141" t="s">
        <v>295</v>
      </c>
      <c r="B40" s="237">
        <f t="shared" ref="B40:AG40" si="124">B42+B53</f>
        <v>16406.955000000002</v>
      </c>
      <c r="C40" s="236">
        <f t="shared" si="124"/>
        <v>23103</v>
      </c>
      <c r="D40" s="236">
        <f t="shared" si="124"/>
        <v>23716.698999999997</v>
      </c>
      <c r="E40" s="236">
        <f t="shared" si="124"/>
        <v>19986</v>
      </c>
      <c r="F40" s="236">
        <f t="shared" si="124"/>
        <v>34357</v>
      </c>
      <c r="G40" s="236">
        <f t="shared" si="124"/>
        <v>28206</v>
      </c>
      <c r="H40" s="236">
        <f t="shared" si="124"/>
        <v>21571</v>
      </c>
      <c r="I40" s="236">
        <f t="shared" si="124"/>
        <v>24521</v>
      </c>
      <c r="J40" s="236">
        <f t="shared" si="124"/>
        <v>19218</v>
      </c>
      <c r="K40" s="236">
        <f t="shared" si="124"/>
        <v>19317</v>
      </c>
      <c r="L40" s="236">
        <f t="shared" si="124"/>
        <v>29325</v>
      </c>
      <c r="M40" s="238">
        <f t="shared" si="124"/>
        <v>22301</v>
      </c>
      <c r="N40" s="238">
        <f t="shared" si="124"/>
        <v>282028.65399999998</v>
      </c>
      <c r="O40" s="236">
        <f t="shared" si="124"/>
        <v>19730</v>
      </c>
      <c r="P40" s="276">
        <f t="shared" si="124"/>
        <v>12674</v>
      </c>
      <c r="Q40" s="276">
        <f t="shared" si="124"/>
        <v>34204</v>
      </c>
      <c r="R40" s="276">
        <f t="shared" si="124"/>
        <v>18490</v>
      </c>
      <c r="S40" s="276">
        <f t="shared" si="124"/>
        <v>24533</v>
      </c>
      <c r="T40" s="276">
        <f t="shared" si="124"/>
        <v>19237</v>
      </c>
      <c r="U40" s="276">
        <f t="shared" si="124"/>
        <v>19726</v>
      </c>
      <c r="V40" s="276">
        <f t="shared" si="124"/>
        <v>20228</v>
      </c>
      <c r="W40" s="276">
        <f t="shared" si="124"/>
        <v>19845</v>
      </c>
      <c r="X40" s="276">
        <f t="shared" si="124"/>
        <v>19298</v>
      </c>
      <c r="Y40" s="276">
        <f t="shared" si="124"/>
        <v>28083</v>
      </c>
      <c r="Z40" s="277">
        <f t="shared" si="124"/>
        <v>19615</v>
      </c>
      <c r="AA40" s="276">
        <f t="shared" si="124"/>
        <v>255663</v>
      </c>
      <c r="AB40" s="237">
        <f t="shared" si="124"/>
        <v>17844</v>
      </c>
      <c r="AC40" s="236">
        <f t="shared" si="124"/>
        <v>13467</v>
      </c>
      <c r="AD40" s="236">
        <f t="shared" si="124"/>
        <v>34031</v>
      </c>
      <c r="AE40" s="236">
        <f t="shared" si="124"/>
        <v>15360</v>
      </c>
      <c r="AF40" s="236">
        <f t="shared" si="124"/>
        <v>27589</v>
      </c>
      <c r="AG40" s="236">
        <f t="shared" si="124"/>
        <v>17599</v>
      </c>
      <c r="AH40" s="236">
        <f t="shared" ref="AH40:BM40" si="125">AH42+AH53</f>
        <v>16941</v>
      </c>
      <c r="AI40" s="236">
        <f t="shared" si="125"/>
        <v>21050</v>
      </c>
      <c r="AJ40" s="236">
        <f t="shared" si="125"/>
        <v>20445</v>
      </c>
      <c r="AK40" s="236">
        <f t="shared" si="125"/>
        <v>26948</v>
      </c>
      <c r="AL40" s="236">
        <f t="shared" si="125"/>
        <v>21518</v>
      </c>
      <c r="AM40" s="236">
        <f t="shared" si="125"/>
        <v>24998</v>
      </c>
      <c r="AN40" s="279">
        <f t="shared" si="125"/>
        <v>257790</v>
      </c>
      <c r="AO40" s="237">
        <f t="shared" si="125"/>
        <v>14211</v>
      </c>
      <c r="AP40" s="236">
        <f t="shared" si="125"/>
        <v>28215</v>
      </c>
      <c r="AQ40" s="236">
        <f t="shared" si="125"/>
        <v>23441</v>
      </c>
      <c r="AR40" s="236">
        <f t="shared" si="125"/>
        <v>28129</v>
      </c>
      <c r="AS40" s="236">
        <f t="shared" si="125"/>
        <v>17919</v>
      </c>
      <c r="AT40" s="236">
        <f t="shared" si="125"/>
        <v>25922</v>
      </c>
      <c r="AU40" s="236">
        <f t="shared" si="125"/>
        <v>16956</v>
      </c>
      <c r="AV40" s="236">
        <f t="shared" si="125"/>
        <v>18857</v>
      </c>
      <c r="AW40" s="236">
        <f t="shared" si="125"/>
        <v>15670</v>
      </c>
      <c r="AX40" s="236">
        <f t="shared" si="125"/>
        <v>35869</v>
      </c>
      <c r="AY40" s="236">
        <f t="shared" si="125"/>
        <v>22116</v>
      </c>
      <c r="AZ40" s="238">
        <f t="shared" si="125"/>
        <v>21670</v>
      </c>
      <c r="BA40" s="238">
        <f t="shared" si="125"/>
        <v>268975</v>
      </c>
      <c r="BB40" s="236">
        <f t="shared" si="125"/>
        <v>16987</v>
      </c>
      <c r="BC40" s="236">
        <f t="shared" si="125"/>
        <v>29125</v>
      </c>
      <c r="BD40" s="236">
        <f t="shared" si="125"/>
        <v>21178</v>
      </c>
      <c r="BE40" s="236">
        <f t="shared" si="125"/>
        <v>18507</v>
      </c>
      <c r="BF40" s="236">
        <f t="shared" si="125"/>
        <v>26394</v>
      </c>
      <c r="BG40" s="236">
        <f t="shared" si="125"/>
        <v>23244</v>
      </c>
      <c r="BH40" s="236">
        <f t="shared" si="125"/>
        <v>21928</v>
      </c>
      <c r="BI40" s="236">
        <f t="shared" si="125"/>
        <v>20634</v>
      </c>
      <c r="BJ40" s="236">
        <f t="shared" si="125"/>
        <v>21689</v>
      </c>
      <c r="BK40" s="236">
        <f t="shared" si="125"/>
        <v>22871</v>
      </c>
      <c r="BL40" s="236">
        <f t="shared" si="125"/>
        <v>21799</v>
      </c>
      <c r="BM40" s="238">
        <f t="shared" si="125"/>
        <v>23924</v>
      </c>
      <c r="BN40" s="238">
        <f t="shared" ref="BN40:BZ40" si="126">BN42+BN53</f>
        <v>268280</v>
      </c>
      <c r="BO40" s="236">
        <f t="shared" si="126"/>
        <v>18756</v>
      </c>
      <c r="BP40" s="236">
        <f t="shared" si="126"/>
        <v>10734</v>
      </c>
      <c r="BQ40" s="236">
        <f t="shared" si="126"/>
        <v>39690</v>
      </c>
      <c r="BR40" s="236">
        <f t="shared" si="126"/>
        <v>12656</v>
      </c>
      <c r="BS40" s="236">
        <f t="shared" si="126"/>
        <v>9017</v>
      </c>
      <c r="BT40" s="236">
        <f t="shared" si="126"/>
        <v>21431</v>
      </c>
      <c r="BU40" s="236">
        <f t="shared" si="126"/>
        <v>19446</v>
      </c>
      <c r="BV40" s="236">
        <f t="shared" si="126"/>
        <v>21997</v>
      </c>
      <c r="BW40" s="236">
        <f t="shared" si="126"/>
        <v>26321</v>
      </c>
      <c r="BX40" s="236">
        <f t="shared" si="126"/>
        <v>21218</v>
      </c>
      <c r="BY40" s="236">
        <f t="shared" si="126"/>
        <v>20173</v>
      </c>
      <c r="BZ40" s="236">
        <f t="shared" si="126"/>
        <v>24034</v>
      </c>
      <c r="CA40" s="145">
        <f>SUM(BO40:BZ40)</f>
        <v>245473</v>
      </c>
      <c r="CB40" s="236">
        <f t="shared" ref="CB40:CM40" si="127">CB42+CB53</f>
        <v>25874</v>
      </c>
      <c r="CC40" s="236">
        <f t="shared" si="127"/>
        <v>29930</v>
      </c>
      <c r="CD40" s="236">
        <f t="shared" si="127"/>
        <v>26643</v>
      </c>
      <c r="CE40" s="236">
        <f t="shared" si="127"/>
        <v>36758</v>
      </c>
      <c r="CF40" s="236">
        <f t="shared" si="127"/>
        <v>25999</v>
      </c>
      <c r="CG40" s="236">
        <f t="shared" si="127"/>
        <v>28440</v>
      </c>
      <c r="CH40" s="236">
        <f t="shared" si="127"/>
        <v>28143</v>
      </c>
      <c r="CI40" s="276">
        <f t="shared" si="127"/>
        <v>29584</v>
      </c>
      <c r="CJ40" s="276">
        <f t="shared" si="127"/>
        <v>34000</v>
      </c>
      <c r="CK40" s="276">
        <f t="shared" si="127"/>
        <v>36693</v>
      </c>
      <c r="CL40" s="276">
        <f t="shared" si="127"/>
        <v>33544</v>
      </c>
      <c r="CM40" s="277">
        <f t="shared" si="127"/>
        <v>40931</v>
      </c>
      <c r="CN40" s="277">
        <f>SUM(CB40:CM40)</f>
        <v>376539</v>
      </c>
      <c r="CO40" s="278">
        <f t="shared" ref="CO40:CZ40" si="128">CO42+CO53</f>
        <v>38085</v>
      </c>
      <c r="CP40" s="276">
        <f t="shared" si="128"/>
        <v>42612</v>
      </c>
      <c r="CQ40" s="276">
        <f t="shared" si="128"/>
        <v>43668</v>
      </c>
      <c r="CR40" s="236">
        <f t="shared" si="128"/>
        <v>37164</v>
      </c>
      <c r="CS40" s="236">
        <f t="shared" si="128"/>
        <v>53485</v>
      </c>
      <c r="CT40" s="236">
        <f t="shared" si="128"/>
        <v>39506</v>
      </c>
      <c r="CU40" s="236">
        <f t="shared" si="128"/>
        <v>40098</v>
      </c>
      <c r="CV40" s="236">
        <f t="shared" si="128"/>
        <v>36549</v>
      </c>
      <c r="CW40" s="236">
        <f t="shared" si="128"/>
        <v>43600</v>
      </c>
      <c r="CX40" s="236">
        <f t="shared" si="128"/>
        <v>39596</v>
      </c>
      <c r="CY40" s="236">
        <f t="shared" si="128"/>
        <v>32272</v>
      </c>
      <c r="CZ40" s="238">
        <f t="shared" si="128"/>
        <v>44164</v>
      </c>
      <c r="DA40" s="279">
        <f>SUM(CO40:CZ40)</f>
        <v>490799</v>
      </c>
      <c r="DB40" s="278">
        <f t="shared" ref="DB40:DM40" si="129">DB42+DB53</f>
        <v>36702</v>
      </c>
      <c r="DC40" s="236">
        <f t="shared" si="129"/>
        <v>44275</v>
      </c>
      <c r="DD40" s="236">
        <f t="shared" si="129"/>
        <v>38487</v>
      </c>
      <c r="DE40" s="236">
        <f t="shared" si="129"/>
        <v>45394</v>
      </c>
      <c r="DF40" s="236">
        <f t="shared" si="129"/>
        <v>47233</v>
      </c>
      <c r="DG40" s="236">
        <f t="shared" si="129"/>
        <v>35560</v>
      </c>
      <c r="DH40" s="236">
        <f t="shared" si="129"/>
        <v>28211</v>
      </c>
      <c r="DI40" s="236">
        <f t="shared" si="129"/>
        <v>38888</v>
      </c>
      <c r="DJ40" s="236">
        <f t="shared" si="129"/>
        <v>30990</v>
      </c>
      <c r="DK40" s="236">
        <f t="shared" si="129"/>
        <v>34862</v>
      </c>
      <c r="DL40" s="236">
        <f t="shared" si="129"/>
        <v>37529</v>
      </c>
      <c r="DM40" s="238">
        <f t="shared" si="129"/>
        <v>33524</v>
      </c>
      <c r="DN40" s="236">
        <f>SUM(DB40:DM40)</f>
        <v>451655</v>
      </c>
      <c r="DO40" s="237">
        <f t="shared" ref="DO40:DZ40" si="130">DO42+DO53</f>
        <v>28308</v>
      </c>
      <c r="DP40" s="236">
        <f t="shared" si="130"/>
        <v>48323</v>
      </c>
      <c r="DQ40" s="236">
        <f t="shared" si="130"/>
        <v>34744</v>
      </c>
      <c r="DR40" s="236">
        <f t="shared" si="130"/>
        <v>32806</v>
      </c>
      <c r="DS40" s="236">
        <f t="shared" si="130"/>
        <v>46241</v>
      </c>
      <c r="DT40" s="236">
        <f t="shared" si="130"/>
        <v>36578</v>
      </c>
      <c r="DU40" s="236">
        <f t="shared" si="130"/>
        <v>35611</v>
      </c>
      <c r="DV40" s="236">
        <f t="shared" si="130"/>
        <v>36860</v>
      </c>
      <c r="DW40" s="236">
        <f t="shared" si="130"/>
        <v>42243</v>
      </c>
      <c r="DX40" s="236">
        <f t="shared" si="130"/>
        <v>40461</v>
      </c>
      <c r="DY40" s="236">
        <f t="shared" si="130"/>
        <v>38014</v>
      </c>
      <c r="DZ40" s="238">
        <f t="shared" si="130"/>
        <v>44029</v>
      </c>
      <c r="EA40" s="238">
        <f>SUM(DO40:DZ40)</f>
        <v>464218</v>
      </c>
      <c r="EB40" s="278">
        <f t="shared" ref="EB40:EM40" si="131">EB42+EB53</f>
        <v>34766</v>
      </c>
      <c r="EC40" s="276">
        <f t="shared" si="131"/>
        <v>55060</v>
      </c>
      <c r="ED40" s="276">
        <f t="shared" si="131"/>
        <v>39996</v>
      </c>
      <c r="EE40" s="276">
        <f t="shared" si="131"/>
        <v>37521</v>
      </c>
      <c r="EF40" s="276">
        <f t="shared" si="131"/>
        <v>53654</v>
      </c>
      <c r="EG40" s="276">
        <f t="shared" si="131"/>
        <v>39414</v>
      </c>
      <c r="EH40" s="276">
        <f t="shared" si="131"/>
        <v>41155</v>
      </c>
      <c r="EI40" s="276">
        <f t="shared" si="131"/>
        <v>40205</v>
      </c>
      <c r="EJ40" s="276">
        <f t="shared" si="131"/>
        <v>40408</v>
      </c>
      <c r="EK40" s="276">
        <f t="shared" si="131"/>
        <v>40865</v>
      </c>
      <c r="EL40" s="276">
        <f t="shared" si="131"/>
        <v>38564</v>
      </c>
      <c r="EM40" s="276">
        <f t="shared" si="131"/>
        <v>38809</v>
      </c>
      <c r="EN40" s="279">
        <f>SUM(EB40:EM40)</f>
        <v>500417</v>
      </c>
      <c r="EO40" s="278">
        <f t="shared" ref="EO40:ER40" si="132">EO42+EO53</f>
        <v>33092</v>
      </c>
      <c r="EP40" s="276">
        <f t="shared" si="132"/>
        <v>51381</v>
      </c>
      <c r="EQ40" s="276">
        <f t="shared" si="132"/>
        <v>40656</v>
      </c>
      <c r="ER40" s="276">
        <f t="shared" si="132"/>
        <v>49454</v>
      </c>
      <c r="ES40" s="276">
        <f>ES42+ES53</f>
        <v>55663</v>
      </c>
      <c r="ET40" s="276">
        <f>ET42+ET53</f>
        <v>51328</v>
      </c>
      <c r="EU40" s="276">
        <f>EU42+EU53</f>
        <v>49945</v>
      </c>
      <c r="EV40" s="962">
        <f>EV42+EV53</f>
        <v>40736</v>
      </c>
      <c r="EW40" s="276"/>
      <c r="EX40" s="276"/>
      <c r="EY40" s="276"/>
      <c r="EZ40" s="276"/>
      <c r="FA40" s="279">
        <f>SUM(EO40:EZ40)</f>
        <v>372255</v>
      </c>
      <c r="FC40" s="309">
        <f>IFERROR(((EV40/EI40)-1)*100,"-")</f>
        <v>1.3207312523318082</v>
      </c>
      <c r="FD40" s="309">
        <f>IFERROR(((FF40/FE40)-1)*100,"-")</f>
        <v>8.9194226543504165</v>
      </c>
      <c r="FE40" s="310">
        <f>IFERROR(SUM(EB40:EI40),"-")</f>
        <v>341771</v>
      </c>
      <c r="FF40" s="310">
        <f>IFERROR(SUM(EO40:EY40),"-")</f>
        <v>372255</v>
      </c>
      <c r="FG40" s="299"/>
    </row>
    <row r="41" spans="1:163" ht="15" customHeight="1" x14ac:dyDescent="0.25">
      <c r="A41" s="138"/>
      <c r="B41" s="212"/>
      <c r="M41" s="219"/>
      <c r="N41" s="219"/>
      <c r="Z41" s="219"/>
      <c r="AB41" s="212"/>
      <c r="AN41" s="138"/>
      <c r="AO41" s="212"/>
      <c r="AZ41" s="219"/>
      <c r="BA41" s="219"/>
      <c r="BM41" s="219"/>
      <c r="BN41" s="219"/>
      <c r="CA41" s="145">
        <f t="shared" ref="CA41:CA53" si="133">SUM(BO41:BZ41)</f>
        <v>0</v>
      </c>
      <c r="CM41" s="219"/>
      <c r="CN41" s="219"/>
      <c r="CO41" s="212"/>
      <c r="CZ41" s="219"/>
      <c r="DA41" s="138"/>
      <c r="DB41" s="212"/>
      <c r="DM41" s="219"/>
      <c r="DO41" s="212"/>
      <c r="DZ41" s="219"/>
      <c r="EA41" s="219"/>
      <c r="EB41" s="212"/>
      <c r="EN41" s="138"/>
      <c r="EO41" s="212"/>
      <c r="FA41" s="138"/>
      <c r="FC41" s="270"/>
      <c r="FD41" s="271"/>
      <c r="FE41" s="257"/>
      <c r="FF41" s="257"/>
      <c r="FG41" s="299"/>
    </row>
    <row r="42" spans="1:163" ht="15" customHeight="1" x14ac:dyDescent="0.25">
      <c r="A42" s="217" t="s">
        <v>292</v>
      </c>
      <c r="B42" s="237">
        <f t="shared" ref="B42:BM42" si="134">SUM(B43:B45)</f>
        <v>16366.955</v>
      </c>
      <c r="C42" s="236">
        <f t="shared" si="134"/>
        <v>23058</v>
      </c>
      <c r="D42" s="236">
        <f t="shared" si="134"/>
        <v>23616.698999999997</v>
      </c>
      <c r="E42" s="236">
        <f t="shared" si="134"/>
        <v>19938</v>
      </c>
      <c r="F42" s="236">
        <f t="shared" si="134"/>
        <v>34311</v>
      </c>
      <c r="G42" s="236">
        <f t="shared" si="134"/>
        <v>28118</v>
      </c>
      <c r="H42" s="236">
        <f t="shared" si="134"/>
        <v>21477</v>
      </c>
      <c r="I42" s="236">
        <f t="shared" si="134"/>
        <v>24429</v>
      </c>
      <c r="J42" s="236">
        <f t="shared" si="134"/>
        <v>19115</v>
      </c>
      <c r="K42" s="236">
        <f t="shared" si="134"/>
        <v>19209</v>
      </c>
      <c r="L42" s="236">
        <f t="shared" si="134"/>
        <v>29215</v>
      </c>
      <c r="M42" s="238">
        <f t="shared" si="134"/>
        <v>22167</v>
      </c>
      <c r="N42" s="238">
        <f t="shared" si="134"/>
        <v>281020.65399999998</v>
      </c>
      <c r="O42" s="236">
        <f t="shared" si="134"/>
        <v>19584</v>
      </c>
      <c r="P42" s="236">
        <f t="shared" si="134"/>
        <v>12580</v>
      </c>
      <c r="Q42" s="236">
        <f t="shared" si="134"/>
        <v>34164</v>
      </c>
      <c r="R42" s="236">
        <f t="shared" si="134"/>
        <v>18420</v>
      </c>
      <c r="S42" s="236">
        <f t="shared" si="134"/>
        <v>24457</v>
      </c>
      <c r="T42" s="236">
        <f t="shared" si="134"/>
        <v>19172</v>
      </c>
      <c r="U42" s="236">
        <f t="shared" si="134"/>
        <v>19656</v>
      </c>
      <c r="V42" s="236">
        <f t="shared" si="134"/>
        <v>20109</v>
      </c>
      <c r="W42" s="236">
        <f t="shared" si="134"/>
        <v>19780</v>
      </c>
      <c r="X42" s="236">
        <f t="shared" si="134"/>
        <v>19223</v>
      </c>
      <c r="Y42" s="236">
        <f t="shared" si="134"/>
        <v>28031</v>
      </c>
      <c r="Z42" s="238">
        <f t="shared" si="134"/>
        <v>19436</v>
      </c>
      <c r="AA42" s="236">
        <f t="shared" si="134"/>
        <v>254612</v>
      </c>
      <c r="AB42" s="237">
        <f t="shared" si="134"/>
        <v>17744</v>
      </c>
      <c r="AC42" s="236">
        <f t="shared" si="134"/>
        <v>13438</v>
      </c>
      <c r="AD42" s="236">
        <f t="shared" si="134"/>
        <v>33961</v>
      </c>
      <c r="AE42" s="236">
        <f t="shared" si="134"/>
        <v>15290</v>
      </c>
      <c r="AF42" s="236">
        <f t="shared" si="134"/>
        <v>27545</v>
      </c>
      <c r="AG42" s="236">
        <f t="shared" si="134"/>
        <v>17550</v>
      </c>
      <c r="AH42" s="236">
        <f t="shared" si="134"/>
        <v>16859</v>
      </c>
      <c r="AI42" s="236">
        <f t="shared" si="134"/>
        <v>21006</v>
      </c>
      <c r="AJ42" s="236">
        <f t="shared" si="134"/>
        <v>20409</v>
      </c>
      <c r="AK42" s="236">
        <f t="shared" si="134"/>
        <v>26818</v>
      </c>
      <c r="AL42" s="236">
        <f t="shared" si="134"/>
        <v>21460</v>
      </c>
      <c r="AM42" s="236">
        <f t="shared" si="134"/>
        <v>24847</v>
      </c>
      <c r="AN42" s="145">
        <f t="shared" si="134"/>
        <v>256927</v>
      </c>
      <c r="AO42" s="237">
        <f t="shared" si="134"/>
        <v>14192</v>
      </c>
      <c r="AP42" s="236">
        <f t="shared" si="134"/>
        <v>28168</v>
      </c>
      <c r="AQ42" s="236">
        <f t="shared" si="134"/>
        <v>23417</v>
      </c>
      <c r="AR42" s="236">
        <f t="shared" si="134"/>
        <v>28090</v>
      </c>
      <c r="AS42" s="236">
        <f t="shared" si="134"/>
        <v>17890</v>
      </c>
      <c r="AT42" s="236">
        <f t="shared" si="134"/>
        <v>25822</v>
      </c>
      <c r="AU42" s="236">
        <f t="shared" si="134"/>
        <v>16881</v>
      </c>
      <c r="AV42" s="236">
        <f t="shared" si="134"/>
        <v>18822</v>
      </c>
      <c r="AW42" s="236">
        <f t="shared" si="134"/>
        <v>15615</v>
      </c>
      <c r="AX42" s="236">
        <f t="shared" si="134"/>
        <v>35754</v>
      </c>
      <c r="AY42" s="236">
        <f t="shared" si="134"/>
        <v>22064</v>
      </c>
      <c r="AZ42" s="238">
        <f t="shared" si="134"/>
        <v>21564</v>
      </c>
      <c r="BA42" s="238">
        <f t="shared" si="134"/>
        <v>268279</v>
      </c>
      <c r="BB42" s="236">
        <f t="shared" si="134"/>
        <v>16979</v>
      </c>
      <c r="BC42" s="236">
        <f t="shared" si="134"/>
        <v>29067</v>
      </c>
      <c r="BD42" s="236">
        <f t="shared" si="134"/>
        <v>21145</v>
      </c>
      <c r="BE42" s="236">
        <f t="shared" si="134"/>
        <v>18494</v>
      </c>
      <c r="BF42" s="236">
        <f t="shared" si="134"/>
        <v>26341</v>
      </c>
      <c r="BG42" s="236">
        <f t="shared" si="134"/>
        <v>23227</v>
      </c>
      <c r="BH42" s="236">
        <f t="shared" si="134"/>
        <v>21831</v>
      </c>
      <c r="BI42" s="236">
        <f t="shared" si="134"/>
        <v>20625</v>
      </c>
      <c r="BJ42" s="236">
        <f t="shared" si="134"/>
        <v>21612</v>
      </c>
      <c r="BK42" s="236">
        <f t="shared" si="134"/>
        <v>22772</v>
      </c>
      <c r="BL42" s="236">
        <f t="shared" si="134"/>
        <v>21760</v>
      </c>
      <c r="BM42" s="238">
        <f t="shared" si="134"/>
        <v>23718</v>
      </c>
      <c r="BN42" s="238">
        <f t="shared" ref="BN42:BZ42" si="135">SUM(BN43:BN45)</f>
        <v>267571</v>
      </c>
      <c r="BO42" s="236">
        <f t="shared" si="135"/>
        <v>18702</v>
      </c>
      <c r="BP42" s="236">
        <f t="shared" si="135"/>
        <v>10695</v>
      </c>
      <c r="BQ42" s="236">
        <f t="shared" si="135"/>
        <v>39651</v>
      </c>
      <c r="BR42" s="236">
        <f t="shared" si="135"/>
        <v>12655</v>
      </c>
      <c r="BS42" s="236">
        <f t="shared" si="135"/>
        <v>9007</v>
      </c>
      <c r="BT42" s="236">
        <f t="shared" si="135"/>
        <v>21408</v>
      </c>
      <c r="BU42" s="236">
        <f t="shared" si="135"/>
        <v>19152</v>
      </c>
      <c r="BV42" s="236">
        <f t="shared" si="135"/>
        <v>21926</v>
      </c>
      <c r="BW42" s="236">
        <f t="shared" si="135"/>
        <v>26238</v>
      </c>
      <c r="BX42" s="236">
        <f t="shared" si="135"/>
        <v>21062</v>
      </c>
      <c r="BY42" s="236">
        <f t="shared" si="135"/>
        <v>20047</v>
      </c>
      <c r="BZ42" s="236">
        <f t="shared" si="135"/>
        <v>23812</v>
      </c>
      <c r="CA42" s="145">
        <f t="shared" si="133"/>
        <v>244355</v>
      </c>
      <c r="CB42" s="236">
        <f t="shared" ref="CB42:CM42" si="136">SUM(CB43:CB45)</f>
        <v>25785</v>
      </c>
      <c r="CC42" s="236">
        <f t="shared" si="136"/>
        <v>29827</v>
      </c>
      <c r="CD42" s="236">
        <f t="shared" si="136"/>
        <v>26571</v>
      </c>
      <c r="CE42" s="236">
        <f t="shared" si="136"/>
        <v>36661</v>
      </c>
      <c r="CF42" s="236">
        <f t="shared" si="136"/>
        <v>25894</v>
      </c>
      <c r="CG42" s="236">
        <f t="shared" si="136"/>
        <v>28345</v>
      </c>
      <c r="CH42" s="236">
        <f t="shared" si="136"/>
        <v>27989</v>
      </c>
      <c r="CI42" s="236">
        <f t="shared" si="136"/>
        <v>29443</v>
      </c>
      <c r="CJ42" s="236">
        <f t="shared" si="136"/>
        <v>33813</v>
      </c>
      <c r="CK42" s="236">
        <f t="shared" si="136"/>
        <v>36563</v>
      </c>
      <c r="CL42" s="236">
        <f t="shared" si="136"/>
        <v>33358</v>
      </c>
      <c r="CM42" s="238">
        <f t="shared" si="136"/>
        <v>40703</v>
      </c>
      <c r="CN42" s="238">
        <f t="shared" ref="CN42:CN53" si="137">SUM(CB42:CM42)</f>
        <v>374952</v>
      </c>
      <c r="CO42" s="237">
        <f t="shared" ref="CO42:CZ42" si="138">SUM(CO43:CO45)</f>
        <v>37974</v>
      </c>
      <c r="CP42" s="236">
        <f t="shared" si="138"/>
        <v>42531</v>
      </c>
      <c r="CQ42" s="236">
        <f t="shared" si="138"/>
        <v>43511</v>
      </c>
      <c r="CR42" s="236">
        <f t="shared" si="138"/>
        <v>37084</v>
      </c>
      <c r="CS42" s="236">
        <f t="shared" si="138"/>
        <v>53383</v>
      </c>
      <c r="CT42" s="236">
        <f t="shared" si="138"/>
        <v>39338</v>
      </c>
      <c r="CU42" s="236">
        <f t="shared" si="138"/>
        <v>40011</v>
      </c>
      <c r="CV42" s="236">
        <f t="shared" si="138"/>
        <v>36472</v>
      </c>
      <c r="CW42" s="236">
        <f t="shared" si="138"/>
        <v>43357</v>
      </c>
      <c r="CX42" s="236">
        <f t="shared" si="138"/>
        <v>39406</v>
      </c>
      <c r="CY42" s="236">
        <f t="shared" si="138"/>
        <v>32114</v>
      </c>
      <c r="CZ42" s="238">
        <f t="shared" si="138"/>
        <v>44074</v>
      </c>
      <c r="DA42" s="145">
        <f t="shared" ref="DA42:DA51" si="139">SUM(CO42:CZ42)</f>
        <v>489255</v>
      </c>
      <c r="DB42" s="237">
        <f t="shared" ref="DB42:DM42" si="140">SUM(DB43:DB45)</f>
        <v>36655</v>
      </c>
      <c r="DC42" s="236">
        <f t="shared" si="140"/>
        <v>44251</v>
      </c>
      <c r="DD42" s="236">
        <f t="shared" si="140"/>
        <v>38427</v>
      </c>
      <c r="DE42" s="236">
        <f t="shared" si="140"/>
        <v>45317</v>
      </c>
      <c r="DF42" s="236">
        <f t="shared" si="140"/>
        <v>47148</v>
      </c>
      <c r="DG42" s="236">
        <f t="shared" si="140"/>
        <v>35460</v>
      </c>
      <c r="DH42" s="236">
        <f t="shared" si="140"/>
        <v>28162</v>
      </c>
      <c r="DI42" s="236">
        <f t="shared" si="140"/>
        <v>38822</v>
      </c>
      <c r="DJ42" s="236">
        <f t="shared" si="140"/>
        <v>30942</v>
      </c>
      <c r="DK42" s="236">
        <f t="shared" si="140"/>
        <v>34826</v>
      </c>
      <c r="DL42" s="236">
        <f t="shared" si="140"/>
        <v>37462</v>
      </c>
      <c r="DM42" s="238">
        <f t="shared" si="140"/>
        <v>33421</v>
      </c>
      <c r="DN42" s="236">
        <f t="shared" ref="DN42:DN51" si="141">SUM(DB42:DM42)</f>
        <v>450893</v>
      </c>
      <c r="DO42" s="237">
        <f t="shared" ref="DO42:DZ42" si="142">SUM(DO43:DO45)</f>
        <v>28259</v>
      </c>
      <c r="DP42" s="236">
        <f t="shared" si="142"/>
        <v>48285</v>
      </c>
      <c r="DQ42" s="236">
        <f t="shared" si="142"/>
        <v>34665</v>
      </c>
      <c r="DR42" s="236">
        <f t="shared" si="142"/>
        <v>32719</v>
      </c>
      <c r="DS42" s="236">
        <f t="shared" si="142"/>
        <v>46154</v>
      </c>
      <c r="DT42" s="236">
        <f t="shared" si="142"/>
        <v>36524</v>
      </c>
      <c r="DU42" s="236">
        <f t="shared" si="142"/>
        <v>35588</v>
      </c>
      <c r="DV42" s="236">
        <f t="shared" si="142"/>
        <v>36772</v>
      </c>
      <c r="DW42" s="236">
        <f t="shared" si="142"/>
        <v>42186</v>
      </c>
      <c r="DX42" s="236">
        <f t="shared" si="142"/>
        <v>40392</v>
      </c>
      <c r="DY42" s="236">
        <f t="shared" si="142"/>
        <v>37917</v>
      </c>
      <c r="DZ42" s="238">
        <f t="shared" si="142"/>
        <v>43905</v>
      </c>
      <c r="EA42" s="238">
        <f t="shared" ref="EA42:EA53" si="143">SUM(DO42:DZ42)</f>
        <v>463366</v>
      </c>
      <c r="EB42" s="237">
        <f t="shared" ref="EB42:EM42" si="144">SUM(EB43:EB45)</f>
        <v>34739</v>
      </c>
      <c r="EC42" s="236">
        <f t="shared" si="144"/>
        <v>55014</v>
      </c>
      <c r="ED42" s="236">
        <f t="shared" si="144"/>
        <v>39932</v>
      </c>
      <c r="EE42" s="236">
        <f t="shared" si="144"/>
        <v>37502</v>
      </c>
      <c r="EF42" s="236">
        <f t="shared" si="144"/>
        <v>53550</v>
      </c>
      <c r="EG42" s="236">
        <f t="shared" si="144"/>
        <v>39330</v>
      </c>
      <c r="EH42" s="236">
        <f t="shared" si="144"/>
        <v>41116</v>
      </c>
      <c r="EI42" s="236">
        <f t="shared" si="144"/>
        <v>40165</v>
      </c>
      <c r="EJ42" s="236">
        <f t="shared" si="144"/>
        <v>40382</v>
      </c>
      <c r="EK42" s="236">
        <f t="shared" si="144"/>
        <v>40821</v>
      </c>
      <c r="EL42" s="236">
        <f t="shared" si="144"/>
        <v>38525</v>
      </c>
      <c r="EM42" s="236">
        <f t="shared" si="144"/>
        <v>38758</v>
      </c>
      <c r="EN42" s="145">
        <f t="shared" ref="EN42:EN53" si="145">SUM(EB42:EM42)</f>
        <v>499834</v>
      </c>
      <c r="EO42" s="237">
        <f t="shared" ref="EO42:ER42" si="146">SUM(EO43:EO45)</f>
        <v>33060</v>
      </c>
      <c r="EP42" s="236">
        <f t="shared" si="146"/>
        <v>51335</v>
      </c>
      <c r="EQ42" s="236">
        <f t="shared" si="146"/>
        <v>40631</v>
      </c>
      <c r="ER42" s="236">
        <f t="shared" si="146"/>
        <v>49426</v>
      </c>
      <c r="ES42" s="236">
        <f t="shared" ref="ES42" si="147">SUM(ES43:ES45)</f>
        <v>55604</v>
      </c>
      <c r="ET42" s="236">
        <f t="shared" ref="ET42" si="148">SUM(ET43:ET45)</f>
        <v>51301</v>
      </c>
      <c r="EU42" s="236">
        <f t="shared" ref="EU42" si="149">SUM(EU43:EU45)</f>
        <v>49887</v>
      </c>
      <c r="EV42" s="955">
        <f t="shared" ref="EV42" si="150">SUM(EV43:EV45)</f>
        <v>40667</v>
      </c>
      <c r="EW42" s="236"/>
      <c r="EX42" s="236"/>
      <c r="EY42" s="236"/>
      <c r="EZ42" s="236"/>
      <c r="FA42" s="145">
        <f t="shared" ref="FA42:FA53" si="151">SUM(EO42:EZ42)</f>
        <v>371911</v>
      </c>
      <c r="FC42" s="270">
        <f t="shared" ref="FC42:FC53" si="152">IFERROR(((EV42/EI42)-1)*100,"-")</f>
        <v>1.2498443918834701</v>
      </c>
      <c r="FD42" s="270">
        <f>IFERROR(((FF42/FE42)-1)*100,"-")</f>
        <v>8.9536191804258323</v>
      </c>
      <c r="FE42" s="257">
        <f t="shared" ref="FE42:FE53" si="153">IFERROR(SUM(EB42:EI42),"-")</f>
        <v>341348</v>
      </c>
      <c r="FF42" s="257">
        <f t="shared" ref="FF42:FF51" si="154">IFERROR(SUM(EO42:EY42),"-")</f>
        <v>371911</v>
      </c>
      <c r="FG42" s="299"/>
    </row>
    <row r="43" spans="1:163" ht="15" customHeight="1" x14ac:dyDescent="0.25">
      <c r="A43" s="138" t="s">
        <v>296</v>
      </c>
      <c r="B43" s="152">
        <f t="shared" ref="B43:AG43" si="155">B9</f>
        <v>477</v>
      </c>
      <c r="C43" s="127">
        <f t="shared" si="155"/>
        <v>1788</v>
      </c>
      <c r="D43" s="127">
        <f t="shared" si="155"/>
        <v>1590</v>
      </c>
      <c r="E43" s="127">
        <f t="shared" si="155"/>
        <v>761</v>
      </c>
      <c r="F43" s="127">
        <f t="shared" si="155"/>
        <v>963</v>
      </c>
      <c r="G43" s="127">
        <f t="shared" si="155"/>
        <v>925</v>
      </c>
      <c r="H43" s="127">
        <f t="shared" si="155"/>
        <v>1096</v>
      </c>
      <c r="I43" s="127">
        <f t="shared" si="155"/>
        <v>1386</v>
      </c>
      <c r="J43" s="127">
        <f t="shared" si="155"/>
        <v>1050</v>
      </c>
      <c r="K43" s="127">
        <f t="shared" si="155"/>
        <v>884</v>
      </c>
      <c r="L43" s="127">
        <f t="shared" si="155"/>
        <v>1045</v>
      </c>
      <c r="M43" s="201">
        <f t="shared" si="155"/>
        <v>1212</v>
      </c>
      <c r="N43" s="201">
        <f t="shared" si="155"/>
        <v>13177</v>
      </c>
      <c r="O43" s="127">
        <f t="shared" si="155"/>
        <v>804</v>
      </c>
      <c r="P43" s="127">
        <f t="shared" si="155"/>
        <v>2930</v>
      </c>
      <c r="Q43" s="127">
        <f t="shared" si="155"/>
        <v>1671</v>
      </c>
      <c r="R43" s="127">
        <f t="shared" si="155"/>
        <v>1535</v>
      </c>
      <c r="S43" s="127">
        <f t="shared" si="155"/>
        <v>981</v>
      </c>
      <c r="T43" s="127">
        <f t="shared" si="155"/>
        <v>903</v>
      </c>
      <c r="U43" s="127">
        <f t="shared" si="155"/>
        <v>1134</v>
      </c>
      <c r="V43" s="127">
        <f t="shared" si="155"/>
        <v>3502</v>
      </c>
      <c r="W43" s="127">
        <f t="shared" si="155"/>
        <v>2447</v>
      </c>
      <c r="X43" s="127">
        <f t="shared" si="155"/>
        <v>665</v>
      </c>
      <c r="Y43" s="127">
        <f t="shared" si="155"/>
        <v>1008</v>
      </c>
      <c r="Z43" s="201">
        <f t="shared" si="155"/>
        <v>1802</v>
      </c>
      <c r="AA43" s="127">
        <f t="shared" si="155"/>
        <v>19382</v>
      </c>
      <c r="AB43" s="152">
        <f t="shared" si="155"/>
        <v>1419</v>
      </c>
      <c r="AC43" s="127">
        <f t="shared" si="155"/>
        <v>2886</v>
      </c>
      <c r="AD43" s="127">
        <f t="shared" si="155"/>
        <v>2531</v>
      </c>
      <c r="AE43" s="127">
        <f t="shared" si="155"/>
        <v>830</v>
      </c>
      <c r="AF43" s="127">
        <f t="shared" si="155"/>
        <v>1285</v>
      </c>
      <c r="AG43" s="127">
        <f t="shared" si="155"/>
        <v>1068</v>
      </c>
      <c r="AH43" s="127">
        <f t="shared" ref="AH43:BM43" si="156">AH9</f>
        <v>1383</v>
      </c>
      <c r="AI43" s="127">
        <f t="shared" si="156"/>
        <v>1765</v>
      </c>
      <c r="AJ43" s="127">
        <f t="shared" si="156"/>
        <v>931</v>
      </c>
      <c r="AK43" s="127">
        <f t="shared" si="156"/>
        <v>1025</v>
      </c>
      <c r="AL43" s="127">
        <f t="shared" si="156"/>
        <v>1295</v>
      </c>
      <c r="AM43" s="127">
        <f t="shared" si="156"/>
        <v>1115</v>
      </c>
      <c r="AN43" s="148">
        <f t="shared" si="156"/>
        <v>17533</v>
      </c>
      <c r="AO43" s="152">
        <f t="shared" si="156"/>
        <v>1124</v>
      </c>
      <c r="AP43" s="127">
        <f t="shared" si="156"/>
        <v>3171</v>
      </c>
      <c r="AQ43" s="127">
        <f t="shared" si="156"/>
        <v>1474</v>
      </c>
      <c r="AR43" s="127">
        <f t="shared" si="156"/>
        <v>1189</v>
      </c>
      <c r="AS43" s="127">
        <f t="shared" si="156"/>
        <v>1340</v>
      </c>
      <c r="AT43" s="127">
        <f t="shared" si="156"/>
        <v>1214</v>
      </c>
      <c r="AU43" s="127">
        <f t="shared" si="156"/>
        <v>1137</v>
      </c>
      <c r="AV43" s="127">
        <f t="shared" si="156"/>
        <v>1623</v>
      </c>
      <c r="AW43" s="127">
        <f t="shared" si="156"/>
        <v>1199</v>
      </c>
      <c r="AX43" s="127">
        <f t="shared" si="156"/>
        <v>1117</v>
      </c>
      <c r="AY43" s="127">
        <f t="shared" si="156"/>
        <v>1344</v>
      </c>
      <c r="AZ43" s="201">
        <f t="shared" si="156"/>
        <v>1178</v>
      </c>
      <c r="BA43" s="201">
        <f t="shared" si="156"/>
        <v>17110</v>
      </c>
      <c r="BB43" s="127">
        <f t="shared" si="156"/>
        <v>1033</v>
      </c>
      <c r="BC43" s="127">
        <f t="shared" si="156"/>
        <v>2784</v>
      </c>
      <c r="BD43" s="127">
        <f t="shared" si="156"/>
        <v>1848</v>
      </c>
      <c r="BE43" s="127">
        <f t="shared" si="156"/>
        <v>1170</v>
      </c>
      <c r="BF43" s="127">
        <f t="shared" si="156"/>
        <v>2089</v>
      </c>
      <c r="BG43" s="127">
        <f t="shared" si="156"/>
        <v>1198</v>
      </c>
      <c r="BH43" s="127">
        <f t="shared" si="156"/>
        <v>2355</v>
      </c>
      <c r="BI43" s="127">
        <f t="shared" si="156"/>
        <v>1876</v>
      </c>
      <c r="BJ43" s="127">
        <f t="shared" si="156"/>
        <v>1415</v>
      </c>
      <c r="BK43" s="127">
        <f t="shared" si="156"/>
        <v>998</v>
      </c>
      <c r="BL43" s="127">
        <f t="shared" si="156"/>
        <v>1463</v>
      </c>
      <c r="BM43" s="201">
        <f t="shared" si="156"/>
        <v>1444</v>
      </c>
      <c r="BN43" s="201">
        <f t="shared" ref="BN43:BZ43" si="157">BN9</f>
        <v>19673</v>
      </c>
      <c r="BO43" s="127">
        <f t="shared" si="157"/>
        <v>1065</v>
      </c>
      <c r="BP43" s="127">
        <f t="shared" si="157"/>
        <v>3218</v>
      </c>
      <c r="BQ43" s="127">
        <f t="shared" si="157"/>
        <v>1235</v>
      </c>
      <c r="BR43" s="127">
        <f t="shared" si="157"/>
        <v>25</v>
      </c>
      <c r="BS43" s="127">
        <f t="shared" si="157"/>
        <v>269</v>
      </c>
      <c r="BT43" s="127">
        <f t="shared" si="157"/>
        <v>629</v>
      </c>
      <c r="BU43" s="127">
        <f t="shared" si="157"/>
        <v>1729</v>
      </c>
      <c r="BV43" s="127">
        <f t="shared" si="157"/>
        <v>1933</v>
      </c>
      <c r="BW43" s="127">
        <f t="shared" si="157"/>
        <v>2479</v>
      </c>
      <c r="BX43" s="127">
        <f t="shared" si="157"/>
        <v>1472</v>
      </c>
      <c r="BY43" s="127">
        <f t="shared" si="157"/>
        <v>1714</v>
      </c>
      <c r="BZ43" s="127">
        <f t="shared" si="157"/>
        <v>2052</v>
      </c>
      <c r="CA43" s="145">
        <f t="shared" si="133"/>
        <v>17820</v>
      </c>
      <c r="CB43" s="127">
        <f t="shared" ref="CB43:CM43" si="158">CB9</f>
        <v>1935</v>
      </c>
      <c r="CC43" s="127">
        <f t="shared" si="158"/>
        <v>1989</v>
      </c>
      <c r="CD43" s="127">
        <f t="shared" si="158"/>
        <v>2575</v>
      </c>
      <c r="CE43" s="127">
        <f t="shared" si="158"/>
        <v>1526</v>
      </c>
      <c r="CF43" s="127">
        <f t="shared" si="158"/>
        <v>2104</v>
      </c>
      <c r="CG43" s="127">
        <f t="shared" si="158"/>
        <v>1644</v>
      </c>
      <c r="CH43" s="127">
        <f t="shared" si="158"/>
        <v>2186</v>
      </c>
      <c r="CI43" s="127">
        <f t="shared" si="158"/>
        <v>2124</v>
      </c>
      <c r="CJ43" s="127">
        <f t="shared" si="158"/>
        <v>1792</v>
      </c>
      <c r="CK43" s="127">
        <f t="shared" si="158"/>
        <v>1764</v>
      </c>
      <c r="CL43" s="127">
        <f t="shared" si="158"/>
        <v>2195</v>
      </c>
      <c r="CM43" s="201">
        <f t="shared" si="158"/>
        <v>1804</v>
      </c>
      <c r="CN43" s="201">
        <f t="shared" si="137"/>
        <v>23638</v>
      </c>
      <c r="CO43" s="152">
        <f t="shared" ref="CO43:CZ43" si="159">CO9</f>
        <v>1422</v>
      </c>
      <c r="CP43" s="127">
        <f t="shared" si="159"/>
        <v>2735</v>
      </c>
      <c r="CQ43" s="127">
        <f t="shared" si="159"/>
        <v>3307</v>
      </c>
      <c r="CR43" s="127">
        <f t="shared" si="159"/>
        <v>1440</v>
      </c>
      <c r="CS43" s="127">
        <f t="shared" si="159"/>
        <v>1600</v>
      </c>
      <c r="CT43" s="127">
        <f t="shared" si="159"/>
        <v>2021</v>
      </c>
      <c r="CU43" s="127">
        <f t="shared" si="159"/>
        <v>1904</v>
      </c>
      <c r="CV43" s="127">
        <f t="shared" si="159"/>
        <v>1877</v>
      </c>
      <c r="CW43" s="127">
        <f t="shared" si="159"/>
        <v>1537</v>
      </c>
      <c r="CX43" s="127">
        <f t="shared" si="159"/>
        <v>1256</v>
      </c>
      <c r="CY43" s="127">
        <f t="shared" si="159"/>
        <v>1402</v>
      </c>
      <c r="CZ43" s="201">
        <f t="shared" si="159"/>
        <v>1424</v>
      </c>
      <c r="DA43" s="148">
        <f t="shared" si="139"/>
        <v>21925</v>
      </c>
      <c r="DB43" s="152">
        <f t="shared" ref="DB43:DM43" si="160">DB9</f>
        <v>1187</v>
      </c>
      <c r="DC43" s="127">
        <f t="shared" si="160"/>
        <v>3812</v>
      </c>
      <c r="DD43" s="127">
        <f t="shared" si="160"/>
        <v>3044</v>
      </c>
      <c r="DE43" s="127">
        <f t="shared" si="160"/>
        <v>1471</v>
      </c>
      <c r="DF43" s="127">
        <f t="shared" si="160"/>
        <v>2233</v>
      </c>
      <c r="DG43" s="127">
        <f t="shared" si="160"/>
        <v>1946</v>
      </c>
      <c r="DH43" s="127">
        <f t="shared" si="160"/>
        <v>1681</v>
      </c>
      <c r="DI43" s="127">
        <f t="shared" si="160"/>
        <v>2199</v>
      </c>
      <c r="DJ43" s="127">
        <f t="shared" si="160"/>
        <v>1206</v>
      </c>
      <c r="DK43" s="127">
        <f t="shared" si="160"/>
        <v>1331</v>
      </c>
      <c r="DL43" s="127">
        <f t="shared" si="160"/>
        <v>1599</v>
      </c>
      <c r="DM43" s="201">
        <f t="shared" si="160"/>
        <v>2188</v>
      </c>
      <c r="DN43" s="127">
        <f t="shared" si="141"/>
        <v>23897</v>
      </c>
      <c r="DO43" s="152">
        <f t="shared" ref="DO43:DZ43" si="161">DO9</f>
        <v>1333</v>
      </c>
      <c r="DP43" s="127">
        <f t="shared" si="161"/>
        <v>4426</v>
      </c>
      <c r="DQ43" s="127">
        <f t="shared" si="161"/>
        <v>1942</v>
      </c>
      <c r="DR43" s="127">
        <f t="shared" si="161"/>
        <v>1521</v>
      </c>
      <c r="DS43" s="127">
        <f t="shared" si="161"/>
        <v>2594</v>
      </c>
      <c r="DT43" s="127">
        <f t="shared" si="161"/>
        <v>1561</v>
      </c>
      <c r="DU43" s="127">
        <f t="shared" si="161"/>
        <v>2314</v>
      </c>
      <c r="DV43" s="127">
        <f t="shared" si="161"/>
        <v>2261</v>
      </c>
      <c r="DW43" s="127">
        <f t="shared" si="161"/>
        <v>1798</v>
      </c>
      <c r="DX43" s="127">
        <f t="shared" si="161"/>
        <v>2549</v>
      </c>
      <c r="DY43" s="127">
        <f t="shared" si="161"/>
        <v>2312</v>
      </c>
      <c r="DZ43" s="201">
        <f t="shared" si="161"/>
        <v>1843</v>
      </c>
      <c r="EA43" s="201">
        <f t="shared" si="143"/>
        <v>26454</v>
      </c>
      <c r="EB43" s="152">
        <f t="shared" ref="EB43:EM43" si="162">EB9</f>
        <v>2028</v>
      </c>
      <c r="EC43" s="127">
        <f t="shared" si="162"/>
        <v>3247</v>
      </c>
      <c r="ED43" s="127">
        <f t="shared" si="162"/>
        <v>3059</v>
      </c>
      <c r="EE43" s="127">
        <f t="shared" si="162"/>
        <v>2216</v>
      </c>
      <c r="EF43" s="127">
        <f t="shared" si="162"/>
        <v>2723</v>
      </c>
      <c r="EG43" s="127">
        <f t="shared" si="162"/>
        <v>2136</v>
      </c>
      <c r="EH43" s="127">
        <f t="shared" si="162"/>
        <v>2005</v>
      </c>
      <c r="EI43" s="127">
        <f t="shared" si="162"/>
        <v>2520</v>
      </c>
      <c r="EJ43" s="127">
        <f t="shared" si="162"/>
        <v>2861</v>
      </c>
      <c r="EK43" s="127">
        <f t="shared" si="162"/>
        <v>2275</v>
      </c>
      <c r="EL43" s="127">
        <f t="shared" si="162"/>
        <v>2314</v>
      </c>
      <c r="EM43" s="127">
        <f t="shared" si="162"/>
        <v>2520</v>
      </c>
      <c r="EN43" s="148">
        <f t="shared" si="145"/>
        <v>29904</v>
      </c>
      <c r="EO43" s="152">
        <f t="shared" ref="EO43:ER43" si="163">EO9</f>
        <v>1541</v>
      </c>
      <c r="EP43" s="127">
        <f t="shared" si="163"/>
        <v>4601</v>
      </c>
      <c r="EQ43" s="127">
        <f t="shared" si="163"/>
        <v>2208</v>
      </c>
      <c r="ER43" s="127">
        <f t="shared" si="163"/>
        <v>1856</v>
      </c>
      <c r="ES43" s="127">
        <f t="shared" ref="ES43" si="164">ES9</f>
        <v>2992</v>
      </c>
      <c r="ET43" s="127">
        <f t="shared" ref="ET43" si="165">ET9</f>
        <v>2302</v>
      </c>
      <c r="EU43" s="127">
        <f t="shared" ref="EU43" si="166">EU9</f>
        <v>2288</v>
      </c>
      <c r="EV43" s="954">
        <f t="shared" ref="EV43" si="167">EV9</f>
        <v>2331</v>
      </c>
      <c r="EW43" s="127"/>
      <c r="EX43" s="127"/>
      <c r="EY43" s="127"/>
      <c r="EZ43" s="127"/>
      <c r="FA43" s="148">
        <f t="shared" si="151"/>
        <v>20119</v>
      </c>
      <c r="FC43" s="271">
        <f t="shared" si="152"/>
        <v>-7.4999999999999956</v>
      </c>
      <c r="FD43" s="271">
        <f t="shared" ref="FD43:FD51" si="168">IFERROR(((FF43/FE43)-1)*100,"-")</f>
        <v>0.92806260660178719</v>
      </c>
      <c r="FE43" s="202">
        <f t="shared" si="153"/>
        <v>19934</v>
      </c>
      <c r="FF43" s="202">
        <f t="shared" si="154"/>
        <v>20119</v>
      </c>
      <c r="FG43" s="205"/>
    </row>
    <row r="44" spans="1:163" ht="15" customHeight="1" x14ac:dyDescent="0.25">
      <c r="A44" s="138" t="s">
        <v>297</v>
      </c>
      <c r="B44" s="152">
        <f t="shared" ref="B44:AG44" si="169">B10+B17</f>
        <v>1155</v>
      </c>
      <c r="C44" s="127">
        <f t="shared" si="169"/>
        <v>1809</v>
      </c>
      <c r="D44" s="127">
        <f t="shared" si="169"/>
        <v>1856</v>
      </c>
      <c r="E44" s="127">
        <f t="shared" si="169"/>
        <v>1446</v>
      </c>
      <c r="F44" s="127">
        <f t="shared" si="169"/>
        <v>1373</v>
      </c>
      <c r="G44" s="127">
        <f t="shared" si="169"/>
        <v>1893</v>
      </c>
      <c r="H44" s="127">
        <f t="shared" si="169"/>
        <v>2167</v>
      </c>
      <c r="I44" s="127">
        <f t="shared" si="169"/>
        <v>1878</v>
      </c>
      <c r="J44" s="127">
        <f t="shared" si="169"/>
        <v>1715</v>
      </c>
      <c r="K44" s="127">
        <f t="shared" si="169"/>
        <v>1738</v>
      </c>
      <c r="L44" s="127">
        <f t="shared" si="169"/>
        <v>1805</v>
      </c>
      <c r="M44" s="201">
        <f t="shared" si="169"/>
        <v>1832</v>
      </c>
      <c r="N44" s="201">
        <f t="shared" si="169"/>
        <v>20667</v>
      </c>
      <c r="O44" s="127">
        <f t="shared" si="169"/>
        <v>2081</v>
      </c>
      <c r="P44" s="127">
        <f t="shared" si="169"/>
        <v>2625</v>
      </c>
      <c r="Q44" s="127">
        <f t="shared" si="169"/>
        <v>1610</v>
      </c>
      <c r="R44" s="127">
        <f t="shared" si="169"/>
        <v>1956</v>
      </c>
      <c r="S44" s="127">
        <f t="shared" si="169"/>
        <v>1829</v>
      </c>
      <c r="T44" s="127">
        <f t="shared" si="169"/>
        <v>1665</v>
      </c>
      <c r="U44" s="127">
        <f t="shared" si="169"/>
        <v>1924</v>
      </c>
      <c r="V44" s="127">
        <f t="shared" si="169"/>
        <v>2543</v>
      </c>
      <c r="W44" s="127">
        <f t="shared" si="169"/>
        <v>2722</v>
      </c>
      <c r="X44" s="127">
        <f t="shared" si="169"/>
        <v>1668</v>
      </c>
      <c r="Y44" s="127">
        <f t="shared" si="169"/>
        <v>1742</v>
      </c>
      <c r="Z44" s="201">
        <f t="shared" si="169"/>
        <v>1820</v>
      </c>
      <c r="AA44" s="127">
        <f t="shared" si="169"/>
        <v>24185</v>
      </c>
      <c r="AB44" s="152">
        <f t="shared" si="169"/>
        <v>2102</v>
      </c>
      <c r="AC44" s="127">
        <f t="shared" si="169"/>
        <v>2326</v>
      </c>
      <c r="AD44" s="127">
        <f t="shared" si="169"/>
        <v>2660</v>
      </c>
      <c r="AE44" s="127">
        <f t="shared" si="169"/>
        <v>1477</v>
      </c>
      <c r="AF44" s="127">
        <f t="shared" si="169"/>
        <v>1880</v>
      </c>
      <c r="AG44" s="127">
        <f t="shared" si="169"/>
        <v>1365</v>
      </c>
      <c r="AH44" s="127">
        <f t="shared" ref="AH44:BM44" si="170">AH10+AH17</f>
        <v>1646</v>
      </c>
      <c r="AI44" s="127">
        <f t="shared" si="170"/>
        <v>2053</v>
      </c>
      <c r="AJ44" s="127">
        <f t="shared" si="170"/>
        <v>1908</v>
      </c>
      <c r="AK44" s="127">
        <f t="shared" si="170"/>
        <v>1947</v>
      </c>
      <c r="AL44" s="127">
        <f t="shared" si="170"/>
        <v>1762</v>
      </c>
      <c r="AM44" s="127">
        <f t="shared" si="170"/>
        <v>1857</v>
      </c>
      <c r="AN44" s="148">
        <f t="shared" si="170"/>
        <v>22983</v>
      </c>
      <c r="AO44" s="152">
        <f t="shared" si="170"/>
        <v>1834</v>
      </c>
      <c r="AP44" s="127">
        <f t="shared" si="170"/>
        <v>2349</v>
      </c>
      <c r="AQ44" s="127">
        <f t="shared" si="170"/>
        <v>2065</v>
      </c>
      <c r="AR44" s="127">
        <f t="shared" si="170"/>
        <v>1986</v>
      </c>
      <c r="AS44" s="127">
        <f t="shared" si="170"/>
        <v>1651</v>
      </c>
      <c r="AT44" s="127">
        <f t="shared" si="170"/>
        <v>1800</v>
      </c>
      <c r="AU44" s="127">
        <f t="shared" si="170"/>
        <v>2012</v>
      </c>
      <c r="AV44" s="127">
        <f t="shared" si="170"/>
        <v>1862</v>
      </c>
      <c r="AW44" s="127">
        <f t="shared" si="170"/>
        <v>1713</v>
      </c>
      <c r="AX44" s="127">
        <f t="shared" si="170"/>
        <v>1569</v>
      </c>
      <c r="AY44" s="127">
        <f t="shared" si="170"/>
        <v>1588</v>
      </c>
      <c r="AZ44" s="201">
        <f t="shared" si="170"/>
        <v>2085</v>
      </c>
      <c r="BA44" s="201">
        <f t="shared" si="170"/>
        <v>22514</v>
      </c>
      <c r="BB44" s="127">
        <f t="shared" si="170"/>
        <v>1461</v>
      </c>
      <c r="BC44" s="127">
        <f t="shared" si="170"/>
        <v>2523</v>
      </c>
      <c r="BD44" s="127">
        <f t="shared" si="170"/>
        <v>2219</v>
      </c>
      <c r="BE44" s="127">
        <f t="shared" si="170"/>
        <v>1831</v>
      </c>
      <c r="BF44" s="127">
        <f t="shared" si="170"/>
        <v>2199</v>
      </c>
      <c r="BG44" s="127">
        <f t="shared" si="170"/>
        <v>1770</v>
      </c>
      <c r="BH44" s="127">
        <f t="shared" si="170"/>
        <v>2413</v>
      </c>
      <c r="BI44" s="127">
        <f t="shared" si="170"/>
        <v>2588</v>
      </c>
      <c r="BJ44" s="127">
        <f t="shared" si="170"/>
        <v>2293</v>
      </c>
      <c r="BK44" s="127">
        <f t="shared" si="170"/>
        <v>2427</v>
      </c>
      <c r="BL44" s="127">
        <f t="shared" si="170"/>
        <v>1918</v>
      </c>
      <c r="BM44" s="201">
        <f t="shared" si="170"/>
        <v>2216</v>
      </c>
      <c r="BN44" s="201">
        <f t="shared" ref="BN44:BZ44" si="171">BN10+BN17</f>
        <v>25858</v>
      </c>
      <c r="BO44" s="127">
        <f t="shared" si="171"/>
        <v>2239</v>
      </c>
      <c r="BP44" s="127">
        <f t="shared" si="171"/>
        <v>2912</v>
      </c>
      <c r="BQ44" s="127">
        <f t="shared" si="171"/>
        <v>1964</v>
      </c>
      <c r="BR44" s="127">
        <f t="shared" si="171"/>
        <v>589</v>
      </c>
      <c r="BS44" s="127">
        <f t="shared" si="171"/>
        <v>518</v>
      </c>
      <c r="BT44" s="127">
        <f t="shared" si="171"/>
        <v>2122</v>
      </c>
      <c r="BU44" s="127">
        <f t="shared" si="171"/>
        <v>940</v>
      </c>
      <c r="BV44" s="127">
        <f t="shared" si="171"/>
        <v>2512</v>
      </c>
      <c r="BW44" s="127">
        <f t="shared" si="171"/>
        <v>2315</v>
      </c>
      <c r="BX44" s="127">
        <f t="shared" si="171"/>
        <v>2411</v>
      </c>
      <c r="BY44" s="127">
        <f t="shared" si="171"/>
        <v>2291</v>
      </c>
      <c r="BZ44" s="127">
        <f t="shared" si="171"/>
        <v>2227</v>
      </c>
      <c r="CA44" s="145">
        <f t="shared" si="133"/>
        <v>23040</v>
      </c>
      <c r="CB44" s="127">
        <f t="shared" ref="CB44:CM44" si="172">CB10+CB17</f>
        <v>2058</v>
      </c>
      <c r="CC44" s="127">
        <f t="shared" si="172"/>
        <v>2563</v>
      </c>
      <c r="CD44" s="127">
        <f t="shared" si="172"/>
        <v>2900</v>
      </c>
      <c r="CE44" s="127">
        <f t="shared" si="172"/>
        <v>2079</v>
      </c>
      <c r="CF44" s="127">
        <f t="shared" si="172"/>
        <v>2428</v>
      </c>
      <c r="CG44" s="127">
        <f t="shared" si="172"/>
        <v>2077</v>
      </c>
      <c r="CH44" s="127">
        <f t="shared" si="172"/>
        <v>2572</v>
      </c>
      <c r="CI44" s="127">
        <f t="shared" si="172"/>
        <v>2647</v>
      </c>
      <c r="CJ44" s="127">
        <f t="shared" si="172"/>
        <v>2491</v>
      </c>
      <c r="CK44" s="127">
        <f t="shared" si="172"/>
        <v>2488</v>
      </c>
      <c r="CL44" s="127">
        <f t="shared" si="172"/>
        <v>2616</v>
      </c>
      <c r="CM44" s="201">
        <f t="shared" si="172"/>
        <v>2900</v>
      </c>
      <c r="CN44" s="201">
        <f t="shared" si="137"/>
        <v>29819</v>
      </c>
      <c r="CO44" s="152">
        <f t="shared" ref="CO44:CZ44" si="173">CO10+CO17</f>
        <v>2422</v>
      </c>
      <c r="CP44" s="127">
        <f t="shared" si="173"/>
        <v>3267</v>
      </c>
      <c r="CQ44" s="127">
        <f t="shared" si="173"/>
        <v>2858</v>
      </c>
      <c r="CR44" s="127">
        <f t="shared" si="173"/>
        <v>2073</v>
      </c>
      <c r="CS44" s="127">
        <f t="shared" si="173"/>
        <v>2581</v>
      </c>
      <c r="CT44" s="127">
        <f t="shared" si="173"/>
        <v>2384</v>
      </c>
      <c r="CU44" s="127">
        <f t="shared" si="173"/>
        <v>2659</v>
      </c>
      <c r="CV44" s="127">
        <f t="shared" si="173"/>
        <v>2479</v>
      </c>
      <c r="CW44" s="127">
        <f t="shared" si="173"/>
        <v>3020</v>
      </c>
      <c r="CX44" s="127">
        <f t="shared" si="173"/>
        <v>3023</v>
      </c>
      <c r="CY44" s="127">
        <f t="shared" si="173"/>
        <v>2844</v>
      </c>
      <c r="CZ44" s="201">
        <f t="shared" si="173"/>
        <v>2157</v>
      </c>
      <c r="DA44" s="148">
        <f t="shared" si="139"/>
        <v>31767</v>
      </c>
      <c r="DB44" s="152">
        <f t="shared" ref="DB44:DM44" si="174">DB10+DB17</f>
        <v>2229</v>
      </c>
      <c r="DC44" s="127">
        <f t="shared" si="174"/>
        <v>3972</v>
      </c>
      <c r="DD44" s="127">
        <f t="shared" si="174"/>
        <v>3452</v>
      </c>
      <c r="DE44" s="127">
        <f t="shared" si="174"/>
        <v>2644</v>
      </c>
      <c r="DF44" s="127">
        <f t="shared" si="174"/>
        <v>3274</v>
      </c>
      <c r="DG44" s="127">
        <f t="shared" si="174"/>
        <v>2905</v>
      </c>
      <c r="DH44" s="127">
        <f t="shared" si="174"/>
        <v>2775</v>
      </c>
      <c r="DI44" s="127">
        <f t="shared" si="174"/>
        <v>3595</v>
      </c>
      <c r="DJ44" s="127">
        <f t="shared" si="174"/>
        <v>2624</v>
      </c>
      <c r="DK44" s="127">
        <f t="shared" si="174"/>
        <v>2637</v>
      </c>
      <c r="DL44" s="127">
        <f t="shared" si="174"/>
        <v>3384</v>
      </c>
      <c r="DM44" s="201">
        <f t="shared" si="174"/>
        <v>3425</v>
      </c>
      <c r="DN44" s="127">
        <f t="shared" si="141"/>
        <v>36916</v>
      </c>
      <c r="DO44" s="152">
        <f t="shared" ref="DO44:DZ44" si="175">DO10+DO17</f>
        <v>2778</v>
      </c>
      <c r="DP44" s="127">
        <f t="shared" si="175"/>
        <v>3578</v>
      </c>
      <c r="DQ44" s="127">
        <f t="shared" si="175"/>
        <v>2714</v>
      </c>
      <c r="DR44" s="127">
        <f t="shared" si="175"/>
        <v>2933</v>
      </c>
      <c r="DS44" s="127">
        <f t="shared" si="175"/>
        <v>2301</v>
      </c>
      <c r="DT44" s="127">
        <f t="shared" si="175"/>
        <v>2690</v>
      </c>
      <c r="DU44" s="127">
        <f t="shared" si="175"/>
        <v>2679</v>
      </c>
      <c r="DV44" s="127">
        <f t="shared" si="175"/>
        <v>2920</v>
      </c>
      <c r="DW44" s="127">
        <f t="shared" si="175"/>
        <v>3256</v>
      </c>
      <c r="DX44" s="127">
        <f t="shared" si="175"/>
        <v>2996</v>
      </c>
      <c r="DY44" s="127">
        <f t="shared" si="175"/>
        <v>2733</v>
      </c>
      <c r="DZ44" s="201">
        <f t="shared" si="175"/>
        <v>2556</v>
      </c>
      <c r="EA44" s="201">
        <f t="shared" si="143"/>
        <v>34134</v>
      </c>
      <c r="EB44" s="152">
        <f t="shared" ref="EB44:EM44" si="176">EB10+EB17</f>
        <v>3226</v>
      </c>
      <c r="EC44" s="127">
        <f t="shared" si="176"/>
        <v>3062</v>
      </c>
      <c r="ED44" s="127">
        <f t="shared" si="176"/>
        <v>3264</v>
      </c>
      <c r="EE44" s="127">
        <f t="shared" si="176"/>
        <v>3146</v>
      </c>
      <c r="EF44" s="127">
        <f t="shared" si="176"/>
        <v>3238</v>
      </c>
      <c r="EG44" s="127">
        <f t="shared" si="176"/>
        <v>2762</v>
      </c>
      <c r="EH44" s="127">
        <f t="shared" si="176"/>
        <v>3092</v>
      </c>
      <c r="EI44" s="127">
        <f t="shared" si="176"/>
        <v>2989</v>
      </c>
      <c r="EJ44" s="127">
        <f t="shared" si="176"/>
        <v>3379</v>
      </c>
      <c r="EK44" s="127">
        <f t="shared" si="176"/>
        <v>2935</v>
      </c>
      <c r="EL44" s="127">
        <f t="shared" si="176"/>
        <v>2767</v>
      </c>
      <c r="EM44" s="127">
        <f t="shared" si="176"/>
        <v>3844</v>
      </c>
      <c r="EN44" s="148">
        <f t="shared" si="145"/>
        <v>37704</v>
      </c>
      <c r="EO44" s="152">
        <f t="shared" ref="EO44:ER44" si="177">EO10+EO17</f>
        <v>2349</v>
      </c>
      <c r="EP44" s="127">
        <f t="shared" si="177"/>
        <v>4273</v>
      </c>
      <c r="EQ44" s="127">
        <f t="shared" si="177"/>
        <v>2754</v>
      </c>
      <c r="ER44" s="127">
        <f t="shared" si="177"/>
        <v>2515</v>
      </c>
      <c r="ES44" s="127">
        <f t="shared" ref="ES44" si="178">ES10+ES17</f>
        <v>2732</v>
      </c>
      <c r="ET44" s="127">
        <f t="shared" ref="ET44" si="179">ET10+ET17</f>
        <v>2835</v>
      </c>
      <c r="EU44" s="127">
        <f t="shared" ref="EU44" si="180">EU10+EU17</f>
        <v>2927</v>
      </c>
      <c r="EV44" s="954">
        <f t="shared" ref="EV44" si="181">EV10+EV17</f>
        <v>2392</v>
      </c>
      <c r="EW44" s="127"/>
      <c r="EX44" s="127"/>
      <c r="EY44" s="127"/>
      <c r="EZ44" s="127"/>
      <c r="FA44" s="148">
        <f t="shared" si="151"/>
        <v>22777</v>
      </c>
      <c r="FC44" s="271">
        <f t="shared" si="152"/>
        <v>-19.973235195717631</v>
      </c>
      <c r="FD44" s="271">
        <f t="shared" si="168"/>
        <v>-8.0794220912869807</v>
      </c>
      <c r="FE44" s="202">
        <f t="shared" si="153"/>
        <v>24779</v>
      </c>
      <c r="FF44" s="202">
        <f>IFERROR(SUM(EO44:EY44),"-")</f>
        <v>22777</v>
      </c>
      <c r="FG44" s="205"/>
    </row>
    <row r="45" spans="1:163" ht="15" customHeight="1" x14ac:dyDescent="0.25">
      <c r="A45" s="138" t="s">
        <v>298</v>
      </c>
      <c r="B45" s="152">
        <f t="shared" ref="B45:AG45" si="182">B46+B49+B50+B51</f>
        <v>14734.955</v>
      </c>
      <c r="C45" s="127">
        <f t="shared" si="182"/>
        <v>19461</v>
      </c>
      <c r="D45" s="127">
        <f t="shared" si="182"/>
        <v>20170.698999999997</v>
      </c>
      <c r="E45" s="127">
        <f t="shared" si="182"/>
        <v>17731</v>
      </c>
      <c r="F45" s="127">
        <f t="shared" si="182"/>
        <v>31975</v>
      </c>
      <c r="G45" s="127">
        <f t="shared" si="182"/>
        <v>25300</v>
      </c>
      <c r="H45" s="127">
        <f t="shared" si="182"/>
        <v>18214</v>
      </c>
      <c r="I45" s="127">
        <f t="shared" si="182"/>
        <v>21165</v>
      </c>
      <c r="J45" s="127">
        <f t="shared" si="182"/>
        <v>16350</v>
      </c>
      <c r="K45" s="127">
        <f t="shared" si="182"/>
        <v>16587</v>
      </c>
      <c r="L45" s="127">
        <f t="shared" si="182"/>
        <v>26365</v>
      </c>
      <c r="M45" s="201">
        <f t="shared" si="182"/>
        <v>19123</v>
      </c>
      <c r="N45" s="201">
        <f t="shared" si="182"/>
        <v>247176.65399999998</v>
      </c>
      <c r="O45" s="127">
        <f t="shared" si="182"/>
        <v>16699</v>
      </c>
      <c r="P45" s="127">
        <f t="shared" si="182"/>
        <v>7025</v>
      </c>
      <c r="Q45" s="127">
        <f t="shared" si="182"/>
        <v>30883</v>
      </c>
      <c r="R45" s="127">
        <f t="shared" si="182"/>
        <v>14929</v>
      </c>
      <c r="S45" s="127">
        <f t="shared" si="182"/>
        <v>21647</v>
      </c>
      <c r="T45" s="127">
        <f t="shared" si="182"/>
        <v>16604</v>
      </c>
      <c r="U45" s="127">
        <f t="shared" si="182"/>
        <v>16598</v>
      </c>
      <c r="V45" s="127">
        <f t="shared" si="182"/>
        <v>14064</v>
      </c>
      <c r="W45" s="127">
        <f t="shared" si="182"/>
        <v>14611</v>
      </c>
      <c r="X45" s="127">
        <f t="shared" si="182"/>
        <v>16890</v>
      </c>
      <c r="Y45" s="127">
        <f t="shared" si="182"/>
        <v>25281</v>
      </c>
      <c r="Z45" s="201">
        <f t="shared" si="182"/>
        <v>15814</v>
      </c>
      <c r="AA45" s="127">
        <f t="shared" si="182"/>
        <v>211045</v>
      </c>
      <c r="AB45" s="152">
        <f t="shared" si="182"/>
        <v>14223</v>
      </c>
      <c r="AC45" s="127">
        <f t="shared" si="182"/>
        <v>8226</v>
      </c>
      <c r="AD45" s="127">
        <f t="shared" si="182"/>
        <v>28770</v>
      </c>
      <c r="AE45" s="127">
        <f t="shared" si="182"/>
        <v>12983</v>
      </c>
      <c r="AF45" s="127">
        <f t="shared" si="182"/>
        <v>24380</v>
      </c>
      <c r="AG45" s="127">
        <f t="shared" si="182"/>
        <v>15117</v>
      </c>
      <c r="AH45" s="127">
        <f t="shared" ref="AH45:BM45" si="183">AH46+AH49+AH50+AH51</f>
        <v>13830</v>
      </c>
      <c r="AI45" s="127">
        <f t="shared" si="183"/>
        <v>17188</v>
      </c>
      <c r="AJ45" s="127">
        <f t="shared" si="183"/>
        <v>17570</v>
      </c>
      <c r="AK45" s="127">
        <f t="shared" si="183"/>
        <v>23846</v>
      </c>
      <c r="AL45" s="127">
        <f t="shared" si="183"/>
        <v>18403</v>
      </c>
      <c r="AM45" s="127">
        <f t="shared" si="183"/>
        <v>21875</v>
      </c>
      <c r="AN45" s="148">
        <f t="shared" si="183"/>
        <v>216411</v>
      </c>
      <c r="AO45" s="152">
        <f t="shared" si="183"/>
        <v>11234</v>
      </c>
      <c r="AP45" s="127">
        <f t="shared" si="183"/>
        <v>22648</v>
      </c>
      <c r="AQ45" s="127">
        <f t="shared" si="183"/>
        <v>19878</v>
      </c>
      <c r="AR45" s="127">
        <f t="shared" si="183"/>
        <v>24915</v>
      </c>
      <c r="AS45" s="127">
        <f t="shared" si="183"/>
        <v>14899</v>
      </c>
      <c r="AT45" s="127">
        <f t="shared" si="183"/>
        <v>22808</v>
      </c>
      <c r="AU45" s="127">
        <f t="shared" si="183"/>
        <v>13732</v>
      </c>
      <c r="AV45" s="127">
        <f t="shared" si="183"/>
        <v>15337</v>
      </c>
      <c r="AW45" s="127">
        <f t="shared" si="183"/>
        <v>12703</v>
      </c>
      <c r="AX45" s="127">
        <f t="shared" si="183"/>
        <v>33068</v>
      </c>
      <c r="AY45" s="127">
        <f t="shared" si="183"/>
        <v>19132</v>
      </c>
      <c r="AZ45" s="201">
        <f t="shared" si="183"/>
        <v>18301</v>
      </c>
      <c r="BA45" s="201">
        <f t="shared" si="183"/>
        <v>228655</v>
      </c>
      <c r="BB45" s="127">
        <f t="shared" si="183"/>
        <v>14485</v>
      </c>
      <c r="BC45" s="127">
        <f t="shared" si="183"/>
        <v>23760</v>
      </c>
      <c r="BD45" s="127">
        <f t="shared" si="183"/>
        <v>17078</v>
      </c>
      <c r="BE45" s="127">
        <f t="shared" si="183"/>
        <v>15493</v>
      </c>
      <c r="BF45" s="127">
        <f t="shared" si="183"/>
        <v>22053</v>
      </c>
      <c r="BG45" s="127">
        <f t="shared" si="183"/>
        <v>20259</v>
      </c>
      <c r="BH45" s="127">
        <f t="shared" si="183"/>
        <v>17063</v>
      </c>
      <c r="BI45" s="127">
        <f t="shared" si="183"/>
        <v>16161</v>
      </c>
      <c r="BJ45" s="127">
        <f t="shared" si="183"/>
        <v>17904</v>
      </c>
      <c r="BK45" s="127">
        <f t="shared" si="183"/>
        <v>19347</v>
      </c>
      <c r="BL45" s="127">
        <f t="shared" si="183"/>
        <v>18379</v>
      </c>
      <c r="BM45" s="201">
        <f t="shared" si="183"/>
        <v>20058</v>
      </c>
      <c r="BN45" s="201">
        <f t="shared" ref="BN45:BZ45" si="184">BN46+BN49+BN50+BN51</f>
        <v>222040</v>
      </c>
      <c r="BO45" s="127">
        <f t="shared" si="184"/>
        <v>15398</v>
      </c>
      <c r="BP45" s="127">
        <f t="shared" si="184"/>
        <v>4565</v>
      </c>
      <c r="BQ45" s="127">
        <f t="shared" si="184"/>
        <v>36452</v>
      </c>
      <c r="BR45" s="127">
        <f t="shared" si="184"/>
        <v>12041</v>
      </c>
      <c r="BS45" s="127">
        <f t="shared" si="184"/>
        <v>8220</v>
      </c>
      <c r="BT45" s="127">
        <f t="shared" si="184"/>
        <v>18657</v>
      </c>
      <c r="BU45" s="127">
        <f t="shared" si="184"/>
        <v>16483</v>
      </c>
      <c r="BV45" s="127">
        <f t="shared" si="184"/>
        <v>17481</v>
      </c>
      <c r="BW45" s="127">
        <f t="shared" si="184"/>
        <v>21444</v>
      </c>
      <c r="BX45" s="127">
        <f t="shared" si="184"/>
        <v>17179</v>
      </c>
      <c r="BY45" s="127">
        <f t="shared" si="184"/>
        <v>16042</v>
      </c>
      <c r="BZ45" s="127">
        <f t="shared" si="184"/>
        <v>19533</v>
      </c>
      <c r="CA45" s="145">
        <f t="shared" si="133"/>
        <v>203495</v>
      </c>
      <c r="CB45" s="127">
        <f t="shared" ref="CB45:CM45" si="185">CB46+CB49+CB50+CB51</f>
        <v>21792</v>
      </c>
      <c r="CC45" s="127">
        <f t="shared" si="185"/>
        <v>25275</v>
      </c>
      <c r="CD45" s="127">
        <f t="shared" si="185"/>
        <v>21096</v>
      </c>
      <c r="CE45" s="127">
        <f t="shared" si="185"/>
        <v>33056</v>
      </c>
      <c r="CF45" s="127">
        <f t="shared" si="185"/>
        <v>21362</v>
      </c>
      <c r="CG45" s="127">
        <f t="shared" si="185"/>
        <v>24624</v>
      </c>
      <c r="CH45" s="127">
        <f t="shared" si="185"/>
        <v>23231</v>
      </c>
      <c r="CI45" s="127">
        <f t="shared" si="185"/>
        <v>24672</v>
      </c>
      <c r="CJ45" s="127">
        <f t="shared" si="185"/>
        <v>29530</v>
      </c>
      <c r="CK45" s="127">
        <f t="shared" si="185"/>
        <v>32311</v>
      </c>
      <c r="CL45" s="127">
        <f t="shared" si="185"/>
        <v>28547</v>
      </c>
      <c r="CM45" s="201">
        <f t="shared" si="185"/>
        <v>35999</v>
      </c>
      <c r="CN45" s="201">
        <f t="shared" si="137"/>
        <v>321495</v>
      </c>
      <c r="CO45" s="152">
        <f t="shared" ref="CO45:CZ45" si="186">CO46+CO49+CO50+CO51</f>
        <v>34130</v>
      </c>
      <c r="CP45" s="127">
        <f t="shared" si="186"/>
        <v>36529</v>
      </c>
      <c r="CQ45" s="127">
        <f t="shared" si="186"/>
        <v>37346</v>
      </c>
      <c r="CR45" s="127">
        <f t="shared" si="186"/>
        <v>33571</v>
      </c>
      <c r="CS45" s="127">
        <f t="shared" si="186"/>
        <v>49202</v>
      </c>
      <c r="CT45" s="127">
        <f t="shared" si="186"/>
        <v>34933</v>
      </c>
      <c r="CU45" s="127">
        <f t="shared" si="186"/>
        <v>35448</v>
      </c>
      <c r="CV45" s="127">
        <f t="shared" si="186"/>
        <v>32116</v>
      </c>
      <c r="CW45" s="127">
        <f t="shared" si="186"/>
        <v>38800</v>
      </c>
      <c r="CX45" s="127">
        <f t="shared" si="186"/>
        <v>35127</v>
      </c>
      <c r="CY45" s="127">
        <f t="shared" si="186"/>
        <v>27868</v>
      </c>
      <c r="CZ45" s="201">
        <f t="shared" si="186"/>
        <v>40493</v>
      </c>
      <c r="DA45" s="148">
        <f t="shared" si="139"/>
        <v>435563</v>
      </c>
      <c r="DB45" s="152">
        <f t="shared" ref="DB45:DM45" si="187">DB46+DB49+DB50+DB51</f>
        <v>33239</v>
      </c>
      <c r="DC45" s="127">
        <f t="shared" si="187"/>
        <v>36467</v>
      </c>
      <c r="DD45" s="127">
        <f t="shared" si="187"/>
        <v>31931</v>
      </c>
      <c r="DE45" s="127">
        <f t="shared" si="187"/>
        <v>41202</v>
      </c>
      <c r="DF45" s="127">
        <f t="shared" si="187"/>
        <v>41641</v>
      </c>
      <c r="DG45" s="127">
        <f t="shared" si="187"/>
        <v>30609</v>
      </c>
      <c r="DH45" s="127">
        <f t="shared" si="187"/>
        <v>23706</v>
      </c>
      <c r="DI45" s="127">
        <f t="shared" si="187"/>
        <v>33028</v>
      </c>
      <c r="DJ45" s="127">
        <f t="shared" si="187"/>
        <v>27112</v>
      </c>
      <c r="DK45" s="127">
        <f t="shared" si="187"/>
        <v>30858</v>
      </c>
      <c r="DL45" s="127">
        <f t="shared" si="187"/>
        <v>32479</v>
      </c>
      <c r="DM45" s="201">
        <f t="shared" si="187"/>
        <v>27808</v>
      </c>
      <c r="DN45" s="127">
        <f t="shared" si="141"/>
        <v>390080</v>
      </c>
      <c r="DO45" s="152">
        <f t="shared" ref="DO45:DZ45" si="188">DO46+DO49+DO50+DO51</f>
        <v>24148</v>
      </c>
      <c r="DP45" s="127">
        <f t="shared" si="188"/>
        <v>40281</v>
      </c>
      <c r="DQ45" s="127">
        <f t="shared" si="188"/>
        <v>30009</v>
      </c>
      <c r="DR45" s="127">
        <f t="shared" si="188"/>
        <v>28265</v>
      </c>
      <c r="DS45" s="127">
        <f t="shared" si="188"/>
        <v>41259</v>
      </c>
      <c r="DT45" s="127">
        <f t="shared" si="188"/>
        <v>32273</v>
      </c>
      <c r="DU45" s="127">
        <f t="shared" si="188"/>
        <v>30595</v>
      </c>
      <c r="DV45" s="127">
        <f t="shared" si="188"/>
        <v>31591</v>
      </c>
      <c r="DW45" s="127">
        <f t="shared" si="188"/>
        <v>37132</v>
      </c>
      <c r="DX45" s="127">
        <f t="shared" si="188"/>
        <v>34847</v>
      </c>
      <c r="DY45" s="127">
        <f t="shared" si="188"/>
        <v>32872</v>
      </c>
      <c r="DZ45" s="201">
        <f t="shared" si="188"/>
        <v>39506</v>
      </c>
      <c r="EA45" s="201">
        <f t="shared" si="143"/>
        <v>402778</v>
      </c>
      <c r="EB45" s="152">
        <f t="shared" ref="EB45:EM45" si="189">EB46+EB49+EB50+EB51</f>
        <v>29485</v>
      </c>
      <c r="EC45" s="127">
        <f t="shared" si="189"/>
        <v>48705</v>
      </c>
      <c r="ED45" s="127">
        <f t="shared" si="189"/>
        <v>33609</v>
      </c>
      <c r="EE45" s="127">
        <f t="shared" si="189"/>
        <v>32140</v>
      </c>
      <c r="EF45" s="127">
        <f t="shared" si="189"/>
        <v>47589</v>
      </c>
      <c r="EG45" s="127">
        <f t="shared" si="189"/>
        <v>34432</v>
      </c>
      <c r="EH45" s="127">
        <f t="shared" si="189"/>
        <v>36019</v>
      </c>
      <c r="EI45" s="127">
        <f t="shared" si="189"/>
        <v>34656</v>
      </c>
      <c r="EJ45" s="127">
        <f t="shared" si="189"/>
        <v>34142</v>
      </c>
      <c r="EK45" s="127">
        <f t="shared" si="189"/>
        <v>35611</v>
      </c>
      <c r="EL45" s="127">
        <f t="shared" si="189"/>
        <v>33444</v>
      </c>
      <c r="EM45" s="127">
        <f t="shared" si="189"/>
        <v>32394</v>
      </c>
      <c r="EN45" s="148">
        <f t="shared" si="145"/>
        <v>432226</v>
      </c>
      <c r="EO45" s="152">
        <f t="shared" ref="EO45:ER45" si="190">EO46+EO49+EO50+EO51</f>
        <v>29170</v>
      </c>
      <c r="EP45" s="127">
        <f t="shared" si="190"/>
        <v>42461</v>
      </c>
      <c r="EQ45" s="127">
        <f t="shared" si="190"/>
        <v>35669</v>
      </c>
      <c r="ER45" s="127">
        <f t="shared" si="190"/>
        <v>45055</v>
      </c>
      <c r="ES45" s="127">
        <f t="shared" ref="ES45" si="191">ES46+ES49+ES50+ES51</f>
        <v>49880</v>
      </c>
      <c r="ET45" s="127">
        <f t="shared" ref="ET45" si="192">ET46+ET49+ET50+ET51</f>
        <v>46164</v>
      </c>
      <c r="EU45" s="127">
        <f t="shared" ref="EU45" si="193">EU46+EU49+EU50+EU51</f>
        <v>44672</v>
      </c>
      <c r="EV45" s="954">
        <f t="shared" ref="EV45" si="194">EV46+EV49+EV50+EV51</f>
        <v>35944</v>
      </c>
      <c r="EW45" s="127"/>
      <c r="EX45" s="127"/>
      <c r="EY45" s="127"/>
      <c r="EZ45" s="127"/>
      <c r="FA45" s="148">
        <f t="shared" si="151"/>
        <v>329015</v>
      </c>
      <c r="FC45" s="271">
        <f t="shared" si="152"/>
        <v>3.7165281625115343</v>
      </c>
      <c r="FD45" s="271">
        <f t="shared" si="168"/>
        <v>10.915771908237403</v>
      </c>
      <c r="FE45" s="202">
        <f t="shared" si="153"/>
        <v>296635</v>
      </c>
      <c r="FF45" s="202">
        <f t="shared" si="154"/>
        <v>329015</v>
      </c>
      <c r="FG45" s="205"/>
    </row>
    <row r="46" spans="1:163" ht="15" customHeight="1" x14ac:dyDescent="0.25">
      <c r="A46" s="138" t="s">
        <v>433</v>
      </c>
      <c r="B46" s="245">
        <f t="shared" ref="B46:AG46" si="195">B47+B48</f>
        <v>3401</v>
      </c>
      <c r="C46" s="205">
        <f t="shared" si="195"/>
        <v>994</v>
      </c>
      <c r="D46" s="205">
        <f t="shared" si="195"/>
        <v>5684.0110000000004</v>
      </c>
      <c r="E46" s="205">
        <f t="shared" si="195"/>
        <v>4434</v>
      </c>
      <c r="F46" s="205">
        <f t="shared" si="195"/>
        <v>4377</v>
      </c>
      <c r="G46" s="205">
        <f t="shared" si="195"/>
        <v>3479</v>
      </c>
      <c r="H46" s="205">
        <f t="shared" si="195"/>
        <v>2215</v>
      </c>
      <c r="I46" s="205">
        <f t="shared" si="195"/>
        <v>3157</v>
      </c>
      <c r="J46" s="205">
        <f t="shared" si="195"/>
        <v>3195</v>
      </c>
      <c r="K46" s="205">
        <f t="shared" si="195"/>
        <v>3590</v>
      </c>
      <c r="L46" s="205">
        <f t="shared" si="195"/>
        <v>3455</v>
      </c>
      <c r="M46" s="246">
        <f t="shared" si="195"/>
        <v>3066</v>
      </c>
      <c r="N46" s="246">
        <f t="shared" si="195"/>
        <v>41047.010999999999</v>
      </c>
      <c r="O46" s="205">
        <f t="shared" si="195"/>
        <v>3431</v>
      </c>
      <c r="P46" s="205">
        <f t="shared" si="195"/>
        <v>399</v>
      </c>
      <c r="Q46" s="205">
        <f t="shared" si="195"/>
        <v>5627</v>
      </c>
      <c r="R46" s="205">
        <f t="shared" si="195"/>
        <v>2193</v>
      </c>
      <c r="S46" s="205">
        <f t="shared" si="195"/>
        <v>2318</v>
      </c>
      <c r="T46" s="205">
        <f t="shared" si="195"/>
        <v>1648</v>
      </c>
      <c r="U46" s="205">
        <f t="shared" si="195"/>
        <v>2115</v>
      </c>
      <c r="V46" s="205">
        <f t="shared" si="195"/>
        <v>1160</v>
      </c>
      <c r="W46" s="205">
        <f t="shared" si="195"/>
        <v>1062</v>
      </c>
      <c r="X46" s="205">
        <f t="shared" si="195"/>
        <v>400</v>
      </c>
      <c r="Y46" s="205">
        <f t="shared" si="195"/>
        <v>1408</v>
      </c>
      <c r="Z46" s="246">
        <f t="shared" si="195"/>
        <v>744</v>
      </c>
      <c r="AA46" s="205">
        <f t="shared" si="195"/>
        <v>22505</v>
      </c>
      <c r="AB46" s="245">
        <f t="shared" si="195"/>
        <v>689</v>
      </c>
      <c r="AC46" s="205">
        <f t="shared" si="195"/>
        <v>293</v>
      </c>
      <c r="AD46" s="205">
        <f t="shared" si="195"/>
        <v>2618</v>
      </c>
      <c r="AE46" s="205">
        <f t="shared" si="195"/>
        <v>1772</v>
      </c>
      <c r="AF46" s="205">
        <f t="shared" si="195"/>
        <v>2166</v>
      </c>
      <c r="AG46" s="205">
        <f t="shared" si="195"/>
        <v>1140</v>
      </c>
      <c r="AH46" s="205">
        <f t="shared" ref="AH46:BM46" si="196">AH47+AH48</f>
        <v>1035</v>
      </c>
      <c r="AI46" s="205">
        <f t="shared" si="196"/>
        <v>1368</v>
      </c>
      <c r="AJ46" s="205">
        <f t="shared" si="196"/>
        <v>2465</v>
      </c>
      <c r="AK46" s="205">
        <f t="shared" si="196"/>
        <v>2131</v>
      </c>
      <c r="AL46" s="205">
        <f t="shared" si="196"/>
        <v>862</v>
      </c>
      <c r="AM46" s="205">
        <f t="shared" si="196"/>
        <v>1476</v>
      </c>
      <c r="AN46" s="202">
        <f t="shared" si="196"/>
        <v>18015</v>
      </c>
      <c r="AO46" s="245">
        <f t="shared" si="196"/>
        <v>1148</v>
      </c>
      <c r="AP46" s="205">
        <f t="shared" si="196"/>
        <v>2124</v>
      </c>
      <c r="AQ46" s="205">
        <f t="shared" si="196"/>
        <v>2134</v>
      </c>
      <c r="AR46" s="205">
        <f t="shared" si="196"/>
        <v>1777</v>
      </c>
      <c r="AS46" s="205">
        <f t="shared" si="196"/>
        <v>1550</v>
      </c>
      <c r="AT46" s="205">
        <f t="shared" si="196"/>
        <v>3028</v>
      </c>
      <c r="AU46" s="205">
        <f t="shared" si="196"/>
        <v>896</v>
      </c>
      <c r="AV46" s="205">
        <f t="shared" si="196"/>
        <v>1627</v>
      </c>
      <c r="AW46" s="205">
        <f t="shared" si="196"/>
        <v>32</v>
      </c>
      <c r="AX46" s="205">
        <f t="shared" si="196"/>
        <v>4398</v>
      </c>
      <c r="AY46" s="205">
        <f t="shared" si="196"/>
        <v>2137</v>
      </c>
      <c r="AZ46" s="246">
        <f t="shared" si="196"/>
        <v>2275</v>
      </c>
      <c r="BA46" s="246">
        <f t="shared" si="196"/>
        <v>23126</v>
      </c>
      <c r="BB46" s="205">
        <f t="shared" si="196"/>
        <v>1701</v>
      </c>
      <c r="BC46" s="205">
        <f t="shared" si="196"/>
        <v>40</v>
      </c>
      <c r="BD46" s="205">
        <f t="shared" si="196"/>
        <v>2277</v>
      </c>
      <c r="BE46" s="205">
        <f t="shared" si="196"/>
        <v>1654</v>
      </c>
      <c r="BF46" s="205">
        <f t="shared" si="196"/>
        <v>1999</v>
      </c>
      <c r="BG46" s="205">
        <f t="shared" si="196"/>
        <v>2378</v>
      </c>
      <c r="BH46" s="205">
        <f t="shared" si="196"/>
        <v>1771</v>
      </c>
      <c r="BI46" s="205">
        <f t="shared" si="196"/>
        <v>1659</v>
      </c>
      <c r="BJ46" s="205">
        <f t="shared" si="196"/>
        <v>2646</v>
      </c>
      <c r="BK46" s="205">
        <f t="shared" si="196"/>
        <v>2561</v>
      </c>
      <c r="BL46" s="205">
        <f t="shared" si="196"/>
        <v>2388</v>
      </c>
      <c r="BM46" s="246">
        <f t="shared" si="196"/>
        <v>3014</v>
      </c>
      <c r="BN46" s="246">
        <f t="shared" ref="BN46:BZ46" si="197">BN47+BN48</f>
        <v>24088</v>
      </c>
      <c r="BO46" s="205">
        <f t="shared" si="197"/>
        <v>1788</v>
      </c>
      <c r="BP46" s="205">
        <f t="shared" si="197"/>
        <v>68</v>
      </c>
      <c r="BQ46" s="205">
        <f t="shared" si="197"/>
        <v>4259</v>
      </c>
      <c r="BR46" s="205">
        <f t="shared" si="197"/>
        <v>670</v>
      </c>
      <c r="BS46" s="205">
        <f t="shared" si="197"/>
        <v>309</v>
      </c>
      <c r="BT46" s="205">
        <f t="shared" si="197"/>
        <v>272</v>
      </c>
      <c r="BU46" s="205">
        <f t="shared" si="197"/>
        <v>320</v>
      </c>
      <c r="BV46" s="205">
        <f t="shared" si="197"/>
        <v>335</v>
      </c>
      <c r="BW46" s="205">
        <f t="shared" si="197"/>
        <v>548</v>
      </c>
      <c r="BX46" s="205">
        <f t="shared" si="197"/>
        <v>377</v>
      </c>
      <c r="BY46" s="205">
        <f t="shared" si="197"/>
        <v>840</v>
      </c>
      <c r="BZ46" s="205">
        <f t="shared" si="197"/>
        <v>1521</v>
      </c>
      <c r="CA46" s="145">
        <f t="shared" si="133"/>
        <v>11307</v>
      </c>
      <c r="CB46" s="205">
        <f t="shared" ref="CB46:CM46" si="198">CB47+CB48</f>
        <v>549</v>
      </c>
      <c r="CC46" s="205">
        <f t="shared" si="198"/>
        <v>933</v>
      </c>
      <c r="CD46" s="205">
        <f t="shared" si="198"/>
        <v>1249</v>
      </c>
      <c r="CE46" s="205">
        <f t="shared" si="198"/>
        <v>1184</v>
      </c>
      <c r="CF46" s="205">
        <f t="shared" si="198"/>
        <v>1295</v>
      </c>
      <c r="CG46" s="205">
        <f t="shared" si="198"/>
        <v>1562</v>
      </c>
      <c r="CH46" s="205">
        <f t="shared" si="198"/>
        <v>1419</v>
      </c>
      <c r="CI46" s="205">
        <f t="shared" si="198"/>
        <v>1108</v>
      </c>
      <c r="CJ46" s="205">
        <f t="shared" si="198"/>
        <v>1792</v>
      </c>
      <c r="CK46" s="205">
        <f t="shared" si="198"/>
        <v>1700</v>
      </c>
      <c r="CL46" s="205">
        <f t="shared" si="198"/>
        <v>1657</v>
      </c>
      <c r="CM46" s="246">
        <f t="shared" si="198"/>
        <v>1600</v>
      </c>
      <c r="CN46" s="246">
        <f t="shared" si="137"/>
        <v>16048</v>
      </c>
      <c r="CO46" s="245">
        <f t="shared" ref="CO46:CZ46" si="199">CO47+CO48</f>
        <v>1190</v>
      </c>
      <c r="CP46" s="205">
        <f t="shared" si="199"/>
        <v>1938</v>
      </c>
      <c r="CQ46" s="205">
        <f t="shared" si="199"/>
        <v>3022</v>
      </c>
      <c r="CR46" s="205">
        <f t="shared" si="199"/>
        <v>760</v>
      </c>
      <c r="CS46" s="205">
        <f t="shared" si="199"/>
        <v>2966</v>
      </c>
      <c r="CT46" s="205">
        <f t="shared" si="199"/>
        <v>3074</v>
      </c>
      <c r="CU46" s="205">
        <f t="shared" si="199"/>
        <v>4272</v>
      </c>
      <c r="CV46" s="205">
        <f t="shared" si="199"/>
        <v>2479</v>
      </c>
      <c r="CW46" s="205">
        <f t="shared" si="199"/>
        <v>3253</v>
      </c>
      <c r="CX46" s="205">
        <f t="shared" si="199"/>
        <v>3615</v>
      </c>
      <c r="CY46" s="205">
        <f t="shared" si="199"/>
        <v>1375</v>
      </c>
      <c r="CZ46" s="246">
        <f t="shared" si="199"/>
        <v>2956</v>
      </c>
      <c r="DA46" s="202">
        <f t="shared" si="139"/>
        <v>30900</v>
      </c>
      <c r="DB46" s="245">
        <f t="shared" ref="DB46:DM46" si="200">DB47+DB48</f>
        <v>2436</v>
      </c>
      <c r="DC46" s="205">
        <f t="shared" si="200"/>
        <v>475</v>
      </c>
      <c r="DD46" s="205">
        <f t="shared" si="200"/>
        <v>1965</v>
      </c>
      <c r="DE46" s="205">
        <f t="shared" si="200"/>
        <v>123</v>
      </c>
      <c r="DF46" s="205">
        <f t="shared" si="200"/>
        <v>4910</v>
      </c>
      <c r="DG46" s="205">
        <f t="shared" si="200"/>
        <v>2445</v>
      </c>
      <c r="DH46" s="205">
        <f t="shared" si="200"/>
        <v>2848</v>
      </c>
      <c r="DI46" s="205">
        <f t="shared" si="200"/>
        <v>2332</v>
      </c>
      <c r="DJ46" s="205">
        <f t="shared" si="200"/>
        <v>1669</v>
      </c>
      <c r="DK46" s="205">
        <f t="shared" si="200"/>
        <v>2333</v>
      </c>
      <c r="DL46" s="205">
        <f t="shared" si="200"/>
        <v>1886</v>
      </c>
      <c r="DM46" s="246">
        <f t="shared" si="200"/>
        <v>1676</v>
      </c>
      <c r="DN46" s="205">
        <f t="shared" si="141"/>
        <v>25098</v>
      </c>
      <c r="DO46" s="245">
        <f t="shared" ref="DO46:DZ46" si="201">DO47+DO48</f>
        <v>2506</v>
      </c>
      <c r="DP46" s="205">
        <f t="shared" si="201"/>
        <v>67</v>
      </c>
      <c r="DQ46" s="205">
        <f t="shared" si="201"/>
        <v>4038</v>
      </c>
      <c r="DR46" s="205">
        <f t="shared" si="201"/>
        <v>2465</v>
      </c>
      <c r="DS46" s="205">
        <f t="shared" si="201"/>
        <v>2262</v>
      </c>
      <c r="DT46" s="205">
        <f t="shared" si="201"/>
        <v>19</v>
      </c>
      <c r="DU46" s="205">
        <f t="shared" si="201"/>
        <v>3934</v>
      </c>
      <c r="DV46" s="205">
        <f t="shared" si="201"/>
        <v>2674</v>
      </c>
      <c r="DW46" s="205">
        <f t="shared" si="201"/>
        <v>1850</v>
      </c>
      <c r="DX46" s="205">
        <f t="shared" si="201"/>
        <v>1365</v>
      </c>
      <c r="DY46" s="205">
        <f t="shared" si="201"/>
        <v>1798</v>
      </c>
      <c r="DZ46" s="246">
        <f t="shared" si="201"/>
        <v>2061</v>
      </c>
      <c r="EA46" s="246">
        <f t="shared" si="143"/>
        <v>25039</v>
      </c>
      <c r="EB46" s="245">
        <f t="shared" ref="EB46:EM46" si="202">EB47+EB48</f>
        <v>2122</v>
      </c>
      <c r="EC46" s="205">
        <f t="shared" si="202"/>
        <v>2530</v>
      </c>
      <c r="ED46" s="205">
        <f t="shared" si="202"/>
        <v>2416</v>
      </c>
      <c r="EE46" s="205">
        <f t="shared" si="202"/>
        <v>2698</v>
      </c>
      <c r="EF46" s="205">
        <f t="shared" si="202"/>
        <v>2646</v>
      </c>
      <c r="EG46" s="205">
        <f t="shared" si="202"/>
        <v>1948</v>
      </c>
      <c r="EH46" s="205">
        <f t="shared" si="202"/>
        <v>2416</v>
      </c>
      <c r="EI46" s="205">
        <f t="shared" si="202"/>
        <v>2474</v>
      </c>
      <c r="EJ46" s="205">
        <f t="shared" si="202"/>
        <v>2882</v>
      </c>
      <c r="EK46" s="205">
        <f t="shared" si="202"/>
        <v>2062</v>
      </c>
      <c r="EL46" s="205">
        <f t="shared" si="202"/>
        <v>1961</v>
      </c>
      <c r="EM46" s="205">
        <f t="shared" si="202"/>
        <v>1441</v>
      </c>
      <c r="EN46" s="202">
        <f t="shared" si="145"/>
        <v>27596</v>
      </c>
      <c r="EO46" s="245">
        <f t="shared" ref="EO46:ER46" si="203">EO47+EO48</f>
        <v>427</v>
      </c>
      <c r="EP46" s="205">
        <f t="shared" si="203"/>
        <v>1625</v>
      </c>
      <c r="EQ46" s="205">
        <f t="shared" si="203"/>
        <v>3096</v>
      </c>
      <c r="ER46" s="205">
        <f t="shared" si="203"/>
        <v>1751</v>
      </c>
      <c r="ES46" s="205">
        <f t="shared" ref="ES46" si="204">ES47+ES48</f>
        <v>597</v>
      </c>
      <c r="ET46" s="205">
        <f t="shared" ref="ET46" si="205">ET47+ET48</f>
        <v>4451</v>
      </c>
      <c r="EU46" s="205">
        <f t="shared" ref="EU46" si="206">EU47+EU48</f>
        <v>2416</v>
      </c>
      <c r="EV46" s="963">
        <f t="shared" ref="EV46" si="207">EV47+EV48</f>
        <v>1245</v>
      </c>
      <c r="EW46" s="205"/>
      <c r="EX46" s="205"/>
      <c r="EY46" s="205"/>
      <c r="EZ46" s="205"/>
      <c r="FA46" s="202">
        <f t="shared" si="151"/>
        <v>15608</v>
      </c>
      <c r="FC46" s="271">
        <f t="shared" si="152"/>
        <v>-49.676637025060636</v>
      </c>
      <c r="FD46" s="271">
        <f t="shared" si="168"/>
        <v>-18.919480519480526</v>
      </c>
      <c r="FE46" s="202">
        <f t="shared" si="153"/>
        <v>19250</v>
      </c>
      <c r="FF46" s="202">
        <f t="shared" si="154"/>
        <v>15608</v>
      </c>
      <c r="FG46" s="205"/>
    </row>
    <row r="47" spans="1:163" ht="15" customHeight="1" x14ac:dyDescent="0.25">
      <c r="A47" s="138" t="s">
        <v>474</v>
      </c>
      <c r="B47" s="245">
        <f t="shared" ref="B47:AG47" si="208">B71+B72</f>
        <v>3401</v>
      </c>
      <c r="C47" s="205">
        <f t="shared" si="208"/>
        <v>994</v>
      </c>
      <c r="D47" s="205">
        <f t="shared" si="208"/>
        <v>5684</v>
      </c>
      <c r="E47" s="205">
        <f t="shared" si="208"/>
        <v>4434</v>
      </c>
      <c r="F47" s="205">
        <f t="shared" si="208"/>
        <v>4377</v>
      </c>
      <c r="G47" s="205">
        <f t="shared" si="208"/>
        <v>3479</v>
      </c>
      <c r="H47" s="205">
        <f t="shared" si="208"/>
        <v>2215</v>
      </c>
      <c r="I47" s="205">
        <f t="shared" si="208"/>
        <v>3157</v>
      </c>
      <c r="J47" s="205">
        <f t="shared" si="208"/>
        <v>3195</v>
      </c>
      <c r="K47" s="205">
        <f t="shared" si="208"/>
        <v>3590</v>
      </c>
      <c r="L47" s="205">
        <f t="shared" si="208"/>
        <v>3455</v>
      </c>
      <c r="M47" s="246">
        <f t="shared" si="208"/>
        <v>3066</v>
      </c>
      <c r="N47" s="246">
        <f t="shared" si="208"/>
        <v>41047</v>
      </c>
      <c r="O47" s="205">
        <f t="shared" si="208"/>
        <v>3431</v>
      </c>
      <c r="P47" s="205">
        <f t="shared" si="208"/>
        <v>399</v>
      </c>
      <c r="Q47" s="205">
        <f t="shared" si="208"/>
        <v>5627</v>
      </c>
      <c r="R47" s="205">
        <f t="shared" si="208"/>
        <v>2193</v>
      </c>
      <c r="S47" s="205">
        <f t="shared" si="208"/>
        <v>2318</v>
      </c>
      <c r="T47" s="205">
        <f t="shared" si="208"/>
        <v>1648</v>
      </c>
      <c r="U47" s="205">
        <f t="shared" si="208"/>
        <v>2115</v>
      </c>
      <c r="V47" s="205">
        <f t="shared" si="208"/>
        <v>1160</v>
      </c>
      <c r="W47" s="205">
        <f t="shared" si="208"/>
        <v>1062</v>
      </c>
      <c r="X47" s="205">
        <f t="shared" si="208"/>
        <v>400</v>
      </c>
      <c r="Y47" s="205">
        <f t="shared" si="208"/>
        <v>1408</v>
      </c>
      <c r="Z47" s="246">
        <f t="shared" si="208"/>
        <v>744</v>
      </c>
      <c r="AA47" s="205">
        <f t="shared" si="208"/>
        <v>22505</v>
      </c>
      <c r="AB47" s="245">
        <f t="shared" si="208"/>
        <v>689</v>
      </c>
      <c r="AC47" s="205">
        <f t="shared" si="208"/>
        <v>293</v>
      </c>
      <c r="AD47" s="205">
        <f t="shared" si="208"/>
        <v>2618</v>
      </c>
      <c r="AE47" s="205">
        <f t="shared" si="208"/>
        <v>1772</v>
      </c>
      <c r="AF47" s="205">
        <f t="shared" si="208"/>
        <v>2166</v>
      </c>
      <c r="AG47" s="205">
        <f t="shared" si="208"/>
        <v>1140</v>
      </c>
      <c r="AH47" s="205">
        <f t="shared" ref="AH47:BM47" si="209">AH71+AH72</f>
        <v>1035</v>
      </c>
      <c r="AI47" s="205">
        <f t="shared" si="209"/>
        <v>1368</v>
      </c>
      <c r="AJ47" s="205">
        <f t="shared" si="209"/>
        <v>2465</v>
      </c>
      <c r="AK47" s="205">
        <f t="shared" si="209"/>
        <v>2131</v>
      </c>
      <c r="AL47" s="205">
        <f t="shared" si="209"/>
        <v>862</v>
      </c>
      <c r="AM47" s="205">
        <f t="shared" si="209"/>
        <v>1476</v>
      </c>
      <c r="AN47" s="202">
        <f t="shared" si="209"/>
        <v>18015</v>
      </c>
      <c r="AO47" s="245">
        <f t="shared" si="209"/>
        <v>1148</v>
      </c>
      <c r="AP47" s="205">
        <f t="shared" si="209"/>
        <v>2124</v>
      </c>
      <c r="AQ47" s="205">
        <f t="shared" si="209"/>
        <v>2134</v>
      </c>
      <c r="AR47" s="205">
        <f t="shared" si="209"/>
        <v>1777</v>
      </c>
      <c r="AS47" s="205">
        <f t="shared" si="209"/>
        <v>1550</v>
      </c>
      <c r="AT47" s="205">
        <f t="shared" si="209"/>
        <v>3028</v>
      </c>
      <c r="AU47" s="205">
        <f t="shared" si="209"/>
        <v>896</v>
      </c>
      <c r="AV47" s="205">
        <f t="shared" si="209"/>
        <v>1627</v>
      </c>
      <c r="AW47" s="205">
        <f t="shared" si="209"/>
        <v>29</v>
      </c>
      <c r="AX47" s="205">
        <f t="shared" si="209"/>
        <v>4398</v>
      </c>
      <c r="AY47" s="205">
        <f t="shared" si="209"/>
        <v>2137</v>
      </c>
      <c r="AZ47" s="246">
        <f t="shared" si="209"/>
        <v>2275</v>
      </c>
      <c r="BA47" s="246">
        <f t="shared" si="209"/>
        <v>23123</v>
      </c>
      <c r="BB47" s="205">
        <f t="shared" si="209"/>
        <v>1701</v>
      </c>
      <c r="BC47" s="205">
        <f t="shared" si="209"/>
        <v>40</v>
      </c>
      <c r="BD47" s="205">
        <f t="shared" si="209"/>
        <v>2277</v>
      </c>
      <c r="BE47" s="205">
        <f t="shared" si="209"/>
        <v>1654</v>
      </c>
      <c r="BF47" s="205">
        <f t="shared" si="209"/>
        <v>1999</v>
      </c>
      <c r="BG47" s="205">
        <f t="shared" si="209"/>
        <v>2378</v>
      </c>
      <c r="BH47" s="205">
        <f t="shared" si="209"/>
        <v>1771</v>
      </c>
      <c r="BI47" s="205">
        <f t="shared" si="209"/>
        <v>1659</v>
      </c>
      <c r="BJ47" s="205">
        <f t="shared" si="209"/>
        <v>2646</v>
      </c>
      <c r="BK47" s="205">
        <f t="shared" si="209"/>
        <v>2561</v>
      </c>
      <c r="BL47" s="205">
        <f t="shared" si="209"/>
        <v>2387</v>
      </c>
      <c r="BM47" s="246">
        <f t="shared" si="209"/>
        <v>3013</v>
      </c>
      <c r="BN47" s="246">
        <f t="shared" ref="BN47:BZ47" si="210">BN71+BN72</f>
        <v>24086</v>
      </c>
      <c r="BO47" s="205">
        <f t="shared" si="210"/>
        <v>1788</v>
      </c>
      <c r="BP47" s="205">
        <f t="shared" si="210"/>
        <v>68</v>
      </c>
      <c r="BQ47" s="205">
        <f t="shared" si="210"/>
        <v>4259</v>
      </c>
      <c r="BR47" s="205">
        <f t="shared" si="210"/>
        <v>670</v>
      </c>
      <c r="BS47" s="205">
        <f t="shared" si="210"/>
        <v>309</v>
      </c>
      <c r="BT47" s="205">
        <f t="shared" si="210"/>
        <v>272</v>
      </c>
      <c r="BU47" s="205">
        <f t="shared" si="210"/>
        <v>320</v>
      </c>
      <c r="BV47" s="205">
        <f t="shared" si="210"/>
        <v>335</v>
      </c>
      <c r="BW47" s="205">
        <f t="shared" si="210"/>
        <v>548</v>
      </c>
      <c r="BX47" s="205">
        <f t="shared" si="210"/>
        <v>377</v>
      </c>
      <c r="BY47" s="205">
        <f t="shared" si="210"/>
        <v>840</v>
      </c>
      <c r="BZ47" s="205">
        <f t="shared" si="210"/>
        <v>1521</v>
      </c>
      <c r="CA47" s="145">
        <f t="shared" si="133"/>
        <v>11307</v>
      </c>
      <c r="CB47" s="205">
        <f t="shared" ref="CB47:CM47" si="211">CB71+CB72</f>
        <v>549</v>
      </c>
      <c r="CC47" s="205">
        <f t="shared" si="211"/>
        <v>933</v>
      </c>
      <c r="CD47" s="205">
        <f t="shared" si="211"/>
        <v>1249</v>
      </c>
      <c r="CE47" s="205">
        <f t="shared" si="211"/>
        <v>1184</v>
      </c>
      <c r="CF47" s="205">
        <f t="shared" si="211"/>
        <v>1295</v>
      </c>
      <c r="CG47" s="205">
        <f t="shared" si="211"/>
        <v>1562</v>
      </c>
      <c r="CH47" s="205">
        <f t="shared" si="211"/>
        <v>1419</v>
      </c>
      <c r="CI47" s="205">
        <f t="shared" si="211"/>
        <v>1108</v>
      </c>
      <c r="CJ47" s="205">
        <f t="shared" si="211"/>
        <v>1792</v>
      </c>
      <c r="CK47" s="205">
        <f t="shared" si="211"/>
        <v>1700</v>
      </c>
      <c r="CL47" s="205">
        <f t="shared" si="211"/>
        <v>1657</v>
      </c>
      <c r="CM47" s="246">
        <f t="shared" si="211"/>
        <v>1600</v>
      </c>
      <c r="CN47" s="246">
        <f t="shared" si="137"/>
        <v>16048</v>
      </c>
      <c r="CO47" s="245">
        <f t="shared" ref="CO47:CZ47" si="212">CO71+CO72</f>
        <v>1190</v>
      </c>
      <c r="CP47" s="205">
        <f t="shared" si="212"/>
        <v>1938</v>
      </c>
      <c r="CQ47" s="205">
        <f t="shared" si="212"/>
        <v>3022</v>
      </c>
      <c r="CR47" s="205">
        <f t="shared" si="212"/>
        <v>760</v>
      </c>
      <c r="CS47" s="205">
        <f t="shared" si="212"/>
        <v>2966</v>
      </c>
      <c r="CT47" s="205">
        <f t="shared" si="212"/>
        <v>3074</v>
      </c>
      <c r="CU47" s="205">
        <f t="shared" si="212"/>
        <v>4272</v>
      </c>
      <c r="CV47" s="205">
        <f t="shared" si="212"/>
        <v>2479</v>
      </c>
      <c r="CW47" s="205">
        <f t="shared" si="212"/>
        <v>3253</v>
      </c>
      <c r="CX47" s="205">
        <f t="shared" si="212"/>
        <v>3615</v>
      </c>
      <c r="CY47" s="205">
        <f t="shared" si="212"/>
        <v>1375</v>
      </c>
      <c r="CZ47" s="246">
        <f t="shared" si="212"/>
        <v>2956</v>
      </c>
      <c r="DA47" s="202">
        <f t="shared" si="139"/>
        <v>30900</v>
      </c>
      <c r="DB47" s="245">
        <f t="shared" ref="DB47:DM47" si="213">DB71+DB72</f>
        <v>2436</v>
      </c>
      <c r="DC47" s="205">
        <f t="shared" si="213"/>
        <v>475</v>
      </c>
      <c r="DD47" s="205">
        <f t="shared" si="213"/>
        <v>1965</v>
      </c>
      <c r="DE47" s="205">
        <f t="shared" si="213"/>
        <v>123</v>
      </c>
      <c r="DF47" s="205">
        <f t="shared" si="213"/>
        <v>4910</v>
      </c>
      <c r="DG47" s="205">
        <f t="shared" si="213"/>
        <v>2445</v>
      </c>
      <c r="DH47" s="205">
        <f t="shared" si="213"/>
        <v>2848</v>
      </c>
      <c r="DI47" s="205">
        <f t="shared" si="213"/>
        <v>2332</v>
      </c>
      <c r="DJ47" s="205">
        <f t="shared" si="213"/>
        <v>1669</v>
      </c>
      <c r="DK47" s="205">
        <f t="shared" si="213"/>
        <v>2333</v>
      </c>
      <c r="DL47" s="205">
        <f t="shared" si="213"/>
        <v>1886</v>
      </c>
      <c r="DM47" s="246">
        <f t="shared" si="213"/>
        <v>1676</v>
      </c>
      <c r="DN47" s="205">
        <f t="shared" si="141"/>
        <v>25098</v>
      </c>
      <c r="DO47" s="245">
        <f t="shared" ref="DO47:DZ47" si="214">DO71+DO72</f>
        <v>2506</v>
      </c>
      <c r="DP47" s="205">
        <f t="shared" si="214"/>
        <v>67</v>
      </c>
      <c r="DQ47" s="205">
        <f t="shared" si="214"/>
        <v>4038</v>
      </c>
      <c r="DR47" s="205">
        <f t="shared" si="214"/>
        <v>2465</v>
      </c>
      <c r="DS47" s="205">
        <f t="shared" si="214"/>
        <v>2262</v>
      </c>
      <c r="DT47" s="205">
        <f t="shared" si="214"/>
        <v>19</v>
      </c>
      <c r="DU47" s="205">
        <f t="shared" si="214"/>
        <v>3934</v>
      </c>
      <c r="DV47" s="205">
        <f t="shared" si="214"/>
        <v>2674</v>
      </c>
      <c r="DW47" s="205">
        <f t="shared" si="214"/>
        <v>1850</v>
      </c>
      <c r="DX47" s="205">
        <f t="shared" si="214"/>
        <v>1365</v>
      </c>
      <c r="DY47" s="205">
        <f t="shared" si="214"/>
        <v>1798</v>
      </c>
      <c r="DZ47" s="246">
        <f t="shared" si="214"/>
        <v>2061</v>
      </c>
      <c r="EA47" s="246">
        <f t="shared" si="143"/>
        <v>25039</v>
      </c>
      <c r="EB47" s="245">
        <f t="shared" ref="EB47:EM47" si="215">EB71+EB72</f>
        <v>2122</v>
      </c>
      <c r="EC47" s="205">
        <f t="shared" si="215"/>
        <v>2530</v>
      </c>
      <c r="ED47" s="205">
        <f t="shared" si="215"/>
        <v>2416</v>
      </c>
      <c r="EE47" s="205">
        <f t="shared" si="215"/>
        <v>2698</v>
      </c>
      <c r="EF47" s="205">
        <f t="shared" si="215"/>
        <v>2646</v>
      </c>
      <c r="EG47" s="205">
        <f t="shared" si="215"/>
        <v>1948</v>
      </c>
      <c r="EH47" s="205">
        <f t="shared" si="215"/>
        <v>2416</v>
      </c>
      <c r="EI47" s="205">
        <f t="shared" si="215"/>
        <v>2474</v>
      </c>
      <c r="EJ47" s="205">
        <f t="shared" si="215"/>
        <v>2882</v>
      </c>
      <c r="EK47" s="205">
        <f t="shared" si="215"/>
        <v>2062</v>
      </c>
      <c r="EL47" s="205">
        <f t="shared" si="215"/>
        <v>1961</v>
      </c>
      <c r="EM47" s="205">
        <f t="shared" si="215"/>
        <v>1441</v>
      </c>
      <c r="EN47" s="202">
        <f t="shared" si="145"/>
        <v>27596</v>
      </c>
      <c r="EO47" s="245">
        <f t="shared" ref="EO47:ER47" si="216">EO71+EO72</f>
        <v>427</v>
      </c>
      <c r="EP47" s="205">
        <f t="shared" si="216"/>
        <v>1625</v>
      </c>
      <c r="EQ47" s="205">
        <f t="shared" si="216"/>
        <v>3096</v>
      </c>
      <c r="ER47" s="205">
        <f t="shared" si="216"/>
        <v>1751</v>
      </c>
      <c r="ES47" s="205">
        <f t="shared" ref="ES47" si="217">ES71+ES72</f>
        <v>597</v>
      </c>
      <c r="ET47" s="205">
        <f t="shared" ref="ET47" si="218">ET71+ET72</f>
        <v>4451</v>
      </c>
      <c r="EU47" s="205">
        <f t="shared" ref="EU47" si="219">EU71+EU72</f>
        <v>2416</v>
      </c>
      <c r="EV47" s="963">
        <f t="shared" ref="EV47" si="220">EV71+EV72</f>
        <v>1245</v>
      </c>
      <c r="EW47" s="205"/>
      <c r="EX47" s="205"/>
      <c r="EY47" s="205"/>
      <c r="EZ47" s="205"/>
      <c r="FA47" s="202">
        <f t="shared" si="151"/>
        <v>15608</v>
      </c>
      <c r="FC47" s="271">
        <f t="shared" si="152"/>
        <v>-49.676637025060636</v>
      </c>
      <c r="FD47" s="271">
        <f>IFERROR(((FF47/FE47)-1)*100,"-")</f>
        <v>-18.919480519480526</v>
      </c>
      <c r="FE47" s="202">
        <f t="shared" si="153"/>
        <v>19250</v>
      </c>
      <c r="FF47" s="202">
        <f>IFERROR(SUM(EO47:EY47),"-")</f>
        <v>15608</v>
      </c>
      <c r="FG47" s="205"/>
    </row>
    <row r="48" spans="1:163" ht="15" customHeight="1" x14ac:dyDescent="0.25">
      <c r="A48" s="138" t="s">
        <v>435</v>
      </c>
      <c r="B48" s="245">
        <f t="shared" ref="B48:AG48" si="221">B75</f>
        <v>0</v>
      </c>
      <c r="C48" s="205">
        <f t="shared" si="221"/>
        <v>0</v>
      </c>
      <c r="D48" s="205">
        <f t="shared" si="221"/>
        <v>1.0999999999999999E-2</v>
      </c>
      <c r="E48" s="205">
        <f t="shared" si="221"/>
        <v>0</v>
      </c>
      <c r="F48" s="205">
        <f t="shared" si="221"/>
        <v>0</v>
      </c>
      <c r="G48" s="205">
        <f t="shared" si="221"/>
        <v>0</v>
      </c>
      <c r="H48" s="205">
        <f t="shared" si="221"/>
        <v>0</v>
      </c>
      <c r="I48" s="205">
        <f t="shared" si="221"/>
        <v>0</v>
      </c>
      <c r="J48" s="205">
        <f t="shared" si="221"/>
        <v>0</v>
      </c>
      <c r="K48" s="205">
        <f t="shared" si="221"/>
        <v>0</v>
      </c>
      <c r="L48" s="205">
        <f t="shared" si="221"/>
        <v>0</v>
      </c>
      <c r="M48" s="246">
        <f t="shared" si="221"/>
        <v>0</v>
      </c>
      <c r="N48" s="246">
        <f t="shared" si="221"/>
        <v>1.0999999999999999E-2</v>
      </c>
      <c r="O48" s="205">
        <f t="shared" si="221"/>
        <v>0</v>
      </c>
      <c r="P48" s="205">
        <f t="shared" si="221"/>
        <v>0</v>
      </c>
      <c r="Q48" s="205">
        <f t="shared" si="221"/>
        <v>0</v>
      </c>
      <c r="R48" s="205">
        <f t="shared" si="221"/>
        <v>0</v>
      </c>
      <c r="S48" s="205">
        <f t="shared" si="221"/>
        <v>0</v>
      </c>
      <c r="T48" s="205">
        <f t="shared" si="221"/>
        <v>0</v>
      </c>
      <c r="U48" s="205">
        <f t="shared" si="221"/>
        <v>0</v>
      </c>
      <c r="V48" s="205">
        <f t="shared" si="221"/>
        <v>0</v>
      </c>
      <c r="W48" s="205">
        <f t="shared" si="221"/>
        <v>0</v>
      </c>
      <c r="X48" s="205">
        <f t="shared" si="221"/>
        <v>0</v>
      </c>
      <c r="Y48" s="205">
        <f t="shared" si="221"/>
        <v>0</v>
      </c>
      <c r="Z48" s="246">
        <f t="shared" si="221"/>
        <v>0</v>
      </c>
      <c r="AA48" s="205">
        <f t="shared" si="221"/>
        <v>0</v>
      </c>
      <c r="AB48" s="245">
        <f t="shared" si="221"/>
        <v>0</v>
      </c>
      <c r="AC48" s="205">
        <f t="shared" si="221"/>
        <v>0</v>
      </c>
      <c r="AD48" s="205">
        <f t="shared" si="221"/>
        <v>0</v>
      </c>
      <c r="AE48" s="205">
        <f t="shared" si="221"/>
        <v>0</v>
      </c>
      <c r="AF48" s="205">
        <f t="shared" si="221"/>
        <v>0</v>
      </c>
      <c r="AG48" s="205">
        <f t="shared" si="221"/>
        <v>0</v>
      </c>
      <c r="AH48" s="205">
        <f t="shared" ref="AH48:BM48" si="222">AH75</f>
        <v>0</v>
      </c>
      <c r="AI48" s="205">
        <f t="shared" si="222"/>
        <v>0</v>
      </c>
      <c r="AJ48" s="205">
        <f t="shared" si="222"/>
        <v>0</v>
      </c>
      <c r="AK48" s="205">
        <f t="shared" si="222"/>
        <v>0</v>
      </c>
      <c r="AL48" s="205">
        <f t="shared" si="222"/>
        <v>0</v>
      </c>
      <c r="AM48" s="205">
        <f t="shared" si="222"/>
        <v>0</v>
      </c>
      <c r="AN48" s="202">
        <f t="shared" si="222"/>
        <v>0</v>
      </c>
      <c r="AO48" s="245">
        <f t="shared" si="222"/>
        <v>0</v>
      </c>
      <c r="AP48" s="205">
        <f t="shared" si="222"/>
        <v>0</v>
      </c>
      <c r="AQ48" s="205">
        <f t="shared" si="222"/>
        <v>0</v>
      </c>
      <c r="AR48" s="205">
        <f t="shared" si="222"/>
        <v>0</v>
      </c>
      <c r="AS48" s="205">
        <f t="shared" si="222"/>
        <v>0</v>
      </c>
      <c r="AT48" s="205">
        <f t="shared" si="222"/>
        <v>0</v>
      </c>
      <c r="AU48" s="205">
        <f t="shared" si="222"/>
        <v>0</v>
      </c>
      <c r="AV48" s="205">
        <f t="shared" si="222"/>
        <v>0</v>
      </c>
      <c r="AW48" s="205">
        <f t="shared" si="222"/>
        <v>3</v>
      </c>
      <c r="AX48" s="205">
        <f t="shared" si="222"/>
        <v>0</v>
      </c>
      <c r="AY48" s="205">
        <f t="shared" si="222"/>
        <v>0</v>
      </c>
      <c r="AZ48" s="246">
        <f t="shared" si="222"/>
        <v>0</v>
      </c>
      <c r="BA48" s="246">
        <f t="shared" si="222"/>
        <v>3</v>
      </c>
      <c r="BB48" s="205">
        <f t="shared" si="222"/>
        <v>0</v>
      </c>
      <c r="BC48" s="205">
        <f t="shared" si="222"/>
        <v>0</v>
      </c>
      <c r="BD48" s="205">
        <f t="shared" si="222"/>
        <v>0</v>
      </c>
      <c r="BE48" s="205">
        <f t="shared" si="222"/>
        <v>0</v>
      </c>
      <c r="BF48" s="205">
        <f t="shared" si="222"/>
        <v>0</v>
      </c>
      <c r="BG48" s="205">
        <f t="shared" si="222"/>
        <v>0</v>
      </c>
      <c r="BH48" s="205">
        <f t="shared" si="222"/>
        <v>0</v>
      </c>
      <c r="BI48" s="205">
        <f t="shared" si="222"/>
        <v>0</v>
      </c>
      <c r="BJ48" s="205">
        <f t="shared" si="222"/>
        <v>0</v>
      </c>
      <c r="BK48" s="205">
        <f t="shared" si="222"/>
        <v>0</v>
      </c>
      <c r="BL48" s="205">
        <f t="shared" si="222"/>
        <v>1</v>
      </c>
      <c r="BM48" s="246">
        <f t="shared" si="222"/>
        <v>1</v>
      </c>
      <c r="BN48" s="246">
        <f t="shared" ref="BN48:BZ48" si="223">BN75</f>
        <v>2</v>
      </c>
      <c r="BO48" s="205">
        <f t="shared" si="223"/>
        <v>0</v>
      </c>
      <c r="BP48" s="205">
        <f t="shared" si="223"/>
        <v>0</v>
      </c>
      <c r="BQ48" s="205">
        <f t="shared" si="223"/>
        <v>0</v>
      </c>
      <c r="BR48" s="205">
        <f t="shared" si="223"/>
        <v>0</v>
      </c>
      <c r="BS48" s="205">
        <f t="shared" si="223"/>
        <v>0</v>
      </c>
      <c r="BT48" s="205">
        <f t="shared" si="223"/>
        <v>0</v>
      </c>
      <c r="BU48" s="205">
        <f t="shared" si="223"/>
        <v>0</v>
      </c>
      <c r="BV48" s="205">
        <f t="shared" si="223"/>
        <v>0</v>
      </c>
      <c r="BW48" s="205">
        <f t="shared" si="223"/>
        <v>0</v>
      </c>
      <c r="BX48" s="205">
        <f t="shared" si="223"/>
        <v>0</v>
      </c>
      <c r="BY48" s="205">
        <f t="shared" si="223"/>
        <v>0</v>
      </c>
      <c r="BZ48" s="205">
        <f t="shared" si="223"/>
        <v>0</v>
      </c>
      <c r="CA48" s="145">
        <f t="shared" si="133"/>
        <v>0</v>
      </c>
      <c r="CB48" s="205">
        <f t="shared" ref="CB48:CM48" si="224">CB75</f>
        <v>0</v>
      </c>
      <c r="CC48" s="205">
        <f t="shared" si="224"/>
        <v>0</v>
      </c>
      <c r="CD48" s="205">
        <f t="shared" si="224"/>
        <v>0</v>
      </c>
      <c r="CE48" s="205">
        <f t="shared" si="224"/>
        <v>0</v>
      </c>
      <c r="CF48" s="205">
        <f t="shared" si="224"/>
        <v>0</v>
      </c>
      <c r="CG48" s="205">
        <f t="shared" si="224"/>
        <v>0</v>
      </c>
      <c r="CH48" s="205">
        <f t="shared" si="224"/>
        <v>0</v>
      </c>
      <c r="CI48" s="205">
        <f t="shared" si="224"/>
        <v>0</v>
      </c>
      <c r="CJ48" s="205">
        <f t="shared" si="224"/>
        <v>0</v>
      </c>
      <c r="CK48" s="205">
        <f t="shared" si="224"/>
        <v>0</v>
      </c>
      <c r="CL48" s="205">
        <f t="shared" si="224"/>
        <v>0</v>
      </c>
      <c r="CM48" s="246">
        <f t="shared" si="224"/>
        <v>0</v>
      </c>
      <c r="CN48" s="246">
        <f t="shared" si="137"/>
        <v>0</v>
      </c>
      <c r="CO48" s="245">
        <f t="shared" ref="CO48:CZ48" si="225">CO75</f>
        <v>0</v>
      </c>
      <c r="CP48" s="205">
        <f t="shared" si="225"/>
        <v>0</v>
      </c>
      <c r="CQ48" s="205">
        <f t="shared" si="225"/>
        <v>0</v>
      </c>
      <c r="CR48" s="205">
        <f t="shared" si="225"/>
        <v>0</v>
      </c>
      <c r="CS48" s="205">
        <f t="shared" si="225"/>
        <v>0</v>
      </c>
      <c r="CT48" s="205">
        <f t="shared" si="225"/>
        <v>0</v>
      </c>
      <c r="CU48" s="205">
        <f t="shared" si="225"/>
        <v>0</v>
      </c>
      <c r="CV48" s="205">
        <f t="shared" si="225"/>
        <v>0</v>
      </c>
      <c r="CW48" s="205">
        <f t="shared" si="225"/>
        <v>0</v>
      </c>
      <c r="CX48" s="205">
        <f t="shared" si="225"/>
        <v>0</v>
      </c>
      <c r="CY48" s="205">
        <f t="shared" si="225"/>
        <v>0</v>
      </c>
      <c r="CZ48" s="246">
        <f t="shared" si="225"/>
        <v>0</v>
      </c>
      <c r="DA48" s="202">
        <f t="shared" si="139"/>
        <v>0</v>
      </c>
      <c r="DB48" s="245">
        <f t="shared" ref="DB48:DM48" si="226">DB75</f>
        <v>0</v>
      </c>
      <c r="DC48" s="205">
        <f t="shared" si="226"/>
        <v>0</v>
      </c>
      <c r="DD48" s="205">
        <f t="shared" si="226"/>
        <v>0</v>
      </c>
      <c r="DE48" s="205">
        <f t="shared" si="226"/>
        <v>0</v>
      </c>
      <c r="DF48" s="205">
        <f t="shared" si="226"/>
        <v>0</v>
      </c>
      <c r="DG48" s="205">
        <f t="shared" si="226"/>
        <v>0</v>
      </c>
      <c r="DH48" s="205">
        <f t="shared" si="226"/>
        <v>0</v>
      </c>
      <c r="DI48" s="205">
        <f t="shared" si="226"/>
        <v>0</v>
      </c>
      <c r="DJ48" s="205">
        <f t="shared" si="226"/>
        <v>0</v>
      </c>
      <c r="DK48" s="205">
        <f t="shared" si="226"/>
        <v>0</v>
      </c>
      <c r="DL48" s="205">
        <f t="shared" si="226"/>
        <v>0</v>
      </c>
      <c r="DM48" s="246">
        <f t="shared" si="226"/>
        <v>0</v>
      </c>
      <c r="DN48" s="205">
        <f t="shared" si="141"/>
        <v>0</v>
      </c>
      <c r="DO48" s="245">
        <f t="shared" ref="DO48:DZ48" si="227">DO75</f>
        <v>0</v>
      </c>
      <c r="DP48" s="205">
        <f t="shared" si="227"/>
        <v>0</v>
      </c>
      <c r="DQ48" s="205">
        <f t="shared" si="227"/>
        <v>0</v>
      </c>
      <c r="DR48" s="205">
        <f t="shared" si="227"/>
        <v>0</v>
      </c>
      <c r="DS48" s="205">
        <f t="shared" si="227"/>
        <v>0</v>
      </c>
      <c r="DT48" s="205">
        <f t="shared" si="227"/>
        <v>0</v>
      </c>
      <c r="DU48" s="205">
        <f t="shared" si="227"/>
        <v>0</v>
      </c>
      <c r="DV48" s="205">
        <f t="shared" si="227"/>
        <v>0</v>
      </c>
      <c r="DW48" s="205">
        <f t="shared" si="227"/>
        <v>0</v>
      </c>
      <c r="DX48" s="205">
        <f t="shared" si="227"/>
        <v>0</v>
      </c>
      <c r="DY48" s="205">
        <f t="shared" si="227"/>
        <v>0</v>
      </c>
      <c r="DZ48" s="246">
        <f t="shared" si="227"/>
        <v>0</v>
      </c>
      <c r="EA48" s="246">
        <f t="shared" si="143"/>
        <v>0</v>
      </c>
      <c r="EB48" s="245">
        <f t="shared" ref="EB48:EM48" si="228">EB75</f>
        <v>0</v>
      </c>
      <c r="EC48" s="205">
        <f t="shared" si="228"/>
        <v>0</v>
      </c>
      <c r="ED48" s="205">
        <f t="shared" si="228"/>
        <v>0</v>
      </c>
      <c r="EE48" s="205">
        <f t="shared" si="228"/>
        <v>0</v>
      </c>
      <c r="EF48" s="205">
        <f t="shared" si="228"/>
        <v>0</v>
      </c>
      <c r="EG48" s="205">
        <f t="shared" si="228"/>
        <v>0</v>
      </c>
      <c r="EH48" s="205">
        <f t="shared" si="228"/>
        <v>0</v>
      </c>
      <c r="EI48" s="205">
        <f t="shared" si="228"/>
        <v>0</v>
      </c>
      <c r="EJ48" s="205">
        <f t="shared" si="228"/>
        <v>0</v>
      </c>
      <c r="EK48" s="205">
        <f t="shared" si="228"/>
        <v>0</v>
      </c>
      <c r="EL48" s="205">
        <f t="shared" si="228"/>
        <v>0</v>
      </c>
      <c r="EM48" s="205">
        <f t="shared" si="228"/>
        <v>0</v>
      </c>
      <c r="EN48" s="202">
        <f t="shared" si="145"/>
        <v>0</v>
      </c>
      <c r="EO48" s="245">
        <f t="shared" ref="EO48:ER48" si="229">EO75</f>
        <v>0</v>
      </c>
      <c r="EP48" s="205">
        <f t="shared" si="229"/>
        <v>0</v>
      </c>
      <c r="EQ48" s="205">
        <f t="shared" si="229"/>
        <v>0</v>
      </c>
      <c r="ER48" s="205">
        <f t="shared" si="229"/>
        <v>0</v>
      </c>
      <c r="ES48" s="205">
        <f t="shared" ref="ES48" si="230">ES75</f>
        <v>0</v>
      </c>
      <c r="ET48" s="205">
        <f t="shared" ref="ET48" si="231">ET75</f>
        <v>0</v>
      </c>
      <c r="EU48" s="205">
        <f t="shared" ref="EU48" si="232">EU75</f>
        <v>0</v>
      </c>
      <c r="EV48" s="963">
        <f t="shared" ref="EV48" si="233">EV75</f>
        <v>0</v>
      </c>
      <c r="EW48" s="205"/>
      <c r="EX48" s="205"/>
      <c r="EY48" s="205"/>
      <c r="EZ48" s="205"/>
      <c r="FA48" s="202">
        <f t="shared" si="151"/>
        <v>0</v>
      </c>
      <c r="FC48" s="271" t="str">
        <f t="shared" si="152"/>
        <v>-</v>
      </c>
      <c r="FD48" s="271"/>
      <c r="FE48" s="202">
        <f t="shared" si="153"/>
        <v>0</v>
      </c>
      <c r="FF48" s="202">
        <f t="shared" si="154"/>
        <v>0</v>
      </c>
      <c r="FG48" s="205"/>
    </row>
    <row r="49" spans="1:163" ht="15" customHeight="1" x14ac:dyDescent="0.25">
      <c r="A49" s="138" t="s">
        <v>475</v>
      </c>
      <c r="B49" s="245">
        <f t="shared" ref="B49:AG49" si="234">B78</f>
        <v>11126</v>
      </c>
      <c r="C49" s="205">
        <f t="shared" si="234"/>
        <v>12635</v>
      </c>
      <c r="D49" s="205">
        <f t="shared" si="234"/>
        <v>10752</v>
      </c>
      <c r="E49" s="205">
        <f t="shared" si="234"/>
        <v>8367</v>
      </c>
      <c r="F49" s="205">
        <f t="shared" si="234"/>
        <v>9358</v>
      </c>
      <c r="G49" s="205">
        <f t="shared" si="234"/>
        <v>12221</v>
      </c>
      <c r="H49" s="205">
        <f t="shared" si="234"/>
        <v>9699</v>
      </c>
      <c r="I49" s="205">
        <f t="shared" si="234"/>
        <v>10323</v>
      </c>
      <c r="J49" s="205">
        <f t="shared" si="234"/>
        <v>10414</v>
      </c>
      <c r="K49" s="205">
        <f t="shared" si="234"/>
        <v>10609</v>
      </c>
      <c r="L49" s="205">
        <f t="shared" si="234"/>
        <v>10448</v>
      </c>
      <c r="M49" s="246">
        <f t="shared" si="234"/>
        <v>11306</v>
      </c>
      <c r="N49" s="246">
        <f t="shared" si="234"/>
        <v>127258</v>
      </c>
      <c r="O49" s="205">
        <f t="shared" si="234"/>
        <v>12611</v>
      </c>
      <c r="P49" s="205">
        <f t="shared" si="234"/>
        <v>1507</v>
      </c>
      <c r="Q49" s="205">
        <f t="shared" si="234"/>
        <v>19538</v>
      </c>
      <c r="R49" s="205">
        <f t="shared" si="234"/>
        <v>9510</v>
      </c>
      <c r="S49" s="205">
        <f t="shared" si="234"/>
        <v>6823</v>
      </c>
      <c r="T49" s="205">
        <f t="shared" si="234"/>
        <v>9808</v>
      </c>
      <c r="U49" s="205">
        <f t="shared" si="234"/>
        <v>9764</v>
      </c>
      <c r="V49" s="205">
        <f t="shared" si="234"/>
        <v>8485</v>
      </c>
      <c r="W49" s="205">
        <f t="shared" si="234"/>
        <v>10816</v>
      </c>
      <c r="X49" s="205">
        <f t="shared" si="234"/>
        <v>10901</v>
      </c>
      <c r="Y49" s="205">
        <f t="shared" si="234"/>
        <v>10472</v>
      </c>
      <c r="Z49" s="246">
        <f t="shared" si="234"/>
        <v>10382</v>
      </c>
      <c r="AA49" s="205">
        <f t="shared" si="234"/>
        <v>120617</v>
      </c>
      <c r="AB49" s="245">
        <f t="shared" si="234"/>
        <v>10860</v>
      </c>
      <c r="AC49" s="205">
        <f t="shared" si="234"/>
        <v>8</v>
      </c>
      <c r="AD49" s="205">
        <f t="shared" si="234"/>
        <v>21214</v>
      </c>
      <c r="AE49" s="205">
        <f t="shared" si="234"/>
        <v>8067</v>
      </c>
      <c r="AF49" s="205">
        <f t="shared" si="234"/>
        <v>9621</v>
      </c>
      <c r="AG49" s="205">
        <f t="shared" si="234"/>
        <v>10622</v>
      </c>
      <c r="AH49" s="205">
        <f t="shared" ref="AH49:BM49" si="235">AH78</f>
        <v>9532</v>
      </c>
      <c r="AI49" s="205">
        <f t="shared" si="235"/>
        <v>9814</v>
      </c>
      <c r="AJ49" s="205">
        <f t="shared" si="235"/>
        <v>11526</v>
      </c>
      <c r="AK49" s="205">
        <f t="shared" si="235"/>
        <v>10394</v>
      </c>
      <c r="AL49" s="205">
        <f t="shared" si="235"/>
        <v>11617</v>
      </c>
      <c r="AM49" s="205">
        <f t="shared" si="235"/>
        <v>10968</v>
      </c>
      <c r="AN49" s="202">
        <f t="shared" si="235"/>
        <v>124243</v>
      </c>
      <c r="AO49" s="245">
        <f t="shared" si="235"/>
        <v>10086</v>
      </c>
      <c r="AP49" s="205">
        <f t="shared" si="235"/>
        <v>12203</v>
      </c>
      <c r="AQ49" s="205">
        <f t="shared" si="235"/>
        <v>10788</v>
      </c>
      <c r="AR49" s="205">
        <f t="shared" si="235"/>
        <v>9052</v>
      </c>
      <c r="AS49" s="205">
        <f t="shared" si="235"/>
        <v>10163</v>
      </c>
      <c r="AT49" s="205">
        <f t="shared" si="235"/>
        <v>14032</v>
      </c>
      <c r="AU49" s="205">
        <f t="shared" si="235"/>
        <v>9036</v>
      </c>
      <c r="AV49" s="205">
        <f t="shared" si="235"/>
        <v>11125</v>
      </c>
      <c r="AW49" s="205">
        <f t="shared" si="235"/>
        <v>12258</v>
      </c>
      <c r="AX49" s="205">
        <f t="shared" si="235"/>
        <v>12621</v>
      </c>
      <c r="AY49" s="205">
        <f t="shared" si="235"/>
        <v>12660</v>
      </c>
      <c r="AZ49" s="246">
        <f t="shared" si="235"/>
        <v>11925</v>
      </c>
      <c r="BA49" s="246">
        <f t="shared" si="235"/>
        <v>135949</v>
      </c>
      <c r="BB49" s="205">
        <f t="shared" si="235"/>
        <v>12184</v>
      </c>
      <c r="BC49" s="205">
        <f t="shared" si="235"/>
        <v>15921</v>
      </c>
      <c r="BD49" s="205">
        <f t="shared" si="235"/>
        <v>11499</v>
      </c>
      <c r="BE49" s="205">
        <f t="shared" si="235"/>
        <v>10544</v>
      </c>
      <c r="BF49" s="205">
        <f t="shared" si="235"/>
        <v>12702</v>
      </c>
      <c r="BG49" s="205">
        <f t="shared" si="235"/>
        <v>13224</v>
      </c>
      <c r="BH49" s="205">
        <f t="shared" si="235"/>
        <v>12614</v>
      </c>
      <c r="BI49" s="205">
        <f t="shared" si="235"/>
        <v>11638</v>
      </c>
      <c r="BJ49" s="205">
        <f t="shared" si="235"/>
        <v>11820</v>
      </c>
      <c r="BK49" s="205">
        <f t="shared" si="235"/>
        <v>12567</v>
      </c>
      <c r="BL49" s="205">
        <f t="shared" si="235"/>
        <v>12952</v>
      </c>
      <c r="BM49" s="246">
        <f t="shared" si="235"/>
        <v>13595</v>
      </c>
      <c r="BN49" s="246">
        <f t="shared" ref="BN49:BZ49" si="236">BN78</f>
        <v>151260</v>
      </c>
      <c r="BO49" s="205">
        <f t="shared" si="236"/>
        <v>13534</v>
      </c>
      <c r="BP49" s="205">
        <f t="shared" si="236"/>
        <v>1112</v>
      </c>
      <c r="BQ49" s="205">
        <f t="shared" si="236"/>
        <v>27088</v>
      </c>
      <c r="BR49" s="205">
        <f t="shared" si="236"/>
        <v>9619</v>
      </c>
      <c r="BS49" s="205">
        <f t="shared" si="236"/>
        <v>7273</v>
      </c>
      <c r="BT49" s="205">
        <f t="shared" si="236"/>
        <v>6492</v>
      </c>
      <c r="BU49" s="205">
        <f t="shared" si="236"/>
        <v>8619</v>
      </c>
      <c r="BV49" s="205">
        <f t="shared" si="236"/>
        <v>9553</v>
      </c>
      <c r="BW49" s="205">
        <f t="shared" si="236"/>
        <v>18541</v>
      </c>
      <c r="BX49" s="205">
        <f t="shared" si="236"/>
        <v>12306</v>
      </c>
      <c r="BY49" s="205">
        <f t="shared" si="236"/>
        <v>11128</v>
      </c>
      <c r="BZ49" s="205">
        <f t="shared" si="236"/>
        <v>13504</v>
      </c>
      <c r="CA49" s="145">
        <f t="shared" si="133"/>
        <v>138769</v>
      </c>
      <c r="CB49" s="205">
        <f t="shared" ref="CB49:CM49" si="237">CB78</f>
        <v>15961</v>
      </c>
      <c r="CC49" s="205">
        <f t="shared" si="237"/>
        <v>17542</v>
      </c>
      <c r="CD49" s="205">
        <f t="shared" si="237"/>
        <v>15845</v>
      </c>
      <c r="CE49" s="205">
        <f t="shared" si="237"/>
        <v>15039</v>
      </c>
      <c r="CF49" s="205">
        <f t="shared" si="237"/>
        <v>16171</v>
      </c>
      <c r="CG49" s="205">
        <f t="shared" si="237"/>
        <v>17207</v>
      </c>
      <c r="CH49" s="205">
        <f t="shared" si="237"/>
        <v>15138</v>
      </c>
      <c r="CI49" s="205">
        <f t="shared" si="237"/>
        <v>15261</v>
      </c>
      <c r="CJ49" s="205">
        <f t="shared" si="237"/>
        <v>0</v>
      </c>
      <c r="CK49" s="205">
        <f t="shared" si="237"/>
        <v>16282</v>
      </c>
      <c r="CL49" s="205">
        <f t="shared" si="237"/>
        <v>14361</v>
      </c>
      <c r="CM49" s="246">
        <f t="shared" si="237"/>
        <v>19951</v>
      </c>
      <c r="CN49" s="246">
        <f t="shared" si="137"/>
        <v>178758</v>
      </c>
      <c r="CO49" s="245">
        <f t="shared" ref="CO49:CZ49" si="238">CO78</f>
        <v>21424</v>
      </c>
      <c r="CP49" s="205">
        <f t="shared" si="238"/>
        <v>22120</v>
      </c>
      <c r="CQ49" s="205">
        <f t="shared" si="238"/>
        <v>21429</v>
      </c>
      <c r="CR49" s="205">
        <f t="shared" si="238"/>
        <v>16940</v>
      </c>
      <c r="CS49" s="205">
        <f t="shared" si="238"/>
        <v>19865</v>
      </c>
      <c r="CT49" s="205">
        <f t="shared" si="238"/>
        <v>23497</v>
      </c>
      <c r="CU49" s="205">
        <f t="shared" si="238"/>
        <v>21847</v>
      </c>
      <c r="CV49" s="205">
        <f t="shared" si="238"/>
        <v>19745</v>
      </c>
      <c r="CW49" s="205">
        <f t="shared" si="238"/>
        <v>25692</v>
      </c>
      <c r="CX49" s="205">
        <f t="shared" si="238"/>
        <v>23551</v>
      </c>
      <c r="CY49" s="205">
        <f t="shared" si="238"/>
        <v>20465</v>
      </c>
      <c r="CZ49" s="246">
        <f t="shared" si="238"/>
        <v>23050</v>
      </c>
      <c r="DA49" s="202">
        <f t="shared" si="139"/>
        <v>259625</v>
      </c>
      <c r="DB49" s="245">
        <f t="shared" ref="DB49:DM49" si="239">DB78</f>
        <v>19965</v>
      </c>
      <c r="DC49" s="205">
        <f t="shared" si="239"/>
        <v>25581</v>
      </c>
      <c r="DD49" s="205">
        <f t="shared" si="239"/>
        <v>21204</v>
      </c>
      <c r="DE49" s="205">
        <f t="shared" si="239"/>
        <v>29329</v>
      </c>
      <c r="DF49" s="205">
        <f t="shared" si="239"/>
        <v>21005</v>
      </c>
      <c r="DG49" s="205">
        <f t="shared" si="239"/>
        <v>22951</v>
      </c>
      <c r="DH49" s="205">
        <f t="shared" si="239"/>
        <v>15250</v>
      </c>
      <c r="DI49" s="205">
        <f t="shared" si="239"/>
        <v>18785</v>
      </c>
      <c r="DJ49" s="205">
        <f t="shared" si="239"/>
        <v>20230</v>
      </c>
      <c r="DK49" s="205">
        <f t="shared" si="239"/>
        <v>21225</v>
      </c>
      <c r="DL49" s="205">
        <f t="shared" si="239"/>
        <v>22346</v>
      </c>
      <c r="DM49" s="246">
        <f t="shared" si="239"/>
        <v>20453</v>
      </c>
      <c r="DN49" s="205">
        <f t="shared" si="141"/>
        <v>258324</v>
      </c>
      <c r="DO49" s="245">
        <f t="shared" ref="DO49:DZ49" si="240">DO78</f>
        <v>21610</v>
      </c>
      <c r="DP49" s="205">
        <f t="shared" si="240"/>
        <v>29338</v>
      </c>
      <c r="DQ49" s="205">
        <f t="shared" si="240"/>
        <v>20516</v>
      </c>
      <c r="DR49" s="205">
        <f t="shared" si="240"/>
        <v>20114</v>
      </c>
      <c r="DS49" s="205">
        <f t="shared" si="240"/>
        <v>22421</v>
      </c>
      <c r="DT49" s="205">
        <f t="shared" si="240"/>
        <v>24186</v>
      </c>
      <c r="DU49" s="205">
        <f t="shared" si="240"/>
        <v>20461</v>
      </c>
      <c r="DV49" s="205">
        <f t="shared" si="240"/>
        <v>23109</v>
      </c>
      <c r="DW49" s="205">
        <f t="shared" si="240"/>
        <v>23562</v>
      </c>
      <c r="DX49" s="205">
        <f t="shared" si="240"/>
        <v>26467</v>
      </c>
      <c r="DY49" s="205">
        <f t="shared" si="240"/>
        <v>24533</v>
      </c>
      <c r="DZ49" s="246">
        <f t="shared" si="240"/>
        <v>28981</v>
      </c>
      <c r="EA49" s="246">
        <f t="shared" si="143"/>
        <v>285298</v>
      </c>
      <c r="EB49" s="245">
        <f t="shared" ref="EB49:EM49" si="241">EB78</f>
        <v>27362</v>
      </c>
      <c r="EC49" s="205">
        <f t="shared" si="241"/>
        <v>33508</v>
      </c>
      <c r="ED49" s="205">
        <f t="shared" si="241"/>
        <v>25733</v>
      </c>
      <c r="EE49" s="205">
        <f t="shared" si="241"/>
        <v>22354</v>
      </c>
      <c r="EF49" s="205">
        <f t="shared" si="241"/>
        <v>25637</v>
      </c>
      <c r="EG49" s="205">
        <f t="shared" si="241"/>
        <v>23717</v>
      </c>
      <c r="EH49" s="205">
        <f t="shared" si="241"/>
        <v>24593</v>
      </c>
      <c r="EI49" s="205">
        <f t="shared" si="241"/>
        <v>26759</v>
      </c>
      <c r="EJ49" s="205">
        <f t="shared" si="241"/>
        <v>25130</v>
      </c>
      <c r="EK49" s="205">
        <f t="shared" si="241"/>
        <v>26148</v>
      </c>
      <c r="EL49" s="205">
        <f t="shared" si="241"/>
        <v>26305</v>
      </c>
      <c r="EM49" s="205">
        <f t="shared" si="241"/>
        <v>22065</v>
      </c>
      <c r="EN49" s="202">
        <f t="shared" si="145"/>
        <v>309311</v>
      </c>
      <c r="EO49" s="245">
        <f t="shared" ref="EO49:ER49" si="242">EO78</f>
        <v>28690</v>
      </c>
      <c r="EP49" s="205">
        <f t="shared" si="242"/>
        <v>33214</v>
      </c>
      <c r="EQ49" s="205">
        <f t="shared" si="242"/>
        <v>28906</v>
      </c>
      <c r="ER49" s="205">
        <f t="shared" si="242"/>
        <v>27996</v>
      </c>
      <c r="ES49" s="205">
        <f t="shared" ref="ES49" si="243">ES78</f>
        <v>35882</v>
      </c>
      <c r="ET49" s="205">
        <f t="shared" ref="ET49" si="244">ET78</f>
        <v>32823</v>
      </c>
      <c r="EU49" s="205">
        <f t="shared" ref="EU49" si="245">EU78</f>
        <v>33395</v>
      </c>
      <c r="EV49" s="963">
        <f t="shared" ref="EV49" si="246">EV78</f>
        <v>30014</v>
      </c>
      <c r="EW49" s="205"/>
      <c r="EX49" s="205"/>
      <c r="EY49" s="205"/>
      <c r="EZ49" s="205"/>
      <c r="FA49" s="202">
        <f t="shared" si="151"/>
        <v>250920</v>
      </c>
      <c r="FC49" s="271">
        <f t="shared" si="152"/>
        <v>12.164131694009495</v>
      </c>
      <c r="FD49" s="271">
        <f t="shared" si="168"/>
        <v>19.677768609625936</v>
      </c>
      <c r="FE49" s="202">
        <f t="shared" si="153"/>
        <v>209663</v>
      </c>
      <c r="FF49" s="202">
        <f t="shared" si="154"/>
        <v>250920</v>
      </c>
      <c r="FG49" s="205"/>
    </row>
    <row r="50" spans="1:163" ht="15" customHeight="1" x14ac:dyDescent="0.25">
      <c r="A50" s="138" t="s">
        <v>476</v>
      </c>
      <c r="B50" s="245">
        <f t="shared" ref="B50:AG50" si="247">B76</f>
        <v>87</v>
      </c>
      <c r="C50" s="205">
        <f t="shared" si="247"/>
        <v>5831</v>
      </c>
      <c r="D50" s="205">
        <f t="shared" si="247"/>
        <v>2934</v>
      </c>
      <c r="E50" s="205">
        <f t="shared" si="247"/>
        <v>3345</v>
      </c>
      <c r="F50" s="205">
        <f t="shared" si="247"/>
        <v>3082</v>
      </c>
      <c r="G50" s="205">
        <f t="shared" si="247"/>
        <v>5616</v>
      </c>
      <c r="H50" s="205">
        <f t="shared" si="247"/>
        <v>3777</v>
      </c>
      <c r="I50" s="205">
        <f t="shared" si="247"/>
        <v>3544</v>
      </c>
      <c r="J50" s="205">
        <f t="shared" si="247"/>
        <v>2390</v>
      </c>
      <c r="K50" s="205">
        <f t="shared" si="247"/>
        <v>2388</v>
      </c>
      <c r="L50" s="205">
        <f t="shared" si="247"/>
        <v>2769</v>
      </c>
      <c r="M50" s="246">
        <f t="shared" si="247"/>
        <v>2661</v>
      </c>
      <c r="N50" s="246">
        <f t="shared" si="247"/>
        <v>38424</v>
      </c>
      <c r="O50" s="205">
        <f t="shared" si="247"/>
        <v>0</v>
      </c>
      <c r="P50" s="205">
        <f t="shared" si="247"/>
        <v>4468</v>
      </c>
      <c r="Q50" s="205">
        <f t="shared" si="247"/>
        <v>1895</v>
      </c>
      <c r="R50" s="205">
        <f t="shared" si="247"/>
        <v>3224</v>
      </c>
      <c r="S50" s="205">
        <f t="shared" si="247"/>
        <v>2475</v>
      </c>
      <c r="T50" s="205">
        <f t="shared" si="247"/>
        <v>3074</v>
      </c>
      <c r="U50" s="205">
        <f t="shared" si="247"/>
        <v>3719</v>
      </c>
      <c r="V50" s="205">
        <f t="shared" si="247"/>
        <v>2889</v>
      </c>
      <c r="W50" s="205">
        <f t="shared" si="247"/>
        <v>2693</v>
      </c>
      <c r="X50" s="205">
        <f t="shared" si="247"/>
        <v>3622</v>
      </c>
      <c r="Y50" s="205">
        <f t="shared" si="247"/>
        <v>3307</v>
      </c>
      <c r="Z50" s="246">
        <f t="shared" si="247"/>
        <v>3832</v>
      </c>
      <c r="AA50" s="205">
        <f t="shared" si="247"/>
        <v>35198</v>
      </c>
      <c r="AB50" s="245">
        <f t="shared" si="247"/>
        <v>986</v>
      </c>
      <c r="AC50" s="205">
        <f t="shared" si="247"/>
        <v>6925</v>
      </c>
      <c r="AD50" s="205">
        <f t="shared" si="247"/>
        <v>3527</v>
      </c>
      <c r="AE50" s="205">
        <f t="shared" si="247"/>
        <v>3020</v>
      </c>
      <c r="AF50" s="205">
        <f t="shared" si="247"/>
        <v>2784</v>
      </c>
      <c r="AG50" s="205">
        <f t="shared" si="247"/>
        <v>2935</v>
      </c>
      <c r="AH50" s="205">
        <f t="shared" ref="AH50:BM50" si="248">AH76</f>
        <v>2759</v>
      </c>
      <c r="AI50" s="205">
        <f t="shared" si="248"/>
        <v>2950</v>
      </c>
      <c r="AJ50" s="205">
        <f t="shared" si="248"/>
        <v>3478</v>
      </c>
      <c r="AK50" s="205">
        <f t="shared" si="248"/>
        <v>3202</v>
      </c>
      <c r="AL50" s="205">
        <f t="shared" si="248"/>
        <v>3949</v>
      </c>
      <c r="AM50" s="205">
        <f t="shared" si="248"/>
        <v>4303</v>
      </c>
      <c r="AN50" s="202">
        <f t="shared" si="248"/>
        <v>40818</v>
      </c>
      <c r="AO50" s="245">
        <f t="shared" si="248"/>
        <v>0</v>
      </c>
      <c r="AP50" s="205">
        <f t="shared" si="248"/>
        <v>8321</v>
      </c>
      <c r="AQ50" s="205">
        <f t="shared" si="248"/>
        <v>2418</v>
      </c>
      <c r="AR50" s="205">
        <f t="shared" si="248"/>
        <v>2185</v>
      </c>
      <c r="AS50" s="205">
        <f t="shared" si="248"/>
        <v>3186</v>
      </c>
      <c r="AT50" s="205">
        <f t="shared" si="248"/>
        <v>5052</v>
      </c>
      <c r="AU50" s="205">
        <f t="shared" si="248"/>
        <v>3141</v>
      </c>
      <c r="AV50" s="205">
        <f t="shared" si="248"/>
        <v>2582</v>
      </c>
      <c r="AW50" s="205">
        <f t="shared" si="248"/>
        <v>389</v>
      </c>
      <c r="AX50" s="205">
        <f t="shared" si="248"/>
        <v>8317</v>
      </c>
      <c r="AY50" s="205">
        <f t="shared" si="248"/>
        <v>4311</v>
      </c>
      <c r="AZ50" s="246">
        <f t="shared" si="248"/>
        <v>3515</v>
      </c>
      <c r="BA50" s="246">
        <f t="shared" si="248"/>
        <v>43417</v>
      </c>
      <c r="BB50" s="205">
        <f t="shared" si="248"/>
        <v>0</v>
      </c>
      <c r="BC50" s="205">
        <f t="shared" si="248"/>
        <v>7799</v>
      </c>
      <c r="BD50" s="205">
        <f t="shared" si="248"/>
        <v>3300</v>
      </c>
      <c r="BE50" s="205">
        <f t="shared" si="248"/>
        <v>3294</v>
      </c>
      <c r="BF50" s="205">
        <f t="shared" si="248"/>
        <v>2498</v>
      </c>
      <c r="BG50" s="205">
        <f t="shared" si="248"/>
        <v>2670</v>
      </c>
      <c r="BH50" s="205">
        <f t="shared" si="248"/>
        <v>2674</v>
      </c>
      <c r="BI50" s="205">
        <f t="shared" si="248"/>
        <v>2857</v>
      </c>
      <c r="BJ50" s="205">
        <f t="shared" si="248"/>
        <v>2908</v>
      </c>
      <c r="BK50" s="205">
        <f t="shared" si="248"/>
        <v>3001</v>
      </c>
      <c r="BL50" s="205">
        <f t="shared" si="248"/>
        <v>3037</v>
      </c>
      <c r="BM50" s="246">
        <f t="shared" si="248"/>
        <v>3442</v>
      </c>
      <c r="BN50" s="246">
        <f t="shared" ref="BN50:BZ50" si="249">BN76</f>
        <v>37480</v>
      </c>
      <c r="BO50" s="205">
        <f t="shared" si="249"/>
        <v>73</v>
      </c>
      <c r="BP50" s="205">
        <f t="shared" si="249"/>
        <v>3381</v>
      </c>
      <c r="BQ50" s="205">
        <f t="shared" si="249"/>
        <v>5099</v>
      </c>
      <c r="BR50" s="205">
        <f t="shared" si="249"/>
        <v>1372</v>
      </c>
      <c r="BS50" s="205">
        <f t="shared" si="249"/>
        <v>638</v>
      </c>
      <c r="BT50" s="205">
        <f t="shared" si="249"/>
        <v>1179</v>
      </c>
      <c r="BU50" s="205">
        <f t="shared" si="249"/>
        <v>1644</v>
      </c>
      <c r="BV50" s="205">
        <f t="shared" si="249"/>
        <v>2072</v>
      </c>
      <c r="BW50" s="205">
        <f t="shared" si="249"/>
        <v>2041</v>
      </c>
      <c r="BX50" s="205">
        <f t="shared" si="249"/>
        <v>2935</v>
      </c>
      <c r="BY50" s="205">
        <f t="shared" si="249"/>
        <v>2672</v>
      </c>
      <c r="BZ50" s="205">
        <f t="shared" si="249"/>
        <v>4307</v>
      </c>
      <c r="CA50" s="145">
        <f t="shared" si="133"/>
        <v>27413</v>
      </c>
      <c r="CB50" s="205">
        <f t="shared" ref="CB50:CM50" si="250">CB76</f>
        <v>4982</v>
      </c>
      <c r="CC50" s="205">
        <f t="shared" si="250"/>
        <v>6800</v>
      </c>
      <c r="CD50" s="205">
        <f t="shared" si="250"/>
        <v>4002</v>
      </c>
      <c r="CE50" s="205">
        <f t="shared" si="250"/>
        <v>3595</v>
      </c>
      <c r="CF50" s="205">
        <f t="shared" si="250"/>
        <v>3365</v>
      </c>
      <c r="CG50" s="205">
        <f t="shared" si="250"/>
        <v>4346</v>
      </c>
      <c r="CH50" s="205">
        <f t="shared" si="250"/>
        <v>5295</v>
      </c>
      <c r="CI50" s="205">
        <f t="shared" si="250"/>
        <v>5070</v>
      </c>
      <c r="CJ50" s="205">
        <f t="shared" si="250"/>
        <v>5782</v>
      </c>
      <c r="CK50" s="205">
        <f t="shared" si="250"/>
        <v>6047</v>
      </c>
      <c r="CL50" s="205">
        <f t="shared" si="250"/>
        <v>5194</v>
      </c>
      <c r="CM50" s="246">
        <f t="shared" si="250"/>
        <v>11360</v>
      </c>
      <c r="CN50" s="246">
        <f t="shared" si="137"/>
        <v>65838</v>
      </c>
      <c r="CO50" s="245">
        <f t="shared" ref="CO50:CZ50" si="251">CO76</f>
        <v>11419</v>
      </c>
      <c r="CP50" s="205">
        <f t="shared" si="251"/>
        <v>11314</v>
      </c>
      <c r="CQ50" s="205">
        <f t="shared" si="251"/>
        <v>10679</v>
      </c>
      <c r="CR50" s="205">
        <f t="shared" si="251"/>
        <v>15424</v>
      </c>
      <c r="CS50" s="205">
        <f t="shared" si="251"/>
        <v>10659</v>
      </c>
      <c r="CT50" s="205">
        <f t="shared" si="251"/>
        <v>6718</v>
      </c>
      <c r="CU50" s="205">
        <f t="shared" si="251"/>
        <v>9330</v>
      </c>
      <c r="CV50" s="205">
        <f t="shared" si="251"/>
        <v>9504</v>
      </c>
      <c r="CW50" s="205">
        <f t="shared" si="251"/>
        <v>7283</v>
      </c>
      <c r="CX50" s="205">
        <f t="shared" si="251"/>
        <v>7653</v>
      </c>
      <c r="CY50" s="205">
        <f t="shared" si="251"/>
        <v>6028</v>
      </c>
      <c r="CZ50" s="246">
        <f t="shared" si="251"/>
        <v>6743</v>
      </c>
      <c r="DA50" s="202">
        <f t="shared" si="139"/>
        <v>112754</v>
      </c>
      <c r="DB50" s="245">
        <f t="shared" ref="DB50:DM50" si="252">DB76</f>
        <v>9809</v>
      </c>
      <c r="DC50" s="205">
        <f t="shared" si="252"/>
        <v>10411</v>
      </c>
      <c r="DD50" s="205">
        <f t="shared" si="252"/>
        <v>7022</v>
      </c>
      <c r="DE50" s="205">
        <f t="shared" si="252"/>
        <v>7368</v>
      </c>
      <c r="DF50" s="205">
        <f t="shared" si="252"/>
        <v>6025</v>
      </c>
      <c r="DG50" s="205">
        <f t="shared" si="252"/>
        <v>5218</v>
      </c>
      <c r="DH50" s="205">
        <f t="shared" si="252"/>
        <v>5641</v>
      </c>
      <c r="DI50" s="205">
        <f t="shared" si="252"/>
        <v>4114</v>
      </c>
      <c r="DJ50" s="205">
        <f t="shared" si="252"/>
        <v>4528</v>
      </c>
      <c r="DK50" s="205">
        <f t="shared" si="252"/>
        <v>6924</v>
      </c>
      <c r="DL50" s="205">
        <f t="shared" si="252"/>
        <v>6414</v>
      </c>
      <c r="DM50" s="246">
        <f t="shared" si="252"/>
        <v>5680</v>
      </c>
      <c r="DN50" s="205">
        <f t="shared" si="141"/>
        <v>79154</v>
      </c>
      <c r="DO50" s="245">
        <f t="shared" ref="DO50:DZ50" si="253">DO76</f>
        <v>32</v>
      </c>
      <c r="DP50" s="205">
        <f t="shared" si="253"/>
        <v>10876</v>
      </c>
      <c r="DQ50" s="205">
        <f t="shared" si="253"/>
        <v>5459</v>
      </c>
      <c r="DR50" s="205">
        <f t="shared" si="253"/>
        <v>5688</v>
      </c>
      <c r="DS50" s="205">
        <f t="shared" si="253"/>
        <v>5515</v>
      </c>
      <c r="DT50" s="205">
        <f t="shared" si="253"/>
        <v>6046</v>
      </c>
      <c r="DU50" s="205">
        <f t="shared" si="253"/>
        <v>5901</v>
      </c>
      <c r="DV50" s="205">
        <f t="shared" si="253"/>
        <v>5808</v>
      </c>
      <c r="DW50" s="205">
        <f t="shared" si="253"/>
        <v>6102</v>
      </c>
      <c r="DX50" s="205">
        <f t="shared" si="253"/>
        <v>5731</v>
      </c>
      <c r="DY50" s="205">
        <f t="shared" si="253"/>
        <v>6549</v>
      </c>
      <c r="DZ50" s="246">
        <f t="shared" si="253"/>
        <v>6802</v>
      </c>
      <c r="EA50" s="246">
        <f t="shared" si="143"/>
        <v>70509</v>
      </c>
      <c r="EB50" s="245">
        <f t="shared" ref="EB50:EM50" si="254">EB76</f>
        <v>0</v>
      </c>
      <c r="EC50" s="205">
        <f t="shared" si="254"/>
        <v>12667</v>
      </c>
      <c r="ED50" s="205">
        <f t="shared" si="254"/>
        <v>5456</v>
      </c>
      <c r="EE50" s="205">
        <f t="shared" si="254"/>
        <v>7118</v>
      </c>
      <c r="EF50" s="205">
        <f t="shared" si="254"/>
        <v>5082</v>
      </c>
      <c r="EG50" s="205">
        <f t="shared" si="254"/>
        <v>5138</v>
      </c>
      <c r="EH50" s="205">
        <f t="shared" si="254"/>
        <v>5334</v>
      </c>
      <c r="EI50" s="205">
        <f t="shared" si="254"/>
        <v>5389</v>
      </c>
      <c r="EJ50" s="205">
        <f t="shared" si="254"/>
        <v>5069</v>
      </c>
      <c r="EK50" s="205">
        <f t="shared" si="254"/>
        <v>5259</v>
      </c>
      <c r="EL50" s="205">
        <f t="shared" si="254"/>
        <v>5240</v>
      </c>
      <c r="EM50" s="205">
        <f t="shared" si="254"/>
        <v>4360</v>
      </c>
      <c r="EN50" s="202">
        <f t="shared" si="145"/>
        <v>66112</v>
      </c>
      <c r="EO50" s="245">
        <f t="shared" ref="EO50:ER50" si="255">EO76</f>
        <v>28</v>
      </c>
      <c r="EP50" s="205">
        <f t="shared" si="255"/>
        <v>7818</v>
      </c>
      <c r="EQ50" s="205">
        <f t="shared" si="255"/>
        <v>3695</v>
      </c>
      <c r="ER50" s="205">
        <f t="shared" si="255"/>
        <v>2943</v>
      </c>
      <c r="ES50" s="205">
        <f t="shared" ref="ES50" si="256">ES76</f>
        <v>0</v>
      </c>
      <c r="ET50" s="205">
        <f t="shared" ref="ET50" si="257">ET76</f>
        <v>7274</v>
      </c>
      <c r="EU50" s="205">
        <f t="shared" ref="EU50" si="258">EU76</f>
        <v>6014</v>
      </c>
      <c r="EV50" s="963">
        <f t="shared" ref="EV50" si="259">EV76</f>
        <v>4688</v>
      </c>
      <c r="EW50" s="205"/>
      <c r="EX50" s="205"/>
      <c r="EY50" s="205"/>
      <c r="EZ50" s="205"/>
      <c r="FA50" s="202">
        <f t="shared" si="151"/>
        <v>32460</v>
      </c>
      <c r="FC50" s="271">
        <f t="shared" si="152"/>
        <v>-13.00797921692336</v>
      </c>
      <c r="FD50" s="271">
        <f t="shared" si="168"/>
        <v>-29.715918932963792</v>
      </c>
      <c r="FE50" s="202">
        <f t="shared" si="153"/>
        <v>46184</v>
      </c>
      <c r="FF50" s="202">
        <f t="shared" si="154"/>
        <v>32460</v>
      </c>
      <c r="FG50" s="205"/>
    </row>
    <row r="51" spans="1:163" ht="15" customHeight="1" x14ac:dyDescent="0.25">
      <c r="A51" s="138" t="s">
        <v>438</v>
      </c>
      <c r="B51" s="245">
        <f t="shared" ref="B51:AG51" si="260">B61+B62+B63+B79+B83+B77</f>
        <v>120.955</v>
      </c>
      <c r="C51" s="205">
        <f t="shared" si="260"/>
        <v>1</v>
      </c>
      <c r="D51" s="205">
        <f t="shared" si="260"/>
        <v>800.68799999999999</v>
      </c>
      <c r="E51" s="205">
        <f t="shared" si="260"/>
        <v>1585</v>
      </c>
      <c r="F51" s="205">
        <f t="shared" si="260"/>
        <v>15158</v>
      </c>
      <c r="G51" s="205">
        <f t="shared" si="260"/>
        <v>3984</v>
      </c>
      <c r="H51" s="205">
        <f t="shared" si="260"/>
        <v>2523</v>
      </c>
      <c r="I51" s="205">
        <f t="shared" si="260"/>
        <v>4141</v>
      </c>
      <c r="J51" s="205">
        <f t="shared" si="260"/>
        <v>351</v>
      </c>
      <c r="K51" s="205">
        <f t="shared" si="260"/>
        <v>0</v>
      </c>
      <c r="L51" s="205">
        <f t="shared" si="260"/>
        <v>9693</v>
      </c>
      <c r="M51" s="246">
        <f t="shared" si="260"/>
        <v>2090</v>
      </c>
      <c r="N51" s="246">
        <f t="shared" si="260"/>
        <v>40447.642999999996</v>
      </c>
      <c r="O51" s="205">
        <f t="shared" si="260"/>
        <v>657</v>
      </c>
      <c r="P51" s="205">
        <f t="shared" si="260"/>
        <v>651</v>
      </c>
      <c r="Q51" s="205">
        <f t="shared" si="260"/>
        <v>3823</v>
      </c>
      <c r="R51" s="205">
        <f t="shared" si="260"/>
        <v>2</v>
      </c>
      <c r="S51" s="205">
        <f t="shared" si="260"/>
        <v>10031</v>
      </c>
      <c r="T51" s="205">
        <f t="shared" si="260"/>
        <v>2074</v>
      </c>
      <c r="U51" s="205">
        <f t="shared" si="260"/>
        <v>1000</v>
      </c>
      <c r="V51" s="205">
        <f t="shared" si="260"/>
        <v>1530</v>
      </c>
      <c r="W51" s="205">
        <f t="shared" si="260"/>
        <v>40</v>
      </c>
      <c r="X51" s="205">
        <f t="shared" si="260"/>
        <v>1967</v>
      </c>
      <c r="Y51" s="205">
        <f t="shared" si="260"/>
        <v>10094</v>
      </c>
      <c r="Z51" s="246">
        <f t="shared" si="260"/>
        <v>856</v>
      </c>
      <c r="AA51" s="205">
        <f t="shared" si="260"/>
        <v>32725</v>
      </c>
      <c r="AB51" s="245">
        <f t="shared" si="260"/>
        <v>1688</v>
      </c>
      <c r="AC51" s="205">
        <f t="shared" si="260"/>
        <v>1000</v>
      </c>
      <c r="AD51" s="205">
        <f t="shared" si="260"/>
        <v>1411</v>
      </c>
      <c r="AE51" s="205">
        <f t="shared" si="260"/>
        <v>124</v>
      </c>
      <c r="AF51" s="205">
        <f t="shared" si="260"/>
        <v>9809</v>
      </c>
      <c r="AG51" s="205">
        <f t="shared" si="260"/>
        <v>420</v>
      </c>
      <c r="AH51" s="205">
        <f t="shared" ref="AH51:BM51" si="261">AH61+AH62+AH63+AH79+AH83+AH77</f>
        <v>504</v>
      </c>
      <c r="AI51" s="205">
        <f t="shared" si="261"/>
        <v>3056</v>
      </c>
      <c r="AJ51" s="205">
        <f t="shared" si="261"/>
        <v>101</v>
      </c>
      <c r="AK51" s="205">
        <f t="shared" si="261"/>
        <v>8119</v>
      </c>
      <c r="AL51" s="205">
        <f t="shared" si="261"/>
        <v>1975</v>
      </c>
      <c r="AM51" s="205">
        <f t="shared" si="261"/>
        <v>5128</v>
      </c>
      <c r="AN51" s="202">
        <f t="shared" si="261"/>
        <v>33335</v>
      </c>
      <c r="AO51" s="245">
        <f t="shared" si="261"/>
        <v>0</v>
      </c>
      <c r="AP51" s="205">
        <f t="shared" si="261"/>
        <v>0</v>
      </c>
      <c r="AQ51" s="205">
        <f t="shared" si="261"/>
        <v>4538</v>
      </c>
      <c r="AR51" s="205">
        <f t="shared" si="261"/>
        <v>11901</v>
      </c>
      <c r="AS51" s="205">
        <f t="shared" si="261"/>
        <v>0</v>
      </c>
      <c r="AT51" s="205">
        <f t="shared" si="261"/>
        <v>696</v>
      </c>
      <c r="AU51" s="205">
        <f t="shared" si="261"/>
        <v>659</v>
      </c>
      <c r="AV51" s="205">
        <f t="shared" si="261"/>
        <v>3</v>
      </c>
      <c r="AW51" s="205">
        <f t="shared" si="261"/>
        <v>24</v>
      </c>
      <c r="AX51" s="205">
        <f t="shared" si="261"/>
        <v>7732</v>
      </c>
      <c r="AY51" s="205">
        <f t="shared" si="261"/>
        <v>24</v>
      </c>
      <c r="AZ51" s="246">
        <f t="shared" si="261"/>
        <v>586</v>
      </c>
      <c r="BA51" s="246">
        <f t="shared" si="261"/>
        <v>26163</v>
      </c>
      <c r="BB51" s="205">
        <f t="shared" si="261"/>
        <v>600</v>
      </c>
      <c r="BC51" s="205">
        <f t="shared" si="261"/>
        <v>0</v>
      </c>
      <c r="BD51" s="205">
        <f t="shared" si="261"/>
        <v>2</v>
      </c>
      <c r="BE51" s="205">
        <f t="shared" si="261"/>
        <v>1</v>
      </c>
      <c r="BF51" s="205">
        <f t="shared" si="261"/>
        <v>4854</v>
      </c>
      <c r="BG51" s="205">
        <f t="shared" si="261"/>
        <v>1987</v>
      </c>
      <c r="BH51" s="205">
        <f t="shared" si="261"/>
        <v>4</v>
      </c>
      <c r="BI51" s="205">
        <f t="shared" si="261"/>
        <v>7</v>
      </c>
      <c r="BJ51" s="205">
        <f t="shared" si="261"/>
        <v>530</v>
      </c>
      <c r="BK51" s="205">
        <f t="shared" si="261"/>
        <v>1218</v>
      </c>
      <c r="BL51" s="205">
        <f t="shared" si="261"/>
        <v>2</v>
      </c>
      <c r="BM51" s="246">
        <f t="shared" si="261"/>
        <v>7</v>
      </c>
      <c r="BN51" s="246">
        <f t="shared" ref="BN51:BZ51" si="262">BN61+BN62+BN63+BN79+BN83+BN77</f>
        <v>9212</v>
      </c>
      <c r="BO51" s="205">
        <f t="shared" si="262"/>
        <v>3</v>
      </c>
      <c r="BP51" s="205">
        <f t="shared" si="262"/>
        <v>4</v>
      </c>
      <c r="BQ51" s="205">
        <f t="shared" si="262"/>
        <v>6</v>
      </c>
      <c r="BR51" s="205">
        <f t="shared" si="262"/>
        <v>380</v>
      </c>
      <c r="BS51" s="205">
        <f t="shared" si="262"/>
        <v>0</v>
      </c>
      <c r="BT51" s="205">
        <f t="shared" si="262"/>
        <v>10714</v>
      </c>
      <c r="BU51" s="205">
        <f t="shared" si="262"/>
        <v>5900</v>
      </c>
      <c r="BV51" s="205">
        <f t="shared" si="262"/>
        <v>5521</v>
      </c>
      <c r="BW51" s="205">
        <f t="shared" si="262"/>
        <v>314</v>
      </c>
      <c r="BX51" s="205">
        <f t="shared" si="262"/>
        <v>1561</v>
      </c>
      <c r="BY51" s="205">
        <f t="shared" si="262"/>
        <v>1402</v>
      </c>
      <c r="BZ51" s="205">
        <f t="shared" si="262"/>
        <v>201</v>
      </c>
      <c r="CA51" s="145">
        <f t="shared" si="133"/>
        <v>26006</v>
      </c>
      <c r="CB51" s="205">
        <f t="shared" ref="CB51:CM51" si="263">CB61+CB62+CB63+CB79+CB83+CB77</f>
        <v>300</v>
      </c>
      <c r="CC51" s="205">
        <f t="shared" si="263"/>
        <v>0</v>
      </c>
      <c r="CD51" s="205">
        <f t="shared" si="263"/>
        <v>0</v>
      </c>
      <c r="CE51" s="205">
        <f t="shared" si="263"/>
        <v>13238</v>
      </c>
      <c r="CF51" s="205">
        <f t="shared" si="263"/>
        <v>531</v>
      </c>
      <c r="CG51" s="205">
        <f t="shared" si="263"/>
        <v>1509</v>
      </c>
      <c r="CH51" s="205">
        <f t="shared" si="263"/>
        <v>1379</v>
      </c>
      <c r="CI51" s="205">
        <f t="shared" si="263"/>
        <v>3233</v>
      </c>
      <c r="CJ51" s="205">
        <f t="shared" si="263"/>
        <v>21956</v>
      </c>
      <c r="CK51" s="205">
        <f t="shared" si="263"/>
        <v>8282</v>
      </c>
      <c r="CL51" s="205">
        <f t="shared" si="263"/>
        <v>7335</v>
      </c>
      <c r="CM51" s="246">
        <f t="shared" si="263"/>
        <v>3088</v>
      </c>
      <c r="CN51" s="246">
        <f t="shared" si="137"/>
        <v>60851</v>
      </c>
      <c r="CO51" s="245">
        <f t="shared" ref="CO51:CZ51" si="264">CO61+CO62+CO63+CO79+CO83+CO77</f>
        <v>97</v>
      </c>
      <c r="CP51" s="205">
        <f t="shared" si="264"/>
        <v>1157</v>
      </c>
      <c r="CQ51" s="205">
        <f t="shared" si="264"/>
        <v>2216</v>
      </c>
      <c r="CR51" s="205">
        <f t="shared" si="264"/>
        <v>447</v>
      </c>
      <c r="CS51" s="205">
        <f t="shared" si="264"/>
        <v>15712</v>
      </c>
      <c r="CT51" s="205">
        <f t="shared" si="264"/>
        <v>1644</v>
      </c>
      <c r="CU51" s="205">
        <f t="shared" si="264"/>
        <v>-1</v>
      </c>
      <c r="CV51" s="205">
        <f t="shared" si="264"/>
        <v>388</v>
      </c>
      <c r="CW51" s="205">
        <f t="shared" si="264"/>
        <v>2572</v>
      </c>
      <c r="CX51" s="205">
        <f t="shared" si="264"/>
        <v>308</v>
      </c>
      <c r="CY51" s="205">
        <f t="shared" si="264"/>
        <v>0</v>
      </c>
      <c r="CZ51" s="246">
        <f t="shared" si="264"/>
        <v>7744</v>
      </c>
      <c r="DA51" s="202">
        <f t="shared" si="139"/>
        <v>32284</v>
      </c>
      <c r="DB51" s="245">
        <f t="shared" ref="DB51:DM51" si="265">DB61+DB62+DB63+DB79+DB83+DB77</f>
        <v>1029</v>
      </c>
      <c r="DC51" s="205">
        <f t="shared" si="265"/>
        <v>0</v>
      </c>
      <c r="DD51" s="205">
        <f t="shared" si="265"/>
        <v>1740</v>
      </c>
      <c r="DE51" s="205">
        <f t="shared" si="265"/>
        <v>4382</v>
      </c>
      <c r="DF51" s="205">
        <f t="shared" si="265"/>
        <v>9701</v>
      </c>
      <c r="DG51" s="205">
        <f t="shared" si="265"/>
        <v>-5</v>
      </c>
      <c r="DH51" s="205">
        <f t="shared" si="265"/>
        <v>-33</v>
      </c>
      <c r="DI51" s="205">
        <f t="shared" si="265"/>
        <v>7797</v>
      </c>
      <c r="DJ51" s="205">
        <f t="shared" si="265"/>
        <v>685</v>
      </c>
      <c r="DK51" s="205">
        <f t="shared" si="265"/>
        <v>376</v>
      </c>
      <c r="DL51" s="205">
        <f t="shared" si="265"/>
        <v>1833</v>
      </c>
      <c r="DM51" s="246">
        <f t="shared" si="265"/>
        <v>-1</v>
      </c>
      <c r="DN51" s="205">
        <f t="shared" si="141"/>
        <v>27504</v>
      </c>
      <c r="DO51" s="245">
        <f t="shared" ref="DO51:DZ51" si="266">DO61+DO62+DO63+DO79+DO83+DO77</f>
        <v>0</v>
      </c>
      <c r="DP51" s="205">
        <f t="shared" si="266"/>
        <v>0</v>
      </c>
      <c r="DQ51" s="205">
        <f t="shared" si="266"/>
        <v>-4</v>
      </c>
      <c r="DR51" s="205">
        <f t="shared" si="266"/>
        <v>-2</v>
      </c>
      <c r="DS51" s="205">
        <f t="shared" si="266"/>
        <v>11061</v>
      </c>
      <c r="DT51" s="205">
        <f t="shared" si="266"/>
        <v>2022</v>
      </c>
      <c r="DU51" s="205">
        <f t="shared" si="266"/>
        <v>299</v>
      </c>
      <c r="DV51" s="205">
        <f t="shared" si="266"/>
        <v>0</v>
      </c>
      <c r="DW51" s="205">
        <f t="shared" si="266"/>
        <v>5618</v>
      </c>
      <c r="DX51" s="205">
        <f t="shared" si="266"/>
        <v>1284</v>
      </c>
      <c r="DY51" s="205">
        <f t="shared" si="266"/>
        <v>-8</v>
      </c>
      <c r="DZ51" s="246">
        <f t="shared" si="266"/>
        <v>1662</v>
      </c>
      <c r="EA51" s="246">
        <f t="shared" si="143"/>
        <v>21932</v>
      </c>
      <c r="EB51" s="245">
        <f t="shared" ref="EB51:EM51" si="267">EB61+EB62+EB63+EB79+EB83+EB77</f>
        <v>1</v>
      </c>
      <c r="EC51" s="205">
        <f t="shared" si="267"/>
        <v>0</v>
      </c>
      <c r="ED51" s="205">
        <f t="shared" si="267"/>
        <v>4</v>
      </c>
      <c r="EE51" s="205">
        <f t="shared" si="267"/>
        <v>-30</v>
      </c>
      <c r="EF51" s="205">
        <f t="shared" si="267"/>
        <v>14224</v>
      </c>
      <c r="EG51" s="205">
        <f t="shared" si="267"/>
        <v>3629</v>
      </c>
      <c r="EH51" s="205">
        <f t="shared" si="267"/>
        <v>3676</v>
      </c>
      <c r="EI51" s="205">
        <f t="shared" si="267"/>
        <v>34</v>
      </c>
      <c r="EJ51" s="205">
        <f t="shared" si="267"/>
        <v>1061</v>
      </c>
      <c r="EK51" s="205">
        <f t="shared" si="267"/>
        <v>2142</v>
      </c>
      <c r="EL51" s="205">
        <f t="shared" si="267"/>
        <v>-62</v>
      </c>
      <c r="EM51" s="205">
        <f t="shared" si="267"/>
        <v>4528</v>
      </c>
      <c r="EN51" s="202">
        <f t="shared" si="145"/>
        <v>29207</v>
      </c>
      <c r="EO51" s="245">
        <f t="shared" ref="EO51:ER51" si="268">EO61+EO62+EO63+EO79+EO83+EO77</f>
        <v>25</v>
      </c>
      <c r="EP51" s="205">
        <f t="shared" si="268"/>
        <v>-196</v>
      </c>
      <c r="EQ51" s="205">
        <f t="shared" si="268"/>
        <v>-28</v>
      </c>
      <c r="ER51" s="205">
        <f t="shared" si="268"/>
        <v>12365</v>
      </c>
      <c r="ES51" s="205">
        <f t="shared" ref="ES51" si="269">ES61+ES62+ES63+ES79+ES83+ES77</f>
        <v>13401</v>
      </c>
      <c r="ET51" s="205">
        <f t="shared" ref="ET51" si="270">ET61+ET62+ET63+ET79+ET83+ET77</f>
        <v>1616</v>
      </c>
      <c r="EU51" s="205">
        <f t="shared" ref="EU51" si="271">EU61+EU62+EU63+EU79+EU83+EU77</f>
        <v>2847</v>
      </c>
      <c r="EV51" s="963">
        <f t="shared" ref="EV51" si="272">EV61+EV62+EV63+EV79+EV83+EV77</f>
        <v>-3</v>
      </c>
      <c r="EW51" s="205"/>
      <c r="EX51" s="205"/>
      <c r="EY51" s="205"/>
      <c r="EZ51" s="205"/>
      <c r="FA51" s="202">
        <f t="shared" si="151"/>
        <v>30027</v>
      </c>
      <c r="FC51" s="271">
        <f t="shared" si="152"/>
        <v>-108.8235294117647</v>
      </c>
      <c r="FD51" s="271">
        <f t="shared" si="168"/>
        <v>39.414058872690141</v>
      </c>
      <c r="FE51" s="202">
        <f t="shared" si="153"/>
        <v>21538</v>
      </c>
      <c r="FF51" s="202">
        <f t="shared" si="154"/>
        <v>30027</v>
      </c>
      <c r="FG51" s="205"/>
    </row>
    <row r="52" spans="1:163" ht="15" customHeight="1" x14ac:dyDescent="0.25">
      <c r="A52" s="138"/>
      <c r="B52" s="24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46"/>
      <c r="N52" s="246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46"/>
      <c r="AA52" s="205"/>
      <c r="AB52" s="24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2"/>
      <c r="AO52" s="24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46"/>
      <c r="BA52" s="246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46"/>
      <c r="BN52" s="246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14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46"/>
      <c r="CN52" s="246"/>
      <c r="CO52" s="245"/>
      <c r="CP52" s="205"/>
      <c r="CQ52" s="205"/>
      <c r="CR52" s="205"/>
      <c r="CS52" s="205"/>
      <c r="CT52" s="205"/>
      <c r="CU52" s="205"/>
      <c r="CV52" s="205"/>
      <c r="CW52" s="205"/>
      <c r="CX52" s="205"/>
      <c r="CY52" s="205"/>
      <c r="CZ52" s="246"/>
      <c r="DA52" s="202"/>
      <c r="DB52" s="245"/>
      <c r="DC52" s="205"/>
      <c r="DD52" s="205"/>
      <c r="DE52" s="205"/>
      <c r="DF52" s="205"/>
      <c r="DG52" s="205"/>
      <c r="DH52" s="205"/>
      <c r="DI52" s="205"/>
      <c r="DJ52" s="205"/>
      <c r="DK52" s="205"/>
      <c r="DL52" s="205"/>
      <c r="DM52" s="246"/>
      <c r="DN52" s="205"/>
      <c r="DO52" s="245"/>
      <c r="DP52" s="205"/>
      <c r="DQ52" s="205"/>
      <c r="DR52" s="205"/>
      <c r="DS52" s="205"/>
      <c r="DT52" s="205"/>
      <c r="DU52" s="205"/>
      <c r="DV52" s="205"/>
      <c r="DW52" s="205"/>
      <c r="DX52" s="205"/>
      <c r="DY52" s="205"/>
      <c r="DZ52" s="246"/>
      <c r="EA52" s="246"/>
      <c r="EB52" s="245"/>
      <c r="EC52" s="205"/>
      <c r="ED52" s="205"/>
      <c r="EE52" s="205"/>
      <c r="EF52" s="205"/>
      <c r="EG52" s="205"/>
      <c r="EH52" s="205"/>
      <c r="EI52" s="205"/>
      <c r="EJ52" s="205"/>
      <c r="EK52" s="205"/>
      <c r="EL52" s="205"/>
      <c r="EM52" s="205"/>
      <c r="EN52" s="202"/>
      <c r="EO52" s="245"/>
      <c r="EP52" s="205"/>
      <c r="EQ52" s="205"/>
      <c r="ER52" s="205"/>
      <c r="ES52" s="205"/>
      <c r="ET52" s="205"/>
      <c r="EU52" s="205"/>
      <c r="EV52" s="963"/>
      <c r="EW52" s="205"/>
      <c r="EX52" s="205"/>
      <c r="EY52" s="205"/>
      <c r="EZ52" s="205"/>
      <c r="FA52" s="202"/>
      <c r="FC52" s="271"/>
      <c r="FD52" s="271"/>
      <c r="FE52" s="202"/>
      <c r="FF52" s="202"/>
      <c r="FG52" s="205"/>
    </row>
    <row r="53" spans="1:163" ht="15" customHeight="1" x14ac:dyDescent="0.25">
      <c r="A53" s="217" t="s">
        <v>294</v>
      </c>
      <c r="B53" s="237">
        <f t="shared" ref="B53:AG53" si="273">B18</f>
        <v>40</v>
      </c>
      <c r="C53" s="236">
        <f t="shared" si="273"/>
        <v>45</v>
      </c>
      <c r="D53" s="236">
        <f t="shared" si="273"/>
        <v>100</v>
      </c>
      <c r="E53" s="236">
        <f t="shared" si="273"/>
        <v>48</v>
      </c>
      <c r="F53" s="236">
        <f t="shared" si="273"/>
        <v>46</v>
      </c>
      <c r="G53" s="236">
        <f t="shared" si="273"/>
        <v>88</v>
      </c>
      <c r="H53" s="236">
        <f t="shared" si="273"/>
        <v>94</v>
      </c>
      <c r="I53" s="236">
        <f t="shared" si="273"/>
        <v>92</v>
      </c>
      <c r="J53" s="236">
        <f t="shared" si="273"/>
        <v>103</v>
      </c>
      <c r="K53" s="236">
        <f t="shared" si="273"/>
        <v>108</v>
      </c>
      <c r="L53" s="236">
        <f t="shared" si="273"/>
        <v>110</v>
      </c>
      <c r="M53" s="238">
        <f t="shared" si="273"/>
        <v>134</v>
      </c>
      <c r="N53" s="238">
        <f t="shared" si="273"/>
        <v>1008</v>
      </c>
      <c r="O53" s="236">
        <f t="shared" si="273"/>
        <v>146</v>
      </c>
      <c r="P53" s="236">
        <f t="shared" si="273"/>
        <v>94</v>
      </c>
      <c r="Q53" s="236">
        <f t="shared" si="273"/>
        <v>40</v>
      </c>
      <c r="R53" s="236">
        <f t="shared" si="273"/>
        <v>70</v>
      </c>
      <c r="S53" s="236">
        <f t="shared" si="273"/>
        <v>76</v>
      </c>
      <c r="T53" s="236">
        <f t="shared" si="273"/>
        <v>65</v>
      </c>
      <c r="U53" s="236">
        <f t="shared" si="273"/>
        <v>70</v>
      </c>
      <c r="V53" s="236">
        <f t="shared" si="273"/>
        <v>119</v>
      </c>
      <c r="W53" s="236">
        <f t="shared" si="273"/>
        <v>65</v>
      </c>
      <c r="X53" s="236">
        <f t="shared" si="273"/>
        <v>75</v>
      </c>
      <c r="Y53" s="236">
        <f t="shared" si="273"/>
        <v>52</v>
      </c>
      <c r="Z53" s="238">
        <f t="shared" si="273"/>
        <v>179</v>
      </c>
      <c r="AA53" s="236">
        <f t="shared" si="273"/>
        <v>1051</v>
      </c>
      <c r="AB53" s="237">
        <f t="shared" si="273"/>
        <v>100</v>
      </c>
      <c r="AC53" s="236">
        <f t="shared" si="273"/>
        <v>29</v>
      </c>
      <c r="AD53" s="236">
        <f t="shared" si="273"/>
        <v>70</v>
      </c>
      <c r="AE53" s="236">
        <f t="shared" si="273"/>
        <v>70</v>
      </c>
      <c r="AF53" s="236">
        <f t="shared" si="273"/>
        <v>44</v>
      </c>
      <c r="AG53" s="236">
        <f t="shared" si="273"/>
        <v>49</v>
      </c>
      <c r="AH53" s="236">
        <f t="shared" ref="AH53:BM53" si="274">AH18</f>
        <v>82</v>
      </c>
      <c r="AI53" s="236">
        <f t="shared" si="274"/>
        <v>44</v>
      </c>
      <c r="AJ53" s="236">
        <f t="shared" si="274"/>
        <v>36</v>
      </c>
      <c r="AK53" s="236">
        <f t="shared" si="274"/>
        <v>130</v>
      </c>
      <c r="AL53" s="236">
        <f t="shared" si="274"/>
        <v>58</v>
      </c>
      <c r="AM53" s="236">
        <f t="shared" si="274"/>
        <v>151</v>
      </c>
      <c r="AN53" s="145">
        <f t="shared" si="274"/>
        <v>863</v>
      </c>
      <c r="AO53" s="237">
        <f t="shared" si="274"/>
        <v>19</v>
      </c>
      <c r="AP53" s="236">
        <f t="shared" si="274"/>
        <v>47</v>
      </c>
      <c r="AQ53" s="236">
        <f t="shared" si="274"/>
        <v>24</v>
      </c>
      <c r="AR53" s="236">
        <f t="shared" si="274"/>
        <v>39</v>
      </c>
      <c r="AS53" s="236">
        <f t="shared" si="274"/>
        <v>29</v>
      </c>
      <c r="AT53" s="236">
        <f t="shared" si="274"/>
        <v>100</v>
      </c>
      <c r="AU53" s="236">
        <f t="shared" si="274"/>
        <v>75</v>
      </c>
      <c r="AV53" s="236">
        <f t="shared" si="274"/>
        <v>35</v>
      </c>
      <c r="AW53" s="236">
        <f t="shared" si="274"/>
        <v>55</v>
      </c>
      <c r="AX53" s="236">
        <f t="shared" si="274"/>
        <v>115</v>
      </c>
      <c r="AY53" s="236">
        <f t="shared" si="274"/>
        <v>52</v>
      </c>
      <c r="AZ53" s="238">
        <f t="shared" si="274"/>
        <v>106</v>
      </c>
      <c r="BA53" s="238">
        <f t="shared" si="274"/>
        <v>696</v>
      </c>
      <c r="BB53" s="236">
        <f t="shared" si="274"/>
        <v>8</v>
      </c>
      <c r="BC53" s="236">
        <f t="shared" si="274"/>
        <v>58</v>
      </c>
      <c r="BD53" s="236">
        <f t="shared" si="274"/>
        <v>33</v>
      </c>
      <c r="BE53" s="236">
        <f t="shared" si="274"/>
        <v>13</v>
      </c>
      <c r="BF53" s="236">
        <f t="shared" si="274"/>
        <v>53</v>
      </c>
      <c r="BG53" s="236">
        <f t="shared" si="274"/>
        <v>17</v>
      </c>
      <c r="BH53" s="236">
        <f t="shared" si="274"/>
        <v>97</v>
      </c>
      <c r="BI53" s="236">
        <f t="shared" si="274"/>
        <v>9</v>
      </c>
      <c r="BJ53" s="236">
        <f t="shared" si="274"/>
        <v>77</v>
      </c>
      <c r="BK53" s="236">
        <f t="shared" si="274"/>
        <v>99</v>
      </c>
      <c r="BL53" s="236">
        <f t="shared" si="274"/>
        <v>39</v>
      </c>
      <c r="BM53" s="238">
        <f t="shared" si="274"/>
        <v>206</v>
      </c>
      <c r="BN53" s="238">
        <f t="shared" ref="BN53:BZ53" si="275">BN18</f>
        <v>709</v>
      </c>
      <c r="BO53" s="236">
        <f t="shared" si="275"/>
        <v>54</v>
      </c>
      <c r="BP53" s="236">
        <f t="shared" si="275"/>
        <v>39</v>
      </c>
      <c r="BQ53" s="236">
        <f t="shared" si="275"/>
        <v>39</v>
      </c>
      <c r="BR53" s="236">
        <f t="shared" si="275"/>
        <v>1</v>
      </c>
      <c r="BS53" s="236">
        <f t="shared" si="275"/>
        <v>10</v>
      </c>
      <c r="BT53" s="236">
        <f t="shared" si="275"/>
        <v>23</v>
      </c>
      <c r="BU53" s="236">
        <f t="shared" si="275"/>
        <v>294</v>
      </c>
      <c r="BV53" s="236">
        <f t="shared" si="275"/>
        <v>71</v>
      </c>
      <c r="BW53" s="236">
        <f t="shared" si="275"/>
        <v>83</v>
      </c>
      <c r="BX53" s="236">
        <f t="shared" si="275"/>
        <v>156</v>
      </c>
      <c r="BY53" s="236">
        <f t="shared" si="275"/>
        <v>126</v>
      </c>
      <c r="BZ53" s="236">
        <f t="shared" si="275"/>
        <v>222</v>
      </c>
      <c r="CA53" s="145">
        <f t="shared" si="133"/>
        <v>1118</v>
      </c>
      <c r="CB53" s="236">
        <f t="shared" ref="CB53:CM53" si="276">CB18</f>
        <v>89</v>
      </c>
      <c r="CC53" s="236">
        <f t="shared" si="276"/>
        <v>103</v>
      </c>
      <c r="CD53" s="236">
        <f t="shared" si="276"/>
        <v>72</v>
      </c>
      <c r="CE53" s="236">
        <f t="shared" si="276"/>
        <v>97</v>
      </c>
      <c r="CF53" s="236">
        <f t="shared" si="276"/>
        <v>105</v>
      </c>
      <c r="CG53" s="236">
        <f t="shared" si="276"/>
        <v>95</v>
      </c>
      <c r="CH53" s="236">
        <f t="shared" si="276"/>
        <v>154</v>
      </c>
      <c r="CI53" s="236">
        <f t="shared" si="276"/>
        <v>141</v>
      </c>
      <c r="CJ53" s="236">
        <f t="shared" si="276"/>
        <v>187</v>
      </c>
      <c r="CK53" s="236">
        <f t="shared" si="276"/>
        <v>130</v>
      </c>
      <c r="CL53" s="236">
        <f t="shared" si="276"/>
        <v>186</v>
      </c>
      <c r="CM53" s="238">
        <f t="shared" si="276"/>
        <v>228</v>
      </c>
      <c r="CN53" s="238">
        <f t="shared" si="137"/>
        <v>1587</v>
      </c>
      <c r="CO53" s="237">
        <f t="shared" ref="CO53:CZ53" si="277">CO18</f>
        <v>111</v>
      </c>
      <c r="CP53" s="236">
        <f t="shared" si="277"/>
        <v>81</v>
      </c>
      <c r="CQ53" s="236">
        <f t="shared" si="277"/>
        <v>157</v>
      </c>
      <c r="CR53" s="236">
        <f t="shared" si="277"/>
        <v>80</v>
      </c>
      <c r="CS53" s="236">
        <f t="shared" si="277"/>
        <v>102</v>
      </c>
      <c r="CT53" s="236">
        <f t="shared" si="277"/>
        <v>168</v>
      </c>
      <c r="CU53" s="236">
        <f t="shared" si="277"/>
        <v>87</v>
      </c>
      <c r="CV53" s="236">
        <f t="shared" si="277"/>
        <v>77</v>
      </c>
      <c r="CW53" s="236">
        <f t="shared" si="277"/>
        <v>243</v>
      </c>
      <c r="CX53" s="236">
        <f t="shared" si="277"/>
        <v>190</v>
      </c>
      <c r="CY53" s="236">
        <f t="shared" si="277"/>
        <v>158</v>
      </c>
      <c r="CZ53" s="238">
        <f t="shared" si="277"/>
        <v>90</v>
      </c>
      <c r="DA53" s="145">
        <f>SUM(CO53:CZ53)</f>
        <v>1544</v>
      </c>
      <c r="DB53" s="237">
        <f t="shared" ref="DB53:DM53" si="278">DB18</f>
        <v>47</v>
      </c>
      <c r="DC53" s="236">
        <f t="shared" si="278"/>
        <v>24</v>
      </c>
      <c r="DD53" s="236">
        <f t="shared" si="278"/>
        <v>60</v>
      </c>
      <c r="DE53" s="236">
        <f t="shared" si="278"/>
        <v>77</v>
      </c>
      <c r="DF53" s="236">
        <f t="shared" si="278"/>
        <v>85</v>
      </c>
      <c r="DG53" s="236">
        <f t="shared" si="278"/>
        <v>100</v>
      </c>
      <c r="DH53" s="236">
        <f t="shared" si="278"/>
        <v>49</v>
      </c>
      <c r="DI53" s="236">
        <f t="shared" si="278"/>
        <v>66</v>
      </c>
      <c r="DJ53" s="236">
        <f t="shared" si="278"/>
        <v>48</v>
      </c>
      <c r="DK53" s="236">
        <f t="shared" si="278"/>
        <v>36</v>
      </c>
      <c r="DL53" s="236">
        <f t="shared" si="278"/>
        <v>67</v>
      </c>
      <c r="DM53" s="238">
        <f t="shared" si="278"/>
        <v>103</v>
      </c>
      <c r="DN53" s="236">
        <f>SUM(DB53:DM53)</f>
        <v>762</v>
      </c>
      <c r="DO53" s="237">
        <f t="shared" ref="DO53:DZ53" si="279">DO18</f>
        <v>49</v>
      </c>
      <c r="DP53" s="236">
        <f t="shared" si="279"/>
        <v>38</v>
      </c>
      <c r="DQ53" s="236">
        <f t="shared" si="279"/>
        <v>79</v>
      </c>
      <c r="DR53" s="236">
        <f t="shared" si="279"/>
        <v>87</v>
      </c>
      <c r="DS53" s="236">
        <f t="shared" si="279"/>
        <v>87</v>
      </c>
      <c r="DT53" s="236">
        <f t="shared" si="279"/>
        <v>54</v>
      </c>
      <c r="DU53" s="236">
        <f t="shared" si="279"/>
        <v>23</v>
      </c>
      <c r="DV53" s="236">
        <f t="shared" si="279"/>
        <v>88</v>
      </c>
      <c r="DW53" s="236">
        <f t="shared" si="279"/>
        <v>57</v>
      </c>
      <c r="DX53" s="236">
        <f t="shared" si="279"/>
        <v>69</v>
      </c>
      <c r="DY53" s="236">
        <f t="shared" si="279"/>
        <v>97</v>
      </c>
      <c r="DZ53" s="238">
        <f t="shared" si="279"/>
        <v>124</v>
      </c>
      <c r="EA53" s="238">
        <f t="shared" si="143"/>
        <v>852</v>
      </c>
      <c r="EB53" s="237">
        <f t="shared" ref="EB53:EM53" si="280">EB18</f>
        <v>27</v>
      </c>
      <c r="EC53" s="236">
        <f t="shared" si="280"/>
        <v>46</v>
      </c>
      <c r="ED53" s="236">
        <f t="shared" si="280"/>
        <v>64</v>
      </c>
      <c r="EE53" s="236">
        <f t="shared" si="280"/>
        <v>19</v>
      </c>
      <c r="EF53" s="236">
        <f t="shared" si="280"/>
        <v>104</v>
      </c>
      <c r="EG53" s="236">
        <f t="shared" si="280"/>
        <v>84</v>
      </c>
      <c r="EH53" s="236">
        <f t="shared" si="280"/>
        <v>39</v>
      </c>
      <c r="EI53" s="236">
        <f t="shared" si="280"/>
        <v>40</v>
      </c>
      <c r="EJ53" s="236">
        <f t="shared" si="280"/>
        <v>26</v>
      </c>
      <c r="EK53" s="236">
        <f t="shared" si="280"/>
        <v>44</v>
      </c>
      <c r="EL53" s="236">
        <f t="shared" si="280"/>
        <v>39</v>
      </c>
      <c r="EM53" s="236">
        <f t="shared" si="280"/>
        <v>51</v>
      </c>
      <c r="EN53" s="145">
        <f t="shared" si="145"/>
        <v>583</v>
      </c>
      <c r="EO53" s="237">
        <f t="shared" ref="EO53:ER53" si="281">EO18</f>
        <v>32</v>
      </c>
      <c r="EP53" s="236">
        <f t="shared" si="281"/>
        <v>46</v>
      </c>
      <c r="EQ53" s="236">
        <f t="shared" si="281"/>
        <v>25</v>
      </c>
      <c r="ER53" s="236">
        <f t="shared" si="281"/>
        <v>28</v>
      </c>
      <c r="ES53" s="236">
        <f t="shared" ref="ES53" si="282">ES18</f>
        <v>59</v>
      </c>
      <c r="ET53" s="236">
        <f t="shared" ref="ET53" si="283">ET18</f>
        <v>27</v>
      </c>
      <c r="EU53" s="236">
        <f t="shared" ref="EU53" si="284">EU18</f>
        <v>58</v>
      </c>
      <c r="EV53" s="955">
        <f t="shared" ref="EV53" si="285">EV18</f>
        <v>69</v>
      </c>
      <c r="EW53" s="236"/>
      <c r="EX53" s="236"/>
      <c r="EY53" s="236"/>
      <c r="EZ53" s="236"/>
      <c r="FA53" s="145">
        <f t="shared" si="151"/>
        <v>344</v>
      </c>
      <c r="FC53" s="270">
        <f t="shared" si="152"/>
        <v>72.500000000000014</v>
      </c>
      <c r="FD53" s="270">
        <f>IFERROR(((FF53/FE53)-1)*100,"-")</f>
        <v>-18.676122931442084</v>
      </c>
      <c r="FE53" s="257">
        <f t="shared" si="153"/>
        <v>423</v>
      </c>
      <c r="FF53" s="257">
        <f>IFERROR(SUM(EO53:EY53),"-")</f>
        <v>344</v>
      </c>
      <c r="FG53" s="299"/>
    </row>
    <row r="54" spans="1:163" ht="15" customHeight="1" x14ac:dyDescent="0.25">
      <c r="A54" s="133"/>
      <c r="B54" s="254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55"/>
      <c r="N54" s="255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255"/>
      <c r="AA54" s="159"/>
      <c r="AB54" s="254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33"/>
      <c r="AO54" s="254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255"/>
      <c r="BA54" s="255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255"/>
      <c r="BN54" s="255"/>
      <c r="BO54" s="159"/>
      <c r="BP54" s="159"/>
      <c r="BQ54" s="159"/>
      <c r="BR54" s="178"/>
      <c r="BS54" s="178"/>
      <c r="BT54" s="178"/>
      <c r="BU54" s="178"/>
      <c r="BV54" s="178"/>
      <c r="BW54" s="178"/>
      <c r="BX54" s="178"/>
      <c r="BY54" s="178"/>
      <c r="BZ54" s="178"/>
      <c r="CA54" s="196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97"/>
      <c r="CN54" s="197"/>
      <c r="CO54" s="178"/>
      <c r="CP54" s="178"/>
      <c r="CQ54" s="178"/>
      <c r="CR54" s="178"/>
      <c r="CS54" s="178"/>
      <c r="CT54" s="178"/>
      <c r="CU54" s="178"/>
      <c r="CV54" s="178"/>
      <c r="CW54" s="178"/>
      <c r="CX54" s="178"/>
      <c r="CY54" s="178"/>
      <c r="CZ54" s="197"/>
      <c r="DA54" s="196"/>
      <c r="DB54" s="159"/>
      <c r="DC54" s="159"/>
      <c r="DD54" s="159"/>
      <c r="DE54" s="159"/>
      <c r="DF54" s="159"/>
      <c r="DG54" s="159"/>
      <c r="DH54" s="159"/>
      <c r="DI54" s="159"/>
      <c r="DJ54" s="159"/>
      <c r="DK54" s="159"/>
      <c r="DL54" s="159"/>
      <c r="DM54" s="255"/>
      <c r="DN54" s="159"/>
      <c r="DO54" s="254"/>
      <c r="DP54" s="159"/>
      <c r="DQ54" s="159"/>
      <c r="DR54" s="159"/>
      <c r="DS54" s="159"/>
      <c r="DT54" s="159"/>
      <c r="DU54" s="159"/>
      <c r="DV54" s="159"/>
      <c r="DW54" s="159"/>
      <c r="DX54" s="159"/>
      <c r="DY54" s="159"/>
      <c r="DZ54" s="255"/>
      <c r="EA54" s="255"/>
      <c r="EB54" s="254"/>
      <c r="EC54" s="159"/>
      <c r="ED54" s="159"/>
      <c r="EE54" s="159"/>
      <c r="EF54" s="159"/>
      <c r="EG54" s="159"/>
      <c r="EH54" s="159"/>
      <c r="EI54" s="159"/>
      <c r="EJ54" s="159"/>
      <c r="EK54" s="159"/>
      <c r="EL54" s="159"/>
      <c r="EM54" s="159"/>
      <c r="EN54" s="133"/>
      <c r="EO54" s="254"/>
      <c r="EP54" s="159"/>
      <c r="EQ54" s="159"/>
      <c r="ER54" s="159"/>
      <c r="ES54" s="159"/>
      <c r="ET54" s="159"/>
      <c r="EU54" s="159"/>
      <c r="EV54" s="964"/>
      <c r="EW54" s="159"/>
      <c r="EX54" s="159"/>
      <c r="EY54" s="159"/>
      <c r="EZ54" s="159"/>
      <c r="FA54" s="133"/>
      <c r="FC54" s="133"/>
      <c r="FD54" s="133"/>
      <c r="FE54" s="133"/>
      <c r="FF54" s="133"/>
    </row>
    <row r="55" spans="1:163" ht="15" customHeight="1" x14ac:dyDescent="0.25">
      <c r="B55" s="205">
        <f t="shared" ref="B55:AA55" si="286">B59-B52</f>
        <v>14734.955</v>
      </c>
      <c r="C55" s="205">
        <f t="shared" si="286"/>
        <v>19461</v>
      </c>
      <c r="D55" s="205">
        <f t="shared" si="286"/>
        <v>20170.699000000001</v>
      </c>
      <c r="E55" s="205">
        <f t="shared" si="286"/>
        <v>17731</v>
      </c>
      <c r="F55" s="205">
        <f t="shared" si="286"/>
        <v>31975</v>
      </c>
      <c r="G55" s="205">
        <f t="shared" si="286"/>
        <v>25300</v>
      </c>
      <c r="H55" s="205">
        <f t="shared" si="286"/>
        <v>18214</v>
      </c>
      <c r="I55" s="205">
        <f t="shared" si="286"/>
        <v>21165</v>
      </c>
      <c r="J55" s="205">
        <f t="shared" si="286"/>
        <v>16350</v>
      </c>
      <c r="K55" s="205">
        <f t="shared" si="286"/>
        <v>16587</v>
      </c>
      <c r="L55" s="205">
        <f t="shared" si="286"/>
        <v>26365</v>
      </c>
      <c r="M55" s="205">
        <f t="shared" si="286"/>
        <v>19123</v>
      </c>
      <c r="N55" s="205">
        <f t="shared" si="286"/>
        <v>247176.65400000001</v>
      </c>
      <c r="O55" s="205">
        <f t="shared" si="286"/>
        <v>16699</v>
      </c>
      <c r="P55" s="205">
        <f t="shared" si="286"/>
        <v>7025</v>
      </c>
      <c r="Q55" s="205">
        <f t="shared" si="286"/>
        <v>30883</v>
      </c>
      <c r="R55" s="205">
        <f t="shared" si="286"/>
        <v>14929</v>
      </c>
      <c r="S55" s="205">
        <f t="shared" si="286"/>
        <v>21647</v>
      </c>
      <c r="T55" s="205">
        <f t="shared" si="286"/>
        <v>16604</v>
      </c>
      <c r="U55" s="205">
        <f t="shared" si="286"/>
        <v>16598</v>
      </c>
      <c r="V55" s="205">
        <f t="shared" si="286"/>
        <v>14064</v>
      </c>
      <c r="W55" s="205">
        <f t="shared" si="286"/>
        <v>14611</v>
      </c>
      <c r="X55" s="205">
        <f t="shared" si="286"/>
        <v>16890</v>
      </c>
      <c r="Y55" s="205">
        <f t="shared" si="286"/>
        <v>25281</v>
      </c>
      <c r="Z55" s="205">
        <f t="shared" si="286"/>
        <v>15814</v>
      </c>
      <c r="AA55" s="205">
        <f t="shared" si="286"/>
        <v>211045</v>
      </c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5"/>
      <c r="BJ55" s="205"/>
      <c r="BK55" s="205"/>
      <c r="BL55" s="205"/>
      <c r="BM55" s="205"/>
      <c r="BN55" s="205"/>
      <c r="BO55" s="205"/>
      <c r="BP55" s="205"/>
      <c r="BQ55" s="205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</row>
    <row r="56" spans="1:163" ht="15" customHeight="1" x14ac:dyDescent="0.25">
      <c r="A56" s="311" t="s">
        <v>299</v>
      </c>
      <c r="B56" s="127">
        <f t="shared" ref="B56:BM56" si="287">B15</f>
        <v>14735</v>
      </c>
      <c r="C56" s="127">
        <f t="shared" si="287"/>
        <v>19461</v>
      </c>
      <c r="D56" s="127">
        <f t="shared" si="287"/>
        <v>20171</v>
      </c>
      <c r="E56" s="127">
        <f t="shared" si="287"/>
        <v>17731</v>
      </c>
      <c r="F56" s="127">
        <f t="shared" si="287"/>
        <v>31975</v>
      </c>
      <c r="G56" s="127">
        <f t="shared" si="287"/>
        <v>25300</v>
      </c>
      <c r="H56" s="127">
        <f t="shared" si="287"/>
        <v>18214</v>
      </c>
      <c r="I56" s="127">
        <f t="shared" si="287"/>
        <v>21165</v>
      </c>
      <c r="J56" s="127">
        <f t="shared" si="287"/>
        <v>16350</v>
      </c>
      <c r="K56" s="127">
        <f t="shared" si="287"/>
        <v>16587</v>
      </c>
      <c r="L56" s="127">
        <f t="shared" si="287"/>
        <v>26365</v>
      </c>
      <c r="M56" s="127">
        <f t="shared" si="287"/>
        <v>19123</v>
      </c>
      <c r="N56" s="127">
        <f t="shared" si="287"/>
        <v>247177</v>
      </c>
      <c r="O56" s="127">
        <f t="shared" si="287"/>
        <v>16699</v>
      </c>
      <c r="P56" s="127">
        <f t="shared" si="287"/>
        <v>7025</v>
      </c>
      <c r="Q56" s="127">
        <f t="shared" si="287"/>
        <v>30883</v>
      </c>
      <c r="R56" s="127">
        <f t="shared" si="287"/>
        <v>14929</v>
      </c>
      <c r="S56" s="127">
        <f t="shared" si="287"/>
        <v>21647</v>
      </c>
      <c r="T56" s="127">
        <f t="shared" si="287"/>
        <v>16604</v>
      </c>
      <c r="U56" s="127">
        <f t="shared" si="287"/>
        <v>16598</v>
      </c>
      <c r="V56" s="127">
        <f t="shared" si="287"/>
        <v>14064</v>
      </c>
      <c r="W56" s="127">
        <f t="shared" si="287"/>
        <v>14611</v>
      </c>
      <c r="X56" s="127">
        <f t="shared" si="287"/>
        <v>16890</v>
      </c>
      <c r="Y56" s="127">
        <f t="shared" si="287"/>
        <v>25281</v>
      </c>
      <c r="Z56" s="127">
        <f t="shared" si="287"/>
        <v>15814</v>
      </c>
      <c r="AA56" s="127">
        <f t="shared" si="287"/>
        <v>211045</v>
      </c>
      <c r="AB56" s="127">
        <f t="shared" si="287"/>
        <v>14223</v>
      </c>
      <c r="AC56" s="127">
        <f t="shared" si="287"/>
        <v>8226</v>
      </c>
      <c r="AD56" s="127">
        <f t="shared" si="287"/>
        <v>28770</v>
      </c>
      <c r="AE56" s="127">
        <f t="shared" si="287"/>
        <v>12983</v>
      </c>
      <c r="AF56" s="127">
        <f t="shared" si="287"/>
        <v>24380</v>
      </c>
      <c r="AG56" s="127">
        <f t="shared" si="287"/>
        <v>15117</v>
      </c>
      <c r="AH56" s="127">
        <f t="shared" si="287"/>
        <v>13830</v>
      </c>
      <c r="AI56" s="127">
        <f t="shared" si="287"/>
        <v>17188</v>
      </c>
      <c r="AJ56" s="127">
        <f t="shared" si="287"/>
        <v>17570</v>
      </c>
      <c r="AK56" s="127">
        <f t="shared" si="287"/>
        <v>23846</v>
      </c>
      <c r="AL56" s="127">
        <f t="shared" si="287"/>
        <v>18403</v>
      </c>
      <c r="AM56" s="127">
        <f t="shared" si="287"/>
        <v>21875</v>
      </c>
      <c r="AN56" s="127">
        <f t="shared" si="287"/>
        <v>216411</v>
      </c>
      <c r="AO56" s="127">
        <f t="shared" si="287"/>
        <v>14830</v>
      </c>
      <c r="AP56" s="127">
        <f t="shared" si="287"/>
        <v>25704</v>
      </c>
      <c r="AQ56" s="127">
        <f t="shared" si="287"/>
        <v>20605</v>
      </c>
      <c r="AR56" s="127">
        <f t="shared" si="287"/>
        <v>31943</v>
      </c>
      <c r="AS56" s="127">
        <f t="shared" si="287"/>
        <v>18665</v>
      </c>
      <c r="AT56" s="127">
        <f t="shared" si="287"/>
        <v>22808</v>
      </c>
      <c r="AU56" s="127">
        <f t="shared" si="287"/>
        <v>17945</v>
      </c>
      <c r="AV56" s="127">
        <f t="shared" si="287"/>
        <v>18253</v>
      </c>
      <c r="AW56" s="127">
        <f t="shared" si="287"/>
        <v>12678</v>
      </c>
      <c r="AX56" s="127">
        <f t="shared" si="287"/>
        <v>34972</v>
      </c>
      <c r="AY56" s="127">
        <f t="shared" si="287"/>
        <v>20711</v>
      </c>
      <c r="AZ56" s="127">
        <f t="shared" si="287"/>
        <v>20547</v>
      </c>
      <c r="BA56" s="127">
        <f t="shared" si="287"/>
        <v>259661</v>
      </c>
      <c r="BB56" s="127">
        <f t="shared" si="287"/>
        <v>14485</v>
      </c>
      <c r="BC56" s="127">
        <f t="shared" si="287"/>
        <v>23760</v>
      </c>
      <c r="BD56" s="127">
        <f t="shared" si="287"/>
        <v>17078</v>
      </c>
      <c r="BE56" s="127">
        <f t="shared" si="287"/>
        <v>15493</v>
      </c>
      <c r="BF56" s="127">
        <f t="shared" si="287"/>
        <v>22053</v>
      </c>
      <c r="BG56" s="127">
        <f t="shared" si="287"/>
        <v>20260</v>
      </c>
      <c r="BH56" s="127">
        <f t="shared" si="287"/>
        <v>17063</v>
      </c>
      <c r="BI56" s="127">
        <f t="shared" si="287"/>
        <v>16161</v>
      </c>
      <c r="BJ56" s="127">
        <f t="shared" si="287"/>
        <v>17904</v>
      </c>
      <c r="BK56" s="127">
        <f t="shared" si="287"/>
        <v>19347</v>
      </c>
      <c r="BL56" s="127">
        <f t="shared" si="287"/>
        <v>18500</v>
      </c>
      <c r="BM56" s="127">
        <f t="shared" si="287"/>
        <v>20058</v>
      </c>
      <c r="BN56" s="127">
        <f t="shared" ref="BN56:BZ56" si="288">BN15</f>
        <v>222162</v>
      </c>
      <c r="BO56" s="127">
        <f t="shared" si="288"/>
        <v>15398</v>
      </c>
      <c r="BP56" s="127">
        <f t="shared" si="288"/>
        <v>4565</v>
      </c>
      <c r="BQ56" s="127">
        <f t="shared" si="288"/>
        <v>36453</v>
      </c>
      <c r="BR56" s="127">
        <f t="shared" si="288"/>
        <v>12041</v>
      </c>
      <c r="BS56" s="127">
        <f t="shared" si="288"/>
        <v>8220</v>
      </c>
      <c r="BT56" s="127">
        <f t="shared" si="288"/>
        <v>18657</v>
      </c>
      <c r="BU56" s="127">
        <f t="shared" si="288"/>
        <v>16483</v>
      </c>
      <c r="BV56" s="127">
        <f t="shared" si="288"/>
        <v>17481</v>
      </c>
      <c r="BW56" s="127">
        <f t="shared" si="288"/>
        <v>21444</v>
      </c>
      <c r="BX56" s="127">
        <f t="shared" si="288"/>
        <v>17179</v>
      </c>
      <c r="BY56" s="127">
        <f t="shared" si="288"/>
        <v>16042</v>
      </c>
      <c r="BZ56" s="127">
        <f t="shared" si="288"/>
        <v>19533</v>
      </c>
      <c r="CA56" s="127"/>
      <c r="CB56" s="127">
        <f t="shared" ref="CB56:CM56" si="289">CB15</f>
        <v>21792</v>
      </c>
      <c r="CC56" s="127">
        <f t="shared" si="289"/>
        <v>25275</v>
      </c>
      <c r="CD56" s="127">
        <f t="shared" si="289"/>
        <v>21096</v>
      </c>
      <c r="CE56" s="127">
        <f t="shared" si="289"/>
        <v>33056</v>
      </c>
      <c r="CF56" s="127">
        <f t="shared" si="289"/>
        <v>21362</v>
      </c>
      <c r="CG56" s="127">
        <f t="shared" si="289"/>
        <v>24624</v>
      </c>
      <c r="CH56" s="127">
        <f t="shared" si="289"/>
        <v>23231</v>
      </c>
      <c r="CI56" s="127">
        <f t="shared" si="289"/>
        <v>24672</v>
      </c>
      <c r="CJ56" s="127">
        <f t="shared" si="289"/>
        <v>29530</v>
      </c>
      <c r="CK56" s="127">
        <f t="shared" si="289"/>
        <v>32311</v>
      </c>
      <c r="CL56" s="127">
        <f t="shared" si="289"/>
        <v>28547</v>
      </c>
      <c r="CM56" s="127">
        <f t="shared" si="289"/>
        <v>35999</v>
      </c>
      <c r="CN56" s="127"/>
      <c r="CO56" s="127">
        <f t="shared" ref="CO56:CZ56" si="290">CO15</f>
        <v>34130</v>
      </c>
      <c r="CP56" s="127">
        <f t="shared" si="290"/>
        <v>36529</v>
      </c>
      <c r="CQ56" s="127">
        <f t="shared" si="290"/>
        <v>37346</v>
      </c>
      <c r="CR56" s="127">
        <f t="shared" si="290"/>
        <v>33571</v>
      </c>
      <c r="CS56" s="127">
        <f t="shared" si="290"/>
        <v>49202</v>
      </c>
      <c r="CT56" s="127">
        <f t="shared" si="290"/>
        <v>34933</v>
      </c>
      <c r="CU56" s="127">
        <f t="shared" si="290"/>
        <v>35448</v>
      </c>
      <c r="CV56" s="127">
        <f t="shared" si="290"/>
        <v>32116</v>
      </c>
      <c r="CW56" s="127">
        <f t="shared" si="290"/>
        <v>38800</v>
      </c>
      <c r="CX56" s="127">
        <f t="shared" si="290"/>
        <v>35127</v>
      </c>
      <c r="CY56" s="127">
        <f t="shared" si="290"/>
        <v>27868</v>
      </c>
      <c r="CZ56" s="127">
        <f t="shared" si="290"/>
        <v>40493</v>
      </c>
      <c r="DA56" s="127"/>
      <c r="DB56" s="127">
        <f t="shared" ref="DB56:DM56" si="291">DB15</f>
        <v>33239</v>
      </c>
      <c r="DC56" s="127">
        <f t="shared" si="291"/>
        <v>36467</v>
      </c>
      <c r="DD56" s="127">
        <f t="shared" si="291"/>
        <v>31931</v>
      </c>
      <c r="DE56" s="127">
        <f t="shared" si="291"/>
        <v>41202</v>
      </c>
      <c r="DF56" s="127">
        <f t="shared" si="291"/>
        <v>41641</v>
      </c>
      <c r="DG56" s="127">
        <f t="shared" si="291"/>
        <v>30609</v>
      </c>
      <c r="DH56" s="127">
        <f t="shared" si="291"/>
        <v>23706</v>
      </c>
      <c r="DI56" s="127">
        <f t="shared" si="291"/>
        <v>33028</v>
      </c>
      <c r="DJ56" s="127">
        <f t="shared" si="291"/>
        <v>27112</v>
      </c>
      <c r="DK56" s="127">
        <f t="shared" si="291"/>
        <v>30858</v>
      </c>
      <c r="DL56" s="127">
        <f t="shared" si="291"/>
        <v>32479</v>
      </c>
      <c r="DM56" s="127">
        <f t="shared" si="291"/>
        <v>27808</v>
      </c>
      <c r="DN56" s="127"/>
      <c r="DO56" s="127">
        <f t="shared" ref="DO56:DZ56" si="292">DO15</f>
        <v>24148</v>
      </c>
      <c r="DP56" s="127">
        <f t="shared" si="292"/>
        <v>40281</v>
      </c>
      <c r="DQ56" s="127">
        <f t="shared" si="292"/>
        <v>30009</v>
      </c>
      <c r="DR56" s="127">
        <f t="shared" si="292"/>
        <v>28265</v>
      </c>
      <c r="DS56" s="127">
        <f t="shared" si="292"/>
        <v>41259</v>
      </c>
      <c r="DT56" s="127">
        <f t="shared" si="292"/>
        <v>32273</v>
      </c>
      <c r="DU56" s="127">
        <f t="shared" si="292"/>
        <v>30595</v>
      </c>
      <c r="DV56" s="127">
        <f t="shared" si="292"/>
        <v>31591</v>
      </c>
      <c r="DW56" s="127">
        <f t="shared" si="292"/>
        <v>37132</v>
      </c>
      <c r="DX56" s="127">
        <f t="shared" si="292"/>
        <v>34847</v>
      </c>
      <c r="DY56" s="127">
        <f t="shared" si="292"/>
        <v>32872</v>
      </c>
      <c r="DZ56" s="127">
        <f t="shared" si="292"/>
        <v>39506</v>
      </c>
      <c r="EA56" s="127"/>
      <c r="EB56" s="127">
        <f>EB15</f>
        <v>29485</v>
      </c>
      <c r="EC56" s="127">
        <f>EC15</f>
        <v>48705</v>
      </c>
      <c r="ED56" s="127">
        <f>ED15</f>
        <v>33609</v>
      </c>
      <c r="EE56" s="127">
        <f>EE15</f>
        <v>32140</v>
      </c>
      <c r="EF56" s="127">
        <f>EF15</f>
        <v>47589</v>
      </c>
      <c r="EG56" s="127">
        <f t="shared" ref="EG56:EM56" si="293">EG15</f>
        <v>34432</v>
      </c>
      <c r="EH56" s="127">
        <f t="shared" si="293"/>
        <v>36019</v>
      </c>
      <c r="EI56" s="127">
        <f t="shared" si="293"/>
        <v>34656</v>
      </c>
      <c r="EJ56" s="127">
        <f t="shared" si="293"/>
        <v>34142</v>
      </c>
      <c r="EK56" s="127">
        <f t="shared" si="293"/>
        <v>35611</v>
      </c>
      <c r="EL56" s="127">
        <f t="shared" si="293"/>
        <v>33444</v>
      </c>
      <c r="EM56" s="127">
        <f t="shared" si="293"/>
        <v>32394</v>
      </c>
      <c r="EN56" s="127"/>
      <c r="EO56" s="127">
        <f t="shared" ref="EO56:EV56" si="294">EO15</f>
        <v>29170</v>
      </c>
      <c r="EP56" s="127">
        <f t="shared" si="294"/>
        <v>42461</v>
      </c>
      <c r="EQ56" s="127">
        <f t="shared" si="294"/>
        <v>35669</v>
      </c>
      <c r="ER56" s="127">
        <f t="shared" si="294"/>
        <v>45055</v>
      </c>
      <c r="ES56" s="127">
        <f t="shared" si="294"/>
        <v>49880</v>
      </c>
      <c r="ET56" s="127">
        <f t="shared" si="294"/>
        <v>46164</v>
      </c>
      <c r="EU56" s="127">
        <f t="shared" si="294"/>
        <v>44672</v>
      </c>
      <c r="EV56" s="954">
        <f t="shared" si="294"/>
        <v>35944</v>
      </c>
      <c r="EW56" s="127"/>
      <c r="EX56" s="127"/>
      <c r="EY56" s="127"/>
      <c r="EZ56" s="127"/>
      <c r="FA56" s="127"/>
      <c r="FC56" s="127"/>
      <c r="FD56" s="127"/>
      <c r="FE56" s="127">
        <f>FE15</f>
        <v>296635</v>
      </c>
      <c r="FF56" s="127">
        <f>FF15</f>
        <v>329015</v>
      </c>
    </row>
    <row r="57" spans="1:163" ht="15" customHeight="1" x14ac:dyDescent="0.25">
      <c r="A57" s="407" t="s">
        <v>291</v>
      </c>
      <c r="B57" s="102">
        <v>2015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4" t="s">
        <v>83</v>
      </c>
      <c r="O57" s="102">
        <v>2016</v>
      </c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4" t="s">
        <v>83</v>
      </c>
      <c r="AB57" s="102">
        <v>2017</v>
      </c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4" t="s">
        <v>83</v>
      </c>
      <c r="AO57" s="102">
        <v>2018</v>
      </c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4" t="s">
        <v>83</v>
      </c>
      <c r="BB57" s="102">
        <v>2019</v>
      </c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3"/>
      <c r="BN57" s="104" t="s">
        <v>83</v>
      </c>
      <c r="BO57" s="102">
        <v>2020</v>
      </c>
      <c r="BP57" s="103"/>
      <c r="BQ57" s="103"/>
      <c r="BR57" s="103"/>
      <c r="BS57" s="103"/>
      <c r="BT57" s="103"/>
      <c r="BU57" s="103"/>
      <c r="BV57" s="103"/>
      <c r="BW57" s="103"/>
      <c r="BX57" s="103"/>
      <c r="BY57" s="103"/>
      <c r="BZ57" s="103"/>
      <c r="CA57" s="104" t="s">
        <v>83</v>
      </c>
      <c r="CB57" s="102">
        <v>2021</v>
      </c>
      <c r="CC57" s="103"/>
      <c r="CD57" s="103"/>
      <c r="CE57" s="103"/>
      <c r="CF57" s="103"/>
      <c r="CG57" s="103"/>
      <c r="CH57" s="103"/>
      <c r="CI57" s="103"/>
      <c r="CJ57" s="103"/>
      <c r="CK57" s="103"/>
      <c r="CL57" s="103"/>
      <c r="CM57" s="103"/>
      <c r="CN57" s="104" t="s">
        <v>83</v>
      </c>
      <c r="CO57" s="102">
        <v>2022</v>
      </c>
      <c r="CP57" s="103"/>
      <c r="CQ57" s="103"/>
      <c r="CR57" s="103"/>
      <c r="CS57" s="103"/>
      <c r="CT57" s="103"/>
      <c r="CU57" s="103"/>
      <c r="CV57" s="103"/>
      <c r="CW57" s="103"/>
      <c r="CX57" s="103"/>
      <c r="CY57" s="103"/>
      <c r="CZ57" s="103"/>
      <c r="DA57" s="104" t="s">
        <v>83</v>
      </c>
      <c r="DB57" s="102">
        <v>2023</v>
      </c>
      <c r="DC57" s="103"/>
      <c r="DD57" s="103"/>
      <c r="DE57" s="103"/>
      <c r="DF57" s="103"/>
      <c r="DG57" s="103"/>
      <c r="DH57" s="103"/>
      <c r="DI57" s="103"/>
      <c r="DJ57" s="103"/>
      <c r="DK57" s="103"/>
      <c r="DL57" s="103"/>
      <c r="DM57" s="103"/>
      <c r="DN57" s="104" t="s">
        <v>83</v>
      </c>
      <c r="DO57" s="102">
        <v>2024</v>
      </c>
      <c r="DP57" s="103"/>
      <c r="DQ57" s="103"/>
      <c r="DR57" s="103"/>
      <c r="DS57" s="103"/>
      <c r="DT57" s="103"/>
      <c r="DU57" s="103"/>
      <c r="DV57" s="103"/>
      <c r="DW57" s="103"/>
      <c r="DX57" s="103"/>
      <c r="DY57" s="103"/>
      <c r="DZ57" s="103"/>
      <c r="EA57" s="104" t="s">
        <v>83</v>
      </c>
      <c r="EB57" s="102">
        <v>2025</v>
      </c>
      <c r="EC57" s="103"/>
      <c r="ED57" s="103"/>
      <c r="EE57" s="103"/>
      <c r="EF57" s="103"/>
      <c r="EG57" s="103"/>
      <c r="EH57" s="103"/>
      <c r="EI57" s="103"/>
      <c r="EJ57" s="103"/>
      <c r="EK57" s="103"/>
      <c r="EL57" s="103"/>
      <c r="EM57" s="103"/>
      <c r="EN57" s="104" t="s">
        <v>83</v>
      </c>
      <c r="EO57" s="102">
        <v>2026</v>
      </c>
      <c r="EP57" s="103"/>
      <c r="EQ57" s="103"/>
      <c r="ER57" s="103"/>
      <c r="ES57" s="103"/>
      <c r="ET57" s="103"/>
      <c r="EU57" s="103"/>
      <c r="EV57" s="948"/>
      <c r="EW57" s="103"/>
      <c r="EX57" s="103"/>
      <c r="EY57" s="103"/>
      <c r="EZ57" s="103"/>
      <c r="FA57" s="104" t="s">
        <v>83</v>
      </c>
      <c r="FC57" s="982" t="str">
        <f>CONCATENATE("Var.% ",FF57,"/",FE57)</f>
        <v>Var.% 2026/2025</v>
      </c>
      <c r="FD57" s="983"/>
      <c r="FE57" s="105">
        <f>FF57-1</f>
        <v>2025</v>
      </c>
      <c r="FF57" s="105">
        <f>YEAR(FC58)</f>
        <v>2026</v>
      </c>
      <c r="FG57" s="311"/>
    </row>
    <row r="58" spans="1:163" ht="15" customHeight="1" x14ac:dyDescent="0.25">
      <c r="A58" s="232"/>
      <c r="B58" s="106">
        <v>42005</v>
      </c>
      <c r="C58" s="107">
        <v>42036</v>
      </c>
      <c r="D58" s="107">
        <v>42064</v>
      </c>
      <c r="E58" s="107">
        <v>42095</v>
      </c>
      <c r="F58" s="107">
        <v>42125</v>
      </c>
      <c r="G58" s="107">
        <v>42156</v>
      </c>
      <c r="H58" s="107">
        <v>42186</v>
      </c>
      <c r="I58" s="107">
        <v>42217</v>
      </c>
      <c r="J58" s="107">
        <v>42248</v>
      </c>
      <c r="K58" s="107">
        <v>42278</v>
      </c>
      <c r="L58" s="107">
        <v>42309</v>
      </c>
      <c r="M58" s="107">
        <v>42339</v>
      </c>
      <c r="N58" s="108">
        <f t="shared" ref="N58" si="295">YEAR(M58)</f>
        <v>2015</v>
      </c>
      <c r="O58" s="106">
        <v>42370</v>
      </c>
      <c r="P58" s="107">
        <v>42401</v>
      </c>
      <c r="Q58" s="107">
        <v>42430</v>
      </c>
      <c r="R58" s="107">
        <v>42461</v>
      </c>
      <c r="S58" s="107">
        <v>42491</v>
      </c>
      <c r="T58" s="107">
        <v>42522</v>
      </c>
      <c r="U58" s="107">
        <v>42552</v>
      </c>
      <c r="V58" s="107">
        <v>42583</v>
      </c>
      <c r="W58" s="107">
        <v>42614</v>
      </c>
      <c r="X58" s="107">
        <v>42644</v>
      </c>
      <c r="Y58" s="107">
        <v>42675</v>
      </c>
      <c r="Z58" s="107">
        <v>42705</v>
      </c>
      <c r="AA58" s="108">
        <f t="shared" ref="AA58" si="296">YEAR(Z58)</f>
        <v>2016</v>
      </c>
      <c r="AB58" s="106">
        <v>42736</v>
      </c>
      <c r="AC58" s="107">
        <v>42767</v>
      </c>
      <c r="AD58" s="107">
        <v>42795</v>
      </c>
      <c r="AE58" s="107">
        <v>42826</v>
      </c>
      <c r="AF58" s="107">
        <v>42856</v>
      </c>
      <c r="AG58" s="107">
        <v>42887</v>
      </c>
      <c r="AH58" s="107">
        <v>42917</v>
      </c>
      <c r="AI58" s="107">
        <v>42948</v>
      </c>
      <c r="AJ58" s="107">
        <v>42979</v>
      </c>
      <c r="AK58" s="107">
        <v>43009</v>
      </c>
      <c r="AL58" s="107">
        <v>43040</v>
      </c>
      <c r="AM58" s="107">
        <v>43070</v>
      </c>
      <c r="AN58" s="108">
        <f t="shared" ref="AN58" si="297">YEAR(AM58)</f>
        <v>2017</v>
      </c>
      <c r="AO58" s="106">
        <v>43101</v>
      </c>
      <c r="AP58" s="107">
        <v>43132</v>
      </c>
      <c r="AQ58" s="107">
        <v>43160</v>
      </c>
      <c r="AR58" s="107">
        <v>43191</v>
      </c>
      <c r="AS58" s="107">
        <v>43221</v>
      </c>
      <c r="AT58" s="107">
        <v>43252</v>
      </c>
      <c r="AU58" s="107">
        <v>43282</v>
      </c>
      <c r="AV58" s="107">
        <v>43313</v>
      </c>
      <c r="AW58" s="107">
        <v>43344</v>
      </c>
      <c r="AX58" s="107">
        <v>43374</v>
      </c>
      <c r="AY58" s="107">
        <v>43405</v>
      </c>
      <c r="AZ58" s="107">
        <v>43435</v>
      </c>
      <c r="BA58" s="108">
        <f t="shared" ref="BA58" si="298">YEAR(AZ58)</f>
        <v>2018</v>
      </c>
      <c r="BB58" s="106">
        <v>43466</v>
      </c>
      <c r="BC58" s="107">
        <v>43497</v>
      </c>
      <c r="BD58" s="107">
        <v>43525</v>
      </c>
      <c r="BE58" s="107">
        <v>43556</v>
      </c>
      <c r="BF58" s="107">
        <v>43586</v>
      </c>
      <c r="BG58" s="107">
        <v>43617</v>
      </c>
      <c r="BH58" s="107">
        <v>43647</v>
      </c>
      <c r="BI58" s="107">
        <v>43678</v>
      </c>
      <c r="BJ58" s="107">
        <v>43709</v>
      </c>
      <c r="BK58" s="107">
        <v>43739</v>
      </c>
      <c r="BL58" s="107">
        <v>43770</v>
      </c>
      <c r="BM58" s="107">
        <v>43800</v>
      </c>
      <c r="BN58" s="108">
        <f t="shared" ref="BN58" si="299">YEAR(BM58)</f>
        <v>2019</v>
      </c>
      <c r="BO58" s="106">
        <v>43831</v>
      </c>
      <c r="BP58" s="107">
        <v>43862</v>
      </c>
      <c r="BQ58" s="107">
        <v>43891</v>
      </c>
      <c r="BR58" s="107">
        <v>43922</v>
      </c>
      <c r="BS58" s="107">
        <v>43952</v>
      </c>
      <c r="BT58" s="107">
        <v>43983</v>
      </c>
      <c r="BU58" s="107">
        <v>44013</v>
      </c>
      <c r="BV58" s="107">
        <v>44044</v>
      </c>
      <c r="BW58" s="107">
        <v>44075</v>
      </c>
      <c r="BX58" s="107">
        <v>44105</v>
      </c>
      <c r="BY58" s="107">
        <v>44136</v>
      </c>
      <c r="BZ58" s="107">
        <v>44166</v>
      </c>
      <c r="CA58" s="108">
        <f t="shared" ref="CA58" si="300">YEAR(BZ58)</f>
        <v>2020</v>
      </c>
      <c r="CB58" s="106">
        <v>44197</v>
      </c>
      <c r="CC58" s="107">
        <v>44228</v>
      </c>
      <c r="CD58" s="107">
        <v>44256</v>
      </c>
      <c r="CE58" s="107">
        <v>44287</v>
      </c>
      <c r="CF58" s="107">
        <v>44317</v>
      </c>
      <c r="CG58" s="107">
        <v>44348</v>
      </c>
      <c r="CH58" s="107">
        <v>44378</v>
      </c>
      <c r="CI58" s="107">
        <v>44409</v>
      </c>
      <c r="CJ58" s="107">
        <v>44440</v>
      </c>
      <c r="CK58" s="107">
        <v>44470</v>
      </c>
      <c r="CL58" s="107">
        <v>44501</v>
      </c>
      <c r="CM58" s="107">
        <v>44531</v>
      </c>
      <c r="CN58" s="108">
        <f t="shared" ref="CN58" si="301">YEAR(CM58)</f>
        <v>2021</v>
      </c>
      <c r="CO58" s="106">
        <v>44562</v>
      </c>
      <c r="CP58" s="107">
        <v>44593</v>
      </c>
      <c r="CQ58" s="107">
        <v>44621</v>
      </c>
      <c r="CR58" s="107">
        <v>44652</v>
      </c>
      <c r="CS58" s="107">
        <v>44682</v>
      </c>
      <c r="CT58" s="107">
        <v>44713</v>
      </c>
      <c r="CU58" s="107">
        <v>44743</v>
      </c>
      <c r="CV58" s="107">
        <v>44774</v>
      </c>
      <c r="CW58" s="107">
        <v>44805</v>
      </c>
      <c r="CX58" s="107">
        <v>44835</v>
      </c>
      <c r="CY58" s="107">
        <v>44866</v>
      </c>
      <c r="CZ58" s="107">
        <v>44896</v>
      </c>
      <c r="DA58" s="108">
        <f t="shared" ref="DA58" si="302">YEAR(CZ58)</f>
        <v>2022</v>
      </c>
      <c r="DB58" s="106">
        <v>44927</v>
      </c>
      <c r="DC58" s="107">
        <v>44958</v>
      </c>
      <c r="DD58" s="107">
        <v>44986</v>
      </c>
      <c r="DE58" s="107">
        <v>45017</v>
      </c>
      <c r="DF58" s="107">
        <v>45047</v>
      </c>
      <c r="DG58" s="107">
        <v>45078</v>
      </c>
      <c r="DH58" s="107">
        <v>45108</v>
      </c>
      <c r="DI58" s="107">
        <v>45139</v>
      </c>
      <c r="DJ58" s="107">
        <v>45170</v>
      </c>
      <c r="DK58" s="107">
        <v>45200</v>
      </c>
      <c r="DL58" s="107">
        <v>45231</v>
      </c>
      <c r="DM58" s="107">
        <v>45261</v>
      </c>
      <c r="DN58" s="108">
        <f t="shared" ref="DN58" si="303">YEAR(DM58)</f>
        <v>2023</v>
      </c>
      <c r="DO58" s="106">
        <v>45292</v>
      </c>
      <c r="DP58" s="107">
        <v>45323</v>
      </c>
      <c r="DQ58" s="107">
        <v>45352</v>
      </c>
      <c r="DR58" s="107">
        <v>45383</v>
      </c>
      <c r="DS58" s="107">
        <v>45413</v>
      </c>
      <c r="DT58" s="107">
        <v>45444</v>
      </c>
      <c r="DU58" s="107">
        <v>45474</v>
      </c>
      <c r="DV58" s="107">
        <v>45505</v>
      </c>
      <c r="DW58" s="107">
        <v>45536</v>
      </c>
      <c r="DX58" s="107">
        <v>45566</v>
      </c>
      <c r="DY58" s="107">
        <v>45597</v>
      </c>
      <c r="DZ58" s="107">
        <v>45627</v>
      </c>
      <c r="EA58" s="108">
        <f t="shared" ref="EA58" si="304">YEAR(DZ58)</f>
        <v>2024</v>
      </c>
      <c r="EB58" s="106">
        <v>45658</v>
      </c>
      <c r="EC58" s="107">
        <v>45689</v>
      </c>
      <c r="ED58" s="107">
        <v>45717</v>
      </c>
      <c r="EE58" s="107">
        <v>45748</v>
      </c>
      <c r="EF58" s="107">
        <v>45778</v>
      </c>
      <c r="EG58" s="107">
        <v>45809</v>
      </c>
      <c r="EH58" s="107">
        <v>45839</v>
      </c>
      <c r="EI58" s="107">
        <v>45870</v>
      </c>
      <c r="EJ58" s="107">
        <v>45901</v>
      </c>
      <c r="EK58" s="107">
        <v>45931</v>
      </c>
      <c r="EL58" s="107">
        <v>45962</v>
      </c>
      <c r="EM58" s="107">
        <v>45992</v>
      </c>
      <c r="EN58" s="108">
        <f>YEAR(EM58)</f>
        <v>2025</v>
      </c>
      <c r="EO58" s="106">
        <v>46023</v>
      </c>
      <c r="EP58" s="107">
        <v>46054</v>
      </c>
      <c r="EQ58" s="107">
        <v>46082</v>
      </c>
      <c r="ER58" s="107">
        <v>46113</v>
      </c>
      <c r="ES58" s="107">
        <v>46143</v>
      </c>
      <c r="ET58" s="107">
        <v>46174</v>
      </c>
      <c r="EU58" s="107">
        <v>46204</v>
      </c>
      <c r="EV58" s="949">
        <v>46235</v>
      </c>
      <c r="EW58" s="107">
        <v>46266</v>
      </c>
      <c r="EX58" s="107">
        <v>46296</v>
      </c>
      <c r="EY58" s="107">
        <v>46327</v>
      </c>
      <c r="EZ58" s="107">
        <v>46357</v>
      </c>
      <c r="FA58" s="108">
        <f>YEAR(EZ58)</f>
        <v>2026</v>
      </c>
      <c r="FC58" s="106">
        <f>$EV$58</f>
        <v>46235</v>
      </c>
      <c r="FD58" s="109" t="str">
        <f>CONCATENATE("Ene.-",TEXT(FC58,"MMM."))</f>
        <v>Ene.-Ago.</v>
      </c>
      <c r="FE58" s="109" t="str">
        <f>FD58</f>
        <v>Ene.-Ago.</v>
      </c>
      <c r="FF58" s="109" t="str">
        <f>FD58</f>
        <v>Ene.-Ago.</v>
      </c>
      <c r="FG58" s="151"/>
    </row>
    <row r="59" spans="1:163" ht="15" customHeight="1" x14ac:dyDescent="0.25">
      <c r="A59" s="312" t="s">
        <v>299</v>
      </c>
      <c r="B59" s="285">
        <f t="shared" ref="B59:AM59" si="305">SUM(B60+B83)</f>
        <v>14734.955</v>
      </c>
      <c r="C59" s="286">
        <f t="shared" si="305"/>
        <v>19461</v>
      </c>
      <c r="D59" s="286">
        <f t="shared" si="305"/>
        <v>20170.699000000001</v>
      </c>
      <c r="E59" s="286">
        <f t="shared" si="305"/>
        <v>17731</v>
      </c>
      <c r="F59" s="286">
        <f t="shared" si="305"/>
        <v>31975</v>
      </c>
      <c r="G59" s="286">
        <f t="shared" si="305"/>
        <v>25300</v>
      </c>
      <c r="H59" s="286">
        <f t="shared" si="305"/>
        <v>18214</v>
      </c>
      <c r="I59" s="286">
        <f t="shared" si="305"/>
        <v>21165</v>
      </c>
      <c r="J59" s="286">
        <f t="shared" si="305"/>
        <v>16350</v>
      </c>
      <c r="K59" s="286">
        <f t="shared" si="305"/>
        <v>16587</v>
      </c>
      <c r="L59" s="286">
        <f t="shared" si="305"/>
        <v>26365</v>
      </c>
      <c r="M59" s="287">
        <f t="shared" si="305"/>
        <v>19123</v>
      </c>
      <c r="N59" s="287">
        <f t="shared" ref="N59:N81" si="306">SUM(B59:M59)</f>
        <v>247176.65400000001</v>
      </c>
      <c r="O59" s="286">
        <f t="shared" si="305"/>
        <v>16699</v>
      </c>
      <c r="P59" s="286">
        <f t="shared" si="305"/>
        <v>7025</v>
      </c>
      <c r="Q59" s="286">
        <f t="shared" si="305"/>
        <v>30883</v>
      </c>
      <c r="R59" s="286">
        <f t="shared" si="305"/>
        <v>14929</v>
      </c>
      <c r="S59" s="286">
        <f t="shared" si="305"/>
        <v>21647</v>
      </c>
      <c r="T59" s="286">
        <f t="shared" si="305"/>
        <v>16604</v>
      </c>
      <c r="U59" s="286">
        <f t="shared" si="305"/>
        <v>16598</v>
      </c>
      <c r="V59" s="286">
        <f t="shared" si="305"/>
        <v>14064</v>
      </c>
      <c r="W59" s="286">
        <f t="shared" si="305"/>
        <v>14611</v>
      </c>
      <c r="X59" s="286">
        <f t="shared" si="305"/>
        <v>16890</v>
      </c>
      <c r="Y59" s="286">
        <f t="shared" si="305"/>
        <v>25281</v>
      </c>
      <c r="Z59" s="287">
        <f t="shared" si="305"/>
        <v>15814</v>
      </c>
      <c r="AA59" s="286">
        <f t="shared" ref="AA59:AA81" si="307">SUM(O59:Z59)</f>
        <v>211045</v>
      </c>
      <c r="AB59" s="285">
        <f t="shared" si="305"/>
        <v>14223</v>
      </c>
      <c r="AC59" s="286">
        <f t="shared" si="305"/>
        <v>8226</v>
      </c>
      <c r="AD59" s="286">
        <f t="shared" si="305"/>
        <v>28770</v>
      </c>
      <c r="AE59" s="286">
        <f t="shared" si="305"/>
        <v>12983</v>
      </c>
      <c r="AF59" s="286">
        <f t="shared" si="305"/>
        <v>24380</v>
      </c>
      <c r="AG59" s="286">
        <f t="shared" si="305"/>
        <v>15117</v>
      </c>
      <c r="AH59" s="286">
        <f t="shared" si="305"/>
        <v>13830</v>
      </c>
      <c r="AI59" s="286">
        <f t="shared" si="305"/>
        <v>17188</v>
      </c>
      <c r="AJ59" s="286">
        <f t="shared" si="305"/>
        <v>17570</v>
      </c>
      <c r="AK59" s="286">
        <f t="shared" si="305"/>
        <v>23846</v>
      </c>
      <c r="AL59" s="286">
        <f t="shared" si="305"/>
        <v>18403</v>
      </c>
      <c r="AM59" s="286">
        <f t="shared" si="305"/>
        <v>21875</v>
      </c>
      <c r="AN59" s="288">
        <f t="shared" ref="AN59:AN81" si="308">SUM(AB59:AM59)</f>
        <v>216411</v>
      </c>
      <c r="AO59" s="285">
        <f t="shared" ref="AO59:AZ59" si="309">SUM(AO60+AO83)</f>
        <v>11234</v>
      </c>
      <c r="AP59" s="286">
        <f t="shared" si="309"/>
        <v>22648</v>
      </c>
      <c r="AQ59" s="286">
        <f t="shared" si="309"/>
        <v>19878</v>
      </c>
      <c r="AR59" s="286">
        <f t="shared" si="309"/>
        <v>24915</v>
      </c>
      <c r="AS59" s="286">
        <f t="shared" si="309"/>
        <v>14899</v>
      </c>
      <c r="AT59" s="286">
        <f t="shared" si="309"/>
        <v>22808</v>
      </c>
      <c r="AU59" s="286">
        <f t="shared" si="309"/>
        <v>13732</v>
      </c>
      <c r="AV59" s="286">
        <f t="shared" si="309"/>
        <v>15337</v>
      </c>
      <c r="AW59" s="286">
        <f t="shared" si="309"/>
        <v>12703</v>
      </c>
      <c r="AX59" s="286">
        <f t="shared" si="309"/>
        <v>33068</v>
      </c>
      <c r="AY59" s="286">
        <f t="shared" si="309"/>
        <v>19132</v>
      </c>
      <c r="AZ59" s="287">
        <f t="shared" si="309"/>
        <v>18301</v>
      </c>
      <c r="BA59" s="287">
        <f t="shared" ref="BA59:BA81" si="310">SUM(AO59:AZ59)</f>
        <v>228655</v>
      </c>
      <c r="BB59" s="286">
        <f t="shared" ref="BB59:BM59" si="311">SUM(BB60+BB83)</f>
        <v>14485</v>
      </c>
      <c r="BC59" s="286">
        <f t="shared" si="311"/>
        <v>23760</v>
      </c>
      <c r="BD59" s="286">
        <f t="shared" si="311"/>
        <v>17078</v>
      </c>
      <c r="BE59" s="286">
        <f t="shared" si="311"/>
        <v>15493</v>
      </c>
      <c r="BF59" s="286">
        <f t="shared" si="311"/>
        <v>22053</v>
      </c>
      <c r="BG59" s="286">
        <f t="shared" si="311"/>
        <v>20260</v>
      </c>
      <c r="BH59" s="286">
        <f t="shared" si="311"/>
        <v>17063</v>
      </c>
      <c r="BI59" s="286">
        <f t="shared" si="311"/>
        <v>16161</v>
      </c>
      <c r="BJ59" s="286">
        <f t="shared" si="311"/>
        <v>17904</v>
      </c>
      <c r="BK59" s="286">
        <f t="shared" si="311"/>
        <v>19347</v>
      </c>
      <c r="BL59" s="286">
        <f t="shared" si="311"/>
        <v>18379</v>
      </c>
      <c r="BM59" s="287">
        <f t="shared" si="311"/>
        <v>20058</v>
      </c>
      <c r="BN59" s="287">
        <f t="shared" ref="BN59:BN81" si="312">SUM(BB59:BM59)</f>
        <v>222041</v>
      </c>
      <c r="BO59" s="286">
        <f>SUM(BO60+BO83)</f>
        <v>15398</v>
      </c>
      <c r="BP59" s="286">
        <f>SUM(BP60+BP83)</f>
        <v>4565</v>
      </c>
      <c r="BQ59" s="286">
        <f>SUM(BQ60+BQ83)</f>
        <v>36453</v>
      </c>
      <c r="BR59" s="286">
        <f>SUM(BR60+BR83)</f>
        <v>12041</v>
      </c>
      <c r="BS59" s="286">
        <f t="shared" ref="BS59:BZ59" si="313">SUM(BS60+BS83)</f>
        <v>8220</v>
      </c>
      <c r="BT59" s="286">
        <f t="shared" si="313"/>
        <v>18657</v>
      </c>
      <c r="BU59" s="286">
        <f t="shared" si="313"/>
        <v>16483</v>
      </c>
      <c r="BV59" s="286">
        <f t="shared" si="313"/>
        <v>17481</v>
      </c>
      <c r="BW59" s="286">
        <f t="shared" si="313"/>
        <v>21444</v>
      </c>
      <c r="BX59" s="286">
        <f t="shared" si="313"/>
        <v>17179</v>
      </c>
      <c r="BY59" s="286">
        <f>SUM(BY60+BY83)</f>
        <v>16042</v>
      </c>
      <c r="BZ59" s="286">
        <f t="shared" si="313"/>
        <v>19533</v>
      </c>
      <c r="CA59" s="288">
        <f>SUM(BO59:BZ59)</f>
        <v>203496</v>
      </c>
      <c r="CB59" s="286">
        <f t="shared" ref="CB59:CM59" si="314">SUM(CB60+CB83)</f>
        <v>21792</v>
      </c>
      <c r="CC59" s="286">
        <f t="shared" si="314"/>
        <v>25275</v>
      </c>
      <c r="CD59" s="286">
        <f t="shared" si="314"/>
        <v>21096</v>
      </c>
      <c r="CE59" s="286">
        <f t="shared" si="314"/>
        <v>33056</v>
      </c>
      <c r="CF59" s="286">
        <f t="shared" si="314"/>
        <v>21362</v>
      </c>
      <c r="CG59" s="286">
        <f t="shared" si="314"/>
        <v>24624</v>
      </c>
      <c r="CH59" s="286">
        <f t="shared" si="314"/>
        <v>23231</v>
      </c>
      <c r="CI59" s="286">
        <f t="shared" si="314"/>
        <v>24672</v>
      </c>
      <c r="CJ59" s="286">
        <f t="shared" si="314"/>
        <v>29530</v>
      </c>
      <c r="CK59" s="286">
        <f t="shared" si="314"/>
        <v>32311</v>
      </c>
      <c r="CL59" s="286">
        <f t="shared" si="314"/>
        <v>28547</v>
      </c>
      <c r="CM59" s="287">
        <f t="shared" si="314"/>
        <v>35999</v>
      </c>
      <c r="CN59" s="287">
        <f>SUM(CB59:CM59)</f>
        <v>321495</v>
      </c>
      <c r="CO59" s="285">
        <f t="shared" ref="CO59:CZ59" si="315">SUM(CO60+CO83)</f>
        <v>34130</v>
      </c>
      <c r="CP59" s="286">
        <f t="shared" si="315"/>
        <v>36529</v>
      </c>
      <c r="CQ59" s="286">
        <f t="shared" si="315"/>
        <v>37346</v>
      </c>
      <c r="CR59" s="286">
        <f t="shared" si="315"/>
        <v>33571</v>
      </c>
      <c r="CS59" s="286">
        <f t="shared" si="315"/>
        <v>49202</v>
      </c>
      <c r="CT59" s="286">
        <f t="shared" si="315"/>
        <v>34933</v>
      </c>
      <c r="CU59" s="286">
        <f t="shared" si="315"/>
        <v>35448</v>
      </c>
      <c r="CV59" s="286">
        <f t="shared" si="315"/>
        <v>32116</v>
      </c>
      <c r="CW59" s="286">
        <f t="shared" si="315"/>
        <v>38800</v>
      </c>
      <c r="CX59" s="286">
        <f t="shared" si="315"/>
        <v>35127</v>
      </c>
      <c r="CY59" s="286">
        <f t="shared" si="315"/>
        <v>27868</v>
      </c>
      <c r="CZ59" s="287">
        <f t="shared" si="315"/>
        <v>40493</v>
      </c>
      <c r="DA59" s="288">
        <f>SUM(CO59:CZ59)</f>
        <v>435563</v>
      </c>
      <c r="DB59" s="285">
        <f t="shared" ref="DB59:DM59" si="316">SUM(DB60+DB83)</f>
        <v>33239</v>
      </c>
      <c r="DC59" s="286">
        <f t="shared" si="316"/>
        <v>36467</v>
      </c>
      <c r="DD59" s="286">
        <f t="shared" si="316"/>
        <v>31931</v>
      </c>
      <c r="DE59" s="286">
        <f t="shared" si="316"/>
        <v>41173</v>
      </c>
      <c r="DF59" s="286">
        <f t="shared" si="316"/>
        <v>41641</v>
      </c>
      <c r="DG59" s="286">
        <f t="shared" si="316"/>
        <v>30609</v>
      </c>
      <c r="DH59" s="286">
        <f t="shared" si="316"/>
        <v>23706</v>
      </c>
      <c r="DI59" s="286">
        <f t="shared" si="316"/>
        <v>33028</v>
      </c>
      <c r="DJ59" s="286">
        <f t="shared" si="316"/>
        <v>27112</v>
      </c>
      <c r="DK59" s="286">
        <f t="shared" si="316"/>
        <v>30858</v>
      </c>
      <c r="DL59" s="286">
        <f t="shared" si="316"/>
        <v>32479</v>
      </c>
      <c r="DM59" s="287">
        <f t="shared" si="316"/>
        <v>27808</v>
      </c>
      <c r="DN59" s="286">
        <f>SUM(DB59:DM59)</f>
        <v>390051</v>
      </c>
      <c r="DO59" s="285">
        <f t="shared" ref="DO59:DZ59" si="317">SUM(DO60+DO83)</f>
        <v>24148</v>
      </c>
      <c r="DP59" s="286">
        <f t="shared" si="317"/>
        <v>40281</v>
      </c>
      <c r="DQ59" s="286">
        <f t="shared" si="317"/>
        <v>30009</v>
      </c>
      <c r="DR59" s="286">
        <f t="shared" si="317"/>
        <v>28265</v>
      </c>
      <c r="DS59" s="286">
        <f t="shared" si="317"/>
        <v>41259</v>
      </c>
      <c r="DT59" s="286">
        <f t="shared" si="317"/>
        <v>32273</v>
      </c>
      <c r="DU59" s="286">
        <f t="shared" si="317"/>
        <v>30595</v>
      </c>
      <c r="DV59" s="286">
        <f t="shared" si="317"/>
        <v>31591</v>
      </c>
      <c r="DW59" s="286">
        <f t="shared" si="317"/>
        <v>37132</v>
      </c>
      <c r="DX59" s="286">
        <f t="shared" si="317"/>
        <v>34847</v>
      </c>
      <c r="DY59" s="286">
        <f t="shared" si="317"/>
        <v>32872</v>
      </c>
      <c r="DZ59" s="287">
        <f t="shared" si="317"/>
        <v>39506</v>
      </c>
      <c r="EA59" s="287">
        <f>SUM(DO59:DZ59)</f>
        <v>402778</v>
      </c>
      <c r="EB59" s="286">
        <f t="shared" ref="EB59:EM59" si="318">SUM(EB60+EB83)</f>
        <v>29485</v>
      </c>
      <c r="EC59" s="286">
        <f t="shared" si="318"/>
        <v>48705</v>
      </c>
      <c r="ED59" s="286">
        <f t="shared" si="318"/>
        <v>33609</v>
      </c>
      <c r="EE59" s="286">
        <f t="shared" si="318"/>
        <v>32140</v>
      </c>
      <c r="EF59" s="286">
        <f t="shared" si="318"/>
        <v>47589</v>
      </c>
      <c r="EG59" s="286">
        <f t="shared" si="318"/>
        <v>34432</v>
      </c>
      <c r="EH59" s="286">
        <f t="shared" si="318"/>
        <v>36019</v>
      </c>
      <c r="EI59" s="286">
        <f t="shared" si="318"/>
        <v>34656</v>
      </c>
      <c r="EJ59" s="286">
        <f t="shared" si="318"/>
        <v>34143</v>
      </c>
      <c r="EK59" s="286">
        <f t="shared" si="318"/>
        <v>35611</v>
      </c>
      <c r="EL59" s="286">
        <f t="shared" si="318"/>
        <v>33444</v>
      </c>
      <c r="EM59" s="286">
        <f t="shared" si="318"/>
        <v>32394</v>
      </c>
      <c r="EN59" s="288">
        <f>SUM(EB59:EM59)</f>
        <v>432227</v>
      </c>
      <c r="EO59" s="286">
        <f t="shared" ref="EO59:EV59" si="319">SUM(EO60+EO83)</f>
        <v>29170</v>
      </c>
      <c r="EP59" s="286">
        <f t="shared" si="319"/>
        <v>42461</v>
      </c>
      <c r="EQ59" s="286">
        <f t="shared" si="319"/>
        <v>35669</v>
      </c>
      <c r="ER59" s="286">
        <f t="shared" si="319"/>
        <v>45055</v>
      </c>
      <c r="ES59" s="286">
        <f t="shared" si="319"/>
        <v>49296</v>
      </c>
      <c r="ET59" s="286">
        <f t="shared" si="319"/>
        <v>46164</v>
      </c>
      <c r="EU59" s="286">
        <v>44672</v>
      </c>
      <c r="EV59" s="965">
        <f t="shared" si="319"/>
        <v>35944</v>
      </c>
      <c r="EW59" s="286"/>
      <c r="EX59" s="286"/>
      <c r="EY59" s="286"/>
      <c r="EZ59" s="286"/>
      <c r="FA59" s="288">
        <f>SUM(EO59:EZ59)</f>
        <v>328431</v>
      </c>
      <c r="FC59" s="410">
        <f>IFERROR(((EV59/EI59)-1)*100,"-")</f>
        <v>3.7165281625115343</v>
      </c>
      <c r="FD59" s="293">
        <f>IFERROR(((FF59/FE59)-1)*100,"-")</f>
        <v>10.71889696091155</v>
      </c>
      <c r="FE59" s="288">
        <f>IFERROR(SUM(EB59:EI59),"-")</f>
        <v>296635</v>
      </c>
      <c r="FF59" s="288">
        <f>IFERROR(SUM(EO59:EZ59),"-")</f>
        <v>328431</v>
      </c>
      <c r="FG59" s="236"/>
    </row>
    <row r="60" spans="1:163" ht="15" customHeight="1" x14ac:dyDescent="0.25">
      <c r="A60" s="313" t="s">
        <v>439</v>
      </c>
      <c r="B60" s="242">
        <f t="shared" ref="B60:AM60" si="320">SUM(B61:B63,B69)</f>
        <v>14734.955</v>
      </c>
      <c r="C60" s="207">
        <f t="shared" si="320"/>
        <v>19461</v>
      </c>
      <c r="D60" s="207">
        <f t="shared" si="320"/>
        <v>20050.699000000001</v>
      </c>
      <c r="E60" s="207">
        <f t="shared" si="320"/>
        <v>16951</v>
      </c>
      <c r="F60" s="207">
        <f t="shared" si="320"/>
        <v>31975</v>
      </c>
      <c r="G60" s="207">
        <f t="shared" si="320"/>
        <v>21556</v>
      </c>
      <c r="H60" s="207">
        <f t="shared" si="320"/>
        <v>16165</v>
      </c>
      <c r="I60" s="207">
        <f t="shared" si="320"/>
        <v>17025</v>
      </c>
      <c r="J60" s="207">
        <f t="shared" si="320"/>
        <v>16000</v>
      </c>
      <c r="K60" s="207">
        <f t="shared" si="320"/>
        <v>16587</v>
      </c>
      <c r="L60" s="207">
        <f t="shared" si="320"/>
        <v>26234</v>
      </c>
      <c r="M60" s="243">
        <f t="shared" si="320"/>
        <v>18656</v>
      </c>
      <c r="N60" s="243">
        <f t="shared" si="306"/>
        <v>235395.65400000001</v>
      </c>
      <c r="O60" s="207">
        <f t="shared" si="320"/>
        <v>16200</v>
      </c>
      <c r="P60" s="294">
        <f t="shared" si="320"/>
        <v>6376</v>
      </c>
      <c r="Q60" s="294">
        <f t="shared" si="320"/>
        <v>27811</v>
      </c>
      <c r="R60" s="294">
        <f t="shared" si="320"/>
        <v>14929</v>
      </c>
      <c r="S60" s="294">
        <f t="shared" si="320"/>
        <v>21647</v>
      </c>
      <c r="T60" s="294">
        <f t="shared" si="320"/>
        <v>14647</v>
      </c>
      <c r="U60" s="294">
        <f t="shared" si="320"/>
        <v>16598</v>
      </c>
      <c r="V60" s="294">
        <f t="shared" si="320"/>
        <v>13777</v>
      </c>
      <c r="W60" s="294">
        <f t="shared" si="320"/>
        <v>14571</v>
      </c>
      <c r="X60" s="294">
        <f t="shared" si="320"/>
        <v>14923</v>
      </c>
      <c r="Y60" s="294">
        <f t="shared" si="320"/>
        <v>25281</v>
      </c>
      <c r="Z60" s="295">
        <f t="shared" si="320"/>
        <v>15814</v>
      </c>
      <c r="AA60" s="294">
        <f t="shared" si="307"/>
        <v>202574</v>
      </c>
      <c r="AB60" s="242">
        <f t="shared" si="320"/>
        <v>12872</v>
      </c>
      <c r="AC60" s="207">
        <f t="shared" si="320"/>
        <v>7226</v>
      </c>
      <c r="AD60" s="207">
        <f t="shared" si="320"/>
        <v>27365</v>
      </c>
      <c r="AE60" s="207">
        <f t="shared" si="320"/>
        <v>12983</v>
      </c>
      <c r="AF60" s="207">
        <f t="shared" si="320"/>
        <v>23880</v>
      </c>
      <c r="AG60" s="207">
        <f t="shared" si="320"/>
        <v>15117</v>
      </c>
      <c r="AH60" s="207">
        <f t="shared" si="320"/>
        <v>13330</v>
      </c>
      <c r="AI60" s="207">
        <f t="shared" si="320"/>
        <v>14333</v>
      </c>
      <c r="AJ60" s="207">
        <f t="shared" si="320"/>
        <v>17470</v>
      </c>
      <c r="AK60" s="207">
        <f t="shared" si="320"/>
        <v>23793</v>
      </c>
      <c r="AL60" s="207">
        <f t="shared" si="320"/>
        <v>17992</v>
      </c>
      <c r="AM60" s="207">
        <f t="shared" si="320"/>
        <v>17352</v>
      </c>
      <c r="AN60" s="314">
        <f t="shared" si="308"/>
        <v>203713</v>
      </c>
      <c r="AO60" s="242">
        <f t="shared" ref="AO60:AZ60" si="321">SUM(AO61:AO63,AO69)</f>
        <v>11234</v>
      </c>
      <c r="AP60" s="207">
        <f t="shared" si="321"/>
        <v>22648</v>
      </c>
      <c r="AQ60" s="207">
        <f t="shared" si="321"/>
        <v>15341</v>
      </c>
      <c r="AR60" s="207">
        <f t="shared" si="321"/>
        <v>22613</v>
      </c>
      <c r="AS60" s="207">
        <f t="shared" si="321"/>
        <v>14899</v>
      </c>
      <c r="AT60" s="207">
        <f t="shared" si="321"/>
        <v>22414</v>
      </c>
      <c r="AU60" s="207">
        <f t="shared" si="321"/>
        <v>13073</v>
      </c>
      <c r="AV60" s="207">
        <f t="shared" si="321"/>
        <v>15337</v>
      </c>
      <c r="AW60" s="207">
        <f t="shared" si="321"/>
        <v>12703</v>
      </c>
      <c r="AX60" s="207">
        <f t="shared" si="321"/>
        <v>33068</v>
      </c>
      <c r="AY60" s="207">
        <f t="shared" si="321"/>
        <v>19132</v>
      </c>
      <c r="AZ60" s="243">
        <f t="shared" si="321"/>
        <v>18167</v>
      </c>
      <c r="BA60" s="243">
        <f t="shared" si="310"/>
        <v>220629</v>
      </c>
      <c r="BB60" s="207">
        <f t="shared" ref="BB60:BM60" si="322">SUM(BB61:BB63,BB69)</f>
        <v>13885</v>
      </c>
      <c r="BC60" s="207">
        <f t="shared" si="322"/>
        <v>23760</v>
      </c>
      <c r="BD60" s="207">
        <f t="shared" si="322"/>
        <v>17078</v>
      </c>
      <c r="BE60" s="207">
        <f t="shared" si="322"/>
        <v>15493</v>
      </c>
      <c r="BF60" s="207">
        <f t="shared" si="322"/>
        <v>22053</v>
      </c>
      <c r="BG60" s="207">
        <f t="shared" si="322"/>
        <v>18275</v>
      </c>
      <c r="BH60" s="207">
        <f t="shared" si="322"/>
        <v>17063</v>
      </c>
      <c r="BI60" s="207">
        <f t="shared" si="322"/>
        <v>16161</v>
      </c>
      <c r="BJ60" s="207">
        <f t="shared" si="322"/>
        <v>17378</v>
      </c>
      <c r="BK60" s="207">
        <f t="shared" si="322"/>
        <v>18135</v>
      </c>
      <c r="BL60" s="207">
        <f t="shared" si="322"/>
        <v>18379</v>
      </c>
      <c r="BM60" s="243">
        <f t="shared" si="322"/>
        <v>20058</v>
      </c>
      <c r="BN60" s="243">
        <f t="shared" si="312"/>
        <v>217718</v>
      </c>
      <c r="BO60" s="207">
        <f>SUM(BO61:BO63,BO69)</f>
        <v>15398</v>
      </c>
      <c r="BP60" s="207">
        <f>SUM(BP61:BP63,BP69)</f>
        <v>4565</v>
      </c>
      <c r="BQ60" s="207">
        <f>SUM(BQ61:BQ63,BQ69)</f>
        <v>36453</v>
      </c>
      <c r="BR60" s="207">
        <f>SUM(BR61:BR63,BR69)</f>
        <v>12041</v>
      </c>
      <c r="BS60" s="207">
        <f t="shared" ref="BS60:BX60" si="323">SUM(BS61:BS63,BS69)</f>
        <v>8220</v>
      </c>
      <c r="BT60" s="207">
        <f t="shared" si="323"/>
        <v>18067</v>
      </c>
      <c r="BU60" s="207">
        <f t="shared" si="323"/>
        <v>14803</v>
      </c>
      <c r="BV60" s="207">
        <f t="shared" si="323"/>
        <v>16573</v>
      </c>
      <c r="BW60" s="207">
        <f t="shared" si="323"/>
        <v>21444</v>
      </c>
      <c r="BX60" s="207">
        <f t="shared" si="323"/>
        <v>17179</v>
      </c>
      <c r="BY60" s="207">
        <f>SUM(BY61:BY63,BY69)</f>
        <v>15472</v>
      </c>
      <c r="BZ60" s="207">
        <f>SUM(BZ61:BZ63,BZ69)</f>
        <v>19333</v>
      </c>
      <c r="CA60" s="200">
        <f>SUM(BO60:BZ60)</f>
        <v>199548</v>
      </c>
      <c r="CB60" s="207">
        <f>SUM(CB61:CB63,CB69)</f>
        <v>21792</v>
      </c>
      <c r="CC60" s="207">
        <f>SUM(CC61:CC63,CC69)</f>
        <v>25275</v>
      </c>
      <c r="CD60" s="207">
        <f>SUM(CD61:CD63,CD69)</f>
        <v>21096</v>
      </c>
      <c r="CE60" s="207">
        <f>SUM(CE61:CE63,CE69)</f>
        <v>33056</v>
      </c>
      <c r="CF60" s="207">
        <f t="shared" ref="CF60:CM60" si="324">SUM(CF61:CF63,CF69)</f>
        <v>21362</v>
      </c>
      <c r="CG60" s="207">
        <f t="shared" si="324"/>
        <v>24624</v>
      </c>
      <c r="CH60" s="207">
        <f t="shared" si="324"/>
        <v>23231</v>
      </c>
      <c r="CI60" s="207">
        <f t="shared" si="324"/>
        <v>24672</v>
      </c>
      <c r="CJ60" s="207">
        <f t="shared" si="324"/>
        <v>29530</v>
      </c>
      <c r="CK60" s="207">
        <f t="shared" si="324"/>
        <v>32311</v>
      </c>
      <c r="CL60" s="207">
        <f t="shared" si="324"/>
        <v>28547</v>
      </c>
      <c r="CM60" s="243">
        <f t="shared" si="324"/>
        <v>35999</v>
      </c>
      <c r="CN60" s="243">
        <f t="shared" ref="CN60:CN91" si="325">SUM(CB60:CM60)</f>
        <v>321495</v>
      </c>
      <c r="CO60" s="242">
        <f t="shared" ref="CO60:CZ60" si="326">SUM(CO61:CO63,CO69)</f>
        <v>34033</v>
      </c>
      <c r="CP60" s="207">
        <f t="shared" si="326"/>
        <v>36530</v>
      </c>
      <c r="CQ60" s="207">
        <f t="shared" si="326"/>
        <v>36246</v>
      </c>
      <c r="CR60" s="207">
        <f t="shared" si="326"/>
        <v>33571</v>
      </c>
      <c r="CS60" s="207">
        <f t="shared" si="326"/>
        <v>48192</v>
      </c>
      <c r="CT60" s="207">
        <f t="shared" si="326"/>
        <v>34633</v>
      </c>
      <c r="CU60" s="207">
        <f t="shared" si="326"/>
        <v>35448</v>
      </c>
      <c r="CV60" s="207">
        <f t="shared" si="326"/>
        <v>31730</v>
      </c>
      <c r="CW60" s="207">
        <f t="shared" si="326"/>
        <v>36624</v>
      </c>
      <c r="CX60" s="207">
        <f t="shared" si="326"/>
        <v>35005</v>
      </c>
      <c r="CY60" s="207">
        <f t="shared" si="326"/>
        <v>27868</v>
      </c>
      <c r="CZ60" s="243">
        <f t="shared" si="326"/>
        <v>32631</v>
      </c>
      <c r="DA60" s="200">
        <f t="shared" ref="DA60:DA90" si="327">SUM(CO60:CZ60)</f>
        <v>422511</v>
      </c>
      <c r="DB60" s="242">
        <f t="shared" ref="DB60:DM60" si="328">SUM(DB61:DB63,DB69)</f>
        <v>33240</v>
      </c>
      <c r="DC60" s="294">
        <f t="shared" si="328"/>
        <v>36467</v>
      </c>
      <c r="DD60" s="207">
        <f t="shared" si="328"/>
        <v>31931</v>
      </c>
      <c r="DE60" s="207">
        <f t="shared" si="328"/>
        <v>39232</v>
      </c>
      <c r="DF60" s="207">
        <f t="shared" si="328"/>
        <v>41641</v>
      </c>
      <c r="DG60" s="207">
        <f t="shared" si="328"/>
        <v>30609</v>
      </c>
      <c r="DH60" s="207">
        <f t="shared" si="328"/>
        <v>23706</v>
      </c>
      <c r="DI60" s="207">
        <f t="shared" si="328"/>
        <v>33028</v>
      </c>
      <c r="DJ60" s="207">
        <f t="shared" si="328"/>
        <v>26362</v>
      </c>
      <c r="DK60" s="207">
        <f t="shared" si="328"/>
        <v>30858</v>
      </c>
      <c r="DL60" s="207">
        <f t="shared" si="328"/>
        <v>30833</v>
      </c>
      <c r="DM60" s="243">
        <f t="shared" si="328"/>
        <v>27808</v>
      </c>
      <c r="DN60" s="207">
        <f t="shared" ref="DN60:DN91" si="329">SUM(DB60:DM60)</f>
        <v>385715</v>
      </c>
      <c r="DO60" s="242">
        <f t="shared" ref="DO60:DZ60" si="330">SUM(DO61:DO63,DO69)</f>
        <v>24148</v>
      </c>
      <c r="DP60" s="207">
        <f t="shared" si="330"/>
        <v>40281</v>
      </c>
      <c r="DQ60" s="207">
        <f t="shared" si="330"/>
        <v>30009</v>
      </c>
      <c r="DR60" s="207">
        <f t="shared" si="330"/>
        <v>28265</v>
      </c>
      <c r="DS60" s="207">
        <f t="shared" si="330"/>
        <v>41259</v>
      </c>
      <c r="DT60" s="207">
        <f t="shared" si="330"/>
        <v>31590</v>
      </c>
      <c r="DU60" s="207">
        <f t="shared" si="330"/>
        <v>30595</v>
      </c>
      <c r="DV60" s="207">
        <f t="shared" si="330"/>
        <v>31591</v>
      </c>
      <c r="DW60" s="207">
        <f t="shared" si="330"/>
        <v>33299</v>
      </c>
      <c r="DX60" s="207">
        <f t="shared" si="330"/>
        <v>34847</v>
      </c>
      <c r="DY60" s="207">
        <f t="shared" si="330"/>
        <v>32872</v>
      </c>
      <c r="DZ60" s="243">
        <f t="shared" si="330"/>
        <v>38212</v>
      </c>
      <c r="EA60" s="243">
        <f t="shared" ref="EA60:EA91" si="331">SUM(DO60:DZ60)</f>
        <v>396968</v>
      </c>
      <c r="EB60" s="207">
        <f t="shared" ref="EB60:EM60" si="332">SUM(EB61:EB63,EB69)</f>
        <v>29485</v>
      </c>
      <c r="EC60" s="207">
        <f t="shared" si="332"/>
        <v>48705</v>
      </c>
      <c r="ED60" s="207">
        <f t="shared" si="332"/>
        <v>33609</v>
      </c>
      <c r="EE60" s="207">
        <f t="shared" si="332"/>
        <v>32141</v>
      </c>
      <c r="EF60" s="207">
        <f t="shared" si="332"/>
        <v>46443</v>
      </c>
      <c r="EG60" s="207">
        <f t="shared" si="332"/>
        <v>33191</v>
      </c>
      <c r="EH60" s="207">
        <f t="shared" si="332"/>
        <v>32780</v>
      </c>
      <c r="EI60" s="207">
        <f t="shared" si="332"/>
        <v>34656</v>
      </c>
      <c r="EJ60" s="207">
        <f t="shared" si="332"/>
        <v>33143</v>
      </c>
      <c r="EK60" s="207">
        <f t="shared" si="332"/>
        <v>33449</v>
      </c>
      <c r="EL60" s="207">
        <f t="shared" si="332"/>
        <v>33516</v>
      </c>
      <c r="EM60" s="207">
        <f t="shared" si="332"/>
        <v>27899</v>
      </c>
      <c r="EN60" s="200">
        <f t="shared" ref="EN60:EN91" si="333">SUM(EB60:EM60)</f>
        <v>419017</v>
      </c>
      <c r="EO60" s="207">
        <f t="shared" ref="EO60:ER60" si="334">SUM(EO61:EO63,EO69)</f>
        <v>29170</v>
      </c>
      <c r="EP60" s="207">
        <f t="shared" si="334"/>
        <v>42683</v>
      </c>
      <c r="EQ60" s="207">
        <f t="shared" si="334"/>
        <v>35709</v>
      </c>
      <c r="ER60" s="207">
        <f t="shared" si="334"/>
        <v>33434</v>
      </c>
      <c r="ES60" s="207">
        <f>SUM(ES61:ES63,ES69)</f>
        <v>49296</v>
      </c>
      <c r="ET60" s="207">
        <f t="shared" ref="ET60" si="335">SUM(ET61:ET63,ET69)</f>
        <v>45357</v>
      </c>
      <c r="EU60" s="207">
        <v>41887</v>
      </c>
      <c r="EV60" s="966">
        <f>SUM(EV61:EV63,EV69)</f>
        <v>35944</v>
      </c>
      <c r="EW60" s="207"/>
      <c r="EX60" s="207"/>
      <c r="EY60" s="207"/>
      <c r="EZ60" s="207"/>
      <c r="FA60" s="200">
        <f t="shared" ref="FA60:FA91" si="336">SUM(EO60:EZ60)</f>
        <v>313480</v>
      </c>
      <c r="FC60" s="315">
        <f t="shared" ref="FC60:FC91" si="337">IFERROR(((EV60/EI60)-1)*100,"-")</f>
        <v>3.7165281625115343</v>
      </c>
      <c r="FD60" s="315">
        <f t="shared" ref="FD60:FD81" si="338">IFERROR(((FF60/FE60)-1)*100,"-")</f>
        <v>7.7213841448747544</v>
      </c>
      <c r="FE60" s="140">
        <f t="shared" ref="FE60:FE91" si="339">IFERROR(SUM(EB60:EI60),"-")</f>
        <v>291010</v>
      </c>
      <c r="FF60" s="140">
        <f t="shared" ref="FF60:FF91" si="340">IFERROR(SUM(EO60:EZ60),"-")</f>
        <v>313480</v>
      </c>
      <c r="FG60" s="142"/>
    </row>
    <row r="61" spans="1:163" ht="15" customHeight="1" x14ac:dyDescent="0.25">
      <c r="A61" s="303" t="s">
        <v>440</v>
      </c>
      <c r="B61" s="24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46"/>
      <c r="N61" s="246">
        <f t="shared" si="306"/>
        <v>0</v>
      </c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46"/>
      <c r="AA61" s="205">
        <f t="shared" si="307"/>
        <v>0</v>
      </c>
      <c r="AB61" s="24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2">
        <f t="shared" si="308"/>
        <v>0</v>
      </c>
      <c r="AO61" s="24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46"/>
      <c r="BA61" s="246">
        <f t="shared" si="310"/>
        <v>0</v>
      </c>
      <c r="BB61" s="205"/>
      <c r="BC61" s="205"/>
      <c r="BD61" s="205"/>
      <c r="BE61" s="205"/>
      <c r="BF61" s="205"/>
      <c r="BG61" s="205"/>
      <c r="BH61" s="205"/>
      <c r="BI61" s="205"/>
      <c r="BJ61" s="205"/>
      <c r="BK61" s="205"/>
      <c r="BL61" s="205"/>
      <c r="BM61" s="246"/>
      <c r="BN61" s="246">
        <f t="shared" si="312"/>
        <v>0</v>
      </c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5"/>
      <c r="BZ61" s="205"/>
      <c r="CA61" s="202">
        <f>SUM(BO61:BZ61)</f>
        <v>0</v>
      </c>
      <c r="CB61" s="205"/>
      <c r="CC61" s="205"/>
      <c r="CD61" s="205"/>
      <c r="CE61" s="205"/>
      <c r="CF61" s="205"/>
      <c r="CG61" s="205"/>
      <c r="CH61" s="205"/>
      <c r="CI61" s="205"/>
      <c r="CJ61" s="205"/>
      <c r="CK61" s="205"/>
      <c r="CL61" s="205"/>
      <c r="CM61" s="246"/>
      <c r="CN61" s="246">
        <f t="shared" si="325"/>
        <v>0</v>
      </c>
      <c r="CO61" s="245"/>
      <c r="CP61" s="205"/>
      <c r="CQ61" s="205"/>
      <c r="CR61" s="205"/>
      <c r="CS61" s="205"/>
      <c r="CT61" s="205"/>
      <c r="CU61" s="205"/>
      <c r="CV61" s="205"/>
      <c r="CW61" s="205"/>
      <c r="CX61" s="205"/>
      <c r="CY61" s="205"/>
      <c r="CZ61" s="246"/>
      <c r="DA61" s="202">
        <f t="shared" si="327"/>
        <v>0</v>
      </c>
      <c r="DB61" s="24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246"/>
      <c r="DN61" s="205">
        <f t="shared" si="329"/>
        <v>0</v>
      </c>
      <c r="DO61" s="245"/>
      <c r="DP61" s="205"/>
      <c r="DQ61" s="205"/>
      <c r="DR61" s="205"/>
      <c r="DS61" s="205"/>
      <c r="DT61" s="205"/>
      <c r="DU61" s="205"/>
      <c r="DV61" s="205"/>
      <c r="DW61" s="205"/>
      <c r="DX61" s="205"/>
      <c r="DY61" s="205"/>
      <c r="DZ61" s="246"/>
      <c r="EA61" s="246">
        <f t="shared" si="331"/>
        <v>0</v>
      </c>
      <c r="EB61" s="205">
        <v>0</v>
      </c>
      <c r="EC61" s="205">
        <v>0</v>
      </c>
      <c r="ED61" s="205">
        <v>0</v>
      </c>
      <c r="EE61" s="205">
        <v>0</v>
      </c>
      <c r="EF61" s="205">
        <v>0</v>
      </c>
      <c r="EG61" s="205">
        <v>0</v>
      </c>
      <c r="EH61" s="205">
        <v>0</v>
      </c>
      <c r="EI61" s="205">
        <v>0</v>
      </c>
      <c r="EJ61" s="205">
        <v>0</v>
      </c>
      <c r="EK61" s="205">
        <v>0</v>
      </c>
      <c r="EL61" s="205">
        <v>0</v>
      </c>
      <c r="EM61" s="205">
        <v>0</v>
      </c>
      <c r="EN61" s="202">
        <f t="shared" si="333"/>
        <v>0</v>
      </c>
      <c r="EO61" s="205">
        <v>0</v>
      </c>
      <c r="EP61" s="205">
        <v>0</v>
      </c>
      <c r="EQ61" s="205">
        <v>0</v>
      </c>
      <c r="ER61" s="205">
        <v>0</v>
      </c>
      <c r="ES61" s="205">
        <v>0</v>
      </c>
      <c r="ET61" s="205">
        <v>0</v>
      </c>
      <c r="EU61" s="205">
        <v>0</v>
      </c>
      <c r="EV61" s="963">
        <v>0</v>
      </c>
      <c r="EW61" s="205"/>
      <c r="EX61" s="205"/>
      <c r="EY61" s="205"/>
      <c r="EZ61" s="205"/>
      <c r="FA61" s="202">
        <f t="shared" si="336"/>
        <v>0</v>
      </c>
      <c r="FC61" s="316" t="str">
        <f t="shared" si="337"/>
        <v>-</v>
      </c>
      <c r="FD61" s="316" t="str">
        <f t="shared" si="338"/>
        <v>-</v>
      </c>
      <c r="FE61" s="148">
        <f t="shared" si="339"/>
        <v>0</v>
      </c>
      <c r="FF61" s="148">
        <f t="shared" si="340"/>
        <v>0</v>
      </c>
      <c r="FG61" s="127"/>
    </row>
    <row r="62" spans="1:163" ht="15" customHeight="1" x14ac:dyDescent="0.25">
      <c r="A62" s="303" t="s">
        <v>441</v>
      </c>
      <c r="B62" s="24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46"/>
      <c r="N62" s="246">
        <f t="shared" si="306"/>
        <v>0</v>
      </c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46"/>
      <c r="AA62" s="205">
        <f t="shared" si="307"/>
        <v>0</v>
      </c>
      <c r="AB62" s="24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  <c r="AN62" s="202">
        <f t="shared" si="308"/>
        <v>0</v>
      </c>
      <c r="AO62" s="24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46"/>
      <c r="BA62" s="246">
        <f t="shared" si="310"/>
        <v>0</v>
      </c>
      <c r="BB62" s="205"/>
      <c r="BC62" s="205"/>
      <c r="BD62" s="205"/>
      <c r="BE62" s="205"/>
      <c r="BF62" s="205"/>
      <c r="BG62" s="205"/>
      <c r="BH62" s="205"/>
      <c r="BI62" s="205"/>
      <c r="BJ62" s="205"/>
      <c r="BK62" s="205"/>
      <c r="BL62" s="205"/>
      <c r="BM62" s="246"/>
      <c r="BN62" s="246">
        <f t="shared" si="312"/>
        <v>0</v>
      </c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2">
        <f t="shared" ref="CA62:CA91" si="341">SUM(BO62:BZ62)</f>
        <v>0</v>
      </c>
      <c r="CB62" s="205"/>
      <c r="CC62" s="205"/>
      <c r="CD62" s="205"/>
      <c r="CE62" s="205"/>
      <c r="CF62" s="205"/>
      <c r="CG62" s="205"/>
      <c r="CH62" s="205"/>
      <c r="CI62" s="205"/>
      <c r="CJ62" s="205"/>
      <c r="CK62" s="205"/>
      <c r="CL62" s="205"/>
      <c r="CM62" s="246"/>
      <c r="CN62" s="246">
        <f t="shared" si="325"/>
        <v>0</v>
      </c>
      <c r="CO62" s="245"/>
      <c r="CP62" s="205"/>
      <c r="CQ62" s="205">
        <v>642</v>
      </c>
      <c r="CR62" s="205"/>
      <c r="CS62" s="205">
        <v>423</v>
      </c>
      <c r="CT62" s="205"/>
      <c r="CU62" s="205"/>
      <c r="CV62" s="205"/>
      <c r="CW62" s="205"/>
      <c r="CX62" s="205"/>
      <c r="CY62" s="205"/>
      <c r="CZ62" s="246"/>
      <c r="DA62" s="202">
        <f t="shared" si="327"/>
        <v>1065</v>
      </c>
      <c r="DB62" s="245"/>
      <c r="DC62" s="205"/>
      <c r="DD62" s="205"/>
      <c r="DE62" s="205"/>
      <c r="DF62" s="205"/>
      <c r="DG62" s="205"/>
      <c r="DH62" s="205"/>
      <c r="DI62" s="205"/>
      <c r="DJ62" s="205"/>
      <c r="DK62" s="205"/>
      <c r="DL62" s="205"/>
      <c r="DM62" s="246"/>
      <c r="DN62" s="205">
        <f t="shared" si="329"/>
        <v>0</v>
      </c>
      <c r="DO62" s="245"/>
      <c r="DP62" s="205"/>
      <c r="DQ62" s="205"/>
      <c r="DR62" s="205"/>
      <c r="DS62" s="205"/>
      <c r="DT62" s="205"/>
      <c r="DU62" s="205"/>
      <c r="DV62" s="205"/>
      <c r="DW62" s="205"/>
      <c r="DX62" s="205"/>
      <c r="DY62" s="205"/>
      <c r="DZ62" s="246"/>
      <c r="EA62" s="246">
        <f t="shared" si="331"/>
        <v>0</v>
      </c>
      <c r="EB62" s="205">
        <v>0</v>
      </c>
      <c r="EC62" s="205">
        <v>0</v>
      </c>
      <c r="ED62" s="205">
        <v>0</v>
      </c>
      <c r="EE62" s="205">
        <v>0</v>
      </c>
      <c r="EF62" s="205">
        <v>0</v>
      </c>
      <c r="EG62" s="205">
        <v>0</v>
      </c>
      <c r="EH62" s="205">
        <v>0</v>
      </c>
      <c r="EI62" s="205">
        <v>0</v>
      </c>
      <c r="EJ62" s="205">
        <v>0</v>
      </c>
      <c r="EK62" s="205">
        <v>0</v>
      </c>
      <c r="EL62" s="205">
        <v>0</v>
      </c>
      <c r="EM62" s="205">
        <v>0</v>
      </c>
      <c r="EN62" s="202">
        <f t="shared" si="333"/>
        <v>0</v>
      </c>
      <c r="EO62" s="205">
        <v>0</v>
      </c>
      <c r="EP62" s="205">
        <v>0</v>
      </c>
      <c r="EQ62" s="205">
        <v>0</v>
      </c>
      <c r="ER62" s="205">
        <v>0</v>
      </c>
      <c r="ES62" s="205">
        <v>0</v>
      </c>
      <c r="ET62" s="205">
        <v>0</v>
      </c>
      <c r="EU62" s="205">
        <v>0</v>
      </c>
      <c r="EV62" s="963">
        <v>0</v>
      </c>
      <c r="EW62" s="205"/>
      <c r="EX62" s="205"/>
      <c r="EY62" s="205"/>
      <c r="EZ62" s="205"/>
      <c r="FA62" s="202">
        <f t="shared" si="336"/>
        <v>0</v>
      </c>
      <c r="FC62" s="316" t="str">
        <f t="shared" si="337"/>
        <v>-</v>
      </c>
      <c r="FD62" s="316" t="str">
        <f t="shared" si="338"/>
        <v>-</v>
      </c>
      <c r="FE62" s="148">
        <f t="shared" si="339"/>
        <v>0</v>
      </c>
      <c r="FF62" s="148">
        <f t="shared" si="340"/>
        <v>0</v>
      </c>
      <c r="FG62" s="127"/>
    </row>
    <row r="63" spans="1:163" ht="15" customHeight="1" x14ac:dyDescent="0.25">
      <c r="A63" s="302" t="s">
        <v>442</v>
      </c>
      <c r="B63" s="298">
        <f t="shared" ref="B63:AM63" si="342">SUM(B64:B68)</f>
        <v>120</v>
      </c>
      <c r="C63" s="299">
        <f t="shared" si="342"/>
        <v>0</v>
      </c>
      <c r="D63" s="299">
        <f t="shared" si="342"/>
        <v>680</v>
      </c>
      <c r="E63" s="299">
        <f t="shared" si="342"/>
        <v>800</v>
      </c>
      <c r="F63" s="299">
        <f t="shared" si="342"/>
        <v>8023</v>
      </c>
      <c r="G63" s="299">
        <f t="shared" si="342"/>
        <v>0</v>
      </c>
      <c r="H63" s="299">
        <f t="shared" si="342"/>
        <v>0</v>
      </c>
      <c r="I63" s="299">
        <f t="shared" si="342"/>
        <v>0</v>
      </c>
      <c r="J63" s="299">
        <f t="shared" si="342"/>
        <v>0</v>
      </c>
      <c r="K63" s="299">
        <f t="shared" si="342"/>
        <v>0</v>
      </c>
      <c r="L63" s="299">
        <f t="shared" si="342"/>
        <v>0</v>
      </c>
      <c r="M63" s="300">
        <f t="shared" si="342"/>
        <v>1623</v>
      </c>
      <c r="N63" s="300">
        <f t="shared" si="306"/>
        <v>11246</v>
      </c>
      <c r="O63" s="299">
        <f t="shared" si="342"/>
        <v>157</v>
      </c>
      <c r="P63" s="299">
        <f t="shared" si="342"/>
        <v>0</v>
      </c>
      <c r="Q63" s="299">
        <f t="shared" si="342"/>
        <v>750</v>
      </c>
      <c r="R63" s="299">
        <f t="shared" si="342"/>
        <v>0</v>
      </c>
      <c r="S63" s="299">
        <f t="shared" si="342"/>
        <v>0</v>
      </c>
      <c r="T63" s="299">
        <f t="shared" si="342"/>
        <v>0</v>
      </c>
      <c r="U63" s="299">
        <f t="shared" si="342"/>
        <v>1000</v>
      </c>
      <c r="V63" s="299">
        <f t="shared" si="342"/>
        <v>1239</v>
      </c>
      <c r="W63" s="299">
        <f t="shared" si="342"/>
        <v>0</v>
      </c>
      <c r="X63" s="299">
        <f t="shared" si="342"/>
        <v>0</v>
      </c>
      <c r="Y63" s="299">
        <f t="shared" si="342"/>
        <v>352</v>
      </c>
      <c r="Z63" s="300">
        <f t="shared" si="342"/>
        <v>0</v>
      </c>
      <c r="AA63" s="299">
        <f t="shared" si="307"/>
        <v>3498</v>
      </c>
      <c r="AB63" s="298">
        <f t="shared" si="342"/>
        <v>336</v>
      </c>
      <c r="AC63" s="299">
        <f t="shared" si="342"/>
        <v>0</v>
      </c>
      <c r="AD63" s="299">
        <f t="shared" si="342"/>
        <v>0</v>
      </c>
      <c r="AE63" s="299">
        <f t="shared" si="342"/>
        <v>120</v>
      </c>
      <c r="AF63" s="299">
        <f t="shared" si="342"/>
        <v>0</v>
      </c>
      <c r="AG63" s="299">
        <f t="shared" si="342"/>
        <v>0</v>
      </c>
      <c r="AH63" s="299">
        <f t="shared" si="342"/>
        <v>0</v>
      </c>
      <c r="AI63" s="299">
        <f t="shared" si="342"/>
        <v>200</v>
      </c>
      <c r="AJ63" s="299">
        <f t="shared" si="342"/>
        <v>0</v>
      </c>
      <c r="AK63" s="299">
        <f t="shared" si="342"/>
        <v>0</v>
      </c>
      <c r="AL63" s="299">
        <f t="shared" si="342"/>
        <v>756</v>
      </c>
      <c r="AM63" s="299">
        <f t="shared" si="342"/>
        <v>604</v>
      </c>
      <c r="AN63" s="257">
        <f t="shared" si="308"/>
        <v>2016</v>
      </c>
      <c r="AO63" s="298">
        <f t="shared" ref="AO63:AZ63" si="343">SUM(AO64:AO68)</f>
        <v>0</v>
      </c>
      <c r="AP63" s="299">
        <f t="shared" si="343"/>
        <v>0</v>
      </c>
      <c r="AQ63" s="299">
        <f t="shared" si="343"/>
        <v>0</v>
      </c>
      <c r="AR63" s="299">
        <f t="shared" si="343"/>
        <v>120</v>
      </c>
      <c r="AS63" s="299">
        <f t="shared" si="343"/>
        <v>0</v>
      </c>
      <c r="AT63" s="299">
        <f t="shared" si="343"/>
        <v>300</v>
      </c>
      <c r="AU63" s="299">
        <f t="shared" si="343"/>
        <v>0</v>
      </c>
      <c r="AV63" s="299">
        <f t="shared" si="343"/>
        <v>0</v>
      </c>
      <c r="AW63" s="299">
        <f t="shared" si="343"/>
        <v>0</v>
      </c>
      <c r="AX63" s="299">
        <f t="shared" si="343"/>
        <v>1350</v>
      </c>
      <c r="AY63" s="299">
        <f t="shared" si="343"/>
        <v>0</v>
      </c>
      <c r="AZ63" s="300">
        <f t="shared" si="343"/>
        <v>0</v>
      </c>
      <c r="BA63" s="300">
        <f t="shared" si="310"/>
        <v>1770</v>
      </c>
      <c r="BB63" s="299">
        <f>SUM(BB64:BB68)</f>
        <v>0</v>
      </c>
      <c r="BC63" s="299">
        <f>SUM(BC64:BC68)</f>
        <v>0</v>
      </c>
      <c r="BD63" s="299">
        <f>SUM(BD64:BD68)</f>
        <v>0</v>
      </c>
      <c r="BE63" s="299"/>
      <c r="BF63" s="299">
        <f t="shared" ref="BF63:BM63" si="344">SUM(BF64:BF68)</f>
        <v>475</v>
      </c>
      <c r="BG63" s="299">
        <f t="shared" si="344"/>
        <v>0</v>
      </c>
      <c r="BH63" s="299">
        <f t="shared" si="344"/>
        <v>0</v>
      </c>
      <c r="BI63" s="299">
        <f t="shared" si="344"/>
        <v>0</v>
      </c>
      <c r="BJ63" s="299">
        <f t="shared" si="344"/>
        <v>0</v>
      </c>
      <c r="BK63" s="299">
        <f t="shared" si="344"/>
        <v>0</v>
      </c>
      <c r="BL63" s="299">
        <f t="shared" si="344"/>
        <v>0</v>
      </c>
      <c r="BM63" s="300">
        <f t="shared" si="344"/>
        <v>0</v>
      </c>
      <c r="BN63" s="300">
        <f t="shared" si="312"/>
        <v>475</v>
      </c>
      <c r="BO63" s="299">
        <f t="shared" ref="BO63:BZ63" si="345">SUM(BO64:BO68)</f>
        <v>0</v>
      </c>
      <c r="BP63" s="299">
        <f t="shared" si="345"/>
        <v>0</v>
      </c>
      <c r="BQ63" s="299">
        <f t="shared" si="345"/>
        <v>0</v>
      </c>
      <c r="BR63" s="299">
        <f t="shared" si="345"/>
        <v>377</v>
      </c>
      <c r="BS63" s="299">
        <f t="shared" si="345"/>
        <v>0</v>
      </c>
      <c r="BT63" s="299">
        <f t="shared" si="345"/>
        <v>0</v>
      </c>
      <c r="BU63" s="299">
        <f t="shared" si="345"/>
        <v>0</v>
      </c>
      <c r="BV63" s="299">
        <f t="shared" si="345"/>
        <v>0</v>
      </c>
      <c r="BW63" s="299">
        <f t="shared" si="345"/>
        <v>313</v>
      </c>
      <c r="BX63" s="299">
        <f t="shared" si="345"/>
        <v>0</v>
      </c>
      <c r="BY63" s="299">
        <f t="shared" si="345"/>
        <v>832</v>
      </c>
      <c r="BZ63" s="299">
        <f t="shared" si="345"/>
        <v>0</v>
      </c>
      <c r="CA63" s="202">
        <f t="shared" si="341"/>
        <v>1522</v>
      </c>
      <c r="CB63" s="299">
        <f t="shared" ref="CB63:CM63" si="346">SUM(CB64:CB68)</f>
        <v>300</v>
      </c>
      <c r="CC63" s="299">
        <f t="shared" si="346"/>
        <v>0</v>
      </c>
      <c r="CD63" s="299">
        <f t="shared" si="346"/>
        <v>0</v>
      </c>
      <c r="CE63" s="299">
        <f t="shared" si="346"/>
        <v>1163</v>
      </c>
      <c r="CF63" s="299">
        <f t="shared" si="346"/>
        <v>529</v>
      </c>
      <c r="CG63" s="299">
        <f t="shared" si="346"/>
        <v>300</v>
      </c>
      <c r="CH63" s="299">
        <f t="shared" si="346"/>
        <v>1379</v>
      </c>
      <c r="CI63" s="299">
        <f t="shared" si="346"/>
        <v>3232</v>
      </c>
      <c r="CJ63" s="299">
        <f t="shared" si="346"/>
        <v>2174</v>
      </c>
      <c r="CK63" s="299">
        <f t="shared" si="346"/>
        <v>8282</v>
      </c>
      <c r="CL63" s="299">
        <f t="shared" si="346"/>
        <v>7335</v>
      </c>
      <c r="CM63" s="300">
        <f t="shared" si="346"/>
        <v>3088</v>
      </c>
      <c r="CN63" s="300">
        <f t="shared" si="325"/>
        <v>27782</v>
      </c>
      <c r="CO63" s="298">
        <f t="shared" ref="CO63:CZ63" si="347">SUM(CO64:CO68)</f>
        <v>0</v>
      </c>
      <c r="CP63" s="299">
        <f t="shared" si="347"/>
        <v>1158</v>
      </c>
      <c r="CQ63" s="299">
        <f t="shared" si="347"/>
        <v>474</v>
      </c>
      <c r="CR63" s="299">
        <f t="shared" si="347"/>
        <v>447</v>
      </c>
      <c r="CS63" s="299">
        <f t="shared" si="347"/>
        <v>649</v>
      </c>
      <c r="CT63" s="299">
        <f t="shared" si="347"/>
        <v>1147</v>
      </c>
      <c r="CU63" s="299">
        <f t="shared" si="347"/>
        <v>-1</v>
      </c>
      <c r="CV63" s="299">
        <f t="shared" si="347"/>
        <v>-1</v>
      </c>
      <c r="CW63" s="299">
        <f t="shared" si="347"/>
        <v>50</v>
      </c>
      <c r="CX63" s="299">
        <f t="shared" si="347"/>
        <v>185</v>
      </c>
      <c r="CY63" s="299">
        <f t="shared" si="347"/>
        <v>-1</v>
      </c>
      <c r="CZ63" s="300">
        <f t="shared" si="347"/>
        <v>-119</v>
      </c>
      <c r="DA63" s="257">
        <f t="shared" si="327"/>
        <v>3988</v>
      </c>
      <c r="DB63" s="298">
        <f t="shared" ref="DB63:DM63" si="348">SUM(DB64:DB68)</f>
        <v>1027</v>
      </c>
      <c r="DC63" s="299">
        <f t="shared" si="348"/>
        <v>0</v>
      </c>
      <c r="DD63" s="299">
        <f t="shared" si="348"/>
        <v>1740</v>
      </c>
      <c r="DE63" s="299">
        <f t="shared" si="348"/>
        <v>2440</v>
      </c>
      <c r="DF63" s="299">
        <f t="shared" si="348"/>
        <v>622</v>
      </c>
      <c r="DG63" s="299">
        <f t="shared" si="348"/>
        <v>-6</v>
      </c>
      <c r="DH63" s="299">
        <f t="shared" si="348"/>
        <v>-35</v>
      </c>
      <c r="DI63" s="299">
        <f t="shared" si="348"/>
        <v>1763</v>
      </c>
      <c r="DJ63" s="299">
        <f t="shared" si="348"/>
        <v>-65</v>
      </c>
      <c r="DK63" s="299">
        <f t="shared" si="348"/>
        <v>374</v>
      </c>
      <c r="DL63" s="299">
        <f t="shared" si="348"/>
        <v>187</v>
      </c>
      <c r="DM63" s="300">
        <f t="shared" si="348"/>
        <v>-5</v>
      </c>
      <c r="DN63" s="299">
        <f t="shared" si="329"/>
        <v>8042</v>
      </c>
      <c r="DO63" s="298">
        <f t="shared" ref="DO63:DZ63" si="349">SUM(DO64:DO68)</f>
        <v>0</v>
      </c>
      <c r="DP63" s="299">
        <f t="shared" si="349"/>
        <v>0</v>
      </c>
      <c r="DQ63" s="299">
        <f t="shared" si="349"/>
        <v>-4</v>
      </c>
      <c r="DR63" s="299">
        <f t="shared" si="349"/>
        <v>-2</v>
      </c>
      <c r="DS63" s="299">
        <f t="shared" si="349"/>
        <v>0</v>
      </c>
      <c r="DT63" s="299">
        <f t="shared" si="349"/>
        <v>1339</v>
      </c>
      <c r="DU63" s="299">
        <f t="shared" si="349"/>
        <v>299</v>
      </c>
      <c r="DV63" s="299">
        <f t="shared" si="349"/>
        <v>-1</v>
      </c>
      <c r="DW63" s="299">
        <f t="shared" si="349"/>
        <v>1782</v>
      </c>
      <c r="DX63" s="299">
        <f t="shared" si="349"/>
        <v>520</v>
      </c>
      <c r="DY63" s="299">
        <f t="shared" si="349"/>
        <v>-8</v>
      </c>
      <c r="DZ63" s="300">
        <f t="shared" si="349"/>
        <v>368</v>
      </c>
      <c r="EA63" s="300">
        <f t="shared" si="331"/>
        <v>4293</v>
      </c>
      <c r="EB63" s="299">
        <f t="shared" ref="EB63:EM63" si="350">SUM(EB64:EB68)</f>
        <v>0</v>
      </c>
      <c r="EC63" s="299">
        <f t="shared" si="350"/>
        <v>0</v>
      </c>
      <c r="ED63" s="299">
        <f t="shared" si="350"/>
        <v>0</v>
      </c>
      <c r="EE63" s="299">
        <f t="shared" si="350"/>
        <v>-29</v>
      </c>
      <c r="EF63" s="299">
        <f t="shared" si="350"/>
        <v>0</v>
      </c>
      <c r="EG63" s="299">
        <f t="shared" si="350"/>
        <v>2387</v>
      </c>
      <c r="EH63" s="299">
        <f t="shared" si="350"/>
        <v>395</v>
      </c>
      <c r="EI63" s="299">
        <f t="shared" si="350"/>
        <v>0</v>
      </c>
      <c r="EJ63" s="299">
        <f t="shared" si="350"/>
        <v>0</v>
      </c>
      <c r="EK63" s="299">
        <f t="shared" si="350"/>
        <v>-57</v>
      </c>
      <c r="EL63" s="299">
        <f t="shared" si="350"/>
        <v>-24</v>
      </c>
      <c r="EM63" s="299">
        <f t="shared" si="350"/>
        <v>0</v>
      </c>
      <c r="EN63" s="257">
        <f t="shared" si="333"/>
        <v>2672</v>
      </c>
      <c r="EO63" s="299">
        <f t="shared" ref="EO63:ET63" si="351">SUM(EO64:EO68)</f>
        <v>0</v>
      </c>
      <c r="EP63" s="299">
        <f t="shared" si="351"/>
        <v>0</v>
      </c>
      <c r="EQ63" s="299">
        <f t="shared" si="351"/>
        <v>0</v>
      </c>
      <c r="ER63" s="299">
        <f t="shared" si="351"/>
        <v>732</v>
      </c>
      <c r="ES63" s="299">
        <f t="shared" si="351"/>
        <v>0</v>
      </c>
      <c r="ET63" s="299">
        <f t="shared" si="351"/>
        <v>800</v>
      </c>
      <c r="EU63" s="299">
        <v>0</v>
      </c>
      <c r="EV63" s="967">
        <v>-43</v>
      </c>
      <c r="EW63" s="299"/>
      <c r="EX63" s="299"/>
      <c r="EY63" s="299"/>
      <c r="EZ63" s="299"/>
      <c r="FA63" s="257">
        <f t="shared" si="336"/>
        <v>1489</v>
      </c>
      <c r="FC63" s="316" t="str">
        <f t="shared" si="337"/>
        <v>-</v>
      </c>
      <c r="FD63" s="317">
        <f t="shared" si="338"/>
        <v>-45.913548855793685</v>
      </c>
      <c r="FE63" s="145">
        <f t="shared" si="339"/>
        <v>2753</v>
      </c>
      <c r="FF63" s="145">
        <f t="shared" si="340"/>
        <v>1489</v>
      </c>
      <c r="FG63" s="236"/>
    </row>
    <row r="64" spans="1:163" ht="15" customHeight="1" x14ac:dyDescent="0.25">
      <c r="A64" s="303" t="s">
        <v>443</v>
      </c>
      <c r="B64" s="245">
        <v>120</v>
      </c>
      <c r="C64" s="205"/>
      <c r="D64" s="205">
        <v>680</v>
      </c>
      <c r="E64" s="205">
        <v>800</v>
      </c>
      <c r="F64" s="205">
        <v>8023</v>
      </c>
      <c r="G64" s="205"/>
      <c r="H64" s="205"/>
      <c r="I64" s="205"/>
      <c r="J64" s="205"/>
      <c r="K64" s="205"/>
      <c r="L64" s="205"/>
      <c r="M64" s="246">
        <v>1623</v>
      </c>
      <c r="N64" s="246">
        <f t="shared" si="306"/>
        <v>11246</v>
      </c>
      <c r="O64" s="205">
        <v>157</v>
      </c>
      <c r="P64" s="205"/>
      <c r="Q64" s="205">
        <v>750</v>
      </c>
      <c r="R64" s="205"/>
      <c r="S64" s="205"/>
      <c r="T64" s="205"/>
      <c r="U64" s="205"/>
      <c r="V64" s="205">
        <v>731</v>
      </c>
      <c r="W64" s="205"/>
      <c r="X64" s="205"/>
      <c r="Y64" s="205">
        <v>352</v>
      </c>
      <c r="Z64" s="246"/>
      <c r="AA64" s="205">
        <f t="shared" si="307"/>
        <v>1990</v>
      </c>
      <c r="AB64" s="245">
        <v>336</v>
      </c>
      <c r="AC64" s="205"/>
      <c r="AD64" s="205"/>
      <c r="AE64" s="205">
        <v>120</v>
      </c>
      <c r="AF64" s="205"/>
      <c r="AG64" s="205"/>
      <c r="AH64" s="205"/>
      <c r="AI64" s="205">
        <v>200</v>
      </c>
      <c r="AJ64" s="205"/>
      <c r="AK64" s="205"/>
      <c r="AL64" s="205">
        <v>756</v>
      </c>
      <c r="AM64" s="205">
        <v>604</v>
      </c>
      <c r="AN64" s="202">
        <f t="shared" si="308"/>
        <v>2016</v>
      </c>
      <c r="AO64" s="245"/>
      <c r="AP64" s="205"/>
      <c r="AQ64" s="205"/>
      <c r="AR64" s="205">
        <v>120</v>
      </c>
      <c r="AS64" s="205"/>
      <c r="AT64" s="205">
        <v>300</v>
      </c>
      <c r="AU64" s="205"/>
      <c r="AV64" s="205"/>
      <c r="AW64" s="205"/>
      <c r="AX64" s="205">
        <v>1350</v>
      </c>
      <c r="AY64" s="205"/>
      <c r="AZ64" s="246"/>
      <c r="BA64" s="246">
        <f t="shared" si="310"/>
        <v>1770</v>
      </c>
      <c r="BB64" s="205"/>
      <c r="BC64" s="205"/>
      <c r="BD64" s="205"/>
      <c r="BE64" s="205"/>
      <c r="BF64" s="205">
        <v>475</v>
      </c>
      <c r="BG64" s="205"/>
      <c r="BH64" s="205"/>
      <c r="BI64" s="205"/>
      <c r="BJ64" s="205"/>
      <c r="BK64" s="205"/>
      <c r="BL64" s="205"/>
      <c r="BM64" s="246"/>
      <c r="BN64" s="246">
        <f t="shared" si="312"/>
        <v>475</v>
      </c>
      <c r="BO64" s="205"/>
      <c r="BP64" s="205"/>
      <c r="BQ64" s="205"/>
      <c r="BR64" s="205">
        <v>377</v>
      </c>
      <c r="BS64" s="205"/>
      <c r="BT64" s="205"/>
      <c r="BU64" s="205"/>
      <c r="BV64" s="205"/>
      <c r="BW64" s="205">
        <v>313</v>
      </c>
      <c r="BX64" s="205"/>
      <c r="BY64" s="205">
        <v>832</v>
      </c>
      <c r="BZ64" s="205"/>
      <c r="CA64" s="202">
        <f t="shared" si="341"/>
        <v>1522</v>
      </c>
      <c r="CB64" s="205">
        <v>300</v>
      </c>
      <c r="CC64" s="205"/>
      <c r="CD64" s="205"/>
      <c r="CE64" s="205">
        <v>1163</v>
      </c>
      <c r="CF64" s="205">
        <v>529</v>
      </c>
      <c r="CG64" s="205">
        <v>300</v>
      </c>
      <c r="CH64" s="205">
        <v>1379</v>
      </c>
      <c r="CI64" s="205">
        <v>3232</v>
      </c>
      <c r="CJ64" s="205">
        <v>2174</v>
      </c>
      <c r="CK64" s="205">
        <v>8282</v>
      </c>
      <c r="CL64" s="205">
        <v>7335</v>
      </c>
      <c r="CM64" s="246">
        <v>3088</v>
      </c>
      <c r="CN64" s="246">
        <f t="shared" si="325"/>
        <v>27782</v>
      </c>
      <c r="CO64" s="245"/>
      <c r="CP64" s="205">
        <v>1158</v>
      </c>
      <c r="CQ64" s="205">
        <v>474</v>
      </c>
      <c r="CR64" s="205">
        <v>447</v>
      </c>
      <c r="CS64" s="205">
        <v>649</v>
      </c>
      <c r="CT64" s="205">
        <v>1147</v>
      </c>
      <c r="CU64" s="205">
        <v>-1</v>
      </c>
      <c r="CV64" s="205">
        <v>-1</v>
      </c>
      <c r="CW64" s="205">
        <v>50</v>
      </c>
      <c r="CX64" s="205">
        <v>185</v>
      </c>
      <c r="CY64" s="205">
        <v>-1</v>
      </c>
      <c r="CZ64" s="246">
        <v>-119</v>
      </c>
      <c r="DA64" s="202">
        <f t="shared" si="327"/>
        <v>3988</v>
      </c>
      <c r="DB64" s="245">
        <v>1027</v>
      </c>
      <c r="DC64" s="205"/>
      <c r="DD64" s="205">
        <v>1740</v>
      </c>
      <c r="DE64" s="205">
        <v>2440</v>
      </c>
      <c r="DF64" s="205">
        <v>622</v>
      </c>
      <c r="DG64" s="205">
        <v>-6</v>
      </c>
      <c r="DH64" s="205">
        <v>-35</v>
      </c>
      <c r="DI64" s="205">
        <v>1763</v>
      </c>
      <c r="DJ64" s="205">
        <v>-65</v>
      </c>
      <c r="DK64" s="205">
        <v>374</v>
      </c>
      <c r="DL64" s="205">
        <v>187</v>
      </c>
      <c r="DM64" s="246">
        <v>-5</v>
      </c>
      <c r="DN64" s="205">
        <f t="shared" si="329"/>
        <v>8042</v>
      </c>
      <c r="DO64" s="245"/>
      <c r="DP64" s="205"/>
      <c r="DQ64" s="205">
        <v>-4</v>
      </c>
      <c r="DR64" s="205">
        <v>-2</v>
      </c>
      <c r="DS64" s="205"/>
      <c r="DT64" s="205">
        <v>1339</v>
      </c>
      <c r="DU64" s="205">
        <v>299</v>
      </c>
      <c r="DV64" s="205">
        <v>-1</v>
      </c>
      <c r="DW64" s="205">
        <v>1782</v>
      </c>
      <c r="DX64" s="205">
        <v>520</v>
      </c>
      <c r="DY64" s="205">
        <v>-8</v>
      </c>
      <c r="DZ64" s="246">
        <v>368</v>
      </c>
      <c r="EA64" s="246">
        <f t="shared" si="331"/>
        <v>4293</v>
      </c>
      <c r="EB64" s="205">
        <v>0</v>
      </c>
      <c r="EC64" s="205">
        <v>0</v>
      </c>
      <c r="ED64" s="205">
        <v>0</v>
      </c>
      <c r="EE64" s="205">
        <v>-29</v>
      </c>
      <c r="EF64" s="205">
        <v>0</v>
      </c>
      <c r="EG64" s="205">
        <v>2387</v>
      </c>
      <c r="EH64" s="205">
        <v>395</v>
      </c>
      <c r="EI64" s="205">
        <v>0</v>
      </c>
      <c r="EJ64" s="205">
        <v>0</v>
      </c>
      <c r="EK64" s="205">
        <v>-57</v>
      </c>
      <c r="EL64" s="205">
        <v>-24</v>
      </c>
      <c r="EM64" s="205">
        <v>0</v>
      </c>
      <c r="EN64" s="202">
        <f t="shared" si="333"/>
        <v>2672</v>
      </c>
      <c r="EO64" s="205">
        <v>0</v>
      </c>
      <c r="EP64" s="205">
        <v>0</v>
      </c>
      <c r="EQ64" s="205">
        <v>0</v>
      </c>
      <c r="ER64" s="205">
        <v>732</v>
      </c>
      <c r="ES64" s="205">
        <v>0</v>
      </c>
      <c r="ET64" s="205">
        <v>800</v>
      </c>
      <c r="EU64" s="205">
        <v>0</v>
      </c>
      <c r="EV64" s="963">
        <v>-43</v>
      </c>
      <c r="EW64" s="205"/>
      <c r="EX64" s="205"/>
      <c r="EY64" s="205"/>
      <c r="EZ64" s="205"/>
      <c r="FA64" s="202">
        <f t="shared" si="336"/>
        <v>1489</v>
      </c>
      <c r="FC64" s="316" t="str">
        <f t="shared" si="337"/>
        <v>-</v>
      </c>
      <c r="FD64" s="316">
        <f t="shared" si="338"/>
        <v>-45.913548855793685</v>
      </c>
      <c r="FE64" s="148">
        <f t="shared" si="339"/>
        <v>2753</v>
      </c>
      <c r="FF64" s="148">
        <f t="shared" si="340"/>
        <v>1489</v>
      </c>
      <c r="FG64" s="127"/>
    </row>
    <row r="65" spans="1:163" ht="15" customHeight="1" x14ac:dyDescent="0.25">
      <c r="A65" s="303" t="s">
        <v>444</v>
      </c>
      <c r="B65" s="24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46"/>
      <c r="N65" s="246">
        <f t="shared" si="306"/>
        <v>0</v>
      </c>
      <c r="O65" s="205"/>
      <c r="P65" s="205"/>
      <c r="Q65" s="205"/>
      <c r="R65" s="205"/>
      <c r="S65" s="205"/>
      <c r="T65" s="205"/>
      <c r="U65" s="205">
        <v>1000</v>
      </c>
      <c r="V65" s="205"/>
      <c r="W65" s="205"/>
      <c r="X65" s="205"/>
      <c r="Y65" s="205"/>
      <c r="Z65" s="246"/>
      <c r="AA65" s="205">
        <f t="shared" si="307"/>
        <v>1000</v>
      </c>
      <c r="AB65" s="24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2">
        <f t="shared" si="308"/>
        <v>0</v>
      </c>
      <c r="AO65" s="24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46"/>
      <c r="BA65" s="246">
        <f t="shared" si="310"/>
        <v>0</v>
      </c>
      <c r="BB65" s="205"/>
      <c r="BC65" s="205"/>
      <c r="BD65" s="205"/>
      <c r="BE65" s="205"/>
      <c r="BF65" s="205"/>
      <c r="BG65" s="205"/>
      <c r="BH65" s="205"/>
      <c r="BI65" s="205"/>
      <c r="BJ65" s="205"/>
      <c r="BK65" s="205"/>
      <c r="BL65" s="205"/>
      <c r="BM65" s="246"/>
      <c r="BN65" s="246">
        <f t="shared" si="312"/>
        <v>0</v>
      </c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2">
        <f t="shared" si="341"/>
        <v>0</v>
      </c>
      <c r="CB65" s="205"/>
      <c r="CC65" s="205"/>
      <c r="CD65" s="205"/>
      <c r="CE65" s="205"/>
      <c r="CF65" s="205"/>
      <c r="CG65" s="205"/>
      <c r="CH65" s="205"/>
      <c r="CI65" s="205"/>
      <c r="CJ65" s="205"/>
      <c r="CK65" s="205"/>
      <c r="CL65" s="205"/>
      <c r="CM65" s="246"/>
      <c r="CN65" s="246">
        <f t="shared" si="325"/>
        <v>0</v>
      </c>
      <c r="CO65" s="245"/>
      <c r="CP65" s="205"/>
      <c r="CQ65" s="205"/>
      <c r="CR65" s="205"/>
      <c r="CS65" s="205"/>
      <c r="CT65" s="205"/>
      <c r="CU65" s="205"/>
      <c r="CV65" s="205"/>
      <c r="CW65" s="205"/>
      <c r="CX65" s="205"/>
      <c r="CY65" s="205"/>
      <c r="CZ65" s="246"/>
      <c r="DA65" s="202">
        <f t="shared" si="327"/>
        <v>0</v>
      </c>
      <c r="DB65" s="245"/>
      <c r="DC65" s="205"/>
      <c r="DD65" s="205"/>
      <c r="DE65" s="205"/>
      <c r="DF65" s="205"/>
      <c r="DG65" s="205"/>
      <c r="DH65" s="205"/>
      <c r="DI65" s="205"/>
      <c r="DJ65" s="205"/>
      <c r="DK65" s="205"/>
      <c r="DL65" s="205"/>
      <c r="DM65" s="246"/>
      <c r="DN65" s="205">
        <f t="shared" si="329"/>
        <v>0</v>
      </c>
      <c r="DO65" s="245"/>
      <c r="DP65" s="205"/>
      <c r="DQ65" s="205"/>
      <c r="DR65" s="205"/>
      <c r="DS65" s="205"/>
      <c r="DT65" s="205"/>
      <c r="DU65" s="205"/>
      <c r="DV65" s="205"/>
      <c r="DW65" s="205"/>
      <c r="DX65" s="205"/>
      <c r="DY65" s="205"/>
      <c r="DZ65" s="246"/>
      <c r="EA65" s="246">
        <f t="shared" si="331"/>
        <v>0</v>
      </c>
      <c r="EB65" s="205">
        <v>0</v>
      </c>
      <c r="EC65" s="205">
        <v>0</v>
      </c>
      <c r="ED65" s="205">
        <v>0</v>
      </c>
      <c r="EE65" s="205">
        <v>0</v>
      </c>
      <c r="EF65" s="205">
        <v>0</v>
      </c>
      <c r="EG65" s="205">
        <v>0</v>
      </c>
      <c r="EH65" s="205">
        <v>0</v>
      </c>
      <c r="EI65" s="205">
        <v>0</v>
      </c>
      <c r="EJ65" s="205">
        <v>0</v>
      </c>
      <c r="EK65" s="205">
        <v>0</v>
      </c>
      <c r="EL65" s="205">
        <v>0</v>
      </c>
      <c r="EM65" s="205">
        <v>0</v>
      </c>
      <c r="EN65" s="202">
        <f t="shared" si="333"/>
        <v>0</v>
      </c>
      <c r="EO65" s="205">
        <v>0</v>
      </c>
      <c r="EP65" s="205">
        <v>0</v>
      </c>
      <c r="EQ65" s="205">
        <v>0</v>
      </c>
      <c r="ER65" s="205">
        <v>0</v>
      </c>
      <c r="ES65" s="205">
        <v>0</v>
      </c>
      <c r="ET65" s="205">
        <v>0</v>
      </c>
      <c r="EU65" s="205">
        <v>0</v>
      </c>
      <c r="EV65" s="963">
        <v>0</v>
      </c>
      <c r="EW65" s="205"/>
      <c r="EX65" s="205"/>
      <c r="EY65" s="205"/>
      <c r="EZ65" s="205"/>
      <c r="FA65" s="202">
        <f t="shared" si="336"/>
        <v>0</v>
      </c>
      <c r="FC65" s="316" t="str">
        <f t="shared" si="337"/>
        <v>-</v>
      </c>
      <c r="FD65" s="316" t="str">
        <f t="shared" si="338"/>
        <v>-</v>
      </c>
      <c r="FE65" s="148">
        <f t="shared" si="339"/>
        <v>0</v>
      </c>
      <c r="FF65" s="148">
        <f t="shared" si="340"/>
        <v>0</v>
      </c>
      <c r="FG65" s="127"/>
    </row>
    <row r="66" spans="1:163" ht="15" customHeight="1" x14ac:dyDescent="0.25">
      <c r="A66" s="303" t="s">
        <v>445</v>
      </c>
      <c r="B66" s="24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46"/>
      <c r="N66" s="246">
        <f t="shared" si="306"/>
        <v>0</v>
      </c>
      <c r="O66" s="205"/>
      <c r="P66" s="205"/>
      <c r="Q66" s="205"/>
      <c r="R66" s="205"/>
      <c r="S66" s="205"/>
      <c r="T66" s="205"/>
      <c r="U66" s="205"/>
      <c r="V66" s="205">
        <v>508</v>
      </c>
      <c r="W66" s="205"/>
      <c r="X66" s="205"/>
      <c r="Y66" s="205"/>
      <c r="Z66" s="246"/>
      <c r="AA66" s="205">
        <f t="shared" si="307"/>
        <v>508</v>
      </c>
      <c r="AB66" s="24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2">
        <f t="shared" si="308"/>
        <v>0</v>
      </c>
      <c r="AO66" s="24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46"/>
      <c r="BA66" s="246">
        <f t="shared" si="310"/>
        <v>0</v>
      </c>
      <c r="BB66" s="205"/>
      <c r="BC66" s="205"/>
      <c r="BD66" s="205"/>
      <c r="BE66" s="205"/>
      <c r="BF66" s="205"/>
      <c r="BG66" s="205"/>
      <c r="BH66" s="205"/>
      <c r="BI66" s="205"/>
      <c r="BJ66" s="205"/>
      <c r="BK66" s="205"/>
      <c r="BL66" s="205"/>
      <c r="BM66" s="246"/>
      <c r="BN66" s="246">
        <f t="shared" si="312"/>
        <v>0</v>
      </c>
      <c r="BO66" s="205"/>
      <c r="BP66" s="205"/>
      <c r="BQ66" s="205"/>
      <c r="BR66" s="205"/>
      <c r="BS66" s="205"/>
      <c r="BT66" s="205"/>
      <c r="BU66" s="205"/>
      <c r="BV66" s="205"/>
      <c r="BW66" s="205"/>
      <c r="BX66" s="205"/>
      <c r="BY66" s="205"/>
      <c r="BZ66" s="205"/>
      <c r="CA66" s="202">
        <f t="shared" si="341"/>
        <v>0</v>
      </c>
      <c r="CB66" s="205"/>
      <c r="CC66" s="205"/>
      <c r="CD66" s="205"/>
      <c r="CE66" s="205"/>
      <c r="CF66" s="205"/>
      <c r="CG66" s="205"/>
      <c r="CH66" s="205"/>
      <c r="CI66" s="205"/>
      <c r="CJ66" s="205"/>
      <c r="CK66" s="205"/>
      <c r="CL66" s="205"/>
      <c r="CM66" s="246"/>
      <c r="CN66" s="246">
        <f t="shared" si="325"/>
        <v>0</v>
      </c>
      <c r="CO66" s="245"/>
      <c r="CP66" s="205"/>
      <c r="CQ66" s="205"/>
      <c r="CR66" s="205"/>
      <c r="CS66" s="205"/>
      <c r="CT66" s="205"/>
      <c r="CU66" s="205"/>
      <c r="CV66" s="205"/>
      <c r="CW66" s="205"/>
      <c r="CX66" s="205"/>
      <c r="CY66" s="205"/>
      <c r="CZ66" s="246"/>
      <c r="DA66" s="202">
        <f t="shared" si="327"/>
        <v>0</v>
      </c>
      <c r="DB66" s="245"/>
      <c r="DC66" s="205"/>
      <c r="DD66" s="205"/>
      <c r="DE66" s="205"/>
      <c r="DF66" s="205"/>
      <c r="DG66" s="205"/>
      <c r="DH66" s="205"/>
      <c r="DI66" s="205"/>
      <c r="DJ66" s="205"/>
      <c r="DK66" s="205"/>
      <c r="DL66" s="205"/>
      <c r="DM66" s="246"/>
      <c r="DN66" s="205">
        <f t="shared" si="329"/>
        <v>0</v>
      </c>
      <c r="DO66" s="245"/>
      <c r="DP66" s="205"/>
      <c r="DQ66" s="205"/>
      <c r="DR66" s="205"/>
      <c r="DS66" s="205"/>
      <c r="DT66" s="205"/>
      <c r="DU66" s="205"/>
      <c r="DV66" s="205"/>
      <c r="DW66" s="205"/>
      <c r="DX66" s="205"/>
      <c r="DY66" s="205"/>
      <c r="DZ66" s="246"/>
      <c r="EA66" s="246">
        <f t="shared" si="331"/>
        <v>0</v>
      </c>
      <c r="EB66" s="205">
        <v>0</v>
      </c>
      <c r="EC66" s="205">
        <v>0</v>
      </c>
      <c r="ED66" s="205">
        <v>0</v>
      </c>
      <c r="EE66" s="205">
        <v>0</v>
      </c>
      <c r="EF66" s="205">
        <v>0</v>
      </c>
      <c r="EG66" s="205">
        <v>0</v>
      </c>
      <c r="EH66" s="205">
        <v>0</v>
      </c>
      <c r="EI66" s="205">
        <v>0</v>
      </c>
      <c r="EJ66" s="205">
        <v>0</v>
      </c>
      <c r="EK66" s="205">
        <v>0</v>
      </c>
      <c r="EL66" s="205">
        <v>0</v>
      </c>
      <c r="EM66" s="205">
        <v>0</v>
      </c>
      <c r="EN66" s="202">
        <f t="shared" si="333"/>
        <v>0</v>
      </c>
      <c r="EO66" s="205">
        <v>0</v>
      </c>
      <c r="EP66" s="205">
        <v>0</v>
      </c>
      <c r="EQ66" s="205">
        <v>0</v>
      </c>
      <c r="ER66" s="205">
        <v>0</v>
      </c>
      <c r="ES66" s="205">
        <v>0</v>
      </c>
      <c r="ET66" s="205">
        <v>0</v>
      </c>
      <c r="EU66" s="205">
        <v>0</v>
      </c>
      <c r="EV66" s="963">
        <v>0</v>
      </c>
      <c r="EW66" s="205"/>
      <c r="EX66" s="205"/>
      <c r="EY66" s="205"/>
      <c r="EZ66" s="205"/>
      <c r="FA66" s="202">
        <f t="shared" si="336"/>
        <v>0</v>
      </c>
      <c r="FC66" s="316" t="str">
        <f t="shared" si="337"/>
        <v>-</v>
      </c>
      <c r="FD66" s="316" t="str">
        <f t="shared" si="338"/>
        <v>-</v>
      </c>
      <c r="FE66" s="148">
        <f t="shared" si="339"/>
        <v>0</v>
      </c>
      <c r="FF66" s="148">
        <f t="shared" si="340"/>
        <v>0</v>
      </c>
      <c r="FG66" s="127"/>
    </row>
    <row r="67" spans="1:163" ht="15" customHeight="1" x14ac:dyDescent="0.25">
      <c r="A67" s="303" t="s">
        <v>446</v>
      </c>
      <c r="B67" s="24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46"/>
      <c r="N67" s="246">
        <f t="shared" si="306"/>
        <v>0</v>
      </c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46"/>
      <c r="AA67" s="205">
        <f t="shared" si="307"/>
        <v>0</v>
      </c>
      <c r="AB67" s="24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2">
        <f t="shared" si="308"/>
        <v>0</v>
      </c>
      <c r="AO67" s="24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46"/>
      <c r="BA67" s="246">
        <f t="shared" si="310"/>
        <v>0</v>
      </c>
      <c r="BB67" s="205"/>
      <c r="BC67" s="205"/>
      <c r="BD67" s="205"/>
      <c r="BE67" s="205"/>
      <c r="BF67" s="205"/>
      <c r="BG67" s="205"/>
      <c r="BH67" s="205"/>
      <c r="BI67" s="205"/>
      <c r="BJ67" s="205"/>
      <c r="BK67" s="205"/>
      <c r="BL67" s="205"/>
      <c r="BM67" s="246"/>
      <c r="BN67" s="246">
        <f t="shared" si="312"/>
        <v>0</v>
      </c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5"/>
      <c r="BZ67" s="205"/>
      <c r="CA67" s="202">
        <f t="shared" si="341"/>
        <v>0</v>
      </c>
      <c r="CB67" s="205"/>
      <c r="CC67" s="205"/>
      <c r="CD67" s="205"/>
      <c r="CE67" s="205"/>
      <c r="CF67" s="205"/>
      <c r="CG67" s="205"/>
      <c r="CH67" s="205"/>
      <c r="CI67" s="205"/>
      <c r="CJ67" s="205"/>
      <c r="CK67" s="205"/>
      <c r="CL67" s="205"/>
      <c r="CM67" s="246"/>
      <c r="CN67" s="246">
        <f t="shared" si="325"/>
        <v>0</v>
      </c>
      <c r="CO67" s="245"/>
      <c r="CP67" s="205"/>
      <c r="CQ67" s="205"/>
      <c r="CR67" s="205"/>
      <c r="CS67" s="205"/>
      <c r="CT67" s="205"/>
      <c r="CU67" s="205"/>
      <c r="CV67" s="205"/>
      <c r="CW67" s="205"/>
      <c r="CX67" s="205"/>
      <c r="CY67" s="205"/>
      <c r="CZ67" s="246"/>
      <c r="DA67" s="202">
        <f t="shared" si="327"/>
        <v>0</v>
      </c>
      <c r="DB67" s="245"/>
      <c r="DC67" s="205"/>
      <c r="DD67" s="205"/>
      <c r="DE67" s="205"/>
      <c r="DF67" s="205"/>
      <c r="DG67" s="205"/>
      <c r="DH67" s="205"/>
      <c r="DI67" s="205"/>
      <c r="DJ67" s="205"/>
      <c r="DK67" s="205"/>
      <c r="DL67" s="205"/>
      <c r="DM67" s="246"/>
      <c r="DN67" s="205">
        <f t="shared" si="329"/>
        <v>0</v>
      </c>
      <c r="DO67" s="245"/>
      <c r="DP67" s="205"/>
      <c r="DQ67" s="205"/>
      <c r="DR67" s="205"/>
      <c r="DS67" s="205"/>
      <c r="DT67" s="205"/>
      <c r="DU67" s="205"/>
      <c r="DV67" s="205"/>
      <c r="DW67" s="205"/>
      <c r="DX67" s="205"/>
      <c r="DY67" s="205"/>
      <c r="DZ67" s="246"/>
      <c r="EA67" s="246">
        <f t="shared" si="331"/>
        <v>0</v>
      </c>
      <c r="EB67" s="205">
        <v>0</v>
      </c>
      <c r="EC67" s="205">
        <v>0</v>
      </c>
      <c r="ED67" s="205">
        <v>0</v>
      </c>
      <c r="EE67" s="205">
        <v>0</v>
      </c>
      <c r="EF67" s="205">
        <v>0</v>
      </c>
      <c r="EG67" s="205"/>
      <c r="EH67" s="205">
        <v>0</v>
      </c>
      <c r="EI67" s="205">
        <v>0</v>
      </c>
      <c r="EJ67" s="205">
        <v>0</v>
      </c>
      <c r="EK67" s="205">
        <v>0</v>
      </c>
      <c r="EL67" s="205">
        <v>0</v>
      </c>
      <c r="EM67" s="205">
        <v>0</v>
      </c>
      <c r="EN67" s="202">
        <f t="shared" si="333"/>
        <v>0</v>
      </c>
      <c r="EO67" s="205">
        <v>0</v>
      </c>
      <c r="EP67" s="205">
        <v>0</v>
      </c>
      <c r="EQ67" s="205">
        <v>0</v>
      </c>
      <c r="ER67" s="205">
        <v>0</v>
      </c>
      <c r="ES67" s="205">
        <v>0</v>
      </c>
      <c r="ET67" s="205">
        <v>0</v>
      </c>
      <c r="EU67" s="205">
        <v>0</v>
      </c>
      <c r="EV67" s="963">
        <v>0</v>
      </c>
      <c r="EW67" s="205"/>
      <c r="EX67" s="205"/>
      <c r="EY67" s="205"/>
      <c r="EZ67" s="205"/>
      <c r="FA67" s="202">
        <f t="shared" si="336"/>
        <v>0</v>
      </c>
      <c r="FC67" s="316" t="str">
        <f t="shared" si="337"/>
        <v>-</v>
      </c>
      <c r="FD67" s="316" t="str">
        <f t="shared" si="338"/>
        <v>-</v>
      </c>
      <c r="FE67" s="148">
        <f t="shared" si="339"/>
        <v>0</v>
      </c>
      <c r="FF67" s="148">
        <f t="shared" si="340"/>
        <v>0</v>
      </c>
      <c r="FG67" s="127"/>
    </row>
    <row r="68" spans="1:163" ht="15" customHeight="1" x14ac:dyDescent="0.25">
      <c r="A68" s="303" t="s">
        <v>447</v>
      </c>
      <c r="B68" s="24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46"/>
      <c r="N68" s="246">
        <f t="shared" si="306"/>
        <v>0</v>
      </c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46"/>
      <c r="AA68" s="205">
        <f t="shared" si="307"/>
        <v>0</v>
      </c>
      <c r="AB68" s="24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2">
        <f t="shared" si="308"/>
        <v>0</v>
      </c>
      <c r="AO68" s="24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46"/>
      <c r="BA68" s="246">
        <f t="shared" si="310"/>
        <v>0</v>
      </c>
      <c r="BB68" s="205"/>
      <c r="BC68" s="205"/>
      <c r="BD68" s="205"/>
      <c r="BE68" s="205"/>
      <c r="BF68" s="205"/>
      <c r="BG68" s="205"/>
      <c r="BH68" s="205"/>
      <c r="BI68" s="205"/>
      <c r="BJ68" s="205"/>
      <c r="BK68" s="205"/>
      <c r="BL68" s="205"/>
      <c r="BM68" s="246"/>
      <c r="BN68" s="246">
        <f t="shared" si="312"/>
        <v>0</v>
      </c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2">
        <f t="shared" si="341"/>
        <v>0</v>
      </c>
      <c r="CB68" s="205"/>
      <c r="CC68" s="205"/>
      <c r="CD68" s="205"/>
      <c r="CE68" s="205"/>
      <c r="CF68" s="205"/>
      <c r="CG68" s="205"/>
      <c r="CH68" s="205"/>
      <c r="CI68" s="205"/>
      <c r="CJ68" s="205"/>
      <c r="CK68" s="205"/>
      <c r="CL68" s="205"/>
      <c r="CM68" s="246"/>
      <c r="CN68" s="246">
        <f t="shared" si="325"/>
        <v>0</v>
      </c>
      <c r="CO68" s="245"/>
      <c r="CP68" s="205"/>
      <c r="CQ68" s="205"/>
      <c r="CR68" s="205"/>
      <c r="CS68" s="205"/>
      <c r="CT68" s="205"/>
      <c r="CU68" s="205"/>
      <c r="CV68" s="205"/>
      <c r="CW68" s="205"/>
      <c r="CX68" s="205"/>
      <c r="CY68" s="205"/>
      <c r="CZ68" s="246"/>
      <c r="DA68" s="202">
        <f t="shared" si="327"/>
        <v>0</v>
      </c>
      <c r="DB68" s="245"/>
      <c r="DC68" s="205"/>
      <c r="DD68" s="205"/>
      <c r="DE68" s="205"/>
      <c r="DF68" s="205"/>
      <c r="DG68" s="205"/>
      <c r="DH68" s="205"/>
      <c r="DI68" s="205"/>
      <c r="DJ68" s="205"/>
      <c r="DK68" s="205"/>
      <c r="DL68" s="205"/>
      <c r="DM68" s="246"/>
      <c r="DN68" s="205">
        <f t="shared" si="329"/>
        <v>0</v>
      </c>
      <c r="DO68" s="245"/>
      <c r="DP68" s="205"/>
      <c r="DQ68" s="205"/>
      <c r="DR68" s="205"/>
      <c r="DS68" s="205"/>
      <c r="DT68" s="205"/>
      <c r="DU68" s="205"/>
      <c r="DV68" s="205"/>
      <c r="DW68" s="205"/>
      <c r="DX68" s="205"/>
      <c r="DY68" s="205"/>
      <c r="DZ68" s="246"/>
      <c r="EA68" s="246">
        <f t="shared" si="331"/>
        <v>0</v>
      </c>
      <c r="EB68" s="205">
        <v>0</v>
      </c>
      <c r="EC68" s="205">
        <v>0</v>
      </c>
      <c r="ED68" s="205">
        <v>0</v>
      </c>
      <c r="EE68" s="205">
        <v>0</v>
      </c>
      <c r="EF68" s="205">
        <v>0</v>
      </c>
      <c r="EG68" s="205">
        <v>0</v>
      </c>
      <c r="EH68" s="205">
        <v>0</v>
      </c>
      <c r="EI68" s="205">
        <v>0</v>
      </c>
      <c r="EJ68" s="205">
        <v>0</v>
      </c>
      <c r="EK68" s="205">
        <v>0</v>
      </c>
      <c r="EL68" s="205">
        <v>0</v>
      </c>
      <c r="EM68" s="205">
        <v>0</v>
      </c>
      <c r="EN68" s="202">
        <f t="shared" si="333"/>
        <v>0</v>
      </c>
      <c r="EO68" s="205">
        <v>0</v>
      </c>
      <c r="EP68" s="205">
        <v>0</v>
      </c>
      <c r="EQ68" s="205">
        <v>0</v>
      </c>
      <c r="ER68" s="205">
        <v>0</v>
      </c>
      <c r="ES68" s="205">
        <v>0</v>
      </c>
      <c r="ET68" s="205">
        <v>0</v>
      </c>
      <c r="EU68" s="205">
        <v>0</v>
      </c>
      <c r="EV68" s="963">
        <v>0</v>
      </c>
      <c r="EW68" s="205"/>
      <c r="EX68" s="205"/>
      <c r="EY68" s="205"/>
      <c r="EZ68" s="205"/>
      <c r="FA68" s="202">
        <f t="shared" si="336"/>
        <v>0</v>
      </c>
      <c r="FC68" s="316" t="str">
        <f t="shared" si="337"/>
        <v>-</v>
      </c>
      <c r="FD68" s="316" t="str">
        <f t="shared" si="338"/>
        <v>-</v>
      </c>
      <c r="FE68" s="148">
        <f t="shared" si="339"/>
        <v>0</v>
      </c>
      <c r="FF68" s="148">
        <f t="shared" si="340"/>
        <v>0</v>
      </c>
      <c r="FG68" s="127"/>
    </row>
    <row r="69" spans="1:163" ht="15" customHeight="1" x14ac:dyDescent="0.25">
      <c r="A69" s="302" t="s">
        <v>477</v>
      </c>
      <c r="B69" s="298">
        <f t="shared" ref="B69:AM69" si="352">B70+B76+B77+B78+B79</f>
        <v>14614.955</v>
      </c>
      <c r="C69" s="299">
        <f t="shared" si="352"/>
        <v>19461</v>
      </c>
      <c r="D69" s="299">
        <f t="shared" si="352"/>
        <v>19370.699000000001</v>
      </c>
      <c r="E69" s="299">
        <f t="shared" si="352"/>
        <v>16151</v>
      </c>
      <c r="F69" s="299">
        <f t="shared" si="352"/>
        <v>23952</v>
      </c>
      <c r="G69" s="299">
        <f t="shared" si="352"/>
        <v>21556</v>
      </c>
      <c r="H69" s="299">
        <f t="shared" si="352"/>
        <v>16165</v>
      </c>
      <c r="I69" s="299">
        <f t="shared" si="352"/>
        <v>17025</v>
      </c>
      <c r="J69" s="299">
        <f t="shared" si="352"/>
        <v>16000</v>
      </c>
      <c r="K69" s="299">
        <f t="shared" si="352"/>
        <v>16587</v>
      </c>
      <c r="L69" s="299">
        <f t="shared" si="352"/>
        <v>26234</v>
      </c>
      <c r="M69" s="300">
        <f t="shared" si="352"/>
        <v>17033</v>
      </c>
      <c r="N69" s="300">
        <f t="shared" si="306"/>
        <v>224149.65400000001</v>
      </c>
      <c r="O69" s="299">
        <f t="shared" si="352"/>
        <v>16043</v>
      </c>
      <c r="P69" s="299">
        <f t="shared" si="352"/>
        <v>6376</v>
      </c>
      <c r="Q69" s="299">
        <f t="shared" si="352"/>
        <v>27061</v>
      </c>
      <c r="R69" s="299">
        <f t="shared" si="352"/>
        <v>14929</v>
      </c>
      <c r="S69" s="299">
        <f t="shared" si="352"/>
        <v>21647</v>
      </c>
      <c r="T69" s="299">
        <f t="shared" si="352"/>
        <v>14647</v>
      </c>
      <c r="U69" s="299">
        <f t="shared" si="352"/>
        <v>15598</v>
      </c>
      <c r="V69" s="299">
        <f t="shared" si="352"/>
        <v>12538</v>
      </c>
      <c r="W69" s="299">
        <f t="shared" si="352"/>
        <v>14571</v>
      </c>
      <c r="X69" s="299">
        <f t="shared" si="352"/>
        <v>14923</v>
      </c>
      <c r="Y69" s="299">
        <f t="shared" si="352"/>
        <v>24929</v>
      </c>
      <c r="Z69" s="300">
        <f t="shared" si="352"/>
        <v>15814</v>
      </c>
      <c r="AA69" s="299">
        <f t="shared" si="307"/>
        <v>199076</v>
      </c>
      <c r="AB69" s="298">
        <f t="shared" si="352"/>
        <v>12536</v>
      </c>
      <c r="AC69" s="299">
        <f t="shared" si="352"/>
        <v>7226</v>
      </c>
      <c r="AD69" s="299">
        <f t="shared" si="352"/>
        <v>27365</v>
      </c>
      <c r="AE69" s="299">
        <f t="shared" si="352"/>
        <v>12863</v>
      </c>
      <c r="AF69" s="299">
        <f t="shared" si="352"/>
        <v>23880</v>
      </c>
      <c r="AG69" s="299">
        <f t="shared" si="352"/>
        <v>15117</v>
      </c>
      <c r="AH69" s="299">
        <f t="shared" si="352"/>
        <v>13330</v>
      </c>
      <c r="AI69" s="299">
        <f t="shared" si="352"/>
        <v>14133</v>
      </c>
      <c r="AJ69" s="299">
        <f t="shared" si="352"/>
        <v>17470</v>
      </c>
      <c r="AK69" s="299">
        <f t="shared" si="352"/>
        <v>23793</v>
      </c>
      <c r="AL69" s="299">
        <f t="shared" si="352"/>
        <v>17236</v>
      </c>
      <c r="AM69" s="299">
        <f t="shared" si="352"/>
        <v>16748</v>
      </c>
      <c r="AN69" s="257">
        <f t="shared" si="308"/>
        <v>201697</v>
      </c>
      <c r="AO69" s="298">
        <f t="shared" ref="AO69:AZ69" si="353">AO70+AO76+AO77+AO78+AO79</f>
        <v>11234</v>
      </c>
      <c r="AP69" s="299">
        <f t="shared" si="353"/>
        <v>22648</v>
      </c>
      <c r="AQ69" s="299">
        <f t="shared" si="353"/>
        <v>15341</v>
      </c>
      <c r="AR69" s="299">
        <f t="shared" si="353"/>
        <v>22493</v>
      </c>
      <c r="AS69" s="299">
        <f t="shared" si="353"/>
        <v>14899</v>
      </c>
      <c r="AT69" s="299">
        <f t="shared" si="353"/>
        <v>22114</v>
      </c>
      <c r="AU69" s="299">
        <f t="shared" si="353"/>
        <v>13073</v>
      </c>
      <c r="AV69" s="299">
        <f t="shared" si="353"/>
        <v>15337</v>
      </c>
      <c r="AW69" s="299">
        <f t="shared" si="353"/>
        <v>12703</v>
      </c>
      <c r="AX69" s="299">
        <f t="shared" si="353"/>
        <v>31718</v>
      </c>
      <c r="AY69" s="299">
        <f t="shared" si="353"/>
        <v>19132</v>
      </c>
      <c r="AZ69" s="300">
        <f t="shared" si="353"/>
        <v>18167</v>
      </c>
      <c r="BA69" s="300">
        <f t="shared" si="310"/>
        <v>218859</v>
      </c>
      <c r="BB69" s="299">
        <f t="shared" ref="BB69:BM69" si="354">BB70+BB76+BB77+BB78+BB79</f>
        <v>13885</v>
      </c>
      <c r="BC69" s="299">
        <f t="shared" si="354"/>
        <v>23760</v>
      </c>
      <c r="BD69" s="299">
        <f t="shared" si="354"/>
        <v>17078</v>
      </c>
      <c r="BE69" s="299">
        <f t="shared" si="354"/>
        <v>15493</v>
      </c>
      <c r="BF69" s="299">
        <f t="shared" si="354"/>
        <v>21578</v>
      </c>
      <c r="BG69" s="299">
        <f t="shared" si="354"/>
        <v>18275</v>
      </c>
      <c r="BH69" s="299">
        <f t="shared" si="354"/>
        <v>17063</v>
      </c>
      <c r="BI69" s="299">
        <f t="shared" si="354"/>
        <v>16161</v>
      </c>
      <c r="BJ69" s="299">
        <f t="shared" si="354"/>
        <v>17378</v>
      </c>
      <c r="BK69" s="299">
        <f t="shared" si="354"/>
        <v>18135</v>
      </c>
      <c r="BL69" s="299">
        <f t="shared" si="354"/>
        <v>18379</v>
      </c>
      <c r="BM69" s="300">
        <f t="shared" si="354"/>
        <v>20058</v>
      </c>
      <c r="BN69" s="300">
        <f t="shared" si="312"/>
        <v>217243</v>
      </c>
      <c r="BO69" s="299">
        <f>BO70+BO76+BO77+BO78+BO79</f>
        <v>15398</v>
      </c>
      <c r="BP69" s="299">
        <f>BP70+BP76+BP77+BP78+BP79</f>
        <v>4565</v>
      </c>
      <c r="BQ69" s="299">
        <f>BQ70+BQ76+BQ77+BQ78+BQ79</f>
        <v>36453</v>
      </c>
      <c r="BR69" s="299">
        <f>BR70+BR76+BR77+BR78+BR79</f>
        <v>11664</v>
      </c>
      <c r="BS69" s="299">
        <f t="shared" ref="BS69:BZ69" si="355">BS70+BS76+BS77+BS78+BS79</f>
        <v>8220</v>
      </c>
      <c r="BT69" s="299">
        <f t="shared" si="355"/>
        <v>18067</v>
      </c>
      <c r="BU69" s="299">
        <f t="shared" si="355"/>
        <v>14803</v>
      </c>
      <c r="BV69" s="299">
        <f t="shared" si="355"/>
        <v>16573</v>
      </c>
      <c r="BW69" s="299">
        <f t="shared" si="355"/>
        <v>21131</v>
      </c>
      <c r="BX69" s="299">
        <f t="shared" si="355"/>
        <v>17179</v>
      </c>
      <c r="BY69" s="299">
        <f>BY70+BY76+BY77+BY78+BY79</f>
        <v>14640</v>
      </c>
      <c r="BZ69" s="299">
        <f t="shared" si="355"/>
        <v>19333</v>
      </c>
      <c r="CA69" s="202">
        <f t="shared" si="341"/>
        <v>198026</v>
      </c>
      <c r="CB69" s="299">
        <f>CB70+CB76+CB77+CB78+CB79</f>
        <v>21492</v>
      </c>
      <c r="CC69" s="299">
        <f t="shared" ref="CC69:CM69" si="356">CC70+CC76+CC77+CC78+CC79</f>
        <v>25275</v>
      </c>
      <c r="CD69" s="299">
        <f t="shared" si="356"/>
        <v>21096</v>
      </c>
      <c r="CE69" s="299">
        <f t="shared" si="356"/>
        <v>31893</v>
      </c>
      <c r="CF69" s="299">
        <f t="shared" si="356"/>
        <v>20833</v>
      </c>
      <c r="CG69" s="299">
        <f t="shared" si="356"/>
        <v>24324</v>
      </c>
      <c r="CH69" s="299">
        <f t="shared" si="356"/>
        <v>21852</v>
      </c>
      <c r="CI69" s="299">
        <f t="shared" si="356"/>
        <v>21440</v>
      </c>
      <c r="CJ69" s="299">
        <f t="shared" si="356"/>
        <v>27356</v>
      </c>
      <c r="CK69" s="299">
        <f t="shared" si="356"/>
        <v>24029</v>
      </c>
      <c r="CL69" s="299">
        <f t="shared" si="356"/>
        <v>21212</v>
      </c>
      <c r="CM69" s="300">
        <f t="shared" si="356"/>
        <v>32911</v>
      </c>
      <c r="CN69" s="300">
        <f t="shared" si="325"/>
        <v>293713</v>
      </c>
      <c r="CO69" s="298">
        <f t="shared" ref="CO69:CZ69" si="357">CO70+CO76+CO77+CO78+CO79</f>
        <v>34033</v>
      </c>
      <c r="CP69" s="299">
        <f t="shared" si="357"/>
        <v>35372</v>
      </c>
      <c r="CQ69" s="299">
        <f t="shared" si="357"/>
        <v>35130</v>
      </c>
      <c r="CR69" s="299">
        <f t="shared" si="357"/>
        <v>33124</v>
      </c>
      <c r="CS69" s="299">
        <f t="shared" si="357"/>
        <v>47120</v>
      </c>
      <c r="CT69" s="299">
        <f t="shared" si="357"/>
        <v>33486</v>
      </c>
      <c r="CU69" s="299">
        <f t="shared" si="357"/>
        <v>35449</v>
      </c>
      <c r="CV69" s="299">
        <f t="shared" si="357"/>
        <v>31731</v>
      </c>
      <c r="CW69" s="299">
        <f t="shared" si="357"/>
        <v>36574</v>
      </c>
      <c r="CX69" s="299">
        <f t="shared" si="357"/>
        <v>34820</v>
      </c>
      <c r="CY69" s="299">
        <f t="shared" si="357"/>
        <v>27869</v>
      </c>
      <c r="CZ69" s="300">
        <f t="shared" si="357"/>
        <v>32750</v>
      </c>
      <c r="DA69" s="257">
        <f t="shared" si="327"/>
        <v>417458</v>
      </c>
      <c r="DB69" s="298">
        <f t="shared" ref="DB69:DM69" si="358">DB70+DB76+DB77+DB78+DB79</f>
        <v>32213</v>
      </c>
      <c r="DC69" s="299">
        <f t="shared" si="358"/>
        <v>36467</v>
      </c>
      <c r="DD69" s="299">
        <f t="shared" si="358"/>
        <v>30191</v>
      </c>
      <c r="DE69" s="299">
        <f t="shared" si="358"/>
        <v>36792</v>
      </c>
      <c r="DF69" s="299">
        <f t="shared" si="358"/>
        <v>41019</v>
      </c>
      <c r="DG69" s="299">
        <f t="shared" si="358"/>
        <v>30615</v>
      </c>
      <c r="DH69" s="299">
        <f t="shared" si="358"/>
        <v>23741</v>
      </c>
      <c r="DI69" s="299">
        <f t="shared" si="358"/>
        <v>31265</v>
      </c>
      <c r="DJ69" s="299">
        <f t="shared" si="358"/>
        <v>26427</v>
      </c>
      <c r="DK69" s="299">
        <f t="shared" si="358"/>
        <v>30484</v>
      </c>
      <c r="DL69" s="299">
        <f t="shared" si="358"/>
        <v>30646</v>
      </c>
      <c r="DM69" s="300">
        <f t="shared" si="358"/>
        <v>27813</v>
      </c>
      <c r="DN69" s="299">
        <f t="shared" si="329"/>
        <v>377673</v>
      </c>
      <c r="DO69" s="298">
        <f t="shared" ref="DO69:DZ69" si="359">DO70+DO76+DO77+DO78+DO79</f>
        <v>24148</v>
      </c>
      <c r="DP69" s="299">
        <f t="shared" si="359"/>
        <v>40281</v>
      </c>
      <c r="DQ69" s="299">
        <f t="shared" si="359"/>
        <v>30013</v>
      </c>
      <c r="DR69" s="299">
        <f t="shared" si="359"/>
        <v>28267</v>
      </c>
      <c r="DS69" s="299">
        <f t="shared" si="359"/>
        <v>41259</v>
      </c>
      <c r="DT69" s="299">
        <f t="shared" si="359"/>
        <v>30251</v>
      </c>
      <c r="DU69" s="299">
        <f t="shared" si="359"/>
        <v>30296</v>
      </c>
      <c r="DV69" s="299">
        <f t="shared" si="359"/>
        <v>31592</v>
      </c>
      <c r="DW69" s="299">
        <f t="shared" si="359"/>
        <v>31517</v>
      </c>
      <c r="DX69" s="299">
        <f t="shared" si="359"/>
        <v>34327</v>
      </c>
      <c r="DY69" s="299">
        <f t="shared" si="359"/>
        <v>32880</v>
      </c>
      <c r="DZ69" s="300">
        <f t="shared" si="359"/>
        <v>37844</v>
      </c>
      <c r="EA69" s="300">
        <f t="shared" si="331"/>
        <v>392675</v>
      </c>
      <c r="EB69" s="299">
        <f t="shared" ref="EB69:ED69" si="360">EB70+EB76+EB77+EB78+EB79</f>
        <v>29485</v>
      </c>
      <c r="EC69" s="299">
        <f t="shared" si="360"/>
        <v>48705</v>
      </c>
      <c r="ED69" s="299">
        <f t="shared" si="360"/>
        <v>33609</v>
      </c>
      <c r="EE69" s="299">
        <f>EE70+EE76+EE77+EE78+EE79</f>
        <v>32170</v>
      </c>
      <c r="EF69" s="299">
        <f>EF70+EF76+EF77+EF78+EF79</f>
        <v>46443</v>
      </c>
      <c r="EG69" s="299">
        <f t="shared" ref="EG69:EM69" si="361">EG70+EG76+EG77+EG78+EG79</f>
        <v>30804</v>
      </c>
      <c r="EH69" s="299">
        <f t="shared" si="361"/>
        <v>32385</v>
      </c>
      <c r="EI69" s="299">
        <f t="shared" si="361"/>
        <v>34656</v>
      </c>
      <c r="EJ69" s="299">
        <f t="shared" si="361"/>
        <v>33143</v>
      </c>
      <c r="EK69" s="299">
        <f t="shared" si="361"/>
        <v>33506</v>
      </c>
      <c r="EL69" s="299">
        <f t="shared" si="361"/>
        <v>33540</v>
      </c>
      <c r="EM69" s="299">
        <f t="shared" si="361"/>
        <v>27899</v>
      </c>
      <c r="EN69" s="257">
        <f t="shared" si="333"/>
        <v>416345</v>
      </c>
      <c r="EO69" s="299">
        <f t="shared" ref="EO69:ER69" si="362">EO70+EO76+EO77+EO78+EO79</f>
        <v>29170</v>
      </c>
      <c r="EP69" s="299">
        <f t="shared" si="362"/>
        <v>42683</v>
      </c>
      <c r="EQ69" s="299">
        <f t="shared" si="362"/>
        <v>35709</v>
      </c>
      <c r="ER69" s="299">
        <f t="shared" si="362"/>
        <v>32702</v>
      </c>
      <c r="ES69" s="299">
        <f>ES70+ES76+ES77+ES78+ES79</f>
        <v>49296</v>
      </c>
      <c r="ET69" s="299">
        <f t="shared" ref="ET69" si="363">ET70+ET76+ET77+ET78+ET79</f>
        <v>44557</v>
      </c>
      <c r="EU69" s="299">
        <v>41887</v>
      </c>
      <c r="EV69" s="967">
        <v>35987</v>
      </c>
      <c r="EW69" s="299"/>
      <c r="EX69" s="299"/>
      <c r="EY69" s="299"/>
      <c r="EZ69" s="299"/>
      <c r="FA69" s="257">
        <f t="shared" si="336"/>
        <v>311991</v>
      </c>
      <c r="FC69" s="317">
        <f t="shared" si="337"/>
        <v>3.8406048014773875</v>
      </c>
      <c r="FD69" s="317">
        <f t="shared" si="338"/>
        <v>8.2336248555975988</v>
      </c>
      <c r="FE69" s="145">
        <f t="shared" si="339"/>
        <v>288257</v>
      </c>
      <c r="FF69" s="145">
        <f t="shared" si="340"/>
        <v>311991</v>
      </c>
      <c r="FG69" s="236"/>
    </row>
    <row r="70" spans="1:163" ht="15" customHeight="1" x14ac:dyDescent="0.25">
      <c r="A70" s="302" t="s">
        <v>449</v>
      </c>
      <c r="B70" s="298">
        <f t="shared" ref="B70:AM70" si="364">SUM(B71:B75)</f>
        <v>3401</v>
      </c>
      <c r="C70" s="299">
        <f t="shared" si="364"/>
        <v>994</v>
      </c>
      <c r="D70" s="299">
        <f t="shared" si="364"/>
        <v>5684.0110000000004</v>
      </c>
      <c r="E70" s="299">
        <f t="shared" si="364"/>
        <v>4434</v>
      </c>
      <c r="F70" s="299">
        <f t="shared" si="364"/>
        <v>4377</v>
      </c>
      <c r="G70" s="299">
        <f t="shared" si="364"/>
        <v>3479</v>
      </c>
      <c r="H70" s="299">
        <f t="shared" si="364"/>
        <v>2215</v>
      </c>
      <c r="I70" s="299">
        <f t="shared" si="364"/>
        <v>3157</v>
      </c>
      <c r="J70" s="299">
        <f t="shared" si="364"/>
        <v>3195</v>
      </c>
      <c r="K70" s="299">
        <f t="shared" si="364"/>
        <v>3590</v>
      </c>
      <c r="L70" s="299">
        <f t="shared" si="364"/>
        <v>3455</v>
      </c>
      <c r="M70" s="300">
        <f t="shared" si="364"/>
        <v>3066</v>
      </c>
      <c r="N70" s="300">
        <f t="shared" si="306"/>
        <v>41047.010999999999</v>
      </c>
      <c r="O70" s="299">
        <f t="shared" si="364"/>
        <v>3431</v>
      </c>
      <c r="P70" s="299">
        <f t="shared" si="364"/>
        <v>399</v>
      </c>
      <c r="Q70" s="299">
        <f t="shared" si="364"/>
        <v>5627</v>
      </c>
      <c r="R70" s="299">
        <f t="shared" si="364"/>
        <v>2193</v>
      </c>
      <c r="S70" s="299">
        <f t="shared" si="364"/>
        <v>2318</v>
      </c>
      <c r="T70" s="299">
        <f t="shared" si="364"/>
        <v>1648</v>
      </c>
      <c r="U70" s="299">
        <f t="shared" si="364"/>
        <v>2115</v>
      </c>
      <c r="V70" s="299">
        <f t="shared" si="364"/>
        <v>1160</v>
      </c>
      <c r="W70" s="299">
        <f t="shared" si="364"/>
        <v>1062</v>
      </c>
      <c r="X70" s="299">
        <f t="shared" si="364"/>
        <v>400</v>
      </c>
      <c r="Y70" s="299">
        <f t="shared" si="364"/>
        <v>1408</v>
      </c>
      <c r="Z70" s="300">
        <f t="shared" si="364"/>
        <v>744</v>
      </c>
      <c r="AA70" s="299">
        <f t="shared" si="307"/>
        <v>22505</v>
      </c>
      <c r="AB70" s="298">
        <f t="shared" si="364"/>
        <v>689</v>
      </c>
      <c r="AC70" s="299">
        <f t="shared" si="364"/>
        <v>293</v>
      </c>
      <c r="AD70" s="299">
        <f t="shared" si="364"/>
        <v>2618</v>
      </c>
      <c r="AE70" s="299">
        <f t="shared" si="364"/>
        <v>1772</v>
      </c>
      <c r="AF70" s="299">
        <f t="shared" si="364"/>
        <v>2166</v>
      </c>
      <c r="AG70" s="299">
        <f t="shared" si="364"/>
        <v>1140</v>
      </c>
      <c r="AH70" s="299">
        <f t="shared" si="364"/>
        <v>1035</v>
      </c>
      <c r="AI70" s="299">
        <f t="shared" si="364"/>
        <v>1368</v>
      </c>
      <c r="AJ70" s="299">
        <f t="shared" si="364"/>
        <v>2465</v>
      </c>
      <c r="AK70" s="299">
        <f t="shared" si="364"/>
        <v>2131</v>
      </c>
      <c r="AL70" s="299">
        <f t="shared" si="364"/>
        <v>862</v>
      </c>
      <c r="AM70" s="299">
        <f t="shared" si="364"/>
        <v>1476</v>
      </c>
      <c r="AN70" s="257">
        <f t="shared" si="308"/>
        <v>18015</v>
      </c>
      <c r="AO70" s="298">
        <f t="shared" ref="AO70:AZ70" si="365">SUM(AO71:AO75)</f>
        <v>1148</v>
      </c>
      <c r="AP70" s="299">
        <f t="shared" si="365"/>
        <v>2124</v>
      </c>
      <c r="AQ70" s="299">
        <f t="shared" si="365"/>
        <v>2134</v>
      </c>
      <c r="AR70" s="299">
        <f t="shared" si="365"/>
        <v>1777</v>
      </c>
      <c r="AS70" s="299">
        <f t="shared" si="365"/>
        <v>1550</v>
      </c>
      <c r="AT70" s="299">
        <f t="shared" si="365"/>
        <v>3028</v>
      </c>
      <c r="AU70" s="299">
        <f t="shared" si="365"/>
        <v>896</v>
      </c>
      <c r="AV70" s="299">
        <f t="shared" si="365"/>
        <v>1627</v>
      </c>
      <c r="AW70" s="299">
        <f t="shared" si="365"/>
        <v>32</v>
      </c>
      <c r="AX70" s="299">
        <f t="shared" si="365"/>
        <v>4398</v>
      </c>
      <c r="AY70" s="299">
        <f t="shared" si="365"/>
        <v>2137</v>
      </c>
      <c r="AZ70" s="300">
        <f t="shared" si="365"/>
        <v>2275</v>
      </c>
      <c r="BA70" s="300">
        <f t="shared" si="310"/>
        <v>23126</v>
      </c>
      <c r="BB70" s="299">
        <f>SUM(BB71:BB75)</f>
        <v>1701</v>
      </c>
      <c r="BC70" s="299">
        <f>SUM(BC71:BC75)</f>
        <v>40</v>
      </c>
      <c r="BD70" s="299">
        <f t="shared" ref="BD70:BM70" si="366">SUM(BD71:BD75)</f>
        <v>2277</v>
      </c>
      <c r="BE70" s="299">
        <f t="shared" si="366"/>
        <v>1654</v>
      </c>
      <c r="BF70" s="299">
        <f t="shared" si="366"/>
        <v>1999</v>
      </c>
      <c r="BG70" s="299">
        <f t="shared" si="366"/>
        <v>2379</v>
      </c>
      <c r="BH70" s="299">
        <f t="shared" si="366"/>
        <v>1771</v>
      </c>
      <c r="BI70" s="299">
        <f t="shared" si="366"/>
        <v>1659</v>
      </c>
      <c r="BJ70" s="299">
        <f t="shared" si="366"/>
        <v>2646</v>
      </c>
      <c r="BK70" s="299">
        <f t="shared" si="366"/>
        <v>2561</v>
      </c>
      <c r="BL70" s="299">
        <f t="shared" si="366"/>
        <v>2388</v>
      </c>
      <c r="BM70" s="300">
        <f t="shared" si="366"/>
        <v>3014</v>
      </c>
      <c r="BN70" s="300">
        <f t="shared" si="312"/>
        <v>24089</v>
      </c>
      <c r="BO70" s="299">
        <f>SUM(BO71:BO75)</f>
        <v>1788</v>
      </c>
      <c r="BP70" s="299">
        <f>SUM(BP71:BP75)</f>
        <v>68</v>
      </c>
      <c r="BQ70" s="299">
        <f>SUM(BQ71:BQ75)</f>
        <v>4260</v>
      </c>
      <c r="BR70" s="299">
        <f>SUM(BR71:BR75)</f>
        <v>670</v>
      </c>
      <c r="BS70" s="299">
        <f t="shared" ref="BS70:BZ70" si="367">SUM(BS71:BS75)</f>
        <v>309</v>
      </c>
      <c r="BT70" s="299">
        <f t="shared" si="367"/>
        <v>272</v>
      </c>
      <c r="BU70" s="299">
        <f t="shared" si="367"/>
        <v>320</v>
      </c>
      <c r="BV70" s="299">
        <f t="shared" si="367"/>
        <v>335</v>
      </c>
      <c r="BW70" s="299">
        <f t="shared" si="367"/>
        <v>548</v>
      </c>
      <c r="BX70" s="299">
        <f t="shared" si="367"/>
        <v>377</v>
      </c>
      <c r="BY70" s="299">
        <f t="shared" si="367"/>
        <v>840</v>
      </c>
      <c r="BZ70" s="299">
        <f t="shared" si="367"/>
        <v>1521</v>
      </c>
      <c r="CA70" s="202">
        <f t="shared" si="341"/>
        <v>11308</v>
      </c>
      <c r="CB70" s="299">
        <f>SUM(CB71:CB75)</f>
        <v>549</v>
      </c>
      <c r="CC70" s="299">
        <f>SUM(CC71:CC75)</f>
        <v>933</v>
      </c>
      <c r="CD70" s="299">
        <f>SUM(CD71:CD75)</f>
        <v>1249</v>
      </c>
      <c r="CE70" s="299">
        <f>SUM(CE71:CE75)</f>
        <v>1184</v>
      </c>
      <c r="CF70" s="299">
        <f t="shared" ref="CF70:CM70" si="368">SUM(CF71:CF75)</f>
        <v>1295</v>
      </c>
      <c r="CG70" s="299">
        <f t="shared" si="368"/>
        <v>1562</v>
      </c>
      <c r="CH70" s="299">
        <f t="shared" si="368"/>
        <v>1419</v>
      </c>
      <c r="CI70" s="299">
        <f t="shared" si="368"/>
        <v>1108</v>
      </c>
      <c r="CJ70" s="299">
        <f t="shared" si="368"/>
        <v>1792</v>
      </c>
      <c r="CK70" s="299">
        <f t="shared" si="368"/>
        <v>1700</v>
      </c>
      <c r="CL70" s="299">
        <f t="shared" si="368"/>
        <v>1657</v>
      </c>
      <c r="CM70" s="300">
        <f t="shared" si="368"/>
        <v>1600</v>
      </c>
      <c r="CN70" s="300">
        <f t="shared" si="325"/>
        <v>16048</v>
      </c>
      <c r="CO70" s="298">
        <f t="shared" ref="CO70:CZ70" si="369">SUM(CO71:CO75)</f>
        <v>1190</v>
      </c>
      <c r="CP70" s="299">
        <f t="shared" si="369"/>
        <v>1938</v>
      </c>
      <c r="CQ70" s="299">
        <f t="shared" si="369"/>
        <v>3022</v>
      </c>
      <c r="CR70" s="299">
        <f t="shared" si="369"/>
        <v>760</v>
      </c>
      <c r="CS70" s="299">
        <f t="shared" si="369"/>
        <v>2966</v>
      </c>
      <c r="CT70" s="299">
        <f t="shared" si="369"/>
        <v>3074</v>
      </c>
      <c r="CU70" s="299">
        <f t="shared" si="369"/>
        <v>4272</v>
      </c>
      <c r="CV70" s="299">
        <f t="shared" si="369"/>
        <v>2479</v>
      </c>
      <c r="CW70" s="299">
        <f t="shared" si="369"/>
        <v>3253</v>
      </c>
      <c r="CX70" s="299">
        <f t="shared" si="369"/>
        <v>3615</v>
      </c>
      <c r="CY70" s="299">
        <f t="shared" si="369"/>
        <v>1375</v>
      </c>
      <c r="CZ70" s="300">
        <f t="shared" si="369"/>
        <v>2956</v>
      </c>
      <c r="DA70" s="257">
        <f t="shared" si="327"/>
        <v>30900</v>
      </c>
      <c r="DB70" s="298">
        <f>SUM(DB71:DB75)</f>
        <v>2436</v>
      </c>
      <c r="DC70" s="299">
        <f>SUM(DC71:DC75)</f>
        <v>475</v>
      </c>
      <c r="DD70" s="299">
        <f>SUM(DD71:DD75)</f>
        <v>1965</v>
      </c>
      <c r="DE70" s="299">
        <v>94</v>
      </c>
      <c r="DF70" s="299">
        <f t="shared" ref="DF70:DM70" si="370">SUM(DF71:DF75)</f>
        <v>4910</v>
      </c>
      <c r="DG70" s="299">
        <f t="shared" si="370"/>
        <v>2445</v>
      </c>
      <c r="DH70" s="299">
        <f t="shared" si="370"/>
        <v>2848</v>
      </c>
      <c r="DI70" s="299">
        <f t="shared" si="370"/>
        <v>2332</v>
      </c>
      <c r="DJ70" s="299">
        <f t="shared" si="370"/>
        <v>1669</v>
      </c>
      <c r="DK70" s="299">
        <f t="shared" si="370"/>
        <v>2333</v>
      </c>
      <c r="DL70" s="299">
        <f t="shared" si="370"/>
        <v>1886</v>
      </c>
      <c r="DM70" s="300">
        <f t="shared" si="370"/>
        <v>1676</v>
      </c>
      <c r="DN70" s="299">
        <f t="shared" si="329"/>
        <v>25069</v>
      </c>
      <c r="DO70" s="298">
        <f t="shared" ref="DO70:DZ70" si="371">SUM(DO71:DO75)</f>
        <v>2506</v>
      </c>
      <c r="DP70" s="299">
        <f t="shared" si="371"/>
        <v>67</v>
      </c>
      <c r="DQ70" s="299">
        <f t="shared" si="371"/>
        <v>4038</v>
      </c>
      <c r="DR70" s="299">
        <f t="shared" si="371"/>
        <v>2465</v>
      </c>
      <c r="DS70" s="299">
        <f t="shared" si="371"/>
        <v>2262</v>
      </c>
      <c r="DT70" s="299">
        <f t="shared" si="371"/>
        <v>19</v>
      </c>
      <c r="DU70" s="299">
        <f t="shared" si="371"/>
        <v>3934</v>
      </c>
      <c r="DV70" s="299">
        <f t="shared" si="371"/>
        <v>2674</v>
      </c>
      <c r="DW70" s="299">
        <f t="shared" si="371"/>
        <v>1850</v>
      </c>
      <c r="DX70" s="299">
        <f t="shared" si="371"/>
        <v>1365</v>
      </c>
      <c r="DY70" s="299">
        <f t="shared" si="371"/>
        <v>1798</v>
      </c>
      <c r="DZ70" s="300">
        <f t="shared" si="371"/>
        <v>2061</v>
      </c>
      <c r="EA70" s="300">
        <f t="shared" si="331"/>
        <v>25039</v>
      </c>
      <c r="EB70" s="299">
        <f t="shared" ref="EB70:EM70" si="372">SUM(EB71:EB75)</f>
        <v>2122</v>
      </c>
      <c r="EC70" s="299">
        <f t="shared" si="372"/>
        <v>2530</v>
      </c>
      <c r="ED70" s="299">
        <f t="shared" si="372"/>
        <v>2416</v>
      </c>
      <c r="EE70" s="299">
        <f t="shared" si="372"/>
        <v>2698</v>
      </c>
      <c r="EF70" s="299">
        <f t="shared" si="372"/>
        <v>2646</v>
      </c>
      <c r="EG70" s="299">
        <f t="shared" si="372"/>
        <v>1948</v>
      </c>
      <c r="EH70" s="299">
        <f t="shared" si="372"/>
        <v>2416</v>
      </c>
      <c r="EI70" s="299">
        <f t="shared" si="372"/>
        <v>2474</v>
      </c>
      <c r="EJ70" s="299">
        <f t="shared" si="372"/>
        <v>2883</v>
      </c>
      <c r="EK70" s="299">
        <f t="shared" si="372"/>
        <v>2062</v>
      </c>
      <c r="EL70" s="299">
        <f t="shared" si="372"/>
        <v>1961</v>
      </c>
      <c r="EM70" s="299">
        <f t="shared" si="372"/>
        <v>1441</v>
      </c>
      <c r="EN70" s="257">
        <f t="shared" si="333"/>
        <v>27597</v>
      </c>
      <c r="EO70" s="299">
        <f t="shared" ref="EO70:ER70" si="373">SUM(EO71:EO75)</f>
        <v>427</v>
      </c>
      <c r="EP70" s="299">
        <f>SUM(EP71:EP75)</f>
        <v>1625</v>
      </c>
      <c r="EQ70" s="299">
        <f t="shared" si="373"/>
        <v>3096</v>
      </c>
      <c r="ER70" s="299">
        <f t="shared" si="373"/>
        <v>1751</v>
      </c>
      <c r="ES70" s="299">
        <v>13</v>
      </c>
      <c r="ET70" s="299">
        <f t="shared" ref="ET70" si="374">SUM(ET71:ET75)</f>
        <v>4451</v>
      </c>
      <c r="EU70" s="299">
        <v>2416</v>
      </c>
      <c r="EV70" s="967">
        <v>1245</v>
      </c>
      <c r="EW70" s="299"/>
      <c r="EX70" s="299"/>
      <c r="EY70" s="299"/>
      <c r="EZ70" s="299"/>
      <c r="FA70" s="257">
        <f t="shared" si="336"/>
        <v>15024</v>
      </c>
      <c r="FC70" s="317">
        <f t="shared" si="337"/>
        <v>-49.676637025060636</v>
      </c>
      <c r="FD70" s="317">
        <f t="shared" si="338"/>
        <v>-21.953246753246759</v>
      </c>
      <c r="FE70" s="145">
        <f t="shared" si="339"/>
        <v>19250</v>
      </c>
      <c r="FF70" s="145">
        <f t="shared" si="340"/>
        <v>15024</v>
      </c>
      <c r="FG70" s="236"/>
    </row>
    <row r="71" spans="1:163" ht="15" customHeight="1" x14ac:dyDescent="0.25">
      <c r="A71" s="303" t="s">
        <v>450</v>
      </c>
      <c r="B71" s="245">
        <v>364</v>
      </c>
      <c r="C71" s="205">
        <v>19</v>
      </c>
      <c r="D71" s="205">
        <v>672</v>
      </c>
      <c r="E71" s="205">
        <v>19</v>
      </c>
      <c r="F71" s="205">
        <v>19</v>
      </c>
      <c r="G71" s="205">
        <v>8</v>
      </c>
      <c r="H71" s="205">
        <v>64</v>
      </c>
      <c r="I71" s="205">
        <v>58</v>
      </c>
      <c r="J71" s="205">
        <v>47</v>
      </c>
      <c r="K71" s="205">
        <v>35</v>
      </c>
      <c r="L71" s="205">
        <v>33</v>
      </c>
      <c r="M71" s="246">
        <v>31</v>
      </c>
      <c r="N71" s="246">
        <f t="shared" si="306"/>
        <v>1369</v>
      </c>
      <c r="O71" s="205">
        <v>416</v>
      </c>
      <c r="P71" s="205">
        <v>16</v>
      </c>
      <c r="Q71" s="205">
        <v>212</v>
      </c>
      <c r="R71" s="205">
        <v>74</v>
      </c>
      <c r="S71" s="205">
        <v>77</v>
      </c>
      <c r="T71" s="205">
        <v>52</v>
      </c>
      <c r="U71" s="205">
        <v>125</v>
      </c>
      <c r="V71" s="205">
        <v>66</v>
      </c>
      <c r="W71" s="205">
        <v>36</v>
      </c>
      <c r="X71" s="205">
        <v>-265</v>
      </c>
      <c r="Y71" s="205">
        <v>56</v>
      </c>
      <c r="Z71" s="246">
        <v>30</v>
      </c>
      <c r="AA71" s="205">
        <f t="shared" si="307"/>
        <v>895</v>
      </c>
      <c r="AB71" s="245">
        <v>14</v>
      </c>
      <c r="AC71" s="205">
        <v>209</v>
      </c>
      <c r="AD71" s="205">
        <v>181</v>
      </c>
      <c r="AE71" s="205">
        <v>139</v>
      </c>
      <c r="AF71" s="205">
        <v>116</v>
      </c>
      <c r="AG71" s="205">
        <v>114</v>
      </c>
      <c r="AH71" s="205">
        <v>92</v>
      </c>
      <c r="AI71" s="205">
        <v>102</v>
      </c>
      <c r="AJ71" s="205">
        <v>333</v>
      </c>
      <c r="AK71" s="205">
        <v>178</v>
      </c>
      <c r="AL71" s="205">
        <v>143</v>
      </c>
      <c r="AM71" s="205">
        <v>209</v>
      </c>
      <c r="AN71" s="202">
        <f t="shared" si="308"/>
        <v>1830</v>
      </c>
      <c r="AO71" s="245"/>
      <c r="AP71" s="205">
        <v>164</v>
      </c>
      <c r="AQ71" s="205">
        <v>199</v>
      </c>
      <c r="AR71" s="205"/>
      <c r="AS71" s="205">
        <v>81</v>
      </c>
      <c r="AT71" s="205">
        <v>534</v>
      </c>
      <c r="AU71" s="205">
        <v>42</v>
      </c>
      <c r="AV71" s="205">
        <v>68</v>
      </c>
      <c r="AW71" s="205"/>
      <c r="AX71" s="205">
        <v>157</v>
      </c>
      <c r="AY71" s="205">
        <v>44</v>
      </c>
      <c r="AZ71" s="246"/>
      <c r="BA71" s="246">
        <f t="shared" si="310"/>
        <v>1289</v>
      </c>
      <c r="BB71" s="205"/>
      <c r="BC71" s="205"/>
      <c r="BD71" s="205"/>
      <c r="BE71" s="205"/>
      <c r="BF71" s="205"/>
      <c r="BG71" s="205"/>
      <c r="BH71" s="205"/>
      <c r="BI71" s="205"/>
      <c r="BJ71" s="205"/>
      <c r="BK71" s="205">
        <v>354</v>
      </c>
      <c r="BL71" s="205">
        <v>53</v>
      </c>
      <c r="BM71" s="246">
        <v>37</v>
      </c>
      <c r="BN71" s="246">
        <f t="shared" si="312"/>
        <v>444</v>
      </c>
      <c r="BO71" s="205">
        <v>44</v>
      </c>
      <c r="BP71" s="205">
        <v>67</v>
      </c>
      <c r="BQ71" s="205">
        <v>65</v>
      </c>
      <c r="BR71" s="205">
        <v>15</v>
      </c>
      <c r="BS71" s="205">
        <v>10</v>
      </c>
      <c r="BT71" s="205">
        <v>17</v>
      </c>
      <c r="BU71" s="205">
        <v>21</v>
      </c>
      <c r="BV71" s="205"/>
      <c r="BW71" s="205">
        <v>316</v>
      </c>
      <c r="BX71" s="205">
        <v>19</v>
      </c>
      <c r="BY71" s="205">
        <v>53</v>
      </c>
      <c r="BZ71" s="205">
        <v>156</v>
      </c>
      <c r="CA71" s="202">
        <f t="shared" si="341"/>
        <v>783</v>
      </c>
      <c r="CB71" s="205">
        <v>92</v>
      </c>
      <c r="CC71" s="205">
        <v>129</v>
      </c>
      <c r="CD71" s="205">
        <v>109</v>
      </c>
      <c r="CE71" s="205">
        <v>103</v>
      </c>
      <c r="CF71" s="205">
        <v>86</v>
      </c>
      <c r="CG71" s="205">
        <v>120</v>
      </c>
      <c r="CH71" s="205">
        <v>118</v>
      </c>
      <c r="CI71" s="205">
        <v>14</v>
      </c>
      <c r="CJ71" s="205">
        <v>174</v>
      </c>
      <c r="CK71" s="205">
        <v>130</v>
      </c>
      <c r="CL71" s="205"/>
      <c r="CM71" s="246"/>
      <c r="CN71" s="246">
        <f t="shared" si="325"/>
        <v>1075</v>
      </c>
      <c r="CO71" s="245">
        <v>47</v>
      </c>
      <c r="CP71" s="205">
        <v>218</v>
      </c>
      <c r="CQ71" s="205">
        <v>337</v>
      </c>
      <c r="CR71" s="205">
        <v>105</v>
      </c>
      <c r="CS71" s="205">
        <v>151</v>
      </c>
      <c r="CT71" s="205">
        <v>164</v>
      </c>
      <c r="CU71" s="205">
        <v>365</v>
      </c>
      <c r="CV71" s="205">
        <v>307</v>
      </c>
      <c r="CW71" s="205">
        <v>206</v>
      </c>
      <c r="CX71" s="205">
        <v>249</v>
      </c>
      <c r="CY71" s="205">
        <v>84</v>
      </c>
      <c r="CZ71" s="246">
        <v>483</v>
      </c>
      <c r="DA71" s="202">
        <f t="shared" si="327"/>
        <v>2716</v>
      </c>
      <c r="DB71" s="245"/>
      <c r="DC71" s="205"/>
      <c r="DD71" s="205"/>
      <c r="DE71" s="205"/>
      <c r="DF71" s="205"/>
      <c r="DG71" s="205"/>
      <c r="DH71" s="205"/>
      <c r="DI71" s="205"/>
      <c r="DJ71" s="205"/>
      <c r="DK71" s="205"/>
      <c r="DL71" s="205"/>
      <c r="DM71" s="246"/>
      <c r="DN71" s="205">
        <f t="shared" si="329"/>
        <v>0</v>
      </c>
      <c r="DO71" s="245">
        <v>18</v>
      </c>
      <c r="DP71" s="205">
        <v>15</v>
      </c>
      <c r="DQ71" s="205">
        <v>136</v>
      </c>
      <c r="DR71" s="205"/>
      <c r="DS71" s="205"/>
      <c r="DT71" s="205"/>
      <c r="DU71" s="205"/>
      <c r="DV71" s="205"/>
      <c r="DW71" s="205"/>
      <c r="DX71" s="205"/>
      <c r="DY71" s="205"/>
      <c r="DZ71" s="246"/>
      <c r="EA71" s="246">
        <f t="shared" si="331"/>
        <v>169</v>
      </c>
      <c r="EB71" s="205">
        <v>103</v>
      </c>
      <c r="EC71" s="205">
        <v>120</v>
      </c>
      <c r="ED71" s="205">
        <v>28</v>
      </c>
      <c r="EE71" s="205">
        <v>0</v>
      </c>
      <c r="EF71" s="205">
        <v>0</v>
      </c>
      <c r="EG71" s="205">
        <v>89</v>
      </c>
      <c r="EH71" s="205">
        <v>212</v>
      </c>
      <c r="EI71" s="205">
        <v>92</v>
      </c>
      <c r="EJ71" s="205">
        <v>139</v>
      </c>
      <c r="EK71" s="205">
        <v>87</v>
      </c>
      <c r="EL71" s="205">
        <v>126</v>
      </c>
      <c r="EM71" s="205">
        <v>143</v>
      </c>
      <c r="EN71" s="202">
        <f t="shared" si="333"/>
        <v>1139</v>
      </c>
      <c r="EO71" s="205">
        <v>66</v>
      </c>
      <c r="EP71" s="205">
        <v>106</v>
      </c>
      <c r="EQ71" s="205">
        <v>168</v>
      </c>
      <c r="ER71" s="205">
        <v>0</v>
      </c>
      <c r="ES71" s="205">
        <v>13</v>
      </c>
      <c r="ET71" s="205">
        <v>0</v>
      </c>
      <c r="EU71" s="205">
        <v>137</v>
      </c>
      <c r="EV71" s="963">
        <v>57</v>
      </c>
      <c r="EW71" s="205"/>
      <c r="EX71" s="205"/>
      <c r="EY71" s="205"/>
      <c r="EZ71" s="205"/>
      <c r="FA71" s="202">
        <f t="shared" si="336"/>
        <v>547</v>
      </c>
      <c r="FC71" s="316">
        <f t="shared" si="337"/>
        <v>-38.04347826086957</v>
      </c>
      <c r="FD71" s="316">
        <f t="shared" si="338"/>
        <v>-15.062111801242239</v>
      </c>
      <c r="FE71" s="148">
        <f t="shared" si="339"/>
        <v>644</v>
      </c>
      <c r="FF71" s="148">
        <f t="shared" si="340"/>
        <v>547</v>
      </c>
      <c r="FG71" s="127"/>
    </row>
    <row r="72" spans="1:163" ht="15" customHeight="1" x14ac:dyDescent="0.25">
      <c r="A72" s="303" t="s">
        <v>451</v>
      </c>
      <c r="B72" s="245">
        <v>3037</v>
      </c>
      <c r="C72" s="205">
        <v>975</v>
      </c>
      <c r="D72" s="205">
        <v>5012</v>
      </c>
      <c r="E72" s="205">
        <v>4415</v>
      </c>
      <c r="F72" s="205">
        <v>4358</v>
      </c>
      <c r="G72" s="205">
        <v>3471</v>
      </c>
      <c r="H72" s="205">
        <v>2151</v>
      </c>
      <c r="I72" s="205">
        <v>3099</v>
      </c>
      <c r="J72" s="205">
        <v>3148</v>
      </c>
      <c r="K72" s="205">
        <v>3555</v>
      </c>
      <c r="L72" s="205">
        <v>3422</v>
      </c>
      <c r="M72" s="246">
        <v>3035</v>
      </c>
      <c r="N72" s="246">
        <f t="shared" si="306"/>
        <v>39678</v>
      </c>
      <c r="O72" s="205">
        <v>3015</v>
      </c>
      <c r="P72" s="205">
        <v>383</v>
      </c>
      <c r="Q72" s="205">
        <v>5415</v>
      </c>
      <c r="R72" s="205">
        <v>2119</v>
      </c>
      <c r="S72" s="205">
        <v>2241</v>
      </c>
      <c r="T72" s="205">
        <v>1596</v>
      </c>
      <c r="U72" s="205">
        <v>1990</v>
      </c>
      <c r="V72" s="205">
        <v>1094</v>
      </c>
      <c r="W72" s="205">
        <v>1026</v>
      </c>
      <c r="X72" s="205">
        <v>665</v>
      </c>
      <c r="Y72" s="205">
        <v>1352</v>
      </c>
      <c r="Z72" s="246">
        <v>714</v>
      </c>
      <c r="AA72" s="205">
        <f t="shared" si="307"/>
        <v>21610</v>
      </c>
      <c r="AB72" s="245">
        <v>675</v>
      </c>
      <c r="AC72" s="205">
        <v>84</v>
      </c>
      <c r="AD72" s="205">
        <v>2437</v>
      </c>
      <c r="AE72" s="205">
        <v>1633</v>
      </c>
      <c r="AF72" s="205">
        <v>2050</v>
      </c>
      <c r="AG72" s="205">
        <v>1026</v>
      </c>
      <c r="AH72" s="205">
        <v>943</v>
      </c>
      <c r="AI72" s="205">
        <v>1266</v>
      </c>
      <c r="AJ72" s="205">
        <v>2132</v>
      </c>
      <c r="AK72" s="205">
        <v>1953</v>
      </c>
      <c r="AL72" s="205">
        <v>719</v>
      </c>
      <c r="AM72" s="205">
        <v>1267</v>
      </c>
      <c r="AN72" s="202">
        <f t="shared" si="308"/>
        <v>16185</v>
      </c>
      <c r="AO72" s="245">
        <v>1148</v>
      </c>
      <c r="AP72" s="205">
        <v>1960</v>
      </c>
      <c r="AQ72" s="205">
        <v>1935</v>
      </c>
      <c r="AR72" s="205">
        <v>1777</v>
      </c>
      <c r="AS72" s="205">
        <v>1469</v>
      </c>
      <c r="AT72" s="205">
        <v>2494</v>
      </c>
      <c r="AU72" s="205">
        <v>854</v>
      </c>
      <c r="AV72" s="205">
        <v>1559</v>
      </c>
      <c r="AW72" s="205">
        <v>29</v>
      </c>
      <c r="AX72" s="205">
        <v>4241</v>
      </c>
      <c r="AY72" s="205">
        <v>2093</v>
      </c>
      <c r="AZ72" s="246">
        <v>2275</v>
      </c>
      <c r="BA72" s="246">
        <f t="shared" si="310"/>
        <v>21834</v>
      </c>
      <c r="BB72" s="205">
        <v>1701</v>
      </c>
      <c r="BC72" s="205">
        <v>40</v>
      </c>
      <c r="BD72" s="205">
        <v>2277</v>
      </c>
      <c r="BE72" s="205">
        <v>1654</v>
      </c>
      <c r="BF72" s="205">
        <v>1999</v>
      </c>
      <c r="BG72" s="205">
        <v>2378</v>
      </c>
      <c r="BH72" s="205">
        <v>1771</v>
      </c>
      <c r="BI72" s="205">
        <v>1659</v>
      </c>
      <c r="BJ72" s="205">
        <v>2646</v>
      </c>
      <c r="BK72" s="205">
        <v>2207</v>
      </c>
      <c r="BL72" s="205">
        <v>2334</v>
      </c>
      <c r="BM72" s="246">
        <v>2976</v>
      </c>
      <c r="BN72" s="246">
        <f t="shared" si="312"/>
        <v>23642</v>
      </c>
      <c r="BO72" s="205">
        <v>1744</v>
      </c>
      <c r="BP72" s="205">
        <v>1</v>
      </c>
      <c r="BQ72" s="205">
        <v>4194</v>
      </c>
      <c r="BR72" s="205">
        <v>655</v>
      </c>
      <c r="BS72" s="205">
        <v>299</v>
      </c>
      <c r="BT72" s="205">
        <v>255</v>
      </c>
      <c r="BU72" s="205">
        <v>299</v>
      </c>
      <c r="BV72" s="205">
        <v>335</v>
      </c>
      <c r="BW72" s="205">
        <v>232</v>
      </c>
      <c r="BX72" s="205">
        <v>358</v>
      </c>
      <c r="BY72" s="205">
        <v>787</v>
      </c>
      <c r="BZ72" s="205">
        <v>1365</v>
      </c>
      <c r="CA72" s="202">
        <f t="shared" si="341"/>
        <v>10524</v>
      </c>
      <c r="CB72" s="205">
        <v>457</v>
      </c>
      <c r="CC72" s="205">
        <v>804</v>
      </c>
      <c r="CD72" s="205">
        <v>1140</v>
      </c>
      <c r="CE72" s="205">
        <v>1081</v>
      </c>
      <c r="CF72" s="205">
        <v>1209</v>
      </c>
      <c r="CG72" s="205">
        <v>1442</v>
      </c>
      <c r="CH72" s="205">
        <v>1301</v>
      </c>
      <c r="CI72" s="205">
        <v>1094</v>
      </c>
      <c r="CJ72" s="205">
        <v>1618</v>
      </c>
      <c r="CK72" s="205">
        <v>1570</v>
      </c>
      <c r="CL72" s="205">
        <v>1657</v>
      </c>
      <c r="CM72" s="246">
        <v>1600</v>
      </c>
      <c r="CN72" s="246">
        <f t="shared" si="325"/>
        <v>14973</v>
      </c>
      <c r="CO72" s="245">
        <v>1143</v>
      </c>
      <c r="CP72" s="205">
        <v>1720</v>
      </c>
      <c r="CQ72" s="205">
        <v>2685</v>
      </c>
      <c r="CR72" s="205">
        <v>655</v>
      </c>
      <c r="CS72" s="205">
        <v>2815</v>
      </c>
      <c r="CT72" s="205">
        <v>2910</v>
      </c>
      <c r="CU72" s="205">
        <v>3907</v>
      </c>
      <c r="CV72" s="205">
        <v>2172</v>
      </c>
      <c r="CW72" s="205">
        <v>3047</v>
      </c>
      <c r="CX72" s="205">
        <v>3366</v>
      </c>
      <c r="CY72" s="205">
        <v>1291</v>
      </c>
      <c r="CZ72" s="246">
        <v>2473</v>
      </c>
      <c r="DA72" s="202">
        <f t="shared" si="327"/>
        <v>28184</v>
      </c>
      <c r="DB72" s="245">
        <v>2436</v>
      </c>
      <c r="DC72" s="205">
        <v>475</v>
      </c>
      <c r="DD72" s="205">
        <v>1965</v>
      </c>
      <c r="DE72" s="205">
        <v>123</v>
      </c>
      <c r="DF72" s="205">
        <v>4910</v>
      </c>
      <c r="DG72" s="205">
        <v>2445</v>
      </c>
      <c r="DH72" s="205">
        <v>2848</v>
      </c>
      <c r="DI72" s="205">
        <v>2332</v>
      </c>
      <c r="DJ72" s="205">
        <v>1669</v>
      </c>
      <c r="DK72" s="205">
        <v>2333</v>
      </c>
      <c r="DL72" s="205">
        <v>1886</v>
      </c>
      <c r="DM72" s="246">
        <v>1676</v>
      </c>
      <c r="DN72" s="205">
        <f t="shared" si="329"/>
        <v>25098</v>
      </c>
      <c r="DO72" s="245">
        <v>2488</v>
      </c>
      <c r="DP72" s="205">
        <v>52</v>
      </c>
      <c r="DQ72" s="205">
        <v>3902</v>
      </c>
      <c r="DR72" s="205">
        <v>2465</v>
      </c>
      <c r="DS72" s="205">
        <v>2262</v>
      </c>
      <c r="DT72" s="205">
        <v>19</v>
      </c>
      <c r="DU72" s="205">
        <v>3934</v>
      </c>
      <c r="DV72" s="205">
        <v>2674</v>
      </c>
      <c r="DW72" s="205">
        <v>1850</v>
      </c>
      <c r="DX72" s="205">
        <v>1365</v>
      </c>
      <c r="DY72" s="205">
        <v>1798</v>
      </c>
      <c r="DZ72" s="246">
        <v>2061</v>
      </c>
      <c r="EA72" s="246">
        <f t="shared" si="331"/>
        <v>24870</v>
      </c>
      <c r="EB72" s="205">
        <v>2019</v>
      </c>
      <c r="EC72" s="205">
        <v>2410</v>
      </c>
      <c r="ED72" s="205">
        <v>2388</v>
      </c>
      <c r="EE72" s="205">
        <v>2698</v>
      </c>
      <c r="EF72" s="205">
        <v>2646</v>
      </c>
      <c r="EG72" s="205">
        <v>1859</v>
      </c>
      <c r="EH72" s="205">
        <v>2204</v>
      </c>
      <c r="EI72" s="205">
        <v>2382</v>
      </c>
      <c r="EJ72" s="205">
        <v>2743</v>
      </c>
      <c r="EK72" s="205">
        <v>1975</v>
      </c>
      <c r="EL72" s="205">
        <v>1835</v>
      </c>
      <c r="EM72" s="205">
        <v>1298</v>
      </c>
      <c r="EN72" s="202">
        <f t="shared" si="333"/>
        <v>26457</v>
      </c>
      <c r="EO72" s="205">
        <v>361</v>
      </c>
      <c r="EP72" s="205">
        <v>1519</v>
      </c>
      <c r="EQ72" s="205">
        <v>2928</v>
      </c>
      <c r="ER72" s="205">
        <v>1751</v>
      </c>
      <c r="ES72" s="205">
        <v>584</v>
      </c>
      <c r="ET72" s="205">
        <v>4451</v>
      </c>
      <c r="EU72" s="205">
        <v>2279</v>
      </c>
      <c r="EV72" s="963">
        <v>1188</v>
      </c>
      <c r="EW72" s="205"/>
      <c r="EX72" s="205"/>
      <c r="EY72" s="205"/>
      <c r="EZ72" s="205"/>
      <c r="FA72" s="202">
        <f t="shared" si="336"/>
        <v>15061</v>
      </c>
      <c r="FC72" s="316">
        <f t="shared" si="337"/>
        <v>-50.125944584382864</v>
      </c>
      <c r="FD72" s="316">
        <f t="shared" si="338"/>
        <v>-19.052993657959792</v>
      </c>
      <c r="FE72" s="148">
        <f t="shared" si="339"/>
        <v>18606</v>
      </c>
      <c r="FF72" s="148">
        <f t="shared" si="340"/>
        <v>15061</v>
      </c>
      <c r="FG72" s="127"/>
    </row>
    <row r="73" spans="1:163" ht="15" customHeight="1" x14ac:dyDescent="0.25">
      <c r="A73" s="303" t="s">
        <v>478</v>
      </c>
      <c r="B73" s="24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46"/>
      <c r="N73" s="246">
        <f t="shared" si="306"/>
        <v>0</v>
      </c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46"/>
      <c r="AA73" s="205">
        <f t="shared" si="307"/>
        <v>0</v>
      </c>
      <c r="AB73" s="24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2">
        <f t="shared" si="308"/>
        <v>0</v>
      </c>
      <c r="AO73" s="24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46"/>
      <c r="BA73" s="246">
        <f t="shared" si="310"/>
        <v>0</v>
      </c>
      <c r="BB73" s="205"/>
      <c r="BC73" s="205"/>
      <c r="BD73" s="205"/>
      <c r="BE73" s="205"/>
      <c r="BF73" s="205"/>
      <c r="BG73" s="205">
        <v>1</v>
      </c>
      <c r="BH73" s="205"/>
      <c r="BI73" s="205"/>
      <c r="BJ73" s="205"/>
      <c r="BK73" s="205"/>
      <c r="BL73" s="205"/>
      <c r="BM73" s="246"/>
      <c r="BN73" s="246">
        <f t="shared" si="312"/>
        <v>1</v>
      </c>
      <c r="BO73" s="205"/>
      <c r="BP73" s="205"/>
      <c r="BQ73" s="205">
        <v>1</v>
      </c>
      <c r="BR73" s="205"/>
      <c r="BS73" s="205"/>
      <c r="BT73" s="205"/>
      <c r="BU73" s="205"/>
      <c r="BV73" s="205"/>
      <c r="BW73" s="205"/>
      <c r="BX73" s="205"/>
      <c r="BY73" s="205"/>
      <c r="BZ73" s="205"/>
      <c r="CA73" s="202">
        <f t="shared" si="341"/>
        <v>1</v>
      </c>
      <c r="CB73" s="205"/>
      <c r="CC73" s="205"/>
      <c r="CD73" s="205"/>
      <c r="CE73" s="205"/>
      <c r="CF73" s="205"/>
      <c r="CG73" s="205"/>
      <c r="CH73" s="205"/>
      <c r="CI73" s="205"/>
      <c r="CJ73" s="205"/>
      <c r="CK73" s="205"/>
      <c r="CL73" s="205"/>
      <c r="CM73" s="246"/>
      <c r="CN73" s="246">
        <f t="shared" si="325"/>
        <v>0</v>
      </c>
      <c r="CO73" s="245"/>
      <c r="CP73" s="205"/>
      <c r="CQ73" s="205"/>
      <c r="CR73" s="205"/>
      <c r="CS73" s="205"/>
      <c r="CT73" s="205"/>
      <c r="CU73" s="205"/>
      <c r="CV73" s="205"/>
      <c r="CW73" s="205"/>
      <c r="CX73" s="205"/>
      <c r="CY73" s="205"/>
      <c r="CZ73" s="246"/>
      <c r="DA73" s="202">
        <f t="shared" si="327"/>
        <v>0</v>
      </c>
      <c r="DB73" s="245"/>
      <c r="DC73" s="205"/>
      <c r="DD73" s="205"/>
      <c r="DE73" s="205"/>
      <c r="DF73" s="205"/>
      <c r="DG73" s="205"/>
      <c r="DH73" s="205"/>
      <c r="DI73" s="205"/>
      <c r="DJ73" s="205"/>
      <c r="DK73" s="205"/>
      <c r="DL73" s="205"/>
      <c r="DM73" s="246"/>
      <c r="DN73" s="205">
        <f t="shared" si="329"/>
        <v>0</v>
      </c>
      <c r="DO73" s="245"/>
      <c r="DP73" s="205"/>
      <c r="DQ73" s="205"/>
      <c r="DR73" s="205"/>
      <c r="DS73" s="205"/>
      <c r="DT73" s="205"/>
      <c r="DU73" s="205"/>
      <c r="DV73" s="205"/>
      <c r="DW73" s="205"/>
      <c r="DX73" s="205"/>
      <c r="DY73" s="205"/>
      <c r="DZ73" s="246"/>
      <c r="EA73" s="246">
        <f t="shared" si="331"/>
        <v>0</v>
      </c>
      <c r="EB73" s="205">
        <v>0</v>
      </c>
      <c r="EC73" s="205">
        <v>0</v>
      </c>
      <c r="ED73" s="205">
        <v>0</v>
      </c>
      <c r="EE73" s="205">
        <v>0</v>
      </c>
      <c r="EF73" s="205">
        <v>0</v>
      </c>
      <c r="EG73" s="205">
        <v>0</v>
      </c>
      <c r="EH73" s="205">
        <v>0</v>
      </c>
      <c r="EI73" s="205">
        <v>0</v>
      </c>
      <c r="EJ73" s="205">
        <v>1</v>
      </c>
      <c r="EK73" s="205">
        <v>0</v>
      </c>
      <c r="EL73" s="205">
        <v>0</v>
      </c>
      <c r="EM73" s="205">
        <v>0</v>
      </c>
      <c r="EN73" s="202">
        <f t="shared" si="333"/>
        <v>1</v>
      </c>
      <c r="EO73" s="205">
        <v>0</v>
      </c>
      <c r="EP73" s="205">
        <v>0</v>
      </c>
      <c r="EQ73" s="205">
        <v>0</v>
      </c>
      <c r="ER73" s="205">
        <v>0</v>
      </c>
      <c r="ES73" s="205">
        <v>0</v>
      </c>
      <c r="ET73" s="205">
        <v>0</v>
      </c>
      <c r="EU73" s="205">
        <v>0</v>
      </c>
      <c r="EV73" s="963">
        <v>0</v>
      </c>
      <c r="EW73" s="205"/>
      <c r="EX73" s="205"/>
      <c r="EY73" s="205"/>
      <c r="EZ73" s="205"/>
      <c r="FA73" s="202">
        <f t="shared" si="336"/>
        <v>0</v>
      </c>
      <c r="FC73" s="316" t="str">
        <f t="shared" si="337"/>
        <v>-</v>
      </c>
      <c r="FD73" s="316" t="str">
        <f t="shared" si="338"/>
        <v>-</v>
      </c>
      <c r="FE73" s="148">
        <f t="shared" si="339"/>
        <v>0</v>
      </c>
      <c r="FF73" s="148">
        <f t="shared" si="340"/>
        <v>0</v>
      </c>
      <c r="FG73" s="127"/>
    </row>
    <row r="74" spans="1:163" ht="15" customHeight="1" x14ac:dyDescent="0.25">
      <c r="A74" s="303" t="s">
        <v>452</v>
      </c>
      <c r="B74" s="24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46"/>
      <c r="N74" s="246">
        <f t="shared" si="306"/>
        <v>0</v>
      </c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46"/>
      <c r="AA74" s="205">
        <f t="shared" si="307"/>
        <v>0</v>
      </c>
      <c r="AB74" s="24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  <c r="AN74" s="202">
        <f t="shared" si="308"/>
        <v>0</v>
      </c>
      <c r="AO74" s="24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46"/>
      <c r="BA74" s="246">
        <f t="shared" si="310"/>
        <v>0</v>
      </c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46"/>
      <c r="BN74" s="246">
        <f t="shared" si="312"/>
        <v>0</v>
      </c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2">
        <f t="shared" si="341"/>
        <v>0</v>
      </c>
      <c r="CB74" s="205"/>
      <c r="CC74" s="205"/>
      <c r="CD74" s="205"/>
      <c r="CE74" s="205"/>
      <c r="CF74" s="205"/>
      <c r="CG74" s="205"/>
      <c r="CH74" s="205"/>
      <c r="CI74" s="205"/>
      <c r="CJ74" s="205"/>
      <c r="CK74" s="205"/>
      <c r="CL74" s="205"/>
      <c r="CM74" s="246"/>
      <c r="CN74" s="246">
        <f t="shared" si="325"/>
        <v>0</v>
      </c>
      <c r="CO74" s="245"/>
      <c r="CP74" s="205"/>
      <c r="CQ74" s="205"/>
      <c r="CR74" s="205"/>
      <c r="CS74" s="205"/>
      <c r="CT74" s="205"/>
      <c r="CU74" s="205"/>
      <c r="CV74" s="205"/>
      <c r="CW74" s="205"/>
      <c r="CX74" s="205"/>
      <c r="CY74" s="205"/>
      <c r="CZ74" s="246"/>
      <c r="DA74" s="202">
        <f t="shared" si="327"/>
        <v>0</v>
      </c>
      <c r="DB74" s="245"/>
      <c r="DC74" s="205"/>
      <c r="DD74" s="205"/>
      <c r="DE74" s="205"/>
      <c r="DF74" s="205"/>
      <c r="DG74" s="205"/>
      <c r="DH74" s="205"/>
      <c r="DI74" s="205"/>
      <c r="DJ74" s="205"/>
      <c r="DK74" s="205"/>
      <c r="DL74" s="205"/>
      <c r="DM74" s="246"/>
      <c r="DN74" s="205">
        <f t="shared" si="329"/>
        <v>0</v>
      </c>
      <c r="DO74" s="245"/>
      <c r="DP74" s="205"/>
      <c r="DQ74" s="205"/>
      <c r="DR74" s="205"/>
      <c r="DS74" s="205"/>
      <c r="DT74" s="205"/>
      <c r="DU74" s="205"/>
      <c r="DV74" s="205"/>
      <c r="DW74" s="205"/>
      <c r="DX74" s="205"/>
      <c r="DY74" s="205"/>
      <c r="DZ74" s="246"/>
      <c r="EA74" s="246">
        <f t="shared" si="331"/>
        <v>0</v>
      </c>
      <c r="EB74" s="205">
        <v>0</v>
      </c>
      <c r="EC74" s="205">
        <v>0</v>
      </c>
      <c r="ED74" s="205">
        <v>0</v>
      </c>
      <c r="EE74" s="205">
        <v>0</v>
      </c>
      <c r="EF74" s="205">
        <v>0</v>
      </c>
      <c r="EG74" s="205">
        <v>0</v>
      </c>
      <c r="EH74" s="205">
        <v>0</v>
      </c>
      <c r="EI74" s="205">
        <v>0</v>
      </c>
      <c r="EJ74" s="205">
        <v>0</v>
      </c>
      <c r="EK74" s="205">
        <v>0</v>
      </c>
      <c r="EL74" s="205">
        <v>0</v>
      </c>
      <c r="EM74" s="205">
        <v>0</v>
      </c>
      <c r="EN74" s="202">
        <f t="shared" si="333"/>
        <v>0</v>
      </c>
      <c r="EO74" s="205">
        <v>0</v>
      </c>
      <c r="EP74" s="205">
        <v>0</v>
      </c>
      <c r="EQ74" s="205">
        <v>0</v>
      </c>
      <c r="ER74" s="205">
        <v>0</v>
      </c>
      <c r="ES74" s="205">
        <v>0</v>
      </c>
      <c r="ET74" s="205">
        <v>0</v>
      </c>
      <c r="EU74" s="205">
        <v>0</v>
      </c>
      <c r="EV74" s="963">
        <v>0</v>
      </c>
      <c r="EW74" s="205"/>
      <c r="EX74" s="205"/>
      <c r="EY74" s="205"/>
      <c r="EZ74" s="205"/>
      <c r="FA74" s="202">
        <f t="shared" si="336"/>
        <v>0</v>
      </c>
      <c r="FC74" s="316" t="str">
        <f t="shared" si="337"/>
        <v>-</v>
      </c>
      <c r="FD74" s="316" t="str">
        <f t="shared" si="338"/>
        <v>-</v>
      </c>
      <c r="FE74" s="148">
        <f t="shared" si="339"/>
        <v>0</v>
      </c>
      <c r="FF74" s="148">
        <f t="shared" si="340"/>
        <v>0</v>
      </c>
      <c r="FG74" s="127"/>
    </row>
    <row r="75" spans="1:163" ht="15" customHeight="1" x14ac:dyDescent="0.25">
      <c r="A75" s="303" t="s">
        <v>453</v>
      </c>
      <c r="B75" s="245"/>
      <c r="C75" s="205"/>
      <c r="D75" s="205">
        <v>1.0999999999999999E-2</v>
      </c>
      <c r="E75" s="205"/>
      <c r="F75" s="205"/>
      <c r="G75" s="205"/>
      <c r="H75" s="205"/>
      <c r="I75" s="205"/>
      <c r="J75" s="205"/>
      <c r="K75" s="205"/>
      <c r="L75" s="205"/>
      <c r="M75" s="246"/>
      <c r="N75" s="246">
        <f t="shared" si="306"/>
        <v>1.0999999999999999E-2</v>
      </c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46"/>
      <c r="AA75" s="205">
        <f t="shared" si="307"/>
        <v>0</v>
      </c>
      <c r="AB75" s="24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2">
        <f t="shared" si="308"/>
        <v>0</v>
      </c>
      <c r="AO75" s="245"/>
      <c r="AP75" s="205"/>
      <c r="AQ75" s="205"/>
      <c r="AR75" s="205"/>
      <c r="AS75" s="205"/>
      <c r="AT75" s="205"/>
      <c r="AU75" s="205"/>
      <c r="AV75" s="205"/>
      <c r="AW75" s="205">
        <v>3</v>
      </c>
      <c r="AX75" s="205"/>
      <c r="AY75" s="205"/>
      <c r="AZ75" s="246"/>
      <c r="BA75" s="246">
        <f t="shared" si="310"/>
        <v>3</v>
      </c>
      <c r="BB75" s="205"/>
      <c r="BC75" s="205"/>
      <c r="BD75" s="205"/>
      <c r="BE75" s="205"/>
      <c r="BF75" s="205"/>
      <c r="BG75" s="205"/>
      <c r="BH75" s="205"/>
      <c r="BI75" s="205"/>
      <c r="BJ75" s="205"/>
      <c r="BK75" s="205"/>
      <c r="BL75" s="205">
        <v>1</v>
      </c>
      <c r="BM75" s="246">
        <v>1</v>
      </c>
      <c r="BN75" s="246">
        <f t="shared" si="312"/>
        <v>2</v>
      </c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2">
        <f t="shared" si="341"/>
        <v>0</v>
      </c>
      <c r="CB75" s="205"/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46"/>
      <c r="CN75" s="246">
        <f t="shared" si="325"/>
        <v>0</v>
      </c>
      <c r="CO75" s="245"/>
      <c r="CP75" s="205"/>
      <c r="CQ75" s="205"/>
      <c r="CR75" s="205"/>
      <c r="CS75" s="205"/>
      <c r="CT75" s="205"/>
      <c r="CU75" s="205"/>
      <c r="CV75" s="205"/>
      <c r="CW75" s="205"/>
      <c r="CX75" s="205"/>
      <c r="CY75" s="205"/>
      <c r="CZ75" s="246"/>
      <c r="DA75" s="202">
        <f t="shared" si="327"/>
        <v>0</v>
      </c>
      <c r="DB75" s="245"/>
      <c r="DC75" s="205"/>
      <c r="DD75" s="205"/>
      <c r="DE75" s="205"/>
      <c r="DF75" s="205"/>
      <c r="DG75" s="205"/>
      <c r="DH75" s="205"/>
      <c r="DI75" s="205"/>
      <c r="DJ75" s="205"/>
      <c r="DK75" s="205"/>
      <c r="DL75" s="205"/>
      <c r="DM75" s="246"/>
      <c r="DN75" s="205">
        <f t="shared" si="329"/>
        <v>0</v>
      </c>
      <c r="DO75" s="245"/>
      <c r="DP75" s="205"/>
      <c r="DQ75" s="205"/>
      <c r="DR75" s="205"/>
      <c r="DS75" s="205"/>
      <c r="DT75" s="205"/>
      <c r="DU75" s="205"/>
      <c r="DV75" s="205"/>
      <c r="DW75" s="205"/>
      <c r="DX75" s="205"/>
      <c r="DY75" s="205"/>
      <c r="DZ75" s="246"/>
      <c r="EA75" s="246">
        <f t="shared" si="331"/>
        <v>0</v>
      </c>
      <c r="EB75" s="205">
        <v>0</v>
      </c>
      <c r="EC75" s="205">
        <v>0</v>
      </c>
      <c r="ED75" s="205">
        <v>0</v>
      </c>
      <c r="EE75" s="205">
        <v>0</v>
      </c>
      <c r="EF75" s="205">
        <v>0</v>
      </c>
      <c r="EG75" s="205">
        <v>0</v>
      </c>
      <c r="EH75" s="205">
        <v>0</v>
      </c>
      <c r="EI75" s="205">
        <v>0</v>
      </c>
      <c r="EJ75" s="205">
        <v>0</v>
      </c>
      <c r="EK75" s="205">
        <v>0</v>
      </c>
      <c r="EL75" s="205">
        <v>0</v>
      </c>
      <c r="EM75" s="205">
        <v>0</v>
      </c>
      <c r="EN75" s="202">
        <f t="shared" si="333"/>
        <v>0</v>
      </c>
      <c r="EO75" s="205">
        <v>0</v>
      </c>
      <c r="EP75" s="205">
        <v>0</v>
      </c>
      <c r="EQ75" s="205">
        <v>0</v>
      </c>
      <c r="ER75" s="205">
        <v>0</v>
      </c>
      <c r="ES75" s="205">
        <v>0</v>
      </c>
      <c r="ET75" s="205">
        <v>0</v>
      </c>
      <c r="EU75" s="205">
        <v>0</v>
      </c>
      <c r="EV75" s="963">
        <v>0</v>
      </c>
      <c r="EW75" s="205"/>
      <c r="EX75" s="205"/>
      <c r="EY75" s="205"/>
      <c r="EZ75" s="205"/>
      <c r="FA75" s="202">
        <f t="shared" si="336"/>
        <v>0</v>
      </c>
      <c r="FC75" s="316" t="str">
        <f t="shared" si="337"/>
        <v>-</v>
      </c>
      <c r="FD75" s="316" t="str">
        <f t="shared" si="338"/>
        <v>-</v>
      </c>
      <c r="FE75" s="148">
        <f t="shared" si="339"/>
        <v>0</v>
      </c>
      <c r="FF75" s="148">
        <f t="shared" si="340"/>
        <v>0</v>
      </c>
      <c r="FG75" s="127"/>
    </row>
    <row r="76" spans="1:163" ht="15" customHeight="1" x14ac:dyDescent="0.25">
      <c r="A76" s="302" t="s">
        <v>635</v>
      </c>
      <c r="B76" s="298">
        <v>87</v>
      </c>
      <c r="C76" s="299">
        <v>5831</v>
      </c>
      <c r="D76" s="299">
        <v>2934</v>
      </c>
      <c r="E76" s="299">
        <v>3345</v>
      </c>
      <c r="F76" s="299">
        <v>3082</v>
      </c>
      <c r="G76" s="299">
        <v>5616</v>
      </c>
      <c r="H76" s="299">
        <v>3777</v>
      </c>
      <c r="I76" s="299">
        <v>3544</v>
      </c>
      <c r="J76" s="299">
        <v>2390</v>
      </c>
      <c r="K76" s="299">
        <v>2388</v>
      </c>
      <c r="L76" s="299">
        <v>2769</v>
      </c>
      <c r="M76" s="300">
        <v>2661</v>
      </c>
      <c r="N76" s="300">
        <f t="shared" si="306"/>
        <v>38424</v>
      </c>
      <c r="O76" s="299"/>
      <c r="P76" s="299">
        <v>4468</v>
      </c>
      <c r="Q76" s="299">
        <v>1895</v>
      </c>
      <c r="R76" s="299">
        <v>3224</v>
      </c>
      <c r="S76" s="299">
        <v>2475</v>
      </c>
      <c r="T76" s="299">
        <v>3074</v>
      </c>
      <c r="U76" s="299">
        <v>3719</v>
      </c>
      <c r="V76" s="299">
        <v>2889</v>
      </c>
      <c r="W76" s="299">
        <v>2693</v>
      </c>
      <c r="X76" s="299">
        <v>3622</v>
      </c>
      <c r="Y76" s="299">
        <v>3307</v>
      </c>
      <c r="Z76" s="300">
        <v>3832</v>
      </c>
      <c r="AA76" s="299">
        <f t="shared" si="307"/>
        <v>35198</v>
      </c>
      <c r="AB76" s="298">
        <v>986</v>
      </c>
      <c r="AC76" s="299">
        <v>6925</v>
      </c>
      <c r="AD76" s="299">
        <v>3527</v>
      </c>
      <c r="AE76" s="299">
        <v>3020</v>
      </c>
      <c r="AF76" s="299">
        <v>2784</v>
      </c>
      <c r="AG76" s="299">
        <v>2935</v>
      </c>
      <c r="AH76" s="299">
        <v>2759</v>
      </c>
      <c r="AI76" s="299">
        <v>2950</v>
      </c>
      <c r="AJ76" s="299">
        <v>3478</v>
      </c>
      <c r="AK76" s="299">
        <v>3202</v>
      </c>
      <c r="AL76" s="299">
        <v>3949</v>
      </c>
      <c r="AM76" s="299">
        <v>4303</v>
      </c>
      <c r="AN76" s="257">
        <f t="shared" si="308"/>
        <v>40818</v>
      </c>
      <c r="AO76" s="298"/>
      <c r="AP76" s="299">
        <v>8321</v>
      </c>
      <c r="AQ76" s="299">
        <v>2418</v>
      </c>
      <c r="AR76" s="299">
        <v>2185</v>
      </c>
      <c r="AS76" s="299">
        <v>3186</v>
      </c>
      <c r="AT76" s="299">
        <v>5052</v>
      </c>
      <c r="AU76" s="299">
        <v>3141</v>
      </c>
      <c r="AV76" s="299">
        <v>2582</v>
      </c>
      <c r="AW76" s="299">
        <v>389</v>
      </c>
      <c r="AX76" s="299">
        <v>8317</v>
      </c>
      <c r="AY76" s="299">
        <v>4311</v>
      </c>
      <c r="AZ76" s="300">
        <v>3515</v>
      </c>
      <c r="BA76" s="300">
        <f t="shared" si="310"/>
        <v>43417</v>
      </c>
      <c r="BB76" s="299"/>
      <c r="BC76" s="299">
        <v>7799</v>
      </c>
      <c r="BD76" s="299">
        <v>3300</v>
      </c>
      <c r="BE76" s="299">
        <v>3294</v>
      </c>
      <c r="BF76" s="299">
        <v>2498</v>
      </c>
      <c r="BG76" s="299">
        <v>2670</v>
      </c>
      <c r="BH76" s="299">
        <v>2674</v>
      </c>
      <c r="BI76" s="299">
        <v>2857</v>
      </c>
      <c r="BJ76" s="299">
        <v>2908</v>
      </c>
      <c r="BK76" s="299">
        <v>3001</v>
      </c>
      <c r="BL76" s="299">
        <v>3037</v>
      </c>
      <c r="BM76" s="300">
        <v>3442</v>
      </c>
      <c r="BN76" s="300">
        <f t="shared" si="312"/>
        <v>37480</v>
      </c>
      <c r="BO76" s="299">
        <v>73</v>
      </c>
      <c r="BP76" s="299">
        <v>3381</v>
      </c>
      <c r="BQ76" s="299">
        <v>5099</v>
      </c>
      <c r="BR76" s="299">
        <v>1372</v>
      </c>
      <c r="BS76" s="299">
        <v>638</v>
      </c>
      <c r="BT76" s="299">
        <v>1179</v>
      </c>
      <c r="BU76" s="299">
        <v>1644</v>
      </c>
      <c r="BV76" s="299">
        <v>2072</v>
      </c>
      <c r="BW76" s="299">
        <v>2041</v>
      </c>
      <c r="BX76" s="299">
        <v>2935</v>
      </c>
      <c r="BY76" s="299">
        <v>2672</v>
      </c>
      <c r="BZ76" s="299">
        <v>4307</v>
      </c>
      <c r="CA76" s="202">
        <f t="shared" si="341"/>
        <v>27413</v>
      </c>
      <c r="CB76" s="299">
        <v>4982</v>
      </c>
      <c r="CC76" s="299">
        <v>6800</v>
      </c>
      <c r="CD76" s="299">
        <v>4002</v>
      </c>
      <c r="CE76" s="299">
        <v>3595</v>
      </c>
      <c r="CF76" s="299">
        <v>3365</v>
      </c>
      <c r="CG76" s="299">
        <v>4346</v>
      </c>
      <c r="CH76" s="299">
        <v>5295</v>
      </c>
      <c r="CI76" s="299">
        <v>5070</v>
      </c>
      <c r="CJ76" s="299">
        <v>5782</v>
      </c>
      <c r="CK76" s="299">
        <v>6047</v>
      </c>
      <c r="CL76" s="299">
        <v>5194</v>
      </c>
      <c r="CM76" s="300">
        <v>11360</v>
      </c>
      <c r="CN76" s="300">
        <f t="shared" si="325"/>
        <v>65838</v>
      </c>
      <c r="CO76" s="298">
        <v>11419</v>
      </c>
      <c r="CP76" s="299">
        <v>11314</v>
      </c>
      <c r="CQ76" s="299">
        <v>10679</v>
      </c>
      <c r="CR76" s="299">
        <v>15424</v>
      </c>
      <c r="CS76" s="299">
        <v>10659</v>
      </c>
      <c r="CT76" s="299">
        <v>6718</v>
      </c>
      <c r="CU76" s="299">
        <v>9330</v>
      </c>
      <c r="CV76" s="299">
        <v>9504</v>
      </c>
      <c r="CW76" s="299">
        <v>7283</v>
      </c>
      <c r="CX76" s="299">
        <v>7653</v>
      </c>
      <c r="CY76" s="299">
        <v>6028</v>
      </c>
      <c r="CZ76" s="300">
        <v>6743</v>
      </c>
      <c r="DA76" s="257">
        <f t="shared" si="327"/>
        <v>112754</v>
      </c>
      <c r="DB76" s="298">
        <v>9809</v>
      </c>
      <c r="DC76" s="299">
        <v>10411</v>
      </c>
      <c r="DD76" s="299">
        <v>7022</v>
      </c>
      <c r="DE76" s="299">
        <v>7368</v>
      </c>
      <c r="DF76" s="299">
        <v>6025</v>
      </c>
      <c r="DG76" s="299">
        <v>5218</v>
      </c>
      <c r="DH76" s="299">
        <v>5641</v>
      </c>
      <c r="DI76" s="299">
        <v>4114</v>
      </c>
      <c r="DJ76" s="299">
        <v>4528</v>
      </c>
      <c r="DK76" s="299">
        <v>6924</v>
      </c>
      <c r="DL76" s="299">
        <v>6414</v>
      </c>
      <c r="DM76" s="300">
        <v>5680</v>
      </c>
      <c r="DN76" s="299">
        <f t="shared" si="329"/>
        <v>79154</v>
      </c>
      <c r="DO76" s="298">
        <v>32</v>
      </c>
      <c r="DP76" s="299">
        <v>10876</v>
      </c>
      <c r="DQ76" s="299">
        <v>5459</v>
      </c>
      <c r="DR76" s="299">
        <v>5688</v>
      </c>
      <c r="DS76" s="299">
        <v>5515</v>
      </c>
      <c r="DT76" s="299">
        <v>6046</v>
      </c>
      <c r="DU76" s="299">
        <v>5901</v>
      </c>
      <c r="DV76" s="299">
        <v>5808</v>
      </c>
      <c r="DW76" s="299">
        <v>6102</v>
      </c>
      <c r="DX76" s="299">
        <v>5731</v>
      </c>
      <c r="DY76" s="299">
        <v>6549</v>
      </c>
      <c r="DZ76" s="300">
        <v>6802</v>
      </c>
      <c r="EA76" s="300">
        <f t="shared" si="331"/>
        <v>70509</v>
      </c>
      <c r="EB76" s="299">
        <v>0</v>
      </c>
      <c r="EC76" s="299">
        <v>12667</v>
      </c>
      <c r="ED76" s="299">
        <v>5456</v>
      </c>
      <c r="EE76" s="299">
        <v>7118</v>
      </c>
      <c r="EF76" s="299">
        <v>5082</v>
      </c>
      <c r="EG76" s="299">
        <v>5138</v>
      </c>
      <c r="EH76" s="299">
        <v>5334</v>
      </c>
      <c r="EI76" s="299">
        <v>5389</v>
      </c>
      <c r="EJ76" s="299">
        <v>5069</v>
      </c>
      <c r="EK76" s="299">
        <v>5259</v>
      </c>
      <c r="EL76" s="299">
        <v>5240</v>
      </c>
      <c r="EM76" s="299">
        <v>4360</v>
      </c>
      <c r="EN76" s="257">
        <f t="shared" si="333"/>
        <v>66112</v>
      </c>
      <c r="EO76" s="299">
        <v>28</v>
      </c>
      <c r="EP76" s="299">
        <v>7818</v>
      </c>
      <c r="EQ76" s="299">
        <v>3695</v>
      </c>
      <c r="ER76" s="299">
        <v>2943</v>
      </c>
      <c r="ES76" s="299">
        <v>0</v>
      </c>
      <c r="ET76" s="299">
        <v>7274</v>
      </c>
      <c r="EU76" s="299">
        <v>6014</v>
      </c>
      <c r="EV76" s="967">
        <v>4688</v>
      </c>
      <c r="EW76" s="299"/>
      <c r="EX76" s="299"/>
      <c r="EY76" s="299"/>
      <c r="EZ76" s="299"/>
      <c r="FA76" s="257">
        <f t="shared" si="336"/>
        <v>32460</v>
      </c>
      <c r="FC76" s="317">
        <f t="shared" si="337"/>
        <v>-13.00797921692336</v>
      </c>
      <c r="FD76" s="317">
        <f t="shared" si="338"/>
        <v>-29.715918932963792</v>
      </c>
      <c r="FE76" s="145">
        <f t="shared" si="339"/>
        <v>46184</v>
      </c>
      <c r="FF76" s="145">
        <f t="shared" si="340"/>
        <v>32460</v>
      </c>
      <c r="FG76" s="236"/>
    </row>
    <row r="77" spans="1:163" ht="15" customHeight="1" x14ac:dyDescent="0.25">
      <c r="A77" s="302" t="s">
        <v>479</v>
      </c>
      <c r="B77" s="298">
        <v>0.95499999999999996</v>
      </c>
      <c r="C77" s="299">
        <v>1</v>
      </c>
      <c r="D77" s="299">
        <v>0.68799999999999994</v>
      </c>
      <c r="E77" s="299">
        <v>5</v>
      </c>
      <c r="F77" s="299">
        <v>1</v>
      </c>
      <c r="G77" s="299"/>
      <c r="H77" s="299">
        <v>8</v>
      </c>
      <c r="I77" s="299">
        <v>1</v>
      </c>
      <c r="J77" s="299">
        <v>1</v>
      </c>
      <c r="K77" s="299"/>
      <c r="L77" s="299">
        <v>2</v>
      </c>
      <c r="M77" s="300"/>
      <c r="N77" s="300">
        <f t="shared" si="306"/>
        <v>20.643000000000001</v>
      </c>
      <c r="O77" s="299">
        <v>1</v>
      </c>
      <c r="P77" s="299">
        <v>2</v>
      </c>
      <c r="Q77" s="299">
        <v>1</v>
      </c>
      <c r="R77" s="299">
        <v>2</v>
      </c>
      <c r="S77" s="299"/>
      <c r="T77" s="299">
        <v>18</v>
      </c>
      <c r="U77" s="299"/>
      <c r="V77" s="299">
        <v>4</v>
      </c>
      <c r="W77" s="299"/>
      <c r="X77" s="299"/>
      <c r="Y77" s="299">
        <v>1</v>
      </c>
      <c r="Z77" s="300">
        <v>59</v>
      </c>
      <c r="AA77" s="299">
        <f t="shared" si="307"/>
        <v>88</v>
      </c>
      <c r="AB77" s="298">
        <v>1</v>
      </c>
      <c r="AC77" s="299"/>
      <c r="AD77" s="299">
        <v>6</v>
      </c>
      <c r="AE77" s="299">
        <v>4</v>
      </c>
      <c r="AF77" s="299">
        <v>2</v>
      </c>
      <c r="AG77" s="299">
        <v>3</v>
      </c>
      <c r="AH77" s="299">
        <v>4</v>
      </c>
      <c r="AI77" s="299">
        <v>1</v>
      </c>
      <c r="AJ77" s="299">
        <v>1</v>
      </c>
      <c r="AK77" s="299"/>
      <c r="AL77" s="299">
        <v>1</v>
      </c>
      <c r="AM77" s="299">
        <v>1</v>
      </c>
      <c r="AN77" s="257">
        <f t="shared" si="308"/>
        <v>24</v>
      </c>
      <c r="AO77" s="298"/>
      <c r="AP77" s="299"/>
      <c r="AQ77" s="299">
        <v>1</v>
      </c>
      <c r="AR77" s="299"/>
      <c r="AS77" s="299"/>
      <c r="AT77" s="299">
        <v>2</v>
      </c>
      <c r="AU77" s="299"/>
      <c r="AV77" s="299">
        <v>3</v>
      </c>
      <c r="AW77" s="299">
        <v>24</v>
      </c>
      <c r="AX77" s="299"/>
      <c r="AY77" s="299"/>
      <c r="AZ77" s="300"/>
      <c r="BA77" s="300">
        <f t="shared" si="310"/>
        <v>30</v>
      </c>
      <c r="BB77" s="299"/>
      <c r="BC77" s="299"/>
      <c r="BD77" s="299">
        <v>2</v>
      </c>
      <c r="BE77" s="299">
        <v>1</v>
      </c>
      <c r="BF77" s="299">
        <v>2</v>
      </c>
      <c r="BG77" s="299">
        <v>2</v>
      </c>
      <c r="BH77" s="299">
        <v>4</v>
      </c>
      <c r="BI77" s="299">
        <v>7</v>
      </c>
      <c r="BJ77" s="299">
        <v>4</v>
      </c>
      <c r="BK77" s="299">
        <v>6</v>
      </c>
      <c r="BL77" s="299">
        <v>2</v>
      </c>
      <c r="BM77" s="300">
        <v>7</v>
      </c>
      <c r="BN77" s="300">
        <f t="shared" si="312"/>
        <v>37</v>
      </c>
      <c r="BO77" s="299">
        <v>3</v>
      </c>
      <c r="BP77" s="299">
        <v>4</v>
      </c>
      <c r="BQ77" s="299">
        <v>6</v>
      </c>
      <c r="BR77" s="299">
        <v>3</v>
      </c>
      <c r="BS77" s="299"/>
      <c r="BT77" s="299"/>
      <c r="BU77" s="299">
        <v>1</v>
      </c>
      <c r="BV77" s="299">
        <v>1</v>
      </c>
      <c r="BW77" s="299">
        <v>1</v>
      </c>
      <c r="BX77" s="299">
        <v>2</v>
      </c>
      <c r="BY77" s="299"/>
      <c r="BZ77" s="299">
        <v>1</v>
      </c>
      <c r="CA77" s="202">
        <f t="shared" si="341"/>
        <v>22</v>
      </c>
      <c r="CB77" s="299"/>
      <c r="CC77" s="299"/>
      <c r="CD77" s="299"/>
      <c r="CE77" s="299"/>
      <c r="CF77" s="299">
        <v>2</v>
      </c>
      <c r="CG77" s="299">
        <v>1</v>
      </c>
      <c r="CH77" s="299"/>
      <c r="CI77" s="299">
        <v>1</v>
      </c>
      <c r="CJ77" s="299"/>
      <c r="CK77" s="299"/>
      <c r="CL77" s="299"/>
      <c r="CM77" s="300"/>
      <c r="CN77" s="300">
        <f t="shared" si="325"/>
        <v>4</v>
      </c>
      <c r="CO77" s="298"/>
      <c r="CP77" s="299"/>
      <c r="CQ77" s="299"/>
      <c r="CR77" s="299"/>
      <c r="CS77" s="299">
        <v>2</v>
      </c>
      <c r="CT77" s="299"/>
      <c r="CU77" s="299"/>
      <c r="CV77" s="299">
        <v>3</v>
      </c>
      <c r="CW77" s="299">
        <v>2</v>
      </c>
      <c r="CX77" s="299">
        <v>1</v>
      </c>
      <c r="CY77" s="299">
        <v>1</v>
      </c>
      <c r="CZ77" s="300">
        <v>1</v>
      </c>
      <c r="DA77" s="257">
        <f t="shared" si="327"/>
        <v>10</v>
      </c>
      <c r="DB77" s="298">
        <v>3</v>
      </c>
      <c r="DC77" s="299"/>
      <c r="DD77" s="299"/>
      <c r="DE77" s="299">
        <v>1</v>
      </c>
      <c r="DF77" s="299"/>
      <c r="DG77" s="299">
        <v>1</v>
      </c>
      <c r="DH77" s="299">
        <v>2</v>
      </c>
      <c r="DI77" s="299">
        <v>1</v>
      </c>
      <c r="DJ77" s="299"/>
      <c r="DK77" s="299">
        <v>2</v>
      </c>
      <c r="DL77" s="299"/>
      <c r="DM77" s="300">
        <v>4</v>
      </c>
      <c r="DN77" s="299">
        <f t="shared" si="329"/>
        <v>14</v>
      </c>
      <c r="DO77" s="298"/>
      <c r="DP77" s="299"/>
      <c r="DQ77" s="299"/>
      <c r="DR77" s="299"/>
      <c r="DS77" s="299">
        <v>2</v>
      </c>
      <c r="DT77" s="299"/>
      <c r="DU77" s="299"/>
      <c r="DV77" s="299">
        <v>1</v>
      </c>
      <c r="DW77" s="299">
        <v>3</v>
      </c>
      <c r="DX77" s="299">
        <v>3</v>
      </c>
      <c r="DY77" s="299"/>
      <c r="DZ77" s="300"/>
      <c r="EA77" s="300">
        <f t="shared" si="331"/>
        <v>9</v>
      </c>
      <c r="EB77" s="299">
        <v>1</v>
      </c>
      <c r="EC77" s="299">
        <v>0</v>
      </c>
      <c r="ED77" s="299">
        <v>4</v>
      </c>
      <c r="EE77" s="299">
        <v>0</v>
      </c>
      <c r="EF77" s="299">
        <v>1</v>
      </c>
      <c r="EG77" s="299">
        <v>1</v>
      </c>
      <c r="EH77" s="299">
        <v>42</v>
      </c>
      <c r="EI77" s="299">
        <v>34</v>
      </c>
      <c r="EJ77" s="299">
        <v>61</v>
      </c>
      <c r="EK77" s="299">
        <v>37</v>
      </c>
      <c r="EL77" s="299">
        <v>34</v>
      </c>
      <c r="EM77" s="299">
        <v>33</v>
      </c>
      <c r="EN77" s="257">
        <f t="shared" si="333"/>
        <v>248</v>
      </c>
      <c r="EO77" s="299">
        <v>25</v>
      </c>
      <c r="EP77" s="299">
        <v>26</v>
      </c>
      <c r="EQ77" s="299">
        <v>12</v>
      </c>
      <c r="ER77" s="299">
        <v>12</v>
      </c>
      <c r="ES77" s="299">
        <v>24</v>
      </c>
      <c r="ET77" s="299">
        <v>9</v>
      </c>
      <c r="EU77" s="299">
        <v>62</v>
      </c>
      <c r="EV77" s="967">
        <v>40</v>
      </c>
      <c r="EW77" s="299"/>
      <c r="EX77" s="299"/>
      <c r="EY77" s="299"/>
      <c r="EZ77" s="299"/>
      <c r="FA77" s="257">
        <f t="shared" si="336"/>
        <v>210</v>
      </c>
      <c r="FC77" s="317">
        <f t="shared" si="337"/>
        <v>17.647058823529417</v>
      </c>
      <c r="FD77" s="317">
        <f t="shared" si="338"/>
        <v>153.01204819277109</v>
      </c>
      <c r="FE77" s="145">
        <f t="shared" si="339"/>
        <v>83</v>
      </c>
      <c r="FF77" s="145">
        <f t="shared" si="340"/>
        <v>210</v>
      </c>
      <c r="FG77" s="236"/>
    </row>
    <row r="78" spans="1:163" ht="15" customHeight="1" x14ac:dyDescent="0.25">
      <c r="A78" s="302" t="s">
        <v>480</v>
      </c>
      <c r="B78" s="298">
        <v>11126</v>
      </c>
      <c r="C78" s="299">
        <v>12635</v>
      </c>
      <c r="D78" s="299">
        <v>10752</v>
      </c>
      <c r="E78" s="299">
        <v>8367</v>
      </c>
      <c r="F78" s="299">
        <v>9358</v>
      </c>
      <c r="G78" s="299">
        <v>12221</v>
      </c>
      <c r="H78" s="299">
        <v>9699</v>
      </c>
      <c r="I78" s="299">
        <v>10323</v>
      </c>
      <c r="J78" s="299">
        <v>10414</v>
      </c>
      <c r="K78" s="299">
        <v>10609</v>
      </c>
      <c r="L78" s="299">
        <v>10448</v>
      </c>
      <c r="M78" s="300">
        <v>11306</v>
      </c>
      <c r="N78" s="300">
        <f t="shared" si="306"/>
        <v>127258</v>
      </c>
      <c r="O78" s="299">
        <v>12611</v>
      </c>
      <c r="P78" s="299">
        <v>1507</v>
      </c>
      <c r="Q78" s="299">
        <v>19538</v>
      </c>
      <c r="R78" s="299">
        <v>9510</v>
      </c>
      <c r="S78" s="299">
        <v>6823</v>
      </c>
      <c r="T78" s="299">
        <v>9808</v>
      </c>
      <c r="U78" s="299">
        <v>9764</v>
      </c>
      <c r="V78" s="299">
        <v>8485</v>
      </c>
      <c r="W78" s="299">
        <v>10816</v>
      </c>
      <c r="X78" s="299">
        <v>10901</v>
      </c>
      <c r="Y78" s="299">
        <v>10472</v>
      </c>
      <c r="Z78" s="300">
        <v>10382</v>
      </c>
      <c r="AA78" s="299">
        <f t="shared" si="307"/>
        <v>120617</v>
      </c>
      <c r="AB78" s="298">
        <v>10860</v>
      </c>
      <c r="AC78" s="299">
        <v>8</v>
      </c>
      <c r="AD78" s="299">
        <v>21214</v>
      </c>
      <c r="AE78" s="299">
        <v>8067</v>
      </c>
      <c r="AF78" s="299">
        <v>9621</v>
      </c>
      <c r="AG78" s="299">
        <v>10622</v>
      </c>
      <c r="AH78" s="299">
        <v>9532</v>
      </c>
      <c r="AI78" s="299">
        <v>9814</v>
      </c>
      <c r="AJ78" s="299">
        <v>11526</v>
      </c>
      <c r="AK78" s="299">
        <v>10394</v>
      </c>
      <c r="AL78" s="299">
        <v>11617</v>
      </c>
      <c r="AM78" s="299">
        <v>10968</v>
      </c>
      <c r="AN78" s="257">
        <f t="shared" si="308"/>
        <v>124243</v>
      </c>
      <c r="AO78" s="298">
        <v>10086</v>
      </c>
      <c r="AP78" s="299">
        <v>12203</v>
      </c>
      <c r="AQ78" s="299">
        <v>10788</v>
      </c>
      <c r="AR78" s="299">
        <v>9052</v>
      </c>
      <c r="AS78" s="299">
        <v>10163</v>
      </c>
      <c r="AT78" s="299">
        <v>14032</v>
      </c>
      <c r="AU78" s="299">
        <v>9036</v>
      </c>
      <c r="AV78" s="299">
        <v>11125</v>
      </c>
      <c r="AW78" s="299">
        <v>12258</v>
      </c>
      <c r="AX78" s="299">
        <v>12621</v>
      </c>
      <c r="AY78" s="299">
        <v>12660</v>
      </c>
      <c r="AZ78" s="300">
        <v>11925</v>
      </c>
      <c r="BA78" s="300">
        <f t="shared" si="310"/>
        <v>135949</v>
      </c>
      <c r="BB78" s="299">
        <v>12184</v>
      </c>
      <c r="BC78" s="299">
        <v>15921</v>
      </c>
      <c r="BD78" s="299">
        <v>11499</v>
      </c>
      <c r="BE78" s="299">
        <v>10544</v>
      </c>
      <c r="BF78" s="299">
        <v>12702</v>
      </c>
      <c r="BG78" s="299">
        <v>13224</v>
      </c>
      <c r="BH78" s="299">
        <v>12614</v>
      </c>
      <c r="BI78" s="299">
        <v>11638</v>
      </c>
      <c r="BJ78" s="299">
        <v>11820</v>
      </c>
      <c r="BK78" s="299">
        <v>12567</v>
      </c>
      <c r="BL78" s="299">
        <v>12952</v>
      </c>
      <c r="BM78" s="300">
        <v>13595</v>
      </c>
      <c r="BN78" s="300">
        <f t="shared" si="312"/>
        <v>151260</v>
      </c>
      <c r="BO78" s="299">
        <v>13534</v>
      </c>
      <c r="BP78" s="299">
        <v>1112</v>
      </c>
      <c r="BQ78" s="299">
        <v>27088</v>
      </c>
      <c r="BR78" s="299">
        <v>9619</v>
      </c>
      <c r="BS78" s="299">
        <v>7273</v>
      </c>
      <c r="BT78" s="299">
        <v>6492</v>
      </c>
      <c r="BU78" s="299">
        <v>8619</v>
      </c>
      <c r="BV78" s="299">
        <v>9553</v>
      </c>
      <c r="BW78" s="299">
        <v>18541</v>
      </c>
      <c r="BX78" s="299">
        <v>12306</v>
      </c>
      <c r="BY78" s="299">
        <f>11659-531</f>
        <v>11128</v>
      </c>
      <c r="BZ78" s="299">
        <v>13504</v>
      </c>
      <c r="CA78" s="202">
        <f t="shared" si="341"/>
        <v>138769</v>
      </c>
      <c r="CB78" s="299">
        <v>15961</v>
      </c>
      <c r="CC78" s="299">
        <v>17542</v>
      </c>
      <c r="CD78" s="299">
        <v>15845</v>
      </c>
      <c r="CE78" s="299">
        <v>15039</v>
      </c>
      <c r="CF78" s="299">
        <v>16171</v>
      </c>
      <c r="CG78" s="299">
        <v>17207</v>
      </c>
      <c r="CH78" s="299">
        <v>15138</v>
      </c>
      <c r="CI78" s="299">
        <v>15261</v>
      </c>
      <c r="CJ78" s="299"/>
      <c r="CK78" s="299">
        <v>16282</v>
      </c>
      <c r="CL78" s="299">
        <v>14361</v>
      </c>
      <c r="CM78" s="300">
        <v>19951</v>
      </c>
      <c r="CN78" s="300">
        <f t="shared" si="325"/>
        <v>178758</v>
      </c>
      <c r="CO78" s="298">
        <v>21424</v>
      </c>
      <c r="CP78" s="299">
        <v>22120</v>
      </c>
      <c r="CQ78" s="299">
        <v>21429</v>
      </c>
      <c r="CR78" s="299">
        <v>16940</v>
      </c>
      <c r="CS78" s="299">
        <v>19865</v>
      </c>
      <c r="CT78" s="299">
        <v>23497</v>
      </c>
      <c r="CU78" s="299">
        <v>21847</v>
      </c>
      <c r="CV78" s="299">
        <v>19745</v>
      </c>
      <c r="CW78" s="299">
        <v>25692</v>
      </c>
      <c r="CX78" s="299">
        <v>23551</v>
      </c>
      <c r="CY78" s="299">
        <v>20465</v>
      </c>
      <c r="CZ78" s="300">
        <v>23050</v>
      </c>
      <c r="DA78" s="257">
        <f t="shared" si="327"/>
        <v>259625</v>
      </c>
      <c r="DB78" s="298">
        <v>19965</v>
      </c>
      <c r="DC78" s="299">
        <v>25581</v>
      </c>
      <c r="DD78" s="299">
        <v>21204</v>
      </c>
      <c r="DE78" s="299">
        <v>29329</v>
      </c>
      <c r="DF78" s="299">
        <v>21005</v>
      </c>
      <c r="DG78" s="299">
        <v>22951</v>
      </c>
      <c r="DH78" s="299">
        <v>15250</v>
      </c>
      <c r="DI78" s="299">
        <v>18785</v>
      </c>
      <c r="DJ78" s="299">
        <v>20230</v>
      </c>
      <c r="DK78" s="299">
        <v>21225</v>
      </c>
      <c r="DL78" s="299">
        <v>22346</v>
      </c>
      <c r="DM78" s="300">
        <v>20453</v>
      </c>
      <c r="DN78" s="299">
        <f t="shared" si="329"/>
        <v>258324</v>
      </c>
      <c r="DO78" s="298">
        <v>21610</v>
      </c>
      <c r="DP78" s="299">
        <v>29338</v>
      </c>
      <c r="DQ78" s="299">
        <v>20516</v>
      </c>
      <c r="DR78" s="299">
        <v>20114</v>
      </c>
      <c r="DS78" s="299">
        <v>22421</v>
      </c>
      <c r="DT78" s="299">
        <v>24186</v>
      </c>
      <c r="DU78" s="299">
        <v>20461</v>
      </c>
      <c r="DV78" s="299">
        <v>23109</v>
      </c>
      <c r="DW78" s="299">
        <v>23562</v>
      </c>
      <c r="DX78" s="299">
        <v>26467</v>
      </c>
      <c r="DY78" s="299">
        <v>24533</v>
      </c>
      <c r="DZ78" s="300">
        <v>28981</v>
      </c>
      <c r="EA78" s="300">
        <f t="shared" si="331"/>
        <v>285298</v>
      </c>
      <c r="EB78" s="299">
        <v>27362</v>
      </c>
      <c r="EC78" s="299">
        <v>33508</v>
      </c>
      <c r="ED78" s="299">
        <v>25733</v>
      </c>
      <c r="EE78" s="299">
        <v>22354</v>
      </c>
      <c r="EF78" s="299">
        <v>25637</v>
      </c>
      <c r="EG78" s="299">
        <v>23717</v>
      </c>
      <c r="EH78" s="299">
        <v>24593</v>
      </c>
      <c r="EI78" s="299">
        <v>26759</v>
      </c>
      <c r="EJ78" s="299">
        <v>25130</v>
      </c>
      <c r="EK78" s="299">
        <v>26148</v>
      </c>
      <c r="EL78" s="299">
        <v>26305</v>
      </c>
      <c r="EM78" s="299">
        <v>22065</v>
      </c>
      <c r="EN78" s="257">
        <f t="shared" si="333"/>
        <v>309311</v>
      </c>
      <c r="EO78" s="299">
        <v>28690</v>
      </c>
      <c r="EP78" s="299">
        <v>33214</v>
      </c>
      <c r="EQ78" s="299">
        <v>28906</v>
      </c>
      <c r="ER78" s="299">
        <v>27996</v>
      </c>
      <c r="ES78" s="299">
        <v>35882</v>
      </c>
      <c r="ET78" s="299">
        <v>32823</v>
      </c>
      <c r="EU78" s="299">
        <v>33395</v>
      </c>
      <c r="EV78" s="967">
        <v>30014</v>
      </c>
      <c r="EW78" s="299"/>
      <c r="EX78" s="299"/>
      <c r="EY78" s="299"/>
      <c r="EZ78" s="299"/>
      <c r="FA78" s="257">
        <f t="shared" si="336"/>
        <v>250920</v>
      </c>
      <c r="FC78" s="317">
        <f t="shared" si="337"/>
        <v>12.164131694009495</v>
      </c>
      <c r="FD78" s="317">
        <f t="shared" si="338"/>
        <v>19.677768609625936</v>
      </c>
      <c r="FE78" s="145">
        <f t="shared" si="339"/>
        <v>209663</v>
      </c>
      <c r="FF78" s="145">
        <f t="shared" si="340"/>
        <v>250920</v>
      </c>
      <c r="FG78" s="236"/>
    </row>
    <row r="79" spans="1:163" ht="15" customHeight="1" x14ac:dyDescent="0.25">
      <c r="A79" s="302" t="s">
        <v>455</v>
      </c>
      <c r="B79" s="298">
        <f t="shared" ref="B79:AM79" si="375">SUM(B80:B81)</f>
        <v>0</v>
      </c>
      <c r="C79" s="299">
        <f t="shared" si="375"/>
        <v>0</v>
      </c>
      <c r="D79" s="299">
        <f t="shared" si="375"/>
        <v>0</v>
      </c>
      <c r="E79" s="299">
        <f t="shared" si="375"/>
        <v>0</v>
      </c>
      <c r="F79" s="299">
        <f t="shared" si="375"/>
        <v>7134</v>
      </c>
      <c r="G79" s="299">
        <f t="shared" si="375"/>
        <v>240</v>
      </c>
      <c r="H79" s="299">
        <f t="shared" si="375"/>
        <v>466</v>
      </c>
      <c r="I79" s="299">
        <f t="shared" si="375"/>
        <v>0</v>
      </c>
      <c r="J79" s="299">
        <f t="shared" si="375"/>
        <v>0</v>
      </c>
      <c r="K79" s="299">
        <f t="shared" si="375"/>
        <v>0</v>
      </c>
      <c r="L79" s="299">
        <f t="shared" si="375"/>
        <v>9560</v>
      </c>
      <c r="M79" s="300">
        <f t="shared" si="375"/>
        <v>0</v>
      </c>
      <c r="N79" s="300">
        <f t="shared" si="306"/>
        <v>17400</v>
      </c>
      <c r="O79" s="299">
        <f t="shared" si="375"/>
        <v>0</v>
      </c>
      <c r="P79" s="299">
        <f t="shared" si="375"/>
        <v>0</v>
      </c>
      <c r="Q79" s="299">
        <f t="shared" si="375"/>
        <v>0</v>
      </c>
      <c r="R79" s="299">
        <f t="shared" si="375"/>
        <v>0</v>
      </c>
      <c r="S79" s="299">
        <f t="shared" si="375"/>
        <v>10031</v>
      </c>
      <c r="T79" s="299">
        <f t="shared" si="375"/>
        <v>99</v>
      </c>
      <c r="U79" s="299">
        <f t="shared" si="375"/>
        <v>0</v>
      </c>
      <c r="V79" s="299">
        <f t="shared" si="375"/>
        <v>0</v>
      </c>
      <c r="W79" s="299">
        <f t="shared" si="375"/>
        <v>0</v>
      </c>
      <c r="X79" s="299">
        <f t="shared" si="375"/>
        <v>0</v>
      </c>
      <c r="Y79" s="299">
        <f t="shared" si="375"/>
        <v>9741</v>
      </c>
      <c r="Z79" s="300">
        <f t="shared" si="375"/>
        <v>797</v>
      </c>
      <c r="AA79" s="299">
        <f t="shared" si="307"/>
        <v>20668</v>
      </c>
      <c r="AB79" s="298">
        <f t="shared" si="375"/>
        <v>0</v>
      </c>
      <c r="AC79" s="299">
        <f t="shared" si="375"/>
        <v>0</v>
      </c>
      <c r="AD79" s="299">
        <f t="shared" si="375"/>
        <v>0</v>
      </c>
      <c r="AE79" s="299">
        <f t="shared" si="375"/>
        <v>0</v>
      </c>
      <c r="AF79" s="299">
        <f t="shared" si="375"/>
        <v>9307</v>
      </c>
      <c r="AG79" s="299">
        <f t="shared" si="375"/>
        <v>417</v>
      </c>
      <c r="AH79" s="299">
        <f t="shared" si="375"/>
        <v>0</v>
      </c>
      <c r="AI79" s="299">
        <f t="shared" si="375"/>
        <v>0</v>
      </c>
      <c r="AJ79" s="299">
        <f t="shared" si="375"/>
        <v>0</v>
      </c>
      <c r="AK79" s="299">
        <f t="shared" si="375"/>
        <v>8066</v>
      </c>
      <c r="AL79" s="299">
        <f t="shared" si="375"/>
        <v>807</v>
      </c>
      <c r="AM79" s="299">
        <f t="shared" si="375"/>
        <v>0</v>
      </c>
      <c r="AN79" s="257">
        <f t="shared" si="308"/>
        <v>18597</v>
      </c>
      <c r="AO79" s="298">
        <f t="shared" ref="AO79:AZ79" si="376">SUM(AO80:AO81)</f>
        <v>0</v>
      </c>
      <c r="AP79" s="299">
        <f t="shared" si="376"/>
        <v>0</v>
      </c>
      <c r="AQ79" s="299">
        <f t="shared" si="376"/>
        <v>0</v>
      </c>
      <c r="AR79" s="299">
        <f t="shared" si="376"/>
        <v>9479</v>
      </c>
      <c r="AS79" s="299">
        <f t="shared" si="376"/>
        <v>0</v>
      </c>
      <c r="AT79" s="299">
        <f t="shared" si="376"/>
        <v>0</v>
      </c>
      <c r="AU79" s="299">
        <f t="shared" si="376"/>
        <v>0</v>
      </c>
      <c r="AV79" s="299">
        <f t="shared" si="376"/>
        <v>0</v>
      </c>
      <c r="AW79" s="299">
        <f t="shared" si="376"/>
        <v>0</v>
      </c>
      <c r="AX79" s="299">
        <f t="shared" si="376"/>
        <v>6382</v>
      </c>
      <c r="AY79" s="299">
        <f t="shared" si="376"/>
        <v>24</v>
      </c>
      <c r="AZ79" s="300">
        <f t="shared" si="376"/>
        <v>452</v>
      </c>
      <c r="BA79" s="300">
        <f t="shared" si="310"/>
        <v>16337</v>
      </c>
      <c r="BB79" s="299">
        <f t="shared" ref="BB79:BM79" si="377">SUM(BB80:BB81)</f>
        <v>0</v>
      </c>
      <c r="BC79" s="299">
        <f t="shared" si="377"/>
        <v>0</v>
      </c>
      <c r="BD79" s="299">
        <f t="shared" si="377"/>
        <v>0</v>
      </c>
      <c r="BE79" s="299">
        <f t="shared" si="377"/>
        <v>0</v>
      </c>
      <c r="BF79" s="299">
        <f t="shared" si="377"/>
        <v>4377</v>
      </c>
      <c r="BG79" s="299">
        <f t="shared" si="377"/>
        <v>0</v>
      </c>
      <c r="BH79" s="299">
        <f t="shared" si="377"/>
        <v>0</v>
      </c>
      <c r="BI79" s="299">
        <f t="shared" si="377"/>
        <v>0</v>
      </c>
      <c r="BJ79" s="299">
        <f t="shared" si="377"/>
        <v>0</v>
      </c>
      <c r="BK79" s="299">
        <f t="shared" si="377"/>
        <v>0</v>
      </c>
      <c r="BL79" s="299">
        <f t="shared" si="377"/>
        <v>0</v>
      </c>
      <c r="BM79" s="300">
        <f t="shared" si="377"/>
        <v>0</v>
      </c>
      <c r="BN79" s="300">
        <f t="shared" si="312"/>
        <v>4377</v>
      </c>
      <c r="BO79" s="299">
        <f>SUM(BO80:BO81)</f>
        <v>0</v>
      </c>
      <c r="BP79" s="299">
        <f>SUM(BP80:BP81)</f>
        <v>0</v>
      </c>
      <c r="BQ79" s="299"/>
      <c r="BR79" s="299"/>
      <c r="BS79" s="299">
        <f t="shared" ref="BS79:BZ79" si="378">SUM(BS80:BS81)</f>
        <v>0</v>
      </c>
      <c r="BT79" s="299">
        <f t="shared" si="378"/>
        <v>10124</v>
      </c>
      <c r="BU79" s="299">
        <f t="shared" si="378"/>
        <v>4219</v>
      </c>
      <c r="BV79" s="299">
        <f t="shared" si="378"/>
        <v>4612</v>
      </c>
      <c r="BW79" s="299">
        <f t="shared" si="378"/>
        <v>0</v>
      </c>
      <c r="BX79" s="299">
        <f t="shared" si="378"/>
        <v>1559</v>
      </c>
      <c r="BY79" s="299">
        <f t="shared" si="378"/>
        <v>0</v>
      </c>
      <c r="BZ79" s="299">
        <f t="shared" si="378"/>
        <v>0</v>
      </c>
      <c r="CA79" s="202">
        <f t="shared" si="341"/>
        <v>20514</v>
      </c>
      <c r="CB79" s="299">
        <f>SUM(CB80:CB81)</f>
        <v>0</v>
      </c>
      <c r="CC79" s="299">
        <f>SUM(CC80:CC81)</f>
        <v>0</v>
      </c>
      <c r="CD79" s="299"/>
      <c r="CE79" s="299">
        <f>SUM(CE80:CE81)</f>
        <v>12075</v>
      </c>
      <c r="CF79" s="299">
        <f>SUM(CF80:CF81)</f>
        <v>0</v>
      </c>
      <c r="CG79" s="299">
        <f>SUM(CG80:CG81)</f>
        <v>1208</v>
      </c>
      <c r="CH79" s="299">
        <f>SUM(CH80:CH81)</f>
        <v>0</v>
      </c>
      <c r="CI79" s="299">
        <f>SUM(CI80:CI81)</f>
        <v>0</v>
      </c>
      <c r="CJ79" s="299">
        <v>19782</v>
      </c>
      <c r="CK79" s="299"/>
      <c r="CL79" s="299"/>
      <c r="CM79" s="300"/>
      <c r="CN79" s="300">
        <f t="shared" si="325"/>
        <v>33065</v>
      </c>
      <c r="CO79" s="298">
        <f>SUM(CO80,CO81)</f>
        <v>0</v>
      </c>
      <c r="CP79" s="299">
        <f t="shared" ref="CP79:CZ79" si="379">SUM(CP80,CP81)</f>
        <v>0</v>
      </c>
      <c r="CQ79" s="299">
        <f t="shared" si="379"/>
        <v>0</v>
      </c>
      <c r="CR79" s="299">
        <f t="shared" si="379"/>
        <v>0</v>
      </c>
      <c r="CS79" s="299">
        <f t="shared" si="379"/>
        <v>13628</v>
      </c>
      <c r="CT79" s="299">
        <f t="shared" si="379"/>
        <v>197</v>
      </c>
      <c r="CU79" s="299">
        <f t="shared" si="379"/>
        <v>0</v>
      </c>
      <c r="CV79" s="299">
        <f t="shared" si="379"/>
        <v>0</v>
      </c>
      <c r="CW79" s="299">
        <f t="shared" si="379"/>
        <v>344</v>
      </c>
      <c r="CX79" s="299">
        <f t="shared" si="379"/>
        <v>0</v>
      </c>
      <c r="CY79" s="299">
        <f t="shared" si="379"/>
        <v>0</v>
      </c>
      <c r="CZ79" s="300">
        <f t="shared" si="379"/>
        <v>0</v>
      </c>
      <c r="DA79" s="257">
        <f t="shared" si="327"/>
        <v>14169</v>
      </c>
      <c r="DB79" s="298">
        <f t="shared" ref="DB79:DM79" si="380">SUM(DB80,DB81)</f>
        <v>0</v>
      </c>
      <c r="DC79" s="299">
        <f t="shared" si="380"/>
        <v>0</v>
      </c>
      <c r="DD79" s="299">
        <f t="shared" si="380"/>
        <v>0</v>
      </c>
      <c r="DE79" s="299">
        <f t="shared" si="380"/>
        <v>0</v>
      </c>
      <c r="DF79" s="299">
        <f t="shared" si="380"/>
        <v>9079</v>
      </c>
      <c r="DG79" s="299">
        <f t="shared" si="380"/>
        <v>0</v>
      </c>
      <c r="DH79" s="299">
        <f t="shared" si="380"/>
        <v>0</v>
      </c>
      <c r="DI79" s="299">
        <f t="shared" si="380"/>
        <v>6033</v>
      </c>
      <c r="DJ79" s="299">
        <f t="shared" si="380"/>
        <v>0</v>
      </c>
      <c r="DK79" s="299">
        <f t="shared" si="380"/>
        <v>0</v>
      </c>
      <c r="DL79" s="299">
        <f t="shared" si="380"/>
        <v>0</v>
      </c>
      <c r="DM79" s="300">
        <f t="shared" si="380"/>
        <v>0</v>
      </c>
      <c r="DN79" s="299">
        <f t="shared" si="329"/>
        <v>15112</v>
      </c>
      <c r="DO79" s="298">
        <f t="shared" ref="DO79:DZ79" si="381">SUM(DO80,DO81)</f>
        <v>0</v>
      </c>
      <c r="DP79" s="299">
        <f t="shared" si="381"/>
        <v>0</v>
      </c>
      <c r="DQ79" s="299">
        <f t="shared" si="381"/>
        <v>0</v>
      </c>
      <c r="DR79" s="299">
        <f t="shared" si="381"/>
        <v>0</v>
      </c>
      <c r="DS79" s="299">
        <f t="shared" si="381"/>
        <v>11059</v>
      </c>
      <c r="DT79" s="299">
        <f t="shared" si="381"/>
        <v>0</v>
      </c>
      <c r="DU79" s="299">
        <f t="shared" si="381"/>
        <v>0</v>
      </c>
      <c r="DV79" s="299">
        <f t="shared" si="381"/>
        <v>0</v>
      </c>
      <c r="DW79" s="299">
        <f t="shared" si="381"/>
        <v>0</v>
      </c>
      <c r="DX79" s="299">
        <f t="shared" si="381"/>
        <v>761</v>
      </c>
      <c r="DY79" s="299">
        <f t="shared" si="381"/>
        <v>0</v>
      </c>
      <c r="DZ79" s="300">
        <f t="shared" si="381"/>
        <v>0</v>
      </c>
      <c r="EA79" s="300">
        <f t="shared" si="331"/>
        <v>11820</v>
      </c>
      <c r="EB79" s="299">
        <f t="shared" ref="EB79:EM79" si="382">SUM(EB80,EB81)</f>
        <v>0</v>
      </c>
      <c r="EC79" s="299">
        <f t="shared" si="382"/>
        <v>0</v>
      </c>
      <c r="ED79" s="299">
        <f t="shared" si="382"/>
        <v>0</v>
      </c>
      <c r="EE79" s="299">
        <f t="shared" si="382"/>
        <v>0</v>
      </c>
      <c r="EF79" s="299">
        <f t="shared" si="382"/>
        <v>13077</v>
      </c>
      <c r="EG79" s="299">
        <f t="shared" si="382"/>
        <v>0</v>
      </c>
      <c r="EH79" s="299">
        <f t="shared" si="382"/>
        <v>0</v>
      </c>
      <c r="EI79" s="299">
        <f t="shared" si="382"/>
        <v>0</v>
      </c>
      <c r="EJ79" s="299">
        <f t="shared" si="382"/>
        <v>0</v>
      </c>
      <c r="EK79" s="299">
        <f t="shared" si="382"/>
        <v>0</v>
      </c>
      <c r="EL79" s="299">
        <f t="shared" si="382"/>
        <v>0</v>
      </c>
      <c r="EM79" s="299">
        <f t="shared" si="382"/>
        <v>0</v>
      </c>
      <c r="EN79" s="257">
        <f t="shared" si="333"/>
        <v>13077</v>
      </c>
      <c r="EO79" s="299">
        <f t="shared" ref="EO79:ER79" si="383">SUM(EO80,EO81)</f>
        <v>0</v>
      </c>
      <c r="EP79" s="299">
        <f t="shared" si="383"/>
        <v>0</v>
      </c>
      <c r="EQ79" s="299">
        <f t="shared" si="383"/>
        <v>0</v>
      </c>
      <c r="ER79" s="299">
        <f t="shared" si="383"/>
        <v>0</v>
      </c>
      <c r="ES79" s="299">
        <v>13377</v>
      </c>
      <c r="ET79" s="299">
        <f t="shared" ref="ET79" si="384">SUM(ET80,ET81)</f>
        <v>0</v>
      </c>
      <c r="EU79" s="299">
        <v>0</v>
      </c>
      <c r="EV79" s="967">
        <v>0</v>
      </c>
      <c r="EW79" s="299"/>
      <c r="EX79" s="299"/>
      <c r="EY79" s="299"/>
      <c r="EZ79" s="299"/>
      <c r="FA79" s="257">
        <f t="shared" si="336"/>
        <v>13377</v>
      </c>
      <c r="FC79" s="317" t="str">
        <f t="shared" si="337"/>
        <v>-</v>
      </c>
      <c r="FD79" s="317">
        <f t="shared" si="338"/>
        <v>2.2941041523285133</v>
      </c>
      <c r="FE79" s="145">
        <f t="shared" si="339"/>
        <v>13077</v>
      </c>
      <c r="FF79" s="145">
        <f t="shared" si="340"/>
        <v>13377</v>
      </c>
      <c r="FG79" s="236"/>
    </row>
    <row r="80" spans="1:163" ht="15" customHeight="1" x14ac:dyDescent="0.25">
      <c r="A80" s="303" t="s">
        <v>456</v>
      </c>
      <c r="B80" s="245"/>
      <c r="C80" s="205"/>
      <c r="D80" s="205"/>
      <c r="E80" s="205"/>
      <c r="F80" s="205">
        <v>7134</v>
      </c>
      <c r="G80" s="205">
        <v>240</v>
      </c>
      <c r="H80" s="205">
        <v>466</v>
      </c>
      <c r="I80" s="205"/>
      <c r="J80" s="205"/>
      <c r="K80" s="205"/>
      <c r="L80" s="205">
        <v>9560</v>
      </c>
      <c r="M80" s="246"/>
      <c r="N80" s="246">
        <f t="shared" si="306"/>
        <v>17400</v>
      </c>
      <c r="O80" s="205"/>
      <c r="P80" s="205"/>
      <c r="Q80" s="205"/>
      <c r="R80" s="205"/>
      <c r="S80" s="205">
        <v>10031</v>
      </c>
      <c r="T80" s="205">
        <v>99</v>
      </c>
      <c r="U80" s="205"/>
      <c r="V80" s="205"/>
      <c r="W80" s="205"/>
      <c r="X80" s="205"/>
      <c r="Y80" s="205">
        <v>9741</v>
      </c>
      <c r="Z80" s="246">
        <v>797</v>
      </c>
      <c r="AA80" s="205">
        <f t="shared" si="307"/>
        <v>20668</v>
      </c>
      <c r="AB80" s="245"/>
      <c r="AC80" s="205"/>
      <c r="AD80" s="205"/>
      <c r="AE80" s="205"/>
      <c r="AF80" s="205">
        <v>9307</v>
      </c>
      <c r="AG80" s="205">
        <v>417</v>
      </c>
      <c r="AH80" s="205"/>
      <c r="AI80" s="205"/>
      <c r="AJ80" s="205"/>
      <c r="AK80" s="205">
        <v>8066</v>
      </c>
      <c r="AL80" s="205">
        <v>807</v>
      </c>
      <c r="AM80" s="205"/>
      <c r="AN80" s="202">
        <f t="shared" si="308"/>
        <v>18597</v>
      </c>
      <c r="AO80" s="245"/>
      <c r="AP80" s="205"/>
      <c r="AQ80" s="205"/>
      <c r="AR80" s="205">
        <v>9479</v>
      </c>
      <c r="AS80" s="205"/>
      <c r="AT80" s="205"/>
      <c r="AU80" s="205"/>
      <c r="AV80" s="205"/>
      <c r="AW80" s="205"/>
      <c r="AX80" s="205">
        <v>6382</v>
      </c>
      <c r="AY80" s="205">
        <v>24</v>
      </c>
      <c r="AZ80" s="246">
        <v>452</v>
      </c>
      <c r="BA80" s="246">
        <f t="shared" si="310"/>
        <v>16337</v>
      </c>
      <c r="BB80" s="205"/>
      <c r="BC80" s="205"/>
      <c r="BD80" s="205"/>
      <c r="BE80" s="205"/>
      <c r="BF80" s="205">
        <v>4377</v>
      </c>
      <c r="BG80" s="205"/>
      <c r="BH80" s="205"/>
      <c r="BI80" s="205"/>
      <c r="BJ80" s="205"/>
      <c r="BK80" s="205"/>
      <c r="BL80" s="205"/>
      <c r="BM80" s="246"/>
      <c r="BN80" s="246">
        <f t="shared" si="312"/>
        <v>4377</v>
      </c>
      <c r="BO80" s="205"/>
      <c r="BP80" s="205"/>
      <c r="BQ80" s="205"/>
      <c r="BR80" s="205"/>
      <c r="BS80" s="205"/>
      <c r="BT80" s="205">
        <v>10124</v>
      </c>
      <c r="BU80" s="205">
        <v>4219</v>
      </c>
      <c r="BV80" s="205">
        <v>4612</v>
      </c>
      <c r="BW80" s="205"/>
      <c r="BX80" s="205">
        <v>1559</v>
      </c>
      <c r="BY80" s="205"/>
      <c r="BZ80" s="205"/>
      <c r="CA80" s="202">
        <f t="shared" si="341"/>
        <v>20514</v>
      </c>
      <c r="CB80" s="205"/>
      <c r="CC80" s="205"/>
      <c r="CD80" s="205"/>
      <c r="CE80" s="205">
        <v>12075</v>
      </c>
      <c r="CF80" s="205"/>
      <c r="CG80" s="205">
        <v>1208</v>
      </c>
      <c r="CH80" s="205"/>
      <c r="CI80" s="205"/>
      <c r="CJ80" s="205">
        <v>19782</v>
      </c>
      <c r="CK80" s="205"/>
      <c r="CL80" s="205"/>
      <c r="CM80" s="246"/>
      <c r="CN80" s="246">
        <f t="shared" si="325"/>
        <v>33065</v>
      </c>
      <c r="CO80" s="245"/>
      <c r="CP80" s="205"/>
      <c r="CQ80" s="205"/>
      <c r="CR80" s="205"/>
      <c r="CS80" s="205">
        <v>13628</v>
      </c>
      <c r="CT80" s="205">
        <v>197</v>
      </c>
      <c r="CU80" s="205"/>
      <c r="CV80" s="205"/>
      <c r="CW80" s="205">
        <v>344</v>
      </c>
      <c r="CX80" s="205"/>
      <c r="CY80" s="205"/>
      <c r="CZ80" s="246"/>
      <c r="DA80" s="202">
        <f t="shared" si="327"/>
        <v>14169</v>
      </c>
      <c r="DB80" s="245"/>
      <c r="DC80" s="205"/>
      <c r="DD80" s="205"/>
      <c r="DE80" s="205"/>
      <c r="DF80" s="205">
        <v>9079</v>
      </c>
      <c r="DG80" s="205"/>
      <c r="DH80" s="205"/>
      <c r="DI80" s="205">
        <v>6033</v>
      </c>
      <c r="DJ80" s="205"/>
      <c r="DK80" s="205"/>
      <c r="DL80" s="205"/>
      <c r="DM80" s="246"/>
      <c r="DN80" s="205">
        <f t="shared" si="329"/>
        <v>15112</v>
      </c>
      <c r="DO80" s="245"/>
      <c r="DP80" s="205"/>
      <c r="DQ80" s="205"/>
      <c r="DR80" s="205"/>
      <c r="DS80" s="205">
        <v>11059</v>
      </c>
      <c r="DT80" s="205"/>
      <c r="DU80" s="205"/>
      <c r="DV80" s="205"/>
      <c r="DW80" s="205"/>
      <c r="DX80" s="205">
        <v>761</v>
      </c>
      <c r="DY80" s="205"/>
      <c r="DZ80" s="246"/>
      <c r="EA80" s="246">
        <f t="shared" si="331"/>
        <v>11820</v>
      </c>
      <c r="EB80" s="205">
        <v>0</v>
      </c>
      <c r="EC80" s="205">
        <v>0</v>
      </c>
      <c r="ED80" s="205">
        <v>0</v>
      </c>
      <c r="EE80" s="205">
        <v>0</v>
      </c>
      <c r="EF80" s="205">
        <v>13077</v>
      </c>
      <c r="EG80" s="205">
        <v>0</v>
      </c>
      <c r="EH80" s="205">
        <v>0</v>
      </c>
      <c r="EI80" s="205">
        <v>0</v>
      </c>
      <c r="EJ80" s="205">
        <v>0</v>
      </c>
      <c r="EK80" s="205">
        <v>0</v>
      </c>
      <c r="EL80" s="205">
        <v>0</v>
      </c>
      <c r="EM80" s="205">
        <v>0</v>
      </c>
      <c r="EN80" s="202">
        <f t="shared" si="333"/>
        <v>13077</v>
      </c>
      <c r="EO80" s="205">
        <v>0</v>
      </c>
      <c r="EP80" s="205">
        <v>0</v>
      </c>
      <c r="EQ80" s="205">
        <v>0</v>
      </c>
      <c r="ER80" s="205">
        <v>0</v>
      </c>
      <c r="ES80" s="205">
        <v>0</v>
      </c>
      <c r="ET80" s="205">
        <v>0</v>
      </c>
      <c r="EU80" s="205">
        <v>0</v>
      </c>
      <c r="EV80" s="963">
        <v>0</v>
      </c>
      <c r="EW80" s="205"/>
      <c r="EX80" s="205"/>
      <c r="EY80" s="205"/>
      <c r="EZ80" s="205"/>
      <c r="FA80" s="202">
        <f t="shared" si="336"/>
        <v>0</v>
      </c>
      <c r="FC80" s="316" t="str">
        <f t="shared" si="337"/>
        <v>-</v>
      </c>
      <c r="FD80" s="316">
        <f t="shared" si="338"/>
        <v>-100</v>
      </c>
      <c r="FE80" s="148">
        <f t="shared" si="339"/>
        <v>13077</v>
      </c>
      <c r="FF80" s="148">
        <f t="shared" si="340"/>
        <v>0</v>
      </c>
      <c r="FG80" s="127"/>
    </row>
    <row r="81" spans="1:163" ht="15" customHeight="1" x14ac:dyDescent="0.25">
      <c r="A81" s="303" t="s">
        <v>457</v>
      </c>
      <c r="B81" s="24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46"/>
      <c r="N81" s="246">
        <f t="shared" si="306"/>
        <v>0</v>
      </c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46"/>
      <c r="AA81" s="205">
        <f t="shared" si="307"/>
        <v>0</v>
      </c>
      <c r="AB81" s="24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2">
        <f t="shared" si="308"/>
        <v>0</v>
      </c>
      <c r="AO81" s="24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46"/>
      <c r="BA81" s="246">
        <f t="shared" si="310"/>
        <v>0</v>
      </c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46"/>
      <c r="BN81" s="246">
        <f t="shared" si="312"/>
        <v>0</v>
      </c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2">
        <f t="shared" si="341"/>
        <v>0</v>
      </c>
      <c r="CB81" s="205"/>
      <c r="CC81" s="205"/>
      <c r="CD81" s="205"/>
      <c r="CE81" s="205"/>
      <c r="CF81" s="205"/>
      <c r="CG81" s="205"/>
      <c r="CH81" s="205"/>
      <c r="CI81" s="205"/>
      <c r="CJ81" s="205"/>
      <c r="CK81" s="205"/>
      <c r="CL81" s="205"/>
      <c r="CM81" s="246"/>
      <c r="CN81" s="246">
        <f t="shared" si="325"/>
        <v>0</v>
      </c>
      <c r="CO81" s="245"/>
      <c r="CP81" s="205"/>
      <c r="CQ81" s="205"/>
      <c r="CR81" s="205"/>
      <c r="CS81" s="205"/>
      <c r="CT81" s="205"/>
      <c r="CU81" s="205"/>
      <c r="CV81" s="205"/>
      <c r="CW81" s="205"/>
      <c r="CX81" s="205"/>
      <c r="CY81" s="205"/>
      <c r="CZ81" s="246"/>
      <c r="DA81" s="202">
        <f t="shared" si="327"/>
        <v>0</v>
      </c>
      <c r="DB81" s="245"/>
      <c r="DC81" s="205"/>
      <c r="DD81" s="205"/>
      <c r="DE81" s="205"/>
      <c r="DF81" s="205"/>
      <c r="DG81" s="205"/>
      <c r="DH81" s="205"/>
      <c r="DI81" s="205"/>
      <c r="DJ81" s="205"/>
      <c r="DK81" s="205"/>
      <c r="DL81" s="205"/>
      <c r="DM81" s="246"/>
      <c r="DN81" s="205">
        <f t="shared" si="329"/>
        <v>0</v>
      </c>
      <c r="DO81" s="245"/>
      <c r="DP81" s="205"/>
      <c r="DQ81" s="205"/>
      <c r="DR81" s="205"/>
      <c r="DS81" s="205"/>
      <c r="DT81" s="205"/>
      <c r="DU81" s="205"/>
      <c r="DV81" s="205"/>
      <c r="DW81" s="205"/>
      <c r="DX81" s="205"/>
      <c r="DY81" s="205"/>
      <c r="DZ81" s="246"/>
      <c r="EA81" s="246">
        <f t="shared" si="331"/>
        <v>0</v>
      </c>
      <c r="EB81" s="205">
        <v>0</v>
      </c>
      <c r="EC81" s="205">
        <v>0</v>
      </c>
      <c r="ED81" s="205">
        <v>0</v>
      </c>
      <c r="EE81" s="205">
        <v>0</v>
      </c>
      <c r="EF81" s="205">
        <v>0</v>
      </c>
      <c r="EG81" s="205">
        <v>0</v>
      </c>
      <c r="EH81" s="205">
        <v>0</v>
      </c>
      <c r="EI81" s="205">
        <v>0</v>
      </c>
      <c r="EJ81" s="205">
        <v>0</v>
      </c>
      <c r="EK81" s="205">
        <v>0</v>
      </c>
      <c r="EL81" s="205">
        <v>0</v>
      </c>
      <c r="EM81" s="205">
        <v>0</v>
      </c>
      <c r="EN81" s="202">
        <f t="shared" si="333"/>
        <v>0</v>
      </c>
      <c r="EO81" s="205">
        <v>0</v>
      </c>
      <c r="EP81" s="205">
        <v>0</v>
      </c>
      <c r="EQ81" s="205">
        <v>0</v>
      </c>
      <c r="ER81" s="205">
        <v>0</v>
      </c>
      <c r="ES81" s="205">
        <v>0</v>
      </c>
      <c r="ET81" s="205">
        <v>0</v>
      </c>
      <c r="EU81" s="205">
        <v>0</v>
      </c>
      <c r="EV81" s="963">
        <v>0</v>
      </c>
      <c r="EW81" s="205"/>
      <c r="EX81" s="205"/>
      <c r="EY81" s="205"/>
      <c r="EZ81" s="205"/>
      <c r="FA81" s="202">
        <f t="shared" si="336"/>
        <v>0</v>
      </c>
      <c r="FC81" s="316" t="str">
        <f t="shared" si="337"/>
        <v>-</v>
      </c>
      <c r="FD81" s="316" t="str">
        <f t="shared" si="338"/>
        <v>-</v>
      </c>
      <c r="FE81" s="148">
        <f t="shared" si="339"/>
        <v>0</v>
      </c>
      <c r="FF81" s="148">
        <f t="shared" si="340"/>
        <v>0</v>
      </c>
      <c r="FG81" s="127"/>
    </row>
    <row r="82" spans="1:163" ht="15" customHeight="1" x14ac:dyDescent="0.25">
      <c r="A82" s="302"/>
      <c r="B82" s="24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46"/>
      <c r="N82" s="246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46"/>
      <c r="AA82" s="205"/>
      <c r="AB82" s="24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2"/>
      <c r="AO82" s="24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46"/>
      <c r="BA82" s="246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46"/>
      <c r="BN82" s="246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2"/>
      <c r="CB82" s="205"/>
      <c r="CC82" s="205"/>
      <c r="CD82" s="205"/>
      <c r="CE82" s="205"/>
      <c r="CF82" s="205"/>
      <c r="CG82" s="205"/>
      <c r="CH82" s="205"/>
      <c r="CI82" s="205"/>
      <c r="CJ82" s="205"/>
      <c r="CK82" s="205"/>
      <c r="CL82" s="205"/>
      <c r="CM82" s="246"/>
      <c r="CN82" s="246"/>
      <c r="CO82" s="245"/>
      <c r="CP82" s="205"/>
      <c r="CQ82" s="205"/>
      <c r="CR82" s="205"/>
      <c r="CS82" s="205"/>
      <c r="CT82" s="205"/>
      <c r="CU82" s="205"/>
      <c r="CV82" s="205"/>
      <c r="CW82" s="205"/>
      <c r="CX82" s="205"/>
      <c r="CY82" s="205"/>
      <c r="CZ82" s="246"/>
      <c r="DA82" s="202"/>
      <c r="DB82" s="245"/>
      <c r="DC82" s="205"/>
      <c r="DD82" s="205"/>
      <c r="DE82" s="205"/>
      <c r="DF82" s="205"/>
      <c r="DG82" s="205"/>
      <c r="DH82" s="205"/>
      <c r="DI82" s="205"/>
      <c r="DJ82" s="205"/>
      <c r="DK82" s="205"/>
      <c r="DL82" s="205"/>
      <c r="DM82" s="246"/>
      <c r="DN82" s="205">
        <f t="shared" si="329"/>
        <v>0</v>
      </c>
      <c r="DO82" s="245"/>
      <c r="DP82" s="205"/>
      <c r="DQ82" s="205"/>
      <c r="DR82" s="205"/>
      <c r="DS82" s="205"/>
      <c r="DT82" s="205"/>
      <c r="DU82" s="205"/>
      <c r="DV82" s="205"/>
      <c r="DW82" s="205"/>
      <c r="DX82" s="205"/>
      <c r="DY82" s="205"/>
      <c r="DZ82" s="246"/>
      <c r="EA82" s="246"/>
      <c r="EB82" s="205"/>
      <c r="EC82" s="205"/>
      <c r="ED82" s="205"/>
      <c r="EE82" s="205"/>
      <c r="EF82" s="205"/>
      <c r="EG82" s="205"/>
      <c r="EH82" s="205"/>
      <c r="EI82" s="205"/>
      <c r="EJ82" s="205"/>
      <c r="EK82" s="205"/>
      <c r="EL82" s="205"/>
      <c r="EM82" s="205"/>
      <c r="EN82" s="202"/>
      <c r="EO82" s="205"/>
      <c r="EP82" s="205"/>
      <c r="EQ82" s="205"/>
      <c r="ER82" s="205"/>
      <c r="ES82" s="205"/>
      <c r="ET82" s="205"/>
      <c r="EU82" s="205"/>
      <c r="EV82" s="963"/>
      <c r="EW82" s="205"/>
      <c r="EX82" s="205"/>
      <c r="EY82" s="205"/>
      <c r="EZ82" s="205"/>
      <c r="FA82" s="202"/>
      <c r="FC82" s="316" t="str">
        <f t="shared" si="337"/>
        <v>-</v>
      </c>
      <c r="FD82" s="318"/>
      <c r="FE82" s="148">
        <f t="shared" si="339"/>
        <v>0</v>
      </c>
      <c r="FF82" s="148"/>
      <c r="FG82" s="127"/>
    </row>
    <row r="83" spans="1:163" ht="15" customHeight="1" x14ac:dyDescent="0.25">
      <c r="A83" s="313" t="s">
        <v>459</v>
      </c>
      <c r="B83" s="242">
        <f t="shared" ref="B83:AM83" si="385">SUM(B84:B86)</f>
        <v>0</v>
      </c>
      <c r="C83" s="207">
        <f t="shared" si="385"/>
        <v>0</v>
      </c>
      <c r="D83" s="207">
        <f t="shared" si="385"/>
        <v>120</v>
      </c>
      <c r="E83" s="207">
        <f t="shared" si="385"/>
        <v>780</v>
      </c>
      <c r="F83" s="207">
        <f t="shared" si="385"/>
        <v>0</v>
      </c>
      <c r="G83" s="207">
        <f t="shared" si="385"/>
        <v>3744</v>
      </c>
      <c r="H83" s="207">
        <f t="shared" si="385"/>
        <v>2049</v>
      </c>
      <c r="I83" s="207">
        <f t="shared" si="385"/>
        <v>4140</v>
      </c>
      <c r="J83" s="207">
        <f t="shared" si="385"/>
        <v>350</v>
      </c>
      <c r="K83" s="207">
        <f t="shared" si="385"/>
        <v>0</v>
      </c>
      <c r="L83" s="207">
        <f t="shared" si="385"/>
        <v>131</v>
      </c>
      <c r="M83" s="243">
        <f t="shared" si="385"/>
        <v>467</v>
      </c>
      <c r="N83" s="243">
        <f t="shared" ref="N83:N91" si="386">SUM(B83:M83)</f>
        <v>11781</v>
      </c>
      <c r="O83" s="207">
        <f t="shared" si="385"/>
        <v>499</v>
      </c>
      <c r="P83" s="207">
        <f t="shared" si="385"/>
        <v>649</v>
      </c>
      <c r="Q83" s="207">
        <f t="shared" si="385"/>
        <v>3072</v>
      </c>
      <c r="R83" s="207">
        <f t="shared" si="385"/>
        <v>0</v>
      </c>
      <c r="S83" s="207">
        <f t="shared" si="385"/>
        <v>0</v>
      </c>
      <c r="T83" s="207">
        <f t="shared" si="385"/>
        <v>1957</v>
      </c>
      <c r="U83" s="207">
        <f t="shared" si="385"/>
        <v>0</v>
      </c>
      <c r="V83" s="207">
        <f t="shared" si="385"/>
        <v>287</v>
      </c>
      <c r="W83" s="207">
        <f t="shared" si="385"/>
        <v>40</v>
      </c>
      <c r="X83" s="207">
        <f t="shared" si="385"/>
        <v>1967</v>
      </c>
      <c r="Y83" s="207">
        <f t="shared" si="385"/>
        <v>0</v>
      </c>
      <c r="Z83" s="243">
        <f t="shared" si="385"/>
        <v>0</v>
      </c>
      <c r="AA83" s="207">
        <f t="shared" ref="AA83:AA91" si="387">SUM(O83:Z83)</f>
        <v>8471</v>
      </c>
      <c r="AB83" s="242">
        <f t="shared" si="385"/>
        <v>1351</v>
      </c>
      <c r="AC83" s="207">
        <f t="shared" si="385"/>
        <v>1000</v>
      </c>
      <c r="AD83" s="207">
        <f t="shared" si="385"/>
        <v>1405</v>
      </c>
      <c r="AE83" s="207">
        <f t="shared" si="385"/>
        <v>0</v>
      </c>
      <c r="AF83" s="207">
        <f t="shared" si="385"/>
        <v>500</v>
      </c>
      <c r="AG83" s="207">
        <f t="shared" si="385"/>
        <v>0</v>
      </c>
      <c r="AH83" s="207">
        <f t="shared" si="385"/>
        <v>500</v>
      </c>
      <c r="AI83" s="207">
        <f t="shared" si="385"/>
        <v>2855</v>
      </c>
      <c r="AJ83" s="207">
        <f t="shared" si="385"/>
        <v>100</v>
      </c>
      <c r="AK83" s="207">
        <f t="shared" si="385"/>
        <v>53</v>
      </c>
      <c r="AL83" s="207">
        <f t="shared" si="385"/>
        <v>411</v>
      </c>
      <c r="AM83" s="207">
        <f t="shared" si="385"/>
        <v>4523</v>
      </c>
      <c r="AN83" s="200">
        <f t="shared" ref="AN83:AN91" si="388">SUM(AB83:AM83)</f>
        <v>12698</v>
      </c>
      <c r="AO83" s="242">
        <f t="shared" ref="AO83:AZ83" si="389">SUM(AO84:AO86)</f>
        <v>0</v>
      </c>
      <c r="AP83" s="207">
        <f t="shared" si="389"/>
        <v>0</v>
      </c>
      <c r="AQ83" s="207">
        <f t="shared" si="389"/>
        <v>4537</v>
      </c>
      <c r="AR83" s="207">
        <f t="shared" si="389"/>
        <v>2302</v>
      </c>
      <c r="AS83" s="207">
        <f t="shared" si="389"/>
        <v>0</v>
      </c>
      <c r="AT83" s="207">
        <f t="shared" si="389"/>
        <v>394</v>
      </c>
      <c r="AU83" s="207">
        <f t="shared" si="389"/>
        <v>659</v>
      </c>
      <c r="AV83" s="207">
        <f t="shared" si="389"/>
        <v>0</v>
      </c>
      <c r="AW83" s="207">
        <f t="shared" si="389"/>
        <v>0</v>
      </c>
      <c r="AX83" s="207">
        <f t="shared" si="389"/>
        <v>0</v>
      </c>
      <c r="AY83" s="207">
        <f t="shared" si="389"/>
        <v>0</v>
      </c>
      <c r="AZ83" s="243">
        <f t="shared" si="389"/>
        <v>134</v>
      </c>
      <c r="BA83" s="243">
        <f t="shared" ref="BA83:BA91" si="390">SUM(AO83:AZ83)</f>
        <v>8026</v>
      </c>
      <c r="BB83" s="207">
        <f>SUM(BB84:BB86)</f>
        <v>600</v>
      </c>
      <c r="BC83" s="207">
        <f t="shared" ref="BC83:BM83" si="391">SUM(BC84:BC86)</f>
        <v>0</v>
      </c>
      <c r="BD83" s="207">
        <f t="shared" si="391"/>
        <v>0</v>
      </c>
      <c r="BE83" s="207">
        <f t="shared" si="391"/>
        <v>0</v>
      </c>
      <c r="BF83" s="207">
        <f t="shared" si="391"/>
        <v>0</v>
      </c>
      <c r="BG83" s="207">
        <f t="shared" si="391"/>
        <v>1985</v>
      </c>
      <c r="BH83" s="207">
        <f t="shared" si="391"/>
        <v>0</v>
      </c>
      <c r="BI83" s="207">
        <f t="shared" si="391"/>
        <v>0</v>
      </c>
      <c r="BJ83" s="207">
        <f t="shared" si="391"/>
        <v>526</v>
      </c>
      <c r="BK83" s="207">
        <f t="shared" si="391"/>
        <v>1212</v>
      </c>
      <c r="BL83" s="207">
        <f t="shared" si="391"/>
        <v>0</v>
      </c>
      <c r="BM83" s="243">
        <f t="shared" si="391"/>
        <v>0</v>
      </c>
      <c r="BN83" s="243">
        <f t="shared" ref="BN83:BN91" si="392">SUM(BB83:BM83)</f>
        <v>4323</v>
      </c>
      <c r="BO83" s="207">
        <f>SUM(BO84:BO86)</f>
        <v>0</v>
      </c>
      <c r="BP83" s="207">
        <f>SUM(BP84:BP86)</f>
        <v>0</v>
      </c>
      <c r="BQ83" s="207"/>
      <c r="BR83" s="207"/>
      <c r="BS83" s="207">
        <f t="shared" ref="BS83:BZ83" si="393">SUM(BS84:BS86)</f>
        <v>0</v>
      </c>
      <c r="BT83" s="207">
        <f t="shared" si="393"/>
        <v>590</v>
      </c>
      <c r="BU83" s="207">
        <f t="shared" si="393"/>
        <v>1680</v>
      </c>
      <c r="BV83" s="207">
        <f t="shared" si="393"/>
        <v>908</v>
      </c>
      <c r="BW83" s="207">
        <f t="shared" si="393"/>
        <v>0</v>
      </c>
      <c r="BX83" s="207">
        <f t="shared" si="393"/>
        <v>0</v>
      </c>
      <c r="BY83" s="207">
        <f>SUM(BY84:BY86)</f>
        <v>570</v>
      </c>
      <c r="BZ83" s="207">
        <f t="shared" si="393"/>
        <v>200</v>
      </c>
      <c r="CA83" s="202">
        <f t="shared" si="341"/>
        <v>3948</v>
      </c>
      <c r="CB83" s="207">
        <f>SUM(CB84:CB86)</f>
        <v>0</v>
      </c>
      <c r="CC83" s="207">
        <f>SUM(CC84:CC86)</f>
        <v>0</v>
      </c>
      <c r="CD83" s="207"/>
      <c r="CE83" s="207">
        <f>SUM(CE84:CE86)</f>
        <v>0</v>
      </c>
      <c r="CF83" s="207">
        <f t="shared" ref="CF83:CM83" si="394">SUM(CF84:CF86)</f>
        <v>0</v>
      </c>
      <c r="CG83" s="207">
        <f t="shared" si="394"/>
        <v>0</v>
      </c>
      <c r="CH83" s="207">
        <f t="shared" si="394"/>
        <v>0</v>
      </c>
      <c r="CI83" s="207">
        <f t="shared" si="394"/>
        <v>0</v>
      </c>
      <c r="CJ83" s="207">
        <f t="shared" si="394"/>
        <v>0</v>
      </c>
      <c r="CK83" s="207">
        <f t="shared" si="394"/>
        <v>0</v>
      </c>
      <c r="CL83" s="207">
        <f t="shared" si="394"/>
        <v>0</v>
      </c>
      <c r="CM83" s="243">
        <f t="shared" si="394"/>
        <v>0</v>
      </c>
      <c r="CN83" s="243">
        <f t="shared" si="325"/>
        <v>0</v>
      </c>
      <c r="CO83" s="242">
        <f t="shared" ref="CO83:CZ83" si="395">SUM(CO84:CO86)</f>
        <v>97</v>
      </c>
      <c r="CP83" s="207">
        <f t="shared" si="395"/>
        <v>-1</v>
      </c>
      <c r="CQ83" s="207">
        <f t="shared" si="395"/>
        <v>1100</v>
      </c>
      <c r="CR83" s="207">
        <f t="shared" si="395"/>
        <v>0</v>
      </c>
      <c r="CS83" s="207">
        <f t="shared" si="395"/>
        <v>1010</v>
      </c>
      <c r="CT83" s="207">
        <f t="shared" si="395"/>
        <v>300</v>
      </c>
      <c r="CU83" s="207">
        <f t="shared" si="395"/>
        <v>0</v>
      </c>
      <c r="CV83" s="207">
        <f t="shared" si="395"/>
        <v>386</v>
      </c>
      <c r="CW83" s="207">
        <f t="shared" si="395"/>
        <v>2176</v>
      </c>
      <c r="CX83" s="207">
        <f t="shared" si="395"/>
        <v>122</v>
      </c>
      <c r="CY83" s="207">
        <f t="shared" si="395"/>
        <v>0</v>
      </c>
      <c r="CZ83" s="243">
        <f t="shared" si="395"/>
        <v>7862</v>
      </c>
      <c r="DA83" s="200">
        <f t="shared" si="327"/>
        <v>13052</v>
      </c>
      <c r="DB83" s="242">
        <f t="shared" ref="DB83:DM83" si="396">SUM(DB84:DB86)</f>
        <v>-1</v>
      </c>
      <c r="DC83" s="207">
        <f t="shared" si="396"/>
        <v>0</v>
      </c>
      <c r="DD83" s="207">
        <f t="shared" si="396"/>
        <v>0</v>
      </c>
      <c r="DE83" s="207">
        <f t="shared" si="396"/>
        <v>1941</v>
      </c>
      <c r="DF83" s="207">
        <f t="shared" si="396"/>
        <v>0</v>
      </c>
      <c r="DG83" s="207">
        <f t="shared" si="396"/>
        <v>0</v>
      </c>
      <c r="DH83" s="207">
        <f t="shared" si="396"/>
        <v>0</v>
      </c>
      <c r="DI83" s="207">
        <f t="shared" si="396"/>
        <v>0</v>
      </c>
      <c r="DJ83" s="207">
        <f t="shared" si="396"/>
        <v>750</v>
      </c>
      <c r="DK83" s="207">
        <f t="shared" si="396"/>
        <v>0</v>
      </c>
      <c r="DL83" s="207">
        <f t="shared" si="396"/>
        <v>1646</v>
      </c>
      <c r="DM83" s="243">
        <f t="shared" si="396"/>
        <v>0</v>
      </c>
      <c r="DN83" s="207">
        <f t="shared" si="329"/>
        <v>4336</v>
      </c>
      <c r="DO83" s="242">
        <f t="shared" ref="DO83:DZ83" si="397">SUM(DO84:DO86)</f>
        <v>0</v>
      </c>
      <c r="DP83" s="207">
        <f t="shared" si="397"/>
        <v>0</v>
      </c>
      <c r="DQ83" s="207">
        <f t="shared" si="397"/>
        <v>0</v>
      </c>
      <c r="DR83" s="207">
        <f t="shared" si="397"/>
        <v>0</v>
      </c>
      <c r="DS83" s="207">
        <f t="shared" si="397"/>
        <v>0</v>
      </c>
      <c r="DT83" s="207">
        <f t="shared" si="397"/>
        <v>683</v>
      </c>
      <c r="DU83" s="207">
        <f t="shared" si="397"/>
        <v>0</v>
      </c>
      <c r="DV83" s="207">
        <f t="shared" si="397"/>
        <v>0</v>
      </c>
      <c r="DW83" s="207">
        <f t="shared" si="397"/>
        <v>3833</v>
      </c>
      <c r="DX83" s="207">
        <f t="shared" si="397"/>
        <v>0</v>
      </c>
      <c r="DY83" s="207">
        <f t="shared" si="397"/>
        <v>0</v>
      </c>
      <c r="DZ83" s="243">
        <f t="shared" si="397"/>
        <v>1294</v>
      </c>
      <c r="EA83" s="243">
        <f t="shared" si="331"/>
        <v>5810</v>
      </c>
      <c r="EB83" s="207">
        <f t="shared" ref="EB83:EM83" si="398">SUM(EB84:EB86)</f>
        <v>0</v>
      </c>
      <c r="EC83" s="207">
        <f t="shared" si="398"/>
        <v>0</v>
      </c>
      <c r="ED83" s="207">
        <f t="shared" si="398"/>
        <v>0</v>
      </c>
      <c r="EE83" s="207">
        <f t="shared" si="398"/>
        <v>-1</v>
      </c>
      <c r="EF83" s="207">
        <f t="shared" si="398"/>
        <v>1146</v>
      </c>
      <c r="EG83" s="207">
        <f t="shared" si="398"/>
        <v>1241</v>
      </c>
      <c r="EH83" s="207">
        <f t="shared" si="398"/>
        <v>3239</v>
      </c>
      <c r="EI83" s="207">
        <f t="shared" si="398"/>
        <v>0</v>
      </c>
      <c r="EJ83" s="207">
        <f t="shared" si="398"/>
        <v>1000</v>
      </c>
      <c r="EK83" s="207">
        <f t="shared" si="398"/>
        <v>2162</v>
      </c>
      <c r="EL83" s="207">
        <f t="shared" si="398"/>
        <v>-72</v>
      </c>
      <c r="EM83" s="207">
        <f t="shared" si="398"/>
        <v>4495</v>
      </c>
      <c r="EN83" s="200">
        <f t="shared" si="333"/>
        <v>13210</v>
      </c>
      <c r="EO83" s="207">
        <f t="shared" ref="EO83:ER83" si="399">SUM(EO84:EO86)</f>
        <v>0</v>
      </c>
      <c r="EP83" s="207">
        <f t="shared" si="399"/>
        <v>-222</v>
      </c>
      <c r="EQ83" s="207">
        <f t="shared" si="399"/>
        <v>-40</v>
      </c>
      <c r="ER83" s="207">
        <f t="shared" si="399"/>
        <v>11621</v>
      </c>
      <c r="ES83" s="207">
        <f t="shared" ref="ES83:ET83" si="400">SUM(ES84:ES86)</f>
        <v>0</v>
      </c>
      <c r="ET83" s="207">
        <f t="shared" si="400"/>
        <v>807</v>
      </c>
      <c r="EU83" s="207">
        <v>2785</v>
      </c>
      <c r="EV83" s="966">
        <v>0</v>
      </c>
      <c r="EW83" s="207"/>
      <c r="EX83" s="207"/>
      <c r="EY83" s="207"/>
      <c r="EZ83" s="207"/>
      <c r="FA83" s="200">
        <f t="shared" si="336"/>
        <v>14951</v>
      </c>
      <c r="FC83" s="317" t="str">
        <f t="shared" si="337"/>
        <v>-</v>
      </c>
      <c r="FD83" s="318">
        <f t="shared" ref="FD83:FD91" si="401">IFERROR(((FF83/FE83)-1)*100,"-")</f>
        <v>165.79555555555555</v>
      </c>
      <c r="FE83" s="145">
        <f t="shared" si="339"/>
        <v>5625</v>
      </c>
      <c r="FF83" s="145">
        <f t="shared" si="340"/>
        <v>14951</v>
      </c>
      <c r="FG83" s="236"/>
    </row>
    <row r="84" spans="1:163" ht="15" customHeight="1" x14ac:dyDescent="0.25">
      <c r="A84" s="303" t="s">
        <v>440</v>
      </c>
      <c r="B84" s="24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46"/>
      <c r="N84" s="246">
        <f t="shared" si="386"/>
        <v>0</v>
      </c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46"/>
      <c r="AA84" s="205">
        <f t="shared" si="387"/>
        <v>0</v>
      </c>
      <c r="AB84" s="24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  <c r="AN84" s="202">
        <f t="shared" si="388"/>
        <v>0</v>
      </c>
      <c r="AO84" s="24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46"/>
      <c r="BA84" s="246">
        <f t="shared" si="390"/>
        <v>0</v>
      </c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46"/>
      <c r="BN84" s="246">
        <f t="shared" si="392"/>
        <v>0</v>
      </c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2">
        <f t="shared" si="341"/>
        <v>0</v>
      </c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46"/>
      <c r="CN84" s="246">
        <f t="shared" si="325"/>
        <v>0</v>
      </c>
      <c r="CO84" s="245"/>
      <c r="CP84" s="205"/>
      <c r="CQ84" s="205"/>
      <c r="CR84" s="205"/>
      <c r="CS84" s="205"/>
      <c r="CT84" s="205"/>
      <c r="CU84" s="205"/>
      <c r="CV84" s="205"/>
      <c r="CW84" s="205"/>
      <c r="CX84" s="205"/>
      <c r="CY84" s="205"/>
      <c r="CZ84" s="246"/>
      <c r="DA84" s="202">
        <f t="shared" si="327"/>
        <v>0</v>
      </c>
      <c r="DB84" s="245"/>
      <c r="DC84" s="205"/>
      <c r="DD84" s="205"/>
      <c r="DE84" s="205"/>
      <c r="DF84" s="205"/>
      <c r="DG84" s="205"/>
      <c r="DH84" s="205"/>
      <c r="DI84" s="205"/>
      <c r="DJ84" s="205"/>
      <c r="DK84" s="205"/>
      <c r="DL84" s="205"/>
      <c r="DM84" s="246"/>
      <c r="DN84" s="205">
        <f t="shared" si="329"/>
        <v>0</v>
      </c>
      <c r="DO84" s="245"/>
      <c r="DP84" s="205"/>
      <c r="DQ84" s="205"/>
      <c r="DR84" s="205"/>
      <c r="DS84" s="205"/>
      <c r="DT84" s="205"/>
      <c r="DU84" s="205"/>
      <c r="DV84" s="205"/>
      <c r="DW84" s="205"/>
      <c r="DX84" s="205"/>
      <c r="DY84" s="205"/>
      <c r="DZ84" s="246"/>
      <c r="EA84" s="246">
        <f t="shared" si="331"/>
        <v>0</v>
      </c>
      <c r="EB84" s="205">
        <v>0</v>
      </c>
      <c r="EC84" s="205">
        <v>0</v>
      </c>
      <c r="ED84" s="205">
        <v>0</v>
      </c>
      <c r="EE84" s="205">
        <v>0</v>
      </c>
      <c r="EF84" s="205">
        <v>0</v>
      </c>
      <c r="EG84" s="205">
        <v>0</v>
      </c>
      <c r="EH84" s="205">
        <v>0</v>
      </c>
      <c r="EI84" s="205">
        <v>0</v>
      </c>
      <c r="EJ84" s="205">
        <v>0</v>
      </c>
      <c r="EK84" s="205">
        <v>0</v>
      </c>
      <c r="EL84" s="205">
        <v>0</v>
      </c>
      <c r="EM84" s="205">
        <v>0</v>
      </c>
      <c r="EN84" s="202">
        <f t="shared" si="333"/>
        <v>0</v>
      </c>
      <c r="EO84" s="205">
        <v>0</v>
      </c>
      <c r="EP84" s="205">
        <v>0</v>
      </c>
      <c r="EQ84" s="205">
        <v>0</v>
      </c>
      <c r="ER84" s="205">
        <v>0</v>
      </c>
      <c r="ES84" s="205">
        <v>0</v>
      </c>
      <c r="ET84" s="205">
        <v>0</v>
      </c>
      <c r="EU84" s="205">
        <v>0</v>
      </c>
      <c r="EV84" s="963">
        <v>0</v>
      </c>
      <c r="EW84" s="205"/>
      <c r="EX84" s="205"/>
      <c r="EY84" s="205"/>
      <c r="EZ84" s="205"/>
      <c r="FA84" s="202">
        <f t="shared" si="336"/>
        <v>0</v>
      </c>
      <c r="FC84" s="316" t="str">
        <f t="shared" si="337"/>
        <v>-</v>
      </c>
      <c r="FD84" s="316" t="str">
        <f t="shared" si="401"/>
        <v>-</v>
      </c>
      <c r="FE84" s="148">
        <f t="shared" si="339"/>
        <v>0</v>
      </c>
      <c r="FF84" s="148">
        <f t="shared" si="340"/>
        <v>0</v>
      </c>
      <c r="FG84" s="127"/>
    </row>
    <row r="85" spans="1:163" ht="15" customHeight="1" x14ac:dyDescent="0.25">
      <c r="A85" s="303" t="s">
        <v>441</v>
      </c>
      <c r="B85" s="24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46"/>
      <c r="N85" s="246">
        <f t="shared" si="386"/>
        <v>0</v>
      </c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46"/>
      <c r="AA85" s="205">
        <f t="shared" si="387"/>
        <v>0</v>
      </c>
      <c r="AB85" s="24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  <c r="AN85" s="202">
        <f t="shared" si="388"/>
        <v>0</v>
      </c>
      <c r="AO85" s="24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46"/>
      <c r="BA85" s="246">
        <f t="shared" si="390"/>
        <v>0</v>
      </c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46"/>
      <c r="BN85" s="246">
        <f t="shared" si="392"/>
        <v>0</v>
      </c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2">
        <f t="shared" si="341"/>
        <v>0</v>
      </c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46"/>
      <c r="CN85" s="246">
        <f t="shared" si="325"/>
        <v>0</v>
      </c>
      <c r="CO85" s="245"/>
      <c r="CP85" s="205"/>
      <c r="CQ85" s="205"/>
      <c r="CR85" s="205"/>
      <c r="CS85" s="205"/>
      <c r="CT85" s="205"/>
      <c r="CU85" s="205"/>
      <c r="CV85" s="205"/>
      <c r="CW85" s="205"/>
      <c r="CX85" s="205"/>
      <c r="CY85" s="205"/>
      <c r="CZ85" s="246"/>
      <c r="DA85" s="202">
        <f t="shared" si="327"/>
        <v>0</v>
      </c>
      <c r="DB85" s="245"/>
      <c r="DC85" s="205"/>
      <c r="DD85" s="205"/>
      <c r="DE85" s="205"/>
      <c r="DF85" s="205"/>
      <c r="DG85" s="205"/>
      <c r="DH85" s="205"/>
      <c r="DI85" s="205"/>
      <c r="DJ85" s="205"/>
      <c r="DK85" s="205"/>
      <c r="DL85" s="205"/>
      <c r="DM85" s="246"/>
      <c r="DN85" s="205">
        <f t="shared" si="329"/>
        <v>0</v>
      </c>
      <c r="DO85" s="245"/>
      <c r="DP85" s="205"/>
      <c r="DQ85" s="205"/>
      <c r="DR85" s="205"/>
      <c r="DS85" s="205"/>
      <c r="DT85" s="205"/>
      <c r="DU85" s="205"/>
      <c r="DV85" s="205"/>
      <c r="DW85" s="205"/>
      <c r="DX85" s="205"/>
      <c r="DY85" s="205"/>
      <c r="DZ85" s="246"/>
      <c r="EA85" s="246">
        <f t="shared" si="331"/>
        <v>0</v>
      </c>
      <c r="EB85" s="205">
        <v>0</v>
      </c>
      <c r="EC85" s="205">
        <v>0</v>
      </c>
      <c r="ED85" s="205">
        <v>0</v>
      </c>
      <c r="EE85" s="205">
        <v>0</v>
      </c>
      <c r="EF85" s="205">
        <v>0</v>
      </c>
      <c r="EG85" s="205">
        <v>0</v>
      </c>
      <c r="EH85" s="205">
        <v>0</v>
      </c>
      <c r="EI85" s="205">
        <v>0</v>
      </c>
      <c r="EJ85" s="205">
        <v>0</v>
      </c>
      <c r="EK85" s="205">
        <v>0</v>
      </c>
      <c r="EL85" s="205">
        <v>0</v>
      </c>
      <c r="EM85" s="205">
        <v>0</v>
      </c>
      <c r="EN85" s="202">
        <f t="shared" si="333"/>
        <v>0</v>
      </c>
      <c r="EO85" s="205">
        <v>0</v>
      </c>
      <c r="EP85" s="205">
        <v>0</v>
      </c>
      <c r="EQ85" s="205">
        <v>0</v>
      </c>
      <c r="ER85" s="205">
        <v>0</v>
      </c>
      <c r="ES85" s="205">
        <v>0</v>
      </c>
      <c r="ET85" s="205">
        <v>0</v>
      </c>
      <c r="EU85" s="205">
        <v>0</v>
      </c>
      <c r="EV85" s="963">
        <v>0</v>
      </c>
      <c r="EW85" s="205"/>
      <c r="EX85" s="205"/>
      <c r="EY85" s="205"/>
      <c r="EZ85" s="205"/>
      <c r="FA85" s="202">
        <f t="shared" si="336"/>
        <v>0</v>
      </c>
      <c r="FC85" s="316" t="str">
        <f t="shared" si="337"/>
        <v>-</v>
      </c>
      <c r="FD85" s="316" t="str">
        <f t="shared" si="401"/>
        <v>-</v>
      </c>
      <c r="FE85" s="148">
        <f t="shared" si="339"/>
        <v>0</v>
      </c>
      <c r="FF85" s="148">
        <f t="shared" si="340"/>
        <v>0</v>
      </c>
      <c r="FG85" s="127"/>
    </row>
    <row r="86" spans="1:163" ht="15" customHeight="1" x14ac:dyDescent="0.25">
      <c r="A86" s="302" t="s">
        <v>442</v>
      </c>
      <c r="B86" s="298">
        <f t="shared" ref="B86:AF86" si="402">SUM(B87:B91)</f>
        <v>0</v>
      </c>
      <c r="C86" s="299">
        <f t="shared" si="402"/>
        <v>0</v>
      </c>
      <c r="D86" s="299">
        <f t="shared" si="402"/>
        <v>120</v>
      </c>
      <c r="E86" s="299">
        <f t="shared" si="402"/>
        <v>780</v>
      </c>
      <c r="F86" s="299">
        <f t="shared" si="402"/>
        <v>0</v>
      </c>
      <c r="G86" s="299">
        <f t="shared" si="402"/>
        <v>3744</v>
      </c>
      <c r="H86" s="299">
        <f t="shared" si="402"/>
        <v>2049</v>
      </c>
      <c r="I86" s="299">
        <f t="shared" si="402"/>
        <v>4140</v>
      </c>
      <c r="J86" s="299">
        <f t="shared" si="402"/>
        <v>350</v>
      </c>
      <c r="K86" s="299">
        <f t="shared" si="402"/>
        <v>0</v>
      </c>
      <c r="L86" s="299">
        <f t="shared" si="402"/>
        <v>131</v>
      </c>
      <c r="M86" s="300">
        <f t="shared" si="402"/>
        <v>467</v>
      </c>
      <c r="N86" s="300">
        <f t="shared" si="386"/>
        <v>11781</v>
      </c>
      <c r="O86" s="299">
        <f t="shared" si="402"/>
        <v>499</v>
      </c>
      <c r="P86" s="299">
        <f t="shared" si="402"/>
        <v>649</v>
      </c>
      <c r="Q86" s="299">
        <f t="shared" si="402"/>
        <v>3072</v>
      </c>
      <c r="R86" s="299">
        <f t="shared" si="402"/>
        <v>0</v>
      </c>
      <c r="S86" s="299">
        <f t="shared" si="402"/>
        <v>0</v>
      </c>
      <c r="T86" s="299">
        <f t="shared" si="402"/>
        <v>1957</v>
      </c>
      <c r="U86" s="299">
        <f t="shared" si="402"/>
        <v>0</v>
      </c>
      <c r="V86" s="299">
        <f t="shared" si="402"/>
        <v>287</v>
      </c>
      <c r="W86" s="299">
        <f t="shared" si="402"/>
        <v>40</v>
      </c>
      <c r="X86" s="299">
        <f t="shared" si="402"/>
        <v>1967</v>
      </c>
      <c r="Y86" s="299">
        <f t="shared" si="402"/>
        <v>0</v>
      </c>
      <c r="Z86" s="300">
        <f t="shared" si="402"/>
        <v>0</v>
      </c>
      <c r="AA86" s="299">
        <f t="shared" si="387"/>
        <v>8471</v>
      </c>
      <c r="AB86" s="298">
        <f t="shared" si="402"/>
        <v>1351</v>
      </c>
      <c r="AC86" s="299">
        <f t="shared" si="402"/>
        <v>1000</v>
      </c>
      <c r="AD86" s="299">
        <f t="shared" si="402"/>
        <v>1405</v>
      </c>
      <c r="AE86" s="299">
        <f t="shared" si="402"/>
        <v>0</v>
      </c>
      <c r="AF86" s="299">
        <f t="shared" si="402"/>
        <v>500</v>
      </c>
      <c r="AG86" s="299"/>
      <c r="AH86" s="299">
        <f t="shared" ref="AH86:AM86" si="403">SUM(AH87:AH91)</f>
        <v>500</v>
      </c>
      <c r="AI86" s="299">
        <f t="shared" si="403"/>
        <v>2855</v>
      </c>
      <c r="AJ86" s="299">
        <f t="shared" si="403"/>
        <v>100</v>
      </c>
      <c r="AK86" s="299">
        <f t="shared" si="403"/>
        <v>53</v>
      </c>
      <c r="AL86" s="299">
        <f t="shared" si="403"/>
        <v>411</v>
      </c>
      <c r="AM86" s="299">
        <f t="shared" si="403"/>
        <v>4523</v>
      </c>
      <c r="AN86" s="257">
        <f t="shared" si="388"/>
        <v>12698</v>
      </c>
      <c r="AO86" s="298">
        <f t="shared" ref="AO86:AZ86" si="404">SUM(AO87:AO91)</f>
        <v>0</v>
      </c>
      <c r="AP86" s="299">
        <f t="shared" si="404"/>
        <v>0</v>
      </c>
      <c r="AQ86" s="299">
        <f t="shared" si="404"/>
        <v>4537</v>
      </c>
      <c r="AR86" s="299">
        <f t="shared" si="404"/>
        <v>2302</v>
      </c>
      <c r="AS86" s="299">
        <f t="shared" si="404"/>
        <v>0</v>
      </c>
      <c r="AT86" s="299">
        <f t="shared" si="404"/>
        <v>394</v>
      </c>
      <c r="AU86" s="299">
        <f t="shared" si="404"/>
        <v>659</v>
      </c>
      <c r="AV86" s="299">
        <f t="shared" si="404"/>
        <v>0</v>
      </c>
      <c r="AW86" s="299">
        <f t="shared" si="404"/>
        <v>0</v>
      </c>
      <c r="AX86" s="299">
        <f t="shared" si="404"/>
        <v>0</v>
      </c>
      <c r="AY86" s="299">
        <f t="shared" si="404"/>
        <v>0</v>
      </c>
      <c r="AZ86" s="300">
        <f t="shared" si="404"/>
        <v>134</v>
      </c>
      <c r="BA86" s="300">
        <f t="shared" si="390"/>
        <v>8026</v>
      </c>
      <c r="BB86" s="299">
        <f t="shared" ref="BB86:BM86" si="405">SUM(BB87:BB91)</f>
        <v>600</v>
      </c>
      <c r="BC86" s="299">
        <f t="shared" si="405"/>
        <v>0</v>
      </c>
      <c r="BD86" s="299">
        <f t="shared" si="405"/>
        <v>0</v>
      </c>
      <c r="BE86" s="299">
        <f t="shared" si="405"/>
        <v>0</v>
      </c>
      <c r="BF86" s="299">
        <f t="shared" si="405"/>
        <v>0</v>
      </c>
      <c r="BG86" s="299">
        <f t="shared" si="405"/>
        <v>1985</v>
      </c>
      <c r="BH86" s="299">
        <f t="shared" si="405"/>
        <v>0</v>
      </c>
      <c r="BI86" s="299">
        <f t="shared" si="405"/>
        <v>0</v>
      </c>
      <c r="BJ86" s="299">
        <f t="shared" si="405"/>
        <v>526</v>
      </c>
      <c r="BK86" s="299">
        <f t="shared" si="405"/>
        <v>1212</v>
      </c>
      <c r="BL86" s="299">
        <f t="shared" si="405"/>
        <v>0</v>
      </c>
      <c r="BM86" s="300">
        <f t="shared" si="405"/>
        <v>0</v>
      </c>
      <c r="BN86" s="300">
        <f t="shared" si="392"/>
        <v>4323</v>
      </c>
      <c r="BO86" s="299">
        <f>SUM(BO87:BO91)</f>
        <v>0</v>
      </c>
      <c r="BP86" s="299">
        <f>SUM(BP87:BP91)</f>
        <v>0</v>
      </c>
      <c r="BQ86" s="299"/>
      <c r="BR86" s="299"/>
      <c r="BS86" s="299">
        <f t="shared" ref="BS86:BZ86" si="406">SUM(BS87:BS91)</f>
        <v>0</v>
      </c>
      <c r="BT86" s="299">
        <f t="shared" si="406"/>
        <v>590</v>
      </c>
      <c r="BU86" s="299">
        <f t="shared" si="406"/>
        <v>1680</v>
      </c>
      <c r="BV86" s="299">
        <f t="shared" si="406"/>
        <v>908</v>
      </c>
      <c r="BW86" s="299">
        <f t="shared" si="406"/>
        <v>0</v>
      </c>
      <c r="BX86" s="299">
        <f t="shared" si="406"/>
        <v>0</v>
      </c>
      <c r="BY86" s="299">
        <f t="shared" si="406"/>
        <v>570</v>
      </c>
      <c r="BZ86" s="299">
        <f t="shared" si="406"/>
        <v>200</v>
      </c>
      <c r="CA86" s="202">
        <f t="shared" si="341"/>
        <v>3948</v>
      </c>
      <c r="CB86" s="299">
        <f>SUM(CB87:CB91)</f>
        <v>0</v>
      </c>
      <c r="CC86" s="299">
        <f>SUM(CC87:CC91)</f>
        <v>0</v>
      </c>
      <c r="CD86" s="299"/>
      <c r="CE86" s="299">
        <f>SUM(CE87:CE91)</f>
        <v>0</v>
      </c>
      <c r="CF86" s="299">
        <f t="shared" ref="CF86:CM86" si="407">SUM(CF87:CF91)</f>
        <v>0</v>
      </c>
      <c r="CG86" s="299">
        <f t="shared" si="407"/>
        <v>0</v>
      </c>
      <c r="CH86" s="299">
        <f t="shared" si="407"/>
        <v>0</v>
      </c>
      <c r="CI86" s="299">
        <f t="shared" si="407"/>
        <v>0</v>
      </c>
      <c r="CJ86" s="299">
        <f t="shared" si="407"/>
        <v>0</v>
      </c>
      <c r="CK86" s="299">
        <f t="shared" si="407"/>
        <v>0</v>
      </c>
      <c r="CL86" s="299">
        <f t="shared" si="407"/>
        <v>0</v>
      </c>
      <c r="CM86" s="300">
        <f t="shared" si="407"/>
        <v>0</v>
      </c>
      <c r="CN86" s="300">
        <f t="shared" si="325"/>
        <v>0</v>
      </c>
      <c r="CO86" s="298">
        <f t="shared" ref="CO86:CZ86" si="408">SUM(CO87:CO91)</f>
        <v>97</v>
      </c>
      <c r="CP86" s="299">
        <f t="shared" si="408"/>
        <v>-1</v>
      </c>
      <c r="CQ86" s="299">
        <f t="shared" si="408"/>
        <v>1100</v>
      </c>
      <c r="CR86" s="299">
        <f t="shared" si="408"/>
        <v>0</v>
      </c>
      <c r="CS86" s="299">
        <f t="shared" si="408"/>
        <v>1010</v>
      </c>
      <c r="CT86" s="299">
        <f t="shared" si="408"/>
        <v>300</v>
      </c>
      <c r="CU86" s="299">
        <f t="shared" si="408"/>
        <v>0</v>
      </c>
      <c r="CV86" s="299">
        <f t="shared" si="408"/>
        <v>386</v>
      </c>
      <c r="CW86" s="299">
        <f t="shared" si="408"/>
        <v>2176</v>
      </c>
      <c r="CX86" s="299">
        <f t="shared" si="408"/>
        <v>122</v>
      </c>
      <c r="CY86" s="299">
        <f t="shared" si="408"/>
        <v>0</v>
      </c>
      <c r="CZ86" s="300">
        <f t="shared" si="408"/>
        <v>7862</v>
      </c>
      <c r="DA86" s="257">
        <f t="shared" si="327"/>
        <v>13052</v>
      </c>
      <c r="DB86" s="298">
        <f t="shared" ref="DB86:DM86" si="409">SUM(DB87:DB91)</f>
        <v>-1</v>
      </c>
      <c r="DC86" s="299">
        <f t="shared" si="409"/>
        <v>0</v>
      </c>
      <c r="DD86" s="299">
        <f t="shared" si="409"/>
        <v>0</v>
      </c>
      <c r="DE86" s="299">
        <f t="shared" si="409"/>
        <v>1941</v>
      </c>
      <c r="DF86" s="299">
        <f t="shared" si="409"/>
        <v>0</v>
      </c>
      <c r="DG86" s="299">
        <f t="shared" si="409"/>
        <v>0</v>
      </c>
      <c r="DH86" s="299">
        <f t="shared" si="409"/>
        <v>0</v>
      </c>
      <c r="DI86" s="299">
        <f t="shared" si="409"/>
        <v>0</v>
      </c>
      <c r="DJ86" s="299">
        <f t="shared" si="409"/>
        <v>750</v>
      </c>
      <c r="DK86" s="299">
        <f t="shared" si="409"/>
        <v>0</v>
      </c>
      <c r="DL86" s="299">
        <f t="shared" si="409"/>
        <v>1646</v>
      </c>
      <c r="DM86" s="300">
        <f t="shared" si="409"/>
        <v>0</v>
      </c>
      <c r="DN86" s="299">
        <f t="shared" si="329"/>
        <v>4336</v>
      </c>
      <c r="DO86" s="298">
        <f t="shared" ref="DO86:DZ86" si="410">SUM(DO87:DO91)</f>
        <v>0</v>
      </c>
      <c r="DP86" s="299">
        <f t="shared" si="410"/>
        <v>0</v>
      </c>
      <c r="DQ86" s="299">
        <f t="shared" si="410"/>
        <v>0</v>
      </c>
      <c r="DR86" s="299">
        <f t="shared" si="410"/>
        <v>0</v>
      </c>
      <c r="DS86" s="299">
        <f t="shared" si="410"/>
        <v>0</v>
      </c>
      <c r="DT86" s="299">
        <f t="shared" si="410"/>
        <v>683</v>
      </c>
      <c r="DU86" s="299">
        <f t="shared" si="410"/>
        <v>0</v>
      </c>
      <c r="DV86" s="299">
        <f t="shared" si="410"/>
        <v>0</v>
      </c>
      <c r="DW86" s="299">
        <f t="shared" si="410"/>
        <v>3833</v>
      </c>
      <c r="DX86" s="299">
        <f t="shared" si="410"/>
        <v>0</v>
      </c>
      <c r="DY86" s="299">
        <f t="shared" si="410"/>
        <v>0</v>
      </c>
      <c r="DZ86" s="300">
        <f t="shared" si="410"/>
        <v>1294</v>
      </c>
      <c r="EA86" s="300">
        <f t="shared" si="331"/>
        <v>5810</v>
      </c>
      <c r="EB86" s="299">
        <f t="shared" ref="EB86:EM86" si="411">SUM(EB87:EB91)</f>
        <v>0</v>
      </c>
      <c r="EC86" s="299">
        <f t="shared" si="411"/>
        <v>0</v>
      </c>
      <c r="ED86" s="299">
        <f t="shared" si="411"/>
        <v>0</v>
      </c>
      <c r="EE86" s="299">
        <f t="shared" si="411"/>
        <v>-1</v>
      </c>
      <c r="EF86" s="299">
        <f t="shared" si="411"/>
        <v>1146</v>
      </c>
      <c r="EG86" s="299">
        <f t="shared" si="411"/>
        <v>1241</v>
      </c>
      <c r="EH86" s="299">
        <f t="shared" si="411"/>
        <v>3239</v>
      </c>
      <c r="EI86" s="299">
        <f t="shared" si="411"/>
        <v>0</v>
      </c>
      <c r="EJ86" s="299">
        <f t="shared" si="411"/>
        <v>1000</v>
      </c>
      <c r="EK86" s="299">
        <f t="shared" si="411"/>
        <v>2162</v>
      </c>
      <c r="EL86" s="299">
        <f t="shared" si="411"/>
        <v>-72</v>
      </c>
      <c r="EM86" s="299">
        <f t="shared" si="411"/>
        <v>4495</v>
      </c>
      <c r="EN86" s="257">
        <f t="shared" si="333"/>
        <v>13210</v>
      </c>
      <c r="EO86" s="299">
        <f t="shared" ref="EO86:ET86" si="412">SUM(EO87:EO91)</f>
        <v>0</v>
      </c>
      <c r="EP86" s="299">
        <f t="shared" si="412"/>
        <v>-222</v>
      </c>
      <c r="EQ86" s="299">
        <f t="shared" si="412"/>
        <v>-40</v>
      </c>
      <c r="ER86" s="299">
        <f t="shared" si="412"/>
        <v>11621</v>
      </c>
      <c r="ES86" s="299">
        <f t="shared" si="412"/>
        <v>0</v>
      </c>
      <c r="ET86" s="299">
        <f t="shared" si="412"/>
        <v>807</v>
      </c>
      <c r="EU86" s="299">
        <v>2785</v>
      </c>
      <c r="EV86" s="967">
        <v>0</v>
      </c>
      <c r="EW86" s="299"/>
      <c r="EX86" s="299"/>
      <c r="EY86" s="299"/>
      <c r="EZ86" s="299"/>
      <c r="FA86" s="257">
        <f t="shared" si="336"/>
        <v>14951</v>
      </c>
      <c r="FC86" s="317" t="str">
        <f t="shared" si="337"/>
        <v>-</v>
      </c>
      <c r="FD86" s="317">
        <f t="shared" si="401"/>
        <v>165.79555555555555</v>
      </c>
      <c r="FE86" s="145">
        <f t="shared" si="339"/>
        <v>5625</v>
      </c>
      <c r="FF86" s="145">
        <f t="shared" si="340"/>
        <v>14951</v>
      </c>
      <c r="FG86" s="236"/>
    </row>
    <row r="87" spans="1:163" ht="15" customHeight="1" x14ac:dyDescent="0.25">
      <c r="A87" s="303" t="s">
        <v>443</v>
      </c>
      <c r="B87" s="245"/>
      <c r="C87" s="205"/>
      <c r="D87" s="205">
        <v>120</v>
      </c>
      <c r="E87" s="205"/>
      <c r="F87" s="205"/>
      <c r="G87" s="205">
        <v>210</v>
      </c>
      <c r="H87" s="205">
        <v>1549</v>
      </c>
      <c r="I87" s="205"/>
      <c r="J87" s="205"/>
      <c r="K87" s="205"/>
      <c r="L87" s="205">
        <v>131</v>
      </c>
      <c r="M87" s="246"/>
      <c r="N87" s="246">
        <f t="shared" si="386"/>
        <v>2010</v>
      </c>
      <c r="O87" s="205">
        <v>499</v>
      </c>
      <c r="P87" s="205">
        <v>649</v>
      </c>
      <c r="Q87" s="205"/>
      <c r="R87" s="205"/>
      <c r="S87" s="205"/>
      <c r="T87" s="205">
        <v>1957</v>
      </c>
      <c r="U87" s="205"/>
      <c r="V87" s="205"/>
      <c r="W87" s="205"/>
      <c r="X87" s="205">
        <v>1967</v>
      </c>
      <c r="Y87" s="205"/>
      <c r="Z87" s="246"/>
      <c r="AA87" s="205">
        <f t="shared" si="387"/>
        <v>5072</v>
      </c>
      <c r="AB87" s="245">
        <v>351</v>
      </c>
      <c r="AC87" s="205">
        <v>1000</v>
      </c>
      <c r="AD87" s="205">
        <v>1405</v>
      </c>
      <c r="AE87" s="205"/>
      <c r="AF87" s="205"/>
      <c r="AG87" s="205"/>
      <c r="AH87" s="205"/>
      <c r="AI87" s="205"/>
      <c r="AJ87" s="205">
        <v>100</v>
      </c>
      <c r="AK87" s="205">
        <v>-100</v>
      </c>
      <c r="AL87" s="205">
        <v>411</v>
      </c>
      <c r="AM87" s="205">
        <v>2523</v>
      </c>
      <c r="AN87" s="202">
        <f t="shared" si="388"/>
        <v>5690</v>
      </c>
      <c r="AO87" s="245"/>
      <c r="AP87" s="205"/>
      <c r="AQ87" s="205"/>
      <c r="AR87" s="205">
        <v>1802</v>
      </c>
      <c r="AS87" s="205"/>
      <c r="AT87" s="205">
        <v>394</v>
      </c>
      <c r="AU87" s="205">
        <v>59</v>
      </c>
      <c r="AV87" s="205"/>
      <c r="AW87" s="205"/>
      <c r="AX87" s="205"/>
      <c r="AY87" s="205"/>
      <c r="AZ87" s="246"/>
      <c r="BA87" s="246">
        <f t="shared" si="390"/>
        <v>2255</v>
      </c>
      <c r="BB87" s="205">
        <v>600</v>
      </c>
      <c r="BC87" s="205"/>
      <c r="BD87" s="205"/>
      <c r="BE87" s="205"/>
      <c r="BF87" s="205"/>
      <c r="BG87" s="205">
        <v>1985</v>
      </c>
      <c r="BH87" s="205"/>
      <c r="BI87" s="205"/>
      <c r="BJ87" s="205"/>
      <c r="BK87" s="205">
        <v>938</v>
      </c>
      <c r="BL87" s="205"/>
      <c r="BM87" s="246"/>
      <c r="BN87" s="246">
        <f t="shared" si="392"/>
        <v>3523</v>
      </c>
      <c r="BO87" s="205"/>
      <c r="BP87" s="205"/>
      <c r="BQ87" s="205"/>
      <c r="BR87" s="205"/>
      <c r="BS87" s="205"/>
      <c r="BT87" s="205">
        <v>590</v>
      </c>
      <c r="BU87" s="205">
        <v>1645</v>
      </c>
      <c r="BV87" s="205">
        <v>908</v>
      </c>
      <c r="BW87" s="205"/>
      <c r="BX87" s="205"/>
      <c r="BY87" s="205">
        <v>570</v>
      </c>
      <c r="BZ87" s="205">
        <v>200</v>
      </c>
      <c r="CA87" s="202">
        <f t="shared" si="341"/>
        <v>3913</v>
      </c>
      <c r="CB87" s="205"/>
      <c r="CC87" s="205"/>
      <c r="CD87" s="205"/>
      <c r="CE87" s="205"/>
      <c r="CF87" s="205"/>
      <c r="CG87" s="205"/>
      <c r="CH87" s="205"/>
      <c r="CI87" s="205"/>
      <c r="CJ87" s="205"/>
      <c r="CK87" s="205"/>
      <c r="CL87" s="205"/>
      <c r="CM87" s="246"/>
      <c r="CN87" s="246">
        <f t="shared" si="325"/>
        <v>0</v>
      </c>
      <c r="CO87" s="245">
        <v>97</v>
      </c>
      <c r="CP87" s="205">
        <v>-1</v>
      </c>
      <c r="CQ87" s="205">
        <v>1100</v>
      </c>
      <c r="CR87" s="205"/>
      <c r="CS87" s="205">
        <v>1010</v>
      </c>
      <c r="CT87" s="205">
        <v>300</v>
      </c>
      <c r="CU87" s="205"/>
      <c r="CV87" s="205">
        <v>386</v>
      </c>
      <c r="CW87" s="205"/>
      <c r="CX87" s="205"/>
      <c r="CY87" s="205"/>
      <c r="CZ87" s="246">
        <v>7862</v>
      </c>
      <c r="DA87" s="202">
        <f t="shared" si="327"/>
        <v>10754</v>
      </c>
      <c r="DB87" s="245">
        <v>-1</v>
      </c>
      <c r="DC87" s="205"/>
      <c r="DD87" s="205"/>
      <c r="DE87" s="205">
        <v>395</v>
      </c>
      <c r="DF87" s="205"/>
      <c r="DG87" s="205"/>
      <c r="DH87" s="205"/>
      <c r="DI87" s="205"/>
      <c r="DJ87" s="205"/>
      <c r="DK87" s="205"/>
      <c r="DL87" s="205">
        <v>757</v>
      </c>
      <c r="DM87" s="246"/>
      <c r="DN87" s="205">
        <f t="shared" si="329"/>
        <v>1151</v>
      </c>
      <c r="DO87" s="245"/>
      <c r="DP87" s="205"/>
      <c r="DQ87" s="205"/>
      <c r="DR87" s="205"/>
      <c r="DS87" s="205"/>
      <c r="DT87" s="205">
        <v>683</v>
      </c>
      <c r="DU87" s="205"/>
      <c r="DV87" s="205"/>
      <c r="DW87" s="205">
        <v>1042</v>
      </c>
      <c r="DX87" s="205"/>
      <c r="DY87" s="205"/>
      <c r="DZ87" s="246">
        <v>1294</v>
      </c>
      <c r="EA87" s="246">
        <f t="shared" si="331"/>
        <v>3019</v>
      </c>
      <c r="EB87" s="205">
        <v>0</v>
      </c>
      <c r="EC87" s="205">
        <v>0</v>
      </c>
      <c r="ED87" s="205">
        <v>0</v>
      </c>
      <c r="EE87" s="205">
        <v>-1</v>
      </c>
      <c r="EF87" s="205">
        <v>1146</v>
      </c>
      <c r="EG87" s="205">
        <v>1241</v>
      </c>
      <c r="EH87" s="205">
        <v>0</v>
      </c>
      <c r="EI87" s="205">
        <v>0</v>
      </c>
      <c r="EJ87" s="205">
        <v>0</v>
      </c>
      <c r="EK87" s="205">
        <v>2162</v>
      </c>
      <c r="EL87" s="205">
        <v>-72</v>
      </c>
      <c r="EM87" s="205">
        <v>4495</v>
      </c>
      <c r="EN87" s="202">
        <f t="shared" si="333"/>
        <v>8971</v>
      </c>
      <c r="EO87" s="205">
        <v>0</v>
      </c>
      <c r="EP87" s="205">
        <v>-13</v>
      </c>
      <c r="EQ87" s="205">
        <v>-40</v>
      </c>
      <c r="ER87" s="205">
        <v>8303</v>
      </c>
      <c r="ES87" s="205">
        <v>0</v>
      </c>
      <c r="ET87" s="205">
        <v>807</v>
      </c>
      <c r="EU87" s="205">
        <v>0</v>
      </c>
      <c r="EV87" s="963">
        <v>0</v>
      </c>
      <c r="EW87" s="205"/>
      <c r="EX87" s="205"/>
      <c r="EY87" s="205"/>
      <c r="EZ87" s="205"/>
      <c r="FA87" s="202">
        <f t="shared" si="336"/>
        <v>9057</v>
      </c>
      <c r="FC87" s="316" t="str">
        <f t="shared" si="337"/>
        <v>-</v>
      </c>
      <c r="FD87" s="316">
        <f t="shared" si="401"/>
        <v>279.58927074601843</v>
      </c>
      <c r="FE87" s="148">
        <f t="shared" si="339"/>
        <v>2386</v>
      </c>
      <c r="FF87" s="148">
        <f t="shared" si="340"/>
        <v>9057</v>
      </c>
      <c r="FG87" s="127"/>
    </row>
    <row r="88" spans="1:163" ht="15" customHeight="1" x14ac:dyDescent="0.25">
      <c r="A88" s="303" t="s">
        <v>481</v>
      </c>
      <c r="B88" s="245"/>
      <c r="C88" s="205"/>
      <c r="D88" s="205"/>
      <c r="E88" s="205"/>
      <c r="F88" s="205"/>
      <c r="G88" s="205">
        <v>3534</v>
      </c>
      <c r="H88" s="205"/>
      <c r="I88" s="205"/>
      <c r="J88" s="205">
        <v>350</v>
      </c>
      <c r="K88" s="205"/>
      <c r="L88" s="205"/>
      <c r="M88" s="246">
        <v>71</v>
      </c>
      <c r="N88" s="246">
        <f t="shared" si="386"/>
        <v>3955</v>
      </c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46"/>
      <c r="AA88" s="205">
        <f t="shared" si="387"/>
        <v>0</v>
      </c>
      <c r="AB88" s="245"/>
      <c r="AC88" s="205"/>
      <c r="AD88" s="205"/>
      <c r="AE88" s="205"/>
      <c r="AF88" s="205">
        <v>500</v>
      </c>
      <c r="AG88" s="205"/>
      <c r="AH88" s="205">
        <v>500</v>
      </c>
      <c r="AI88" s="205"/>
      <c r="AJ88" s="205"/>
      <c r="AK88" s="205"/>
      <c r="AL88" s="205"/>
      <c r="AM88" s="205">
        <v>2000</v>
      </c>
      <c r="AN88" s="202">
        <f t="shared" si="388"/>
        <v>3000</v>
      </c>
      <c r="AO88" s="245"/>
      <c r="AP88" s="205"/>
      <c r="AQ88" s="205"/>
      <c r="AR88" s="205">
        <v>500</v>
      </c>
      <c r="AS88" s="205"/>
      <c r="AT88" s="205"/>
      <c r="AU88" s="205"/>
      <c r="AV88" s="205"/>
      <c r="AW88" s="205"/>
      <c r="AX88" s="205"/>
      <c r="AY88" s="205"/>
      <c r="AZ88" s="246"/>
      <c r="BA88" s="246">
        <f t="shared" si="390"/>
        <v>500</v>
      </c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46"/>
      <c r="BN88" s="246">
        <f t="shared" si="392"/>
        <v>0</v>
      </c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2">
        <f t="shared" si="341"/>
        <v>0</v>
      </c>
      <c r="CB88" s="205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46"/>
      <c r="CN88" s="246">
        <f t="shared" si="325"/>
        <v>0</v>
      </c>
      <c r="CO88" s="245"/>
      <c r="CP88" s="205"/>
      <c r="CQ88" s="205"/>
      <c r="CR88" s="205"/>
      <c r="CS88" s="205"/>
      <c r="CT88" s="205"/>
      <c r="CU88" s="205"/>
      <c r="CV88" s="205"/>
      <c r="CW88" s="205"/>
      <c r="CX88" s="205"/>
      <c r="CY88" s="205"/>
      <c r="CZ88" s="246"/>
      <c r="DA88" s="202">
        <f t="shared" si="327"/>
        <v>0</v>
      </c>
      <c r="DB88" s="245"/>
      <c r="DC88" s="205"/>
      <c r="DD88" s="205"/>
      <c r="DE88" s="205"/>
      <c r="DF88" s="205"/>
      <c r="DG88" s="205"/>
      <c r="DH88" s="205"/>
      <c r="DI88" s="205"/>
      <c r="DJ88" s="205"/>
      <c r="DK88" s="205"/>
      <c r="DL88" s="205"/>
      <c r="DM88" s="246"/>
      <c r="DN88" s="205">
        <f t="shared" si="329"/>
        <v>0</v>
      </c>
      <c r="DO88" s="245"/>
      <c r="DP88" s="205"/>
      <c r="DQ88" s="205"/>
      <c r="DR88" s="205"/>
      <c r="DS88" s="205"/>
      <c r="DT88" s="205"/>
      <c r="DU88" s="205"/>
      <c r="DV88" s="205"/>
      <c r="DW88" s="205">
        <v>2791</v>
      </c>
      <c r="DX88" s="205"/>
      <c r="DY88" s="205"/>
      <c r="DZ88" s="246"/>
      <c r="EA88" s="246">
        <f t="shared" si="331"/>
        <v>2791</v>
      </c>
      <c r="EB88" s="205">
        <v>0</v>
      </c>
      <c r="EC88" s="205">
        <v>0</v>
      </c>
      <c r="ED88" s="205">
        <v>0</v>
      </c>
      <c r="EE88" s="205">
        <v>0</v>
      </c>
      <c r="EF88" s="205">
        <v>0</v>
      </c>
      <c r="EG88" s="205">
        <v>0</v>
      </c>
      <c r="EH88" s="205">
        <v>3239</v>
      </c>
      <c r="EI88" s="205">
        <v>0</v>
      </c>
      <c r="EJ88" s="205">
        <v>1000</v>
      </c>
      <c r="EK88" s="205">
        <v>0</v>
      </c>
      <c r="EL88" s="205">
        <v>0</v>
      </c>
      <c r="EM88" s="205">
        <v>0</v>
      </c>
      <c r="EN88" s="202">
        <f t="shared" si="333"/>
        <v>4239</v>
      </c>
      <c r="EO88" s="205">
        <v>0</v>
      </c>
      <c r="EP88" s="205">
        <v>-209</v>
      </c>
      <c r="EQ88" s="205">
        <v>0</v>
      </c>
      <c r="ER88" s="205">
        <v>3318</v>
      </c>
      <c r="ES88" s="205">
        <v>0</v>
      </c>
      <c r="ET88" s="205">
        <v>0</v>
      </c>
      <c r="EU88" s="205">
        <v>2785</v>
      </c>
      <c r="EV88" s="963">
        <v>0</v>
      </c>
      <c r="EW88" s="205"/>
      <c r="EX88" s="205"/>
      <c r="EY88" s="205"/>
      <c r="EZ88" s="205"/>
      <c r="FA88" s="202">
        <f t="shared" si="336"/>
        <v>5894</v>
      </c>
      <c r="FC88" s="316" t="str">
        <f t="shared" si="337"/>
        <v>-</v>
      </c>
      <c r="FD88" s="316">
        <f t="shared" si="401"/>
        <v>81.9697437480704</v>
      </c>
      <c r="FE88" s="148">
        <f t="shared" si="339"/>
        <v>3239</v>
      </c>
      <c r="FF88" s="148">
        <f t="shared" si="340"/>
        <v>5894</v>
      </c>
      <c r="FG88" s="127"/>
    </row>
    <row r="89" spans="1:163" ht="15" customHeight="1" x14ac:dyDescent="0.25">
      <c r="A89" s="303" t="s">
        <v>445</v>
      </c>
      <c r="B89" s="245"/>
      <c r="C89" s="205"/>
      <c r="D89" s="205"/>
      <c r="E89" s="205">
        <v>780</v>
      </c>
      <c r="F89" s="205"/>
      <c r="G89" s="205"/>
      <c r="H89" s="205">
        <v>500</v>
      </c>
      <c r="I89" s="205"/>
      <c r="J89" s="205"/>
      <c r="K89" s="205"/>
      <c r="L89" s="205"/>
      <c r="M89" s="246">
        <v>396</v>
      </c>
      <c r="N89" s="246">
        <f t="shared" si="386"/>
        <v>1676</v>
      </c>
      <c r="O89" s="205"/>
      <c r="P89" s="205"/>
      <c r="Q89" s="205"/>
      <c r="R89" s="205"/>
      <c r="S89" s="205"/>
      <c r="T89" s="205"/>
      <c r="U89" s="205"/>
      <c r="V89" s="205">
        <v>287</v>
      </c>
      <c r="W89" s="205">
        <v>40</v>
      </c>
      <c r="X89" s="205"/>
      <c r="Y89" s="205"/>
      <c r="Z89" s="246"/>
      <c r="AA89" s="205">
        <f t="shared" si="387"/>
        <v>327</v>
      </c>
      <c r="AB89" s="24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  <c r="AN89" s="202">
        <f t="shared" si="388"/>
        <v>0</v>
      </c>
      <c r="AO89" s="245"/>
      <c r="AP89" s="205"/>
      <c r="AQ89" s="205"/>
      <c r="AR89" s="205"/>
      <c r="AS89" s="205"/>
      <c r="AT89" s="205"/>
      <c r="AU89" s="205">
        <v>600</v>
      </c>
      <c r="AV89" s="205"/>
      <c r="AW89" s="205"/>
      <c r="AX89" s="205"/>
      <c r="AY89" s="205"/>
      <c r="AZ89" s="246"/>
      <c r="BA89" s="246">
        <f t="shared" si="390"/>
        <v>600</v>
      </c>
      <c r="BB89" s="205"/>
      <c r="BC89" s="205"/>
      <c r="BD89" s="205"/>
      <c r="BE89" s="205"/>
      <c r="BF89" s="205"/>
      <c r="BG89" s="205"/>
      <c r="BH89" s="205"/>
      <c r="BI89" s="205"/>
      <c r="BJ89" s="205">
        <v>526</v>
      </c>
      <c r="BK89" s="205">
        <v>274</v>
      </c>
      <c r="BL89" s="205"/>
      <c r="BM89" s="246"/>
      <c r="BN89" s="246">
        <f t="shared" si="392"/>
        <v>800</v>
      </c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2">
        <f t="shared" si="341"/>
        <v>0</v>
      </c>
      <c r="CB89" s="205"/>
      <c r="CC89" s="205"/>
      <c r="CD89" s="205"/>
      <c r="CE89" s="205"/>
      <c r="CF89" s="205"/>
      <c r="CG89" s="205"/>
      <c r="CH89" s="205"/>
      <c r="CI89" s="205"/>
      <c r="CJ89" s="205"/>
      <c r="CK89" s="205"/>
      <c r="CL89" s="205"/>
      <c r="CM89" s="246"/>
      <c r="CN89" s="246">
        <f t="shared" si="325"/>
        <v>0</v>
      </c>
      <c r="CO89" s="245"/>
      <c r="CP89" s="205"/>
      <c r="CQ89" s="205"/>
      <c r="CR89" s="205"/>
      <c r="CS89" s="205"/>
      <c r="CT89" s="205"/>
      <c r="CU89" s="205"/>
      <c r="CV89" s="205"/>
      <c r="CW89" s="205"/>
      <c r="CX89" s="205"/>
      <c r="CY89" s="205"/>
      <c r="CZ89" s="246"/>
      <c r="DA89" s="202">
        <f t="shared" si="327"/>
        <v>0</v>
      </c>
      <c r="DB89" s="245"/>
      <c r="DC89" s="205"/>
      <c r="DD89" s="205"/>
      <c r="DE89" s="205"/>
      <c r="DF89" s="205"/>
      <c r="DG89" s="205"/>
      <c r="DH89" s="205"/>
      <c r="DI89" s="205"/>
      <c r="DJ89" s="205">
        <v>750</v>
      </c>
      <c r="DK89" s="205"/>
      <c r="DL89" s="205">
        <v>750</v>
      </c>
      <c r="DM89" s="246"/>
      <c r="DN89" s="205">
        <f t="shared" si="329"/>
        <v>1500</v>
      </c>
      <c r="DO89" s="245"/>
      <c r="DP89" s="205"/>
      <c r="DQ89" s="205"/>
      <c r="DR89" s="205"/>
      <c r="DS89" s="205"/>
      <c r="DT89" s="205"/>
      <c r="DU89" s="205"/>
      <c r="DV89" s="205"/>
      <c r="DW89" s="205"/>
      <c r="DX89" s="205"/>
      <c r="DY89" s="205"/>
      <c r="DZ89" s="246"/>
      <c r="EA89" s="246">
        <f t="shared" si="331"/>
        <v>0</v>
      </c>
      <c r="EB89" s="205">
        <v>0</v>
      </c>
      <c r="EC89" s="205">
        <v>0</v>
      </c>
      <c r="ED89" s="205">
        <v>0</v>
      </c>
      <c r="EE89" s="205">
        <v>0</v>
      </c>
      <c r="EF89" s="205">
        <v>0</v>
      </c>
      <c r="EG89" s="205">
        <v>0</v>
      </c>
      <c r="EH89" s="205">
        <v>0</v>
      </c>
      <c r="EI89" s="205">
        <v>0</v>
      </c>
      <c r="EJ89" s="205">
        <v>0</v>
      </c>
      <c r="EK89" s="205">
        <v>0</v>
      </c>
      <c r="EL89" s="205">
        <v>0</v>
      </c>
      <c r="EM89" s="205">
        <v>0</v>
      </c>
      <c r="EN89" s="202">
        <f t="shared" si="333"/>
        <v>0</v>
      </c>
      <c r="EO89" s="205">
        <v>0</v>
      </c>
      <c r="EP89" s="205">
        <v>0</v>
      </c>
      <c r="EQ89" s="205">
        <v>0</v>
      </c>
      <c r="ER89" s="205">
        <v>0</v>
      </c>
      <c r="ES89" s="205">
        <v>0</v>
      </c>
      <c r="ET89" s="205">
        <v>0</v>
      </c>
      <c r="EU89" s="205">
        <v>0</v>
      </c>
      <c r="EV89" s="963">
        <v>0</v>
      </c>
      <c r="EW89" s="205"/>
      <c r="EX89" s="205"/>
      <c r="EY89" s="205"/>
      <c r="EZ89" s="205"/>
      <c r="FA89" s="202">
        <f t="shared" si="336"/>
        <v>0</v>
      </c>
      <c r="FC89" s="316" t="str">
        <f t="shared" si="337"/>
        <v>-</v>
      </c>
      <c r="FD89" s="316" t="str">
        <f t="shared" si="401"/>
        <v>-</v>
      </c>
      <c r="FE89" s="148">
        <f t="shared" si="339"/>
        <v>0</v>
      </c>
      <c r="FF89" s="148">
        <f t="shared" si="340"/>
        <v>0</v>
      </c>
      <c r="FG89" s="127"/>
    </row>
    <row r="90" spans="1:163" ht="15" customHeight="1" x14ac:dyDescent="0.25">
      <c r="A90" s="303" t="s">
        <v>446</v>
      </c>
      <c r="B90" s="24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46"/>
      <c r="N90" s="246">
        <f t="shared" si="386"/>
        <v>0</v>
      </c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46"/>
      <c r="AA90" s="205">
        <f t="shared" si="387"/>
        <v>0</v>
      </c>
      <c r="AB90" s="245">
        <v>1000</v>
      </c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2">
        <f t="shared" si="388"/>
        <v>1000</v>
      </c>
      <c r="AO90" s="24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46"/>
      <c r="BA90" s="246">
        <f t="shared" si="390"/>
        <v>0</v>
      </c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46"/>
      <c r="BN90" s="246">
        <f t="shared" si="392"/>
        <v>0</v>
      </c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2">
        <f t="shared" si="341"/>
        <v>0</v>
      </c>
      <c r="CB90" s="205"/>
      <c r="CC90" s="205"/>
      <c r="CD90" s="205"/>
      <c r="CE90" s="205"/>
      <c r="CF90" s="205"/>
      <c r="CG90" s="205"/>
      <c r="CH90" s="205"/>
      <c r="CI90" s="205"/>
      <c r="CJ90" s="205"/>
      <c r="CK90" s="205"/>
      <c r="CL90" s="205"/>
      <c r="CM90" s="246"/>
      <c r="CN90" s="246">
        <f t="shared" si="325"/>
        <v>0</v>
      </c>
      <c r="CO90" s="245"/>
      <c r="CP90" s="205"/>
      <c r="CQ90" s="205"/>
      <c r="CR90" s="205"/>
      <c r="CS90" s="205"/>
      <c r="CT90" s="205"/>
      <c r="CU90" s="205"/>
      <c r="CV90" s="205"/>
      <c r="CW90" s="205"/>
      <c r="CX90" s="205"/>
      <c r="CY90" s="205"/>
      <c r="CZ90" s="246"/>
      <c r="DA90" s="202">
        <f t="shared" si="327"/>
        <v>0</v>
      </c>
      <c r="DB90" s="245"/>
      <c r="DC90" s="205"/>
      <c r="DD90" s="205"/>
      <c r="DE90" s="205"/>
      <c r="DF90" s="205"/>
      <c r="DG90" s="205"/>
      <c r="DH90" s="205"/>
      <c r="DI90" s="205"/>
      <c r="DJ90" s="205"/>
      <c r="DK90" s="205"/>
      <c r="DL90" s="205"/>
      <c r="DM90" s="246"/>
      <c r="DN90" s="205">
        <f t="shared" si="329"/>
        <v>0</v>
      </c>
      <c r="DO90" s="245"/>
      <c r="DP90" s="205"/>
      <c r="DQ90" s="205"/>
      <c r="DR90" s="205"/>
      <c r="DS90" s="205"/>
      <c r="DT90" s="205"/>
      <c r="DU90" s="205"/>
      <c r="DV90" s="205"/>
      <c r="DW90" s="205"/>
      <c r="DX90" s="205"/>
      <c r="DY90" s="205"/>
      <c r="DZ90" s="246"/>
      <c r="EA90" s="246">
        <f t="shared" si="331"/>
        <v>0</v>
      </c>
      <c r="EB90" s="205">
        <v>0</v>
      </c>
      <c r="EC90" s="205">
        <v>0</v>
      </c>
      <c r="ED90" s="205">
        <v>0</v>
      </c>
      <c r="EE90" s="205">
        <v>0</v>
      </c>
      <c r="EF90" s="205">
        <v>0</v>
      </c>
      <c r="EG90" s="205">
        <v>0</v>
      </c>
      <c r="EH90" s="205">
        <v>0</v>
      </c>
      <c r="EI90" s="205">
        <v>0</v>
      </c>
      <c r="EJ90" s="205">
        <v>0</v>
      </c>
      <c r="EK90" s="205">
        <v>0</v>
      </c>
      <c r="EL90" s="205">
        <v>0</v>
      </c>
      <c r="EM90" s="205">
        <v>0</v>
      </c>
      <c r="EN90" s="202">
        <f t="shared" si="333"/>
        <v>0</v>
      </c>
      <c r="EO90" s="205">
        <v>0</v>
      </c>
      <c r="EP90" s="205">
        <v>0</v>
      </c>
      <c r="EQ90" s="205">
        <v>0</v>
      </c>
      <c r="ER90" s="205">
        <v>0</v>
      </c>
      <c r="ES90" s="205">
        <v>0</v>
      </c>
      <c r="ET90" s="205">
        <v>0</v>
      </c>
      <c r="EU90" s="205">
        <v>0</v>
      </c>
      <c r="EV90" s="963">
        <v>0</v>
      </c>
      <c r="EW90" s="205"/>
      <c r="EX90" s="205"/>
      <c r="EY90" s="205"/>
      <c r="EZ90" s="205"/>
      <c r="FA90" s="202">
        <f t="shared" si="336"/>
        <v>0</v>
      </c>
      <c r="FC90" s="316" t="str">
        <f t="shared" si="337"/>
        <v>-</v>
      </c>
      <c r="FD90" s="316" t="str">
        <f t="shared" si="401"/>
        <v>-</v>
      </c>
      <c r="FE90" s="148">
        <f t="shared" si="339"/>
        <v>0</v>
      </c>
      <c r="FF90" s="148">
        <f t="shared" si="340"/>
        <v>0</v>
      </c>
      <c r="FG90" s="127"/>
    </row>
    <row r="91" spans="1:163" ht="15" customHeight="1" x14ac:dyDescent="0.25">
      <c r="A91" s="303" t="s">
        <v>447</v>
      </c>
      <c r="B91" s="245"/>
      <c r="C91" s="205"/>
      <c r="D91" s="205"/>
      <c r="E91" s="205"/>
      <c r="F91" s="205"/>
      <c r="G91" s="205"/>
      <c r="H91" s="205"/>
      <c r="I91" s="205">
        <v>4140</v>
      </c>
      <c r="J91" s="205"/>
      <c r="K91" s="205"/>
      <c r="L91" s="205"/>
      <c r="M91" s="246"/>
      <c r="N91" s="246">
        <f t="shared" si="386"/>
        <v>4140</v>
      </c>
      <c r="O91" s="205"/>
      <c r="P91" s="205"/>
      <c r="Q91" s="205">
        <v>3072</v>
      </c>
      <c r="R91" s="205"/>
      <c r="S91" s="205"/>
      <c r="T91" s="205"/>
      <c r="U91" s="205"/>
      <c r="V91" s="205"/>
      <c r="W91" s="205"/>
      <c r="X91" s="205"/>
      <c r="Y91" s="205"/>
      <c r="Z91" s="246"/>
      <c r="AA91" s="205">
        <f t="shared" si="387"/>
        <v>3072</v>
      </c>
      <c r="AB91" s="245"/>
      <c r="AC91" s="205"/>
      <c r="AD91" s="205"/>
      <c r="AE91" s="205"/>
      <c r="AF91" s="205"/>
      <c r="AG91" s="205"/>
      <c r="AH91" s="205"/>
      <c r="AI91" s="205">
        <v>2855</v>
      </c>
      <c r="AJ91" s="205"/>
      <c r="AK91" s="205">
        <v>153</v>
      </c>
      <c r="AL91" s="205"/>
      <c r="AM91" s="205"/>
      <c r="AN91" s="202">
        <f t="shared" si="388"/>
        <v>3008</v>
      </c>
      <c r="AO91" s="245"/>
      <c r="AP91" s="205"/>
      <c r="AQ91" s="205">
        <v>4537</v>
      </c>
      <c r="AR91" s="205"/>
      <c r="AS91" s="205"/>
      <c r="AT91" s="205"/>
      <c r="AU91" s="205"/>
      <c r="AV91" s="205"/>
      <c r="AW91" s="205"/>
      <c r="AX91" s="205"/>
      <c r="AY91" s="205"/>
      <c r="AZ91" s="246">
        <v>134</v>
      </c>
      <c r="BA91" s="246">
        <f t="shared" si="390"/>
        <v>4671</v>
      </c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46"/>
      <c r="BN91" s="246">
        <f t="shared" si="392"/>
        <v>0</v>
      </c>
      <c r="BO91" s="205"/>
      <c r="BP91" s="205"/>
      <c r="BQ91" s="205"/>
      <c r="BR91" s="205"/>
      <c r="BS91" s="205"/>
      <c r="BT91" s="205"/>
      <c r="BU91" s="205">
        <v>35</v>
      </c>
      <c r="BV91" s="205"/>
      <c r="BW91" s="205"/>
      <c r="BX91" s="205"/>
      <c r="BY91" s="205"/>
      <c r="BZ91" s="205"/>
      <c r="CA91" s="202">
        <f t="shared" si="341"/>
        <v>35</v>
      </c>
      <c r="CB91" s="205"/>
      <c r="CC91" s="205"/>
      <c r="CD91" s="205"/>
      <c r="CE91" s="205"/>
      <c r="CF91" s="205"/>
      <c r="CG91" s="205"/>
      <c r="CH91" s="205"/>
      <c r="CI91" s="205"/>
      <c r="CJ91" s="205"/>
      <c r="CK91" s="205"/>
      <c r="CL91" s="205"/>
      <c r="CM91" s="246"/>
      <c r="CN91" s="246">
        <f t="shared" si="325"/>
        <v>0</v>
      </c>
      <c r="CO91" s="245"/>
      <c r="CP91" s="205"/>
      <c r="CQ91" s="205"/>
      <c r="CR91" s="205"/>
      <c r="CS91" s="205"/>
      <c r="CT91" s="205"/>
      <c r="CU91" s="205"/>
      <c r="CV91" s="205"/>
      <c r="CW91" s="205">
        <v>2176</v>
      </c>
      <c r="CX91" s="205">
        <v>122</v>
      </c>
      <c r="CY91" s="205"/>
      <c r="CZ91" s="246"/>
      <c r="DA91" s="202">
        <f>SUM(CO91:CZ91)</f>
        <v>2298</v>
      </c>
      <c r="DB91" s="245"/>
      <c r="DC91" s="205"/>
      <c r="DD91" s="205"/>
      <c r="DE91" s="205">
        <v>1546</v>
      </c>
      <c r="DF91" s="205"/>
      <c r="DG91" s="205"/>
      <c r="DH91" s="205"/>
      <c r="DI91" s="205"/>
      <c r="DJ91" s="205"/>
      <c r="DK91" s="205"/>
      <c r="DL91" s="205">
        <v>139</v>
      </c>
      <c r="DM91" s="246"/>
      <c r="DN91" s="205">
        <f t="shared" si="329"/>
        <v>1685</v>
      </c>
      <c r="DO91" s="245"/>
      <c r="DP91" s="205"/>
      <c r="DQ91" s="205"/>
      <c r="DR91" s="205"/>
      <c r="DS91" s="205"/>
      <c r="DT91" s="205"/>
      <c r="DU91" s="205"/>
      <c r="DV91" s="205"/>
      <c r="DW91" s="205"/>
      <c r="DX91" s="205"/>
      <c r="DY91" s="205"/>
      <c r="DZ91" s="246"/>
      <c r="EA91" s="246">
        <f t="shared" si="331"/>
        <v>0</v>
      </c>
      <c r="EB91" s="205">
        <v>0</v>
      </c>
      <c r="EC91" s="205">
        <v>0</v>
      </c>
      <c r="ED91" s="205">
        <v>0</v>
      </c>
      <c r="EE91" s="205">
        <v>0</v>
      </c>
      <c r="EF91" s="205">
        <v>0</v>
      </c>
      <c r="EG91" s="205">
        <v>0</v>
      </c>
      <c r="EH91" s="205">
        <v>0</v>
      </c>
      <c r="EI91" s="205">
        <v>0</v>
      </c>
      <c r="EJ91" s="205">
        <v>0</v>
      </c>
      <c r="EK91" s="205">
        <v>0</v>
      </c>
      <c r="EL91" s="205">
        <v>0</v>
      </c>
      <c r="EM91" s="205">
        <v>0</v>
      </c>
      <c r="EN91" s="202">
        <f t="shared" si="333"/>
        <v>0</v>
      </c>
      <c r="EO91" s="205">
        <v>0</v>
      </c>
      <c r="EP91" s="205">
        <v>0</v>
      </c>
      <c r="EQ91" s="205">
        <v>0</v>
      </c>
      <c r="ER91" s="205">
        <v>0</v>
      </c>
      <c r="ES91" s="205">
        <v>0</v>
      </c>
      <c r="ET91" s="205">
        <v>0</v>
      </c>
      <c r="EU91" s="205">
        <v>0</v>
      </c>
      <c r="EV91" s="963">
        <v>0</v>
      </c>
      <c r="EW91" s="205"/>
      <c r="EX91" s="205"/>
      <c r="EY91" s="205"/>
      <c r="EZ91" s="205"/>
      <c r="FA91" s="202">
        <f t="shared" si="336"/>
        <v>0</v>
      </c>
      <c r="FC91" s="316" t="str">
        <f t="shared" si="337"/>
        <v>-</v>
      </c>
      <c r="FD91" s="316" t="str">
        <f t="shared" si="401"/>
        <v>-</v>
      </c>
      <c r="FE91" s="148">
        <f t="shared" si="339"/>
        <v>0</v>
      </c>
      <c r="FF91" s="148">
        <f t="shared" si="340"/>
        <v>0</v>
      </c>
      <c r="FG91" s="127"/>
    </row>
    <row r="92" spans="1:163" ht="15" customHeight="1" x14ac:dyDescent="0.25">
      <c r="A92" s="319"/>
      <c r="B92" s="305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8"/>
      <c r="N92" s="218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8"/>
      <c r="AA92" s="216"/>
      <c r="AB92" s="305"/>
      <c r="AC92" s="216"/>
      <c r="AD92" s="216"/>
      <c r="AE92" s="216"/>
      <c r="AF92" s="216"/>
      <c r="AG92" s="216"/>
      <c r="AH92" s="216"/>
      <c r="AI92" s="216"/>
      <c r="AJ92" s="216"/>
      <c r="AK92" s="216"/>
      <c r="AL92" s="216"/>
      <c r="AM92" s="216"/>
      <c r="AN92" s="204"/>
      <c r="AO92" s="305"/>
      <c r="AP92" s="216"/>
      <c r="AQ92" s="216"/>
      <c r="AR92" s="216"/>
      <c r="AS92" s="216"/>
      <c r="AT92" s="216"/>
      <c r="AU92" s="216"/>
      <c r="AV92" s="216"/>
      <c r="AW92" s="216"/>
      <c r="AX92" s="216"/>
      <c r="AY92" s="216"/>
      <c r="AZ92" s="218"/>
      <c r="BA92" s="218"/>
      <c r="BB92" s="216"/>
      <c r="BC92" s="216"/>
      <c r="BD92" s="216"/>
      <c r="BE92" s="216"/>
      <c r="BF92" s="216"/>
      <c r="BG92" s="216"/>
      <c r="BH92" s="216"/>
      <c r="BI92" s="216"/>
      <c r="BJ92" s="216"/>
      <c r="BK92" s="216"/>
      <c r="BL92" s="216"/>
      <c r="BM92" s="218"/>
      <c r="BN92" s="218"/>
      <c r="BO92" s="216"/>
      <c r="BP92" s="216"/>
      <c r="BQ92" s="216"/>
      <c r="BR92" s="178"/>
      <c r="BS92" s="178"/>
      <c r="BT92" s="216"/>
      <c r="BU92" s="216"/>
      <c r="BV92" s="178"/>
      <c r="BW92" s="178"/>
      <c r="BX92" s="178"/>
      <c r="BY92" s="178"/>
      <c r="BZ92" s="178"/>
      <c r="CA92" s="196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97"/>
      <c r="CN92" s="197"/>
      <c r="CO92" s="178"/>
      <c r="CP92" s="178"/>
      <c r="CQ92" s="178"/>
      <c r="CR92" s="178"/>
      <c r="CS92" s="178"/>
      <c r="CT92" s="178"/>
      <c r="CU92" s="178"/>
      <c r="CV92" s="178"/>
      <c r="CW92" s="178"/>
      <c r="CX92" s="178"/>
      <c r="CY92" s="178"/>
      <c r="CZ92" s="197"/>
      <c r="DA92" s="196"/>
      <c r="DB92" s="308"/>
      <c r="DC92" s="308"/>
      <c r="DD92" s="308"/>
      <c r="DE92" s="308"/>
      <c r="DF92" s="308"/>
      <c r="DG92" s="308"/>
      <c r="DH92" s="308"/>
      <c r="DI92" s="308"/>
      <c r="DJ92" s="308"/>
      <c r="DK92" s="308"/>
      <c r="DL92" s="308"/>
      <c r="DM92" s="265"/>
      <c r="DN92" s="308"/>
      <c r="DO92" s="320"/>
      <c r="DP92" s="308"/>
      <c r="DQ92" s="308"/>
      <c r="DR92" s="308"/>
      <c r="DS92" s="308"/>
      <c r="DT92" s="308"/>
      <c r="DU92" s="308"/>
      <c r="DV92" s="308"/>
      <c r="DW92" s="308"/>
      <c r="DX92" s="308"/>
      <c r="DY92" s="308"/>
      <c r="DZ92" s="265"/>
      <c r="EA92" s="265"/>
      <c r="EB92" s="308"/>
      <c r="EC92" s="308"/>
      <c r="ED92" s="308"/>
      <c r="EE92" s="308"/>
      <c r="EF92" s="308"/>
      <c r="EG92" s="308"/>
      <c r="EH92" s="308"/>
      <c r="EI92" s="308"/>
      <c r="EJ92" s="308"/>
      <c r="EK92" s="308"/>
      <c r="EL92" s="308"/>
      <c r="EM92" s="308"/>
      <c r="EN92" s="307"/>
      <c r="EO92" s="308"/>
      <c r="EP92" s="308"/>
      <c r="EQ92" s="308"/>
      <c r="ER92" s="308"/>
      <c r="ES92" s="308"/>
      <c r="ET92" s="308"/>
      <c r="EU92" s="308"/>
      <c r="EV92" s="968"/>
      <c r="EW92" s="308"/>
      <c r="EX92" s="308"/>
      <c r="EY92" s="308"/>
      <c r="EZ92" s="308"/>
      <c r="FA92" s="307"/>
      <c r="FC92" s="307"/>
      <c r="FD92" s="265"/>
      <c r="FE92" s="154"/>
      <c r="FF92" s="154"/>
      <c r="FG92" s="127"/>
    </row>
    <row r="93" spans="1:163" ht="15" customHeight="1" x14ac:dyDescent="0.25">
      <c r="O93" s="126">
        <f t="shared" ref="O93:Z93" si="413">O59-O15</f>
        <v>0</v>
      </c>
      <c r="P93" s="126">
        <f t="shared" si="413"/>
        <v>0</v>
      </c>
      <c r="Q93" s="126">
        <f t="shared" si="413"/>
        <v>0</v>
      </c>
      <c r="R93" s="126">
        <f t="shared" si="413"/>
        <v>0</v>
      </c>
      <c r="S93" s="126">
        <f t="shared" si="413"/>
        <v>0</v>
      </c>
      <c r="T93" s="126">
        <f t="shared" si="413"/>
        <v>0</v>
      </c>
      <c r="U93" s="126">
        <f t="shared" si="413"/>
        <v>0</v>
      </c>
      <c r="V93" s="126">
        <f t="shared" si="413"/>
        <v>0</v>
      </c>
      <c r="W93" s="126">
        <f t="shared" si="413"/>
        <v>0</v>
      </c>
      <c r="X93" s="126">
        <f t="shared" si="413"/>
        <v>0</v>
      </c>
      <c r="Y93" s="126">
        <f t="shared" si="413"/>
        <v>0</v>
      </c>
      <c r="Z93" s="126">
        <f t="shared" si="413"/>
        <v>0</v>
      </c>
      <c r="AB93" s="127">
        <f t="shared" ref="AB93:AM93" si="414">AB59-AB15</f>
        <v>0</v>
      </c>
      <c r="AC93" s="127">
        <f t="shared" si="414"/>
        <v>0</v>
      </c>
      <c r="AD93" s="127">
        <f t="shared" si="414"/>
        <v>0</v>
      </c>
      <c r="AE93" s="127">
        <f t="shared" si="414"/>
        <v>0</v>
      </c>
      <c r="AF93" s="127">
        <f t="shared" si="414"/>
        <v>0</v>
      </c>
      <c r="AG93" s="127">
        <f t="shared" si="414"/>
        <v>0</v>
      </c>
      <c r="AH93" s="127">
        <f t="shared" si="414"/>
        <v>0</v>
      </c>
      <c r="AI93" s="127">
        <f t="shared" si="414"/>
        <v>0</v>
      </c>
      <c r="AJ93" s="127">
        <f t="shared" si="414"/>
        <v>0</v>
      </c>
      <c r="AK93" s="127">
        <f t="shared" si="414"/>
        <v>0</v>
      </c>
      <c r="AL93" s="127">
        <f t="shared" si="414"/>
        <v>0</v>
      </c>
      <c r="AM93" s="127">
        <f t="shared" si="414"/>
        <v>0</v>
      </c>
      <c r="AO93" s="127">
        <f t="shared" ref="AO93:AZ93" si="415">AO59-AO15</f>
        <v>-3596</v>
      </c>
      <c r="AP93" s="127">
        <f t="shared" si="415"/>
        <v>-3056</v>
      </c>
      <c r="AQ93" s="127">
        <f t="shared" si="415"/>
        <v>-727</v>
      </c>
      <c r="AR93" s="127">
        <f t="shared" si="415"/>
        <v>-7028</v>
      </c>
      <c r="AS93" s="127">
        <f t="shared" si="415"/>
        <v>-3766</v>
      </c>
      <c r="AT93" s="127">
        <f t="shared" si="415"/>
        <v>0</v>
      </c>
      <c r="AU93" s="127">
        <f t="shared" si="415"/>
        <v>-4213</v>
      </c>
      <c r="AV93" s="127">
        <f t="shared" si="415"/>
        <v>-2916</v>
      </c>
      <c r="AW93" s="127">
        <f t="shared" si="415"/>
        <v>25</v>
      </c>
      <c r="AX93" s="127">
        <f t="shared" si="415"/>
        <v>-1904</v>
      </c>
      <c r="AY93" s="127">
        <f t="shared" si="415"/>
        <v>-1579</v>
      </c>
      <c r="AZ93" s="127">
        <f t="shared" si="415"/>
        <v>-2246</v>
      </c>
      <c r="BA93" s="127"/>
      <c r="BB93" s="127">
        <f t="shared" ref="BB93:BM93" si="416">BB59-BB15</f>
        <v>0</v>
      </c>
      <c r="BC93" s="127">
        <f t="shared" si="416"/>
        <v>0</v>
      </c>
      <c r="BD93" s="127">
        <f t="shared" si="416"/>
        <v>0</v>
      </c>
      <c r="BE93" s="127">
        <f t="shared" si="416"/>
        <v>0</v>
      </c>
      <c r="BF93" s="127">
        <f t="shared" si="416"/>
        <v>0</v>
      </c>
      <c r="BG93" s="127">
        <f t="shared" si="416"/>
        <v>0</v>
      </c>
      <c r="BH93" s="127">
        <f t="shared" si="416"/>
        <v>0</v>
      </c>
      <c r="BI93" s="127">
        <f t="shared" si="416"/>
        <v>0</v>
      </c>
      <c r="BJ93" s="127">
        <f t="shared" si="416"/>
        <v>0</v>
      </c>
      <c r="BK93" s="127">
        <f t="shared" si="416"/>
        <v>0</v>
      </c>
      <c r="BL93" s="127">
        <f t="shared" si="416"/>
        <v>-121</v>
      </c>
      <c r="BM93" s="127">
        <f t="shared" si="416"/>
        <v>0</v>
      </c>
      <c r="BN93" s="127"/>
      <c r="BO93" s="127">
        <f t="shared" ref="BO93:BV93" si="417">BO59-BO15</f>
        <v>0</v>
      </c>
      <c r="BP93" s="127">
        <f t="shared" si="417"/>
        <v>0</v>
      </c>
      <c r="BQ93" s="127">
        <f t="shared" si="417"/>
        <v>0</v>
      </c>
      <c r="BR93" s="127">
        <f t="shared" si="417"/>
        <v>0</v>
      </c>
      <c r="BS93" s="127">
        <f t="shared" si="417"/>
        <v>0</v>
      </c>
      <c r="BT93" s="127">
        <f t="shared" si="417"/>
        <v>0</v>
      </c>
      <c r="BU93" s="127">
        <f t="shared" si="417"/>
        <v>0</v>
      </c>
      <c r="BV93" s="127">
        <f t="shared" si="417"/>
        <v>0</v>
      </c>
    </row>
  </sheetData>
  <mergeCells count="3">
    <mergeCell ref="FC4:FD4"/>
    <mergeCell ref="FC38:FD38"/>
    <mergeCell ref="FC57:FD57"/>
  </mergeCells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59999389629810485"/>
    <pageSetUpPr fitToPage="1"/>
  </sheetPr>
  <dimension ref="A1:FH72"/>
  <sheetViews>
    <sheetView showGridLines="0" view="pageBreakPreview" zoomScale="80" zoomScaleNormal="85" zoomScaleSheetLayoutView="80" workbookViewId="0">
      <pane xSplit="1" topLeftCell="EB1" activePane="topRight" state="frozen"/>
      <selection activeCell="FG21" sqref="FG21"/>
      <selection pane="topRight" activeCell="EV17" sqref="EV17"/>
    </sheetView>
  </sheetViews>
  <sheetFormatPr baseColWidth="10" defaultColWidth="10.7109375" defaultRowHeight="15" customHeight="1" x14ac:dyDescent="0.25"/>
  <cols>
    <col min="1" max="1" width="30.7109375" style="126" customWidth="1"/>
    <col min="2" max="143" width="10.7109375" style="126"/>
    <col min="144" max="144" width="10.28515625" style="126" customWidth="1"/>
    <col min="145" max="145" width="9.85546875" style="126" customWidth="1"/>
    <col min="146" max="146" width="8.42578125" style="126" customWidth="1"/>
    <col min="147" max="148" width="8.7109375" style="126" customWidth="1"/>
    <col min="149" max="151" width="10.7109375" style="126"/>
    <col min="152" max="152" width="10.7109375" style="946"/>
    <col min="153" max="156" width="10.7109375" style="126"/>
    <col min="157" max="157" width="8.85546875" style="126" customWidth="1"/>
    <col min="158" max="158" width="4.42578125" customWidth="1"/>
    <col min="159" max="159" width="8.7109375" style="126" customWidth="1"/>
    <col min="160" max="160" width="9.42578125" style="126" customWidth="1"/>
    <col min="161" max="162" width="10.7109375" style="126"/>
    <col min="164" max="164" width="10.7109375" style="126"/>
  </cols>
  <sheetData>
    <row r="1" spans="1:164" ht="15" customHeight="1" x14ac:dyDescent="0.25">
      <c r="A1" s="681" t="s">
        <v>240</v>
      </c>
    </row>
    <row r="2" spans="1:164" ht="15" customHeight="1" x14ac:dyDescent="0.25">
      <c r="A2" s="681" t="s">
        <v>482</v>
      </c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  <c r="FC2" s="127"/>
      <c r="FD2" s="127"/>
      <c r="FE2" s="127"/>
      <c r="FF2" s="127"/>
    </row>
    <row r="3" spans="1:164" ht="15" customHeight="1" x14ac:dyDescent="0.25">
      <c r="A3" s="775" t="s">
        <v>634</v>
      </c>
    </row>
    <row r="4" spans="1:164" ht="15" customHeight="1" x14ac:dyDescent="0.25">
      <c r="A4" s="836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976"/>
      <c r="EW4" s="474"/>
      <c r="EX4" s="474"/>
      <c r="EY4" s="474"/>
      <c r="EZ4" s="474"/>
      <c r="FA4" s="758" t="s">
        <v>83</v>
      </c>
      <c r="FB4" s="753"/>
      <c r="FC4" s="984" t="str">
        <f>CONCATENATE("Var.% ",FF4,"/",FE4)</f>
        <v>Var.% 2026/2025</v>
      </c>
      <c r="FD4" s="985"/>
      <c r="FE4" s="478">
        <f>FF4-1</f>
        <v>2025</v>
      </c>
      <c r="FF4" s="478">
        <f>YEAR(FC5)</f>
        <v>2026</v>
      </c>
      <c r="FH4" s="795"/>
    </row>
    <row r="5" spans="1:164" ht="15" customHeight="1" x14ac:dyDescent="0.25">
      <c r="A5" s="837"/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977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B5" s="753"/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487" t="str">
        <f>FD5</f>
        <v>Ene.-Ago.</v>
      </c>
      <c r="FH5" s="795"/>
    </row>
    <row r="6" spans="1:164" ht="15" customHeight="1" x14ac:dyDescent="0.25">
      <c r="A6" s="138"/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73"/>
      <c r="N6" s="874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73"/>
      <c r="AA6" s="874"/>
      <c r="AB6" s="883"/>
      <c r="AC6" s="883"/>
      <c r="AD6" s="883"/>
      <c r="AE6" s="883"/>
      <c r="AF6" s="883"/>
      <c r="AG6" s="883"/>
      <c r="AH6" s="883"/>
      <c r="AI6" s="883"/>
      <c r="AJ6" s="883"/>
      <c r="AK6" s="883"/>
      <c r="AL6" s="883"/>
      <c r="AM6" s="873"/>
      <c r="AN6" s="874"/>
      <c r="AO6" s="883"/>
      <c r="AP6" s="883"/>
      <c r="AQ6" s="883"/>
      <c r="AR6" s="883"/>
      <c r="AS6" s="883"/>
      <c r="AT6" s="883"/>
      <c r="AU6" s="883"/>
      <c r="AV6" s="883"/>
      <c r="AW6" s="883"/>
      <c r="AX6" s="883"/>
      <c r="AY6" s="883"/>
      <c r="AZ6" s="873"/>
      <c r="BA6" s="874"/>
      <c r="BB6" s="883"/>
      <c r="BC6" s="883"/>
      <c r="BD6" s="883"/>
      <c r="BE6" s="883"/>
      <c r="BF6" s="883"/>
      <c r="BG6" s="883"/>
      <c r="BH6" s="883"/>
      <c r="BI6" s="883"/>
      <c r="BJ6" s="883"/>
      <c r="BK6" s="883"/>
      <c r="BL6" s="883"/>
      <c r="BM6" s="873"/>
      <c r="BN6" s="874"/>
      <c r="BO6" s="883"/>
      <c r="BP6" s="883"/>
      <c r="BQ6" s="883"/>
      <c r="BR6" s="883"/>
      <c r="BS6" s="883"/>
      <c r="BT6" s="883"/>
      <c r="BU6" s="883"/>
      <c r="BV6" s="883"/>
      <c r="BW6" s="883"/>
      <c r="BX6" s="883"/>
      <c r="BY6" s="883"/>
      <c r="BZ6" s="873"/>
      <c r="CA6" s="874"/>
      <c r="CB6" s="883"/>
      <c r="CC6" s="883"/>
      <c r="CD6" s="883"/>
      <c r="CE6" s="883"/>
      <c r="CF6" s="883"/>
      <c r="CG6" s="883"/>
      <c r="CH6" s="883"/>
      <c r="CI6" s="883"/>
      <c r="CJ6" s="883"/>
      <c r="CK6" s="883"/>
      <c r="CL6" s="883"/>
      <c r="CM6" s="873"/>
      <c r="CN6" s="874"/>
      <c r="CO6" s="883"/>
      <c r="CP6" s="883"/>
      <c r="CQ6" s="883"/>
      <c r="CR6" s="883"/>
      <c r="CS6" s="883"/>
      <c r="CT6" s="883"/>
      <c r="CU6" s="883"/>
      <c r="CV6" s="883"/>
      <c r="CW6" s="883"/>
      <c r="CX6" s="883"/>
      <c r="CY6" s="883"/>
      <c r="CZ6" s="873"/>
      <c r="DA6" s="874"/>
      <c r="DB6" s="883"/>
      <c r="DC6" s="883"/>
      <c r="DD6" s="883"/>
      <c r="DE6" s="883"/>
      <c r="DF6" s="883"/>
      <c r="DG6" s="883"/>
      <c r="DH6" s="883"/>
      <c r="DI6" s="883"/>
      <c r="DJ6" s="883"/>
      <c r="DK6" s="883"/>
      <c r="DL6" s="883"/>
      <c r="DM6" s="873"/>
      <c r="DN6" s="874"/>
      <c r="DO6" s="883"/>
      <c r="DP6" s="883"/>
      <c r="DQ6" s="883"/>
      <c r="DR6" s="883"/>
      <c r="DS6" s="883"/>
      <c r="DT6" s="883"/>
      <c r="DU6" s="883"/>
      <c r="DV6" s="883"/>
      <c r="DW6" s="883"/>
      <c r="DX6" s="883"/>
      <c r="DY6" s="883"/>
      <c r="DZ6" s="873"/>
      <c r="EA6" s="874"/>
      <c r="EB6" s="883"/>
      <c r="EC6" s="883"/>
      <c r="ED6" s="883"/>
      <c r="EE6" s="883"/>
      <c r="EF6" s="883"/>
      <c r="EG6" s="883"/>
      <c r="EH6" s="883"/>
      <c r="EI6" s="883"/>
      <c r="EJ6" s="883"/>
      <c r="EK6" s="883"/>
      <c r="EL6" s="883"/>
      <c r="EM6" s="873"/>
      <c r="EN6" s="874"/>
      <c r="EO6" s="883"/>
      <c r="EP6" s="883"/>
      <c r="EQ6" s="883"/>
      <c r="ER6" s="883"/>
      <c r="ES6" s="883"/>
      <c r="ET6" s="883"/>
      <c r="EU6" s="883"/>
      <c r="EV6" s="973"/>
      <c r="EW6" s="883"/>
      <c r="EX6" s="883"/>
      <c r="EY6" s="883"/>
      <c r="EZ6" s="873"/>
      <c r="FA6" s="874"/>
      <c r="FC6" s="839"/>
      <c r="FD6" s="840"/>
      <c r="FE6" s="454"/>
      <c r="FF6" s="455"/>
    </row>
    <row r="7" spans="1:164" ht="15" customHeight="1" x14ac:dyDescent="0.25">
      <c r="A7" s="822" t="s">
        <v>211</v>
      </c>
      <c r="B7" s="884">
        <f t="shared" ref="B7:M7" si="10">B8+B14+B19</f>
        <v>6305</v>
      </c>
      <c r="C7" s="884">
        <f t="shared" si="10"/>
        <v>21535</v>
      </c>
      <c r="D7" s="884">
        <f t="shared" si="10"/>
        <v>28977</v>
      </c>
      <c r="E7" s="884">
        <f t="shared" si="10"/>
        <v>25966</v>
      </c>
      <c r="F7" s="884">
        <f t="shared" si="10"/>
        <v>25670</v>
      </c>
      <c r="G7" s="884">
        <f t="shared" si="10"/>
        <v>27221</v>
      </c>
      <c r="H7" s="884">
        <f t="shared" si="10"/>
        <v>45867</v>
      </c>
      <c r="I7" s="884">
        <f t="shared" si="10"/>
        <v>14864</v>
      </c>
      <c r="J7" s="884">
        <f t="shared" si="10"/>
        <v>25861</v>
      </c>
      <c r="K7" s="884">
        <f t="shared" si="10"/>
        <v>25561</v>
      </c>
      <c r="L7" s="884">
        <f t="shared" si="10"/>
        <v>34741</v>
      </c>
      <c r="M7" s="875">
        <f t="shared" si="10"/>
        <v>60273</v>
      </c>
      <c r="N7" s="876">
        <f>SUM(B7:M7)</f>
        <v>342841</v>
      </c>
      <c r="O7" s="884">
        <f t="shared" ref="O7:Z7" si="11">O8+O14+O19</f>
        <v>13343</v>
      </c>
      <c r="P7" s="884">
        <f t="shared" si="11"/>
        <v>25391</v>
      </c>
      <c r="Q7" s="884">
        <f t="shared" si="11"/>
        <v>24358</v>
      </c>
      <c r="R7" s="884">
        <f t="shared" si="11"/>
        <v>26569</v>
      </c>
      <c r="S7" s="884">
        <f t="shared" si="11"/>
        <v>28143</v>
      </c>
      <c r="T7" s="884">
        <f t="shared" si="11"/>
        <v>26650</v>
      </c>
      <c r="U7" s="884">
        <f t="shared" si="11"/>
        <v>32254</v>
      </c>
      <c r="V7" s="884">
        <f t="shared" si="11"/>
        <v>33106</v>
      </c>
      <c r="W7" s="884">
        <f t="shared" si="11"/>
        <v>31080</v>
      </c>
      <c r="X7" s="884">
        <f t="shared" si="11"/>
        <v>27054</v>
      </c>
      <c r="Y7" s="884">
        <f t="shared" si="11"/>
        <v>44167</v>
      </c>
      <c r="Z7" s="875">
        <f t="shared" si="11"/>
        <v>63077</v>
      </c>
      <c r="AA7" s="876">
        <f>SUM(O7:Z7)</f>
        <v>375192</v>
      </c>
      <c r="AB7" s="884">
        <f t="shared" ref="AB7:AM7" si="12">AB8+AB14+AB19</f>
        <v>12358</v>
      </c>
      <c r="AC7" s="884">
        <f t="shared" si="12"/>
        <v>19103</v>
      </c>
      <c r="AD7" s="884">
        <f t="shared" si="12"/>
        <v>33899</v>
      </c>
      <c r="AE7" s="884">
        <f t="shared" si="12"/>
        <v>24678</v>
      </c>
      <c r="AF7" s="884">
        <f t="shared" si="12"/>
        <v>28912</v>
      </c>
      <c r="AG7" s="884">
        <f t="shared" si="12"/>
        <v>34382</v>
      </c>
      <c r="AH7" s="884">
        <f t="shared" si="12"/>
        <v>41128</v>
      </c>
      <c r="AI7" s="884">
        <f t="shared" si="12"/>
        <v>35991</v>
      </c>
      <c r="AJ7" s="884">
        <f t="shared" si="12"/>
        <v>31062</v>
      </c>
      <c r="AK7" s="884">
        <f t="shared" si="12"/>
        <v>32780</v>
      </c>
      <c r="AL7" s="884">
        <f t="shared" si="12"/>
        <v>37413</v>
      </c>
      <c r="AM7" s="875">
        <f t="shared" si="12"/>
        <v>61086</v>
      </c>
      <c r="AN7" s="876">
        <f t="shared" ref="AN7:AN13" si="13">SUM(AB7:AM7)</f>
        <v>392792</v>
      </c>
      <c r="AO7" s="884">
        <f t="shared" ref="AO7:AZ7" si="14">AO8+AO14+AO19</f>
        <v>14150</v>
      </c>
      <c r="AP7" s="884">
        <f t="shared" si="14"/>
        <v>20509</v>
      </c>
      <c r="AQ7" s="884">
        <f t="shared" si="14"/>
        <v>34442</v>
      </c>
      <c r="AR7" s="884">
        <f t="shared" si="14"/>
        <v>24100</v>
      </c>
      <c r="AS7" s="884">
        <f t="shared" si="14"/>
        <v>36099</v>
      </c>
      <c r="AT7" s="884">
        <f t="shared" si="14"/>
        <v>32699</v>
      </c>
      <c r="AU7" s="884">
        <f t="shared" si="14"/>
        <v>47195</v>
      </c>
      <c r="AV7" s="884">
        <f t="shared" si="14"/>
        <v>37781</v>
      </c>
      <c r="AW7" s="884">
        <f t="shared" si="14"/>
        <v>38571</v>
      </c>
      <c r="AX7" s="884">
        <f t="shared" si="14"/>
        <v>34680</v>
      </c>
      <c r="AY7" s="884">
        <f t="shared" si="14"/>
        <v>39523</v>
      </c>
      <c r="AZ7" s="875">
        <f t="shared" si="14"/>
        <v>53621</v>
      </c>
      <c r="BA7" s="876">
        <f t="shared" ref="BA7:BA13" si="15">SUM(AO7:AZ7)</f>
        <v>413370</v>
      </c>
      <c r="BB7" s="884">
        <f t="shared" ref="BB7:BM7" si="16">BB8+BB14+BB19</f>
        <v>8389</v>
      </c>
      <c r="BC7" s="884">
        <f t="shared" si="16"/>
        <v>17880</v>
      </c>
      <c r="BD7" s="884">
        <f t="shared" si="16"/>
        <v>33404</v>
      </c>
      <c r="BE7" s="884">
        <f t="shared" si="16"/>
        <v>44929</v>
      </c>
      <c r="BF7" s="884">
        <f t="shared" si="16"/>
        <v>23318</v>
      </c>
      <c r="BG7" s="884">
        <f t="shared" si="16"/>
        <v>46090</v>
      </c>
      <c r="BH7" s="884">
        <f t="shared" si="16"/>
        <v>35778</v>
      </c>
      <c r="BI7" s="884">
        <f t="shared" si="16"/>
        <v>45277</v>
      </c>
      <c r="BJ7" s="884">
        <f t="shared" si="16"/>
        <v>43855</v>
      </c>
      <c r="BK7" s="884">
        <f t="shared" si="16"/>
        <v>31409</v>
      </c>
      <c r="BL7" s="884">
        <f t="shared" si="16"/>
        <v>36994</v>
      </c>
      <c r="BM7" s="875">
        <f t="shared" si="16"/>
        <v>56543</v>
      </c>
      <c r="BN7" s="876">
        <f t="shared" ref="BN7:BN13" si="17">SUM(BB7:BM7)</f>
        <v>423866</v>
      </c>
      <c r="BO7" s="884">
        <f t="shared" ref="BO7:BZ7" si="18">BO8+BO14+BO19</f>
        <v>15866</v>
      </c>
      <c r="BP7" s="884">
        <f t="shared" si="18"/>
        <v>22784</v>
      </c>
      <c r="BQ7" s="884">
        <f t="shared" si="18"/>
        <v>27544</v>
      </c>
      <c r="BR7" s="884">
        <f t="shared" si="18"/>
        <v>18036</v>
      </c>
      <c r="BS7" s="884">
        <f t="shared" si="18"/>
        <v>15450</v>
      </c>
      <c r="BT7" s="884">
        <f t="shared" si="18"/>
        <v>16544</v>
      </c>
      <c r="BU7" s="884">
        <f t="shared" si="18"/>
        <v>38589</v>
      </c>
      <c r="BV7" s="884">
        <f t="shared" si="18"/>
        <v>25599</v>
      </c>
      <c r="BW7" s="884">
        <f t="shared" si="18"/>
        <v>37382</v>
      </c>
      <c r="BX7" s="884">
        <f t="shared" si="18"/>
        <v>48945</v>
      </c>
      <c r="BY7" s="884">
        <f t="shared" si="18"/>
        <v>52566</v>
      </c>
      <c r="BZ7" s="875">
        <f t="shared" si="18"/>
        <v>91547</v>
      </c>
      <c r="CA7" s="876">
        <f t="shared" ref="CA7:CA13" si="19">SUM(BO7:BZ7)</f>
        <v>410852</v>
      </c>
      <c r="CB7" s="884">
        <f t="shared" ref="CB7:CM7" si="20">CB8+CB14+CB19</f>
        <v>12208</v>
      </c>
      <c r="CC7" s="884">
        <f t="shared" si="20"/>
        <v>21406</v>
      </c>
      <c r="CD7" s="884">
        <f t="shared" si="20"/>
        <v>44766</v>
      </c>
      <c r="CE7" s="884">
        <f t="shared" si="20"/>
        <v>26171</v>
      </c>
      <c r="CF7" s="884">
        <f t="shared" si="20"/>
        <v>32887</v>
      </c>
      <c r="CG7" s="884">
        <f t="shared" si="20"/>
        <v>33584</v>
      </c>
      <c r="CH7" s="884">
        <f t="shared" si="20"/>
        <v>34133</v>
      </c>
      <c r="CI7" s="884">
        <f t="shared" si="20"/>
        <v>37154</v>
      </c>
      <c r="CJ7" s="884">
        <f t="shared" si="20"/>
        <v>38296</v>
      </c>
      <c r="CK7" s="884">
        <f t="shared" si="20"/>
        <v>39008</v>
      </c>
      <c r="CL7" s="884">
        <f t="shared" si="20"/>
        <v>38989</v>
      </c>
      <c r="CM7" s="875">
        <f t="shared" si="20"/>
        <v>77596</v>
      </c>
      <c r="CN7" s="876">
        <f>SUM(CB7:CM7)</f>
        <v>436198</v>
      </c>
      <c r="CO7" s="884">
        <f t="shared" ref="CO7:CZ7" si="21">CO8+CO14+CO19</f>
        <v>13877</v>
      </c>
      <c r="CP7" s="884">
        <f t="shared" si="21"/>
        <v>29979</v>
      </c>
      <c r="CQ7" s="884">
        <f t="shared" si="21"/>
        <v>43718</v>
      </c>
      <c r="CR7" s="884">
        <f t="shared" si="21"/>
        <v>32020</v>
      </c>
      <c r="CS7" s="884">
        <f t="shared" si="21"/>
        <v>40227</v>
      </c>
      <c r="CT7" s="884">
        <f t="shared" si="21"/>
        <v>45476</v>
      </c>
      <c r="CU7" s="884">
        <f t="shared" si="21"/>
        <v>50398</v>
      </c>
      <c r="CV7" s="884">
        <f t="shared" si="21"/>
        <v>51990</v>
      </c>
      <c r="CW7" s="884">
        <f t="shared" si="21"/>
        <v>56928</v>
      </c>
      <c r="CX7" s="884">
        <f t="shared" si="21"/>
        <v>53623</v>
      </c>
      <c r="CY7" s="884">
        <f t="shared" si="21"/>
        <v>57983</v>
      </c>
      <c r="CZ7" s="875">
        <f t="shared" si="21"/>
        <v>89540</v>
      </c>
      <c r="DA7" s="876">
        <f>SUM(CO7:CZ7)</f>
        <v>565759</v>
      </c>
      <c r="DB7" s="884">
        <f t="shared" ref="DB7:DM7" si="22">DB8+DB14+DB19</f>
        <v>9031</v>
      </c>
      <c r="DC7" s="884">
        <f t="shared" si="22"/>
        <v>25737</v>
      </c>
      <c r="DD7" s="884">
        <f t="shared" si="22"/>
        <v>40671</v>
      </c>
      <c r="DE7" s="884">
        <f t="shared" si="22"/>
        <v>33817</v>
      </c>
      <c r="DF7" s="884">
        <f t="shared" si="22"/>
        <v>40049</v>
      </c>
      <c r="DG7" s="884">
        <f t="shared" si="22"/>
        <v>40871</v>
      </c>
      <c r="DH7" s="884">
        <f t="shared" si="22"/>
        <v>42707</v>
      </c>
      <c r="DI7" s="884">
        <f t="shared" si="22"/>
        <v>48466</v>
      </c>
      <c r="DJ7" s="884">
        <f t="shared" si="22"/>
        <v>48158</v>
      </c>
      <c r="DK7" s="884">
        <f t="shared" si="22"/>
        <v>56775</v>
      </c>
      <c r="DL7" s="884">
        <f t="shared" si="22"/>
        <v>59228</v>
      </c>
      <c r="DM7" s="875">
        <f t="shared" si="22"/>
        <v>96970</v>
      </c>
      <c r="DN7" s="876">
        <f>SUM(DB7:DM7)</f>
        <v>542480</v>
      </c>
      <c r="DO7" s="884">
        <f t="shared" ref="DO7:DZ7" si="23">DO8+DO14+DO19</f>
        <v>12525</v>
      </c>
      <c r="DP7" s="884">
        <f t="shared" si="23"/>
        <v>33906</v>
      </c>
      <c r="DQ7" s="884">
        <f t="shared" si="23"/>
        <v>57767</v>
      </c>
      <c r="DR7" s="884">
        <f t="shared" si="23"/>
        <v>47795</v>
      </c>
      <c r="DS7" s="884">
        <f t="shared" si="23"/>
        <v>52899</v>
      </c>
      <c r="DT7" s="884">
        <f t="shared" si="23"/>
        <v>47161</v>
      </c>
      <c r="DU7" s="884">
        <f t="shared" si="23"/>
        <v>51064</v>
      </c>
      <c r="DV7" s="884">
        <f t="shared" si="23"/>
        <v>50164</v>
      </c>
      <c r="DW7" s="884">
        <f t="shared" si="23"/>
        <v>45453</v>
      </c>
      <c r="DX7" s="884">
        <f t="shared" si="23"/>
        <v>50124</v>
      </c>
      <c r="DY7" s="884">
        <f t="shared" si="23"/>
        <v>54133</v>
      </c>
      <c r="DZ7" s="875">
        <f t="shared" si="23"/>
        <v>93373</v>
      </c>
      <c r="EA7" s="876">
        <f>SUM(DO7:DZ7)</f>
        <v>596364</v>
      </c>
      <c r="EB7" s="884">
        <f>+EB8+EB14+EB19</f>
        <v>14957</v>
      </c>
      <c r="EC7" s="884">
        <f>+EC8+EC14+EC19</f>
        <v>34816</v>
      </c>
      <c r="ED7" s="884">
        <f>+ED8+ED14+ED19</f>
        <v>39770</v>
      </c>
      <c r="EE7" s="884">
        <f>+EE8+EE14+EE19</f>
        <v>49961</v>
      </c>
      <c r="EF7" s="884">
        <f>+EF8+EF14+EF19</f>
        <v>53179</v>
      </c>
      <c r="EG7" s="884">
        <f t="shared" ref="EG7:EM7" si="24">+EG8+EG14+EG19</f>
        <v>48313</v>
      </c>
      <c r="EH7" s="884">
        <f t="shared" si="24"/>
        <v>53691</v>
      </c>
      <c r="EI7" s="884">
        <f t="shared" si="24"/>
        <v>53962</v>
      </c>
      <c r="EJ7" s="884">
        <f t="shared" si="24"/>
        <v>47765</v>
      </c>
      <c r="EK7" s="884">
        <f t="shared" si="24"/>
        <v>67816</v>
      </c>
      <c r="EL7" s="884">
        <f t="shared" si="24"/>
        <v>57059</v>
      </c>
      <c r="EM7" s="875">
        <f t="shared" si="24"/>
        <v>83837</v>
      </c>
      <c r="EN7" s="876">
        <f>SUM(EB7:EM7)</f>
        <v>605126</v>
      </c>
      <c r="EO7" s="884">
        <f t="shared" ref="EO7:ER7" si="25">+EO8+EO14+EO19</f>
        <v>16703</v>
      </c>
      <c r="EP7" s="884">
        <f t="shared" si="25"/>
        <v>49290</v>
      </c>
      <c r="EQ7" s="884">
        <f t="shared" si="25"/>
        <v>52396</v>
      </c>
      <c r="ER7" s="884">
        <f t="shared" si="25"/>
        <v>73559</v>
      </c>
      <c r="ES7" s="884">
        <f t="shared" ref="ES7" si="26">+ES8+ES14+ES19</f>
        <v>52453</v>
      </c>
      <c r="ET7" s="884">
        <f>+ET8+ET14+ET19</f>
        <v>57038</v>
      </c>
      <c r="EU7" s="884">
        <v>65523</v>
      </c>
      <c r="EV7" s="971">
        <f>+EV8+EV14+EV19</f>
        <v>62153</v>
      </c>
      <c r="EW7" s="884"/>
      <c r="EX7" s="884"/>
      <c r="EY7" s="884"/>
      <c r="EZ7" s="875"/>
      <c r="FA7" s="876">
        <f>SUM(EO7:EZ7)</f>
        <v>429115</v>
      </c>
      <c r="FB7" s="757"/>
      <c r="FC7" s="841">
        <f>IFERROR(((
_xlfn.XLOOKUP((DATE(YEAR($FC$5),MONTH($FC$5),1)),UCA.GGL.DATE,$B7:$FA7) /
_xlfn.XLOOKUP((DATE(YEAR($FC$5)-1,MONTH($FC$5),1)),UCA.GGL.DATE,$B7:$FA7)
)-1)*100,"")</f>
        <v>15.179200177902974</v>
      </c>
      <c r="FD7" s="842">
        <f>IFERROR(((FF7/FE7)-1)*100,"")</f>
        <v>23.07937209055526</v>
      </c>
      <c r="FE7" s="702">
        <f>SUMIFS($B7:$FA7,UCA.GGL.DATE,"&gt;="&amp;DATE(YEAR($FC$5)-1,1,1),UCA.GGL.DATE,"&lt;="&amp;DATE(YEAR($FC$5)-1,MONTH($FC$5),1))</f>
        <v>348649</v>
      </c>
      <c r="FF7" s="703">
        <f t="shared" ref="FF7:FF21" si="27">SUMIFS($B7:$FA7,UCA.GGL.DATE,"&gt;="&amp;DATE(YEAR($FC$5),1,1),UCA.GGL.DATE,"&lt;="&amp;$FC$5)</f>
        <v>429115</v>
      </c>
      <c r="FH7" s="838"/>
    </row>
    <row r="8" spans="1:164" ht="15" customHeight="1" x14ac:dyDescent="0.25">
      <c r="A8" s="401" t="s">
        <v>370</v>
      </c>
      <c r="B8" s="885">
        <f t="shared" ref="B8:M8" si="28">SUM(B9:B13)</f>
        <v>5490</v>
      </c>
      <c r="C8" s="885">
        <f t="shared" si="28"/>
        <v>12176</v>
      </c>
      <c r="D8" s="885">
        <f t="shared" si="28"/>
        <v>14982</v>
      </c>
      <c r="E8" s="885">
        <f t="shared" si="28"/>
        <v>13980</v>
      </c>
      <c r="F8" s="885">
        <f t="shared" si="28"/>
        <v>14562</v>
      </c>
      <c r="G8" s="885">
        <f t="shared" si="28"/>
        <v>12921</v>
      </c>
      <c r="H8" s="885">
        <f t="shared" si="28"/>
        <v>14275</v>
      </c>
      <c r="I8" s="885">
        <f t="shared" si="28"/>
        <v>11763</v>
      </c>
      <c r="J8" s="885">
        <f t="shared" si="28"/>
        <v>12063</v>
      </c>
      <c r="K8" s="885">
        <f t="shared" si="28"/>
        <v>13149</v>
      </c>
      <c r="L8" s="885">
        <f t="shared" si="28"/>
        <v>14210</v>
      </c>
      <c r="M8" s="877">
        <f t="shared" si="28"/>
        <v>18404</v>
      </c>
      <c r="N8" s="878">
        <f t="shared" ref="N8:N21" si="29">SUM(B8:M8)</f>
        <v>157975</v>
      </c>
      <c r="O8" s="885">
        <f>SUM(O9:O13)</f>
        <v>9646</v>
      </c>
      <c r="P8" s="885">
        <f t="shared" ref="P8:AM8" si="30">SUM(P9:P13)</f>
        <v>15237</v>
      </c>
      <c r="Q8" s="885">
        <f t="shared" si="30"/>
        <v>13633</v>
      </c>
      <c r="R8" s="885">
        <f t="shared" si="30"/>
        <v>14891</v>
      </c>
      <c r="S8" s="885">
        <f t="shared" si="30"/>
        <v>15291</v>
      </c>
      <c r="T8" s="885">
        <f t="shared" si="30"/>
        <v>13777</v>
      </c>
      <c r="U8" s="885">
        <f t="shared" si="30"/>
        <v>16589</v>
      </c>
      <c r="V8" s="885">
        <f t="shared" si="30"/>
        <v>13476</v>
      </c>
      <c r="W8" s="885">
        <f t="shared" si="30"/>
        <v>14153</v>
      </c>
      <c r="X8" s="885">
        <f t="shared" si="30"/>
        <v>12008</v>
      </c>
      <c r="Y8" s="885">
        <f t="shared" si="30"/>
        <v>14677</v>
      </c>
      <c r="Z8" s="877">
        <f t="shared" si="30"/>
        <v>16967</v>
      </c>
      <c r="AA8" s="878">
        <f t="shared" ref="AA8:AA21" si="31">SUM(O8:Z8)</f>
        <v>170345</v>
      </c>
      <c r="AB8" s="885">
        <f t="shared" si="30"/>
        <v>9630</v>
      </c>
      <c r="AC8" s="885">
        <f t="shared" si="30"/>
        <v>11335</v>
      </c>
      <c r="AD8" s="885">
        <f t="shared" si="30"/>
        <v>15983</v>
      </c>
      <c r="AE8" s="885">
        <f t="shared" si="30"/>
        <v>13413</v>
      </c>
      <c r="AF8" s="885">
        <f t="shared" si="30"/>
        <v>16880</v>
      </c>
      <c r="AG8" s="885">
        <f t="shared" si="30"/>
        <v>17074</v>
      </c>
      <c r="AH8" s="885">
        <f t="shared" si="30"/>
        <v>16059</v>
      </c>
      <c r="AI8" s="885">
        <f t="shared" si="30"/>
        <v>15508</v>
      </c>
      <c r="AJ8" s="885">
        <f t="shared" si="30"/>
        <v>11435</v>
      </c>
      <c r="AK8" s="885">
        <f t="shared" si="30"/>
        <v>13606</v>
      </c>
      <c r="AL8" s="885">
        <f t="shared" si="30"/>
        <v>15479</v>
      </c>
      <c r="AM8" s="877">
        <f t="shared" si="30"/>
        <v>22978</v>
      </c>
      <c r="AN8" s="878">
        <f t="shared" si="13"/>
        <v>179380</v>
      </c>
      <c r="AO8" s="885">
        <f t="shared" ref="AO8:AZ8" si="32">SUM(AO9:AO13)</f>
        <v>8760</v>
      </c>
      <c r="AP8" s="885">
        <f t="shared" si="32"/>
        <v>12477</v>
      </c>
      <c r="AQ8" s="885">
        <f t="shared" si="32"/>
        <v>15270</v>
      </c>
      <c r="AR8" s="885">
        <f t="shared" si="32"/>
        <v>15179</v>
      </c>
      <c r="AS8" s="885">
        <f t="shared" si="32"/>
        <v>17790</v>
      </c>
      <c r="AT8" s="885">
        <f t="shared" si="32"/>
        <v>15494</v>
      </c>
      <c r="AU8" s="885">
        <f t="shared" si="32"/>
        <v>16376</v>
      </c>
      <c r="AV8" s="885">
        <f t="shared" si="32"/>
        <v>13755</v>
      </c>
      <c r="AW8" s="885">
        <f t="shared" si="32"/>
        <v>11390</v>
      </c>
      <c r="AX8" s="885">
        <f t="shared" si="32"/>
        <v>15295</v>
      </c>
      <c r="AY8" s="885">
        <f t="shared" si="32"/>
        <v>16692</v>
      </c>
      <c r="AZ8" s="877">
        <f t="shared" si="32"/>
        <v>18325</v>
      </c>
      <c r="BA8" s="878">
        <f t="shared" si="15"/>
        <v>176803</v>
      </c>
      <c r="BB8" s="885">
        <f t="shared" ref="BB8:BM8" si="33">SUM(BB9:BB13)</f>
        <v>6736</v>
      </c>
      <c r="BC8" s="885">
        <f t="shared" si="33"/>
        <v>12154</v>
      </c>
      <c r="BD8" s="885">
        <f t="shared" si="33"/>
        <v>15572</v>
      </c>
      <c r="BE8" s="885">
        <f t="shared" si="33"/>
        <v>16397</v>
      </c>
      <c r="BF8" s="885">
        <f t="shared" si="33"/>
        <v>18416</v>
      </c>
      <c r="BG8" s="885">
        <f t="shared" si="33"/>
        <v>16832</v>
      </c>
      <c r="BH8" s="885">
        <f t="shared" si="33"/>
        <v>19345</v>
      </c>
      <c r="BI8" s="885">
        <f t="shared" si="33"/>
        <v>14755</v>
      </c>
      <c r="BJ8" s="885">
        <f t="shared" si="33"/>
        <v>14631</v>
      </c>
      <c r="BK8" s="885">
        <f t="shared" si="33"/>
        <v>14286</v>
      </c>
      <c r="BL8" s="885">
        <f t="shared" si="33"/>
        <v>16314</v>
      </c>
      <c r="BM8" s="877">
        <f t="shared" si="33"/>
        <v>21179</v>
      </c>
      <c r="BN8" s="878">
        <f t="shared" si="17"/>
        <v>186617</v>
      </c>
      <c r="BO8" s="885">
        <f t="shared" ref="BO8:BZ8" si="34">SUM(BO9:BO13)</f>
        <v>12850</v>
      </c>
      <c r="BP8" s="885">
        <f t="shared" si="34"/>
        <v>13356</v>
      </c>
      <c r="BQ8" s="885">
        <f t="shared" si="34"/>
        <v>19276</v>
      </c>
      <c r="BR8" s="885">
        <f t="shared" si="34"/>
        <v>13180</v>
      </c>
      <c r="BS8" s="885">
        <f t="shared" si="34"/>
        <v>12808</v>
      </c>
      <c r="BT8" s="885">
        <f t="shared" si="34"/>
        <v>13064</v>
      </c>
      <c r="BU8" s="885">
        <f t="shared" si="34"/>
        <v>24920</v>
      </c>
      <c r="BV8" s="885">
        <f t="shared" si="34"/>
        <v>17654</v>
      </c>
      <c r="BW8" s="885">
        <f t="shared" si="34"/>
        <v>21832</v>
      </c>
      <c r="BX8" s="885">
        <f t="shared" si="34"/>
        <v>29186</v>
      </c>
      <c r="BY8" s="885">
        <f t="shared" si="34"/>
        <v>28705</v>
      </c>
      <c r="BZ8" s="877">
        <f t="shared" si="34"/>
        <v>44766</v>
      </c>
      <c r="CA8" s="878">
        <f t="shared" si="19"/>
        <v>251597</v>
      </c>
      <c r="CB8" s="885">
        <f t="shared" ref="CB8:CM8" si="35">SUM(CB9:CB13)</f>
        <v>9439</v>
      </c>
      <c r="CC8" s="885">
        <f t="shared" si="35"/>
        <v>12509</v>
      </c>
      <c r="CD8" s="885">
        <f t="shared" si="35"/>
        <v>23020</v>
      </c>
      <c r="CE8" s="885">
        <f t="shared" si="35"/>
        <v>20137</v>
      </c>
      <c r="CF8" s="885">
        <f t="shared" si="35"/>
        <v>22318</v>
      </c>
      <c r="CG8" s="885">
        <f t="shared" si="35"/>
        <v>20503</v>
      </c>
      <c r="CH8" s="885">
        <f t="shared" si="35"/>
        <v>19816</v>
      </c>
      <c r="CI8" s="885">
        <f t="shared" si="35"/>
        <v>21615</v>
      </c>
      <c r="CJ8" s="885">
        <f t="shared" si="35"/>
        <v>22424</v>
      </c>
      <c r="CK8" s="885">
        <f t="shared" si="35"/>
        <v>18878</v>
      </c>
      <c r="CL8" s="885">
        <f t="shared" si="35"/>
        <v>23173</v>
      </c>
      <c r="CM8" s="877">
        <f t="shared" si="35"/>
        <v>38329</v>
      </c>
      <c r="CN8" s="878">
        <f t="shared" ref="CN8:CN30" si="36">SUM(CB8:CM8)</f>
        <v>252161</v>
      </c>
      <c r="CO8" s="885">
        <f t="shared" ref="CO8:CZ8" si="37">SUM(CO9:CO13)</f>
        <v>10263</v>
      </c>
      <c r="CP8" s="885">
        <f t="shared" si="37"/>
        <v>17328</v>
      </c>
      <c r="CQ8" s="885">
        <f t="shared" si="37"/>
        <v>25279</v>
      </c>
      <c r="CR8" s="885">
        <f t="shared" si="37"/>
        <v>18897</v>
      </c>
      <c r="CS8" s="885">
        <f t="shared" si="37"/>
        <v>24205</v>
      </c>
      <c r="CT8" s="885">
        <f t="shared" si="37"/>
        <v>23301</v>
      </c>
      <c r="CU8" s="885">
        <f t="shared" si="37"/>
        <v>25782</v>
      </c>
      <c r="CV8" s="885">
        <f t="shared" si="37"/>
        <v>24413</v>
      </c>
      <c r="CW8" s="885">
        <f t="shared" si="37"/>
        <v>23113</v>
      </c>
      <c r="CX8" s="885">
        <f t="shared" si="37"/>
        <v>22365</v>
      </c>
      <c r="CY8" s="885">
        <f t="shared" si="37"/>
        <v>23081</v>
      </c>
      <c r="CZ8" s="877">
        <f t="shared" si="37"/>
        <v>33601</v>
      </c>
      <c r="DA8" s="878">
        <f t="shared" ref="DA8:DA30" si="38">SUM(CO8:CZ8)</f>
        <v>271628</v>
      </c>
      <c r="DB8" s="885">
        <f t="shared" ref="DB8:DM8" si="39">SUM(DB9:DB13)</f>
        <v>8454</v>
      </c>
      <c r="DC8" s="885">
        <f t="shared" si="39"/>
        <v>18409</v>
      </c>
      <c r="DD8" s="885">
        <f t="shared" si="39"/>
        <v>27138</v>
      </c>
      <c r="DE8" s="885">
        <f t="shared" si="39"/>
        <v>19593</v>
      </c>
      <c r="DF8" s="885">
        <f t="shared" si="39"/>
        <v>27154</v>
      </c>
      <c r="DG8" s="885">
        <f t="shared" si="39"/>
        <v>26931</v>
      </c>
      <c r="DH8" s="885">
        <f t="shared" si="39"/>
        <v>24969</v>
      </c>
      <c r="DI8" s="885">
        <f t="shared" si="39"/>
        <v>23282</v>
      </c>
      <c r="DJ8" s="885">
        <f t="shared" si="39"/>
        <v>23552</v>
      </c>
      <c r="DK8" s="885">
        <f t="shared" si="39"/>
        <v>25293</v>
      </c>
      <c r="DL8" s="885">
        <f t="shared" si="39"/>
        <v>27374</v>
      </c>
      <c r="DM8" s="877">
        <f t="shared" si="39"/>
        <v>38161</v>
      </c>
      <c r="DN8" s="878">
        <f t="shared" ref="DN8:DN30" si="40">SUM(DB8:DM8)</f>
        <v>290310</v>
      </c>
      <c r="DO8" s="885">
        <f t="shared" ref="DO8:DZ8" si="41">SUM(DO9:DO13)</f>
        <v>10370</v>
      </c>
      <c r="DP8" s="885">
        <f t="shared" si="41"/>
        <v>22057</v>
      </c>
      <c r="DQ8" s="885">
        <f t="shared" si="41"/>
        <v>25731</v>
      </c>
      <c r="DR8" s="885">
        <f t="shared" si="41"/>
        <v>28294</v>
      </c>
      <c r="DS8" s="885">
        <f t="shared" si="41"/>
        <v>31106</v>
      </c>
      <c r="DT8" s="885">
        <f t="shared" si="41"/>
        <v>28275</v>
      </c>
      <c r="DU8" s="885">
        <f t="shared" si="41"/>
        <v>28430</v>
      </c>
      <c r="DV8" s="885">
        <f t="shared" si="41"/>
        <v>29469</v>
      </c>
      <c r="DW8" s="885">
        <f t="shared" si="41"/>
        <v>27761</v>
      </c>
      <c r="DX8" s="885">
        <f t="shared" si="41"/>
        <v>28863</v>
      </c>
      <c r="DY8" s="885">
        <f t="shared" si="41"/>
        <v>30928</v>
      </c>
      <c r="DZ8" s="877">
        <f t="shared" si="41"/>
        <v>43508</v>
      </c>
      <c r="EA8" s="878">
        <f t="shared" ref="EA8:EA30" si="42">SUM(DO8:DZ8)</f>
        <v>334792</v>
      </c>
      <c r="EB8" s="885">
        <f t="shared" ref="EB8:EM8" si="43">SUM(EB9:EB13)</f>
        <v>13233</v>
      </c>
      <c r="EC8" s="885">
        <f t="shared" si="43"/>
        <v>26521</v>
      </c>
      <c r="ED8" s="885">
        <f t="shared" si="43"/>
        <v>28108</v>
      </c>
      <c r="EE8" s="885">
        <f t="shared" si="43"/>
        <v>31018</v>
      </c>
      <c r="EF8" s="885">
        <f t="shared" si="43"/>
        <v>33099</v>
      </c>
      <c r="EG8" s="885">
        <f t="shared" si="43"/>
        <v>29669</v>
      </c>
      <c r="EH8" s="885">
        <f t="shared" si="43"/>
        <v>32434</v>
      </c>
      <c r="EI8" s="885">
        <f t="shared" si="43"/>
        <v>29872</v>
      </c>
      <c r="EJ8" s="885">
        <f t="shared" si="43"/>
        <v>29015</v>
      </c>
      <c r="EK8" s="885">
        <f t="shared" si="43"/>
        <v>31033</v>
      </c>
      <c r="EL8" s="885">
        <f t="shared" si="43"/>
        <v>25712</v>
      </c>
      <c r="EM8" s="877">
        <f t="shared" si="43"/>
        <v>36935</v>
      </c>
      <c r="EN8" s="878">
        <f t="shared" ref="EN8:EN27" si="44">SUM(EB8:EM8)</f>
        <v>346649</v>
      </c>
      <c r="EO8" s="885">
        <f t="shared" ref="EO8:ER8" si="45">SUM(EO9:EO13)</f>
        <v>15368</v>
      </c>
      <c r="EP8" s="885">
        <f t="shared" si="45"/>
        <v>29639</v>
      </c>
      <c r="EQ8" s="885">
        <f t="shared" si="45"/>
        <v>31964</v>
      </c>
      <c r="ER8" s="885">
        <f t="shared" si="45"/>
        <v>30603</v>
      </c>
      <c r="ES8" s="885">
        <f t="shared" ref="ES8" si="46">SUM(ES9:ES13)</f>
        <v>34594</v>
      </c>
      <c r="ET8" s="885">
        <f t="shared" ref="ET8" si="47">SUM(ET9:ET13)</f>
        <v>32753</v>
      </c>
      <c r="EU8" s="885">
        <v>36412</v>
      </c>
      <c r="EV8" s="972">
        <f t="shared" ref="EV8" si="48">SUM(EV9:EV13)</f>
        <v>34331</v>
      </c>
      <c r="EW8" s="885"/>
      <c r="EX8" s="885"/>
      <c r="EY8" s="885"/>
      <c r="EZ8" s="877"/>
      <c r="FA8" s="878">
        <f t="shared" ref="FA8:FA29" si="49">SUM(EO8:EZ8)</f>
        <v>245664</v>
      </c>
      <c r="FB8" s="110"/>
      <c r="FC8" s="851">
        <f t="shared" ref="FC8:FC21" si="50">IFERROR(((
_xlfn.XLOOKUP((DATE(YEAR($FC$5),MONTH($FC$5),1)),UCA.GGL.DATE,$B8:$FA8) /
_xlfn.XLOOKUP((DATE(YEAR($FC$5)-1,MONTH($FC$5),1)),UCA.GGL.DATE,$B8:$FA8)
)-1)*100,"")</f>
        <v>14.927021960364218</v>
      </c>
      <c r="FD8" s="852">
        <f>IFERROR(((FF8/FE8)-1)*100,"")</f>
        <v>9.6939550086178485</v>
      </c>
      <c r="FE8" s="853">
        <f t="shared" ref="FE8:FE21" si="51">SUMIFS($B8:$FA8,UCA.GGL.DATE,"&gt;="&amp;DATE(YEAR($FC$5)-1,1,1),UCA.GGL.DATE,"&lt;="&amp;DATE(YEAR($FC$5)-1,MONTH($FC$5),1))</f>
        <v>223954</v>
      </c>
      <c r="FF8" s="854">
        <f t="shared" si="27"/>
        <v>245664</v>
      </c>
      <c r="FH8" s="236"/>
    </row>
    <row r="9" spans="1:164" ht="15" customHeight="1" x14ac:dyDescent="0.25">
      <c r="A9" s="403" t="s">
        <v>371</v>
      </c>
      <c r="B9" s="883">
        <v>2643</v>
      </c>
      <c r="C9" s="883">
        <v>2450</v>
      </c>
      <c r="D9" s="883">
        <v>2818</v>
      </c>
      <c r="E9" s="883">
        <v>2528</v>
      </c>
      <c r="F9" s="883">
        <v>2439</v>
      </c>
      <c r="G9" s="883">
        <v>2166</v>
      </c>
      <c r="H9" s="883">
        <v>3258</v>
      </c>
      <c r="I9" s="883">
        <v>2103</v>
      </c>
      <c r="J9" s="883">
        <v>2450</v>
      </c>
      <c r="K9" s="883">
        <v>2519</v>
      </c>
      <c r="L9" s="883">
        <v>2677</v>
      </c>
      <c r="M9" s="873">
        <v>3032</v>
      </c>
      <c r="N9" s="879">
        <f t="shared" si="29"/>
        <v>31083</v>
      </c>
      <c r="O9" s="883">
        <v>2982</v>
      </c>
      <c r="P9" s="883">
        <v>2403</v>
      </c>
      <c r="Q9" s="883">
        <v>2327</v>
      </c>
      <c r="R9" s="883">
        <v>2581</v>
      </c>
      <c r="S9" s="883">
        <v>2837</v>
      </c>
      <c r="T9" s="883">
        <v>2313</v>
      </c>
      <c r="U9" s="883">
        <v>3465</v>
      </c>
      <c r="V9" s="883">
        <v>2269</v>
      </c>
      <c r="W9" s="883">
        <v>2420</v>
      </c>
      <c r="X9" s="883">
        <v>2571</v>
      </c>
      <c r="Y9" s="883">
        <v>2755</v>
      </c>
      <c r="Z9" s="873">
        <v>2642</v>
      </c>
      <c r="AA9" s="879">
        <f t="shared" si="31"/>
        <v>31565</v>
      </c>
      <c r="AB9" s="883">
        <v>3118</v>
      </c>
      <c r="AC9" s="883">
        <v>2106</v>
      </c>
      <c r="AD9" s="883">
        <v>2717</v>
      </c>
      <c r="AE9" s="883">
        <v>2675</v>
      </c>
      <c r="AF9" s="883">
        <v>2611</v>
      </c>
      <c r="AG9" s="883">
        <v>2654</v>
      </c>
      <c r="AH9" s="883">
        <v>3152</v>
      </c>
      <c r="AI9" s="883">
        <v>2546</v>
      </c>
      <c r="AJ9" s="883">
        <v>2287</v>
      </c>
      <c r="AK9" s="883">
        <v>2735</v>
      </c>
      <c r="AL9" s="883">
        <v>2619</v>
      </c>
      <c r="AM9" s="873">
        <v>2996</v>
      </c>
      <c r="AN9" s="879">
        <f t="shared" si="13"/>
        <v>32216</v>
      </c>
      <c r="AO9" s="883">
        <v>3320</v>
      </c>
      <c r="AP9" s="883">
        <v>2288</v>
      </c>
      <c r="AQ9" s="883">
        <v>3175</v>
      </c>
      <c r="AR9" s="883">
        <v>2744</v>
      </c>
      <c r="AS9" s="883">
        <v>2797</v>
      </c>
      <c r="AT9" s="883">
        <v>2608</v>
      </c>
      <c r="AU9" s="883">
        <v>3477</v>
      </c>
      <c r="AV9" s="883">
        <v>2518</v>
      </c>
      <c r="AW9" s="883">
        <v>2308</v>
      </c>
      <c r="AX9" s="883">
        <v>2973</v>
      </c>
      <c r="AY9" s="883">
        <v>2609</v>
      </c>
      <c r="AZ9" s="873">
        <v>3575</v>
      </c>
      <c r="BA9" s="879">
        <f t="shared" si="15"/>
        <v>34392</v>
      </c>
      <c r="BB9" s="883">
        <v>4242</v>
      </c>
      <c r="BC9" s="883">
        <v>1185</v>
      </c>
      <c r="BD9" s="883">
        <v>2107</v>
      </c>
      <c r="BE9" s="883">
        <v>2525</v>
      </c>
      <c r="BF9" s="883">
        <v>2574</v>
      </c>
      <c r="BG9" s="883">
        <v>2256</v>
      </c>
      <c r="BH9" s="883">
        <v>2972</v>
      </c>
      <c r="BI9" s="883">
        <v>2085</v>
      </c>
      <c r="BJ9" s="883">
        <v>2215</v>
      </c>
      <c r="BK9" s="883">
        <v>2466</v>
      </c>
      <c r="BL9" s="883">
        <v>2282</v>
      </c>
      <c r="BM9" s="873">
        <v>3058</v>
      </c>
      <c r="BN9" s="879">
        <f t="shared" si="17"/>
        <v>29967</v>
      </c>
      <c r="BO9" s="883">
        <v>3105</v>
      </c>
      <c r="BP9" s="883">
        <v>2284</v>
      </c>
      <c r="BQ9" s="883">
        <v>2656</v>
      </c>
      <c r="BR9" s="883">
        <v>2105</v>
      </c>
      <c r="BS9" s="883">
        <v>2702</v>
      </c>
      <c r="BT9" s="883">
        <v>2091</v>
      </c>
      <c r="BU9" s="883">
        <v>3060</v>
      </c>
      <c r="BV9" s="883">
        <v>2114</v>
      </c>
      <c r="BW9" s="883">
        <v>2005</v>
      </c>
      <c r="BX9" s="883">
        <v>2230</v>
      </c>
      <c r="BY9" s="883">
        <v>2472</v>
      </c>
      <c r="BZ9" s="873">
        <v>3235</v>
      </c>
      <c r="CA9" s="879">
        <f t="shared" si="19"/>
        <v>30059</v>
      </c>
      <c r="CB9" s="883">
        <v>2716</v>
      </c>
      <c r="CC9" s="883">
        <v>1517</v>
      </c>
      <c r="CD9" s="883">
        <v>2790</v>
      </c>
      <c r="CE9" s="883">
        <v>2504</v>
      </c>
      <c r="CF9" s="883">
        <v>2416</v>
      </c>
      <c r="CG9" s="883">
        <v>2290</v>
      </c>
      <c r="CH9" s="883">
        <v>2865</v>
      </c>
      <c r="CI9" s="883">
        <v>1978</v>
      </c>
      <c r="CJ9" s="883">
        <v>2043</v>
      </c>
      <c r="CK9" s="883">
        <v>2144</v>
      </c>
      <c r="CL9" s="883">
        <v>2499</v>
      </c>
      <c r="CM9" s="873">
        <v>3205</v>
      </c>
      <c r="CN9" s="879">
        <f t="shared" si="36"/>
        <v>28967</v>
      </c>
      <c r="CO9" s="883">
        <v>2649</v>
      </c>
      <c r="CP9" s="883">
        <v>1965</v>
      </c>
      <c r="CQ9" s="883">
        <v>2102</v>
      </c>
      <c r="CR9" s="883">
        <v>2177</v>
      </c>
      <c r="CS9" s="883">
        <v>2270</v>
      </c>
      <c r="CT9" s="883">
        <v>2114</v>
      </c>
      <c r="CU9" s="883">
        <v>2829</v>
      </c>
      <c r="CV9" s="883">
        <v>2321</v>
      </c>
      <c r="CW9" s="883">
        <v>2114</v>
      </c>
      <c r="CX9" s="883">
        <v>2507</v>
      </c>
      <c r="CY9" s="883">
        <v>2894</v>
      </c>
      <c r="CZ9" s="873">
        <v>4005</v>
      </c>
      <c r="DA9" s="879">
        <f t="shared" si="38"/>
        <v>29947</v>
      </c>
      <c r="DB9" s="883">
        <v>2639</v>
      </c>
      <c r="DC9" s="883">
        <v>2217</v>
      </c>
      <c r="DD9" s="883">
        <v>2329</v>
      </c>
      <c r="DE9" s="883">
        <v>2561</v>
      </c>
      <c r="DF9" s="883">
        <v>2667</v>
      </c>
      <c r="DG9" s="883">
        <v>2485</v>
      </c>
      <c r="DH9" s="883">
        <v>3216</v>
      </c>
      <c r="DI9" s="883">
        <v>2312</v>
      </c>
      <c r="DJ9" s="883">
        <v>2303</v>
      </c>
      <c r="DK9" s="883">
        <v>2694</v>
      </c>
      <c r="DL9" s="883">
        <v>2799</v>
      </c>
      <c r="DM9" s="873">
        <v>4061</v>
      </c>
      <c r="DN9" s="879">
        <f t="shared" si="40"/>
        <v>32283</v>
      </c>
      <c r="DO9" s="883">
        <v>6263</v>
      </c>
      <c r="DP9" s="883">
        <v>5876</v>
      </c>
      <c r="DQ9" s="883">
        <v>6087</v>
      </c>
      <c r="DR9" s="883">
        <v>7427</v>
      </c>
      <c r="DS9" s="883">
        <v>7782</v>
      </c>
      <c r="DT9" s="883">
        <v>6839</v>
      </c>
      <c r="DU9" s="883">
        <v>8346</v>
      </c>
      <c r="DV9" s="883">
        <v>6670</v>
      </c>
      <c r="DW9" s="883">
        <v>6883</v>
      </c>
      <c r="DX9" s="883">
        <v>8090</v>
      </c>
      <c r="DY9" s="883">
        <v>8041</v>
      </c>
      <c r="DZ9" s="873">
        <v>9712</v>
      </c>
      <c r="EA9" s="879">
        <f t="shared" si="42"/>
        <v>88016</v>
      </c>
      <c r="EB9" s="883">
        <v>7286</v>
      </c>
      <c r="EC9" s="883">
        <v>7210</v>
      </c>
      <c r="ED9" s="883">
        <v>8536</v>
      </c>
      <c r="EE9" s="883">
        <v>8338</v>
      </c>
      <c r="EF9" s="883">
        <v>8432</v>
      </c>
      <c r="EG9" s="883">
        <v>8051</v>
      </c>
      <c r="EH9" s="883">
        <v>9802</v>
      </c>
      <c r="EI9" s="883">
        <v>7917</v>
      </c>
      <c r="EJ9" s="883">
        <v>8336</v>
      </c>
      <c r="EK9" s="883">
        <v>9488</v>
      </c>
      <c r="EL9" s="883">
        <v>8528</v>
      </c>
      <c r="EM9" s="873">
        <v>11830</v>
      </c>
      <c r="EN9" s="879">
        <f t="shared" si="44"/>
        <v>103754</v>
      </c>
      <c r="EO9" s="883">
        <v>9081</v>
      </c>
      <c r="EP9" s="883">
        <v>10465</v>
      </c>
      <c r="EQ9" s="883">
        <v>8494</v>
      </c>
      <c r="ER9" s="883">
        <v>8947</v>
      </c>
      <c r="ES9" s="883">
        <v>8638</v>
      </c>
      <c r="ET9" s="883">
        <v>7784</v>
      </c>
      <c r="EU9" s="883">
        <v>9907</v>
      </c>
      <c r="EV9" s="973">
        <v>7978</v>
      </c>
      <c r="EW9" s="883"/>
      <c r="EX9" s="883"/>
      <c r="EY9" s="883"/>
      <c r="EZ9" s="873"/>
      <c r="FA9" s="879">
        <f t="shared" si="49"/>
        <v>71294</v>
      </c>
      <c r="FC9" s="843">
        <f t="shared" si="50"/>
        <v>0.7704938739421463</v>
      </c>
      <c r="FD9" s="844">
        <f t="shared" ref="FD9:FD30" si="52">IFERROR(((FF9/FE9)-1)*100,"")</f>
        <v>8.7262856097114714</v>
      </c>
      <c r="FE9" s="845">
        <f>SUMIFS($B9:$FA9,UCA.GGL.DATE,"&gt;="&amp;DATE(YEAR($FC$5)-1,1,1),UCA.GGL.DATE,"&lt;="&amp;DATE(YEAR($FC$5)-1,MONTH($FC$5),1))</f>
        <v>65572</v>
      </c>
      <c r="FF9" s="846">
        <f t="shared" si="27"/>
        <v>71294</v>
      </c>
      <c r="FH9" s="127"/>
    </row>
    <row r="10" spans="1:164" ht="15" customHeight="1" x14ac:dyDescent="0.25">
      <c r="A10" s="403" t="s">
        <v>372</v>
      </c>
      <c r="B10" s="883">
        <v>59</v>
      </c>
      <c r="C10" s="883">
        <v>623</v>
      </c>
      <c r="D10" s="883">
        <v>804</v>
      </c>
      <c r="E10" s="883">
        <v>694</v>
      </c>
      <c r="F10" s="883">
        <v>937</v>
      </c>
      <c r="G10" s="883">
        <v>814</v>
      </c>
      <c r="H10" s="883">
        <v>736</v>
      </c>
      <c r="I10" s="883">
        <v>963</v>
      </c>
      <c r="J10" s="883">
        <v>894</v>
      </c>
      <c r="K10" s="883">
        <v>877</v>
      </c>
      <c r="L10" s="883">
        <v>1114</v>
      </c>
      <c r="M10" s="873">
        <v>1567</v>
      </c>
      <c r="N10" s="879">
        <f t="shared" si="29"/>
        <v>10082</v>
      </c>
      <c r="O10" s="883">
        <v>130</v>
      </c>
      <c r="P10" s="883">
        <v>451</v>
      </c>
      <c r="Q10" s="883">
        <v>454</v>
      </c>
      <c r="R10" s="883">
        <v>1150</v>
      </c>
      <c r="S10" s="883">
        <v>935</v>
      </c>
      <c r="T10" s="883">
        <v>777</v>
      </c>
      <c r="U10" s="883">
        <v>1209</v>
      </c>
      <c r="V10" s="883">
        <v>788</v>
      </c>
      <c r="W10" s="883">
        <v>1025</v>
      </c>
      <c r="X10" s="883">
        <v>405</v>
      </c>
      <c r="Y10" s="883">
        <v>1403</v>
      </c>
      <c r="Z10" s="873">
        <v>1294</v>
      </c>
      <c r="AA10" s="879">
        <f t="shared" si="31"/>
        <v>10021</v>
      </c>
      <c r="AB10" s="883">
        <v>86</v>
      </c>
      <c r="AC10" s="883">
        <v>342</v>
      </c>
      <c r="AD10" s="883">
        <v>1275</v>
      </c>
      <c r="AE10" s="883">
        <v>387</v>
      </c>
      <c r="AF10" s="883">
        <v>1109</v>
      </c>
      <c r="AG10" s="883">
        <v>1177</v>
      </c>
      <c r="AH10" s="883">
        <v>1132</v>
      </c>
      <c r="AI10" s="883">
        <v>980</v>
      </c>
      <c r="AJ10" s="883">
        <v>779</v>
      </c>
      <c r="AK10" s="883">
        <v>906</v>
      </c>
      <c r="AL10" s="883">
        <v>1385</v>
      </c>
      <c r="AM10" s="873">
        <v>2171</v>
      </c>
      <c r="AN10" s="879">
        <f t="shared" si="13"/>
        <v>11729</v>
      </c>
      <c r="AO10" s="883">
        <v>67</v>
      </c>
      <c r="AP10" s="883">
        <v>665</v>
      </c>
      <c r="AQ10" s="883">
        <v>516</v>
      </c>
      <c r="AR10" s="883">
        <v>811</v>
      </c>
      <c r="AS10" s="883">
        <v>1172</v>
      </c>
      <c r="AT10" s="883">
        <v>722</v>
      </c>
      <c r="AU10" s="883">
        <v>1584</v>
      </c>
      <c r="AV10" s="883">
        <v>731</v>
      </c>
      <c r="AW10" s="883">
        <v>848</v>
      </c>
      <c r="AX10" s="883">
        <v>1149</v>
      </c>
      <c r="AY10" s="883">
        <v>1246</v>
      </c>
      <c r="AZ10" s="873">
        <v>1861</v>
      </c>
      <c r="BA10" s="879">
        <f t="shared" si="15"/>
        <v>11372</v>
      </c>
      <c r="BB10" s="883">
        <v>213</v>
      </c>
      <c r="BC10" s="883">
        <v>225</v>
      </c>
      <c r="BD10" s="883">
        <v>272</v>
      </c>
      <c r="BE10" s="883">
        <v>757</v>
      </c>
      <c r="BF10" s="883">
        <v>777</v>
      </c>
      <c r="BG10" s="883">
        <v>1125</v>
      </c>
      <c r="BH10" s="883">
        <v>844</v>
      </c>
      <c r="BI10" s="883">
        <v>680</v>
      </c>
      <c r="BJ10" s="883">
        <v>838</v>
      </c>
      <c r="BK10" s="883">
        <v>776</v>
      </c>
      <c r="BL10" s="883">
        <v>1935</v>
      </c>
      <c r="BM10" s="873">
        <v>3006</v>
      </c>
      <c r="BN10" s="879">
        <f t="shared" si="17"/>
        <v>11448</v>
      </c>
      <c r="BO10" s="883">
        <v>133</v>
      </c>
      <c r="BP10" s="883">
        <v>434</v>
      </c>
      <c r="BQ10" s="883">
        <v>223</v>
      </c>
      <c r="BR10" s="883">
        <v>426</v>
      </c>
      <c r="BS10" s="883">
        <v>422</v>
      </c>
      <c r="BT10" s="883">
        <v>927</v>
      </c>
      <c r="BU10" s="883">
        <v>959</v>
      </c>
      <c r="BV10" s="883">
        <v>1287</v>
      </c>
      <c r="BW10" s="883">
        <v>1203</v>
      </c>
      <c r="BX10" s="883">
        <v>2069</v>
      </c>
      <c r="BY10" s="883">
        <v>1068</v>
      </c>
      <c r="BZ10" s="873">
        <v>2305</v>
      </c>
      <c r="CA10" s="879">
        <f t="shared" si="19"/>
        <v>11456</v>
      </c>
      <c r="CB10" s="883">
        <v>66</v>
      </c>
      <c r="CC10" s="883">
        <v>729</v>
      </c>
      <c r="CD10" s="883">
        <v>258</v>
      </c>
      <c r="CE10" s="883">
        <v>1014</v>
      </c>
      <c r="CF10" s="883">
        <v>1456</v>
      </c>
      <c r="CG10" s="883">
        <v>1261</v>
      </c>
      <c r="CH10" s="883">
        <v>1367</v>
      </c>
      <c r="CI10" s="883">
        <v>982</v>
      </c>
      <c r="CJ10" s="883">
        <v>1101</v>
      </c>
      <c r="CK10" s="883">
        <v>1236</v>
      </c>
      <c r="CL10" s="883">
        <v>1323</v>
      </c>
      <c r="CM10" s="873">
        <v>1329</v>
      </c>
      <c r="CN10" s="879">
        <f t="shared" si="36"/>
        <v>12122</v>
      </c>
      <c r="CO10" s="883">
        <v>62</v>
      </c>
      <c r="CP10" s="883">
        <v>776</v>
      </c>
      <c r="CQ10" s="883">
        <v>945</v>
      </c>
      <c r="CR10" s="883">
        <v>927</v>
      </c>
      <c r="CS10" s="883">
        <v>1320</v>
      </c>
      <c r="CT10" s="883">
        <v>1256</v>
      </c>
      <c r="CU10" s="883">
        <v>1237</v>
      </c>
      <c r="CV10" s="883">
        <v>1635</v>
      </c>
      <c r="CW10" s="883">
        <v>1447</v>
      </c>
      <c r="CX10" s="883">
        <v>1164</v>
      </c>
      <c r="CY10" s="883">
        <v>1284</v>
      </c>
      <c r="CZ10" s="873">
        <v>1456</v>
      </c>
      <c r="DA10" s="879">
        <f t="shared" si="38"/>
        <v>13509</v>
      </c>
      <c r="DB10" s="883">
        <v>44</v>
      </c>
      <c r="DC10" s="883">
        <v>412</v>
      </c>
      <c r="DD10" s="883">
        <v>408</v>
      </c>
      <c r="DE10" s="883">
        <v>456</v>
      </c>
      <c r="DF10" s="883">
        <v>1891</v>
      </c>
      <c r="DG10" s="883">
        <v>2154</v>
      </c>
      <c r="DH10" s="883">
        <v>1583</v>
      </c>
      <c r="DI10" s="883">
        <v>1694</v>
      </c>
      <c r="DJ10" s="883">
        <v>1540</v>
      </c>
      <c r="DK10" s="883">
        <v>2225</v>
      </c>
      <c r="DL10" s="883">
        <v>1993</v>
      </c>
      <c r="DM10" s="873">
        <v>2890</v>
      </c>
      <c r="DN10" s="879">
        <f t="shared" si="40"/>
        <v>17290</v>
      </c>
      <c r="DO10" s="883">
        <v>70</v>
      </c>
      <c r="DP10" s="883">
        <v>446</v>
      </c>
      <c r="DQ10" s="883">
        <v>499</v>
      </c>
      <c r="DR10" s="883">
        <v>1569</v>
      </c>
      <c r="DS10" s="883">
        <v>1617</v>
      </c>
      <c r="DT10" s="883">
        <v>2505</v>
      </c>
      <c r="DU10" s="883">
        <v>2412</v>
      </c>
      <c r="DV10" s="883">
        <v>2267</v>
      </c>
      <c r="DW10" s="883">
        <v>2626</v>
      </c>
      <c r="DX10" s="883">
        <v>1382</v>
      </c>
      <c r="DY10" s="883">
        <v>2230</v>
      </c>
      <c r="DZ10" s="873">
        <v>2150</v>
      </c>
      <c r="EA10" s="879">
        <f t="shared" si="42"/>
        <v>19773</v>
      </c>
      <c r="EB10" s="883">
        <v>80</v>
      </c>
      <c r="EC10" s="883">
        <v>1023</v>
      </c>
      <c r="ED10" s="883">
        <v>1037</v>
      </c>
      <c r="EE10" s="883">
        <v>2627</v>
      </c>
      <c r="EF10" s="883">
        <v>2404</v>
      </c>
      <c r="EG10" s="883">
        <v>2264</v>
      </c>
      <c r="EH10" s="883">
        <v>1797</v>
      </c>
      <c r="EI10" s="883">
        <v>2203</v>
      </c>
      <c r="EJ10" s="883">
        <v>2186</v>
      </c>
      <c r="EK10" s="883">
        <v>1921</v>
      </c>
      <c r="EL10" s="883">
        <v>1839</v>
      </c>
      <c r="EM10" s="873">
        <v>1927</v>
      </c>
      <c r="EN10" s="879">
        <f>SUM(EB10:EM10)</f>
        <v>21308</v>
      </c>
      <c r="EO10" s="883">
        <v>78</v>
      </c>
      <c r="EP10" s="883">
        <v>755</v>
      </c>
      <c r="EQ10" s="883">
        <v>1298</v>
      </c>
      <c r="ER10" s="883">
        <v>1949</v>
      </c>
      <c r="ES10" s="883">
        <v>1450</v>
      </c>
      <c r="ET10" s="883">
        <v>1596</v>
      </c>
      <c r="EU10" s="883">
        <v>3242</v>
      </c>
      <c r="EV10" s="973">
        <v>3862</v>
      </c>
      <c r="EW10" s="883"/>
      <c r="EX10" s="883"/>
      <c r="EY10" s="883"/>
      <c r="EZ10" s="873"/>
      <c r="FA10" s="879">
        <f>SUM(EO10:EZ10)</f>
        <v>14230</v>
      </c>
      <c r="FC10" s="843">
        <f t="shared" si="50"/>
        <v>75.306400363141179</v>
      </c>
      <c r="FD10" s="844">
        <f>IFERROR(((FF10/FE10)-1)*100,"")</f>
        <v>5.9173799776702563</v>
      </c>
      <c r="FE10" s="845">
        <f t="shared" si="51"/>
        <v>13435</v>
      </c>
      <c r="FF10" s="846">
        <f t="shared" si="27"/>
        <v>14230</v>
      </c>
      <c r="FH10" s="127"/>
    </row>
    <row r="11" spans="1:164" ht="15" customHeight="1" x14ac:dyDescent="0.25">
      <c r="A11" s="403" t="s">
        <v>373</v>
      </c>
      <c r="B11" s="883">
        <v>2737</v>
      </c>
      <c r="C11" s="883">
        <v>8889</v>
      </c>
      <c r="D11" s="883">
        <v>11154</v>
      </c>
      <c r="E11" s="883">
        <v>10463</v>
      </c>
      <c r="F11" s="883">
        <v>11021</v>
      </c>
      <c r="G11" s="883">
        <v>9505</v>
      </c>
      <c r="H11" s="883">
        <v>10048</v>
      </c>
      <c r="I11" s="883">
        <v>8270</v>
      </c>
      <c r="J11" s="883">
        <v>8590</v>
      </c>
      <c r="K11" s="883">
        <v>9060</v>
      </c>
      <c r="L11" s="883">
        <v>9861</v>
      </c>
      <c r="M11" s="873">
        <v>13018</v>
      </c>
      <c r="N11" s="879">
        <f t="shared" si="29"/>
        <v>112616</v>
      </c>
      <c r="O11" s="883">
        <v>6455</v>
      </c>
      <c r="P11" s="883">
        <v>12167</v>
      </c>
      <c r="Q11" s="883">
        <v>10663</v>
      </c>
      <c r="R11" s="883">
        <v>10444</v>
      </c>
      <c r="S11" s="883">
        <v>11249</v>
      </c>
      <c r="T11" s="883">
        <v>10496</v>
      </c>
      <c r="U11" s="883">
        <v>11454</v>
      </c>
      <c r="V11" s="883">
        <v>10030</v>
      </c>
      <c r="W11" s="883">
        <v>10010</v>
      </c>
      <c r="X11" s="883">
        <v>8910</v>
      </c>
      <c r="Y11" s="883">
        <v>10207</v>
      </c>
      <c r="Z11" s="873">
        <v>12391</v>
      </c>
      <c r="AA11" s="879">
        <f t="shared" si="31"/>
        <v>124476</v>
      </c>
      <c r="AB11" s="883">
        <v>6378</v>
      </c>
      <c r="AC11" s="883">
        <v>8808</v>
      </c>
      <c r="AD11" s="883">
        <v>11479</v>
      </c>
      <c r="AE11" s="883">
        <v>9714</v>
      </c>
      <c r="AF11" s="883">
        <v>12938</v>
      </c>
      <c r="AG11" s="883">
        <v>12925</v>
      </c>
      <c r="AH11" s="883">
        <v>11698</v>
      </c>
      <c r="AI11" s="883">
        <v>11617</v>
      </c>
      <c r="AJ11" s="883">
        <v>8061</v>
      </c>
      <c r="AK11" s="883">
        <v>9578</v>
      </c>
      <c r="AL11" s="883">
        <v>11005</v>
      </c>
      <c r="AM11" s="873">
        <v>15166</v>
      </c>
      <c r="AN11" s="879">
        <f t="shared" si="13"/>
        <v>129367</v>
      </c>
      <c r="AO11" s="883">
        <v>5296</v>
      </c>
      <c r="AP11" s="883">
        <v>9307</v>
      </c>
      <c r="AQ11" s="883">
        <v>11323</v>
      </c>
      <c r="AR11" s="883">
        <v>10947</v>
      </c>
      <c r="AS11" s="883">
        <v>13499</v>
      </c>
      <c r="AT11" s="883">
        <v>11723</v>
      </c>
      <c r="AU11" s="883">
        <v>11110</v>
      </c>
      <c r="AV11" s="883">
        <v>10351</v>
      </c>
      <c r="AW11" s="883">
        <v>8070</v>
      </c>
      <c r="AX11" s="883">
        <v>10658</v>
      </c>
      <c r="AY11" s="883">
        <v>12040</v>
      </c>
      <c r="AZ11" s="873">
        <v>12575</v>
      </c>
      <c r="BA11" s="879">
        <f t="shared" si="15"/>
        <v>126899</v>
      </c>
      <c r="BB11" s="883">
        <v>2176</v>
      </c>
      <c r="BC11" s="883">
        <v>10542</v>
      </c>
      <c r="BD11" s="883">
        <v>12898</v>
      </c>
      <c r="BE11" s="883">
        <v>12793</v>
      </c>
      <c r="BF11" s="883">
        <v>14886</v>
      </c>
      <c r="BG11" s="883">
        <v>13357</v>
      </c>
      <c r="BH11" s="883">
        <v>14839</v>
      </c>
      <c r="BI11" s="883">
        <v>11394</v>
      </c>
      <c r="BJ11" s="883">
        <v>11159</v>
      </c>
      <c r="BK11" s="883">
        <v>10795</v>
      </c>
      <c r="BL11" s="883">
        <v>11626</v>
      </c>
      <c r="BM11" s="873">
        <v>13893</v>
      </c>
      <c r="BN11" s="879">
        <f t="shared" si="17"/>
        <v>140358</v>
      </c>
      <c r="BO11" s="883">
        <v>9410</v>
      </c>
      <c r="BP11" s="883">
        <v>10460</v>
      </c>
      <c r="BQ11" s="883">
        <v>16121</v>
      </c>
      <c r="BR11" s="883">
        <v>10383</v>
      </c>
      <c r="BS11" s="883">
        <v>9518</v>
      </c>
      <c r="BT11" s="883">
        <v>9864</v>
      </c>
      <c r="BU11" s="883">
        <v>20296</v>
      </c>
      <c r="BV11" s="883">
        <v>13767</v>
      </c>
      <c r="BW11" s="883">
        <v>18257</v>
      </c>
      <c r="BX11" s="883">
        <v>24427</v>
      </c>
      <c r="BY11" s="883">
        <v>24923</v>
      </c>
      <c r="BZ11" s="873">
        <v>38587</v>
      </c>
      <c r="CA11" s="879">
        <f t="shared" si="19"/>
        <v>206013</v>
      </c>
      <c r="CB11" s="883">
        <v>6520</v>
      </c>
      <c r="CC11" s="883">
        <v>10143</v>
      </c>
      <c r="CD11" s="883">
        <v>19727</v>
      </c>
      <c r="CE11" s="883">
        <v>16277</v>
      </c>
      <c r="CF11" s="883">
        <v>17823</v>
      </c>
      <c r="CG11" s="883">
        <v>16709</v>
      </c>
      <c r="CH11" s="883">
        <v>15383</v>
      </c>
      <c r="CI11" s="883">
        <v>18346</v>
      </c>
      <c r="CJ11" s="883">
        <v>18880</v>
      </c>
      <c r="CK11" s="883">
        <v>15010</v>
      </c>
      <c r="CL11" s="883">
        <v>19050</v>
      </c>
      <c r="CM11" s="873">
        <v>33388</v>
      </c>
      <c r="CN11" s="879">
        <f t="shared" si="36"/>
        <v>207256</v>
      </c>
      <c r="CO11" s="883">
        <v>7373</v>
      </c>
      <c r="CP11" s="883">
        <v>14059</v>
      </c>
      <c r="CQ11" s="883">
        <v>21343</v>
      </c>
      <c r="CR11" s="883">
        <v>15467</v>
      </c>
      <c r="CS11" s="883">
        <v>19761</v>
      </c>
      <c r="CT11" s="883">
        <v>19581</v>
      </c>
      <c r="CU11" s="883">
        <v>21382</v>
      </c>
      <c r="CV11" s="883">
        <v>20124</v>
      </c>
      <c r="CW11" s="883">
        <v>19063</v>
      </c>
      <c r="CX11" s="883">
        <v>18194</v>
      </c>
      <c r="CY11" s="883">
        <v>18323</v>
      </c>
      <c r="CZ11" s="873">
        <v>27707</v>
      </c>
      <c r="DA11" s="879">
        <f t="shared" si="38"/>
        <v>222377</v>
      </c>
      <c r="DB11" s="883">
        <v>5445</v>
      </c>
      <c r="DC11" s="883">
        <v>15494</v>
      </c>
      <c r="DD11" s="883">
        <v>23982</v>
      </c>
      <c r="DE11" s="883">
        <v>15978</v>
      </c>
      <c r="DF11" s="883">
        <v>21942</v>
      </c>
      <c r="DG11" s="883">
        <v>21961</v>
      </c>
      <c r="DH11" s="883">
        <v>19477</v>
      </c>
      <c r="DI11" s="883">
        <v>18738</v>
      </c>
      <c r="DJ11" s="883">
        <v>18959</v>
      </c>
      <c r="DK11" s="883">
        <v>19693</v>
      </c>
      <c r="DL11" s="883">
        <v>21700</v>
      </c>
      <c r="DM11" s="873">
        <v>29907</v>
      </c>
      <c r="DN11" s="879">
        <f t="shared" si="40"/>
        <v>233276</v>
      </c>
      <c r="DO11" s="883">
        <v>3957</v>
      </c>
      <c r="DP11" s="883">
        <v>15335</v>
      </c>
      <c r="DQ11" s="883">
        <v>18597</v>
      </c>
      <c r="DR11" s="883">
        <v>18952</v>
      </c>
      <c r="DS11" s="883">
        <v>21180</v>
      </c>
      <c r="DT11" s="883">
        <v>18609</v>
      </c>
      <c r="DU11" s="883">
        <v>17314</v>
      </c>
      <c r="DV11" s="883">
        <v>20191</v>
      </c>
      <c r="DW11" s="883">
        <v>17811</v>
      </c>
      <c r="DX11" s="883">
        <v>18698</v>
      </c>
      <c r="DY11" s="883">
        <v>20005</v>
      </c>
      <c r="DZ11" s="873">
        <v>31015</v>
      </c>
      <c r="EA11" s="879">
        <f t="shared" si="42"/>
        <v>221664</v>
      </c>
      <c r="EB11" s="883">
        <v>5764</v>
      </c>
      <c r="EC11" s="883">
        <v>18057</v>
      </c>
      <c r="ED11" s="883">
        <v>17904</v>
      </c>
      <c r="EE11" s="883">
        <v>19524</v>
      </c>
      <c r="EF11" s="883">
        <v>21607</v>
      </c>
      <c r="EG11" s="883">
        <v>18748</v>
      </c>
      <c r="EH11" s="883">
        <v>20233</v>
      </c>
      <c r="EI11" s="883">
        <v>19101</v>
      </c>
      <c r="EJ11" s="883">
        <v>18129</v>
      </c>
      <c r="EK11" s="883">
        <v>18685</v>
      </c>
      <c r="EL11" s="883">
        <v>14443</v>
      </c>
      <c r="EM11" s="873">
        <v>22436</v>
      </c>
      <c r="EN11" s="879">
        <f t="shared" si="44"/>
        <v>214631</v>
      </c>
      <c r="EO11" s="883">
        <v>5858</v>
      </c>
      <c r="EP11" s="883">
        <v>18158</v>
      </c>
      <c r="EQ11" s="883">
        <v>21832</v>
      </c>
      <c r="ER11" s="883">
        <v>18570</v>
      </c>
      <c r="ES11" s="883">
        <v>24064</v>
      </c>
      <c r="ET11" s="883">
        <v>22943</v>
      </c>
      <c r="EU11" s="883">
        <v>22372</v>
      </c>
      <c r="EV11" s="973">
        <v>22020</v>
      </c>
      <c r="EW11" s="883"/>
      <c r="EX11" s="883"/>
      <c r="EY11" s="883"/>
      <c r="EZ11" s="873"/>
      <c r="FA11" s="879">
        <f t="shared" si="49"/>
        <v>155817</v>
      </c>
      <c r="FC11" s="843">
        <f t="shared" si="50"/>
        <v>15.28192241243913</v>
      </c>
      <c r="FD11" s="844">
        <f t="shared" si="52"/>
        <v>10.557124409314733</v>
      </c>
      <c r="FE11" s="845">
        <f t="shared" si="51"/>
        <v>140938</v>
      </c>
      <c r="FF11" s="846">
        <f t="shared" si="27"/>
        <v>155817</v>
      </c>
      <c r="FH11" s="127"/>
    </row>
    <row r="12" spans="1:164" ht="15" customHeight="1" x14ac:dyDescent="0.25">
      <c r="A12" s="403" t="s">
        <v>374</v>
      </c>
      <c r="B12" s="883"/>
      <c r="C12" s="883">
        <v>109</v>
      </c>
      <c r="D12" s="883">
        <v>149</v>
      </c>
      <c r="E12" s="883">
        <v>138</v>
      </c>
      <c r="F12" s="883">
        <v>72</v>
      </c>
      <c r="G12" s="883">
        <v>390</v>
      </c>
      <c r="H12" s="883">
        <v>114</v>
      </c>
      <c r="I12" s="883">
        <v>257</v>
      </c>
      <c r="J12" s="883">
        <v>83</v>
      </c>
      <c r="K12" s="883">
        <v>532</v>
      </c>
      <c r="L12" s="883">
        <v>525</v>
      </c>
      <c r="M12" s="873">
        <v>680</v>
      </c>
      <c r="N12" s="879">
        <f t="shared" si="29"/>
        <v>3049</v>
      </c>
      <c r="O12" s="883">
        <v>25</v>
      </c>
      <c r="P12" s="883">
        <v>67</v>
      </c>
      <c r="Q12" s="883">
        <v>120</v>
      </c>
      <c r="R12" s="883">
        <v>548</v>
      </c>
      <c r="S12" s="883">
        <v>93</v>
      </c>
      <c r="T12" s="883">
        <v>132</v>
      </c>
      <c r="U12" s="883">
        <v>346</v>
      </c>
      <c r="V12" s="883">
        <v>285</v>
      </c>
      <c r="W12" s="883">
        <v>349</v>
      </c>
      <c r="X12" s="883">
        <v>67</v>
      </c>
      <c r="Y12" s="883">
        <v>256</v>
      </c>
      <c r="Z12" s="873">
        <v>524</v>
      </c>
      <c r="AA12" s="879">
        <f t="shared" si="31"/>
        <v>2812</v>
      </c>
      <c r="AB12" s="883"/>
      <c r="AC12" s="883">
        <v>47</v>
      </c>
      <c r="AD12" s="883">
        <v>152</v>
      </c>
      <c r="AE12" s="883">
        <v>452</v>
      </c>
      <c r="AF12" s="883">
        <v>139</v>
      </c>
      <c r="AG12" s="883">
        <v>85</v>
      </c>
      <c r="AH12" s="883">
        <v>17</v>
      </c>
      <c r="AI12" s="883">
        <v>293</v>
      </c>
      <c r="AJ12" s="883">
        <v>245</v>
      </c>
      <c r="AK12" s="883">
        <v>328</v>
      </c>
      <c r="AL12" s="883">
        <v>346</v>
      </c>
      <c r="AM12" s="873">
        <v>2554</v>
      </c>
      <c r="AN12" s="879">
        <f t="shared" si="13"/>
        <v>4658</v>
      </c>
      <c r="AO12" s="883">
        <v>50</v>
      </c>
      <c r="AP12" s="883">
        <v>65</v>
      </c>
      <c r="AQ12" s="883">
        <v>74</v>
      </c>
      <c r="AR12" s="883">
        <v>301</v>
      </c>
      <c r="AS12" s="883">
        <v>267</v>
      </c>
      <c r="AT12" s="883">
        <v>239</v>
      </c>
      <c r="AU12" s="883">
        <v>134</v>
      </c>
      <c r="AV12" s="883">
        <v>75</v>
      </c>
      <c r="AW12" s="883">
        <v>113</v>
      </c>
      <c r="AX12" s="883">
        <v>447</v>
      </c>
      <c r="AY12" s="883">
        <v>642</v>
      </c>
      <c r="AZ12" s="873">
        <v>254</v>
      </c>
      <c r="BA12" s="879">
        <f t="shared" si="15"/>
        <v>2661</v>
      </c>
      <c r="BB12" s="883">
        <v>103</v>
      </c>
      <c r="BC12" s="883">
        <v>185</v>
      </c>
      <c r="BD12" s="883">
        <v>195</v>
      </c>
      <c r="BE12" s="883">
        <v>162</v>
      </c>
      <c r="BF12" s="883">
        <v>128</v>
      </c>
      <c r="BG12" s="883">
        <v>47</v>
      </c>
      <c r="BH12" s="883">
        <v>543</v>
      </c>
      <c r="BI12" s="883">
        <v>497</v>
      </c>
      <c r="BJ12" s="883">
        <v>310</v>
      </c>
      <c r="BK12" s="883">
        <v>138</v>
      </c>
      <c r="BL12" s="883">
        <v>279</v>
      </c>
      <c r="BM12" s="873">
        <v>880</v>
      </c>
      <c r="BN12" s="879">
        <f t="shared" si="17"/>
        <v>3467</v>
      </c>
      <c r="BO12" s="883">
        <v>129</v>
      </c>
      <c r="BP12" s="883">
        <v>176</v>
      </c>
      <c r="BQ12" s="883">
        <v>105</v>
      </c>
      <c r="BR12" s="883">
        <v>206</v>
      </c>
      <c r="BS12" s="883">
        <v>108</v>
      </c>
      <c r="BT12" s="883">
        <v>74</v>
      </c>
      <c r="BU12" s="883">
        <v>600</v>
      </c>
      <c r="BV12" s="883">
        <v>223</v>
      </c>
      <c r="BW12" s="883">
        <v>222</v>
      </c>
      <c r="BX12" s="883">
        <v>248</v>
      </c>
      <c r="BY12" s="883">
        <v>112</v>
      </c>
      <c r="BZ12" s="873">
        <v>189</v>
      </c>
      <c r="CA12" s="879">
        <f t="shared" si="19"/>
        <v>2392</v>
      </c>
      <c r="CB12" s="883">
        <v>134</v>
      </c>
      <c r="CC12" s="883">
        <v>84</v>
      </c>
      <c r="CD12" s="883">
        <v>169</v>
      </c>
      <c r="CE12" s="883">
        <v>266</v>
      </c>
      <c r="CF12" s="883">
        <v>495</v>
      </c>
      <c r="CG12" s="883">
        <v>144</v>
      </c>
      <c r="CH12" s="883">
        <v>95</v>
      </c>
      <c r="CI12" s="883">
        <v>200</v>
      </c>
      <c r="CJ12" s="883">
        <v>167</v>
      </c>
      <c r="CK12" s="883">
        <v>142</v>
      </c>
      <c r="CL12" s="883">
        <v>201</v>
      </c>
      <c r="CM12" s="873">
        <v>212</v>
      </c>
      <c r="CN12" s="879">
        <f t="shared" si="36"/>
        <v>2309</v>
      </c>
      <c r="CO12" s="883">
        <v>65</v>
      </c>
      <c r="CP12" s="883">
        <v>313</v>
      </c>
      <c r="CQ12" s="883">
        <v>635</v>
      </c>
      <c r="CR12" s="883">
        <v>182</v>
      </c>
      <c r="CS12" s="883">
        <v>204</v>
      </c>
      <c r="CT12" s="883">
        <v>192</v>
      </c>
      <c r="CU12" s="883">
        <v>228</v>
      </c>
      <c r="CV12" s="883">
        <v>157</v>
      </c>
      <c r="CW12" s="883">
        <v>349</v>
      </c>
      <c r="CX12" s="883">
        <v>304</v>
      </c>
      <c r="CY12" s="883">
        <v>280</v>
      </c>
      <c r="CZ12" s="873">
        <v>420</v>
      </c>
      <c r="DA12" s="879">
        <f t="shared" si="38"/>
        <v>3329</v>
      </c>
      <c r="DB12" s="883">
        <v>323</v>
      </c>
      <c r="DC12" s="883">
        <v>274</v>
      </c>
      <c r="DD12" s="883">
        <v>317</v>
      </c>
      <c r="DE12" s="883">
        <v>360</v>
      </c>
      <c r="DF12" s="883">
        <v>294</v>
      </c>
      <c r="DG12" s="883">
        <v>178</v>
      </c>
      <c r="DH12" s="883">
        <v>244</v>
      </c>
      <c r="DI12" s="883">
        <v>460</v>
      </c>
      <c r="DJ12" s="883">
        <v>570</v>
      </c>
      <c r="DK12" s="883">
        <v>490</v>
      </c>
      <c r="DL12" s="883">
        <v>683</v>
      </c>
      <c r="DM12" s="873">
        <v>1342</v>
      </c>
      <c r="DN12" s="879">
        <f t="shared" si="40"/>
        <v>5535</v>
      </c>
      <c r="DO12" s="883">
        <v>45</v>
      </c>
      <c r="DP12" s="883">
        <v>330</v>
      </c>
      <c r="DQ12" s="883">
        <v>543</v>
      </c>
      <c r="DR12" s="883">
        <v>240</v>
      </c>
      <c r="DS12" s="883">
        <v>377</v>
      </c>
      <c r="DT12" s="883">
        <v>230</v>
      </c>
      <c r="DU12" s="883">
        <v>270</v>
      </c>
      <c r="DV12" s="883">
        <v>266</v>
      </c>
      <c r="DW12" s="883">
        <v>364</v>
      </c>
      <c r="DX12" s="883">
        <v>279</v>
      </c>
      <c r="DY12" s="883">
        <v>470</v>
      </c>
      <c r="DZ12" s="873">
        <v>559</v>
      </c>
      <c r="EA12" s="879">
        <f t="shared" si="42"/>
        <v>3973</v>
      </c>
      <c r="EB12" s="883">
        <v>94</v>
      </c>
      <c r="EC12" s="883">
        <v>229</v>
      </c>
      <c r="ED12" s="883">
        <v>571</v>
      </c>
      <c r="EE12" s="883">
        <v>259</v>
      </c>
      <c r="EF12" s="883">
        <v>277</v>
      </c>
      <c r="EG12" s="883">
        <v>381</v>
      </c>
      <c r="EH12" s="883">
        <v>392</v>
      </c>
      <c r="EI12" s="883">
        <v>444</v>
      </c>
      <c r="EJ12" s="883">
        <v>333</v>
      </c>
      <c r="EK12" s="883">
        <v>403</v>
      </c>
      <c r="EL12" s="883">
        <v>696</v>
      </c>
      <c r="EM12" s="873">
        <v>513</v>
      </c>
      <c r="EN12" s="879">
        <f t="shared" si="44"/>
        <v>4592</v>
      </c>
      <c r="EO12" s="883">
        <v>285</v>
      </c>
      <c r="EP12" s="883">
        <v>216</v>
      </c>
      <c r="EQ12" s="883">
        <v>254</v>
      </c>
      <c r="ER12" s="883">
        <v>750</v>
      </c>
      <c r="ES12" s="883">
        <v>240</v>
      </c>
      <c r="ET12" s="883">
        <v>291</v>
      </c>
      <c r="EU12" s="883">
        <v>236</v>
      </c>
      <c r="EV12" s="973">
        <v>305</v>
      </c>
      <c r="EW12" s="883"/>
      <c r="EX12" s="883"/>
      <c r="EY12" s="883"/>
      <c r="EZ12" s="873"/>
      <c r="FA12" s="879">
        <f t="shared" si="49"/>
        <v>2577</v>
      </c>
      <c r="FC12" s="843">
        <f t="shared" si="50"/>
        <v>-31.306306306306308</v>
      </c>
      <c r="FD12" s="844">
        <f t="shared" si="52"/>
        <v>-2.6445032111824696</v>
      </c>
      <c r="FE12" s="845">
        <f t="shared" si="51"/>
        <v>2647</v>
      </c>
      <c r="FF12" s="846">
        <f t="shared" si="27"/>
        <v>2577</v>
      </c>
      <c r="FH12" s="127"/>
    </row>
    <row r="13" spans="1:164" ht="15" customHeight="1" x14ac:dyDescent="0.25">
      <c r="A13" s="403" t="s">
        <v>286</v>
      </c>
      <c r="B13" s="883">
        <v>51</v>
      </c>
      <c r="C13" s="883">
        <v>105</v>
      </c>
      <c r="D13" s="883">
        <v>57</v>
      </c>
      <c r="E13" s="883">
        <v>157</v>
      </c>
      <c r="F13" s="883">
        <v>93</v>
      </c>
      <c r="G13" s="883">
        <v>46</v>
      </c>
      <c r="H13" s="883">
        <v>119</v>
      </c>
      <c r="I13" s="883">
        <v>170</v>
      </c>
      <c r="J13" s="883">
        <v>46</v>
      </c>
      <c r="K13" s="883">
        <v>161</v>
      </c>
      <c r="L13" s="883">
        <v>33</v>
      </c>
      <c r="M13" s="873">
        <v>107</v>
      </c>
      <c r="N13" s="879">
        <f t="shared" si="29"/>
        <v>1145</v>
      </c>
      <c r="O13" s="883">
        <v>54</v>
      </c>
      <c r="P13" s="883">
        <v>149</v>
      </c>
      <c r="Q13" s="883">
        <v>69</v>
      </c>
      <c r="R13" s="883">
        <v>168</v>
      </c>
      <c r="S13" s="883">
        <v>177</v>
      </c>
      <c r="T13" s="883">
        <v>59</v>
      </c>
      <c r="U13" s="883">
        <v>115</v>
      </c>
      <c r="V13" s="883">
        <v>104</v>
      </c>
      <c r="W13" s="883">
        <v>349</v>
      </c>
      <c r="X13" s="883">
        <v>55</v>
      </c>
      <c r="Y13" s="883">
        <v>56</v>
      </c>
      <c r="Z13" s="873">
        <v>116</v>
      </c>
      <c r="AA13" s="879">
        <f t="shared" si="31"/>
        <v>1471</v>
      </c>
      <c r="AB13" s="883">
        <v>48</v>
      </c>
      <c r="AC13" s="883">
        <v>32</v>
      </c>
      <c r="AD13" s="883">
        <v>360</v>
      </c>
      <c r="AE13" s="883">
        <v>185</v>
      </c>
      <c r="AF13" s="883">
        <v>83</v>
      </c>
      <c r="AG13" s="883">
        <v>233</v>
      </c>
      <c r="AH13" s="883">
        <v>60</v>
      </c>
      <c r="AI13" s="883">
        <v>72</v>
      </c>
      <c r="AJ13" s="883">
        <v>63</v>
      </c>
      <c r="AK13" s="883">
        <v>59</v>
      </c>
      <c r="AL13" s="883">
        <v>124</v>
      </c>
      <c r="AM13" s="873">
        <v>91</v>
      </c>
      <c r="AN13" s="879">
        <f t="shared" si="13"/>
        <v>1410</v>
      </c>
      <c r="AO13" s="883">
        <v>27</v>
      </c>
      <c r="AP13" s="883">
        <v>152</v>
      </c>
      <c r="AQ13" s="883">
        <v>182</v>
      </c>
      <c r="AR13" s="883">
        <v>376</v>
      </c>
      <c r="AS13" s="883">
        <v>55</v>
      </c>
      <c r="AT13" s="883">
        <v>202</v>
      </c>
      <c r="AU13" s="883">
        <v>71</v>
      </c>
      <c r="AV13" s="883">
        <v>80</v>
      </c>
      <c r="AW13" s="883">
        <v>51</v>
      </c>
      <c r="AX13" s="883">
        <v>68</v>
      </c>
      <c r="AY13" s="883">
        <v>155</v>
      </c>
      <c r="AZ13" s="873">
        <v>60</v>
      </c>
      <c r="BA13" s="879">
        <f t="shared" si="15"/>
        <v>1479</v>
      </c>
      <c r="BB13" s="883">
        <v>2</v>
      </c>
      <c r="BC13" s="883">
        <v>17</v>
      </c>
      <c r="BD13" s="883">
        <v>100</v>
      </c>
      <c r="BE13" s="883">
        <v>160</v>
      </c>
      <c r="BF13" s="883">
        <v>51</v>
      </c>
      <c r="BG13" s="883">
        <v>47</v>
      </c>
      <c r="BH13" s="883">
        <v>147</v>
      </c>
      <c r="BI13" s="883">
        <v>99</v>
      </c>
      <c r="BJ13" s="883">
        <v>109</v>
      </c>
      <c r="BK13" s="883">
        <v>111</v>
      </c>
      <c r="BL13" s="883">
        <v>192</v>
      </c>
      <c r="BM13" s="873">
        <v>342</v>
      </c>
      <c r="BN13" s="879">
        <f t="shared" si="17"/>
        <v>1377</v>
      </c>
      <c r="BO13" s="883">
        <v>73</v>
      </c>
      <c r="BP13" s="883">
        <v>2</v>
      </c>
      <c r="BQ13" s="883">
        <v>171</v>
      </c>
      <c r="BR13" s="883">
        <v>60</v>
      </c>
      <c r="BS13" s="883">
        <v>58</v>
      </c>
      <c r="BT13" s="883">
        <v>108</v>
      </c>
      <c r="BU13" s="883">
        <v>5</v>
      </c>
      <c r="BV13" s="883">
        <v>263</v>
      </c>
      <c r="BW13" s="883">
        <v>145</v>
      </c>
      <c r="BX13" s="883">
        <v>212</v>
      </c>
      <c r="BY13" s="883">
        <v>130</v>
      </c>
      <c r="BZ13" s="873">
        <v>450</v>
      </c>
      <c r="CA13" s="879">
        <f t="shared" si="19"/>
        <v>1677</v>
      </c>
      <c r="CB13" s="883">
        <v>3</v>
      </c>
      <c r="CC13" s="883">
        <v>36</v>
      </c>
      <c r="CD13" s="883">
        <v>76</v>
      </c>
      <c r="CE13" s="883">
        <v>76</v>
      </c>
      <c r="CF13" s="883">
        <v>128</v>
      </c>
      <c r="CG13" s="883">
        <v>99</v>
      </c>
      <c r="CH13" s="883">
        <v>106</v>
      </c>
      <c r="CI13" s="883">
        <v>109</v>
      </c>
      <c r="CJ13" s="883">
        <v>233</v>
      </c>
      <c r="CK13" s="883">
        <v>346</v>
      </c>
      <c r="CL13" s="883">
        <v>100</v>
      </c>
      <c r="CM13" s="873">
        <v>195</v>
      </c>
      <c r="CN13" s="879">
        <f t="shared" si="36"/>
        <v>1507</v>
      </c>
      <c r="CO13" s="883">
        <v>114</v>
      </c>
      <c r="CP13" s="883">
        <v>215</v>
      </c>
      <c r="CQ13" s="883">
        <v>254</v>
      </c>
      <c r="CR13" s="883">
        <v>144</v>
      </c>
      <c r="CS13" s="883">
        <v>650</v>
      </c>
      <c r="CT13" s="883">
        <v>158</v>
      </c>
      <c r="CU13" s="883">
        <v>106</v>
      </c>
      <c r="CV13" s="883">
        <v>176</v>
      </c>
      <c r="CW13" s="883">
        <v>140</v>
      </c>
      <c r="CX13" s="883">
        <v>196</v>
      </c>
      <c r="CY13" s="883">
        <v>300</v>
      </c>
      <c r="CZ13" s="873">
        <v>13</v>
      </c>
      <c r="DA13" s="879">
        <f t="shared" si="38"/>
        <v>2466</v>
      </c>
      <c r="DB13" s="883">
        <v>3</v>
      </c>
      <c r="DC13" s="883">
        <v>12</v>
      </c>
      <c r="DD13" s="883">
        <v>102</v>
      </c>
      <c r="DE13" s="883">
        <v>238</v>
      </c>
      <c r="DF13" s="883">
        <v>360</v>
      </c>
      <c r="DG13" s="883">
        <v>153</v>
      </c>
      <c r="DH13" s="883">
        <v>449</v>
      </c>
      <c r="DI13" s="883">
        <v>78</v>
      </c>
      <c r="DJ13" s="883">
        <v>180</v>
      </c>
      <c r="DK13" s="883">
        <v>191</v>
      </c>
      <c r="DL13" s="883">
        <v>199</v>
      </c>
      <c r="DM13" s="873">
        <v>-39</v>
      </c>
      <c r="DN13" s="879">
        <f t="shared" si="40"/>
        <v>1926</v>
      </c>
      <c r="DO13" s="883">
        <v>35</v>
      </c>
      <c r="DP13" s="883">
        <v>70</v>
      </c>
      <c r="DQ13" s="883">
        <v>5</v>
      </c>
      <c r="DR13" s="883">
        <v>106</v>
      </c>
      <c r="DS13" s="883">
        <v>150</v>
      </c>
      <c r="DT13" s="883">
        <v>92</v>
      </c>
      <c r="DU13" s="883">
        <v>88</v>
      </c>
      <c r="DV13" s="883">
        <v>75</v>
      </c>
      <c r="DW13" s="883">
        <v>77</v>
      </c>
      <c r="DX13" s="883">
        <v>414</v>
      </c>
      <c r="DY13" s="883">
        <v>182</v>
      </c>
      <c r="DZ13" s="873">
        <v>72</v>
      </c>
      <c r="EA13" s="879">
        <f t="shared" si="42"/>
        <v>1366</v>
      </c>
      <c r="EB13" s="883">
        <v>9</v>
      </c>
      <c r="EC13" s="883">
        <v>2</v>
      </c>
      <c r="ED13" s="883">
        <v>60</v>
      </c>
      <c r="EE13" s="883">
        <v>270</v>
      </c>
      <c r="EF13" s="883">
        <v>379</v>
      </c>
      <c r="EG13" s="883">
        <v>225</v>
      </c>
      <c r="EH13" s="883">
        <v>210</v>
      </c>
      <c r="EI13" s="883">
        <v>207</v>
      </c>
      <c r="EJ13" s="883">
        <v>31</v>
      </c>
      <c r="EK13" s="883">
        <v>536</v>
      </c>
      <c r="EL13" s="883">
        <v>206</v>
      </c>
      <c r="EM13" s="873">
        <v>229</v>
      </c>
      <c r="EN13" s="879">
        <f>SUM(EB13:EM13)</f>
        <v>2364</v>
      </c>
      <c r="EO13" s="883">
        <v>66</v>
      </c>
      <c r="EP13" s="883">
        <v>45</v>
      </c>
      <c r="EQ13" s="883">
        <v>86</v>
      </c>
      <c r="ER13" s="883">
        <v>387</v>
      </c>
      <c r="ES13" s="883">
        <v>202</v>
      </c>
      <c r="ET13" s="883">
        <v>139</v>
      </c>
      <c r="EU13" s="883">
        <v>655</v>
      </c>
      <c r="EV13" s="973">
        <v>166</v>
      </c>
      <c r="EW13" s="883"/>
      <c r="EX13" s="883"/>
      <c r="EY13" s="883"/>
      <c r="EZ13" s="873"/>
      <c r="FA13" s="879">
        <f t="shared" si="49"/>
        <v>1746</v>
      </c>
      <c r="FC13" s="843">
        <f t="shared" si="50"/>
        <v>-19.806763285024154</v>
      </c>
      <c r="FD13" s="844">
        <f t="shared" si="52"/>
        <v>28.193832599118942</v>
      </c>
      <c r="FE13" s="845">
        <f t="shared" si="51"/>
        <v>1362</v>
      </c>
      <c r="FF13" s="846">
        <f t="shared" si="27"/>
        <v>1746</v>
      </c>
      <c r="FH13" s="127"/>
    </row>
    <row r="14" spans="1:164" ht="15" customHeight="1" x14ac:dyDescent="0.25">
      <c r="A14" s="401" t="s">
        <v>375</v>
      </c>
      <c r="B14" s="885">
        <f t="shared" ref="B14:M14" si="53">SUM(B15:B18)</f>
        <v>815</v>
      </c>
      <c r="C14" s="885">
        <f t="shared" si="53"/>
        <v>9298</v>
      </c>
      <c r="D14" s="885">
        <f t="shared" si="53"/>
        <v>13995</v>
      </c>
      <c r="E14" s="885">
        <f t="shared" si="53"/>
        <v>11747</v>
      </c>
      <c r="F14" s="885">
        <f t="shared" si="53"/>
        <v>10829</v>
      </c>
      <c r="G14" s="885">
        <f t="shared" si="53"/>
        <v>14046</v>
      </c>
      <c r="H14" s="885">
        <f t="shared" si="53"/>
        <v>30851</v>
      </c>
      <c r="I14" s="885">
        <f t="shared" si="53"/>
        <v>2919</v>
      </c>
      <c r="J14" s="885">
        <f t="shared" si="53"/>
        <v>13280</v>
      </c>
      <c r="K14" s="885">
        <f t="shared" si="53"/>
        <v>11880</v>
      </c>
      <c r="L14" s="885">
        <f t="shared" si="53"/>
        <v>20443</v>
      </c>
      <c r="M14" s="877">
        <f t="shared" si="53"/>
        <v>41196</v>
      </c>
      <c r="N14" s="878">
        <f t="shared" si="29"/>
        <v>181299</v>
      </c>
      <c r="O14" s="885">
        <f>SUM(O15:O18)</f>
        <v>3648</v>
      </c>
      <c r="P14" s="885">
        <f t="shared" ref="P14:AM14" si="54">SUM(P15:P18)</f>
        <v>9874</v>
      </c>
      <c r="Q14" s="885">
        <f t="shared" si="54"/>
        <v>10542</v>
      </c>
      <c r="R14" s="885">
        <f t="shared" si="54"/>
        <v>11199</v>
      </c>
      <c r="S14" s="885">
        <f t="shared" si="54"/>
        <v>12328</v>
      </c>
      <c r="T14" s="885">
        <f t="shared" si="54"/>
        <v>12071</v>
      </c>
      <c r="U14" s="885">
        <f t="shared" si="54"/>
        <v>14663</v>
      </c>
      <c r="V14" s="885">
        <f t="shared" si="54"/>
        <v>18828</v>
      </c>
      <c r="W14" s="885">
        <f t="shared" si="54"/>
        <v>16126</v>
      </c>
      <c r="X14" s="885">
        <f t="shared" si="54"/>
        <v>14274</v>
      </c>
      <c r="Y14" s="885">
        <f t="shared" si="54"/>
        <v>28919</v>
      </c>
      <c r="Z14" s="877">
        <f t="shared" si="54"/>
        <v>45946</v>
      </c>
      <c r="AA14" s="878">
        <f t="shared" si="31"/>
        <v>198418</v>
      </c>
      <c r="AB14" s="885">
        <f t="shared" si="54"/>
        <v>1618</v>
      </c>
      <c r="AC14" s="885">
        <f t="shared" si="54"/>
        <v>7228</v>
      </c>
      <c r="AD14" s="885">
        <f t="shared" si="54"/>
        <v>17376</v>
      </c>
      <c r="AE14" s="885">
        <f t="shared" si="54"/>
        <v>10638</v>
      </c>
      <c r="AF14" s="885">
        <f t="shared" si="54"/>
        <v>11492</v>
      </c>
      <c r="AG14" s="885">
        <f t="shared" si="54"/>
        <v>17134</v>
      </c>
      <c r="AH14" s="885">
        <f t="shared" si="54"/>
        <v>24722</v>
      </c>
      <c r="AI14" s="885">
        <f t="shared" si="54"/>
        <v>19168</v>
      </c>
      <c r="AJ14" s="885">
        <f t="shared" si="54"/>
        <v>18254</v>
      </c>
      <c r="AK14" s="885">
        <f t="shared" si="54"/>
        <v>17897</v>
      </c>
      <c r="AL14" s="885">
        <f t="shared" si="54"/>
        <v>20644</v>
      </c>
      <c r="AM14" s="877">
        <f t="shared" si="54"/>
        <v>36459</v>
      </c>
      <c r="AN14" s="878">
        <f t="shared" ref="AN14:AN21" si="55">SUM(AB14:AM14)</f>
        <v>202630</v>
      </c>
      <c r="AO14" s="885">
        <f t="shared" ref="AO14:AZ14" si="56">SUM(AO15:AO18)</f>
        <v>2992</v>
      </c>
      <c r="AP14" s="885">
        <f t="shared" si="56"/>
        <v>7118</v>
      </c>
      <c r="AQ14" s="885">
        <f t="shared" si="56"/>
        <v>17478</v>
      </c>
      <c r="AR14" s="885">
        <f t="shared" si="56"/>
        <v>7131</v>
      </c>
      <c r="AS14" s="885">
        <f t="shared" si="56"/>
        <v>16623</v>
      </c>
      <c r="AT14" s="885">
        <f t="shared" si="56"/>
        <v>15593</v>
      </c>
      <c r="AU14" s="885">
        <f t="shared" si="56"/>
        <v>29070</v>
      </c>
      <c r="AV14" s="885">
        <f t="shared" si="56"/>
        <v>22350</v>
      </c>
      <c r="AW14" s="885">
        <f t="shared" si="56"/>
        <v>25508</v>
      </c>
      <c r="AX14" s="885">
        <f t="shared" si="56"/>
        <v>17778</v>
      </c>
      <c r="AY14" s="885">
        <f t="shared" si="56"/>
        <v>21610</v>
      </c>
      <c r="AZ14" s="877">
        <f t="shared" si="56"/>
        <v>33783</v>
      </c>
      <c r="BA14" s="878">
        <f t="shared" ref="BA14:BA21" si="57">SUM(AO14:AZ14)</f>
        <v>217034</v>
      </c>
      <c r="BB14" s="885">
        <f t="shared" ref="BB14:BM14" si="58">SUM(BB15:BB18)</f>
        <v>1653</v>
      </c>
      <c r="BC14" s="885">
        <f t="shared" si="58"/>
        <v>5726</v>
      </c>
      <c r="BD14" s="885">
        <f t="shared" si="58"/>
        <v>17832</v>
      </c>
      <c r="BE14" s="885">
        <f t="shared" si="58"/>
        <v>28532</v>
      </c>
      <c r="BF14" s="885">
        <f t="shared" si="58"/>
        <v>4519</v>
      </c>
      <c r="BG14" s="885">
        <f t="shared" si="58"/>
        <v>29139</v>
      </c>
      <c r="BH14" s="885">
        <f t="shared" si="58"/>
        <v>16394</v>
      </c>
      <c r="BI14" s="885">
        <f t="shared" si="58"/>
        <v>30351</v>
      </c>
      <c r="BJ14" s="885">
        <f t="shared" si="58"/>
        <v>29002</v>
      </c>
      <c r="BK14" s="885">
        <f t="shared" si="58"/>
        <v>16909</v>
      </c>
      <c r="BL14" s="885">
        <f t="shared" si="58"/>
        <v>20382</v>
      </c>
      <c r="BM14" s="877">
        <f t="shared" si="58"/>
        <v>35032</v>
      </c>
      <c r="BN14" s="878">
        <f t="shared" ref="BN14:BN21" si="59">SUM(BB14:BM14)</f>
        <v>235471</v>
      </c>
      <c r="BO14" s="885">
        <f t="shared" ref="BO14:BZ14" si="60">SUM(BO15:BO18)</f>
        <v>2957</v>
      </c>
      <c r="BP14" s="885">
        <f t="shared" si="60"/>
        <v>9299</v>
      </c>
      <c r="BQ14" s="885">
        <f t="shared" si="60"/>
        <v>8154</v>
      </c>
      <c r="BR14" s="885">
        <f t="shared" si="60"/>
        <v>4797</v>
      </c>
      <c r="BS14" s="885">
        <f t="shared" si="60"/>
        <v>2583</v>
      </c>
      <c r="BT14" s="885">
        <f t="shared" si="60"/>
        <v>2861</v>
      </c>
      <c r="BU14" s="885">
        <f t="shared" si="60"/>
        <v>13610</v>
      </c>
      <c r="BV14" s="885">
        <f t="shared" si="60"/>
        <v>7969</v>
      </c>
      <c r="BW14" s="885">
        <f t="shared" si="60"/>
        <v>15425</v>
      </c>
      <c r="BX14" s="885">
        <f t="shared" si="60"/>
        <v>19679</v>
      </c>
      <c r="BY14" s="885">
        <f t="shared" si="60"/>
        <v>23733</v>
      </c>
      <c r="BZ14" s="877">
        <f t="shared" si="60"/>
        <v>46292</v>
      </c>
      <c r="CA14" s="878">
        <f t="shared" ref="CA14:CA21" si="61">SUM(BO14:BZ14)</f>
        <v>157359</v>
      </c>
      <c r="CB14" s="885">
        <f t="shared" ref="CB14:CM14" si="62">SUM(CB15:CB18)</f>
        <v>2728</v>
      </c>
      <c r="CC14" s="885">
        <f t="shared" si="62"/>
        <v>8879</v>
      </c>
      <c r="CD14" s="885">
        <f t="shared" si="62"/>
        <v>21628</v>
      </c>
      <c r="CE14" s="885">
        <f t="shared" si="62"/>
        <v>5975</v>
      </c>
      <c r="CF14" s="885">
        <f t="shared" si="62"/>
        <v>10127</v>
      </c>
      <c r="CG14" s="885">
        <f t="shared" si="62"/>
        <v>12791</v>
      </c>
      <c r="CH14" s="885">
        <f t="shared" si="62"/>
        <v>14285</v>
      </c>
      <c r="CI14" s="885">
        <f t="shared" si="62"/>
        <v>15245</v>
      </c>
      <c r="CJ14" s="885">
        <f t="shared" si="62"/>
        <v>15546</v>
      </c>
      <c r="CK14" s="885">
        <f t="shared" si="62"/>
        <v>19240</v>
      </c>
      <c r="CL14" s="885">
        <f t="shared" si="62"/>
        <v>15373</v>
      </c>
      <c r="CM14" s="877">
        <f t="shared" si="62"/>
        <v>38932</v>
      </c>
      <c r="CN14" s="878">
        <f t="shared" si="36"/>
        <v>180749</v>
      </c>
      <c r="CO14" s="885">
        <f t="shared" ref="CO14:CZ14" si="63">SUM(CO15:CO18)</f>
        <v>3429</v>
      </c>
      <c r="CP14" s="885">
        <f t="shared" si="63"/>
        <v>12460</v>
      </c>
      <c r="CQ14" s="885">
        <f t="shared" si="63"/>
        <v>18028</v>
      </c>
      <c r="CR14" s="885">
        <f t="shared" si="63"/>
        <v>12986</v>
      </c>
      <c r="CS14" s="885">
        <f t="shared" si="63"/>
        <v>15107</v>
      </c>
      <c r="CT14" s="885">
        <f t="shared" si="63"/>
        <v>22006</v>
      </c>
      <c r="CU14" s="885">
        <f t="shared" si="63"/>
        <v>24386</v>
      </c>
      <c r="CV14" s="885">
        <f t="shared" si="63"/>
        <v>26879</v>
      </c>
      <c r="CW14" s="885">
        <f t="shared" si="63"/>
        <v>32871</v>
      </c>
      <c r="CX14" s="885">
        <f t="shared" si="63"/>
        <v>30900</v>
      </c>
      <c r="CY14" s="885">
        <f t="shared" si="63"/>
        <v>34751</v>
      </c>
      <c r="CZ14" s="877">
        <f t="shared" si="63"/>
        <v>54794</v>
      </c>
      <c r="DA14" s="878">
        <f t="shared" si="38"/>
        <v>288597</v>
      </c>
      <c r="DB14" s="885">
        <f t="shared" ref="DB14:DM14" si="64">SUM(DB15:DB18)</f>
        <v>577</v>
      </c>
      <c r="DC14" s="885">
        <f t="shared" si="64"/>
        <v>7137</v>
      </c>
      <c r="DD14" s="885">
        <f t="shared" si="64"/>
        <v>13416</v>
      </c>
      <c r="DE14" s="885">
        <f t="shared" si="64"/>
        <v>14173</v>
      </c>
      <c r="DF14" s="885">
        <f t="shared" si="64"/>
        <v>12817</v>
      </c>
      <c r="DG14" s="885">
        <f t="shared" si="64"/>
        <v>13823</v>
      </c>
      <c r="DH14" s="885">
        <f t="shared" si="64"/>
        <v>17738</v>
      </c>
      <c r="DI14" s="885">
        <f t="shared" si="64"/>
        <v>25097</v>
      </c>
      <c r="DJ14" s="885">
        <f t="shared" si="64"/>
        <v>23945</v>
      </c>
      <c r="DK14" s="885">
        <f t="shared" si="64"/>
        <v>31207</v>
      </c>
      <c r="DL14" s="885">
        <f t="shared" si="64"/>
        <v>29762</v>
      </c>
      <c r="DM14" s="877">
        <f t="shared" si="64"/>
        <v>58225</v>
      </c>
      <c r="DN14" s="878">
        <f t="shared" si="40"/>
        <v>247917</v>
      </c>
      <c r="DO14" s="885">
        <f t="shared" ref="DO14:DZ14" si="65">SUM(DO15:DO18)</f>
        <v>2118</v>
      </c>
      <c r="DP14" s="885">
        <f t="shared" si="65"/>
        <v>11624</v>
      </c>
      <c r="DQ14" s="885">
        <f t="shared" si="65"/>
        <v>31411</v>
      </c>
      <c r="DR14" s="885">
        <f t="shared" si="65"/>
        <v>19261</v>
      </c>
      <c r="DS14" s="885">
        <f t="shared" si="65"/>
        <v>21160</v>
      </c>
      <c r="DT14" s="885">
        <f t="shared" si="65"/>
        <v>18649</v>
      </c>
      <c r="DU14" s="885">
        <f t="shared" si="65"/>
        <v>22575</v>
      </c>
      <c r="DV14" s="885">
        <f t="shared" si="65"/>
        <v>20230</v>
      </c>
      <c r="DW14" s="885">
        <f t="shared" si="65"/>
        <v>17651</v>
      </c>
      <c r="DX14" s="885">
        <f t="shared" si="65"/>
        <v>19853</v>
      </c>
      <c r="DY14" s="885">
        <f t="shared" si="65"/>
        <v>22995</v>
      </c>
      <c r="DZ14" s="877">
        <f t="shared" si="65"/>
        <v>49032</v>
      </c>
      <c r="EA14" s="878">
        <f t="shared" si="42"/>
        <v>256559</v>
      </c>
      <c r="EB14" s="885">
        <f t="shared" ref="EB14:EM14" si="66">SUM(EB15:EB18)</f>
        <v>1372</v>
      </c>
      <c r="EC14" s="885">
        <f t="shared" si="66"/>
        <v>8295</v>
      </c>
      <c r="ED14" s="885">
        <f t="shared" si="66"/>
        <v>11353</v>
      </c>
      <c r="EE14" s="885">
        <f t="shared" si="66"/>
        <v>18788</v>
      </c>
      <c r="EF14" s="885">
        <f t="shared" si="66"/>
        <v>20004</v>
      </c>
      <c r="EG14" s="885">
        <f t="shared" si="66"/>
        <v>17814</v>
      </c>
      <c r="EH14" s="885">
        <f t="shared" si="66"/>
        <v>21223</v>
      </c>
      <c r="EI14" s="885">
        <f t="shared" si="66"/>
        <v>23196</v>
      </c>
      <c r="EJ14" s="885">
        <f t="shared" si="66"/>
        <v>18642</v>
      </c>
      <c r="EK14" s="885">
        <f t="shared" si="66"/>
        <v>34871</v>
      </c>
      <c r="EL14" s="885">
        <f t="shared" si="66"/>
        <v>31080</v>
      </c>
      <c r="EM14" s="877">
        <f t="shared" si="66"/>
        <v>47901</v>
      </c>
      <c r="EN14" s="878">
        <f t="shared" si="44"/>
        <v>254539</v>
      </c>
      <c r="EO14" s="885">
        <f t="shared" ref="EO14:ET14" si="67">SUM(EO15:EO18)</f>
        <v>1194</v>
      </c>
      <c r="EP14" s="885">
        <f t="shared" si="67"/>
        <v>19630</v>
      </c>
      <c r="EQ14" s="885">
        <f t="shared" si="67"/>
        <v>19701</v>
      </c>
      <c r="ER14" s="885">
        <f t="shared" si="67"/>
        <v>40574</v>
      </c>
      <c r="ES14" s="885">
        <f t="shared" si="67"/>
        <v>17009</v>
      </c>
      <c r="ET14" s="885">
        <f t="shared" si="67"/>
        <v>22749</v>
      </c>
      <c r="EU14" s="885">
        <v>27569</v>
      </c>
      <c r="EV14" s="972">
        <f t="shared" ref="EV14" si="68">SUM(EV15:EV18)</f>
        <v>26871</v>
      </c>
      <c r="EW14" s="885"/>
      <c r="EX14" s="885"/>
      <c r="EY14" s="885"/>
      <c r="EZ14" s="877"/>
      <c r="FA14" s="878">
        <f t="shared" si="49"/>
        <v>175297</v>
      </c>
      <c r="FB14" s="110"/>
      <c r="FC14" s="851">
        <f t="shared" si="50"/>
        <v>15.843248836006207</v>
      </c>
      <c r="FD14" s="852">
        <f t="shared" si="52"/>
        <v>43.633086156745463</v>
      </c>
      <c r="FE14" s="853">
        <f t="shared" si="51"/>
        <v>122045</v>
      </c>
      <c r="FF14" s="854">
        <f t="shared" si="27"/>
        <v>175297</v>
      </c>
      <c r="FH14" s="236"/>
    </row>
    <row r="15" spans="1:164" ht="15" customHeight="1" x14ac:dyDescent="0.25">
      <c r="A15" s="403" t="s">
        <v>376</v>
      </c>
      <c r="B15" s="883"/>
      <c r="C15" s="883">
        <v>15</v>
      </c>
      <c r="D15" s="883">
        <v>8</v>
      </c>
      <c r="E15" s="883">
        <v>500</v>
      </c>
      <c r="F15" s="883">
        <v>7</v>
      </c>
      <c r="G15" s="883">
        <v>500</v>
      </c>
      <c r="H15" s="883">
        <v>15</v>
      </c>
      <c r="I15" s="883"/>
      <c r="J15" s="883"/>
      <c r="K15" s="883"/>
      <c r="L15" s="883">
        <v>418</v>
      </c>
      <c r="M15" s="873">
        <v>248</v>
      </c>
      <c r="N15" s="879">
        <f t="shared" si="29"/>
        <v>1711</v>
      </c>
      <c r="O15" s="883"/>
      <c r="P15" s="883">
        <v>15</v>
      </c>
      <c r="Q15" s="883">
        <v>18</v>
      </c>
      <c r="R15" s="883">
        <v>58</v>
      </c>
      <c r="S15" s="883"/>
      <c r="T15" s="883">
        <v>18</v>
      </c>
      <c r="U15" s="883">
        <v>514</v>
      </c>
      <c r="V15" s="883"/>
      <c r="W15" s="883">
        <v>46</v>
      </c>
      <c r="X15" s="883">
        <v>12</v>
      </c>
      <c r="Y15" s="883">
        <v>6</v>
      </c>
      <c r="Z15" s="873">
        <v>6</v>
      </c>
      <c r="AA15" s="879">
        <f t="shared" si="31"/>
        <v>693</v>
      </c>
      <c r="AB15" s="883"/>
      <c r="AC15" s="883"/>
      <c r="AD15" s="883"/>
      <c r="AE15" s="883"/>
      <c r="AF15" s="883"/>
      <c r="AG15" s="883"/>
      <c r="AH15" s="883">
        <v>16</v>
      </c>
      <c r="AI15" s="883">
        <v>-8</v>
      </c>
      <c r="AJ15" s="883"/>
      <c r="AK15" s="883"/>
      <c r="AL15" s="883"/>
      <c r="AM15" s="873"/>
      <c r="AN15" s="879">
        <f t="shared" si="55"/>
        <v>8</v>
      </c>
      <c r="AO15" s="883"/>
      <c r="AP15" s="883"/>
      <c r="AQ15" s="883"/>
      <c r="AR15" s="883"/>
      <c r="AS15" s="883"/>
      <c r="AT15" s="883"/>
      <c r="AU15" s="883">
        <v>600</v>
      </c>
      <c r="AV15" s="883"/>
      <c r="AW15" s="883">
        <v>1033</v>
      </c>
      <c r="AX15" s="883">
        <v>-1033</v>
      </c>
      <c r="AY15" s="883"/>
      <c r="AZ15" s="873"/>
      <c r="BA15" s="879">
        <f t="shared" si="57"/>
        <v>600</v>
      </c>
      <c r="BB15" s="883"/>
      <c r="BC15" s="883"/>
      <c r="BD15" s="883"/>
      <c r="BE15" s="883"/>
      <c r="BF15" s="883"/>
      <c r="BG15" s="883"/>
      <c r="BH15" s="883"/>
      <c r="BI15" s="883"/>
      <c r="BJ15" s="883">
        <v>2094</v>
      </c>
      <c r="BK15" s="883">
        <v>274</v>
      </c>
      <c r="BL15" s="883"/>
      <c r="BM15" s="873"/>
      <c r="BN15" s="879">
        <f t="shared" si="59"/>
        <v>2368</v>
      </c>
      <c r="BO15" s="883"/>
      <c r="BP15" s="883"/>
      <c r="BQ15" s="883"/>
      <c r="BR15" s="883"/>
      <c r="BS15" s="883"/>
      <c r="BT15" s="883"/>
      <c r="BU15" s="883"/>
      <c r="BV15" s="883"/>
      <c r="BW15" s="883"/>
      <c r="BX15" s="883"/>
      <c r="BY15" s="883"/>
      <c r="BZ15" s="873"/>
      <c r="CA15" s="879">
        <f t="shared" si="61"/>
        <v>0</v>
      </c>
      <c r="CB15" s="883"/>
      <c r="CC15" s="883"/>
      <c r="CD15" s="883"/>
      <c r="CE15" s="883"/>
      <c r="CF15" s="883"/>
      <c r="CG15" s="883"/>
      <c r="CH15" s="883"/>
      <c r="CI15" s="883">
        <v>243</v>
      </c>
      <c r="CJ15" s="883"/>
      <c r="CK15" s="883"/>
      <c r="CL15" s="883"/>
      <c r="CM15" s="873"/>
      <c r="CN15" s="879">
        <f t="shared" si="36"/>
        <v>243</v>
      </c>
      <c r="CO15" s="883"/>
      <c r="CP15" s="883"/>
      <c r="CQ15" s="883"/>
      <c r="CR15" s="883"/>
      <c r="CS15" s="883">
        <v>18</v>
      </c>
      <c r="CT15" s="883"/>
      <c r="CU15" s="883"/>
      <c r="CV15" s="883"/>
      <c r="CW15" s="883"/>
      <c r="CX15" s="883">
        <v>105</v>
      </c>
      <c r="CY15" s="883"/>
      <c r="CZ15" s="873"/>
      <c r="DA15" s="879">
        <f t="shared" si="38"/>
        <v>123</v>
      </c>
      <c r="DB15" s="883"/>
      <c r="DC15" s="883"/>
      <c r="DD15" s="883">
        <v>15</v>
      </c>
      <c r="DE15" s="883"/>
      <c r="DF15" s="883"/>
      <c r="DG15" s="883"/>
      <c r="DH15" s="883"/>
      <c r="DI15" s="883">
        <v>54</v>
      </c>
      <c r="DJ15" s="883">
        <v>775</v>
      </c>
      <c r="DK15" s="883">
        <v>168</v>
      </c>
      <c r="DL15" s="883">
        <v>860</v>
      </c>
      <c r="DM15" s="873">
        <v>-67</v>
      </c>
      <c r="DN15" s="879">
        <f t="shared" si="40"/>
        <v>1805</v>
      </c>
      <c r="DO15" s="883"/>
      <c r="DP15" s="883"/>
      <c r="DQ15" s="883"/>
      <c r="DR15" s="883"/>
      <c r="DS15" s="883"/>
      <c r="DT15" s="883"/>
      <c r="DU15" s="883"/>
      <c r="DV15" s="883"/>
      <c r="DW15" s="883"/>
      <c r="DX15" s="883"/>
      <c r="DY15" s="883"/>
      <c r="DZ15" s="873">
        <v>50</v>
      </c>
      <c r="EA15" s="879">
        <f t="shared" si="42"/>
        <v>50</v>
      </c>
      <c r="EB15" s="883">
        <v>0</v>
      </c>
      <c r="EC15" s="883">
        <v>0</v>
      </c>
      <c r="ED15" s="883">
        <v>0</v>
      </c>
      <c r="EE15" s="883">
        <v>0</v>
      </c>
      <c r="EF15" s="883">
        <v>116</v>
      </c>
      <c r="EG15" s="883">
        <v>0</v>
      </c>
      <c r="EH15" s="883">
        <v>26</v>
      </c>
      <c r="EI15" s="883">
        <v>0</v>
      </c>
      <c r="EJ15" s="883">
        <v>0</v>
      </c>
      <c r="EK15" s="883">
        <v>0</v>
      </c>
      <c r="EL15" s="883">
        <v>0</v>
      </c>
      <c r="EM15" s="873">
        <v>0</v>
      </c>
      <c r="EN15" s="879">
        <f t="shared" si="44"/>
        <v>142</v>
      </c>
      <c r="EO15" s="883">
        <v>0</v>
      </c>
      <c r="EP15" s="883">
        <v>0</v>
      </c>
      <c r="EQ15" s="883">
        <v>0</v>
      </c>
      <c r="ER15" s="883">
        <v>0</v>
      </c>
      <c r="ES15" s="883">
        <v>45</v>
      </c>
      <c r="ET15" s="883">
        <v>0</v>
      </c>
      <c r="EU15" s="883">
        <v>0</v>
      </c>
      <c r="EV15" s="973">
        <v>0</v>
      </c>
      <c r="EW15" s="883"/>
      <c r="EX15" s="883"/>
      <c r="EY15" s="883"/>
      <c r="EZ15" s="873"/>
      <c r="FA15" s="879">
        <f t="shared" si="49"/>
        <v>45</v>
      </c>
      <c r="FC15" s="843" t="str">
        <f t="shared" si="50"/>
        <v/>
      </c>
      <c r="FD15" s="844">
        <f>IFERROR(((FF15/FE15)-1)*100,"")</f>
        <v>-68.309859154929569</v>
      </c>
      <c r="FE15" s="845">
        <f t="shared" si="51"/>
        <v>142</v>
      </c>
      <c r="FF15" s="846">
        <f t="shared" si="27"/>
        <v>45</v>
      </c>
      <c r="FH15" s="127"/>
    </row>
    <row r="16" spans="1:164" ht="15" customHeight="1" x14ac:dyDescent="0.25">
      <c r="A16" s="404" t="s">
        <v>377</v>
      </c>
      <c r="B16" s="883"/>
      <c r="C16" s="883"/>
      <c r="D16" s="883"/>
      <c r="E16" s="883"/>
      <c r="F16" s="883"/>
      <c r="G16" s="883"/>
      <c r="H16" s="883"/>
      <c r="I16" s="883"/>
      <c r="J16" s="883"/>
      <c r="K16" s="883">
        <v>10</v>
      </c>
      <c r="L16" s="883">
        <v>2</v>
      </c>
      <c r="M16" s="873">
        <v>6</v>
      </c>
      <c r="N16" s="879">
        <f t="shared" si="29"/>
        <v>18</v>
      </c>
      <c r="O16" s="883"/>
      <c r="P16" s="883">
        <v>10</v>
      </c>
      <c r="Q16" s="883">
        <v>26</v>
      </c>
      <c r="R16" s="883">
        <v>16</v>
      </c>
      <c r="S16" s="883"/>
      <c r="T16" s="883">
        <v>7</v>
      </c>
      <c r="U16" s="883"/>
      <c r="V16" s="883"/>
      <c r="W16" s="883">
        <v>74</v>
      </c>
      <c r="X16" s="883">
        <v>2</v>
      </c>
      <c r="Y16" s="883">
        <v>8</v>
      </c>
      <c r="Z16" s="873">
        <v>3</v>
      </c>
      <c r="AA16" s="879">
        <f t="shared" si="31"/>
        <v>146</v>
      </c>
      <c r="AB16" s="883"/>
      <c r="AC16" s="883"/>
      <c r="AD16" s="883">
        <v>5</v>
      </c>
      <c r="AE16" s="883"/>
      <c r="AF16" s="883">
        <v>2</v>
      </c>
      <c r="AG16" s="883"/>
      <c r="AH16" s="883"/>
      <c r="AI16" s="883">
        <v>106</v>
      </c>
      <c r="AJ16" s="883">
        <v>4</v>
      </c>
      <c r="AK16" s="883"/>
      <c r="AL16" s="883"/>
      <c r="AM16" s="873">
        <v>-1</v>
      </c>
      <c r="AN16" s="879">
        <f t="shared" si="55"/>
        <v>116</v>
      </c>
      <c r="AO16" s="883"/>
      <c r="AP16" s="883"/>
      <c r="AQ16" s="883"/>
      <c r="AR16" s="883"/>
      <c r="AS16" s="883"/>
      <c r="AT16" s="883"/>
      <c r="AU16" s="883"/>
      <c r="AV16" s="883"/>
      <c r="AW16" s="883"/>
      <c r="AX16" s="883"/>
      <c r="AY16" s="883"/>
      <c r="AZ16" s="873"/>
      <c r="BA16" s="879">
        <f t="shared" si="57"/>
        <v>0</v>
      </c>
      <c r="BB16" s="883"/>
      <c r="BC16" s="883"/>
      <c r="BD16" s="883"/>
      <c r="BE16" s="883"/>
      <c r="BF16" s="883"/>
      <c r="BG16" s="883"/>
      <c r="BH16" s="883"/>
      <c r="BI16" s="883"/>
      <c r="BJ16" s="883"/>
      <c r="BK16" s="883"/>
      <c r="BL16" s="883"/>
      <c r="BM16" s="873">
        <v>25</v>
      </c>
      <c r="BN16" s="879">
        <f t="shared" si="59"/>
        <v>25</v>
      </c>
      <c r="BO16" s="883"/>
      <c r="BP16" s="883"/>
      <c r="BQ16" s="883">
        <v>27</v>
      </c>
      <c r="BR16" s="883"/>
      <c r="BS16" s="883">
        <v>3</v>
      </c>
      <c r="BT16" s="883">
        <v>3</v>
      </c>
      <c r="BU16" s="883"/>
      <c r="BV16" s="883"/>
      <c r="BW16" s="883">
        <v>17</v>
      </c>
      <c r="BX16" s="883"/>
      <c r="BY16" s="883"/>
      <c r="BZ16" s="873"/>
      <c r="CA16" s="879">
        <f t="shared" si="61"/>
        <v>50</v>
      </c>
      <c r="CB16" s="883"/>
      <c r="CC16" s="883"/>
      <c r="CD16" s="883"/>
      <c r="CE16" s="883"/>
      <c r="CF16" s="883"/>
      <c r="CG16" s="883">
        <v>10</v>
      </c>
      <c r="CH16" s="883"/>
      <c r="CI16" s="883"/>
      <c r="CJ16" s="883">
        <v>5</v>
      </c>
      <c r="CK16" s="883">
        <v>6</v>
      </c>
      <c r="CL16" s="883">
        <v>3</v>
      </c>
      <c r="CM16" s="873">
        <v>27</v>
      </c>
      <c r="CN16" s="879">
        <f t="shared" si="36"/>
        <v>51</v>
      </c>
      <c r="CO16" s="883"/>
      <c r="CP16" s="883"/>
      <c r="CQ16" s="883"/>
      <c r="CR16" s="883"/>
      <c r="CS16" s="883"/>
      <c r="CT16" s="883"/>
      <c r="CU16" s="883"/>
      <c r="CV16" s="883">
        <v>34</v>
      </c>
      <c r="CW16" s="883">
        <v>34</v>
      </c>
      <c r="CX16" s="883">
        <v>2</v>
      </c>
      <c r="CY16" s="883">
        <v>4</v>
      </c>
      <c r="CZ16" s="873"/>
      <c r="DA16" s="879">
        <f t="shared" si="38"/>
        <v>74</v>
      </c>
      <c r="DB16" s="883"/>
      <c r="DC16" s="883"/>
      <c r="DD16" s="883"/>
      <c r="DE16" s="883"/>
      <c r="DF16" s="883"/>
      <c r="DG16" s="883"/>
      <c r="DH16" s="883"/>
      <c r="DI16" s="883"/>
      <c r="DJ16" s="883">
        <v>1</v>
      </c>
      <c r="DK16" s="883">
        <v>38</v>
      </c>
      <c r="DL16" s="883">
        <v>1</v>
      </c>
      <c r="DM16" s="873">
        <v>2</v>
      </c>
      <c r="DN16" s="879">
        <f t="shared" si="40"/>
        <v>42</v>
      </c>
      <c r="DO16" s="883"/>
      <c r="DP16" s="883"/>
      <c r="DQ16" s="883">
        <v>6</v>
      </c>
      <c r="DR16" s="883"/>
      <c r="DS16" s="883">
        <v>19</v>
      </c>
      <c r="DT16" s="883"/>
      <c r="DU16" s="883"/>
      <c r="DV16" s="883"/>
      <c r="DW16" s="883"/>
      <c r="DX16" s="883"/>
      <c r="DY16" s="883"/>
      <c r="DZ16" s="873"/>
      <c r="EA16" s="879">
        <f t="shared" si="42"/>
        <v>25</v>
      </c>
      <c r="EB16" s="883">
        <v>0</v>
      </c>
      <c r="EC16" s="883">
        <v>0</v>
      </c>
      <c r="ED16" s="883">
        <v>0</v>
      </c>
      <c r="EE16" s="883">
        <v>0</v>
      </c>
      <c r="EF16" s="883">
        <v>0</v>
      </c>
      <c r="EG16" s="883">
        <v>0</v>
      </c>
      <c r="EH16" s="883">
        <v>0</v>
      </c>
      <c r="EI16" s="883">
        <v>0</v>
      </c>
      <c r="EJ16" s="883">
        <v>0</v>
      </c>
      <c r="EK16" s="883">
        <v>0</v>
      </c>
      <c r="EL16" s="883">
        <v>0</v>
      </c>
      <c r="EM16" s="873">
        <v>0</v>
      </c>
      <c r="EN16" s="879">
        <f t="shared" si="44"/>
        <v>0</v>
      </c>
      <c r="EO16" s="883">
        <v>0</v>
      </c>
      <c r="EP16" s="883">
        <v>0</v>
      </c>
      <c r="EQ16" s="883">
        <v>0</v>
      </c>
      <c r="ER16" s="883">
        <v>0</v>
      </c>
      <c r="ES16" s="883">
        <v>0</v>
      </c>
      <c r="ET16" s="883">
        <v>0</v>
      </c>
      <c r="EU16" s="883">
        <v>0</v>
      </c>
      <c r="EV16" s="973">
        <v>0</v>
      </c>
      <c r="EW16" s="883"/>
      <c r="EX16" s="883"/>
      <c r="EY16" s="883"/>
      <c r="EZ16" s="873"/>
      <c r="FA16" s="879">
        <f t="shared" si="49"/>
        <v>0</v>
      </c>
      <c r="FC16" s="843" t="str">
        <f t="shared" si="50"/>
        <v/>
      </c>
      <c r="FD16" s="844" t="str">
        <f t="shared" si="52"/>
        <v/>
      </c>
      <c r="FE16" s="845">
        <f t="shared" si="51"/>
        <v>0</v>
      </c>
      <c r="FF16" s="846">
        <f t="shared" si="27"/>
        <v>0</v>
      </c>
      <c r="FH16" s="127"/>
    </row>
    <row r="17" spans="1:164" ht="15" customHeight="1" x14ac:dyDescent="0.25">
      <c r="A17" s="403" t="s">
        <v>378</v>
      </c>
      <c r="B17" s="883">
        <v>815</v>
      </c>
      <c r="C17" s="883">
        <v>9283</v>
      </c>
      <c r="D17" s="883">
        <v>13987</v>
      </c>
      <c r="E17" s="883">
        <v>11247</v>
      </c>
      <c r="F17" s="883">
        <v>10822</v>
      </c>
      <c r="G17" s="883">
        <v>13546</v>
      </c>
      <c r="H17" s="883">
        <v>30836</v>
      </c>
      <c r="I17" s="883">
        <v>2919</v>
      </c>
      <c r="J17" s="883">
        <v>13280</v>
      </c>
      <c r="K17" s="883">
        <v>11870</v>
      </c>
      <c r="L17" s="883">
        <v>20023</v>
      </c>
      <c r="M17" s="873">
        <v>40942</v>
      </c>
      <c r="N17" s="879">
        <f t="shared" si="29"/>
        <v>179570</v>
      </c>
      <c r="O17" s="883">
        <v>3648</v>
      </c>
      <c r="P17" s="883">
        <v>9849</v>
      </c>
      <c r="Q17" s="883">
        <v>10498</v>
      </c>
      <c r="R17" s="883">
        <v>11125</v>
      </c>
      <c r="S17" s="883">
        <v>12328</v>
      </c>
      <c r="T17" s="883">
        <v>12046</v>
      </c>
      <c r="U17" s="883">
        <v>14149</v>
      </c>
      <c r="V17" s="883">
        <v>18828</v>
      </c>
      <c r="W17" s="883">
        <v>16006</v>
      </c>
      <c r="X17" s="883">
        <v>14260</v>
      </c>
      <c r="Y17" s="883">
        <v>28905</v>
      </c>
      <c r="Z17" s="873">
        <v>45937</v>
      </c>
      <c r="AA17" s="879">
        <f t="shared" si="31"/>
        <v>197579</v>
      </c>
      <c r="AB17" s="883">
        <v>1618</v>
      </c>
      <c r="AC17" s="883">
        <v>7228</v>
      </c>
      <c r="AD17" s="883">
        <v>17371</v>
      </c>
      <c r="AE17" s="883">
        <v>10638</v>
      </c>
      <c r="AF17" s="883">
        <v>11490</v>
      </c>
      <c r="AG17" s="883">
        <v>17134</v>
      </c>
      <c r="AH17" s="883">
        <v>24706</v>
      </c>
      <c r="AI17" s="883">
        <v>19070</v>
      </c>
      <c r="AJ17" s="883">
        <v>18250</v>
      </c>
      <c r="AK17" s="883">
        <v>17897</v>
      </c>
      <c r="AL17" s="883">
        <v>20644</v>
      </c>
      <c r="AM17" s="873">
        <v>36460</v>
      </c>
      <c r="AN17" s="879">
        <f t="shared" si="55"/>
        <v>202506</v>
      </c>
      <c r="AO17" s="883">
        <v>2992</v>
      </c>
      <c r="AP17" s="883">
        <v>7118</v>
      </c>
      <c r="AQ17" s="883">
        <v>17478</v>
      </c>
      <c r="AR17" s="883">
        <v>7131</v>
      </c>
      <c r="AS17" s="883">
        <v>16623</v>
      </c>
      <c r="AT17" s="883">
        <v>15593</v>
      </c>
      <c r="AU17" s="883">
        <v>28470</v>
      </c>
      <c r="AV17" s="883">
        <v>22350</v>
      </c>
      <c r="AW17" s="883">
        <v>24475</v>
      </c>
      <c r="AX17" s="883">
        <v>18811</v>
      </c>
      <c r="AY17" s="883">
        <v>21610</v>
      </c>
      <c r="AZ17" s="873">
        <v>33783</v>
      </c>
      <c r="BA17" s="879">
        <f t="shared" si="57"/>
        <v>216434</v>
      </c>
      <c r="BB17" s="883">
        <v>1653</v>
      </c>
      <c r="BC17" s="883">
        <v>5726</v>
      </c>
      <c r="BD17" s="883">
        <v>17832</v>
      </c>
      <c r="BE17" s="883">
        <v>28532</v>
      </c>
      <c r="BF17" s="883">
        <v>4519</v>
      </c>
      <c r="BG17" s="883">
        <v>29139</v>
      </c>
      <c r="BH17" s="883">
        <v>16394</v>
      </c>
      <c r="BI17" s="883">
        <v>30351</v>
      </c>
      <c r="BJ17" s="883">
        <v>26908</v>
      </c>
      <c r="BK17" s="883">
        <v>16635</v>
      </c>
      <c r="BL17" s="883">
        <v>20382</v>
      </c>
      <c r="BM17" s="873">
        <v>35007</v>
      </c>
      <c r="BN17" s="879">
        <f t="shared" si="59"/>
        <v>233078</v>
      </c>
      <c r="BO17" s="883">
        <v>2957</v>
      </c>
      <c r="BP17" s="883">
        <v>9299</v>
      </c>
      <c r="BQ17" s="883">
        <v>8127</v>
      </c>
      <c r="BR17" s="883">
        <v>4797</v>
      </c>
      <c r="BS17" s="883">
        <v>2580</v>
      </c>
      <c r="BT17" s="883">
        <v>2858</v>
      </c>
      <c r="BU17" s="883">
        <v>13610</v>
      </c>
      <c r="BV17" s="883">
        <v>7969</v>
      </c>
      <c r="BW17" s="883">
        <v>15408</v>
      </c>
      <c r="BX17" s="883">
        <v>19679</v>
      </c>
      <c r="BY17" s="883">
        <v>23733</v>
      </c>
      <c r="BZ17" s="873">
        <v>46292</v>
      </c>
      <c r="CA17" s="879">
        <f t="shared" si="61"/>
        <v>157309</v>
      </c>
      <c r="CB17" s="883">
        <v>2728</v>
      </c>
      <c r="CC17" s="883">
        <v>8879</v>
      </c>
      <c r="CD17" s="883">
        <v>21628</v>
      </c>
      <c r="CE17" s="883">
        <v>5975</v>
      </c>
      <c r="CF17" s="883">
        <v>10127</v>
      </c>
      <c r="CG17" s="883">
        <v>12781</v>
      </c>
      <c r="CH17" s="883">
        <v>14285</v>
      </c>
      <c r="CI17" s="883">
        <v>15002</v>
      </c>
      <c r="CJ17" s="883">
        <v>15541</v>
      </c>
      <c r="CK17" s="883">
        <v>19234</v>
      </c>
      <c r="CL17" s="883">
        <v>15370</v>
      </c>
      <c r="CM17" s="873">
        <v>38905</v>
      </c>
      <c r="CN17" s="879">
        <f t="shared" si="36"/>
        <v>180455</v>
      </c>
      <c r="CO17" s="883">
        <v>3429</v>
      </c>
      <c r="CP17" s="883">
        <v>12460</v>
      </c>
      <c r="CQ17" s="883">
        <v>18028</v>
      </c>
      <c r="CR17" s="883">
        <v>12986</v>
      </c>
      <c r="CS17" s="883">
        <v>15089</v>
      </c>
      <c r="CT17" s="883">
        <v>22006</v>
      </c>
      <c r="CU17" s="883">
        <v>24386</v>
      </c>
      <c r="CV17" s="883">
        <v>26845</v>
      </c>
      <c r="CW17" s="883">
        <v>32837</v>
      </c>
      <c r="CX17" s="883">
        <v>30793</v>
      </c>
      <c r="CY17" s="883">
        <v>34747</v>
      </c>
      <c r="CZ17" s="873">
        <v>54794</v>
      </c>
      <c r="DA17" s="879">
        <f t="shared" si="38"/>
        <v>288400</v>
      </c>
      <c r="DB17" s="883">
        <v>577</v>
      </c>
      <c r="DC17" s="883">
        <v>7137</v>
      </c>
      <c r="DD17" s="883">
        <v>13401</v>
      </c>
      <c r="DE17" s="883">
        <v>14173</v>
      </c>
      <c r="DF17" s="883">
        <v>12817</v>
      </c>
      <c r="DG17" s="883">
        <v>13823</v>
      </c>
      <c r="DH17" s="883">
        <v>17738</v>
      </c>
      <c r="DI17" s="883">
        <v>25043</v>
      </c>
      <c r="DJ17" s="883">
        <v>23169</v>
      </c>
      <c r="DK17" s="883">
        <v>31001</v>
      </c>
      <c r="DL17" s="883">
        <v>28901</v>
      </c>
      <c r="DM17" s="873">
        <v>58290</v>
      </c>
      <c r="DN17" s="879">
        <f t="shared" si="40"/>
        <v>246070</v>
      </c>
      <c r="DO17" s="883">
        <v>2118</v>
      </c>
      <c r="DP17" s="883">
        <v>11624</v>
      </c>
      <c r="DQ17" s="883">
        <v>31405</v>
      </c>
      <c r="DR17" s="883">
        <v>19261</v>
      </c>
      <c r="DS17" s="883">
        <v>21141</v>
      </c>
      <c r="DT17" s="883">
        <v>18649</v>
      </c>
      <c r="DU17" s="883">
        <v>22575</v>
      </c>
      <c r="DV17" s="883">
        <v>20230</v>
      </c>
      <c r="DW17" s="883">
        <v>17651</v>
      </c>
      <c r="DX17" s="883">
        <v>19853</v>
      </c>
      <c r="DY17" s="883">
        <v>22995</v>
      </c>
      <c r="DZ17" s="873">
        <v>48982</v>
      </c>
      <c r="EA17" s="879">
        <f t="shared" si="42"/>
        <v>256484</v>
      </c>
      <c r="EB17" s="883">
        <v>1372</v>
      </c>
      <c r="EC17" s="883">
        <v>8295</v>
      </c>
      <c r="ED17" s="883">
        <v>11353</v>
      </c>
      <c r="EE17" s="883">
        <v>18788</v>
      </c>
      <c r="EF17" s="883">
        <v>19888</v>
      </c>
      <c r="EG17" s="883">
        <v>17814</v>
      </c>
      <c r="EH17" s="883">
        <v>21197</v>
      </c>
      <c r="EI17" s="883">
        <v>23196</v>
      </c>
      <c r="EJ17" s="883">
        <v>18642</v>
      </c>
      <c r="EK17" s="883">
        <v>34871</v>
      </c>
      <c r="EL17" s="883">
        <v>31080</v>
      </c>
      <c r="EM17" s="873">
        <v>47901</v>
      </c>
      <c r="EN17" s="879">
        <f t="shared" si="44"/>
        <v>254397</v>
      </c>
      <c r="EO17" s="883">
        <v>1194</v>
      </c>
      <c r="EP17" s="883">
        <v>19630</v>
      </c>
      <c r="EQ17" s="883">
        <v>19701</v>
      </c>
      <c r="ER17" s="883">
        <v>40574</v>
      </c>
      <c r="ES17" s="883">
        <v>16964</v>
      </c>
      <c r="ET17" s="883">
        <v>22749</v>
      </c>
      <c r="EU17" s="883">
        <v>27569</v>
      </c>
      <c r="EV17" s="973">
        <v>26871</v>
      </c>
      <c r="EW17" s="883"/>
      <c r="EX17" s="883"/>
      <c r="EY17" s="883"/>
      <c r="EZ17" s="873"/>
      <c r="FA17" s="879">
        <f t="shared" si="49"/>
        <v>175252</v>
      </c>
      <c r="FC17" s="843">
        <f t="shared" si="50"/>
        <v>15.843248836006207</v>
      </c>
      <c r="FD17" s="844">
        <f t="shared" si="52"/>
        <v>43.763484081605867</v>
      </c>
      <c r="FE17" s="845">
        <f t="shared" si="51"/>
        <v>121903</v>
      </c>
      <c r="FF17" s="846">
        <f t="shared" si="27"/>
        <v>175252</v>
      </c>
      <c r="FH17" s="127"/>
    </row>
    <row r="18" spans="1:164" ht="15" customHeight="1" x14ac:dyDescent="0.25">
      <c r="A18" s="404" t="s">
        <v>379</v>
      </c>
      <c r="B18" s="883"/>
      <c r="C18" s="883"/>
      <c r="D18" s="883"/>
      <c r="E18" s="883"/>
      <c r="F18" s="883"/>
      <c r="G18" s="883"/>
      <c r="H18" s="883"/>
      <c r="I18" s="883"/>
      <c r="J18" s="883"/>
      <c r="K18" s="883"/>
      <c r="L18" s="883"/>
      <c r="M18" s="873"/>
      <c r="N18" s="879">
        <f t="shared" si="29"/>
        <v>0</v>
      </c>
      <c r="O18" s="883"/>
      <c r="P18" s="883"/>
      <c r="Q18" s="883"/>
      <c r="R18" s="883"/>
      <c r="S18" s="883"/>
      <c r="T18" s="883"/>
      <c r="U18" s="883"/>
      <c r="V18" s="883"/>
      <c r="W18" s="883"/>
      <c r="X18" s="883"/>
      <c r="Y18" s="883"/>
      <c r="Z18" s="873"/>
      <c r="AA18" s="879">
        <f t="shared" si="31"/>
        <v>0</v>
      </c>
      <c r="AB18" s="883"/>
      <c r="AC18" s="883"/>
      <c r="AD18" s="883"/>
      <c r="AE18" s="883"/>
      <c r="AF18" s="883"/>
      <c r="AG18" s="883"/>
      <c r="AH18" s="883"/>
      <c r="AI18" s="883"/>
      <c r="AJ18" s="883"/>
      <c r="AK18" s="883"/>
      <c r="AL18" s="883"/>
      <c r="AM18" s="873"/>
      <c r="AN18" s="879">
        <f t="shared" si="55"/>
        <v>0</v>
      </c>
      <c r="AO18" s="883"/>
      <c r="AP18" s="883"/>
      <c r="AQ18" s="883"/>
      <c r="AR18" s="883"/>
      <c r="AS18" s="883"/>
      <c r="AT18" s="883"/>
      <c r="AU18" s="883"/>
      <c r="AV18" s="883"/>
      <c r="AW18" s="883"/>
      <c r="AX18" s="883"/>
      <c r="AY18" s="883"/>
      <c r="AZ18" s="873"/>
      <c r="BA18" s="879">
        <f t="shared" si="57"/>
        <v>0</v>
      </c>
      <c r="BB18" s="883"/>
      <c r="BC18" s="883"/>
      <c r="BD18" s="883"/>
      <c r="BE18" s="883"/>
      <c r="BF18" s="883"/>
      <c r="BG18" s="883"/>
      <c r="BH18" s="883"/>
      <c r="BI18" s="883"/>
      <c r="BJ18" s="883"/>
      <c r="BK18" s="883"/>
      <c r="BL18" s="883"/>
      <c r="BM18" s="873"/>
      <c r="BN18" s="879">
        <f t="shared" si="59"/>
        <v>0</v>
      </c>
      <c r="BO18" s="883"/>
      <c r="BP18" s="883"/>
      <c r="BQ18" s="883"/>
      <c r="BR18" s="883"/>
      <c r="BS18" s="883"/>
      <c r="BT18" s="883"/>
      <c r="BU18" s="883"/>
      <c r="BV18" s="883"/>
      <c r="BW18" s="883"/>
      <c r="BX18" s="883"/>
      <c r="BY18" s="883"/>
      <c r="BZ18" s="873"/>
      <c r="CA18" s="879">
        <f t="shared" si="61"/>
        <v>0</v>
      </c>
      <c r="CB18" s="883"/>
      <c r="CC18" s="883"/>
      <c r="CD18" s="883"/>
      <c r="CE18" s="883"/>
      <c r="CF18" s="883"/>
      <c r="CG18" s="883"/>
      <c r="CH18" s="883"/>
      <c r="CI18" s="883"/>
      <c r="CJ18" s="883"/>
      <c r="CK18" s="883"/>
      <c r="CL18" s="883"/>
      <c r="CM18" s="873"/>
      <c r="CN18" s="879">
        <f t="shared" si="36"/>
        <v>0</v>
      </c>
      <c r="CO18" s="883"/>
      <c r="CP18" s="883"/>
      <c r="CQ18" s="883"/>
      <c r="CR18" s="883"/>
      <c r="CS18" s="883"/>
      <c r="CT18" s="883"/>
      <c r="CU18" s="883"/>
      <c r="CV18" s="883"/>
      <c r="CW18" s="883"/>
      <c r="CX18" s="883"/>
      <c r="CY18" s="883"/>
      <c r="CZ18" s="873"/>
      <c r="DA18" s="879">
        <f t="shared" si="38"/>
        <v>0</v>
      </c>
      <c r="DB18" s="883"/>
      <c r="DC18" s="883"/>
      <c r="DD18" s="883"/>
      <c r="DE18" s="883"/>
      <c r="DF18" s="883"/>
      <c r="DG18" s="883"/>
      <c r="DH18" s="883"/>
      <c r="DI18" s="883"/>
      <c r="DJ18" s="883"/>
      <c r="DK18" s="883"/>
      <c r="DL18" s="883"/>
      <c r="DM18" s="873"/>
      <c r="DN18" s="879">
        <f t="shared" si="40"/>
        <v>0</v>
      </c>
      <c r="DO18" s="883"/>
      <c r="DP18" s="883"/>
      <c r="DQ18" s="883"/>
      <c r="DR18" s="883"/>
      <c r="DS18" s="883"/>
      <c r="DT18" s="883"/>
      <c r="DU18" s="883"/>
      <c r="DV18" s="883"/>
      <c r="DW18" s="883"/>
      <c r="DX18" s="883"/>
      <c r="DY18" s="883"/>
      <c r="DZ18" s="873"/>
      <c r="EA18" s="879">
        <f t="shared" si="42"/>
        <v>0</v>
      </c>
      <c r="EB18" s="883">
        <v>0</v>
      </c>
      <c r="EC18" s="883">
        <v>0</v>
      </c>
      <c r="ED18" s="883">
        <v>0</v>
      </c>
      <c r="EE18" s="883">
        <v>0</v>
      </c>
      <c r="EF18" s="883">
        <v>0</v>
      </c>
      <c r="EG18" s="883">
        <v>0</v>
      </c>
      <c r="EH18" s="883">
        <v>0</v>
      </c>
      <c r="EI18" s="883">
        <v>0</v>
      </c>
      <c r="EJ18" s="883">
        <v>0</v>
      </c>
      <c r="EK18" s="883">
        <v>0</v>
      </c>
      <c r="EL18" s="883">
        <v>0</v>
      </c>
      <c r="EM18" s="873">
        <v>0</v>
      </c>
      <c r="EN18" s="879">
        <f t="shared" si="44"/>
        <v>0</v>
      </c>
      <c r="EO18" s="883">
        <v>0</v>
      </c>
      <c r="EP18" s="883">
        <v>0</v>
      </c>
      <c r="EQ18" s="883">
        <v>0</v>
      </c>
      <c r="ER18" s="883">
        <v>0</v>
      </c>
      <c r="ES18" s="883">
        <v>0</v>
      </c>
      <c r="ET18" s="883">
        <v>0</v>
      </c>
      <c r="EU18" s="883">
        <v>0</v>
      </c>
      <c r="EV18" s="973">
        <v>0</v>
      </c>
      <c r="EW18" s="883"/>
      <c r="EX18" s="883"/>
      <c r="EY18" s="883"/>
      <c r="EZ18" s="873"/>
      <c r="FA18" s="879">
        <f t="shared" si="49"/>
        <v>0</v>
      </c>
      <c r="FC18" s="843" t="str">
        <f t="shared" si="50"/>
        <v/>
      </c>
      <c r="FD18" s="844" t="str">
        <f t="shared" si="52"/>
        <v/>
      </c>
      <c r="FE18" s="845">
        <f t="shared" si="51"/>
        <v>0</v>
      </c>
      <c r="FF18" s="846">
        <f t="shared" si="27"/>
        <v>0</v>
      </c>
      <c r="FH18" s="127"/>
    </row>
    <row r="19" spans="1:164" ht="15" customHeight="1" x14ac:dyDescent="0.25">
      <c r="A19" s="401" t="s">
        <v>380</v>
      </c>
      <c r="B19" s="885">
        <f t="shared" ref="B19:M19" si="69">SUM(B20)</f>
        <v>0</v>
      </c>
      <c r="C19" s="885">
        <f t="shared" si="69"/>
        <v>61</v>
      </c>
      <c r="D19" s="885">
        <f t="shared" si="69"/>
        <v>0</v>
      </c>
      <c r="E19" s="885">
        <f t="shared" si="69"/>
        <v>239</v>
      </c>
      <c r="F19" s="885">
        <f t="shared" si="69"/>
        <v>279</v>
      </c>
      <c r="G19" s="885">
        <f t="shared" si="69"/>
        <v>254</v>
      </c>
      <c r="H19" s="885">
        <f t="shared" si="69"/>
        <v>741</v>
      </c>
      <c r="I19" s="885">
        <f t="shared" si="69"/>
        <v>182</v>
      </c>
      <c r="J19" s="885">
        <f t="shared" si="69"/>
        <v>518</v>
      </c>
      <c r="K19" s="885">
        <f t="shared" si="69"/>
        <v>532</v>
      </c>
      <c r="L19" s="885">
        <f t="shared" si="69"/>
        <v>88</v>
      </c>
      <c r="M19" s="877">
        <f t="shared" si="69"/>
        <v>673</v>
      </c>
      <c r="N19" s="878">
        <f t="shared" si="29"/>
        <v>3567</v>
      </c>
      <c r="O19" s="885">
        <f t="shared" ref="O19:Z19" si="70">O20+O21</f>
        <v>49</v>
      </c>
      <c r="P19" s="885">
        <f t="shared" si="70"/>
        <v>280</v>
      </c>
      <c r="Q19" s="885">
        <f t="shared" si="70"/>
        <v>183</v>
      </c>
      <c r="R19" s="885">
        <f t="shared" si="70"/>
        <v>479</v>
      </c>
      <c r="S19" s="885">
        <f t="shared" si="70"/>
        <v>524</v>
      </c>
      <c r="T19" s="885">
        <f t="shared" si="70"/>
        <v>802</v>
      </c>
      <c r="U19" s="885">
        <f t="shared" si="70"/>
        <v>1002</v>
      </c>
      <c r="V19" s="885">
        <f t="shared" si="70"/>
        <v>802</v>
      </c>
      <c r="W19" s="885">
        <f t="shared" si="70"/>
        <v>801</v>
      </c>
      <c r="X19" s="885">
        <f t="shared" si="70"/>
        <v>772</v>
      </c>
      <c r="Y19" s="885">
        <f t="shared" si="70"/>
        <v>571</v>
      </c>
      <c r="Z19" s="877">
        <f t="shared" si="70"/>
        <v>164</v>
      </c>
      <c r="AA19" s="878">
        <f t="shared" si="31"/>
        <v>6429</v>
      </c>
      <c r="AB19" s="885">
        <f t="shared" ref="AB19:AM19" si="71">AB20+AB21</f>
        <v>1110</v>
      </c>
      <c r="AC19" s="885">
        <f t="shared" si="71"/>
        <v>540</v>
      </c>
      <c r="AD19" s="885">
        <f t="shared" si="71"/>
        <v>540</v>
      </c>
      <c r="AE19" s="885">
        <f t="shared" si="71"/>
        <v>627</v>
      </c>
      <c r="AF19" s="885">
        <f t="shared" si="71"/>
        <v>540</v>
      </c>
      <c r="AG19" s="885">
        <f t="shared" si="71"/>
        <v>174</v>
      </c>
      <c r="AH19" s="885">
        <f t="shared" si="71"/>
        <v>347</v>
      </c>
      <c r="AI19" s="885">
        <f t="shared" si="71"/>
        <v>1315</v>
      </c>
      <c r="AJ19" s="885">
        <f t="shared" si="71"/>
        <v>1373</v>
      </c>
      <c r="AK19" s="885">
        <f t="shared" si="71"/>
        <v>1277</v>
      </c>
      <c r="AL19" s="885">
        <f t="shared" si="71"/>
        <v>1290</v>
      </c>
      <c r="AM19" s="877">
        <f t="shared" si="71"/>
        <v>1649</v>
      </c>
      <c r="AN19" s="878">
        <f t="shared" si="55"/>
        <v>10782</v>
      </c>
      <c r="AO19" s="885">
        <f t="shared" ref="AO19:AZ19" si="72">AO20+AO21</f>
        <v>2398</v>
      </c>
      <c r="AP19" s="885">
        <f t="shared" si="72"/>
        <v>914</v>
      </c>
      <c r="AQ19" s="885">
        <f t="shared" si="72"/>
        <v>1694</v>
      </c>
      <c r="AR19" s="885">
        <f t="shared" si="72"/>
        <v>1790</v>
      </c>
      <c r="AS19" s="885">
        <f t="shared" si="72"/>
        <v>1686</v>
      </c>
      <c r="AT19" s="885">
        <f t="shared" si="72"/>
        <v>1612</v>
      </c>
      <c r="AU19" s="885">
        <f t="shared" si="72"/>
        <v>1749</v>
      </c>
      <c r="AV19" s="885">
        <f t="shared" si="72"/>
        <v>1676</v>
      </c>
      <c r="AW19" s="885">
        <f t="shared" si="72"/>
        <v>1673</v>
      </c>
      <c r="AX19" s="885">
        <f t="shared" si="72"/>
        <v>1607</v>
      </c>
      <c r="AY19" s="885">
        <f t="shared" si="72"/>
        <v>1221</v>
      </c>
      <c r="AZ19" s="877">
        <f t="shared" si="72"/>
        <v>1513</v>
      </c>
      <c r="BA19" s="878">
        <f t="shared" si="57"/>
        <v>19533</v>
      </c>
      <c r="BB19" s="885">
        <f t="shared" ref="BB19:BM19" si="73">BB20+BB21</f>
        <v>0</v>
      </c>
      <c r="BC19" s="885">
        <f t="shared" si="73"/>
        <v>0</v>
      </c>
      <c r="BD19" s="885">
        <f t="shared" si="73"/>
        <v>0</v>
      </c>
      <c r="BE19" s="885">
        <f t="shared" si="73"/>
        <v>0</v>
      </c>
      <c r="BF19" s="885">
        <f t="shared" si="73"/>
        <v>383</v>
      </c>
      <c r="BG19" s="885">
        <f t="shared" si="73"/>
        <v>119</v>
      </c>
      <c r="BH19" s="885">
        <f t="shared" si="73"/>
        <v>39</v>
      </c>
      <c r="BI19" s="885">
        <f t="shared" si="73"/>
        <v>171</v>
      </c>
      <c r="BJ19" s="885">
        <f t="shared" si="73"/>
        <v>222</v>
      </c>
      <c r="BK19" s="885">
        <f t="shared" si="73"/>
        <v>214</v>
      </c>
      <c r="BL19" s="885">
        <f t="shared" si="73"/>
        <v>298</v>
      </c>
      <c r="BM19" s="877">
        <f t="shared" si="73"/>
        <v>332</v>
      </c>
      <c r="BN19" s="878">
        <f t="shared" si="59"/>
        <v>1778</v>
      </c>
      <c r="BO19" s="885">
        <f t="shared" ref="BO19:BZ19" si="74">BO20+BO21</f>
        <v>59</v>
      </c>
      <c r="BP19" s="885">
        <f t="shared" si="74"/>
        <v>129</v>
      </c>
      <c r="BQ19" s="885">
        <f t="shared" si="74"/>
        <v>114</v>
      </c>
      <c r="BR19" s="885">
        <f t="shared" si="74"/>
        <v>59</v>
      </c>
      <c r="BS19" s="885">
        <f t="shared" si="74"/>
        <v>59</v>
      </c>
      <c r="BT19" s="885">
        <f t="shared" si="74"/>
        <v>619</v>
      </c>
      <c r="BU19" s="885">
        <f t="shared" si="74"/>
        <v>59</v>
      </c>
      <c r="BV19" s="885">
        <f t="shared" si="74"/>
        <v>-24</v>
      </c>
      <c r="BW19" s="885">
        <f t="shared" si="74"/>
        <v>125</v>
      </c>
      <c r="BX19" s="885">
        <f t="shared" si="74"/>
        <v>80</v>
      </c>
      <c r="BY19" s="885">
        <f t="shared" si="74"/>
        <v>128</v>
      </c>
      <c r="BZ19" s="877">
        <f t="shared" si="74"/>
        <v>489</v>
      </c>
      <c r="CA19" s="878">
        <f t="shared" si="61"/>
        <v>1896</v>
      </c>
      <c r="CB19" s="885">
        <f t="shared" ref="CB19:CM19" si="75">CB20+CB21</f>
        <v>41</v>
      </c>
      <c r="CC19" s="885">
        <f t="shared" si="75"/>
        <v>18</v>
      </c>
      <c r="CD19" s="885">
        <f t="shared" si="75"/>
        <v>118</v>
      </c>
      <c r="CE19" s="885">
        <f t="shared" si="75"/>
        <v>59</v>
      </c>
      <c r="CF19" s="885">
        <f t="shared" si="75"/>
        <v>442</v>
      </c>
      <c r="CG19" s="885">
        <f t="shared" si="75"/>
        <v>290</v>
      </c>
      <c r="CH19" s="885">
        <f t="shared" si="75"/>
        <v>32</v>
      </c>
      <c r="CI19" s="885">
        <f t="shared" si="75"/>
        <v>294</v>
      </c>
      <c r="CJ19" s="885">
        <f t="shared" si="75"/>
        <v>326</v>
      </c>
      <c r="CK19" s="885">
        <f t="shared" si="75"/>
        <v>890</v>
      </c>
      <c r="CL19" s="885">
        <f t="shared" si="75"/>
        <v>443</v>
      </c>
      <c r="CM19" s="877">
        <f t="shared" si="75"/>
        <v>335</v>
      </c>
      <c r="CN19" s="878">
        <f t="shared" si="36"/>
        <v>3288</v>
      </c>
      <c r="CO19" s="885">
        <f t="shared" ref="CO19:CZ19" si="76">CO20+CO21</f>
        <v>185</v>
      </c>
      <c r="CP19" s="885">
        <f t="shared" si="76"/>
        <v>191</v>
      </c>
      <c r="CQ19" s="885">
        <f t="shared" si="76"/>
        <v>411</v>
      </c>
      <c r="CR19" s="885">
        <f t="shared" si="76"/>
        <v>137</v>
      </c>
      <c r="CS19" s="885">
        <f t="shared" si="76"/>
        <v>915</v>
      </c>
      <c r="CT19" s="885">
        <f t="shared" si="76"/>
        <v>169</v>
      </c>
      <c r="CU19" s="885">
        <f t="shared" si="76"/>
        <v>230</v>
      </c>
      <c r="CV19" s="885">
        <f t="shared" si="76"/>
        <v>698</v>
      </c>
      <c r="CW19" s="885">
        <f t="shared" si="76"/>
        <v>944</v>
      </c>
      <c r="CX19" s="885">
        <f t="shared" si="76"/>
        <v>358</v>
      </c>
      <c r="CY19" s="885">
        <f t="shared" si="76"/>
        <v>151</v>
      </c>
      <c r="CZ19" s="877">
        <f t="shared" si="76"/>
        <v>1145</v>
      </c>
      <c r="DA19" s="878">
        <f t="shared" si="38"/>
        <v>5534</v>
      </c>
      <c r="DB19" s="885">
        <f t="shared" ref="DB19:DM19" si="77">DB20+DB21</f>
        <v>0</v>
      </c>
      <c r="DC19" s="885">
        <f t="shared" si="77"/>
        <v>191</v>
      </c>
      <c r="DD19" s="885">
        <f t="shared" si="77"/>
        <v>117</v>
      </c>
      <c r="DE19" s="885">
        <f t="shared" si="77"/>
        <v>51</v>
      </c>
      <c r="DF19" s="885">
        <f t="shared" si="77"/>
        <v>78</v>
      </c>
      <c r="DG19" s="885">
        <f t="shared" si="77"/>
        <v>117</v>
      </c>
      <c r="DH19" s="885">
        <f t="shared" si="77"/>
        <v>0</v>
      </c>
      <c r="DI19" s="885">
        <f t="shared" si="77"/>
        <v>87</v>
      </c>
      <c r="DJ19" s="885">
        <f t="shared" si="77"/>
        <v>661</v>
      </c>
      <c r="DK19" s="885">
        <f t="shared" si="77"/>
        <v>275</v>
      </c>
      <c r="DL19" s="885">
        <f t="shared" si="77"/>
        <v>2092</v>
      </c>
      <c r="DM19" s="877">
        <f t="shared" si="77"/>
        <v>584</v>
      </c>
      <c r="DN19" s="878">
        <f t="shared" si="40"/>
        <v>4253</v>
      </c>
      <c r="DO19" s="885">
        <f t="shared" ref="DO19:DZ19" si="78">DO20+DO21</f>
        <v>37</v>
      </c>
      <c r="DP19" s="885">
        <f t="shared" si="78"/>
        <v>225</v>
      </c>
      <c r="DQ19" s="885">
        <f t="shared" si="78"/>
        <v>625</v>
      </c>
      <c r="DR19" s="885">
        <f t="shared" si="78"/>
        <v>240</v>
      </c>
      <c r="DS19" s="885">
        <f t="shared" si="78"/>
        <v>633</v>
      </c>
      <c r="DT19" s="885">
        <f t="shared" si="78"/>
        <v>237</v>
      </c>
      <c r="DU19" s="885">
        <f t="shared" si="78"/>
        <v>59</v>
      </c>
      <c r="DV19" s="885">
        <f t="shared" si="78"/>
        <v>465</v>
      </c>
      <c r="DW19" s="885">
        <f t="shared" si="78"/>
        <v>41</v>
      </c>
      <c r="DX19" s="885">
        <f t="shared" si="78"/>
        <v>1408</v>
      </c>
      <c r="DY19" s="885">
        <f t="shared" si="78"/>
        <v>210</v>
      </c>
      <c r="DZ19" s="877">
        <f t="shared" si="78"/>
        <v>833</v>
      </c>
      <c r="EA19" s="878">
        <f t="shared" si="42"/>
        <v>5013</v>
      </c>
      <c r="EB19" s="885">
        <f t="shared" ref="EB19:EM19" si="79">+EB20+EB21</f>
        <v>352</v>
      </c>
      <c r="EC19" s="885">
        <f t="shared" si="79"/>
        <v>0</v>
      </c>
      <c r="ED19" s="885">
        <f t="shared" si="79"/>
        <v>309</v>
      </c>
      <c r="EE19" s="885">
        <f t="shared" si="79"/>
        <v>155</v>
      </c>
      <c r="EF19" s="885">
        <f t="shared" si="79"/>
        <v>76</v>
      </c>
      <c r="EG19" s="885">
        <f t="shared" si="79"/>
        <v>830</v>
      </c>
      <c r="EH19" s="885">
        <f t="shared" si="79"/>
        <v>34</v>
      </c>
      <c r="EI19" s="885">
        <f t="shared" si="79"/>
        <v>894</v>
      </c>
      <c r="EJ19" s="885">
        <f t="shared" si="79"/>
        <v>108</v>
      </c>
      <c r="EK19" s="885">
        <f t="shared" si="79"/>
        <v>1912</v>
      </c>
      <c r="EL19" s="885">
        <f t="shared" si="79"/>
        <v>267</v>
      </c>
      <c r="EM19" s="877">
        <f t="shared" si="79"/>
        <v>-999</v>
      </c>
      <c r="EN19" s="878">
        <f t="shared" si="44"/>
        <v>3938</v>
      </c>
      <c r="EO19" s="885">
        <f t="shared" ref="EO19:ET19" si="80">+EO20+EO21</f>
        <v>141</v>
      </c>
      <c r="EP19" s="885">
        <f t="shared" si="80"/>
        <v>21</v>
      </c>
      <c r="EQ19" s="885">
        <f t="shared" si="80"/>
        <v>731</v>
      </c>
      <c r="ER19" s="885">
        <f t="shared" si="80"/>
        <v>2382</v>
      </c>
      <c r="ES19" s="885">
        <f t="shared" si="80"/>
        <v>850</v>
      </c>
      <c r="ET19" s="885">
        <f t="shared" si="80"/>
        <v>1536</v>
      </c>
      <c r="EU19" s="885">
        <v>1542</v>
      </c>
      <c r="EV19" s="972">
        <f>+EV20+EV21</f>
        <v>951</v>
      </c>
      <c r="EW19" s="885"/>
      <c r="EX19" s="885"/>
      <c r="EY19" s="885"/>
      <c r="EZ19" s="877"/>
      <c r="FA19" s="878">
        <f t="shared" si="49"/>
        <v>8154</v>
      </c>
      <c r="FB19" s="110"/>
      <c r="FC19" s="851">
        <f t="shared" si="50"/>
        <v>6.3758389261745041</v>
      </c>
      <c r="FD19" s="852">
        <f t="shared" si="52"/>
        <v>207.69811320754718</v>
      </c>
      <c r="FE19" s="853">
        <f t="shared" si="51"/>
        <v>2650</v>
      </c>
      <c r="FF19" s="854">
        <f t="shared" si="27"/>
        <v>8154</v>
      </c>
      <c r="FH19" s="236"/>
    </row>
    <row r="20" spans="1:164" ht="15" customHeight="1" x14ac:dyDescent="0.25">
      <c r="A20" s="403" t="s">
        <v>381</v>
      </c>
      <c r="B20" s="883"/>
      <c r="C20" s="883">
        <v>61</v>
      </c>
      <c r="D20" s="883"/>
      <c r="E20" s="883">
        <v>239</v>
      </c>
      <c r="F20" s="883">
        <v>279</v>
      </c>
      <c r="G20" s="883">
        <v>254</v>
      </c>
      <c r="H20" s="883">
        <v>741</v>
      </c>
      <c r="I20" s="883">
        <v>182</v>
      </c>
      <c r="J20" s="883">
        <v>518</v>
      </c>
      <c r="K20" s="883">
        <v>532</v>
      </c>
      <c r="L20" s="883">
        <v>88</v>
      </c>
      <c r="M20" s="873">
        <v>673</v>
      </c>
      <c r="N20" s="879">
        <f t="shared" si="29"/>
        <v>3567</v>
      </c>
      <c r="O20" s="883">
        <v>49</v>
      </c>
      <c r="P20" s="883">
        <v>280</v>
      </c>
      <c r="Q20" s="883">
        <v>183</v>
      </c>
      <c r="R20" s="883">
        <v>479</v>
      </c>
      <c r="S20" s="883">
        <v>524</v>
      </c>
      <c r="T20" s="883">
        <v>802</v>
      </c>
      <c r="U20" s="883">
        <v>943</v>
      </c>
      <c r="V20" s="883">
        <v>763</v>
      </c>
      <c r="W20" s="883">
        <v>801</v>
      </c>
      <c r="X20" s="883">
        <v>38</v>
      </c>
      <c r="Y20" s="883">
        <v>571</v>
      </c>
      <c r="Z20" s="873">
        <v>164</v>
      </c>
      <c r="AA20" s="879">
        <f t="shared" si="31"/>
        <v>5597</v>
      </c>
      <c r="AB20" s="883">
        <v>1110</v>
      </c>
      <c r="AC20" s="883">
        <v>13</v>
      </c>
      <c r="AD20" s="883">
        <v>11</v>
      </c>
      <c r="AE20" s="883">
        <v>10</v>
      </c>
      <c r="AF20" s="883">
        <v>4</v>
      </c>
      <c r="AG20" s="883">
        <v>13</v>
      </c>
      <c r="AH20" s="883">
        <v>6</v>
      </c>
      <c r="AI20" s="883">
        <v>93</v>
      </c>
      <c r="AJ20" s="883">
        <v>97</v>
      </c>
      <c r="AK20" s="883">
        <v>73</v>
      </c>
      <c r="AL20" s="883">
        <v>70</v>
      </c>
      <c r="AM20" s="873">
        <v>76</v>
      </c>
      <c r="AN20" s="879">
        <f t="shared" si="55"/>
        <v>1576</v>
      </c>
      <c r="AO20" s="883">
        <v>102</v>
      </c>
      <c r="AP20" s="883">
        <v>46</v>
      </c>
      <c r="AQ20" s="883">
        <v>61</v>
      </c>
      <c r="AR20" s="883">
        <v>55</v>
      </c>
      <c r="AS20" s="883">
        <v>45</v>
      </c>
      <c r="AT20" s="883">
        <v>36</v>
      </c>
      <c r="AU20" s="883">
        <v>24</v>
      </c>
      <c r="AV20" s="883">
        <v>119</v>
      </c>
      <c r="AW20" s="883">
        <v>39</v>
      </c>
      <c r="AX20" s="883">
        <v>29</v>
      </c>
      <c r="AY20" s="883">
        <v>15</v>
      </c>
      <c r="AZ20" s="873">
        <v>6</v>
      </c>
      <c r="BA20" s="879">
        <f t="shared" si="57"/>
        <v>577</v>
      </c>
      <c r="BB20" s="883"/>
      <c r="BC20" s="883"/>
      <c r="BD20" s="883"/>
      <c r="BE20" s="883"/>
      <c r="BF20" s="883"/>
      <c r="BG20" s="883"/>
      <c r="BH20" s="883"/>
      <c r="BI20" s="883">
        <v>8</v>
      </c>
      <c r="BJ20" s="883">
        <v>61</v>
      </c>
      <c r="BK20" s="883">
        <v>20</v>
      </c>
      <c r="BL20" s="883">
        <v>67</v>
      </c>
      <c r="BM20" s="873">
        <v>35</v>
      </c>
      <c r="BN20" s="879">
        <f t="shared" si="59"/>
        <v>191</v>
      </c>
      <c r="BO20" s="883">
        <v>19</v>
      </c>
      <c r="BP20" s="883">
        <v>19</v>
      </c>
      <c r="BQ20" s="883">
        <v>17</v>
      </c>
      <c r="BR20" s="883">
        <v>17</v>
      </c>
      <c r="BS20" s="883">
        <v>16</v>
      </c>
      <c r="BT20" s="883">
        <v>109</v>
      </c>
      <c r="BU20" s="883">
        <v>16</v>
      </c>
      <c r="BV20" s="883">
        <v>-1</v>
      </c>
      <c r="BW20" s="883">
        <v>20</v>
      </c>
      <c r="BX20" s="883">
        <v>14</v>
      </c>
      <c r="BY20" s="883">
        <v>22</v>
      </c>
      <c r="BZ20" s="873">
        <v>69</v>
      </c>
      <c r="CA20" s="879">
        <f t="shared" si="61"/>
        <v>337</v>
      </c>
      <c r="CB20" s="883">
        <v>9</v>
      </c>
      <c r="CC20" s="883">
        <v>4</v>
      </c>
      <c r="CD20" s="883">
        <v>24</v>
      </c>
      <c r="CE20" s="883">
        <v>12</v>
      </c>
      <c r="CF20" s="883">
        <v>57</v>
      </c>
      <c r="CG20" s="883">
        <v>11</v>
      </c>
      <c r="CH20" s="883"/>
      <c r="CI20" s="883">
        <v>27</v>
      </c>
      <c r="CJ20" s="883">
        <v>33</v>
      </c>
      <c r="CK20" s="883">
        <v>73</v>
      </c>
      <c r="CL20" s="883">
        <v>31</v>
      </c>
      <c r="CM20" s="873">
        <v>16</v>
      </c>
      <c r="CN20" s="879">
        <f t="shared" si="36"/>
        <v>297</v>
      </c>
      <c r="CO20" s="883">
        <v>14</v>
      </c>
      <c r="CP20" s="883">
        <v>6</v>
      </c>
      <c r="CQ20" s="883">
        <v>17</v>
      </c>
      <c r="CR20" s="883">
        <v>5</v>
      </c>
      <c r="CS20" s="883">
        <v>14</v>
      </c>
      <c r="CT20" s="883">
        <v>8</v>
      </c>
      <c r="CU20" s="883">
        <v>10</v>
      </c>
      <c r="CV20" s="883">
        <v>6</v>
      </c>
      <c r="CW20" s="883">
        <v>4</v>
      </c>
      <c r="CX20" s="883">
        <v>3</v>
      </c>
      <c r="CY20" s="883">
        <v>2</v>
      </c>
      <c r="CZ20" s="873"/>
      <c r="DA20" s="879">
        <f t="shared" si="38"/>
        <v>89</v>
      </c>
      <c r="DB20" s="883"/>
      <c r="DC20" s="883"/>
      <c r="DD20" s="883"/>
      <c r="DE20" s="883"/>
      <c r="DF20" s="883"/>
      <c r="DG20" s="883"/>
      <c r="DH20" s="883"/>
      <c r="DI20" s="883"/>
      <c r="DJ20" s="883"/>
      <c r="DK20" s="883"/>
      <c r="DL20" s="883">
        <v>5</v>
      </c>
      <c r="DM20" s="873">
        <v>4</v>
      </c>
      <c r="DN20" s="879">
        <f t="shared" si="40"/>
        <v>9</v>
      </c>
      <c r="DO20" s="883">
        <v>7</v>
      </c>
      <c r="DP20" s="883"/>
      <c r="DQ20" s="883">
        <v>7</v>
      </c>
      <c r="DR20" s="883">
        <v>1</v>
      </c>
      <c r="DS20" s="883"/>
      <c r="DT20" s="883"/>
      <c r="DU20" s="883"/>
      <c r="DV20" s="883"/>
      <c r="DW20" s="883"/>
      <c r="DX20" s="883">
        <v>57</v>
      </c>
      <c r="DY20" s="883">
        <v>6</v>
      </c>
      <c r="DZ20" s="873">
        <v>5</v>
      </c>
      <c r="EA20" s="879">
        <f t="shared" si="42"/>
        <v>83</v>
      </c>
      <c r="EB20" s="883">
        <v>4</v>
      </c>
      <c r="EC20" s="883">
        <v>0</v>
      </c>
      <c r="ED20" s="883">
        <v>5</v>
      </c>
      <c r="EE20" s="883">
        <v>2</v>
      </c>
      <c r="EF20" s="883">
        <v>0</v>
      </c>
      <c r="EG20" s="883">
        <v>0</v>
      </c>
      <c r="EH20" s="883">
        <v>0</v>
      </c>
      <c r="EI20" s="883">
        <v>0</v>
      </c>
      <c r="EJ20" s="883">
        <v>0</v>
      </c>
      <c r="EK20" s="883">
        <v>85</v>
      </c>
      <c r="EL20" s="883">
        <v>0</v>
      </c>
      <c r="EM20" s="873">
        <v>-85</v>
      </c>
      <c r="EN20" s="879">
        <f>SUM(EB20:EM20)</f>
        <v>11</v>
      </c>
      <c r="EO20" s="883">
        <v>0</v>
      </c>
      <c r="EP20" s="883">
        <v>0</v>
      </c>
      <c r="EQ20" s="883">
        <v>11</v>
      </c>
      <c r="ER20" s="883">
        <v>68</v>
      </c>
      <c r="ES20" s="883">
        <v>17</v>
      </c>
      <c r="ET20" s="883">
        <v>23</v>
      </c>
      <c r="EU20" s="883">
        <v>9</v>
      </c>
      <c r="EV20" s="973">
        <v>2</v>
      </c>
      <c r="EW20" s="883"/>
      <c r="EX20" s="883"/>
      <c r="EY20" s="883"/>
      <c r="EZ20" s="873"/>
      <c r="FA20" s="879">
        <f>SUM(EO20:EZ20)</f>
        <v>130</v>
      </c>
      <c r="FC20" s="843" t="str">
        <f t="shared" si="50"/>
        <v/>
      </c>
      <c r="FD20" s="844">
        <f t="shared" si="52"/>
        <v>1081.8181818181818</v>
      </c>
      <c r="FE20" s="845">
        <f t="shared" si="51"/>
        <v>11</v>
      </c>
      <c r="FF20" s="846">
        <f t="shared" si="27"/>
        <v>130</v>
      </c>
      <c r="FH20" s="127"/>
    </row>
    <row r="21" spans="1:164" ht="15" customHeight="1" x14ac:dyDescent="0.25">
      <c r="A21" s="403" t="s">
        <v>382</v>
      </c>
      <c r="B21" s="883"/>
      <c r="C21" s="883"/>
      <c r="D21" s="883"/>
      <c r="E21" s="883"/>
      <c r="F21" s="883"/>
      <c r="G21" s="883"/>
      <c r="H21" s="883"/>
      <c r="I21" s="883"/>
      <c r="J21" s="883"/>
      <c r="K21" s="883"/>
      <c r="L21" s="883"/>
      <c r="M21" s="873"/>
      <c r="N21" s="879">
        <f t="shared" si="29"/>
        <v>0</v>
      </c>
      <c r="O21" s="883"/>
      <c r="P21" s="883"/>
      <c r="Q21" s="883"/>
      <c r="R21" s="883"/>
      <c r="S21" s="883"/>
      <c r="T21" s="883"/>
      <c r="U21" s="883">
        <v>59</v>
      </c>
      <c r="V21" s="883">
        <v>39</v>
      </c>
      <c r="W21" s="883"/>
      <c r="X21" s="883">
        <v>734</v>
      </c>
      <c r="Y21" s="883"/>
      <c r="Z21" s="873"/>
      <c r="AA21" s="879">
        <f t="shared" si="31"/>
        <v>832</v>
      </c>
      <c r="AB21" s="883"/>
      <c r="AC21" s="883">
        <v>527</v>
      </c>
      <c r="AD21" s="883">
        <v>529</v>
      </c>
      <c r="AE21" s="883">
        <v>617</v>
      </c>
      <c r="AF21" s="883">
        <v>536</v>
      </c>
      <c r="AG21" s="883">
        <v>161</v>
      </c>
      <c r="AH21" s="883">
        <v>341</v>
      </c>
      <c r="AI21" s="883">
        <v>1222</v>
      </c>
      <c r="AJ21" s="883">
        <v>1276</v>
      </c>
      <c r="AK21" s="883">
        <v>1204</v>
      </c>
      <c r="AL21" s="883">
        <v>1220</v>
      </c>
      <c r="AM21" s="873">
        <v>1573</v>
      </c>
      <c r="AN21" s="879">
        <f t="shared" si="55"/>
        <v>9206</v>
      </c>
      <c r="AO21" s="883">
        <v>2296</v>
      </c>
      <c r="AP21" s="883">
        <v>868</v>
      </c>
      <c r="AQ21" s="883">
        <v>1633</v>
      </c>
      <c r="AR21" s="883">
        <v>1735</v>
      </c>
      <c r="AS21" s="883">
        <v>1641</v>
      </c>
      <c r="AT21" s="883">
        <v>1576</v>
      </c>
      <c r="AU21" s="883">
        <v>1725</v>
      </c>
      <c r="AV21" s="883">
        <v>1557</v>
      </c>
      <c r="AW21" s="883">
        <v>1634</v>
      </c>
      <c r="AX21" s="883">
        <v>1578</v>
      </c>
      <c r="AY21" s="883">
        <v>1206</v>
      </c>
      <c r="AZ21" s="873">
        <v>1507</v>
      </c>
      <c r="BA21" s="879">
        <f t="shared" si="57"/>
        <v>18956</v>
      </c>
      <c r="BB21" s="883"/>
      <c r="BC21" s="883"/>
      <c r="BD21" s="883"/>
      <c r="BE21" s="883"/>
      <c r="BF21" s="883">
        <v>383</v>
      </c>
      <c r="BG21" s="883">
        <v>119</v>
      </c>
      <c r="BH21" s="883">
        <v>39</v>
      </c>
      <c r="BI21" s="883">
        <v>163</v>
      </c>
      <c r="BJ21" s="883">
        <v>161</v>
      </c>
      <c r="BK21" s="883">
        <v>194</v>
      </c>
      <c r="BL21" s="883">
        <v>231</v>
      </c>
      <c r="BM21" s="873">
        <v>297</v>
      </c>
      <c r="BN21" s="879">
        <f t="shared" si="59"/>
        <v>1587</v>
      </c>
      <c r="BO21" s="883">
        <v>40</v>
      </c>
      <c r="BP21" s="883">
        <v>110</v>
      </c>
      <c r="BQ21" s="883">
        <v>97</v>
      </c>
      <c r="BR21" s="883">
        <v>42</v>
      </c>
      <c r="BS21" s="883">
        <v>43</v>
      </c>
      <c r="BT21" s="883">
        <v>510</v>
      </c>
      <c r="BU21" s="883">
        <v>43</v>
      </c>
      <c r="BV21" s="883">
        <v>-23</v>
      </c>
      <c r="BW21" s="883">
        <v>105</v>
      </c>
      <c r="BX21" s="883">
        <v>66</v>
      </c>
      <c r="BY21" s="883">
        <v>106</v>
      </c>
      <c r="BZ21" s="873">
        <v>420</v>
      </c>
      <c r="CA21" s="879">
        <f t="shared" si="61"/>
        <v>1559</v>
      </c>
      <c r="CB21" s="883">
        <v>32</v>
      </c>
      <c r="CC21" s="883">
        <v>14</v>
      </c>
      <c r="CD21" s="883">
        <v>94</v>
      </c>
      <c r="CE21" s="883">
        <v>47</v>
      </c>
      <c r="CF21" s="883">
        <v>385</v>
      </c>
      <c r="CG21" s="883">
        <v>279</v>
      </c>
      <c r="CH21" s="883">
        <v>32</v>
      </c>
      <c r="CI21" s="883">
        <v>267</v>
      </c>
      <c r="CJ21" s="883">
        <v>293</v>
      </c>
      <c r="CK21" s="883">
        <v>817</v>
      </c>
      <c r="CL21" s="883">
        <v>412</v>
      </c>
      <c r="CM21" s="873">
        <v>319</v>
      </c>
      <c r="CN21" s="879">
        <f t="shared" si="36"/>
        <v>2991</v>
      </c>
      <c r="CO21" s="883">
        <v>171</v>
      </c>
      <c r="CP21" s="883">
        <v>185</v>
      </c>
      <c r="CQ21" s="883">
        <v>394</v>
      </c>
      <c r="CR21" s="883">
        <v>132</v>
      </c>
      <c r="CS21" s="883">
        <v>901</v>
      </c>
      <c r="CT21" s="883">
        <v>161</v>
      </c>
      <c r="CU21" s="883">
        <v>220</v>
      </c>
      <c r="CV21" s="883">
        <v>692</v>
      </c>
      <c r="CW21" s="883">
        <v>940</v>
      </c>
      <c r="CX21" s="883">
        <v>355</v>
      </c>
      <c r="CY21" s="883">
        <v>149</v>
      </c>
      <c r="CZ21" s="873">
        <v>1145</v>
      </c>
      <c r="DA21" s="879">
        <f t="shared" si="38"/>
        <v>5445</v>
      </c>
      <c r="DB21" s="883"/>
      <c r="DC21" s="883">
        <v>191</v>
      </c>
      <c r="DD21" s="883">
        <v>117</v>
      </c>
      <c r="DE21" s="883">
        <v>51</v>
      </c>
      <c r="DF21" s="883">
        <v>78</v>
      </c>
      <c r="DG21" s="883">
        <v>117</v>
      </c>
      <c r="DH21" s="883"/>
      <c r="DI21" s="883">
        <v>87</v>
      </c>
      <c r="DJ21" s="883">
        <v>661</v>
      </c>
      <c r="DK21" s="883">
        <v>275</v>
      </c>
      <c r="DL21" s="883">
        <v>2087</v>
      </c>
      <c r="DM21" s="873">
        <v>580</v>
      </c>
      <c r="DN21" s="879">
        <f t="shared" si="40"/>
        <v>4244</v>
      </c>
      <c r="DO21" s="883">
        <v>30</v>
      </c>
      <c r="DP21" s="883">
        <v>225</v>
      </c>
      <c r="DQ21" s="883">
        <v>618</v>
      </c>
      <c r="DR21" s="883">
        <v>239</v>
      </c>
      <c r="DS21" s="883">
        <v>633</v>
      </c>
      <c r="DT21" s="883">
        <v>237</v>
      </c>
      <c r="DU21" s="883">
        <v>59</v>
      </c>
      <c r="DV21" s="883">
        <v>465</v>
      </c>
      <c r="DW21" s="883">
        <v>41</v>
      </c>
      <c r="DX21" s="883">
        <v>1351</v>
      </c>
      <c r="DY21" s="883">
        <v>204</v>
      </c>
      <c r="DZ21" s="873">
        <v>828</v>
      </c>
      <c r="EA21" s="879">
        <f t="shared" si="42"/>
        <v>4930</v>
      </c>
      <c r="EB21" s="883">
        <v>348</v>
      </c>
      <c r="EC21" s="883">
        <v>0</v>
      </c>
      <c r="ED21" s="883">
        <v>304</v>
      </c>
      <c r="EE21" s="883">
        <v>153</v>
      </c>
      <c r="EF21" s="883">
        <v>76</v>
      </c>
      <c r="EG21" s="883">
        <v>830</v>
      </c>
      <c r="EH21" s="883">
        <v>34</v>
      </c>
      <c r="EI21" s="883">
        <v>894</v>
      </c>
      <c r="EJ21" s="883">
        <v>108</v>
      </c>
      <c r="EK21" s="883">
        <v>1827</v>
      </c>
      <c r="EL21" s="883">
        <v>267</v>
      </c>
      <c r="EM21" s="873">
        <v>-914</v>
      </c>
      <c r="EN21" s="879">
        <f t="shared" si="44"/>
        <v>3927</v>
      </c>
      <c r="EO21" s="883">
        <v>141</v>
      </c>
      <c r="EP21" s="883">
        <v>21</v>
      </c>
      <c r="EQ21" s="883">
        <v>720</v>
      </c>
      <c r="ER21" s="883">
        <v>2314</v>
      </c>
      <c r="ES21" s="883">
        <v>833</v>
      </c>
      <c r="ET21" s="883">
        <v>1513</v>
      </c>
      <c r="EU21" s="883">
        <v>1533</v>
      </c>
      <c r="EV21" s="973">
        <v>949</v>
      </c>
      <c r="EW21" s="883"/>
      <c r="EX21" s="883"/>
      <c r="EY21" s="883"/>
      <c r="EZ21" s="873"/>
      <c r="FA21" s="879">
        <f t="shared" si="49"/>
        <v>8024</v>
      </c>
      <c r="FC21" s="843">
        <f t="shared" si="50"/>
        <v>6.1521252796420622</v>
      </c>
      <c r="FD21" s="844">
        <f t="shared" si="52"/>
        <v>204.05456612353166</v>
      </c>
      <c r="FE21" s="845">
        <f t="shared" si="51"/>
        <v>2639</v>
      </c>
      <c r="FF21" s="846">
        <f t="shared" si="27"/>
        <v>8024</v>
      </c>
      <c r="FH21" s="127"/>
    </row>
    <row r="22" spans="1:164" ht="15" customHeight="1" x14ac:dyDescent="0.25">
      <c r="A22" s="138"/>
      <c r="B22" s="883"/>
      <c r="C22" s="883"/>
      <c r="D22" s="883"/>
      <c r="E22" s="883"/>
      <c r="F22" s="883"/>
      <c r="G22" s="883"/>
      <c r="H22" s="883"/>
      <c r="I22" s="883"/>
      <c r="J22" s="883"/>
      <c r="K22" s="883"/>
      <c r="L22" s="883"/>
      <c r="M22" s="873"/>
      <c r="N22" s="879"/>
      <c r="O22" s="883"/>
      <c r="P22" s="883"/>
      <c r="Q22" s="883"/>
      <c r="R22" s="883"/>
      <c r="S22" s="883"/>
      <c r="T22" s="883"/>
      <c r="U22" s="883"/>
      <c r="V22" s="883"/>
      <c r="W22" s="883"/>
      <c r="X22" s="883"/>
      <c r="Y22" s="883"/>
      <c r="Z22" s="873"/>
      <c r="AA22" s="879"/>
      <c r="AB22" s="883"/>
      <c r="AC22" s="883"/>
      <c r="AD22" s="883"/>
      <c r="AE22" s="883"/>
      <c r="AF22" s="883"/>
      <c r="AG22" s="883"/>
      <c r="AH22" s="883"/>
      <c r="AI22" s="883"/>
      <c r="AJ22" s="883"/>
      <c r="AK22" s="883"/>
      <c r="AL22" s="883"/>
      <c r="AM22" s="873"/>
      <c r="AN22" s="879"/>
      <c r="AO22" s="883"/>
      <c r="AP22" s="883"/>
      <c r="AQ22" s="883"/>
      <c r="AR22" s="883"/>
      <c r="AS22" s="883"/>
      <c r="AT22" s="883"/>
      <c r="AU22" s="883"/>
      <c r="AV22" s="883"/>
      <c r="AW22" s="883"/>
      <c r="AX22" s="883"/>
      <c r="AY22" s="883"/>
      <c r="AZ22" s="873"/>
      <c r="BA22" s="879"/>
      <c r="BB22" s="883"/>
      <c r="BC22" s="883"/>
      <c r="BD22" s="883"/>
      <c r="BE22" s="883"/>
      <c r="BF22" s="883"/>
      <c r="BG22" s="883"/>
      <c r="BH22" s="883"/>
      <c r="BI22" s="883"/>
      <c r="BJ22" s="883"/>
      <c r="BK22" s="883"/>
      <c r="BL22" s="883"/>
      <c r="BM22" s="873"/>
      <c r="BN22" s="879"/>
      <c r="BO22" s="883"/>
      <c r="BP22" s="883"/>
      <c r="BQ22" s="883"/>
      <c r="BR22" s="883"/>
      <c r="BS22" s="883"/>
      <c r="BT22" s="883"/>
      <c r="BU22" s="883"/>
      <c r="BV22" s="883"/>
      <c r="BW22" s="883"/>
      <c r="BX22" s="883"/>
      <c r="BY22" s="883"/>
      <c r="BZ22" s="873"/>
      <c r="CA22" s="879"/>
      <c r="CB22" s="883"/>
      <c r="CC22" s="883"/>
      <c r="CD22" s="883"/>
      <c r="CE22" s="883"/>
      <c r="CF22" s="883"/>
      <c r="CG22" s="883"/>
      <c r="CH22" s="883"/>
      <c r="CI22" s="883"/>
      <c r="CJ22" s="883"/>
      <c r="CK22" s="883"/>
      <c r="CL22" s="883"/>
      <c r="CM22" s="873"/>
      <c r="CN22" s="879"/>
      <c r="CO22" s="883"/>
      <c r="CP22" s="883"/>
      <c r="CQ22" s="883"/>
      <c r="CR22" s="883"/>
      <c r="CS22" s="883"/>
      <c r="CT22" s="883"/>
      <c r="CU22" s="883"/>
      <c r="CV22" s="883"/>
      <c r="CW22" s="883"/>
      <c r="CX22" s="883"/>
      <c r="CY22" s="883"/>
      <c r="CZ22" s="873"/>
      <c r="DA22" s="879"/>
      <c r="DB22" s="883"/>
      <c r="DC22" s="883"/>
      <c r="DD22" s="883"/>
      <c r="DE22" s="883"/>
      <c r="DF22" s="883"/>
      <c r="DG22" s="883"/>
      <c r="DH22" s="883"/>
      <c r="DI22" s="883"/>
      <c r="DJ22" s="883"/>
      <c r="DK22" s="883"/>
      <c r="DL22" s="883"/>
      <c r="DM22" s="873"/>
      <c r="DN22" s="879"/>
      <c r="DO22" s="883"/>
      <c r="DP22" s="883"/>
      <c r="DQ22" s="883"/>
      <c r="DR22" s="883"/>
      <c r="DS22" s="883"/>
      <c r="DT22" s="883"/>
      <c r="DU22" s="883"/>
      <c r="DV22" s="883"/>
      <c r="DW22" s="883"/>
      <c r="DX22" s="883"/>
      <c r="DY22" s="883"/>
      <c r="DZ22" s="873"/>
      <c r="EA22" s="879"/>
      <c r="EB22" s="883"/>
      <c r="EC22" s="883"/>
      <c r="ED22" s="883"/>
      <c r="EE22" s="883"/>
      <c r="EF22" s="883"/>
      <c r="EG22" s="883"/>
      <c r="EH22" s="883"/>
      <c r="EI22" s="883"/>
      <c r="EJ22" s="883"/>
      <c r="EK22" s="883"/>
      <c r="EL22" s="883"/>
      <c r="EM22" s="873"/>
      <c r="EN22" s="879"/>
      <c r="EO22" s="883"/>
      <c r="EP22" s="883"/>
      <c r="EQ22" s="883"/>
      <c r="ER22" s="883"/>
      <c r="ES22" s="883"/>
      <c r="ET22" s="883"/>
      <c r="EU22" s="883"/>
      <c r="EV22" s="973"/>
      <c r="EW22" s="883"/>
      <c r="EX22" s="883"/>
      <c r="EY22" s="883"/>
      <c r="EZ22" s="873"/>
      <c r="FA22" s="879"/>
      <c r="FC22" s="843"/>
      <c r="FD22" s="844"/>
      <c r="FE22" s="845"/>
      <c r="FF22" s="846"/>
    </row>
    <row r="23" spans="1:164" ht="15" customHeight="1" x14ac:dyDescent="0.25">
      <c r="A23" s="822" t="s">
        <v>383</v>
      </c>
      <c r="B23" s="884">
        <f t="shared" ref="B23:M23" si="81">SUM(B24:B28)</f>
        <v>6305</v>
      </c>
      <c r="C23" s="884">
        <f t="shared" si="81"/>
        <v>21535</v>
      </c>
      <c r="D23" s="884">
        <f t="shared" si="81"/>
        <v>28977</v>
      </c>
      <c r="E23" s="884">
        <f t="shared" si="81"/>
        <v>25966</v>
      </c>
      <c r="F23" s="884">
        <f t="shared" si="81"/>
        <v>25670</v>
      </c>
      <c r="G23" s="884">
        <f t="shared" si="81"/>
        <v>27221</v>
      </c>
      <c r="H23" s="884">
        <f t="shared" si="81"/>
        <v>45867</v>
      </c>
      <c r="I23" s="884">
        <f t="shared" si="81"/>
        <v>14864</v>
      </c>
      <c r="J23" s="884">
        <f t="shared" si="81"/>
        <v>25861</v>
      </c>
      <c r="K23" s="884">
        <f t="shared" si="81"/>
        <v>25561</v>
      </c>
      <c r="L23" s="884">
        <f t="shared" si="81"/>
        <v>34741</v>
      </c>
      <c r="M23" s="875">
        <f t="shared" si="81"/>
        <v>60273</v>
      </c>
      <c r="N23" s="876">
        <f t="shared" ref="N23:N28" si="82">SUM(B23:M23)</f>
        <v>342841</v>
      </c>
      <c r="O23" s="884">
        <f>SUM(O24:O28)</f>
        <v>13343</v>
      </c>
      <c r="P23" s="884">
        <f t="shared" ref="P23:AM23" si="83">SUM(P24:P28)</f>
        <v>25391</v>
      </c>
      <c r="Q23" s="884">
        <f t="shared" si="83"/>
        <v>24358</v>
      </c>
      <c r="R23" s="884">
        <f t="shared" si="83"/>
        <v>26569</v>
      </c>
      <c r="S23" s="884">
        <f t="shared" si="83"/>
        <v>28143</v>
      </c>
      <c r="T23" s="884">
        <f t="shared" si="83"/>
        <v>26650</v>
      </c>
      <c r="U23" s="884">
        <f t="shared" si="83"/>
        <v>32254</v>
      </c>
      <c r="V23" s="884">
        <f t="shared" si="83"/>
        <v>33106</v>
      </c>
      <c r="W23" s="884">
        <f t="shared" si="83"/>
        <v>31080</v>
      </c>
      <c r="X23" s="884">
        <f t="shared" si="83"/>
        <v>27054</v>
      </c>
      <c r="Y23" s="884">
        <f t="shared" si="83"/>
        <v>44167</v>
      </c>
      <c r="Z23" s="875">
        <f t="shared" si="83"/>
        <v>63077</v>
      </c>
      <c r="AA23" s="876">
        <f t="shared" ref="AA23:AA28" si="84">SUM(O23:Z23)</f>
        <v>375192</v>
      </c>
      <c r="AB23" s="884">
        <f t="shared" si="83"/>
        <v>12358</v>
      </c>
      <c r="AC23" s="884">
        <f t="shared" si="83"/>
        <v>19103</v>
      </c>
      <c r="AD23" s="884">
        <f t="shared" si="83"/>
        <v>33899</v>
      </c>
      <c r="AE23" s="884">
        <f t="shared" si="83"/>
        <v>24678</v>
      </c>
      <c r="AF23" s="884">
        <f t="shared" si="83"/>
        <v>28912</v>
      </c>
      <c r="AG23" s="884">
        <f t="shared" si="83"/>
        <v>34382</v>
      </c>
      <c r="AH23" s="884">
        <f t="shared" si="83"/>
        <v>41128</v>
      </c>
      <c r="AI23" s="884">
        <f t="shared" si="83"/>
        <v>35991</v>
      </c>
      <c r="AJ23" s="884">
        <f t="shared" si="83"/>
        <v>31062</v>
      </c>
      <c r="AK23" s="884">
        <f t="shared" si="83"/>
        <v>32780</v>
      </c>
      <c r="AL23" s="884">
        <f t="shared" si="83"/>
        <v>37413</v>
      </c>
      <c r="AM23" s="875">
        <f t="shared" si="83"/>
        <v>61086</v>
      </c>
      <c r="AN23" s="876">
        <f t="shared" ref="AN23:AN28" si="85">SUM(AB23:AM23)</f>
        <v>392792</v>
      </c>
      <c r="AO23" s="884">
        <f t="shared" ref="AO23:AZ23" si="86">SUM(AO24:AO28)</f>
        <v>14150</v>
      </c>
      <c r="AP23" s="884">
        <f t="shared" si="86"/>
        <v>20509</v>
      </c>
      <c r="AQ23" s="884">
        <f t="shared" si="86"/>
        <v>34442</v>
      </c>
      <c r="AR23" s="884">
        <f t="shared" si="86"/>
        <v>24100</v>
      </c>
      <c r="AS23" s="884">
        <f t="shared" si="86"/>
        <v>36099</v>
      </c>
      <c r="AT23" s="884">
        <f t="shared" si="86"/>
        <v>32699</v>
      </c>
      <c r="AU23" s="884">
        <f t="shared" si="86"/>
        <v>47195</v>
      </c>
      <c r="AV23" s="884">
        <f t="shared" si="86"/>
        <v>37781</v>
      </c>
      <c r="AW23" s="884">
        <f t="shared" si="86"/>
        <v>38571</v>
      </c>
      <c r="AX23" s="884">
        <f t="shared" si="86"/>
        <v>34680</v>
      </c>
      <c r="AY23" s="884">
        <f t="shared" si="86"/>
        <v>39523</v>
      </c>
      <c r="AZ23" s="875">
        <f t="shared" si="86"/>
        <v>53621</v>
      </c>
      <c r="BA23" s="876">
        <f t="shared" ref="BA23:BA28" si="87">SUM(AO23:AZ23)</f>
        <v>413370</v>
      </c>
      <c r="BB23" s="884">
        <f t="shared" ref="BB23:BL23" si="88">SUM(BB24:BB28)</f>
        <v>8389</v>
      </c>
      <c r="BC23" s="884">
        <f t="shared" si="88"/>
        <v>17880</v>
      </c>
      <c r="BD23" s="884">
        <f t="shared" si="88"/>
        <v>33404</v>
      </c>
      <c r="BE23" s="884">
        <f t="shared" si="88"/>
        <v>44929</v>
      </c>
      <c r="BF23" s="884">
        <f t="shared" si="88"/>
        <v>23318</v>
      </c>
      <c r="BG23" s="884">
        <f t="shared" si="88"/>
        <v>46090</v>
      </c>
      <c r="BH23" s="884">
        <f t="shared" si="88"/>
        <v>35778</v>
      </c>
      <c r="BI23" s="884">
        <f t="shared" si="88"/>
        <v>45277</v>
      </c>
      <c r="BJ23" s="884">
        <f t="shared" si="88"/>
        <v>43855</v>
      </c>
      <c r="BK23" s="884">
        <f t="shared" si="88"/>
        <v>31409</v>
      </c>
      <c r="BL23" s="884">
        <f t="shared" si="88"/>
        <v>36994</v>
      </c>
      <c r="BM23" s="875">
        <f>SUM(BM24:BM28)</f>
        <v>56543</v>
      </c>
      <c r="BN23" s="876">
        <f t="shared" ref="BN23:BN28" si="89">SUM(BB23:BM23)</f>
        <v>423866</v>
      </c>
      <c r="BO23" s="884">
        <f t="shared" ref="BO23:BZ23" si="90">SUM(BO24:BO28)</f>
        <v>15866</v>
      </c>
      <c r="BP23" s="884">
        <f t="shared" si="90"/>
        <v>22784</v>
      </c>
      <c r="BQ23" s="884">
        <f t="shared" si="90"/>
        <v>27544</v>
      </c>
      <c r="BR23" s="884">
        <f t="shared" si="90"/>
        <v>18036</v>
      </c>
      <c r="BS23" s="884">
        <f t="shared" si="90"/>
        <v>15450</v>
      </c>
      <c r="BT23" s="884">
        <f t="shared" si="90"/>
        <v>16544</v>
      </c>
      <c r="BU23" s="884">
        <f t="shared" si="90"/>
        <v>38589</v>
      </c>
      <c r="BV23" s="884">
        <f t="shared" si="90"/>
        <v>25599</v>
      </c>
      <c r="BW23" s="884">
        <f t="shared" si="90"/>
        <v>37382</v>
      </c>
      <c r="BX23" s="884">
        <f t="shared" si="90"/>
        <v>48945</v>
      </c>
      <c r="BY23" s="884">
        <f t="shared" si="90"/>
        <v>52566</v>
      </c>
      <c r="BZ23" s="875">
        <f t="shared" si="90"/>
        <v>91547</v>
      </c>
      <c r="CA23" s="876">
        <f t="shared" ref="CA23:CA28" si="91">SUM(BO23:BZ23)</f>
        <v>410852</v>
      </c>
      <c r="CB23" s="884">
        <f t="shared" ref="CB23:CM23" si="92">SUM(CB24:CB28)</f>
        <v>12208</v>
      </c>
      <c r="CC23" s="884">
        <f t="shared" si="92"/>
        <v>21406</v>
      </c>
      <c r="CD23" s="884">
        <f t="shared" si="92"/>
        <v>44766</v>
      </c>
      <c r="CE23" s="884">
        <f t="shared" si="92"/>
        <v>26171</v>
      </c>
      <c r="CF23" s="884">
        <f t="shared" si="92"/>
        <v>32887</v>
      </c>
      <c r="CG23" s="884">
        <f t="shared" si="92"/>
        <v>33584</v>
      </c>
      <c r="CH23" s="884">
        <f t="shared" si="92"/>
        <v>34133</v>
      </c>
      <c r="CI23" s="884">
        <f t="shared" si="92"/>
        <v>37154</v>
      </c>
      <c r="CJ23" s="884">
        <f t="shared" si="92"/>
        <v>38296</v>
      </c>
      <c r="CK23" s="884">
        <f t="shared" si="92"/>
        <v>39008</v>
      </c>
      <c r="CL23" s="884">
        <f t="shared" si="92"/>
        <v>38989</v>
      </c>
      <c r="CM23" s="875">
        <f t="shared" si="92"/>
        <v>77596</v>
      </c>
      <c r="CN23" s="876">
        <f t="shared" si="36"/>
        <v>436198</v>
      </c>
      <c r="CO23" s="884">
        <f t="shared" ref="CO23:CZ23" si="93">SUM(CO24:CO28)</f>
        <v>13877</v>
      </c>
      <c r="CP23" s="884">
        <f t="shared" si="93"/>
        <v>29979</v>
      </c>
      <c r="CQ23" s="884">
        <f t="shared" si="93"/>
        <v>43718</v>
      </c>
      <c r="CR23" s="884">
        <f t="shared" si="93"/>
        <v>32020</v>
      </c>
      <c r="CS23" s="884">
        <f t="shared" si="93"/>
        <v>40227</v>
      </c>
      <c r="CT23" s="884">
        <f t="shared" si="93"/>
        <v>45476</v>
      </c>
      <c r="CU23" s="884">
        <f t="shared" si="93"/>
        <v>50398</v>
      </c>
      <c r="CV23" s="884">
        <f t="shared" si="93"/>
        <v>51990</v>
      </c>
      <c r="CW23" s="884">
        <f t="shared" si="93"/>
        <v>56928</v>
      </c>
      <c r="CX23" s="884">
        <f t="shared" si="93"/>
        <v>53623</v>
      </c>
      <c r="CY23" s="884">
        <f t="shared" si="93"/>
        <v>57983</v>
      </c>
      <c r="CZ23" s="875">
        <f t="shared" si="93"/>
        <v>89540</v>
      </c>
      <c r="DA23" s="876">
        <f t="shared" si="38"/>
        <v>565759</v>
      </c>
      <c r="DB23" s="884">
        <f t="shared" ref="DB23:DM23" si="94">SUM(DB24:DB28)</f>
        <v>9031</v>
      </c>
      <c r="DC23" s="884">
        <f t="shared" si="94"/>
        <v>25737</v>
      </c>
      <c r="DD23" s="884">
        <f t="shared" si="94"/>
        <v>40671</v>
      </c>
      <c r="DE23" s="884">
        <f t="shared" si="94"/>
        <v>33817</v>
      </c>
      <c r="DF23" s="884">
        <f t="shared" si="94"/>
        <v>40049</v>
      </c>
      <c r="DG23" s="884">
        <f t="shared" si="94"/>
        <v>40871</v>
      </c>
      <c r="DH23" s="884">
        <f t="shared" si="94"/>
        <v>42707</v>
      </c>
      <c r="DI23" s="884">
        <f t="shared" si="94"/>
        <v>48466</v>
      </c>
      <c r="DJ23" s="884">
        <f t="shared" si="94"/>
        <v>48158</v>
      </c>
      <c r="DK23" s="884">
        <f t="shared" si="94"/>
        <v>56775</v>
      </c>
      <c r="DL23" s="884">
        <f t="shared" si="94"/>
        <v>59228</v>
      </c>
      <c r="DM23" s="875">
        <f t="shared" si="94"/>
        <v>96970</v>
      </c>
      <c r="DN23" s="876">
        <f t="shared" si="40"/>
        <v>542480</v>
      </c>
      <c r="DO23" s="884">
        <f t="shared" ref="DO23:DZ23" si="95">SUM(DO24:DO28)</f>
        <v>12525</v>
      </c>
      <c r="DP23" s="884">
        <f t="shared" si="95"/>
        <v>33906</v>
      </c>
      <c r="DQ23" s="884">
        <f t="shared" si="95"/>
        <v>57767</v>
      </c>
      <c r="DR23" s="884">
        <f t="shared" si="95"/>
        <v>47795</v>
      </c>
      <c r="DS23" s="884">
        <f t="shared" si="95"/>
        <v>52899</v>
      </c>
      <c r="DT23" s="884">
        <f t="shared" si="95"/>
        <v>47161</v>
      </c>
      <c r="DU23" s="884">
        <f t="shared" si="95"/>
        <v>51064</v>
      </c>
      <c r="DV23" s="884">
        <f t="shared" si="95"/>
        <v>50164</v>
      </c>
      <c r="DW23" s="884">
        <f t="shared" si="95"/>
        <v>45453</v>
      </c>
      <c r="DX23" s="884">
        <f t="shared" si="95"/>
        <v>50124</v>
      </c>
      <c r="DY23" s="884">
        <f t="shared" si="95"/>
        <v>54133</v>
      </c>
      <c r="DZ23" s="875">
        <f t="shared" si="95"/>
        <v>93373</v>
      </c>
      <c r="EA23" s="876">
        <f t="shared" si="42"/>
        <v>596364</v>
      </c>
      <c r="EB23" s="884">
        <f t="shared" ref="EB23:EM23" si="96">SUM(EB24:EB28)</f>
        <v>14957</v>
      </c>
      <c r="EC23" s="884">
        <f t="shared" si="96"/>
        <v>34816</v>
      </c>
      <c r="ED23" s="884">
        <f t="shared" si="96"/>
        <v>39770</v>
      </c>
      <c r="EE23" s="884">
        <f t="shared" si="96"/>
        <v>49961</v>
      </c>
      <c r="EF23" s="884">
        <f t="shared" si="96"/>
        <v>53179</v>
      </c>
      <c r="EG23" s="884">
        <f t="shared" si="96"/>
        <v>48313</v>
      </c>
      <c r="EH23" s="884">
        <f t="shared" si="96"/>
        <v>53691</v>
      </c>
      <c r="EI23" s="884">
        <f t="shared" si="96"/>
        <v>53962</v>
      </c>
      <c r="EJ23" s="884">
        <f t="shared" si="96"/>
        <v>47765</v>
      </c>
      <c r="EK23" s="884">
        <f t="shared" si="96"/>
        <v>67816</v>
      </c>
      <c r="EL23" s="884">
        <f t="shared" si="96"/>
        <v>57059</v>
      </c>
      <c r="EM23" s="875">
        <f t="shared" si="96"/>
        <v>83837</v>
      </c>
      <c r="EN23" s="876">
        <f t="shared" si="44"/>
        <v>605126</v>
      </c>
      <c r="EO23" s="884">
        <f t="shared" ref="EO23:ET23" si="97">SUM(EO24:EO28)</f>
        <v>16703</v>
      </c>
      <c r="EP23" s="884">
        <f t="shared" si="97"/>
        <v>49290</v>
      </c>
      <c r="EQ23" s="884">
        <f t="shared" si="97"/>
        <v>52396</v>
      </c>
      <c r="ER23" s="884">
        <f t="shared" si="97"/>
        <v>73559</v>
      </c>
      <c r="ES23" s="884">
        <f t="shared" si="97"/>
        <v>52453</v>
      </c>
      <c r="ET23" s="884">
        <f t="shared" si="97"/>
        <v>57038</v>
      </c>
      <c r="EU23" s="884">
        <v>65523</v>
      </c>
      <c r="EV23" s="971">
        <f t="shared" ref="EV23" si="98">SUM(EV24:EV28)</f>
        <v>62153</v>
      </c>
      <c r="EW23" s="884"/>
      <c r="EX23" s="884"/>
      <c r="EY23" s="884"/>
      <c r="EZ23" s="875"/>
      <c r="FA23" s="876">
        <f t="shared" si="49"/>
        <v>429115</v>
      </c>
      <c r="FB23" s="757"/>
      <c r="FC23" s="847">
        <f t="shared" ref="FC23:FC30" si="99">IFERROR(((
_xlfn.XLOOKUP((DATE(YEAR($FC$5),MONTH($FC$5),1)),UCA.GGL.DATE,$B23:$FA23) /
_xlfn.XLOOKUP((DATE(YEAR($FC$5)-1,MONTH($FC$5),1)),UCA.GGL.DATE,$B23:$FA23)
)-1)*100,"")</f>
        <v>15.179200177902974</v>
      </c>
      <c r="FD23" s="848">
        <f t="shared" si="52"/>
        <v>23.07937209055526</v>
      </c>
      <c r="FE23" s="849">
        <f t="shared" ref="FE23:FE30" si="100">SUMIFS($B23:$FA23,UCA.GGL.DATE,"&gt;="&amp;DATE(YEAR($FC$5)-1,1,1),UCA.GGL.DATE,"&lt;="&amp;DATE(YEAR($FC$5)-1,MONTH($FC$5),1))</f>
        <v>348649</v>
      </c>
      <c r="FF23" s="850">
        <f t="shared" ref="FF23:FF30" si="101">SUMIFS($B23:$FA23,UCA.GGL.DATE,"&gt;="&amp;DATE(YEAR($FC$5),1,1),UCA.GGL.DATE,"&lt;="&amp;$FC$5)</f>
        <v>429115</v>
      </c>
      <c r="FH23" s="793"/>
    </row>
    <row r="24" spans="1:164" ht="15" customHeight="1" x14ac:dyDescent="0.25">
      <c r="A24" s="402" t="s">
        <v>384</v>
      </c>
      <c r="B24" s="883"/>
      <c r="C24" s="883">
        <v>1635</v>
      </c>
      <c r="D24" s="883">
        <v>4169</v>
      </c>
      <c r="E24" s="883">
        <v>1724</v>
      </c>
      <c r="F24" s="883">
        <v>3188</v>
      </c>
      <c r="G24" s="883">
        <v>1838</v>
      </c>
      <c r="H24" s="883">
        <v>5451</v>
      </c>
      <c r="I24" s="883">
        <v>5</v>
      </c>
      <c r="J24" s="883">
        <v>-629</v>
      </c>
      <c r="K24" s="883">
        <v>3267</v>
      </c>
      <c r="L24" s="883">
        <v>8346</v>
      </c>
      <c r="M24" s="873">
        <v>21122</v>
      </c>
      <c r="N24" s="879">
        <f t="shared" si="82"/>
        <v>50116</v>
      </c>
      <c r="O24" s="883">
        <v>75</v>
      </c>
      <c r="P24" s="883">
        <v>332</v>
      </c>
      <c r="Q24" s="883">
        <v>2792</v>
      </c>
      <c r="R24" s="883">
        <v>2691</v>
      </c>
      <c r="S24" s="883">
        <v>2012</v>
      </c>
      <c r="T24" s="883">
        <v>1878</v>
      </c>
      <c r="U24" s="883">
        <v>3451</v>
      </c>
      <c r="V24" s="883">
        <v>2614</v>
      </c>
      <c r="W24" s="883">
        <v>4575</v>
      </c>
      <c r="X24" s="883">
        <v>1760</v>
      </c>
      <c r="Y24" s="883">
        <v>10895</v>
      </c>
      <c r="Z24" s="873">
        <v>23232</v>
      </c>
      <c r="AA24" s="879">
        <f t="shared" si="84"/>
        <v>56307</v>
      </c>
      <c r="AB24" s="883">
        <v>26</v>
      </c>
      <c r="AC24" s="883">
        <v>1049</v>
      </c>
      <c r="AD24" s="883">
        <v>2900</v>
      </c>
      <c r="AE24" s="883">
        <v>4198</v>
      </c>
      <c r="AF24" s="883">
        <v>4876</v>
      </c>
      <c r="AG24" s="883">
        <v>8077</v>
      </c>
      <c r="AH24" s="883">
        <v>7917</v>
      </c>
      <c r="AI24" s="883">
        <v>8368</v>
      </c>
      <c r="AJ24" s="883">
        <v>5192</v>
      </c>
      <c r="AK24" s="883">
        <v>5219</v>
      </c>
      <c r="AL24" s="883">
        <v>4917</v>
      </c>
      <c r="AM24" s="873">
        <v>14859</v>
      </c>
      <c r="AN24" s="879">
        <f t="shared" si="85"/>
        <v>67598</v>
      </c>
      <c r="AO24" s="883">
        <v>22</v>
      </c>
      <c r="AP24" s="883">
        <v>583</v>
      </c>
      <c r="AQ24" s="883">
        <v>1379</v>
      </c>
      <c r="AR24" s="883">
        <v>1580</v>
      </c>
      <c r="AS24" s="883">
        <v>2401</v>
      </c>
      <c r="AT24" s="883">
        <v>2926</v>
      </c>
      <c r="AU24" s="883">
        <v>2238</v>
      </c>
      <c r="AV24" s="883">
        <v>1699</v>
      </c>
      <c r="AW24" s="883">
        <v>4727</v>
      </c>
      <c r="AX24" s="883">
        <v>3842</v>
      </c>
      <c r="AY24" s="883">
        <v>2801</v>
      </c>
      <c r="AZ24" s="873">
        <v>7565</v>
      </c>
      <c r="BA24" s="879">
        <f t="shared" si="87"/>
        <v>31763</v>
      </c>
      <c r="BB24" s="883">
        <v>1588</v>
      </c>
      <c r="BC24" s="883">
        <v>692</v>
      </c>
      <c r="BD24" s="883">
        <v>4551</v>
      </c>
      <c r="BE24" s="883">
        <v>12717</v>
      </c>
      <c r="BF24" s="883">
        <v>-617</v>
      </c>
      <c r="BG24" s="883">
        <v>12678</v>
      </c>
      <c r="BH24" s="883">
        <v>7801</v>
      </c>
      <c r="BI24" s="883">
        <v>14003</v>
      </c>
      <c r="BJ24" s="883">
        <v>9339</v>
      </c>
      <c r="BK24" s="883">
        <v>3872</v>
      </c>
      <c r="BL24" s="883">
        <v>6321</v>
      </c>
      <c r="BM24" s="873">
        <v>20134</v>
      </c>
      <c r="BN24" s="879">
        <f t="shared" si="89"/>
        <v>93079</v>
      </c>
      <c r="BO24" s="883">
        <v>313</v>
      </c>
      <c r="BP24" s="883">
        <v>1490</v>
      </c>
      <c r="BQ24" s="883">
        <v>921</v>
      </c>
      <c r="BR24" s="883">
        <v>2899</v>
      </c>
      <c r="BS24" s="883">
        <v>2656</v>
      </c>
      <c r="BT24" s="883">
        <v>3178</v>
      </c>
      <c r="BU24" s="883">
        <v>7498</v>
      </c>
      <c r="BV24" s="883">
        <v>6275</v>
      </c>
      <c r="BW24" s="883">
        <v>8340</v>
      </c>
      <c r="BX24" s="883">
        <v>10709</v>
      </c>
      <c r="BY24" s="883">
        <v>7792</v>
      </c>
      <c r="BZ24" s="873">
        <v>24325</v>
      </c>
      <c r="CA24" s="879">
        <f t="shared" si="91"/>
        <v>76396</v>
      </c>
      <c r="CB24" s="883">
        <v>2</v>
      </c>
      <c r="CC24" s="883">
        <v>875</v>
      </c>
      <c r="CD24" s="883">
        <v>6895</v>
      </c>
      <c r="CE24" s="883">
        <v>3469</v>
      </c>
      <c r="CF24" s="883">
        <v>6941</v>
      </c>
      <c r="CG24" s="883">
        <v>2249</v>
      </c>
      <c r="CH24" s="883">
        <v>3632</v>
      </c>
      <c r="CI24" s="883">
        <v>3201</v>
      </c>
      <c r="CJ24" s="883">
        <v>2722</v>
      </c>
      <c r="CK24" s="883">
        <v>6327</v>
      </c>
      <c r="CL24" s="883">
        <v>3103</v>
      </c>
      <c r="CM24" s="873">
        <v>4028</v>
      </c>
      <c r="CN24" s="879">
        <f t="shared" si="36"/>
        <v>43444</v>
      </c>
      <c r="CO24" s="883">
        <v>1635</v>
      </c>
      <c r="CP24" s="883">
        <v>1589</v>
      </c>
      <c r="CQ24" s="883">
        <v>1478</v>
      </c>
      <c r="CR24" s="883">
        <v>1587</v>
      </c>
      <c r="CS24" s="883">
        <v>2262</v>
      </c>
      <c r="CT24" s="883">
        <v>5025</v>
      </c>
      <c r="CU24" s="883">
        <v>3143</v>
      </c>
      <c r="CV24" s="883">
        <v>3887</v>
      </c>
      <c r="CW24" s="883">
        <v>8660</v>
      </c>
      <c r="CX24" s="883">
        <v>9776</v>
      </c>
      <c r="CY24" s="883">
        <v>8049</v>
      </c>
      <c r="CZ24" s="873">
        <v>16292</v>
      </c>
      <c r="DA24" s="879">
        <f t="shared" si="38"/>
        <v>63383</v>
      </c>
      <c r="DB24" s="883">
        <v>1</v>
      </c>
      <c r="DC24" s="883">
        <v>1343</v>
      </c>
      <c r="DD24" s="883">
        <v>1527</v>
      </c>
      <c r="DE24" s="883">
        <v>2585</v>
      </c>
      <c r="DF24" s="883">
        <v>4381</v>
      </c>
      <c r="DG24" s="883">
        <v>6065</v>
      </c>
      <c r="DH24" s="883">
        <v>6783</v>
      </c>
      <c r="DI24" s="883">
        <v>9466</v>
      </c>
      <c r="DJ24" s="883">
        <v>8835</v>
      </c>
      <c r="DK24" s="883">
        <v>15048</v>
      </c>
      <c r="DL24" s="883">
        <v>14886</v>
      </c>
      <c r="DM24" s="873">
        <v>31134</v>
      </c>
      <c r="DN24" s="879">
        <f t="shared" si="40"/>
        <v>102054</v>
      </c>
      <c r="DO24" s="883">
        <v>283</v>
      </c>
      <c r="DP24" s="883">
        <v>1196</v>
      </c>
      <c r="DQ24" s="883">
        <v>14520</v>
      </c>
      <c r="DR24" s="883">
        <v>7855</v>
      </c>
      <c r="DS24" s="883">
        <v>12052</v>
      </c>
      <c r="DT24" s="883">
        <v>8587</v>
      </c>
      <c r="DU24" s="883">
        <v>10831</v>
      </c>
      <c r="DV24" s="883">
        <v>9177</v>
      </c>
      <c r="DW24" s="883">
        <v>7228</v>
      </c>
      <c r="DX24" s="883">
        <v>7101</v>
      </c>
      <c r="DY24" s="883">
        <v>10725</v>
      </c>
      <c r="DZ24" s="873">
        <v>20872</v>
      </c>
      <c r="EA24" s="879">
        <f t="shared" si="42"/>
        <v>110427</v>
      </c>
      <c r="EB24" s="883">
        <v>542</v>
      </c>
      <c r="EC24" s="883">
        <v>1705</v>
      </c>
      <c r="ED24" s="883">
        <v>3453</v>
      </c>
      <c r="EE24" s="883">
        <v>7859</v>
      </c>
      <c r="EF24" s="883">
        <v>6923</v>
      </c>
      <c r="EG24" s="883">
        <v>8077</v>
      </c>
      <c r="EH24" s="883">
        <v>7696</v>
      </c>
      <c r="EI24" s="883">
        <v>9852</v>
      </c>
      <c r="EJ24" s="883">
        <v>10805</v>
      </c>
      <c r="EK24" s="883">
        <v>9477</v>
      </c>
      <c r="EL24" s="883">
        <v>16911</v>
      </c>
      <c r="EM24" s="873">
        <v>19127</v>
      </c>
      <c r="EN24" s="879">
        <f t="shared" si="44"/>
        <v>102427</v>
      </c>
      <c r="EO24" s="883">
        <v>686</v>
      </c>
      <c r="EP24" s="883">
        <v>3840</v>
      </c>
      <c r="EQ24" s="883">
        <v>3515</v>
      </c>
      <c r="ER24" s="883">
        <v>3431</v>
      </c>
      <c r="ES24" s="883">
        <v>3749</v>
      </c>
      <c r="ET24" s="883">
        <v>3698</v>
      </c>
      <c r="EU24" s="883">
        <v>5118</v>
      </c>
      <c r="EV24" s="973">
        <v>7388</v>
      </c>
      <c r="EW24" s="883"/>
      <c r="EX24" s="883"/>
      <c r="EY24" s="883"/>
      <c r="EZ24" s="873"/>
      <c r="FA24" s="879">
        <f t="shared" si="49"/>
        <v>31425</v>
      </c>
      <c r="FC24" s="843">
        <f t="shared" si="99"/>
        <v>-25.010150223304915</v>
      </c>
      <c r="FD24" s="844">
        <f t="shared" si="52"/>
        <v>-31.843320970785349</v>
      </c>
      <c r="FE24" s="845">
        <f t="shared" si="100"/>
        <v>46107</v>
      </c>
      <c r="FF24" s="846">
        <f t="shared" si="101"/>
        <v>31425</v>
      </c>
    </row>
    <row r="25" spans="1:164" ht="15" customHeight="1" x14ac:dyDescent="0.25">
      <c r="A25" s="402" t="s">
        <v>385</v>
      </c>
      <c r="B25" s="883">
        <v>1240</v>
      </c>
      <c r="C25" s="883">
        <v>1657</v>
      </c>
      <c r="D25" s="883">
        <v>1867</v>
      </c>
      <c r="E25" s="883">
        <v>1884</v>
      </c>
      <c r="F25" s="883">
        <v>1693</v>
      </c>
      <c r="G25" s="883">
        <v>1423</v>
      </c>
      <c r="H25" s="883">
        <v>2253</v>
      </c>
      <c r="I25" s="883">
        <v>1441</v>
      </c>
      <c r="J25" s="883">
        <v>1564</v>
      </c>
      <c r="K25" s="883">
        <v>1618</v>
      </c>
      <c r="L25" s="883">
        <v>1851</v>
      </c>
      <c r="M25" s="873">
        <v>1633</v>
      </c>
      <c r="N25" s="879">
        <f t="shared" si="82"/>
        <v>20124</v>
      </c>
      <c r="O25" s="883">
        <v>1460</v>
      </c>
      <c r="P25" s="883">
        <v>2070</v>
      </c>
      <c r="Q25" s="883">
        <v>1367</v>
      </c>
      <c r="R25" s="883">
        <v>1816</v>
      </c>
      <c r="S25" s="883">
        <v>2411</v>
      </c>
      <c r="T25" s="883">
        <v>1733</v>
      </c>
      <c r="U25" s="883">
        <v>2391</v>
      </c>
      <c r="V25" s="883">
        <v>2365</v>
      </c>
      <c r="W25" s="883">
        <v>2385</v>
      </c>
      <c r="X25" s="883">
        <v>2292</v>
      </c>
      <c r="Y25" s="883">
        <v>2334</v>
      </c>
      <c r="Z25" s="873">
        <v>1990</v>
      </c>
      <c r="AA25" s="879">
        <f t="shared" si="84"/>
        <v>24614</v>
      </c>
      <c r="AB25" s="883">
        <v>900</v>
      </c>
      <c r="AC25" s="883">
        <v>3044</v>
      </c>
      <c r="AD25" s="883">
        <v>1105</v>
      </c>
      <c r="AE25" s="883">
        <v>1579</v>
      </c>
      <c r="AF25" s="883">
        <v>1953</v>
      </c>
      <c r="AG25" s="883">
        <v>2217</v>
      </c>
      <c r="AH25" s="883">
        <v>2547</v>
      </c>
      <c r="AI25" s="883">
        <v>2147</v>
      </c>
      <c r="AJ25" s="883">
        <v>1587</v>
      </c>
      <c r="AK25" s="883">
        <v>1825</v>
      </c>
      <c r="AL25" s="883">
        <v>2090</v>
      </c>
      <c r="AM25" s="873">
        <v>1575</v>
      </c>
      <c r="AN25" s="879">
        <f t="shared" si="85"/>
        <v>22569</v>
      </c>
      <c r="AO25" s="883">
        <v>1700</v>
      </c>
      <c r="AP25" s="883">
        <v>2227</v>
      </c>
      <c r="AQ25" s="883">
        <v>2025</v>
      </c>
      <c r="AR25" s="883">
        <v>2220</v>
      </c>
      <c r="AS25" s="883">
        <v>2631</v>
      </c>
      <c r="AT25" s="883">
        <v>1655</v>
      </c>
      <c r="AU25" s="883">
        <v>2483</v>
      </c>
      <c r="AV25" s="883">
        <v>1771</v>
      </c>
      <c r="AW25" s="883">
        <v>1220</v>
      </c>
      <c r="AX25" s="883">
        <v>1750</v>
      </c>
      <c r="AY25" s="883">
        <v>1392</v>
      </c>
      <c r="AZ25" s="873">
        <v>1271</v>
      </c>
      <c r="BA25" s="879">
        <f t="shared" si="87"/>
        <v>22345</v>
      </c>
      <c r="BB25" s="883">
        <v>793</v>
      </c>
      <c r="BC25" s="883">
        <v>1652</v>
      </c>
      <c r="BD25" s="883">
        <v>1577</v>
      </c>
      <c r="BE25" s="883">
        <v>2890</v>
      </c>
      <c r="BF25" s="883">
        <v>2652</v>
      </c>
      <c r="BG25" s="883">
        <v>1385</v>
      </c>
      <c r="BH25" s="883">
        <v>3044</v>
      </c>
      <c r="BI25" s="883">
        <v>1601</v>
      </c>
      <c r="BJ25" s="883">
        <v>1751</v>
      </c>
      <c r="BK25" s="883">
        <v>2274</v>
      </c>
      <c r="BL25" s="883">
        <v>1878</v>
      </c>
      <c r="BM25" s="873">
        <v>3610</v>
      </c>
      <c r="BN25" s="879">
        <f t="shared" si="89"/>
        <v>25107</v>
      </c>
      <c r="BO25" s="883">
        <v>1694</v>
      </c>
      <c r="BP25" s="883">
        <v>1986</v>
      </c>
      <c r="BQ25" s="883">
        <v>2401</v>
      </c>
      <c r="BR25" s="883">
        <v>268</v>
      </c>
      <c r="BS25" s="883">
        <v>1471</v>
      </c>
      <c r="BT25" s="883">
        <v>1068</v>
      </c>
      <c r="BU25" s="883">
        <v>2020</v>
      </c>
      <c r="BV25" s="883">
        <v>1684</v>
      </c>
      <c r="BW25" s="883">
        <v>2001</v>
      </c>
      <c r="BX25" s="883">
        <v>1604</v>
      </c>
      <c r="BY25" s="883">
        <v>2044</v>
      </c>
      <c r="BZ25" s="873">
        <v>2603</v>
      </c>
      <c r="CA25" s="879">
        <f t="shared" si="91"/>
        <v>20844</v>
      </c>
      <c r="CB25" s="883">
        <v>1227</v>
      </c>
      <c r="CC25" s="883">
        <v>2112</v>
      </c>
      <c r="CD25" s="883">
        <v>1780</v>
      </c>
      <c r="CE25" s="883">
        <v>2418</v>
      </c>
      <c r="CF25" s="883">
        <v>1822</v>
      </c>
      <c r="CG25" s="883">
        <v>2082</v>
      </c>
      <c r="CH25" s="883">
        <v>2461</v>
      </c>
      <c r="CI25" s="883">
        <v>2515</v>
      </c>
      <c r="CJ25" s="883">
        <v>3056</v>
      </c>
      <c r="CK25" s="883">
        <v>2190</v>
      </c>
      <c r="CL25" s="883">
        <v>2437</v>
      </c>
      <c r="CM25" s="873">
        <v>5422</v>
      </c>
      <c r="CN25" s="879">
        <f t="shared" si="36"/>
        <v>29522</v>
      </c>
      <c r="CO25" s="883">
        <v>1109</v>
      </c>
      <c r="CP25" s="883">
        <v>1754</v>
      </c>
      <c r="CQ25" s="883">
        <v>2268</v>
      </c>
      <c r="CR25" s="883">
        <v>2166</v>
      </c>
      <c r="CS25" s="883">
        <v>2689</v>
      </c>
      <c r="CT25" s="883">
        <v>2014</v>
      </c>
      <c r="CU25" s="883">
        <v>2713</v>
      </c>
      <c r="CV25" s="883">
        <v>3955</v>
      </c>
      <c r="CW25" s="883">
        <v>3544</v>
      </c>
      <c r="CX25" s="883">
        <v>3004</v>
      </c>
      <c r="CY25" s="883">
        <v>2232</v>
      </c>
      <c r="CZ25" s="873">
        <v>3774</v>
      </c>
      <c r="DA25" s="879">
        <f t="shared" si="38"/>
        <v>31222</v>
      </c>
      <c r="DB25" s="883">
        <v>1540</v>
      </c>
      <c r="DC25" s="883">
        <v>1806</v>
      </c>
      <c r="DD25" s="883">
        <v>1775</v>
      </c>
      <c r="DE25" s="883">
        <v>2279</v>
      </c>
      <c r="DF25" s="883">
        <v>2395</v>
      </c>
      <c r="DG25" s="883">
        <v>1927</v>
      </c>
      <c r="DH25" s="883">
        <v>2584</v>
      </c>
      <c r="DI25" s="883">
        <v>1988</v>
      </c>
      <c r="DJ25" s="883">
        <v>2389</v>
      </c>
      <c r="DK25" s="883">
        <v>3007</v>
      </c>
      <c r="DL25" s="883">
        <v>4363</v>
      </c>
      <c r="DM25" s="873">
        <v>5715</v>
      </c>
      <c r="DN25" s="879">
        <f t="shared" si="40"/>
        <v>31768</v>
      </c>
      <c r="DO25" s="883">
        <v>1700</v>
      </c>
      <c r="DP25" s="883">
        <v>1142</v>
      </c>
      <c r="DQ25" s="883">
        <v>1955</v>
      </c>
      <c r="DR25" s="883">
        <v>2486</v>
      </c>
      <c r="DS25" s="883">
        <v>3131</v>
      </c>
      <c r="DT25" s="883">
        <v>1532</v>
      </c>
      <c r="DU25" s="883">
        <v>2328</v>
      </c>
      <c r="DV25" s="883">
        <v>2414</v>
      </c>
      <c r="DW25" s="883">
        <v>2960</v>
      </c>
      <c r="DX25" s="883">
        <v>3260</v>
      </c>
      <c r="DY25" s="883">
        <v>3134</v>
      </c>
      <c r="DZ25" s="873">
        <v>3995</v>
      </c>
      <c r="EA25" s="879">
        <f t="shared" si="42"/>
        <v>30037</v>
      </c>
      <c r="EB25" s="883">
        <v>1838</v>
      </c>
      <c r="EC25" s="883">
        <v>1402</v>
      </c>
      <c r="ED25" s="883">
        <v>2767</v>
      </c>
      <c r="EE25" s="883">
        <v>2870</v>
      </c>
      <c r="EF25" s="883">
        <v>3458</v>
      </c>
      <c r="EG25" s="883">
        <v>2442</v>
      </c>
      <c r="EH25" s="883">
        <v>2275</v>
      </c>
      <c r="EI25" s="883">
        <v>2242</v>
      </c>
      <c r="EJ25" s="883">
        <v>1891</v>
      </c>
      <c r="EK25" s="883">
        <v>3375</v>
      </c>
      <c r="EL25" s="883">
        <v>1842</v>
      </c>
      <c r="EM25" s="873">
        <v>2733</v>
      </c>
      <c r="EN25" s="879">
        <f t="shared" si="44"/>
        <v>29135</v>
      </c>
      <c r="EO25" s="883">
        <v>1965</v>
      </c>
      <c r="EP25" s="883">
        <v>1731</v>
      </c>
      <c r="EQ25" s="883">
        <v>2046</v>
      </c>
      <c r="ER25" s="883">
        <v>3052</v>
      </c>
      <c r="ES25" s="883">
        <v>2635</v>
      </c>
      <c r="ET25" s="883">
        <v>2521</v>
      </c>
      <c r="EU25" s="883">
        <v>2504</v>
      </c>
      <c r="EV25" s="973">
        <v>2197</v>
      </c>
      <c r="EW25" s="883"/>
      <c r="EX25" s="883"/>
      <c r="EY25" s="883"/>
      <c r="EZ25" s="873"/>
      <c r="FA25" s="879">
        <f t="shared" si="49"/>
        <v>18651</v>
      </c>
      <c r="FC25" s="843">
        <f t="shared" si="99"/>
        <v>-2.0071364852810025</v>
      </c>
      <c r="FD25" s="844">
        <f t="shared" si="52"/>
        <v>-3.3326422722089744</v>
      </c>
      <c r="FE25" s="845">
        <f t="shared" si="100"/>
        <v>19294</v>
      </c>
      <c r="FF25" s="846">
        <f t="shared" si="101"/>
        <v>18651</v>
      </c>
    </row>
    <row r="26" spans="1:164" ht="15" customHeight="1" x14ac:dyDescent="0.25">
      <c r="A26" s="402" t="s">
        <v>386</v>
      </c>
      <c r="B26" s="883"/>
      <c r="C26" s="883"/>
      <c r="D26" s="883">
        <v>513</v>
      </c>
      <c r="E26" s="883"/>
      <c r="F26" s="883">
        <v>-463</v>
      </c>
      <c r="G26" s="883">
        <v>253</v>
      </c>
      <c r="H26" s="883">
        <v>875</v>
      </c>
      <c r="I26" s="883">
        <v>598</v>
      </c>
      <c r="J26" s="883">
        <v>286</v>
      </c>
      <c r="K26" s="883">
        <v>292</v>
      </c>
      <c r="L26" s="883">
        <v>2925</v>
      </c>
      <c r="M26" s="873">
        <v>1153</v>
      </c>
      <c r="N26" s="879">
        <f t="shared" si="82"/>
        <v>6432</v>
      </c>
      <c r="O26" s="883"/>
      <c r="P26" s="883">
        <v>224</v>
      </c>
      <c r="Q26" s="883">
        <v>430</v>
      </c>
      <c r="R26" s="883">
        <v>480</v>
      </c>
      <c r="S26" s="883">
        <v>390</v>
      </c>
      <c r="T26" s="883">
        <v>2497</v>
      </c>
      <c r="U26" s="883">
        <v>2311</v>
      </c>
      <c r="V26" s="883">
        <v>6893</v>
      </c>
      <c r="W26" s="883">
        <v>3033</v>
      </c>
      <c r="X26" s="883">
        <v>4991</v>
      </c>
      <c r="Y26" s="883">
        <v>13361</v>
      </c>
      <c r="Z26" s="873">
        <v>13583</v>
      </c>
      <c r="AA26" s="879">
        <f t="shared" si="84"/>
        <v>48193</v>
      </c>
      <c r="AB26" s="883">
        <v>148</v>
      </c>
      <c r="AC26" s="883">
        <v>2069</v>
      </c>
      <c r="AD26" s="883">
        <v>7562</v>
      </c>
      <c r="AE26" s="883">
        <v>2852</v>
      </c>
      <c r="AF26" s="883">
        <v>5086</v>
      </c>
      <c r="AG26" s="883">
        <v>3786</v>
      </c>
      <c r="AH26" s="883">
        <v>10281</v>
      </c>
      <c r="AI26" s="883">
        <v>4561</v>
      </c>
      <c r="AJ26" s="883">
        <v>8041</v>
      </c>
      <c r="AK26" s="883">
        <v>6905</v>
      </c>
      <c r="AL26" s="883">
        <v>10103</v>
      </c>
      <c r="AM26" s="873">
        <v>12466</v>
      </c>
      <c r="AN26" s="879">
        <f t="shared" si="85"/>
        <v>73860</v>
      </c>
      <c r="AO26" s="883">
        <v>1086</v>
      </c>
      <c r="AP26" s="883">
        <v>1854</v>
      </c>
      <c r="AQ26" s="883">
        <v>8626</v>
      </c>
      <c r="AR26" s="883">
        <v>250</v>
      </c>
      <c r="AS26" s="883">
        <v>7015</v>
      </c>
      <c r="AT26" s="883">
        <v>5184</v>
      </c>
      <c r="AU26" s="883">
        <v>16208</v>
      </c>
      <c r="AV26" s="883">
        <v>13311</v>
      </c>
      <c r="AW26" s="883">
        <v>14683</v>
      </c>
      <c r="AX26" s="883">
        <v>3609</v>
      </c>
      <c r="AY26" s="883">
        <v>7206</v>
      </c>
      <c r="AZ26" s="873">
        <v>9966</v>
      </c>
      <c r="BA26" s="879">
        <f t="shared" si="87"/>
        <v>88998</v>
      </c>
      <c r="BB26" s="883">
        <v>9</v>
      </c>
      <c r="BC26" s="883">
        <v>1105</v>
      </c>
      <c r="BD26" s="883">
        <v>10542</v>
      </c>
      <c r="BE26" s="883">
        <v>8768</v>
      </c>
      <c r="BF26" s="883">
        <v>319</v>
      </c>
      <c r="BG26" s="883">
        <v>7905</v>
      </c>
      <c r="BH26" s="883">
        <v>1536</v>
      </c>
      <c r="BI26" s="883">
        <v>10983</v>
      </c>
      <c r="BJ26" s="883">
        <v>9040</v>
      </c>
      <c r="BK26" s="883">
        <v>5189</v>
      </c>
      <c r="BL26" s="883">
        <v>8460</v>
      </c>
      <c r="BM26" s="873">
        <v>6261</v>
      </c>
      <c r="BN26" s="879">
        <f t="shared" si="89"/>
        <v>70117</v>
      </c>
      <c r="BO26" s="883">
        <v>947</v>
      </c>
      <c r="BP26" s="883">
        <v>2127</v>
      </c>
      <c r="BQ26" s="883">
        <v>4001</v>
      </c>
      <c r="BR26" s="883">
        <v>1389</v>
      </c>
      <c r="BS26" s="883">
        <v>64</v>
      </c>
      <c r="BT26" s="883">
        <v>790</v>
      </c>
      <c r="BU26" s="883">
        <v>13785</v>
      </c>
      <c r="BV26" s="883">
        <v>1098</v>
      </c>
      <c r="BW26" s="883">
        <v>8161</v>
      </c>
      <c r="BX26" s="883">
        <v>14261</v>
      </c>
      <c r="BY26" s="883">
        <v>14942</v>
      </c>
      <c r="BZ26" s="873">
        <v>36716</v>
      </c>
      <c r="CA26" s="879">
        <f t="shared" si="91"/>
        <v>98281</v>
      </c>
      <c r="CB26" s="883">
        <v>724</v>
      </c>
      <c r="CC26" s="883">
        <v>1904</v>
      </c>
      <c r="CD26" s="883">
        <v>7865</v>
      </c>
      <c r="CE26" s="883">
        <v>3390</v>
      </c>
      <c r="CF26" s="883">
        <v>3902</v>
      </c>
      <c r="CG26" s="883">
        <v>6522</v>
      </c>
      <c r="CH26" s="883">
        <v>8075</v>
      </c>
      <c r="CI26" s="883">
        <v>7364</v>
      </c>
      <c r="CJ26" s="883">
        <v>8835</v>
      </c>
      <c r="CK26" s="883">
        <v>4687</v>
      </c>
      <c r="CL26" s="883">
        <v>5737</v>
      </c>
      <c r="CM26" s="873">
        <v>11840</v>
      </c>
      <c r="CN26" s="879">
        <f t="shared" si="36"/>
        <v>70845</v>
      </c>
      <c r="CO26" s="883"/>
      <c r="CP26" s="883">
        <v>122</v>
      </c>
      <c r="CQ26" s="883">
        <v>1327</v>
      </c>
      <c r="CR26" s="883">
        <v>577</v>
      </c>
      <c r="CS26" s="883">
        <v>106</v>
      </c>
      <c r="CT26" s="883">
        <v>108</v>
      </c>
      <c r="CU26" s="883">
        <v>226</v>
      </c>
      <c r="CV26" s="883">
        <v>447</v>
      </c>
      <c r="CW26" s="883">
        <v>117</v>
      </c>
      <c r="CX26" s="883">
        <v>32</v>
      </c>
      <c r="CY26" s="883">
        <v>2968</v>
      </c>
      <c r="CZ26" s="873">
        <v>1688</v>
      </c>
      <c r="DA26" s="879">
        <f t="shared" si="38"/>
        <v>7718</v>
      </c>
      <c r="DB26" s="883"/>
      <c r="DC26" s="883"/>
      <c r="DD26" s="883">
        <v>1420</v>
      </c>
      <c r="DE26" s="883">
        <v>2040</v>
      </c>
      <c r="DF26" s="883"/>
      <c r="DG26" s="883">
        <v>139</v>
      </c>
      <c r="DH26" s="883">
        <v>233</v>
      </c>
      <c r="DI26" s="883">
        <v>721</v>
      </c>
      <c r="DJ26" s="883">
        <v>334</v>
      </c>
      <c r="DK26" s="883">
        <v>64</v>
      </c>
      <c r="DL26" s="883">
        <v>17</v>
      </c>
      <c r="DM26" s="873"/>
      <c r="DN26" s="879">
        <f t="shared" si="40"/>
        <v>4968</v>
      </c>
      <c r="DO26" s="883"/>
      <c r="DP26" s="883"/>
      <c r="DQ26" s="883"/>
      <c r="DR26" s="883"/>
      <c r="DS26" s="883"/>
      <c r="DT26" s="883">
        <v>70</v>
      </c>
      <c r="DU26" s="883">
        <v>181</v>
      </c>
      <c r="DV26" s="883">
        <v>393</v>
      </c>
      <c r="DW26" s="883">
        <v>667</v>
      </c>
      <c r="DX26" s="883">
        <v>193</v>
      </c>
      <c r="DY26" s="883"/>
      <c r="DZ26" s="873">
        <v>199</v>
      </c>
      <c r="EA26" s="879">
        <f t="shared" si="42"/>
        <v>1703</v>
      </c>
      <c r="EB26" s="883">
        <v>0</v>
      </c>
      <c r="EC26" s="883">
        <v>72</v>
      </c>
      <c r="ED26" s="883">
        <v>30</v>
      </c>
      <c r="EE26" s="883">
        <v>0</v>
      </c>
      <c r="EF26" s="883">
        <v>70</v>
      </c>
      <c r="EG26" s="883">
        <v>0</v>
      </c>
      <c r="EH26" s="883">
        <v>309</v>
      </c>
      <c r="EI26" s="883">
        <v>837</v>
      </c>
      <c r="EJ26" s="883">
        <v>197</v>
      </c>
      <c r="EK26" s="883">
        <v>12632</v>
      </c>
      <c r="EL26" s="883">
        <v>691</v>
      </c>
      <c r="EM26" s="873">
        <v>2713</v>
      </c>
      <c r="EN26" s="879">
        <f>SUM(EB26:EM26)</f>
        <v>17551</v>
      </c>
      <c r="EO26" s="883">
        <v>0</v>
      </c>
      <c r="EP26" s="883">
        <v>7224</v>
      </c>
      <c r="EQ26" s="883">
        <v>2741</v>
      </c>
      <c r="ER26" s="883">
        <v>25942</v>
      </c>
      <c r="ES26" s="883">
        <v>1742</v>
      </c>
      <c r="ET26" s="883">
        <v>2397</v>
      </c>
      <c r="EU26" s="883">
        <v>3086</v>
      </c>
      <c r="EV26" s="973">
        <v>1162</v>
      </c>
      <c r="EW26" s="883"/>
      <c r="EX26" s="883"/>
      <c r="EY26" s="883"/>
      <c r="EZ26" s="873"/>
      <c r="FA26" s="879">
        <f>SUM(EO26:EZ26)</f>
        <v>44294</v>
      </c>
      <c r="FC26" s="843">
        <f t="shared" si="99"/>
        <v>38.829151732377532</v>
      </c>
      <c r="FD26" s="844">
        <f t="shared" si="52"/>
        <v>3260.6980273141126</v>
      </c>
      <c r="FE26" s="845">
        <f t="shared" si="100"/>
        <v>1318</v>
      </c>
      <c r="FF26" s="846">
        <f t="shared" si="101"/>
        <v>44294</v>
      </c>
    </row>
    <row r="27" spans="1:164" ht="15" customHeight="1" x14ac:dyDescent="0.25">
      <c r="A27" s="402" t="s">
        <v>483</v>
      </c>
      <c r="B27" s="883">
        <v>19</v>
      </c>
      <c r="C27" s="883">
        <v>770</v>
      </c>
      <c r="D27" s="883">
        <v>31</v>
      </c>
      <c r="E27" s="883">
        <v>364</v>
      </c>
      <c r="F27" s="883">
        <v>716</v>
      </c>
      <c r="G27" s="883">
        <v>4331</v>
      </c>
      <c r="H27" s="883">
        <v>9475</v>
      </c>
      <c r="I27" s="883">
        <v>-3332</v>
      </c>
      <c r="J27" s="883">
        <v>3435</v>
      </c>
      <c r="K27" s="883">
        <v>-1018</v>
      </c>
      <c r="L27" s="883">
        <v>2214</v>
      </c>
      <c r="M27" s="873">
        <v>1987</v>
      </c>
      <c r="N27" s="879">
        <f t="shared" si="82"/>
        <v>18992</v>
      </c>
      <c r="O27" s="883">
        <v>534</v>
      </c>
      <c r="P27" s="883">
        <v>1400</v>
      </c>
      <c r="Q27" s="883">
        <v>-164</v>
      </c>
      <c r="R27" s="883">
        <v>664</v>
      </c>
      <c r="S27" s="883">
        <v>1075</v>
      </c>
      <c r="T27" s="883">
        <v>328</v>
      </c>
      <c r="U27" s="883">
        <v>950</v>
      </c>
      <c r="V27" s="883">
        <v>1645</v>
      </c>
      <c r="W27" s="883">
        <v>1601</v>
      </c>
      <c r="X27" s="883">
        <v>984</v>
      </c>
      <c r="Y27" s="883">
        <v>613</v>
      </c>
      <c r="Z27" s="873">
        <v>1205</v>
      </c>
      <c r="AA27" s="879">
        <f t="shared" si="84"/>
        <v>10835</v>
      </c>
      <c r="AB27" s="883">
        <v>123</v>
      </c>
      <c r="AC27" s="883">
        <v>212</v>
      </c>
      <c r="AD27" s="883">
        <v>347</v>
      </c>
      <c r="AE27" s="883">
        <v>239</v>
      </c>
      <c r="AF27" s="883">
        <v>450</v>
      </c>
      <c r="AG27" s="883">
        <v>847</v>
      </c>
      <c r="AH27" s="883">
        <v>1142</v>
      </c>
      <c r="AI27" s="883">
        <v>1502</v>
      </c>
      <c r="AJ27" s="883">
        <v>500</v>
      </c>
      <c r="AK27" s="883">
        <v>311</v>
      </c>
      <c r="AL27" s="883">
        <v>318</v>
      </c>
      <c r="AM27" s="873">
        <v>1167</v>
      </c>
      <c r="AN27" s="879">
        <f t="shared" si="85"/>
        <v>7158</v>
      </c>
      <c r="AO27" s="883">
        <v>522</v>
      </c>
      <c r="AP27" s="883">
        <v>199</v>
      </c>
      <c r="AQ27" s="883">
        <v>448</v>
      </c>
      <c r="AR27" s="883">
        <v>417</v>
      </c>
      <c r="AS27" s="883">
        <v>665</v>
      </c>
      <c r="AT27" s="883">
        <v>1281</v>
      </c>
      <c r="AU27" s="883">
        <v>1671</v>
      </c>
      <c r="AV27" s="883">
        <v>744</v>
      </c>
      <c r="AW27" s="883">
        <v>429</v>
      </c>
      <c r="AX27" s="883">
        <v>1290</v>
      </c>
      <c r="AY27" s="883">
        <v>401</v>
      </c>
      <c r="AZ27" s="873">
        <v>965</v>
      </c>
      <c r="BA27" s="879">
        <f t="shared" si="87"/>
        <v>9032</v>
      </c>
      <c r="BB27" s="883"/>
      <c r="BC27" s="883"/>
      <c r="BD27" s="883">
        <v>71</v>
      </c>
      <c r="BE27" s="883">
        <v>-1</v>
      </c>
      <c r="BF27" s="883">
        <v>25</v>
      </c>
      <c r="BG27" s="883">
        <v>333</v>
      </c>
      <c r="BH27" s="883">
        <v>778</v>
      </c>
      <c r="BI27" s="883">
        <v>621</v>
      </c>
      <c r="BJ27" s="883">
        <v>210</v>
      </c>
      <c r="BK27" s="883">
        <v>580</v>
      </c>
      <c r="BL27" s="883">
        <v>594</v>
      </c>
      <c r="BM27" s="873">
        <v>479</v>
      </c>
      <c r="BN27" s="879">
        <f t="shared" si="89"/>
        <v>3690</v>
      </c>
      <c r="BO27" s="883">
        <v>3</v>
      </c>
      <c r="BP27" s="883">
        <v>85</v>
      </c>
      <c r="BQ27" s="883">
        <v>82</v>
      </c>
      <c r="BR27" s="883">
        <v>85</v>
      </c>
      <c r="BS27" s="883">
        <v>19</v>
      </c>
      <c r="BT27" s="883">
        <v>255</v>
      </c>
      <c r="BU27" s="883">
        <v>394</v>
      </c>
      <c r="BV27" s="883">
        <v>560</v>
      </c>
      <c r="BW27" s="883">
        <v>902</v>
      </c>
      <c r="BX27" s="883">
        <v>1183</v>
      </c>
      <c r="BY27" s="883">
        <v>462</v>
      </c>
      <c r="BZ27" s="873">
        <v>975</v>
      </c>
      <c r="CA27" s="879">
        <f t="shared" si="91"/>
        <v>5005</v>
      </c>
      <c r="CB27" s="883">
        <v>6</v>
      </c>
      <c r="CC27" s="883">
        <v>371</v>
      </c>
      <c r="CD27" s="883">
        <v>565</v>
      </c>
      <c r="CE27" s="883">
        <v>358</v>
      </c>
      <c r="CF27" s="883">
        <v>245</v>
      </c>
      <c r="CG27" s="883">
        <v>321</v>
      </c>
      <c r="CH27" s="883">
        <v>585</v>
      </c>
      <c r="CI27" s="883">
        <v>622</v>
      </c>
      <c r="CJ27" s="883">
        <v>285</v>
      </c>
      <c r="CK27" s="883">
        <v>538</v>
      </c>
      <c r="CL27" s="883">
        <v>840</v>
      </c>
      <c r="CM27" s="873">
        <v>1898</v>
      </c>
      <c r="CN27" s="879">
        <f t="shared" si="36"/>
        <v>6634</v>
      </c>
      <c r="CO27" s="883">
        <v>53</v>
      </c>
      <c r="CP27" s="883">
        <v>82</v>
      </c>
      <c r="CQ27" s="883">
        <v>1084</v>
      </c>
      <c r="CR27" s="883">
        <v>349</v>
      </c>
      <c r="CS27" s="883">
        <v>270</v>
      </c>
      <c r="CT27" s="883">
        <v>284</v>
      </c>
      <c r="CU27" s="883">
        <v>1101</v>
      </c>
      <c r="CV27" s="883">
        <v>1659</v>
      </c>
      <c r="CW27" s="883">
        <v>1231</v>
      </c>
      <c r="CX27" s="883">
        <v>619</v>
      </c>
      <c r="CY27" s="883">
        <v>541</v>
      </c>
      <c r="CZ27" s="873">
        <v>249</v>
      </c>
      <c r="DA27" s="879">
        <f t="shared" si="38"/>
        <v>7522</v>
      </c>
      <c r="DB27" s="883"/>
      <c r="DC27" s="883">
        <v>50</v>
      </c>
      <c r="DD27" s="883">
        <v>148</v>
      </c>
      <c r="DE27" s="883">
        <v>182</v>
      </c>
      <c r="DF27" s="883">
        <v>1448</v>
      </c>
      <c r="DG27" s="883">
        <v>1666</v>
      </c>
      <c r="DH27" s="883">
        <v>1993</v>
      </c>
      <c r="DI27" s="883">
        <v>375</v>
      </c>
      <c r="DJ27" s="883">
        <v>1148</v>
      </c>
      <c r="DK27" s="883">
        <v>3236</v>
      </c>
      <c r="DL27" s="883">
        <v>1365</v>
      </c>
      <c r="DM27" s="873">
        <v>2372</v>
      </c>
      <c r="DN27" s="879">
        <f t="shared" si="40"/>
        <v>13983</v>
      </c>
      <c r="DO27" s="883">
        <v>35</v>
      </c>
      <c r="DP27" s="883">
        <v>893</v>
      </c>
      <c r="DQ27" s="883">
        <v>757</v>
      </c>
      <c r="DR27" s="883">
        <v>126</v>
      </c>
      <c r="DS27" s="883">
        <v>1202</v>
      </c>
      <c r="DT27" s="883">
        <v>249</v>
      </c>
      <c r="DU27" s="883">
        <v>1569</v>
      </c>
      <c r="DV27" s="883">
        <v>535</v>
      </c>
      <c r="DW27" s="883">
        <v>229</v>
      </c>
      <c r="DX27" s="883">
        <v>410</v>
      </c>
      <c r="DY27" s="883">
        <v>1706</v>
      </c>
      <c r="DZ27" s="873">
        <v>2768</v>
      </c>
      <c r="EA27" s="879">
        <f t="shared" si="42"/>
        <v>10479</v>
      </c>
      <c r="EB27" s="883">
        <v>143</v>
      </c>
      <c r="EC27" s="883">
        <v>552</v>
      </c>
      <c r="ED27" s="883">
        <v>1092</v>
      </c>
      <c r="EE27" s="883">
        <v>463</v>
      </c>
      <c r="EF27" s="883">
        <v>228</v>
      </c>
      <c r="EG27" s="883">
        <v>354</v>
      </c>
      <c r="EH27" s="883">
        <v>1049</v>
      </c>
      <c r="EI27" s="883">
        <v>2512</v>
      </c>
      <c r="EJ27" s="883">
        <v>1873</v>
      </c>
      <c r="EK27" s="883">
        <v>1199</v>
      </c>
      <c r="EL27" s="883">
        <v>388</v>
      </c>
      <c r="EM27" s="873">
        <v>2702</v>
      </c>
      <c r="EN27" s="879">
        <f t="shared" si="44"/>
        <v>12555</v>
      </c>
      <c r="EO27" s="883">
        <v>4</v>
      </c>
      <c r="EP27" s="883">
        <v>1703</v>
      </c>
      <c r="EQ27" s="883">
        <v>1425</v>
      </c>
      <c r="ER27" s="883">
        <v>758</v>
      </c>
      <c r="ES27" s="883">
        <v>1430</v>
      </c>
      <c r="ET27" s="883">
        <v>2769</v>
      </c>
      <c r="EU27" s="883">
        <v>3484</v>
      </c>
      <c r="EV27" s="973">
        <v>1899</v>
      </c>
      <c r="EW27" s="883"/>
      <c r="EX27" s="883"/>
      <c r="EY27" s="883"/>
      <c r="EZ27" s="873"/>
      <c r="FA27" s="879">
        <f t="shared" si="49"/>
        <v>13472</v>
      </c>
      <c r="FC27" s="843">
        <f t="shared" si="99"/>
        <v>-24.402866242038211</v>
      </c>
      <c r="FD27" s="844">
        <f t="shared" si="52"/>
        <v>110.73048646957608</v>
      </c>
      <c r="FE27" s="845">
        <f t="shared" si="100"/>
        <v>6393</v>
      </c>
      <c r="FF27" s="846">
        <f t="shared" si="101"/>
        <v>13472</v>
      </c>
    </row>
    <row r="28" spans="1:164" ht="15" customHeight="1" x14ac:dyDescent="0.25">
      <c r="A28" s="402" t="s">
        <v>387</v>
      </c>
      <c r="B28" s="883">
        <v>5046</v>
      </c>
      <c r="C28" s="883">
        <v>17473</v>
      </c>
      <c r="D28" s="883">
        <v>22397</v>
      </c>
      <c r="E28" s="883">
        <v>21994</v>
      </c>
      <c r="F28" s="883">
        <v>20536</v>
      </c>
      <c r="G28" s="883">
        <v>19376</v>
      </c>
      <c r="H28" s="883">
        <v>27813</v>
      </c>
      <c r="I28" s="883">
        <v>16152</v>
      </c>
      <c r="J28" s="883">
        <v>21205</v>
      </c>
      <c r="K28" s="883">
        <v>21402</v>
      </c>
      <c r="L28" s="883">
        <v>19405</v>
      </c>
      <c r="M28" s="873">
        <v>34378</v>
      </c>
      <c r="N28" s="879">
        <f t="shared" si="82"/>
        <v>247177</v>
      </c>
      <c r="O28" s="883">
        <v>11274</v>
      </c>
      <c r="P28" s="883">
        <v>21365</v>
      </c>
      <c r="Q28" s="883">
        <v>19933</v>
      </c>
      <c r="R28" s="883">
        <v>20918</v>
      </c>
      <c r="S28" s="883">
        <v>22255</v>
      </c>
      <c r="T28" s="883">
        <v>20214</v>
      </c>
      <c r="U28" s="883">
        <v>23151</v>
      </c>
      <c r="V28" s="883">
        <v>19589</v>
      </c>
      <c r="W28" s="883">
        <v>19486</v>
      </c>
      <c r="X28" s="883">
        <v>17027</v>
      </c>
      <c r="Y28" s="883">
        <v>16964</v>
      </c>
      <c r="Z28" s="873">
        <v>23067</v>
      </c>
      <c r="AA28" s="879">
        <f t="shared" si="84"/>
        <v>235243</v>
      </c>
      <c r="AB28" s="883">
        <v>11161</v>
      </c>
      <c r="AC28" s="883">
        <v>12729</v>
      </c>
      <c r="AD28" s="883">
        <v>21985</v>
      </c>
      <c r="AE28" s="883">
        <v>15810</v>
      </c>
      <c r="AF28" s="883">
        <v>16547</v>
      </c>
      <c r="AG28" s="883">
        <v>19455</v>
      </c>
      <c r="AH28" s="883">
        <v>19241</v>
      </c>
      <c r="AI28" s="883">
        <v>19413</v>
      </c>
      <c r="AJ28" s="883">
        <v>15742</v>
      </c>
      <c r="AK28" s="883">
        <v>18520</v>
      </c>
      <c r="AL28" s="883">
        <v>19985</v>
      </c>
      <c r="AM28" s="873">
        <v>31019</v>
      </c>
      <c r="AN28" s="879">
        <f t="shared" si="85"/>
        <v>221607</v>
      </c>
      <c r="AO28" s="883">
        <v>10820</v>
      </c>
      <c r="AP28" s="883">
        <v>15646</v>
      </c>
      <c r="AQ28" s="883">
        <v>21964</v>
      </c>
      <c r="AR28" s="883">
        <v>19633</v>
      </c>
      <c r="AS28" s="883">
        <v>23387</v>
      </c>
      <c r="AT28" s="883">
        <v>21653</v>
      </c>
      <c r="AU28" s="883">
        <v>24595</v>
      </c>
      <c r="AV28" s="883">
        <v>20256</v>
      </c>
      <c r="AW28" s="883">
        <v>17512</v>
      </c>
      <c r="AX28" s="883">
        <v>24189</v>
      </c>
      <c r="AY28" s="883">
        <v>27723</v>
      </c>
      <c r="AZ28" s="873">
        <v>33854</v>
      </c>
      <c r="BA28" s="879">
        <f t="shared" si="87"/>
        <v>261232</v>
      </c>
      <c r="BB28" s="883">
        <v>5999</v>
      </c>
      <c r="BC28" s="883">
        <v>14431</v>
      </c>
      <c r="BD28" s="883">
        <v>16663</v>
      </c>
      <c r="BE28" s="883">
        <v>20555</v>
      </c>
      <c r="BF28" s="883">
        <v>20939</v>
      </c>
      <c r="BG28" s="883">
        <v>23789</v>
      </c>
      <c r="BH28" s="883">
        <v>22619</v>
      </c>
      <c r="BI28" s="883">
        <v>18069</v>
      </c>
      <c r="BJ28" s="883">
        <v>23515</v>
      </c>
      <c r="BK28" s="883">
        <v>19494</v>
      </c>
      <c r="BL28" s="883">
        <v>19741</v>
      </c>
      <c r="BM28" s="873">
        <v>26059</v>
      </c>
      <c r="BN28" s="879">
        <f t="shared" si="89"/>
        <v>231873</v>
      </c>
      <c r="BO28" s="883">
        <v>12909</v>
      </c>
      <c r="BP28" s="883">
        <v>17096</v>
      </c>
      <c r="BQ28" s="883">
        <v>20139</v>
      </c>
      <c r="BR28" s="883">
        <v>13395</v>
      </c>
      <c r="BS28" s="883">
        <v>11240</v>
      </c>
      <c r="BT28" s="883">
        <v>11253</v>
      </c>
      <c r="BU28" s="883">
        <v>14892</v>
      </c>
      <c r="BV28" s="883">
        <v>15982</v>
      </c>
      <c r="BW28" s="883">
        <v>17978</v>
      </c>
      <c r="BX28" s="883">
        <v>21188</v>
      </c>
      <c r="BY28" s="883">
        <v>27326</v>
      </c>
      <c r="BZ28" s="873">
        <v>26928</v>
      </c>
      <c r="CA28" s="879">
        <f t="shared" si="91"/>
        <v>210326</v>
      </c>
      <c r="CB28" s="883">
        <v>10249</v>
      </c>
      <c r="CC28" s="883">
        <v>16144</v>
      </c>
      <c r="CD28" s="883">
        <v>27661</v>
      </c>
      <c r="CE28" s="883">
        <v>16536</v>
      </c>
      <c r="CF28" s="883">
        <v>19977</v>
      </c>
      <c r="CG28" s="883">
        <v>22410</v>
      </c>
      <c r="CH28" s="883">
        <v>19380</v>
      </c>
      <c r="CI28" s="883">
        <v>23452</v>
      </c>
      <c r="CJ28" s="883">
        <v>23398</v>
      </c>
      <c r="CK28" s="883">
        <v>25266</v>
      </c>
      <c r="CL28" s="883">
        <v>26872</v>
      </c>
      <c r="CM28" s="873">
        <v>54408</v>
      </c>
      <c r="CN28" s="879">
        <f t="shared" si="36"/>
        <v>285753</v>
      </c>
      <c r="CO28" s="883">
        <v>11080</v>
      </c>
      <c r="CP28" s="883">
        <v>26432</v>
      </c>
      <c r="CQ28" s="883">
        <v>37561</v>
      </c>
      <c r="CR28" s="883">
        <v>27341</v>
      </c>
      <c r="CS28" s="883">
        <v>34900</v>
      </c>
      <c r="CT28" s="883">
        <v>38045</v>
      </c>
      <c r="CU28" s="883">
        <v>43215</v>
      </c>
      <c r="CV28" s="883">
        <v>42042</v>
      </c>
      <c r="CW28" s="883">
        <v>43376</v>
      </c>
      <c r="CX28" s="883">
        <v>40192</v>
      </c>
      <c r="CY28" s="883">
        <v>44193</v>
      </c>
      <c r="CZ28" s="873">
        <v>67537</v>
      </c>
      <c r="DA28" s="879">
        <f>SUM(CO28:CZ28)</f>
        <v>455914</v>
      </c>
      <c r="DB28" s="883">
        <v>7490</v>
      </c>
      <c r="DC28" s="883">
        <v>22538</v>
      </c>
      <c r="DD28" s="883">
        <v>35801</v>
      </c>
      <c r="DE28" s="883">
        <v>26731</v>
      </c>
      <c r="DF28" s="883">
        <v>31825</v>
      </c>
      <c r="DG28" s="883">
        <v>31074</v>
      </c>
      <c r="DH28" s="883">
        <v>31114</v>
      </c>
      <c r="DI28" s="883">
        <v>35916</v>
      </c>
      <c r="DJ28" s="883">
        <v>35452</v>
      </c>
      <c r="DK28" s="883">
        <v>35420</v>
      </c>
      <c r="DL28" s="883">
        <v>38597</v>
      </c>
      <c r="DM28" s="873">
        <v>57749</v>
      </c>
      <c r="DN28" s="879">
        <f t="shared" si="40"/>
        <v>389707</v>
      </c>
      <c r="DO28" s="883">
        <v>10507</v>
      </c>
      <c r="DP28" s="883">
        <v>30675</v>
      </c>
      <c r="DQ28" s="883">
        <v>40535</v>
      </c>
      <c r="DR28" s="883">
        <v>37328</v>
      </c>
      <c r="DS28" s="883">
        <v>36514</v>
      </c>
      <c r="DT28" s="883">
        <v>36723</v>
      </c>
      <c r="DU28" s="883">
        <v>36155</v>
      </c>
      <c r="DV28" s="883">
        <v>37645</v>
      </c>
      <c r="DW28" s="883">
        <v>34369</v>
      </c>
      <c r="DX28" s="883">
        <v>39160</v>
      </c>
      <c r="DY28" s="883">
        <v>38568</v>
      </c>
      <c r="DZ28" s="873">
        <v>65539</v>
      </c>
      <c r="EA28" s="879">
        <f t="shared" si="42"/>
        <v>443718</v>
      </c>
      <c r="EB28" s="883">
        <v>12434</v>
      </c>
      <c r="EC28" s="883">
        <v>31085</v>
      </c>
      <c r="ED28" s="883">
        <v>32428</v>
      </c>
      <c r="EE28" s="883">
        <v>38769</v>
      </c>
      <c r="EF28" s="883">
        <v>42500</v>
      </c>
      <c r="EG28" s="883">
        <v>37440</v>
      </c>
      <c r="EH28" s="883">
        <v>42362</v>
      </c>
      <c r="EI28" s="883">
        <v>38519</v>
      </c>
      <c r="EJ28" s="883">
        <v>32999</v>
      </c>
      <c r="EK28" s="883">
        <v>41133</v>
      </c>
      <c r="EL28" s="883">
        <v>37227</v>
      </c>
      <c r="EM28" s="873">
        <v>56562</v>
      </c>
      <c r="EN28" s="879">
        <f>SUM(EB28:EM28)</f>
        <v>443458</v>
      </c>
      <c r="EO28" s="883">
        <v>14048</v>
      </c>
      <c r="EP28" s="883">
        <v>34792</v>
      </c>
      <c r="EQ28" s="883">
        <v>42669</v>
      </c>
      <c r="ER28" s="883">
        <v>40376</v>
      </c>
      <c r="ES28" s="883">
        <v>42897</v>
      </c>
      <c r="ET28" s="883">
        <v>45653</v>
      </c>
      <c r="EU28" s="883">
        <v>51331</v>
      </c>
      <c r="EV28" s="973">
        <v>49507</v>
      </c>
      <c r="EW28" s="883"/>
      <c r="EX28" s="883"/>
      <c r="EY28" s="883"/>
      <c r="EZ28" s="873"/>
      <c r="FA28" s="879">
        <f>SUM(EO28:EZ28)</f>
        <v>321273</v>
      </c>
      <c r="FC28" s="843">
        <f t="shared" si="99"/>
        <v>28.526181884264901</v>
      </c>
      <c r="FD28" s="844">
        <f t="shared" si="52"/>
        <v>16.598859681276924</v>
      </c>
      <c r="FE28" s="845">
        <f t="shared" si="100"/>
        <v>275537</v>
      </c>
      <c r="FF28" s="846">
        <f t="shared" si="101"/>
        <v>321273</v>
      </c>
    </row>
    <row r="29" spans="1:164" ht="15" customHeight="1" x14ac:dyDescent="0.25">
      <c r="A29" s="402" t="s">
        <v>388</v>
      </c>
      <c r="B29" s="883"/>
      <c r="C29" s="883"/>
      <c r="D29" s="883"/>
      <c r="E29" s="883"/>
      <c r="F29" s="883"/>
      <c r="G29" s="883"/>
      <c r="H29" s="883"/>
      <c r="I29" s="883"/>
      <c r="J29" s="883"/>
      <c r="K29" s="883"/>
      <c r="L29" s="883"/>
      <c r="M29" s="873"/>
      <c r="N29" s="879"/>
      <c r="O29" s="883"/>
      <c r="P29" s="883"/>
      <c r="Q29" s="883"/>
      <c r="R29" s="883"/>
      <c r="S29" s="883"/>
      <c r="T29" s="883"/>
      <c r="U29" s="883"/>
      <c r="V29" s="883"/>
      <c r="W29" s="883"/>
      <c r="X29" s="883"/>
      <c r="Y29" s="883"/>
      <c r="Z29" s="873"/>
      <c r="AA29" s="879"/>
      <c r="AB29" s="883"/>
      <c r="AC29" s="883"/>
      <c r="AD29" s="883"/>
      <c r="AE29" s="883"/>
      <c r="AF29" s="883"/>
      <c r="AG29" s="883"/>
      <c r="AH29" s="883"/>
      <c r="AI29" s="883"/>
      <c r="AJ29" s="883"/>
      <c r="AK29" s="883"/>
      <c r="AL29" s="883"/>
      <c r="AM29" s="873"/>
      <c r="AN29" s="879"/>
      <c r="AO29" s="883"/>
      <c r="AP29" s="883"/>
      <c r="AQ29" s="883"/>
      <c r="AR29" s="883"/>
      <c r="AS29" s="883"/>
      <c r="AT29" s="883"/>
      <c r="AU29" s="883"/>
      <c r="AV29" s="883"/>
      <c r="AW29" s="883"/>
      <c r="AX29" s="883"/>
      <c r="AY29" s="883"/>
      <c r="AZ29" s="873"/>
      <c r="BA29" s="879"/>
      <c r="BB29" s="883"/>
      <c r="BC29" s="883"/>
      <c r="BD29" s="883"/>
      <c r="BE29" s="883"/>
      <c r="BF29" s="883"/>
      <c r="BG29" s="883"/>
      <c r="BH29" s="883"/>
      <c r="BI29" s="883"/>
      <c r="BJ29" s="883"/>
      <c r="BK29" s="883"/>
      <c r="BL29" s="883"/>
      <c r="BM29" s="873"/>
      <c r="BN29" s="879"/>
      <c r="BO29" s="883"/>
      <c r="BP29" s="883"/>
      <c r="BQ29" s="883"/>
      <c r="BR29" s="883"/>
      <c r="BS29" s="883"/>
      <c r="BT29" s="883"/>
      <c r="BU29" s="883"/>
      <c r="BV29" s="883"/>
      <c r="BW29" s="883"/>
      <c r="BX29" s="883"/>
      <c r="BY29" s="883"/>
      <c r="BZ29" s="873"/>
      <c r="CA29" s="879"/>
      <c r="CB29" s="883"/>
      <c r="CC29" s="883"/>
      <c r="CD29" s="883"/>
      <c r="CE29" s="883"/>
      <c r="CF29" s="883"/>
      <c r="CG29" s="883"/>
      <c r="CH29" s="883"/>
      <c r="CI29" s="883"/>
      <c r="CJ29" s="883"/>
      <c r="CK29" s="883"/>
      <c r="CL29" s="883"/>
      <c r="CM29" s="873"/>
      <c r="CN29" s="879">
        <f t="shared" si="36"/>
        <v>0</v>
      </c>
      <c r="CO29" s="883"/>
      <c r="CP29" s="883"/>
      <c r="CQ29" s="883"/>
      <c r="CR29" s="883"/>
      <c r="CS29" s="883"/>
      <c r="CT29" s="883"/>
      <c r="CU29" s="883"/>
      <c r="CV29" s="883"/>
      <c r="CW29" s="883"/>
      <c r="CX29" s="883"/>
      <c r="CY29" s="883"/>
      <c r="CZ29" s="873"/>
      <c r="DA29" s="879">
        <f t="shared" si="38"/>
        <v>0</v>
      </c>
      <c r="DB29" s="883"/>
      <c r="DC29" s="883"/>
      <c r="DD29" s="883"/>
      <c r="DE29" s="883"/>
      <c r="DF29" s="883"/>
      <c r="DG29" s="883"/>
      <c r="DH29" s="883"/>
      <c r="DI29" s="883"/>
      <c r="DJ29" s="883"/>
      <c r="DK29" s="883"/>
      <c r="DL29" s="883"/>
      <c r="DM29" s="873"/>
      <c r="DN29" s="879">
        <f t="shared" si="40"/>
        <v>0</v>
      </c>
      <c r="DO29" s="883"/>
      <c r="DP29" s="883"/>
      <c r="DQ29" s="883"/>
      <c r="DR29" s="883"/>
      <c r="DS29" s="883"/>
      <c r="DT29" s="883"/>
      <c r="DU29" s="883"/>
      <c r="DV29" s="883"/>
      <c r="DW29" s="883"/>
      <c r="DX29" s="883"/>
      <c r="DY29" s="883"/>
      <c r="DZ29" s="873"/>
      <c r="EA29" s="879">
        <f t="shared" si="42"/>
        <v>0</v>
      </c>
      <c r="EB29" s="883"/>
      <c r="EC29" s="883"/>
      <c r="ED29" s="883"/>
      <c r="EE29" s="883"/>
      <c r="EF29" s="883"/>
      <c r="EG29" s="883"/>
      <c r="EH29" s="883"/>
      <c r="EI29" s="883"/>
      <c r="EJ29" s="883"/>
      <c r="EK29" s="883"/>
      <c r="EL29" s="883"/>
      <c r="EM29" s="873"/>
      <c r="EN29" s="879">
        <f t="shared" ref="EN29" si="102">SUM(EB29:EM29)</f>
        <v>0</v>
      </c>
      <c r="EO29" s="883"/>
      <c r="EP29" s="883"/>
      <c r="EQ29" s="883"/>
      <c r="ER29" s="883"/>
      <c r="ES29" s="883"/>
      <c r="ET29" s="883"/>
      <c r="EU29" s="883"/>
      <c r="EV29" s="973"/>
      <c r="EW29" s="883"/>
      <c r="EX29" s="883"/>
      <c r="EY29" s="883"/>
      <c r="EZ29" s="873"/>
      <c r="FA29" s="879">
        <f t="shared" si="49"/>
        <v>0</v>
      </c>
      <c r="FC29" s="843" t="str">
        <f t="shared" si="99"/>
        <v/>
      </c>
      <c r="FD29" s="844" t="str">
        <f t="shared" si="52"/>
        <v/>
      </c>
      <c r="FE29" s="845">
        <f t="shared" si="100"/>
        <v>0</v>
      </c>
      <c r="FF29" s="846">
        <f t="shared" si="101"/>
        <v>0</v>
      </c>
    </row>
    <row r="30" spans="1:164" ht="15" customHeight="1" x14ac:dyDescent="0.25">
      <c r="A30" s="402" t="s">
        <v>389</v>
      </c>
      <c r="B30" s="883"/>
      <c r="C30" s="883"/>
      <c r="D30" s="883"/>
      <c r="E30" s="883"/>
      <c r="F30" s="883"/>
      <c r="G30" s="883"/>
      <c r="H30" s="883"/>
      <c r="I30" s="883"/>
      <c r="J30" s="883"/>
      <c r="K30" s="883"/>
      <c r="L30" s="883"/>
      <c r="M30" s="873"/>
      <c r="N30" s="879"/>
      <c r="O30" s="883"/>
      <c r="P30" s="883"/>
      <c r="Q30" s="883"/>
      <c r="R30" s="883"/>
      <c r="S30" s="883"/>
      <c r="T30" s="883"/>
      <c r="U30" s="883"/>
      <c r="V30" s="883"/>
      <c r="W30" s="883"/>
      <c r="X30" s="883"/>
      <c r="Y30" s="883"/>
      <c r="Z30" s="873"/>
      <c r="AA30" s="879"/>
      <c r="AB30" s="883"/>
      <c r="AC30" s="883"/>
      <c r="AD30" s="883"/>
      <c r="AE30" s="883"/>
      <c r="AF30" s="883"/>
      <c r="AG30" s="883"/>
      <c r="AH30" s="883"/>
      <c r="AI30" s="883"/>
      <c r="AJ30" s="883"/>
      <c r="AK30" s="883"/>
      <c r="AL30" s="883"/>
      <c r="AM30" s="873"/>
      <c r="AN30" s="879"/>
      <c r="AO30" s="883"/>
      <c r="AP30" s="883"/>
      <c r="AQ30" s="883"/>
      <c r="AR30" s="883"/>
      <c r="AS30" s="883"/>
      <c r="AT30" s="883"/>
      <c r="AU30" s="883"/>
      <c r="AV30" s="883"/>
      <c r="AW30" s="883"/>
      <c r="AX30" s="883"/>
      <c r="AY30" s="883"/>
      <c r="AZ30" s="873"/>
      <c r="BA30" s="879"/>
      <c r="BB30" s="883"/>
      <c r="BC30" s="883"/>
      <c r="BD30" s="883"/>
      <c r="BE30" s="883"/>
      <c r="BF30" s="883"/>
      <c r="BG30" s="883"/>
      <c r="BH30" s="883"/>
      <c r="BI30" s="883"/>
      <c r="BJ30" s="883"/>
      <c r="BK30" s="883"/>
      <c r="BL30" s="883"/>
      <c r="BM30" s="873"/>
      <c r="BN30" s="879"/>
      <c r="BO30" s="883">
        <f>SUM(BO31:BO34)</f>
        <v>0</v>
      </c>
      <c r="BP30" s="883"/>
      <c r="BQ30" s="883"/>
      <c r="BR30" s="883"/>
      <c r="BS30" s="883"/>
      <c r="BT30" s="883"/>
      <c r="BU30" s="883"/>
      <c r="BV30" s="883"/>
      <c r="BW30" s="883"/>
      <c r="BX30" s="883"/>
      <c r="BY30" s="883"/>
      <c r="BZ30" s="873"/>
      <c r="CA30" s="879"/>
      <c r="CB30" s="883">
        <f>SUM(CB31:CB34)</f>
        <v>0</v>
      </c>
      <c r="CC30" s="883"/>
      <c r="CD30" s="883"/>
      <c r="CE30" s="883"/>
      <c r="CF30" s="883"/>
      <c r="CG30" s="883"/>
      <c r="CH30" s="883"/>
      <c r="CI30" s="883"/>
      <c r="CJ30" s="883"/>
      <c r="CK30" s="883"/>
      <c r="CL30" s="883"/>
      <c r="CM30" s="873"/>
      <c r="CN30" s="879">
        <f t="shared" si="36"/>
        <v>0</v>
      </c>
      <c r="CO30" s="883"/>
      <c r="CP30" s="883"/>
      <c r="CQ30" s="883"/>
      <c r="CR30" s="883"/>
      <c r="CS30" s="883"/>
      <c r="CT30" s="883"/>
      <c r="CU30" s="883"/>
      <c r="CV30" s="883"/>
      <c r="CW30" s="883"/>
      <c r="CX30" s="883"/>
      <c r="CY30" s="883"/>
      <c r="CZ30" s="873"/>
      <c r="DA30" s="879">
        <f t="shared" si="38"/>
        <v>0</v>
      </c>
      <c r="DB30" s="883"/>
      <c r="DC30" s="883"/>
      <c r="DD30" s="883"/>
      <c r="DE30" s="883"/>
      <c r="DF30" s="883"/>
      <c r="DG30" s="883"/>
      <c r="DH30" s="883"/>
      <c r="DI30" s="883"/>
      <c r="DJ30" s="883"/>
      <c r="DK30" s="883"/>
      <c r="DL30" s="883"/>
      <c r="DM30" s="873"/>
      <c r="DN30" s="879">
        <f t="shared" si="40"/>
        <v>0</v>
      </c>
      <c r="DO30" s="883"/>
      <c r="DP30" s="883"/>
      <c r="DQ30" s="883"/>
      <c r="DR30" s="883"/>
      <c r="DS30" s="883"/>
      <c r="DT30" s="883"/>
      <c r="DU30" s="883"/>
      <c r="DV30" s="883"/>
      <c r="DW30" s="883"/>
      <c r="DX30" s="883"/>
      <c r="DY30" s="883"/>
      <c r="DZ30" s="873"/>
      <c r="EA30" s="879">
        <f t="shared" si="42"/>
        <v>0</v>
      </c>
      <c r="EB30" s="883"/>
      <c r="EC30" s="883"/>
      <c r="ED30" s="883"/>
      <c r="EE30" s="883"/>
      <c r="EF30" s="883"/>
      <c r="EG30" s="883"/>
      <c r="EH30" s="883"/>
      <c r="EI30" s="883"/>
      <c r="EJ30" s="883"/>
      <c r="EK30" s="883"/>
      <c r="EL30" s="883"/>
      <c r="EM30" s="873"/>
      <c r="EN30" s="879">
        <f>SUM(EB30:EM30)</f>
        <v>0</v>
      </c>
      <c r="EO30" s="883"/>
      <c r="EP30" s="883"/>
      <c r="EQ30" s="883"/>
      <c r="ER30" s="883"/>
      <c r="ES30" s="883"/>
      <c r="ET30" s="883"/>
      <c r="EU30" s="883"/>
      <c r="EV30" s="973"/>
      <c r="EW30" s="883"/>
      <c r="EX30" s="883"/>
      <c r="EY30" s="883"/>
      <c r="EZ30" s="873"/>
      <c r="FA30" s="879">
        <f>SUM(EO30:EZ30)</f>
        <v>0</v>
      </c>
      <c r="FC30" s="843" t="str">
        <f t="shared" si="99"/>
        <v/>
      </c>
      <c r="FD30" s="844" t="str">
        <f t="shared" si="52"/>
        <v/>
      </c>
      <c r="FE30" s="845">
        <f t="shared" si="100"/>
        <v>0</v>
      </c>
      <c r="FF30" s="846">
        <f t="shared" si="101"/>
        <v>0</v>
      </c>
    </row>
    <row r="31" spans="1:164" ht="15" customHeight="1" x14ac:dyDescent="0.25">
      <c r="A31" s="133"/>
      <c r="B31" s="880"/>
      <c r="C31" s="880"/>
      <c r="D31" s="880"/>
      <c r="E31" s="880"/>
      <c r="F31" s="880"/>
      <c r="G31" s="880"/>
      <c r="H31" s="880"/>
      <c r="I31" s="880"/>
      <c r="J31" s="880"/>
      <c r="K31" s="880"/>
      <c r="L31" s="880"/>
      <c r="M31" s="881"/>
      <c r="N31" s="882"/>
      <c r="O31" s="880"/>
      <c r="P31" s="880"/>
      <c r="Q31" s="880"/>
      <c r="R31" s="880"/>
      <c r="S31" s="880"/>
      <c r="T31" s="880"/>
      <c r="U31" s="880"/>
      <c r="V31" s="880"/>
      <c r="W31" s="880"/>
      <c r="X31" s="880"/>
      <c r="Y31" s="880"/>
      <c r="Z31" s="881"/>
      <c r="AA31" s="882"/>
      <c r="AB31" s="880"/>
      <c r="AC31" s="880"/>
      <c r="AD31" s="880"/>
      <c r="AE31" s="880"/>
      <c r="AF31" s="880"/>
      <c r="AG31" s="880"/>
      <c r="AH31" s="880"/>
      <c r="AI31" s="880"/>
      <c r="AJ31" s="880"/>
      <c r="AK31" s="880"/>
      <c r="AL31" s="880"/>
      <c r="AM31" s="881"/>
      <c r="AN31" s="882"/>
      <c r="AO31" s="880"/>
      <c r="AP31" s="880"/>
      <c r="AQ31" s="880"/>
      <c r="AR31" s="880"/>
      <c r="AS31" s="880"/>
      <c r="AT31" s="880"/>
      <c r="AU31" s="880"/>
      <c r="AV31" s="880"/>
      <c r="AW31" s="880"/>
      <c r="AX31" s="880"/>
      <c r="AY31" s="880"/>
      <c r="AZ31" s="881"/>
      <c r="BA31" s="882"/>
      <c r="BB31" s="880"/>
      <c r="BC31" s="880"/>
      <c r="BD31" s="880"/>
      <c r="BE31" s="880"/>
      <c r="BF31" s="880"/>
      <c r="BG31" s="880"/>
      <c r="BH31" s="880"/>
      <c r="BI31" s="880"/>
      <c r="BJ31" s="880"/>
      <c r="BK31" s="880"/>
      <c r="BL31" s="880"/>
      <c r="BM31" s="881"/>
      <c r="BN31" s="882"/>
      <c r="BO31" s="880"/>
      <c r="BP31" s="880"/>
      <c r="BQ31" s="880"/>
      <c r="BR31" s="880"/>
      <c r="BS31" s="880"/>
      <c r="BT31" s="880"/>
      <c r="BU31" s="880"/>
      <c r="BV31" s="880"/>
      <c r="BW31" s="880"/>
      <c r="BX31" s="880"/>
      <c r="BY31" s="880"/>
      <c r="BZ31" s="881"/>
      <c r="CA31" s="882"/>
      <c r="CB31" s="880"/>
      <c r="CC31" s="880"/>
      <c r="CD31" s="880"/>
      <c r="CE31" s="880"/>
      <c r="CF31" s="880"/>
      <c r="CG31" s="880"/>
      <c r="CH31" s="880"/>
      <c r="CI31" s="880"/>
      <c r="CJ31" s="880"/>
      <c r="CK31" s="880"/>
      <c r="CL31" s="880"/>
      <c r="CM31" s="881"/>
      <c r="CN31" s="882"/>
      <c r="CO31" s="880"/>
      <c r="CP31" s="880"/>
      <c r="CQ31" s="880"/>
      <c r="CR31" s="880"/>
      <c r="CS31" s="880"/>
      <c r="CT31" s="880"/>
      <c r="CU31" s="880"/>
      <c r="CV31" s="880"/>
      <c r="CW31" s="880"/>
      <c r="CX31" s="880"/>
      <c r="CY31" s="880"/>
      <c r="CZ31" s="881"/>
      <c r="DA31" s="882"/>
      <c r="DB31" s="880"/>
      <c r="DC31" s="880"/>
      <c r="DD31" s="880"/>
      <c r="DE31" s="880"/>
      <c r="DF31" s="880"/>
      <c r="DG31" s="880"/>
      <c r="DH31" s="880"/>
      <c r="DI31" s="880"/>
      <c r="DJ31" s="880"/>
      <c r="DK31" s="880"/>
      <c r="DL31" s="880"/>
      <c r="DM31" s="881"/>
      <c r="DN31" s="882"/>
      <c r="DO31" s="880"/>
      <c r="DP31" s="880"/>
      <c r="DQ31" s="880"/>
      <c r="DR31" s="880"/>
      <c r="DS31" s="880"/>
      <c r="DT31" s="880"/>
      <c r="DU31" s="880"/>
      <c r="DV31" s="880"/>
      <c r="DW31" s="880"/>
      <c r="DX31" s="880"/>
      <c r="DY31" s="880"/>
      <c r="DZ31" s="881"/>
      <c r="EA31" s="882"/>
      <c r="EB31" s="880"/>
      <c r="EC31" s="880"/>
      <c r="ED31" s="880"/>
      <c r="EE31" s="880"/>
      <c r="EF31" s="880"/>
      <c r="EG31" s="880"/>
      <c r="EH31" s="880"/>
      <c r="EI31" s="880"/>
      <c r="EJ31" s="880"/>
      <c r="EK31" s="880"/>
      <c r="EL31" s="880"/>
      <c r="EM31" s="881"/>
      <c r="EN31" s="882"/>
      <c r="EO31" s="880"/>
      <c r="EP31" s="880"/>
      <c r="EQ31" s="880"/>
      <c r="ER31" s="880"/>
      <c r="ES31" s="880"/>
      <c r="ET31" s="880"/>
      <c r="EU31" s="880"/>
      <c r="EV31" s="978"/>
      <c r="EW31" s="880"/>
      <c r="EX31" s="880"/>
      <c r="EY31" s="880"/>
      <c r="EZ31" s="881"/>
      <c r="FA31" s="882"/>
      <c r="FC31" s="340"/>
      <c r="FD31" s="228"/>
      <c r="FE31" s="305"/>
      <c r="FF31" s="218"/>
    </row>
    <row r="32" spans="1:164" ht="15" customHeight="1" x14ac:dyDescent="0.25">
      <c r="A32" s="131" t="s">
        <v>244</v>
      </c>
      <c r="FC32" s="205"/>
      <c r="FD32" s="205"/>
    </row>
    <row r="33" spans="1:164" ht="15" customHeight="1" x14ac:dyDescent="0.25">
      <c r="A33" s="175" t="s">
        <v>145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FC33" s="205"/>
      <c r="FD33" s="205"/>
    </row>
    <row r="34" spans="1:164" ht="15" customHeight="1" x14ac:dyDescent="0.25">
      <c r="B34" s="886"/>
      <c r="C34" s="886"/>
      <c r="D34" s="886"/>
      <c r="E34" s="886"/>
      <c r="F34" s="886"/>
      <c r="G34" s="886"/>
      <c r="H34" s="886"/>
      <c r="I34" s="886"/>
      <c r="J34" s="886"/>
      <c r="K34" s="886"/>
      <c r="L34" s="886"/>
      <c r="M34" s="886"/>
      <c r="N34" s="886"/>
      <c r="O34" s="886"/>
      <c r="P34" s="886"/>
      <c r="Q34" s="886"/>
      <c r="R34" s="886"/>
      <c r="S34" s="886"/>
      <c r="T34" s="886"/>
      <c r="U34" s="886"/>
      <c r="V34" s="886"/>
      <c r="W34" s="886"/>
      <c r="X34" s="886"/>
      <c r="Y34" s="886"/>
      <c r="Z34" s="886"/>
      <c r="AA34" s="886"/>
      <c r="AB34" s="886"/>
      <c r="AC34" s="886"/>
      <c r="AD34" s="886"/>
      <c r="AE34" s="886"/>
      <c r="AF34" s="886"/>
      <c r="AG34" s="886"/>
      <c r="AH34" s="886"/>
      <c r="AI34" s="886"/>
      <c r="AJ34" s="886"/>
      <c r="AK34" s="886"/>
      <c r="AL34" s="886"/>
      <c r="AM34" s="886"/>
      <c r="AN34" s="886"/>
      <c r="AO34" s="886"/>
      <c r="AP34" s="886"/>
      <c r="AQ34" s="886"/>
      <c r="AR34" s="886"/>
      <c r="AS34" s="886"/>
      <c r="AT34" s="886"/>
      <c r="AU34" s="886"/>
      <c r="AV34" s="886"/>
      <c r="AW34" s="886"/>
      <c r="AX34" s="886"/>
      <c r="AY34" s="886"/>
      <c r="AZ34" s="886"/>
      <c r="BA34" s="886"/>
      <c r="BB34" s="886"/>
      <c r="BC34" s="886"/>
      <c r="BD34" s="886"/>
      <c r="BE34" s="886"/>
      <c r="BF34" s="886"/>
      <c r="BG34" s="886"/>
      <c r="BH34" s="886"/>
      <c r="BI34" s="886"/>
      <c r="BJ34" s="886"/>
      <c r="BK34" s="886"/>
      <c r="BL34" s="886"/>
      <c r="BM34" s="886"/>
      <c r="BN34" s="886"/>
      <c r="BO34" s="886"/>
      <c r="BP34" s="886"/>
      <c r="BQ34" s="886"/>
      <c r="BR34" s="886"/>
      <c r="BS34" s="886"/>
      <c r="BT34" s="886"/>
      <c r="BU34" s="886"/>
      <c r="BV34" s="886"/>
      <c r="BW34" s="886"/>
      <c r="BX34" s="886"/>
      <c r="BY34" s="886"/>
      <c r="BZ34" s="886"/>
      <c r="CA34" s="886"/>
      <c r="CB34" s="886"/>
      <c r="CC34" s="886"/>
      <c r="CD34" s="886"/>
      <c r="CE34" s="886"/>
      <c r="CF34" s="886"/>
      <c r="CG34" s="886"/>
      <c r="CH34" s="886"/>
      <c r="CI34" s="886"/>
      <c r="CJ34" s="886"/>
      <c r="CK34" s="886"/>
      <c r="CL34" s="886"/>
      <c r="CM34" s="886"/>
      <c r="CN34" s="886"/>
      <c r="CO34" s="886"/>
      <c r="CP34" s="886"/>
      <c r="CQ34" s="886"/>
      <c r="CR34" s="886"/>
      <c r="CS34" s="886"/>
      <c r="CT34" s="886"/>
      <c r="CU34" s="886"/>
      <c r="CV34" s="886"/>
      <c r="CW34" s="886"/>
      <c r="CX34" s="886"/>
      <c r="CY34" s="886"/>
      <c r="CZ34" s="886"/>
      <c r="DA34" s="886"/>
      <c r="DB34" s="886"/>
      <c r="DC34" s="886"/>
      <c r="DD34" s="886"/>
      <c r="DE34" s="886"/>
      <c r="DF34" s="886"/>
      <c r="DG34" s="886"/>
      <c r="DH34" s="886"/>
      <c r="DI34" s="886"/>
      <c r="DJ34" s="886"/>
      <c r="DK34" s="886"/>
      <c r="DL34" s="886"/>
      <c r="DM34" s="886"/>
      <c r="DN34" s="886"/>
      <c r="DO34" s="886"/>
      <c r="DP34" s="886"/>
      <c r="DQ34" s="886"/>
      <c r="DR34" s="886"/>
      <c r="DS34" s="886"/>
      <c r="DT34" s="886"/>
      <c r="DU34" s="886"/>
      <c r="DV34" s="886"/>
      <c r="DW34" s="886"/>
      <c r="DX34" s="886"/>
      <c r="DY34" s="886"/>
      <c r="DZ34" s="886"/>
      <c r="EA34" s="886"/>
      <c r="EB34" s="886"/>
      <c r="EC34" s="886"/>
      <c r="ED34" s="886"/>
      <c r="EE34" s="886"/>
      <c r="EF34" s="886"/>
      <c r="EG34" s="886"/>
      <c r="EH34" s="886"/>
      <c r="EI34" s="886"/>
      <c r="EJ34" s="886"/>
      <c r="EK34" s="886"/>
      <c r="EL34" s="886"/>
      <c r="EM34" s="886"/>
      <c r="EN34" s="886"/>
      <c r="EO34" s="886"/>
      <c r="EP34" s="886"/>
      <c r="EQ34" s="886"/>
      <c r="ER34" s="886"/>
      <c r="ES34" s="886"/>
      <c r="ET34" s="886"/>
      <c r="EU34" s="886"/>
      <c r="EV34" s="974"/>
      <c r="EW34" s="886"/>
      <c r="EX34" s="886"/>
      <c r="EY34" s="886"/>
      <c r="EZ34" s="886"/>
      <c r="FA34" s="886"/>
    </row>
    <row r="35" spans="1:164" ht="15" customHeight="1" x14ac:dyDescent="0.25">
      <c r="A35" s="681" t="s">
        <v>240</v>
      </c>
      <c r="B35" s="886"/>
      <c r="C35" s="886"/>
      <c r="D35" s="886"/>
      <c r="E35" s="886"/>
      <c r="F35" s="886"/>
      <c r="G35" s="886"/>
      <c r="H35" s="886"/>
      <c r="I35" s="886"/>
      <c r="J35" s="886"/>
      <c r="K35" s="886"/>
      <c r="L35" s="886"/>
      <c r="M35" s="886"/>
      <c r="N35" s="886"/>
      <c r="O35" s="886"/>
      <c r="P35" s="886"/>
      <c r="Q35" s="886"/>
      <c r="R35" s="886"/>
      <c r="S35" s="886"/>
      <c r="T35" s="886"/>
      <c r="U35" s="886"/>
      <c r="V35" s="886"/>
      <c r="W35" s="886"/>
      <c r="X35" s="886"/>
      <c r="Y35" s="886"/>
      <c r="Z35" s="886"/>
      <c r="AA35" s="886"/>
      <c r="AB35" s="886"/>
      <c r="AC35" s="886"/>
      <c r="AD35" s="886"/>
      <c r="AE35" s="886"/>
      <c r="AF35" s="886"/>
      <c r="AG35" s="886"/>
      <c r="AH35" s="886"/>
      <c r="AI35" s="886"/>
      <c r="AJ35" s="886"/>
      <c r="AK35" s="886"/>
      <c r="AL35" s="886"/>
      <c r="AM35" s="886"/>
      <c r="AN35" s="886"/>
      <c r="AO35" s="886"/>
      <c r="AP35" s="886"/>
      <c r="AQ35" s="886"/>
      <c r="AR35" s="886"/>
      <c r="AS35" s="886"/>
      <c r="AT35" s="886"/>
      <c r="AU35" s="886"/>
      <c r="AV35" s="886"/>
      <c r="AW35" s="886"/>
      <c r="AX35" s="886"/>
      <c r="AY35" s="886"/>
      <c r="AZ35" s="886"/>
      <c r="BA35" s="886"/>
      <c r="BB35" s="886"/>
      <c r="BC35" s="886"/>
      <c r="BD35" s="886"/>
      <c r="BE35" s="886"/>
      <c r="BF35" s="886"/>
      <c r="BG35" s="886"/>
      <c r="BH35" s="886"/>
      <c r="BI35" s="886"/>
      <c r="BJ35" s="886"/>
      <c r="BK35" s="886"/>
      <c r="BL35" s="886"/>
      <c r="BM35" s="886"/>
      <c r="BN35" s="886"/>
      <c r="BO35" s="886"/>
      <c r="BP35" s="886"/>
      <c r="BQ35" s="886"/>
      <c r="BR35" s="886"/>
      <c r="BS35" s="886"/>
      <c r="BT35" s="886"/>
      <c r="BU35" s="886"/>
      <c r="BV35" s="886"/>
      <c r="BW35" s="886"/>
      <c r="BX35" s="886"/>
      <c r="BY35" s="886"/>
      <c r="BZ35" s="886"/>
      <c r="CA35" s="886"/>
      <c r="CB35" s="886"/>
      <c r="CC35" s="886"/>
      <c r="CD35" s="886"/>
      <c r="CE35" s="886"/>
      <c r="CF35" s="886"/>
      <c r="CG35" s="886"/>
      <c r="CH35" s="886"/>
      <c r="CI35" s="886"/>
      <c r="CJ35" s="886"/>
      <c r="CK35" s="886"/>
      <c r="CL35" s="886"/>
      <c r="CM35" s="886"/>
      <c r="CN35" s="886"/>
      <c r="CO35" s="886"/>
      <c r="CP35" s="886"/>
      <c r="CQ35" s="886"/>
      <c r="CR35" s="886"/>
      <c r="CS35" s="886"/>
      <c r="CT35" s="886"/>
      <c r="CU35" s="886"/>
      <c r="CV35" s="886"/>
      <c r="CW35" s="886"/>
      <c r="CX35" s="886"/>
      <c r="CY35" s="886"/>
      <c r="CZ35" s="886"/>
      <c r="DA35" s="886"/>
      <c r="DB35" s="886"/>
      <c r="DC35" s="886"/>
      <c r="DD35" s="886"/>
      <c r="DE35" s="886"/>
      <c r="DF35" s="886"/>
      <c r="DG35" s="886"/>
      <c r="DH35" s="886"/>
      <c r="DI35" s="886"/>
      <c r="DJ35" s="886"/>
      <c r="DK35" s="886"/>
      <c r="DL35" s="886"/>
      <c r="DM35" s="886"/>
      <c r="DN35" s="886"/>
      <c r="DO35" s="886"/>
      <c r="DP35" s="886"/>
      <c r="DQ35" s="886"/>
      <c r="DR35" s="886"/>
      <c r="DS35" s="886"/>
      <c r="DT35" s="886"/>
      <c r="DU35" s="886"/>
      <c r="DV35" s="886"/>
      <c r="DW35" s="886"/>
      <c r="DX35" s="886"/>
      <c r="DY35" s="886"/>
      <c r="DZ35" s="886"/>
      <c r="EA35" s="886"/>
      <c r="EB35" s="886"/>
      <c r="EC35" s="886"/>
      <c r="ED35" s="886"/>
      <c r="EE35" s="886"/>
      <c r="EF35" s="886"/>
      <c r="EG35" s="886"/>
      <c r="EH35" s="886"/>
      <c r="EI35" s="886"/>
      <c r="EJ35" s="886"/>
      <c r="EK35" s="886"/>
      <c r="EL35" s="886"/>
      <c r="EM35" s="886"/>
      <c r="EN35" s="886"/>
      <c r="EO35" s="886"/>
      <c r="EP35" s="886"/>
      <c r="EQ35" s="886"/>
      <c r="ER35" s="886"/>
      <c r="ES35" s="886"/>
      <c r="ET35" s="886"/>
      <c r="EU35" s="886"/>
      <c r="EV35" s="974"/>
      <c r="EW35" s="886"/>
      <c r="EX35" s="886"/>
      <c r="EY35" s="886"/>
      <c r="EZ35" s="886"/>
      <c r="FA35" s="886"/>
    </row>
    <row r="36" spans="1:164" ht="15" customHeight="1" x14ac:dyDescent="0.25">
      <c r="A36" s="681" t="s">
        <v>484</v>
      </c>
      <c r="B36" s="886"/>
      <c r="C36" s="886"/>
      <c r="D36" s="886"/>
      <c r="E36" s="886"/>
      <c r="F36" s="886"/>
      <c r="G36" s="886"/>
      <c r="H36" s="886"/>
      <c r="I36" s="886"/>
      <c r="J36" s="886"/>
      <c r="K36" s="886"/>
      <c r="L36" s="886"/>
      <c r="M36" s="886"/>
      <c r="N36" s="886"/>
      <c r="O36" s="886"/>
      <c r="P36" s="886"/>
      <c r="Q36" s="886"/>
      <c r="R36" s="886"/>
      <c r="S36" s="886"/>
      <c r="T36" s="886"/>
      <c r="U36" s="886"/>
      <c r="V36" s="886"/>
      <c r="W36" s="886"/>
      <c r="X36" s="886"/>
      <c r="Y36" s="886"/>
      <c r="Z36" s="886"/>
      <c r="AA36" s="886"/>
      <c r="AB36" s="886"/>
      <c r="AC36" s="886"/>
      <c r="AD36" s="886"/>
      <c r="AE36" s="886"/>
      <c r="AF36" s="886"/>
      <c r="AG36" s="886"/>
      <c r="AH36" s="886"/>
      <c r="AI36" s="886"/>
      <c r="AJ36" s="886"/>
      <c r="AK36" s="886"/>
      <c r="AL36" s="886"/>
      <c r="AM36" s="886"/>
      <c r="AN36" s="886"/>
      <c r="AO36" s="886"/>
      <c r="AP36" s="886"/>
      <c r="AQ36" s="886"/>
      <c r="AR36" s="886"/>
      <c r="AS36" s="886"/>
      <c r="AT36" s="886"/>
      <c r="AU36" s="886"/>
      <c r="AV36" s="886"/>
      <c r="AW36" s="886"/>
      <c r="AX36" s="886"/>
      <c r="AY36" s="886"/>
      <c r="AZ36" s="886"/>
      <c r="BA36" s="886"/>
      <c r="BB36" s="886"/>
      <c r="BC36" s="886"/>
      <c r="BD36" s="886"/>
      <c r="BE36" s="886"/>
      <c r="BF36" s="886"/>
      <c r="BG36" s="886"/>
      <c r="BH36" s="886"/>
      <c r="BI36" s="886"/>
      <c r="BJ36" s="886"/>
      <c r="BK36" s="886"/>
      <c r="BL36" s="886"/>
      <c r="BM36" s="886"/>
      <c r="BN36" s="886"/>
      <c r="BO36" s="886">
        <f>((BO37/BM37)-1)*100</f>
        <v>4.9999999999994493E-2</v>
      </c>
      <c r="BP36" s="886">
        <f t="shared" ref="BP36:BZ36" si="103">((BP37/BO37)-1)*100</f>
        <v>0.14000000000000679</v>
      </c>
      <c r="BQ36" s="886">
        <f t="shared" si="103"/>
        <v>0.64999999999999503</v>
      </c>
      <c r="BR36" s="886">
        <f t="shared" si="103"/>
        <v>9.9999999999988987E-2</v>
      </c>
      <c r="BS36" s="886">
        <f t="shared" si="103"/>
        <v>0.20000000000000018</v>
      </c>
      <c r="BT36" s="886">
        <f t="shared" si="103"/>
        <v>-0.27000000000000357</v>
      </c>
      <c r="BU36" s="886">
        <f t="shared" si="103"/>
        <v>0.45999999999999375</v>
      </c>
      <c r="BV36" s="886">
        <f t="shared" si="103"/>
        <v>-0.11000000000038757</v>
      </c>
      <c r="BW36" s="886">
        <f t="shared" si="103"/>
        <v>0.14000000000031765</v>
      </c>
      <c r="BX36" s="886">
        <f t="shared" si="103"/>
        <v>2.0000000000131024E-2</v>
      </c>
      <c r="BY36" s="886">
        <f t="shared" si="103"/>
        <v>0.52000000000000934</v>
      </c>
      <c r="BZ36" s="886">
        <f t="shared" si="103"/>
        <v>4.9999999999994493E-2</v>
      </c>
      <c r="CA36" s="886"/>
      <c r="CB36" s="886">
        <f>((CB37/BZ37)-1)*100</f>
        <v>0.74000000000000732</v>
      </c>
      <c r="CC36" s="886">
        <f t="shared" ref="CC36:CM36" si="104">((CC37/CB37)-1)*100</f>
        <v>-0.12999999999998568</v>
      </c>
      <c r="CD36" s="886">
        <f t="shared" si="104"/>
        <v>0.83999999999999631</v>
      </c>
      <c r="CE36" s="886">
        <f t="shared" si="104"/>
        <v>-0.10000000000000009</v>
      </c>
      <c r="CF36" s="886">
        <f t="shared" si="104"/>
        <v>0.26999999999999247</v>
      </c>
      <c r="CG36" s="886">
        <f t="shared" si="104"/>
        <v>0.52000000000009816</v>
      </c>
      <c r="CH36" s="886">
        <f t="shared" si="104"/>
        <v>1.009999999999911</v>
      </c>
      <c r="CI36" s="886">
        <f t="shared" si="104"/>
        <v>0.98000000000000309</v>
      </c>
      <c r="CJ36" s="886">
        <f t="shared" si="104"/>
        <v>0.40000000000000036</v>
      </c>
      <c r="CK36" s="886">
        <f t="shared" si="104"/>
        <v>0.58000000000000274</v>
      </c>
      <c r="CL36" s="886">
        <f t="shared" si="104"/>
        <v>0.36000000000000476</v>
      </c>
      <c r="CM36" s="886">
        <f t="shared" si="104"/>
        <v>0.78000000000000291</v>
      </c>
      <c r="CN36" s="886"/>
      <c r="CO36" s="886">
        <f>((CO37/CM37)-1)*100</f>
        <v>3.9999999999995595E-2</v>
      </c>
      <c r="CP36" s="886">
        <f t="shared" ref="CP36:CZ36" si="105">((CP37/CO37)-1)*100</f>
        <v>0.31145630976847638</v>
      </c>
      <c r="CQ36" s="886">
        <f t="shared" si="105"/>
        <v>1.4799999999999924</v>
      </c>
      <c r="CR36" s="886">
        <f t="shared" si="105"/>
        <v>0.96000000000000529</v>
      </c>
      <c r="CS36" s="886">
        <f t="shared" si="105"/>
        <v>0.38000000000000256</v>
      </c>
      <c r="CT36" s="886">
        <f t="shared" si="105"/>
        <v>1.1900000000000022</v>
      </c>
      <c r="CU36" s="886">
        <f t="shared" si="105"/>
        <v>0.9400000000000075</v>
      </c>
      <c r="CV36" s="886">
        <f t="shared" si="105"/>
        <v>0.66999999999999282</v>
      </c>
      <c r="CW36" s="886">
        <f t="shared" si="105"/>
        <v>0.52000000000000934</v>
      </c>
      <c r="CX36" s="886">
        <f t="shared" si="105"/>
        <v>0.35000000000000586</v>
      </c>
      <c r="CY36" s="886">
        <f t="shared" si="105"/>
        <v>0.52000000000000934</v>
      </c>
      <c r="CZ36" s="886">
        <f t="shared" si="105"/>
        <v>0.79000000000000181</v>
      </c>
      <c r="DA36" s="886"/>
      <c r="DB36" s="886">
        <f>((DB37/CZ37)-1)*100</f>
        <v>0.22999999999999687</v>
      </c>
      <c r="DC36" s="886">
        <f t="shared" ref="DC36:DM36" si="106">((DC37/DB37)-1)*100</f>
        <v>0.28999999999999027</v>
      </c>
      <c r="DD36" s="886">
        <f t="shared" si="106"/>
        <v>1.2499999999999956</v>
      </c>
      <c r="DE36" s="886">
        <f t="shared" si="106"/>
        <v>0.56000000000000494</v>
      </c>
      <c r="DF36" s="886">
        <f t="shared" si="106"/>
        <v>0.32000000000000917</v>
      </c>
      <c r="DG36" s="886">
        <f t="shared" si="106"/>
        <v>-0.14999999999999458</v>
      </c>
      <c r="DH36" s="886">
        <f t="shared" si="106"/>
        <v>0.39000000000000146</v>
      </c>
      <c r="DI36" s="886">
        <f t="shared" si="106"/>
        <v>0.38000000000000256</v>
      </c>
      <c r="DJ36" s="886">
        <f t="shared" si="106"/>
        <v>1.9999999999997797E-2</v>
      </c>
      <c r="DK36" s="886">
        <f t="shared" si="106"/>
        <v>-0.31999999999999806</v>
      </c>
      <c r="DL36" s="886">
        <f t="shared" si="106"/>
        <v>-0.16000000000000458</v>
      </c>
      <c r="DM36" s="886">
        <f t="shared" si="106"/>
        <v>0.40999999999999925</v>
      </c>
      <c r="DN36" s="886"/>
      <c r="DO36" s="886">
        <f>((DO37/DM37)-1)*100</f>
        <v>1.9999999999997797E-2</v>
      </c>
      <c r="DP36" s="886">
        <f t="shared" ref="DP36:DZ36" si="107">((DP37/DO37)-1)*100</f>
        <v>0.56000000000000494</v>
      </c>
      <c r="DQ36" s="886">
        <f t="shared" si="107"/>
        <v>1.0099999999999998</v>
      </c>
      <c r="DR36" s="886">
        <f t="shared" si="107"/>
        <v>-4.9999999999994493E-2</v>
      </c>
      <c r="DS36" s="886">
        <f t="shared" si="107"/>
        <v>-9.000000000000119E-2</v>
      </c>
      <c r="DT36" s="886">
        <f t="shared" si="107"/>
        <v>0.12000000000000899</v>
      </c>
      <c r="DU36" s="886">
        <f t="shared" si="107"/>
        <v>0.23999999999999577</v>
      </c>
      <c r="DV36" s="886">
        <f t="shared" si="107"/>
        <v>0.27999999999999137</v>
      </c>
      <c r="DW36" s="886">
        <f t="shared" si="107"/>
        <v>-0.23999999999999577</v>
      </c>
      <c r="DX36" s="886">
        <f t="shared" si="107"/>
        <v>-8.9999999999990088E-2</v>
      </c>
      <c r="DY36" s="886">
        <f t="shared" si="107"/>
        <v>8.9999999999990088E-2</v>
      </c>
      <c r="DZ36" s="886">
        <f t="shared" si="107"/>
        <v>0.11000000000001009</v>
      </c>
      <c r="EA36" s="886"/>
      <c r="EB36" s="886">
        <f>((EB37/DZ37)-1)*100</f>
        <v>-9.000000000000119E-2</v>
      </c>
      <c r="EC36" s="886">
        <f>((EC37/EB37)-1)*100</f>
        <v>0.18999999999997907</v>
      </c>
      <c r="ED36" s="886">
        <f>((ED37/EC37)-1)*100</f>
        <v>0.81000000000002181</v>
      </c>
      <c r="EE36" s="886">
        <f>((EE37/ED37)-1)*100</f>
        <v>0.32000000000000917</v>
      </c>
      <c r="EF36" s="886">
        <f>((EF37/EE37)-1)*100</f>
        <v>-6.0000000000004494E-2</v>
      </c>
      <c r="EG36" s="886">
        <f t="shared" ref="EG36:EM36" si="108">((EG37/EF37)-1)*100</f>
        <v>0.13000000000000789</v>
      </c>
      <c r="EH36" s="886">
        <f t="shared" si="108"/>
        <v>0.22999999999999687</v>
      </c>
      <c r="EI36" s="886">
        <f t="shared" si="108"/>
        <v>-0.29000000000000137</v>
      </c>
      <c r="EJ36" s="886">
        <f t="shared" si="108"/>
        <v>9.9999999999988987E-3</v>
      </c>
      <c r="EK36" s="886">
        <f t="shared" si="108"/>
        <v>-0.10000000000000009</v>
      </c>
      <c r="EL36" s="886">
        <f t="shared" si="108"/>
        <v>0.11000000000001009</v>
      </c>
      <c r="EM36" s="886">
        <f t="shared" si="108"/>
        <v>0.23999999999999577</v>
      </c>
      <c r="EN36" s="886"/>
      <c r="EO36" s="886">
        <f>((EO37/EM37)-1)*100</f>
        <v>9.9999999999988987E-2</v>
      </c>
      <c r="EP36" s="886">
        <f t="shared" ref="EP36:EV36" si="109">((EP37/EO37)-1)*100</f>
        <v>0.68999999999999062</v>
      </c>
      <c r="EQ36" s="886">
        <f t="shared" si="109"/>
        <v>2.3800000000000043</v>
      </c>
      <c r="ER36" s="886">
        <f t="shared" si="109"/>
        <v>0.52000000000000934</v>
      </c>
      <c r="ES36" s="886">
        <f t="shared" si="109"/>
        <v>-0.16000000000000458</v>
      </c>
      <c r="ET36" s="886">
        <f t="shared" si="109"/>
        <v>0.22999999999999687</v>
      </c>
      <c r="EU36" s="886">
        <f t="shared" si="109"/>
        <v>0.28999999999999027</v>
      </c>
      <c r="EV36" s="974">
        <f t="shared" si="109"/>
        <v>6.9999999999992291E-2</v>
      </c>
      <c r="EW36" s="886"/>
      <c r="EX36" s="886"/>
      <c r="EY36" s="886"/>
      <c r="EZ36" s="886"/>
      <c r="FA36" s="886"/>
      <c r="FC36" s="127"/>
      <c r="FD36" s="127"/>
      <c r="FE36" s="127"/>
      <c r="FF36" s="127"/>
    </row>
    <row r="37" spans="1:164" ht="15" customHeight="1" x14ac:dyDescent="0.25">
      <c r="A37" s="775" t="s">
        <v>634</v>
      </c>
      <c r="B37" s="886">
        <v>1.2724457879714965</v>
      </c>
      <c r="C37" s="886">
        <v>1.2762631253354111</v>
      </c>
      <c r="D37" s="886">
        <v>1.2859627250879599</v>
      </c>
      <c r="E37" s="886">
        <v>1.290977979715803</v>
      </c>
      <c r="F37" s="886">
        <v>1.2982074564022117</v>
      </c>
      <c r="G37" s="886">
        <v>1.3024915410083393</v>
      </c>
      <c r="H37" s="886">
        <v>1.3083527529428765</v>
      </c>
      <c r="I37" s="886">
        <v>1.3133244934040593</v>
      </c>
      <c r="J37" s="886">
        <v>1.3137184907520796</v>
      </c>
      <c r="K37" s="886">
        <v>1.3155576966391334</v>
      </c>
      <c r="L37" s="886">
        <v>1.3200305928077065</v>
      </c>
      <c r="M37" s="886">
        <v>1.3259707304753412</v>
      </c>
      <c r="N37" s="886"/>
      <c r="O37" s="886">
        <v>1.3308768221781</v>
      </c>
      <c r="P37" s="886">
        <v>1.3331393127758029</v>
      </c>
      <c r="Q37" s="886">
        <v>1.3411381486524576</v>
      </c>
      <c r="R37" s="886">
        <v>1.3412722624673228</v>
      </c>
      <c r="S37" s="886">
        <v>1.3440889342185038</v>
      </c>
      <c r="T37" s="886">
        <v>1.3459706587264098</v>
      </c>
      <c r="U37" s="886">
        <v>1.3470474352533908</v>
      </c>
      <c r="V37" s="886">
        <v>1.3518968060203032</v>
      </c>
      <c r="W37" s="886">
        <v>1.3547357893129455</v>
      </c>
      <c r="X37" s="886">
        <v>1.3602902060491286</v>
      </c>
      <c r="Y37" s="886">
        <v>1.3642350476466711</v>
      </c>
      <c r="Z37" s="886">
        <v>1.3687370233039053</v>
      </c>
      <c r="AA37" s="886"/>
      <c r="AB37" s="886">
        <v>1.3720219921598344</v>
      </c>
      <c r="AC37" s="886">
        <v>1.376412462534746</v>
      </c>
      <c r="AD37" s="886">
        <v>1.3943058245476976</v>
      </c>
      <c r="AE37" s="886">
        <v>1.3906806294038736</v>
      </c>
      <c r="AF37" s="886">
        <v>1.3848397707603775</v>
      </c>
      <c r="AG37" s="886">
        <v>1.382624027127161</v>
      </c>
      <c r="AH37" s="886">
        <v>1.3853892751814154</v>
      </c>
      <c r="AI37" s="886">
        <v>1.394671383325131</v>
      </c>
      <c r="AJ37" s="886">
        <v>1.3943924490484658</v>
      </c>
      <c r="AK37" s="886">
        <v>1.3878388045379382</v>
      </c>
      <c r="AL37" s="886">
        <v>1.385063126928862</v>
      </c>
      <c r="AM37" s="886">
        <v>1.3872792279319484</v>
      </c>
      <c r="AN37" s="886"/>
      <c r="AO37" s="886">
        <v>1.3890826909282596</v>
      </c>
      <c r="AP37" s="886">
        <v>1.3925553976555805</v>
      </c>
      <c r="AQ37" s="886">
        <v>1.3993789191040926</v>
      </c>
      <c r="AR37" s="886">
        <v>1.3974197886173472</v>
      </c>
      <c r="AS37" s="886">
        <v>1.3976992725750705</v>
      </c>
      <c r="AT37" s="886">
        <v>1.4023116801745681</v>
      </c>
      <c r="AU37" s="886">
        <v>1.4076404645592313</v>
      </c>
      <c r="AV37" s="886">
        <v>1.4094703971631584</v>
      </c>
      <c r="AW37" s="886">
        <v>1.4121483909177683</v>
      </c>
      <c r="AX37" s="886">
        <v>1.4132781096305025</v>
      </c>
      <c r="AY37" s="886">
        <v>1.414974043362059</v>
      </c>
      <c r="AZ37" s="886">
        <v>1.4175209966401108</v>
      </c>
      <c r="BA37" s="886"/>
      <c r="BB37" s="886">
        <v>1.4185132613377587</v>
      </c>
      <c r="BC37" s="886">
        <v>1.4203573285774977</v>
      </c>
      <c r="BD37" s="886">
        <v>1.4307259370761134</v>
      </c>
      <c r="BE37" s="886">
        <v>1.4335873889502657</v>
      </c>
      <c r="BF37" s="886">
        <v>1.4357377700336911</v>
      </c>
      <c r="BG37" s="886">
        <v>1.4344456060406601</v>
      </c>
      <c r="BH37" s="886">
        <v>1.4373144972527421</v>
      </c>
      <c r="BI37" s="886">
        <v>1.4381768859510939</v>
      </c>
      <c r="BJ37" s="886">
        <v>1.438320703639689</v>
      </c>
      <c r="BK37" s="886">
        <v>1.4399028564136926</v>
      </c>
      <c r="BL37" s="886">
        <v>1.4414867495557475</v>
      </c>
      <c r="BM37" s="886">
        <v>1.4445138717298147</v>
      </c>
      <c r="BN37" s="886"/>
      <c r="BO37" s="886">
        <v>1.4452361286656796</v>
      </c>
      <c r="BP37" s="886">
        <v>1.4472594592458117</v>
      </c>
      <c r="BQ37" s="886">
        <v>1.4566666457309094</v>
      </c>
      <c r="BR37" s="886">
        <v>1.4581233123766402</v>
      </c>
      <c r="BS37" s="886">
        <v>1.4610395590013934</v>
      </c>
      <c r="BT37" s="886">
        <v>1.4570947521920896</v>
      </c>
      <c r="BU37" s="886">
        <v>1.4637973880521731</v>
      </c>
      <c r="BV37" s="886">
        <v>1.46218721092531</v>
      </c>
      <c r="BW37" s="886">
        <v>1.4642342730206099</v>
      </c>
      <c r="BX37" s="886">
        <v>1.4645271198752159</v>
      </c>
      <c r="BY37" s="886">
        <v>1.472142660898567</v>
      </c>
      <c r="BZ37" s="886">
        <v>1.4728787322290162</v>
      </c>
      <c r="CA37" s="886"/>
      <c r="CB37" s="886">
        <v>1.4837780348475111</v>
      </c>
      <c r="CC37" s="886">
        <v>1.4818491234022095</v>
      </c>
      <c r="CD37" s="886">
        <v>1.494296656038788</v>
      </c>
      <c r="CE37" s="886">
        <v>1.4928023593827493</v>
      </c>
      <c r="CF37" s="886">
        <v>1.4968329257530826</v>
      </c>
      <c r="CG37" s="886">
        <v>1.504616456967</v>
      </c>
      <c r="CH37" s="886">
        <v>1.5198130831823653</v>
      </c>
      <c r="CI37" s="886">
        <v>1.5347072513975526</v>
      </c>
      <c r="CJ37" s="886">
        <v>1.5408460804031427</v>
      </c>
      <c r="CK37" s="886">
        <v>1.5497829876694811</v>
      </c>
      <c r="CL37" s="886">
        <v>1.5553622064250914</v>
      </c>
      <c r="CM37" s="886">
        <v>1.5674940316352071</v>
      </c>
      <c r="CN37" s="886"/>
      <c r="CO37" s="886">
        <v>1.5681210292478611</v>
      </c>
      <c r="CP37" s="886">
        <v>1.5730050411382599</v>
      </c>
      <c r="CQ37" s="886">
        <v>1.5962855157471061</v>
      </c>
      <c r="CR37" s="886">
        <v>1.6116098566982784</v>
      </c>
      <c r="CS37" s="886">
        <v>1.617733974153732</v>
      </c>
      <c r="CT37" s="886">
        <v>1.6369850084461615</v>
      </c>
      <c r="CU37" s="886">
        <v>1.6523726675255554</v>
      </c>
      <c r="CV37" s="886">
        <v>1.6634435643979766</v>
      </c>
      <c r="CW37" s="886">
        <v>1.6720934709328463</v>
      </c>
      <c r="CX37" s="886">
        <v>1.6779457980811114</v>
      </c>
      <c r="CY37" s="886">
        <v>1.6866711162311334</v>
      </c>
      <c r="CZ37" s="886">
        <v>1.6999958180493595</v>
      </c>
      <c r="DA37" s="886"/>
      <c r="DB37" s="886">
        <v>1.7039058084308729</v>
      </c>
      <c r="DC37" s="886">
        <v>1.7088471352753223</v>
      </c>
      <c r="DD37" s="886">
        <v>1.7302077244662637</v>
      </c>
      <c r="DE37" s="886">
        <v>1.7398968877232748</v>
      </c>
      <c r="DF37" s="886">
        <v>1.7454645577639893</v>
      </c>
      <c r="DG37" s="886">
        <v>1.7428463609273435</v>
      </c>
      <c r="DH37" s="886">
        <v>1.7496434617349601</v>
      </c>
      <c r="DI37" s="886">
        <v>1.756292106889553</v>
      </c>
      <c r="DJ37" s="886">
        <v>1.7566433653109308</v>
      </c>
      <c r="DK37" s="886">
        <v>1.7510221065419358</v>
      </c>
      <c r="DL37" s="886">
        <v>1.7482204711714686</v>
      </c>
      <c r="DM37" s="886">
        <v>1.7553881751032716</v>
      </c>
      <c r="DN37" s="886"/>
      <c r="DO37" s="886">
        <v>1.7557392527382922</v>
      </c>
      <c r="DP37" s="886">
        <v>1.7655713925536267</v>
      </c>
      <c r="DQ37" s="886">
        <v>1.7834036636184183</v>
      </c>
      <c r="DR37" s="886">
        <v>1.7825119617866092</v>
      </c>
      <c r="DS37" s="886">
        <v>1.7809077010210013</v>
      </c>
      <c r="DT37" s="886">
        <v>1.7830447902622266</v>
      </c>
      <c r="DU37" s="886">
        <v>1.7873240977588558</v>
      </c>
      <c r="DV37" s="886">
        <v>1.7923286052325804</v>
      </c>
      <c r="DW37" s="886">
        <v>1.7880270165800223</v>
      </c>
      <c r="DX37" s="886">
        <v>1.7864177922651003</v>
      </c>
      <c r="DY37" s="886">
        <v>1.7880255682781387</v>
      </c>
      <c r="DZ37" s="886">
        <v>1.7899923964032449</v>
      </c>
      <c r="EA37" s="886"/>
      <c r="EB37" s="886">
        <v>1.788381403246482</v>
      </c>
      <c r="EC37" s="886">
        <v>1.7917793279126499</v>
      </c>
      <c r="ED37" s="886">
        <v>1.8062927404687428</v>
      </c>
      <c r="EE37" s="886">
        <v>1.8120728772382428</v>
      </c>
      <c r="EF37" s="886">
        <v>1.8109856335118999</v>
      </c>
      <c r="EG37" s="886">
        <v>1.8133399148354654</v>
      </c>
      <c r="EH37" s="886">
        <v>1.817510596639587</v>
      </c>
      <c r="EI37" s="886">
        <v>1.8122398159093323</v>
      </c>
      <c r="EJ37" s="886">
        <v>1.8124210398909231</v>
      </c>
      <c r="EK37" s="886">
        <v>1.8106086188510322</v>
      </c>
      <c r="EL37" s="886">
        <v>1.8126002883317684</v>
      </c>
      <c r="EM37" s="886">
        <v>1.8169505290237646</v>
      </c>
      <c r="EN37" s="886"/>
      <c r="EO37" s="886">
        <v>1.8187674795527882</v>
      </c>
      <c r="EP37" s="886">
        <v>1.8313169751617022</v>
      </c>
      <c r="EQ37" s="886">
        <v>1.8749023191705507</v>
      </c>
      <c r="ER37" s="886">
        <v>1.8846518112302377</v>
      </c>
      <c r="ES37" s="886">
        <v>1.8816363683322692</v>
      </c>
      <c r="ET37" s="886">
        <v>1.8859641319794334</v>
      </c>
      <c r="EU37" s="886">
        <v>1.8914334279621736</v>
      </c>
      <c r="EV37" s="974">
        <v>1.892757431361747</v>
      </c>
      <c r="EW37" s="886"/>
      <c r="EX37" s="886"/>
      <c r="EY37" s="886"/>
      <c r="EZ37" s="886"/>
      <c r="FA37" s="886"/>
    </row>
    <row r="38" spans="1:164" ht="15" customHeight="1" x14ac:dyDescent="0.25">
      <c r="A38" s="836"/>
      <c r="B38" s="474">
        <v>2015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758" t="s">
        <v>83</v>
      </c>
      <c r="O38" s="474">
        <v>2016</v>
      </c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758" t="s">
        <v>83</v>
      </c>
      <c r="AB38" s="474">
        <v>2017</v>
      </c>
      <c r="AC38" s="474"/>
      <c r="AD38" s="474"/>
      <c r="AE38" s="474"/>
      <c r="AF38" s="474"/>
      <c r="AG38" s="474"/>
      <c r="AH38" s="474"/>
      <c r="AI38" s="474"/>
      <c r="AJ38" s="474"/>
      <c r="AK38" s="474"/>
      <c r="AL38" s="474"/>
      <c r="AM38" s="474"/>
      <c r="AN38" s="758" t="s">
        <v>83</v>
      </c>
      <c r="AO38" s="474">
        <v>2018</v>
      </c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758" t="s">
        <v>83</v>
      </c>
      <c r="BB38" s="474">
        <v>2019</v>
      </c>
      <c r="BC38" s="474"/>
      <c r="BD38" s="474"/>
      <c r="BE38" s="474"/>
      <c r="BF38" s="474"/>
      <c r="BG38" s="474"/>
      <c r="BH38" s="474"/>
      <c r="BI38" s="474"/>
      <c r="BJ38" s="474"/>
      <c r="BK38" s="474"/>
      <c r="BL38" s="474"/>
      <c r="BM38" s="474"/>
      <c r="BN38" s="758" t="s">
        <v>83</v>
      </c>
      <c r="BO38" s="474">
        <v>2020</v>
      </c>
      <c r="BP38" s="474"/>
      <c r="BQ38" s="474"/>
      <c r="BR38" s="474"/>
      <c r="BS38" s="474"/>
      <c r="BT38" s="474"/>
      <c r="BU38" s="474"/>
      <c r="BV38" s="474"/>
      <c r="BW38" s="474"/>
      <c r="BX38" s="474"/>
      <c r="BY38" s="474"/>
      <c r="BZ38" s="474"/>
      <c r="CA38" s="758" t="s">
        <v>83</v>
      </c>
      <c r="CB38" s="474">
        <v>2021</v>
      </c>
      <c r="CC38" s="474"/>
      <c r="CD38" s="474"/>
      <c r="CE38" s="474"/>
      <c r="CF38" s="474"/>
      <c r="CG38" s="474"/>
      <c r="CH38" s="474"/>
      <c r="CI38" s="474"/>
      <c r="CJ38" s="474"/>
      <c r="CK38" s="474"/>
      <c r="CL38" s="474"/>
      <c r="CM38" s="474"/>
      <c r="CN38" s="758" t="s">
        <v>83</v>
      </c>
      <c r="CO38" s="474">
        <v>2022</v>
      </c>
      <c r="CP38" s="474"/>
      <c r="CQ38" s="474"/>
      <c r="CR38" s="474"/>
      <c r="CS38" s="474"/>
      <c r="CT38" s="474"/>
      <c r="CU38" s="474"/>
      <c r="CV38" s="474"/>
      <c r="CW38" s="474"/>
      <c r="CX38" s="474"/>
      <c r="CY38" s="474"/>
      <c r="CZ38" s="474"/>
      <c r="DA38" s="758" t="s">
        <v>83</v>
      </c>
      <c r="DB38" s="474">
        <v>2023</v>
      </c>
      <c r="DC38" s="474"/>
      <c r="DD38" s="474"/>
      <c r="DE38" s="474"/>
      <c r="DF38" s="474"/>
      <c r="DG38" s="474"/>
      <c r="DH38" s="474"/>
      <c r="DI38" s="474"/>
      <c r="DJ38" s="474"/>
      <c r="DK38" s="474"/>
      <c r="DL38" s="474"/>
      <c r="DM38" s="474"/>
      <c r="DN38" s="758" t="s">
        <v>83</v>
      </c>
      <c r="DO38" s="474">
        <v>2024</v>
      </c>
      <c r="DP38" s="474"/>
      <c r="DQ38" s="474"/>
      <c r="DR38" s="474"/>
      <c r="DS38" s="474"/>
      <c r="DT38" s="474"/>
      <c r="DU38" s="474"/>
      <c r="DV38" s="474"/>
      <c r="DW38" s="474"/>
      <c r="DX38" s="474"/>
      <c r="DY38" s="474"/>
      <c r="DZ38" s="474"/>
      <c r="EA38" s="758" t="s">
        <v>83</v>
      </c>
      <c r="EB38" s="474">
        <v>2025</v>
      </c>
      <c r="EC38" s="474"/>
      <c r="ED38" s="474"/>
      <c r="EE38" s="474"/>
      <c r="EF38" s="474"/>
      <c r="EG38" s="474"/>
      <c r="EH38" s="474"/>
      <c r="EI38" s="474"/>
      <c r="EJ38" s="474"/>
      <c r="EK38" s="474"/>
      <c r="EL38" s="474"/>
      <c r="EM38" s="474"/>
      <c r="EN38" s="758" t="s">
        <v>83</v>
      </c>
      <c r="EO38" s="474">
        <v>2026</v>
      </c>
      <c r="EP38" s="474"/>
      <c r="EQ38" s="474"/>
      <c r="ER38" s="474"/>
      <c r="ES38" s="474"/>
      <c r="ET38" s="474"/>
      <c r="EU38" s="944"/>
      <c r="EV38" s="976"/>
      <c r="EW38" s="474"/>
      <c r="EX38" s="474"/>
      <c r="EY38" s="474"/>
      <c r="EZ38" s="474"/>
      <c r="FA38" s="758" t="s">
        <v>83</v>
      </c>
      <c r="FB38" s="753"/>
      <c r="FC38" s="984" t="str">
        <f>CONCATENATE("Var.% ",FF38,"/",FE38)</f>
        <v>Var.% 2026/2025</v>
      </c>
      <c r="FD38" s="985"/>
      <c r="FE38" s="478">
        <f>FF38-1</f>
        <v>2025</v>
      </c>
      <c r="FF38" s="478">
        <f>YEAR(FC39)</f>
        <v>2026</v>
      </c>
      <c r="FH38" s="795"/>
    </row>
    <row r="39" spans="1:164" ht="15" customHeight="1" x14ac:dyDescent="0.25">
      <c r="A39" s="837"/>
      <c r="B39" s="645">
        <v>42005</v>
      </c>
      <c r="C39" s="645">
        <v>42036</v>
      </c>
      <c r="D39" s="645">
        <v>42064</v>
      </c>
      <c r="E39" s="645">
        <v>42095</v>
      </c>
      <c r="F39" s="645">
        <v>42125</v>
      </c>
      <c r="G39" s="645">
        <v>42156</v>
      </c>
      <c r="H39" s="645">
        <v>42186</v>
      </c>
      <c r="I39" s="645">
        <v>42217</v>
      </c>
      <c r="J39" s="645">
        <v>42248</v>
      </c>
      <c r="K39" s="645">
        <v>42278</v>
      </c>
      <c r="L39" s="645">
        <v>42309</v>
      </c>
      <c r="M39" s="645">
        <v>42339</v>
      </c>
      <c r="N39" s="759">
        <f t="shared" ref="N39" si="110">YEAR(M39)</f>
        <v>2015</v>
      </c>
      <c r="O39" s="645">
        <v>42370</v>
      </c>
      <c r="P39" s="645">
        <v>42401</v>
      </c>
      <c r="Q39" s="645">
        <v>42430</v>
      </c>
      <c r="R39" s="645">
        <v>42461</v>
      </c>
      <c r="S39" s="645">
        <v>42491</v>
      </c>
      <c r="T39" s="645">
        <v>42522</v>
      </c>
      <c r="U39" s="645">
        <v>42552</v>
      </c>
      <c r="V39" s="645">
        <v>42583</v>
      </c>
      <c r="W39" s="645">
        <v>42614</v>
      </c>
      <c r="X39" s="645">
        <v>42644</v>
      </c>
      <c r="Y39" s="645">
        <v>42675</v>
      </c>
      <c r="Z39" s="645">
        <v>42705</v>
      </c>
      <c r="AA39" s="759">
        <f t="shared" ref="AA39" si="111">YEAR(Z39)</f>
        <v>2016</v>
      </c>
      <c r="AB39" s="645">
        <v>42736</v>
      </c>
      <c r="AC39" s="645">
        <v>42767</v>
      </c>
      <c r="AD39" s="645">
        <v>42795</v>
      </c>
      <c r="AE39" s="645">
        <v>42826</v>
      </c>
      <c r="AF39" s="645">
        <v>42856</v>
      </c>
      <c r="AG39" s="645">
        <v>42887</v>
      </c>
      <c r="AH39" s="645">
        <v>42917</v>
      </c>
      <c r="AI39" s="645">
        <v>42948</v>
      </c>
      <c r="AJ39" s="645">
        <v>42979</v>
      </c>
      <c r="AK39" s="645">
        <v>43009</v>
      </c>
      <c r="AL39" s="645">
        <v>43040</v>
      </c>
      <c r="AM39" s="645">
        <v>43070</v>
      </c>
      <c r="AN39" s="759">
        <f t="shared" ref="AN39" si="112">YEAR(AM39)</f>
        <v>2017</v>
      </c>
      <c r="AO39" s="645">
        <v>43101</v>
      </c>
      <c r="AP39" s="645">
        <v>43132</v>
      </c>
      <c r="AQ39" s="645">
        <v>43160</v>
      </c>
      <c r="AR39" s="645">
        <v>43191</v>
      </c>
      <c r="AS39" s="645">
        <v>43221</v>
      </c>
      <c r="AT39" s="645">
        <v>43252</v>
      </c>
      <c r="AU39" s="645">
        <v>43282</v>
      </c>
      <c r="AV39" s="645">
        <v>43313</v>
      </c>
      <c r="AW39" s="645">
        <v>43344</v>
      </c>
      <c r="AX39" s="645">
        <v>43374</v>
      </c>
      <c r="AY39" s="645">
        <v>43405</v>
      </c>
      <c r="AZ39" s="645">
        <v>43435</v>
      </c>
      <c r="BA39" s="759">
        <f t="shared" ref="BA39" si="113">YEAR(AZ39)</f>
        <v>2018</v>
      </c>
      <c r="BB39" s="645">
        <v>43466</v>
      </c>
      <c r="BC39" s="645">
        <v>43497</v>
      </c>
      <c r="BD39" s="645">
        <v>43525</v>
      </c>
      <c r="BE39" s="645">
        <v>43556</v>
      </c>
      <c r="BF39" s="645">
        <v>43586</v>
      </c>
      <c r="BG39" s="645">
        <v>43617</v>
      </c>
      <c r="BH39" s="645">
        <v>43647</v>
      </c>
      <c r="BI39" s="645">
        <v>43678</v>
      </c>
      <c r="BJ39" s="645">
        <v>43709</v>
      </c>
      <c r="BK39" s="645">
        <v>43739</v>
      </c>
      <c r="BL39" s="645">
        <v>43770</v>
      </c>
      <c r="BM39" s="645">
        <v>43800</v>
      </c>
      <c r="BN39" s="759">
        <f t="shared" ref="BN39" si="114">YEAR(BM39)</f>
        <v>2019</v>
      </c>
      <c r="BO39" s="645">
        <v>43831</v>
      </c>
      <c r="BP39" s="645">
        <v>43862</v>
      </c>
      <c r="BQ39" s="645">
        <v>43891</v>
      </c>
      <c r="BR39" s="645">
        <v>43922</v>
      </c>
      <c r="BS39" s="645">
        <v>43952</v>
      </c>
      <c r="BT39" s="645">
        <v>43983</v>
      </c>
      <c r="BU39" s="645">
        <v>44013</v>
      </c>
      <c r="BV39" s="645">
        <v>44044</v>
      </c>
      <c r="BW39" s="645">
        <v>44075</v>
      </c>
      <c r="BX39" s="645">
        <v>44105</v>
      </c>
      <c r="BY39" s="645">
        <v>44136</v>
      </c>
      <c r="BZ39" s="645">
        <v>44166</v>
      </c>
      <c r="CA39" s="759">
        <f t="shared" ref="CA39" si="115">YEAR(BZ39)</f>
        <v>2020</v>
      </c>
      <c r="CB39" s="645">
        <v>44197</v>
      </c>
      <c r="CC39" s="645">
        <v>44228</v>
      </c>
      <c r="CD39" s="645">
        <v>44256</v>
      </c>
      <c r="CE39" s="645">
        <v>44287</v>
      </c>
      <c r="CF39" s="645">
        <v>44317</v>
      </c>
      <c r="CG39" s="645">
        <v>44348</v>
      </c>
      <c r="CH39" s="645">
        <v>44378</v>
      </c>
      <c r="CI39" s="645">
        <v>44409</v>
      </c>
      <c r="CJ39" s="645">
        <v>44440</v>
      </c>
      <c r="CK39" s="645">
        <v>44470</v>
      </c>
      <c r="CL39" s="645">
        <v>44501</v>
      </c>
      <c r="CM39" s="645">
        <v>44531</v>
      </c>
      <c r="CN39" s="759">
        <f t="shared" ref="CN39" si="116">YEAR(CM39)</f>
        <v>2021</v>
      </c>
      <c r="CO39" s="645">
        <v>44562</v>
      </c>
      <c r="CP39" s="645">
        <v>44593</v>
      </c>
      <c r="CQ39" s="645">
        <v>44621</v>
      </c>
      <c r="CR39" s="645">
        <v>44652</v>
      </c>
      <c r="CS39" s="645">
        <v>44682</v>
      </c>
      <c r="CT39" s="645">
        <v>44713</v>
      </c>
      <c r="CU39" s="645">
        <v>44743</v>
      </c>
      <c r="CV39" s="645">
        <v>44774</v>
      </c>
      <c r="CW39" s="645">
        <v>44805</v>
      </c>
      <c r="CX39" s="645">
        <v>44835</v>
      </c>
      <c r="CY39" s="645">
        <v>44866</v>
      </c>
      <c r="CZ39" s="645">
        <v>44896</v>
      </c>
      <c r="DA39" s="759">
        <f t="shared" ref="DA39" si="117">YEAR(CZ39)</f>
        <v>2022</v>
      </c>
      <c r="DB39" s="645">
        <v>44927</v>
      </c>
      <c r="DC39" s="645">
        <v>44958</v>
      </c>
      <c r="DD39" s="645">
        <v>44986</v>
      </c>
      <c r="DE39" s="645">
        <v>45017</v>
      </c>
      <c r="DF39" s="645">
        <v>45047</v>
      </c>
      <c r="DG39" s="645">
        <v>45078</v>
      </c>
      <c r="DH39" s="645">
        <v>45108</v>
      </c>
      <c r="DI39" s="645">
        <v>45139</v>
      </c>
      <c r="DJ39" s="645">
        <v>45170</v>
      </c>
      <c r="DK39" s="645">
        <v>45200</v>
      </c>
      <c r="DL39" s="645">
        <v>45231</v>
      </c>
      <c r="DM39" s="645">
        <v>45261</v>
      </c>
      <c r="DN39" s="759">
        <f t="shared" ref="DN39" si="118">YEAR(DM39)</f>
        <v>2023</v>
      </c>
      <c r="DO39" s="645">
        <v>45292</v>
      </c>
      <c r="DP39" s="645">
        <v>45323</v>
      </c>
      <c r="DQ39" s="645">
        <v>45352</v>
      </c>
      <c r="DR39" s="645">
        <v>45383</v>
      </c>
      <c r="DS39" s="645">
        <v>45413</v>
      </c>
      <c r="DT39" s="645">
        <v>45444</v>
      </c>
      <c r="DU39" s="645">
        <v>45474</v>
      </c>
      <c r="DV39" s="645">
        <v>45505</v>
      </c>
      <c r="DW39" s="645">
        <v>45536</v>
      </c>
      <c r="DX39" s="645">
        <v>45566</v>
      </c>
      <c r="DY39" s="645">
        <v>45597</v>
      </c>
      <c r="DZ39" s="645">
        <v>45627</v>
      </c>
      <c r="EA39" s="759">
        <f t="shared" ref="EA39" si="119">YEAR(DZ39)</f>
        <v>2024</v>
      </c>
      <c r="EB39" s="645">
        <v>45658</v>
      </c>
      <c r="EC39" s="645">
        <v>45689</v>
      </c>
      <c r="ED39" s="645">
        <v>45717</v>
      </c>
      <c r="EE39" s="645">
        <v>45748</v>
      </c>
      <c r="EF39" s="645">
        <v>45778</v>
      </c>
      <c r="EG39" s="645">
        <v>45809</v>
      </c>
      <c r="EH39" s="645">
        <v>45839</v>
      </c>
      <c r="EI39" s="645">
        <v>45870</v>
      </c>
      <c r="EJ39" s="645">
        <v>45901</v>
      </c>
      <c r="EK39" s="645">
        <v>45931</v>
      </c>
      <c r="EL39" s="645">
        <v>45962</v>
      </c>
      <c r="EM39" s="645">
        <v>45992</v>
      </c>
      <c r="EN39" s="759">
        <f>YEAR(EM39)</f>
        <v>2025</v>
      </c>
      <c r="EO39" s="645">
        <v>46023</v>
      </c>
      <c r="EP39" s="645">
        <v>46054</v>
      </c>
      <c r="EQ39" s="645">
        <v>46082</v>
      </c>
      <c r="ER39" s="645">
        <v>46113</v>
      </c>
      <c r="ES39" s="645">
        <v>46143</v>
      </c>
      <c r="ET39" s="645">
        <v>46174</v>
      </c>
      <c r="EU39" s="645">
        <v>46204</v>
      </c>
      <c r="EV39" s="977">
        <v>46235</v>
      </c>
      <c r="EW39" s="645">
        <v>46266</v>
      </c>
      <c r="EX39" s="645">
        <v>46296</v>
      </c>
      <c r="EY39" s="645">
        <v>46327</v>
      </c>
      <c r="EZ39" s="645">
        <v>46357</v>
      </c>
      <c r="FA39" s="759">
        <f>YEAR(EZ39)</f>
        <v>2026</v>
      </c>
      <c r="FB39" s="753"/>
      <c r="FC39" s="485">
        <f>$FC$5</f>
        <v>46235</v>
      </c>
      <c r="FD39" s="487" t="str">
        <f>CONCATENATE("Ene.-",TEXT(FC39,"MMM."))</f>
        <v>Ene.-Ago.</v>
      </c>
      <c r="FE39" s="487" t="str">
        <f>FD39</f>
        <v>Ene.-Ago.</v>
      </c>
      <c r="FF39" s="487" t="str">
        <f>FD39</f>
        <v>Ene.-Ago.</v>
      </c>
      <c r="FH39" s="795"/>
    </row>
    <row r="40" spans="1:164" ht="15" customHeight="1" x14ac:dyDescent="0.25">
      <c r="A40" s="138"/>
      <c r="B40" s="883"/>
      <c r="C40" s="883"/>
      <c r="D40" s="883"/>
      <c r="E40" s="883"/>
      <c r="F40" s="883"/>
      <c r="G40" s="883"/>
      <c r="H40" s="883"/>
      <c r="I40" s="883"/>
      <c r="J40" s="883"/>
      <c r="K40" s="883"/>
      <c r="L40" s="883"/>
      <c r="M40" s="873"/>
      <c r="N40" s="874"/>
      <c r="O40" s="883"/>
      <c r="P40" s="883"/>
      <c r="Q40" s="883"/>
      <c r="R40" s="883"/>
      <c r="S40" s="883"/>
      <c r="T40" s="883"/>
      <c r="U40" s="883"/>
      <c r="V40" s="883"/>
      <c r="W40" s="883"/>
      <c r="X40" s="883"/>
      <c r="Y40" s="883"/>
      <c r="Z40" s="873"/>
      <c r="AA40" s="874"/>
      <c r="AB40" s="883"/>
      <c r="AC40" s="883"/>
      <c r="AD40" s="883"/>
      <c r="AE40" s="883"/>
      <c r="AF40" s="883"/>
      <c r="AG40" s="883"/>
      <c r="AH40" s="883"/>
      <c r="AI40" s="883"/>
      <c r="AJ40" s="883"/>
      <c r="AK40" s="883"/>
      <c r="AL40" s="883"/>
      <c r="AM40" s="873"/>
      <c r="AN40" s="874"/>
      <c r="AO40" s="883"/>
      <c r="AP40" s="883"/>
      <c r="AQ40" s="883"/>
      <c r="AR40" s="883"/>
      <c r="AS40" s="883"/>
      <c r="AT40" s="883"/>
      <c r="AU40" s="883"/>
      <c r="AV40" s="883"/>
      <c r="AW40" s="883"/>
      <c r="AX40" s="883"/>
      <c r="AY40" s="883"/>
      <c r="AZ40" s="873"/>
      <c r="BA40" s="874"/>
      <c r="BB40" s="883"/>
      <c r="BC40" s="883"/>
      <c r="BD40" s="883"/>
      <c r="BE40" s="883"/>
      <c r="BF40" s="883"/>
      <c r="BG40" s="883"/>
      <c r="BH40" s="883"/>
      <c r="BI40" s="883"/>
      <c r="BJ40" s="883"/>
      <c r="BK40" s="883"/>
      <c r="BL40" s="883"/>
      <c r="BM40" s="873"/>
      <c r="BN40" s="874"/>
      <c r="BO40" s="883"/>
      <c r="BP40" s="883"/>
      <c r="BQ40" s="883"/>
      <c r="BR40" s="883"/>
      <c r="BS40" s="883"/>
      <c r="BT40" s="883"/>
      <c r="BU40" s="883"/>
      <c r="BV40" s="883"/>
      <c r="BW40" s="883"/>
      <c r="BX40" s="883"/>
      <c r="BY40" s="883"/>
      <c r="BZ40" s="873"/>
      <c r="CA40" s="874"/>
      <c r="CB40" s="883"/>
      <c r="CC40" s="883"/>
      <c r="CD40" s="883"/>
      <c r="CE40" s="883"/>
      <c r="CF40" s="883"/>
      <c r="CG40" s="883"/>
      <c r="CH40" s="883"/>
      <c r="CI40" s="883"/>
      <c r="CJ40" s="883"/>
      <c r="CK40" s="883"/>
      <c r="CL40" s="883"/>
      <c r="CM40" s="873"/>
      <c r="CN40" s="874"/>
      <c r="CO40" s="883"/>
      <c r="CP40" s="883"/>
      <c r="CQ40" s="883"/>
      <c r="CR40" s="883"/>
      <c r="CS40" s="883"/>
      <c r="CT40" s="883"/>
      <c r="CU40" s="883"/>
      <c r="CV40" s="883"/>
      <c r="CW40" s="883"/>
      <c r="CX40" s="883"/>
      <c r="CY40" s="883"/>
      <c r="CZ40" s="873"/>
      <c r="DA40" s="874"/>
      <c r="DB40" s="883"/>
      <c r="DC40" s="883"/>
      <c r="DD40" s="883"/>
      <c r="DE40" s="883"/>
      <c r="DF40" s="883"/>
      <c r="DG40" s="883"/>
      <c r="DH40" s="883"/>
      <c r="DI40" s="883"/>
      <c r="DJ40" s="883"/>
      <c r="DK40" s="883"/>
      <c r="DL40" s="883"/>
      <c r="DM40" s="873"/>
      <c r="DN40" s="874"/>
      <c r="DO40" s="883"/>
      <c r="DP40" s="883"/>
      <c r="DQ40" s="883"/>
      <c r="DR40" s="883"/>
      <c r="DS40" s="883"/>
      <c r="DT40" s="883"/>
      <c r="DU40" s="883"/>
      <c r="DV40" s="883"/>
      <c r="DW40" s="883"/>
      <c r="DX40" s="883"/>
      <c r="DY40" s="883"/>
      <c r="DZ40" s="873"/>
      <c r="EA40" s="874"/>
      <c r="EB40" s="883"/>
      <c r="EC40" s="883"/>
      <c r="ED40" s="883"/>
      <c r="EE40" s="883"/>
      <c r="EF40" s="883"/>
      <c r="EG40" s="883"/>
      <c r="EH40" s="883"/>
      <c r="EI40" s="883"/>
      <c r="EJ40" s="883"/>
      <c r="EK40" s="883"/>
      <c r="EL40" s="883"/>
      <c r="EM40" s="873"/>
      <c r="EN40" s="874"/>
      <c r="EO40" s="883"/>
      <c r="EP40" s="883"/>
      <c r="EQ40" s="883"/>
      <c r="ER40" s="883"/>
      <c r="ES40" s="883"/>
      <c r="ET40" s="883"/>
      <c r="EU40" s="883"/>
      <c r="EV40" s="973"/>
      <c r="EW40" s="883"/>
      <c r="EX40" s="883"/>
      <c r="EY40" s="883"/>
      <c r="EZ40" s="873"/>
      <c r="FA40" s="874"/>
      <c r="FC40" s="839"/>
      <c r="FD40" s="840"/>
      <c r="FE40" s="454"/>
      <c r="FF40" s="455"/>
    </row>
    <row r="41" spans="1:164" ht="15" customHeight="1" x14ac:dyDescent="0.25">
      <c r="A41" s="822" t="s">
        <v>211</v>
      </c>
      <c r="B41" s="884">
        <f t="shared" ref="B41:B55" si="120">B7/$B$37</f>
        <v>4955.0244573101099</v>
      </c>
      <c r="C41" s="884">
        <f t="shared" ref="C41:C55" si="121">C7/$C$37</f>
        <v>16873.479749201753</v>
      </c>
      <c r="D41" s="884">
        <f t="shared" ref="D41:D55" si="122">D7/$D$37</f>
        <v>22533.312540624356</v>
      </c>
      <c r="E41" s="884">
        <f t="shared" ref="E41:E55" si="123">E7/$E$37</f>
        <v>20113.433697541594</v>
      </c>
      <c r="F41" s="884">
        <f t="shared" ref="F41:F55" si="124">F7/$F$37</f>
        <v>19773.419012043403</v>
      </c>
      <c r="G41" s="884">
        <f t="shared" ref="G41:G55" si="125">G7/$G$37</f>
        <v>20899.176035282762</v>
      </c>
      <c r="H41" s="884">
        <f t="shared" ref="H41:H55" si="126">H7/$H$37</f>
        <v>35057.059265424716</v>
      </c>
      <c r="I41" s="884">
        <f t="shared" ref="I41:I55" si="127">I7/$I$37</f>
        <v>11317.842676849339</v>
      </c>
      <c r="J41" s="884">
        <f t="shared" ref="J41:J55" si="128">J7/$J$37</f>
        <v>19685.343688201461</v>
      </c>
      <c r="K41" s="884">
        <f t="shared" ref="K41:K55" si="129">K7/$K$37</f>
        <v>19429.782566968297</v>
      </c>
      <c r="L41" s="884">
        <f t="shared" ref="L41:L55" si="130">L7/$L$37</f>
        <v>26318.329430612554</v>
      </c>
      <c r="M41" s="875">
        <f t="shared" ref="M41:M52" si="131">M7/$M$37</f>
        <v>45455.754501000942</v>
      </c>
      <c r="N41" s="876">
        <f>SUM(B41:M41)</f>
        <v>262411.95762106124</v>
      </c>
      <c r="O41" s="884">
        <f t="shared" ref="O41:O55" si="132">O7/$O$37</f>
        <v>10025.721222015856</v>
      </c>
      <c r="P41" s="884">
        <f t="shared" ref="P41:P55" si="133">P7/$P$37</f>
        <v>19046.021489781138</v>
      </c>
      <c r="Q41" s="884">
        <f t="shared" ref="Q41:Q55" si="134">Q7/$Q$37</f>
        <v>18162.185621573972</v>
      </c>
      <c r="R41" s="884">
        <f t="shared" ref="R41:R55" si="135">R7/$R$37</f>
        <v>19808.80447876055</v>
      </c>
      <c r="S41" s="884">
        <f t="shared" ref="S41:S55" si="136">S7/$S$37</f>
        <v>20938.346625376569</v>
      </c>
      <c r="T41" s="884">
        <f t="shared" ref="T41:T55" si="137">T7/$T$37</f>
        <v>19799.83726035817</v>
      </c>
      <c r="U41" s="884">
        <f t="shared" ref="U41:U55" si="138">U7/$U$37</f>
        <v>23944.219895962873</v>
      </c>
      <c r="V41" s="884">
        <f t="shared" ref="V41:V55" si="139">V7/$V$37</f>
        <v>24488.555526258715</v>
      </c>
      <c r="W41" s="884">
        <f t="shared" ref="W41:W55" si="140">W7/$W$37</f>
        <v>22941.742770198925</v>
      </c>
      <c r="X41" s="884">
        <f t="shared" ref="X41:X55" si="141">X7/$X$37</f>
        <v>19888.403136104702</v>
      </c>
      <c r="Y41" s="884">
        <f t="shared" ref="Y41:Y55" si="142">Y7/$Y$37</f>
        <v>32374.919612414909</v>
      </c>
      <c r="Z41" s="875">
        <f t="shared" ref="Z41:Z55" si="143">Z7/$Z$37</f>
        <v>46084.089877062383</v>
      </c>
      <c r="AA41" s="876">
        <f>SUM(O41:Z41)</f>
        <v>277502.84751586872</v>
      </c>
      <c r="AB41" s="884">
        <f t="shared" ref="AB41:AB55" si="144">AB7/$AB$37</f>
        <v>9007.1442517813139</v>
      </c>
      <c r="AC41" s="884">
        <f t="shared" ref="AC41:AC55" si="145">AC7/$AC$37</f>
        <v>13878.833939661285</v>
      </c>
      <c r="AD41" s="884">
        <f t="shared" ref="AD41:AD55" si="146">AD7/$AD$37</f>
        <v>24312.456710131424</v>
      </c>
      <c r="AE41" s="884">
        <f t="shared" ref="AE41:AE55" si="147">AE7/$AE$37</f>
        <v>17745.267661187187</v>
      </c>
      <c r="AF41" s="884">
        <f t="shared" ref="AF41:AF55" si="148">AF7/$AF$37</f>
        <v>20877.505550064623</v>
      </c>
      <c r="AG41" s="884">
        <f t="shared" ref="AG41:AG55" si="149">AG7/$AG$37</f>
        <v>24867.208529161384</v>
      </c>
      <c r="AH41" s="884">
        <f t="shared" ref="AH41:AH55" si="150">AH7/$AH$37</f>
        <v>29686.962889628496</v>
      </c>
      <c r="AI41" s="884">
        <f t="shared" ref="AI41:AI55" si="151">AI7/$AI$37</f>
        <v>25806.079073761022</v>
      </c>
      <c r="AJ41" s="884">
        <f t="shared" ref="AJ41:AJ55" si="152">AJ7/$AJ$37</f>
        <v>22276.368479474142</v>
      </c>
      <c r="AK41" s="884">
        <f t="shared" ref="AK41:AK55" si="153">AK7/$AK$37</f>
        <v>23619.457744527939</v>
      </c>
      <c r="AL41" s="884">
        <f t="shared" ref="AL41:AL55" si="154">AL7/$AL$37</f>
        <v>27011.765220374364</v>
      </c>
      <c r="AM41" s="875">
        <f t="shared" ref="AM41:AM55" si="155">AM7/$AM$37</f>
        <v>44032.952249319278</v>
      </c>
      <c r="AN41" s="876">
        <f>SUM(AB41:AM41)</f>
        <v>283122.00229907245</v>
      </c>
      <c r="AO41" s="884">
        <f t="shared" ref="AO41:AO55" si="156">AO7/$AO$37</f>
        <v>10186.578590612349</v>
      </c>
      <c r="AP41" s="884">
        <f t="shared" ref="AP41:AP55" si="157">AP7/$AP$37</f>
        <v>14727.600808217523</v>
      </c>
      <c r="AQ41" s="884">
        <f t="shared" ref="AQ41:AQ55" si="158">AQ7/$AQ$37</f>
        <v>24612.347327663319</v>
      </c>
      <c r="AR41" s="884">
        <f t="shared" ref="AR41:AR55" si="159">AR7/$AR$37</f>
        <v>17246.07036218181</v>
      </c>
      <c r="AS41" s="884">
        <f t="shared" ref="AS41:AS55" si="160">AS7/$AS$37</f>
        <v>25827.444220882015</v>
      </c>
      <c r="AT41" s="884">
        <f t="shared" ref="AT41:AT55" si="161">AT7/$AT$37</f>
        <v>23317.926009094808</v>
      </c>
      <c r="AU41" s="884">
        <f t="shared" ref="AU41:AU55" si="162">AU7/$AU$37</f>
        <v>33527.737507018865</v>
      </c>
      <c r="AV41" s="884">
        <f t="shared" ref="AV41:AV55" si="163">AV7/$AV$37</f>
        <v>26805.103587873738</v>
      </c>
      <c r="AW41" s="884">
        <f t="shared" ref="AW41:AW55" si="164">AW7/$AW$37</f>
        <v>27313.701766803948</v>
      </c>
      <c r="AX41" s="884">
        <f t="shared" ref="AX41:AX55" si="165">AX7/$AX$37</f>
        <v>24538.694658666289</v>
      </c>
      <c r="AY41" s="884">
        <f t="shared" ref="AY41:AY55" si="166">AY7/$AY$37</f>
        <v>27931.961144736688</v>
      </c>
      <c r="AZ41" s="875">
        <f t="shared" ref="AZ41:AZ55" si="167">AZ7/$AZ$37</f>
        <v>37827.30564633297</v>
      </c>
      <c r="BA41" s="876">
        <f>SUM(AO41:AZ41)</f>
        <v>293862.47163008433</v>
      </c>
      <c r="BB41" s="884">
        <f t="shared" ref="BB41:BB55" si="168">BB7/$BB$37</f>
        <v>5913.9383667718257</v>
      </c>
      <c r="BC41" s="884">
        <f t="shared" ref="BC41:BC55" si="169">BC7/$BC$37</f>
        <v>12588.381557412036</v>
      </c>
      <c r="BD41" s="884">
        <f t="shared" ref="BD41:BD55" si="170">BD7/$BD$37</f>
        <v>23347.588195867687</v>
      </c>
      <c r="BE41" s="884">
        <f t="shared" ref="BE41:BE55" si="171">BE7/$BE$37</f>
        <v>31340.258951984048</v>
      </c>
      <c r="BF41" s="884">
        <f t="shared" ref="BF41:BF55" si="172">BF7/$BF$37</f>
        <v>16241.12737484981</v>
      </c>
      <c r="BG41" s="884">
        <f t="shared" ref="BG41:BG55" si="173">BG7/$BG$37</f>
        <v>32130.880254997661</v>
      </c>
      <c r="BH41" s="884">
        <f t="shared" ref="BH41:BH55" si="174">BH7/$BH$37</f>
        <v>24892.255709091816</v>
      </c>
      <c r="BI41" s="884">
        <f t="shared" ref="BI41:BI55" si="175">BI7/$BI$37</f>
        <v>31482.21921954854</v>
      </c>
      <c r="BJ41" s="884">
        <f t="shared" ref="BJ41:BJ55" si="176">BJ7/$BJ$37</f>
        <v>30490.41836707513</v>
      </c>
      <c r="BK41" s="884">
        <f t="shared" ref="BK41:BK55" si="177">BK7/$BK$37</f>
        <v>21813.277097198847</v>
      </c>
      <c r="BL41" s="884">
        <f t="shared" ref="BL41:BL55" si="178">BL7/$BL$37</f>
        <v>25663.780823098929</v>
      </c>
      <c r="BM41" s="875">
        <f t="shared" ref="BM41:BM55" si="179">BM7/$BM$37</f>
        <v>39143.272423053568</v>
      </c>
      <c r="BN41" s="876">
        <f>SUM(BB41:BM41)</f>
        <v>295047.39834094991</v>
      </c>
      <c r="BO41" s="884">
        <f t="shared" ref="BO41:BO55" si="180">BO7/$BO$37</f>
        <v>10978.136849269296</v>
      </c>
      <c r="BP41" s="884">
        <f t="shared" ref="BP41:BP55" si="181">BP7/$BP$37</f>
        <v>15742.857892166121</v>
      </c>
      <c r="BQ41" s="884">
        <f t="shared" ref="BQ41:BQ55" si="182">BQ7/$BQ$37</f>
        <v>18908.924756891985</v>
      </c>
      <c r="BR41" s="884">
        <f t="shared" ref="BR41:BR55" si="183">BR7/$BR$37</f>
        <v>12369.324217581137</v>
      </c>
      <c r="BS41" s="884">
        <f t="shared" ref="BS41:BS55" si="184">BS7/$BS$37</f>
        <v>10574.662338752776</v>
      </c>
      <c r="BT41" s="884">
        <f t="shared" ref="BT41:BT55" si="185">BT7/$BT$37</f>
        <v>11354.100325398053</v>
      </c>
      <c r="BU41" s="884">
        <f t="shared" ref="BU41:BU55" si="186">BU7/$BU$37</f>
        <v>26362.254991689191</v>
      </c>
      <c r="BV41" s="884">
        <f t="shared" ref="BV41:BV55" si="187">BV7/$BV$37</f>
        <v>17507.334087404779</v>
      </c>
      <c r="BW41" s="884">
        <f t="shared" ref="BW41:BW55" si="188">BW7/$BW$37</f>
        <v>25530.067618813227</v>
      </c>
      <c r="BX41" s="884">
        <f t="shared" ref="BX41:BX55" si="189">BX7/$BX$37</f>
        <v>33420.343901975903</v>
      </c>
      <c r="BY41" s="884">
        <f t="shared" ref="BY41:BY55" si="190">BY7/$BY$37</f>
        <v>35707.137219917764</v>
      </c>
      <c r="BZ41" s="875">
        <f t="shared" ref="BZ41:BZ55" si="191">BZ7/$BZ$37</f>
        <v>62155.150995666263</v>
      </c>
      <c r="CA41" s="876">
        <f>SUM(BO41:BZ41)</f>
        <v>280610.2951955265</v>
      </c>
      <c r="CB41" s="884">
        <f t="shared" ref="CB41:CB55" si="192">CB7/$CB$37</f>
        <v>8227.6457214536294</v>
      </c>
      <c r="CC41" s="884">
        <f t="shared" ref="CC41:CC55" si="193">CC7/$CC$37</f>
        <v>14445.465237954522</v>
      </c>
      <c r="CD41" s="884">
        <f t="shared" ref="CD41:CD55" si="194">CD7/$CD$37</f>
        <v>29957.906831344735</v>
      </c>
      <c r="CE41" s="884">
        <f t="shared" ref="CE41:CE55" si="195">CE7/$CE$37</f>
        <v>17531.456750122838</v>
      </c>
      <c r="CF41" s="884">
        <f t="shared" ref="CF41:CF55" si="196">CF7/$CF$37</f>
        <v>21971.055977041648</v>
      </c>
      <c r="CG41" s="884">
        <f t="shared" ref="CG41:CG55" si="197">CG7/$CG$37</f>
        <v>22320.638488627526</v>
      </c>
      <c r="CH41" s="884">
        <f t="shared" ref="CH41:CH55" si="198">CH7/$CH$37</f>
        <v>22458.68283258114</v>
      </c>
      <c r="CI41" s="884">
        <f t="shared" ref="CI41:CI62" si="199">CI7/$CI$37</f>
        <v>24209.177330833878</v>
      </c>
      <c r="CJ41" s="884">
        <f t="shared" ref="CJ41:CJ55" si="200">CJ7/$CJ$37</f>
        <v>24853.877676075434</v>
      </c>
      <c r="CK41" s="884">
        <f t="shared" ref="CK41:CK55" si="201">CK7/$CK$37</f>
        <v>25169.97560972011</v>
      </c>
      <c r="CL41" s="884">
        <f t="shared" ref="CL41:CL55" si="202">CL7/$CL$37</f>
        <v>25067.472926202783</v>
      </c>
      <c r="CM41" s="875">
        <f t="shared" ref="CM41:CM55" si="203">CM7/$CM$37</f>
        <v>49503.218789963743</v>
      </c>
      <c r="CN41" s="876">
        <f>SUM(CB41:CM41)</f>
        <v>285716.574171922</v>
      </c>
      <c r="CO41" s="884">
        <f t="shared" ref="CO41:CO55" si="204">CO7/$CO$37</f>
        <v>8849.4444887688369</v>
      </c>
      <c r="CP41" s="884">
        <f t="shared" ref="CP41:CP55" si="205">CP7/$CP$37</f>
        <v>19058.425889281676</v>
      </c>
      <c r="CQ41" s="884">
        <f t="shared" ref="CQ41:CQ55" si="206">CQ7/$CQ$37</f>
        <v>27387.331131385203</v>
      </c>
      <c r="CR41" s="884">
        <f t="shared" ref="CR41:CR55" si="207">CR7/$CR$37</f>
        <v>19868.332193996197</v>
      </c>
      <c r="CS41" s="884">
        <f t="shared" ref="CS41:CS55" si="208">CS7/$CS$37</f>
        <v>24866.263948646763</v>
      </c>
      <c r="CT41" s="884">
        <f t="shared" ref="CT41:CT55" si="209">CT7/$CT$37</f>
        <v>27780.339933085987</v>
      </c>
      <c r="CU41" s="884">
        <f t="shared" ref="CU41:CU55" si="210">CU7/$CU$37</f>
        <v>30500.383473100839</v>
      </c>
      <c r="CV41" s="884">
        <f t="shared" ref="CV41:CV55" si="211">CV7/$CV$37</f>
        <v>31254.441757280722</v>
      </c>
      <c r="CW41" s="884">
        <f t="shared" ref="CW41:CW55" si="212">CW7/$CW$37</f>
        <v>34045.943596825578</v>
      </c>
      <c r="CX41" s="884">
        <f t="shared" ref="CX41:CX55" si="213">CX7/$CX$37</f>
        <v>31957.528104497138</v>
      </c>
      <c r="CY41" s="884">
        <f t="shared" ref="CY41:CY55" si="214">CY7/$CY$37</f>
        <v>34377.182037457911</v>
      </c>
      <c r="CZ41" s="875">
        <f t="shared" ref="CZ41:CZ55" si="215">CZ7/$CZ$37</f>
        <v>52670.717803730622</v>
      </c>
      <c r="DA41" s="876">
        <f>SUM(CO41:CZ41)</f>
        <v>342616.33435805753</v>
      </c>
      <c r="DB41" s="884">
        <f t="shared" ref="DB41:DB55" si="216">DB7/$DB$37</f>
        <v>5300.1756055498454</v>
      </c>
      <c r="DC41" s="884">
        <f t="shared" ref="DC41:DC55" si="217">DC7/$DC$37</f>
        <v>15061.031188054958</v>
      </c>
      <c r="DD41" s="884">
        <f t="shared" ref="DD41:DD55" si="218">DD7/$DD$37</f>
        <v>23506.426092593148</v>
      </c>
      <c r="DE41" s="884">
        <f t="shared" ref="DE41:DE55" si="219">DE7/$DE$37</f>
        <v>19436.209259648087</v>
      </c>
      <c r="DF41" s="884">
        <f t="shared" ref="DF41:DF55" si="220">DF7/$DF$37</f>
        <v>22944.607968038257</v>
      </c>
      <c r="DG41" s="884">
        <f t="shared" ref="DG41:DG55" si="221">DG7/$DG$37</f>
        <v>23450.718844920517</v>
      </c>
      <c r="DH41" s="884">
        <f t="shared" ref="DH41:DH55" si="222">DH7/$DH$37</f>
        <v>24408.972990217906</v>
      </c>
      <c r="DI41" s="884">
        <f t="shared" ref="DI41:DI55" si="223">DI7/$DI$37</f>
        <v>27595.637314475422</v>
      </c>
      <c r="DJ41" s="884">
        <f t="shared" ref="DJ41:DJ55" si="224">DJ7/$DJ$37</f>
        <v>27414.784896577967</v>
      </c>
      <c r="DK41" s="884">
        <f t="shared" ref="DK41:DK55" si="225">DK7/$DK$37</f>
        <v>32423.919599806763</v>
      </c>
      <c r="DL41" s="884">
        <f t="shared" ref="DL41:DL55" si="226">DL7/$DL$37</f>
        <v>33879.022112303595</v>
      </c>
      <c r="DM41" s="875">
        <f t="shared" ref="DM41:DM55" si="227">DM7/$DM$37</f>
        <v>55241.34284104719</v>
      </c>
      <c r="DN41" s="876">
        <f>SUM(DB41:DM41)</f>
        <v>310662.84871323366</v>
      </c>
      <c r="DO41" s="884">
        <f t="shared" ref="DO41:DO55" si="228">DO7/$DO$37</f>
        <v>7133.7472124438273</v>
      </c>
      <c r="DP41" s="884">
        <f t="shared" ref="DP41:DP55" si="229">DP7/$DP$37</f>
        <v>19203.981296366725</v>
      </c>
      <c r="DQ41" s="884">
        <f t="shared" ref="DQ41:DQ55" si="230">DQ7/$DQ$37</f>
        <v>32391.432841847058</v>
      </c>
      <c r="DR41" s="884">
        <f t="shared" ref="DR41:DR55" si="231">DR7/$DR$37</f>
        <v>26813.284300260817</v>
      </c>
      <c r="DS41" s="884">
        <f t="shared" ref="DS41:DS55" si="232">DS7/$DS$37</f>
        <v>29703.392247488624</v>
      </c>
      <c r="DT41" s="884">
        <f t="shared" ref="DT41:DT55" si="233">DT7/$DT$37</f>
        <v>26449.700118337569</v>
      </c>
      <c r="DU41" s="884">
        <f t="shared" ref="DU41:DU55" si="234">DU7/$DU$37</f>
        <v>28570.084219213335</v>
      </c>
      <c r="DV41" s="884">
        <f t="shared" ref="DV41:DV55" si="235">DV7/$DV$37</f>
        <v>27988.171283742078</v>
      </c>
      <c r="DW41" s="884">
        <f t="shared" ref="DW41:DW55" si="236">DW7/$DW$37</f>
        <v>25420.756833382988</v>
      </c>
      <c r="DX41" s="884">
        <f t="shared" ref="DX41:DX55" si="237">DX7/$DX$37</f>
        <v>28058.386015314449</v>
      </c>
      <c r="DY41" s="884">
        <f t="shared" ref="DY41:DY55" si="238">DY7/$DY$37</f>
        <v>30275.294134708518</v>
      </c>
      <c r="DZ41" s="875">
        <f t="shared" ref="DZ41:DZ55" si="239">DZ7/$DZ$37</f>
        <v>52163.908733702337</v>
      </c>
      <c r="EA41" s="876">
        <f>SUM(DO41:DZ41)</f>
        <v>334172.13923680829</v>
      </c>
      <c r="EB41" s="884">
        <f t="shared" ref="EB41:EB55" si="240">+EB7/$EB$37</f>
        <v>8363.4285017996044</v>
      </c>
      <c r="EC41" s="884">
        <f t="shared" ref="EC41:EC55" si="241">+EC7/$EC$37</f>
        <v>19430.964213968928</v>
      </c>
      <c r="ED41" s="884">
        <f t="shared" ref="ED41:ED55" si="242">+ED7/$ED$37</f>
        <v>22017.472090199215</v>
      </c>
      <c r="EE41" s="884">
        <f t="shared" ref="EE41:EE55" si="243">+EE7/$EE$37</f>
        <v>27571.186913930815</v>
      </c>
      <c r="EF41" s="884">
        <f t="shared" ref="EF41:EF55" si="244">+EF7/$EF$37</f>
        <v>29364.672483278737</v>
      </c>
      <c r="EG41" s="884">
        <f>+EG7/$EG$37</f>
        <v>26643.101828144401</v>
      </c>
      <c r="EH41" s="884">
        <f>+EH7/$EH$37</f>
        <v>29540.955689210183</v>
      </c>
      <c r="EI41" s="884">
        <f>+EI7/$EI$37</f>
        <v>29776.412330353392</v>
      </c>
      <c r="EJ41" s="884">
        <f>+EJ7/$EJ$37</f>
        <v>26354.251550111469</v>
      </c>
      <c r="EK41" s="884">
        <f>+EK7/$EK$37</f>
        <v>37454.809003965951</v>
      </c>
      <c r="EL41" s="884">
        <f>+EL7/$EL$37</f>
        <v>31479.085801378969</v>
      </c>
      <c r="EM41" s="875">
        <f>+EM7/$EM$37</f>
        <v>46141.597506809972</v>
      </c>
      <c r="EN41" s="876">
        <f>SUM(EB41:EM41)</f>
        <v>334137.93791315163</v>
      </c>
      <c r="EO41" s="884">
        <f>+EO7/$EO$37</f>
        <v>9183.6918065563041</v>
      </c>
      <c r="EP41" s="884">
        <f>+EP7/$EP$37</f>
        <v>26915.056578694017</v>
      </c>
      <c r="EQ41" s="884">
        <f>+EQ7/$EQ$37</f>
        <v>27945.989219950286</v>
      </c>
      <c r="ER41" s="884">
        <f>+ER7/$ER$37</f>
        <v>39030.551724025427</v>
      </c>
      <c r="ES41" s="884">
        <f>+ES7/$ES$37</f>
        <v>27876.268168907744</v>
      </c>
      <c r="ET41" s="884">
        <f>+ET7/$ET$37</f>
        <v>30243.417164108614</v>
      </c>
      <c r="EU41" s="884">
        <f>+EU7/$EU$37</f>
        <v>34641.980537794734</v>
      </c>
      <c r="EV41" s="971">
        <f>+EV7/$EV$37</f>
        <v>32837.276964372519</v>
      </c>
      <c r="EW41" s="884"/>
      <c r="EX41" s="884"/>
      <c r="EY41" s="884"/>
      <c r="EZ41" s="875"/>
      <c r="FA41" s="876">
        <f>SUM(EO41:EZ41)</f>
        <v>228674.23216440965</v>
      </c>
      <c r="FB41" s="757"/>
      <c r="FC41" s="841">
        <f>IFERROR(((
_xlfn.XLOOKUP((DATE(YEAR($FC$5),MONTH($FC$5),1)),UCA.GGL.DATE,$B41:$FA41) /
_xlfn.XLOOKUP((DATE(YEAR($FC$5)-1,MONTH($FC$5),1)),UCA.GGL.DATE,$B41:$FA41)
)-1)*100,"")</f>
        <v>10.279494386565013</v>
      </c>
      <c r="FD41" s="842">
        <f>IFERROR(((FF41/FE41)-1)*100,"")</f>
        <v>18.663471104932583</v>
      </c>
      <c r="FE41" s="702">
        <f>SUMIFS($B41:$FA41,UCA.GGL.DATE,"&gt;="&amp;DATE(YEAR($FC$5)-1,1,1),UCA.GGL.DATE,"&lt;="&amp;DATE(YEAR($FC$5)-1,MONTH($FC$5),1))</f>
        <v>192708.19405088527</v>
      </c>
      <c r="FF41" s="703">
        <f t="shared" ref="FF41:FF55" si="245">SUMIFS($B41:$FA41,UCA.GGL.DATE,"&gt;="&amp;DATE(YEAR($FC$5),1,1),UCA.GGL.DATE,"&lt;="&amp;$FC$5)</f>
        <v>228674.23216440965</v>
      </c>
      <c r="FH41" s="838">
        <f>EV41-EI41</f>
        <v>3060.8646340191262</v>
      </c>
    </row>
    <row r="42" spans="1:164" ht="15" customHeight="1" x14ac:dyDescent="0.25">
      <c r="A42" s="401" t="s">
        <v>370</v>
      </c>
      <c r="B42" s="885">
        <f t="shared" si="120"/>
        <v>4314.5256575150679</v>
      </c>
      <c r="C42" s="885">
        <f t="shared" si="121"/>
        <v>9540.3524228595579</v>
      </c>
      <c r="D42" s="885">
        <f t="shared" si="122"/>
        <v>11650.415449619841</v>
      </c>
      <c r="E42" s="885">
        <f t="shared" si="123"/>
        <v>10828.999579898</v>
      </c>
      <c r="F42" s="885">
        <f t="shared" si="124"/>
        <v>11217.005362422129</v>
      </c>
      <c r="G42" s="885">
        <f t="shared" si="125"/>
        <v>9920.2179769989561</v>
      </c>
      <c r="H42" s="885">
        <f t="shared" si="126"/>
        <v>10910.666078312028</v>
      </c>
      <c r="I42" s="885">
        <f t="shared" si="127"/>
        <v>8956.6592712445345</v>
      </c>
      <c r="J42" s="885">
        <f t="shared" si="128"/>
        <v>9182.3325049601426</v>
      </c>
      <c r="K42" s="885">
        <f t="shared" si="129"/>
        <v>9995.0006248998925</v>
      </c>
      <c r="L42" s="885">
        <f t="shared" si="130"/>
        <v>10764.902023804852</v>
      </c>
      <c r="M42" s="877">
        <f t="shared" si="131"/>
        <v>13879.642722884564</v>
      </c>
      <c r="N42" s="878">
        <f t="shared" ref="N42:N55" si="246">SUM(B42:M42)</f>
        <v>121160.71967541959</v>
      </c>
      <c r="O42" s="885">
        <f t="shared" si="132"/>
        <v>7247.8533244071759</v>
      </c>
      <c r="P42" s="885">
        <f t="shared" si="133"/>
        <v>11429.413155834556</v>
      </c>
      <c r="Q42" s="885">
        <f t="shared" si="134"/>
        <v>10165.246595735198</v>
      </c>
      <c r="R42" s="885">
        <f t="shared" si="135"/>
        <v>11102.14563940018</v>
      </c>
      <c r="S42" s="885">
        <f t="shared" si="136"/>
        <v>11376.479346502971</v>
      </c>
      <c r="T42" s="885">
        <f t="shared" si="137"/>
        <v>10235.735757446699</v>
      </c>
      <c r="U42" s="885">
        <f t="shared" si="138"/>
        <v>12315.082279845232</v>
      </c>
      <c r="V42" s="885">
        <f t="shared" si="139"/>
        <v>9968.216464443376</v>
      </c>
      <c r="W42" s="885">
        <f t="shared" si="140"/>
        <v>10447.055515657186</v>
      </c>
      <c r="X42" s="885">
        <f t="shared" si="141"/>
        <v>8827.5280867282199</v>
      </c>
      <c r="Y42" s="885">
        <f t="shared" si="142"/>
        <v>10758.410015428117</v>
      </c>
      <c r="Z42" s="877">
        <f t="shared" si="143"/>
        <v>12396.099258749107</v>
      </c>
      <c r="AA42" s="878">
        <f t="shared" ref="AA42:AA55" si="247">SUM(O42:Z42)</f>
        <v>126269.26544017802</v>
      </c>
      <c r="AB42" s="885">
        <f t="shared" si="144"/>
        <v>7018.8379304623768</v>
      </c>
      <c r="AC42" s="885">
        <f t="shared" si="145"/>
        <v>8235.1768154771853</v>
      </c>
      <c r="AD42" s="885">
        <f t="shared" si="146"/>
        <v>11463.051877578411</v>
      </c>
      <c r="AE42" s="885">
        <f t="shared" si="147"/>
        <v>9644.9175435409561</v>
      </c>
      <c r="AF42" s="885">
        <f t="shared" si="148"/>
        <v>12189.135780474919</v>
      </c>
      <c r="AG42" s="885">
        <f t="shared" si="149"/>
        <v>12348.982561424626</v>
      </c>
      <c r="AH42" s="885">
        <f t="shared" si="150"/>
        <v>11591.687829326591</v>
      </c>
      <c r="AI42" s="885">
        <f t="shared" si="151"/>
        <v>11119.465262868105</v>
      </c>
      <c r="AJ42" s="885">
        <f t="shared" si="152"/>
        <v>8200.7041904187372</v>
      </c>
      <c r="AK42" s="885">
        <f t="shared" si="153"/>
        <v>9803.7322169630006</v>
      </c>
      <c r="AL42" s="885">
        <f t="shared" si="154"/>
        <v>11175.663909501371</v>
      </c>
      <c r="AM42" s="877">
        <f t="shared" si="155"/>
        <v>16563.356199208632</v>
      </c>
      <c r="AN42" s="878">
        <f t="shared" ref="AN42:AN55" si="248">SUM(AB42:AM42)</f>
        <v>129354.71211724491</v>
      </c>
      <c r="AO42" s="885">
        <f t="shared" si="156"/>
        <v>6306.3200320681399</v>
      </c>
      <c r="AP42" s="885">
        <f t="shared" si="157"/>
        <v>8959.7871804636998</v>
      </c>
      <c r="AQ42" s="885">
        <f t="shared" si="158"/>
        <v>10911.983731880231</v>
      </c>
      <c r="AR42" s="885">
        <f t="shared" si="159"/>
        <v>10862.161909857165</v>
      </c>
      <c r="AS42" s="885">
        <f t="shared" si="160"/>
        <v>12728.05985455251</v>
      </c>
      <c r="AT42" s="885">
        <f t="shared" si="161"/>
        <v>11048.898913878556</v>
      </c>
      <c r="AU42" s="885">
        <f t="shared" si="162"/>
        <v>11633.652493165398</v>
      </c>
      <c r="AV42" s="885">
        <f t="shared" si="163"/>
        <v>9758.9846708981568</v>
      </c>
      <c r="AW42" s="885">
        <f t="shared" si="164"/>
        <v>8065.7245890409104</v>
      </c>
      <c r="AX42" s="885">
        <f t="shared" si="165"/>
        <v>10822.356828267039</v>
      </c>
      <c r="AY42" s="885">
        <f t="shared" si="166"/>
        <v>11796.68282842762</v>
      </c>
      <c r="AZ42" s="877">
        <f t="shared" si="167"/>
        <v>12927.498106507743</v>
      </c>
      <c r="BA42" s="878">
        <f t="shared" ref="BA42:BA55" si="249">SUM(AO42:AZ42)</f>
        <v>125822.11113900716</v>
      </c>
      <c r="BB42" s="885">
        <f t="shared" si="168"/>
        <v>4748.6337869322942</v>
      </c>
      <c r="BC42" s="885">
        <f t="shared" si="169"/>
        <v>8557.0016470238188</v>
      </c>
      <c r="BD42" s="885">
        <f t="shared" si="170"/>
        <v>10883.985252845516</v>
      </c>
      <c r="BE42" s="885">
        <f t="shared" si="171"/>
        <v>11437.740124099855</v>
      </c>
      <c r="BF42" s="885">
        <f t="shared" si="172"/>
        <v>12826.85486470684</v>
      </c>
      <c r="BG42" s="885">
        <f t="shared" si="173"/>
        <v>11734.150064051219</v>
      </c>
      <c r="BH42" s="885">
        <f t="shared" si="174"/>
        <v>13459.128142779953</v>
      </c>
      <c r="BI42" s="885">
        <f t="shared" si="175"/>
        <v>10259.516853688157</v>
      </c>
      <c r="BJ42" s="885">
        <f t="shared" si="176"/>
        <v>10172.279355345485</v>
      </c>
      <c r="BK42" s="885">
        <f t="shared" si="177"/>
        <v>9921.5026460754143</v>
      </c>
      <c r="BL42" s="885">
        <f t="shared" si="178"/>
        <v>11317.481763205815</v>
      </c>
      <c r="BM42" s="877">
        <f t="shared" si="179"/>
        <v>14661.679901099191</v>
      </c>
      <c r="BN42" s="878">
        <f t="shared" ref="BN42:BN55" si="250">SUM(BB42:BM42)</f>
        <v>129979.95440185355</v>
      </c>
      <c r="BO42" s="885">
        <f t="shared" si="180"/>
        <v>8891.280632365464</v>
      </c>
      <c r="BP42" s="885">
        <f t="shared" si="181"/>
        <v>9228.4765628410605</v>
      </c>
      <c r="BQ42" s="885">
        <f t="shared" si="182"/>
        <v>13232.952135269021</v>
      </c>
      <c r="BR42" s="885">
        <f t="shared" si="183"/>
        <v>9039.0160339165777</v>
      </c>
      <c r="BS42" s="885">
        <f t="shared" si="184"/>
        <v>8766.3608566178355</v>
      </c>
      <c r="BT42" s="885">
        <f t="shared" si="185"/>
        <v>8965.7861853844388</v>
      </c>
      <c r="BU42" s="885">
        <f t="shared" si="186"/>
        <v>17024.214008989471</v>
      </c>
      <c r="BV42" s="885">
        <f t="shared" si="187"/>
        <v>12073.693346577755</v>
      </c>
      <c r="BW42" s="885">
        <f t="shared" si="188"/>
        <v>14910.182340536365</v>
      </c>
      <c r="BX42" s="885">
        <f t="shared" si="189"/>
        <v>19928.616960324212</v>
      </c>
      <c r="BY42" s="885">
        <f t="shared" si="190"/>
        <v>19498.789595893533</v>
      </c>
      <c r="BZ42" s="877">
        <f t="shared" si="191"/>
        <v>30393.540907643022</v>
      </c>
      <c r="CA42" s="878">
        <f t="shared" ref="CA42:CA55" si="251">SUM(BO42:BZ42)</f>
        <v>171952.90956635878</v>
      </c>
      <c r="CB42" s="885">
        <f t="shared" si="192"/>
        <v>6361.4636275230023</v>
      </c>
      <c r="CC42" s="885">
        <f t="shared" si="193"/>
        <v>8441.4801766594937</v>
      </c>
      <c r="CD42" s="885">
        <f t="shared" si="194"/>
        <v>15405.240925201175</v>
      </c>
      <c r="CE42" s="885">
        <f t="shared" si="195"/>
        <v>13489.394542708478</v>
      </c>
      <c r="CF42" s="885">
        <f t="shared" si="196"/>
        <v>14910.147696524933</v>
      </c>
      <c r="CG42" s="885">
        <f t="shared" si="197"/>
        <v>13626.728529428601</v>
      </c>
      <c r="CH42" s="885">
        <f t="shared" si="198"/>
        <v>13038.44546364011</v>
      </c>
      <c r="CI42" s="885">
        <f t="shared" si="199"/>
        <v>14084.119287451533</v>
      </c>
      <c r="CJ42" s="885">
        <f t="shared" si="200"/>
        <v>14553.043477342686</v>
      </c>
      <c r="CK42" s="885">
        <f t="shared" si="201"/>
        <v>12181.060284051893</v>
      </c>
      <c r="CL42" s="885">
        <f t="shared" si="202"/>
        <v>14898.78042829765</v>
      </c>
      <c r="CM42" s="877">
        <f t="shared" si="203"/>
        <v>24452.405703908968</v>
      </c>
      <c r="CN42" s="878">
        <f t="shared" ref="CN42:CN62" si="252">SUM(CB42:CM42)</f>
        <v>165442.31014273851</v>
      </c>
      <c r="CO42" s="885">
        <f t="shared" si="204"/>
        <v>6544.7754405299829</v>
      </c>
      <c r="CP42" s="885">
        <f t="shared" si="205"/>
        <v>11015.857894175018</v>
      </c>
      <c r="CQ42" s="885">
        <f t="shared" si="206"/>
        <v>15836.139431590798</v>
      </c>
      <c r="CR42" s="885">
        <f t="shared" si="207"/>
        <v>11725.542581822177</v>
      </c>
      <c r="CS42" s="885">
        <f t="shared" si="208"/>
        <v>14962.286993238245</v>
      </c>
      <c r="CT42" s="885">
        <f t="shared" si="209"/>
        <v>14234.0949243741</v>
      </c>
      <c r="CU42" s="885">
        <f t="shared" si="210"/>
        <v>15603.01771307365</v>
      </c>
      <c r="CV42" s="885">
        <f t="shared" si="211"/>
        <v>14676.181700721181</v>
      </c>
      <c r="CW42" s="885">
        <f t="shared" si="212"/>
        <v>13822.791848535513</v>
      </c>
      <c r="CX42" s="885">
        <f t="shared" si="213"/>
        <v>13328.79764386697</v>
      </c>
      <c r="CY42" s="885">
        <f t="shared" si="214"/>
        <v>13684.351251342048</v>
      </c>
      <c r="CZ42" s="877">
        <f t="shared" si="215"/>
        <v>19765.342739816311</v>
      </c>
      <c r="DA42" s="878">
        <f t="shared" ref="DA42:DA61" si="253">SUM(CO42:CZ42)</f>
        <v>165199.18016308601</v>
      </c>
      <c r="DB42" s="885">
        <f t="shared" si="216"/>
        <v>4961.5418635055239</v>
      </c>
      <c r="DC42" s="885">
        <f t="shared" si="217"/>
        <v>10772.759961957638</v>
      </c>
      <c r="DD42" s="885">
        <f t="shared" si="218"/>
        <v>15684.821895227384</v>
      </c>
      <c r="DE42" s="885">
        <f t="shared" si="219"/>
        <v>11261.01215436866</v>
      </c>
      <c r="DF42" s="885">
        <f t="shared" si="220"/>
        <v>15556.889928939818</v>
      </c>
      <c r="DG42" s="885">
        <f t="shared" si="221"/>
        <v>15452.308708192961</v>
      </c>
      <c r="DH42" s="885">
        <f t="shared" si="222"/>
        <v>14270.907499771722</v>
      </c>
      <c r="DI42" s="885">
        <f t="shared" si="223"/>
        <v>13256.336977584631</v>
      </c>
      <c r="DJ42" s="885">
        <f t="shared" si="224"/>
        <v>13407.388468877534</v>
      </c>
      <c r="DK42" s="885">
        <f t="shared" si="225"/>
        <v>14444.706269271906</v>
      </c>
      <c r="DL42" s="885">
        <f t="shared" si="226"/>
        <v>15658.208133014768</v>
      </c>
      <c r="DM42" s="877">
        <f t="shared" si="227"/>
        <v>21739.351182398699</v>
      </c>
      <c r="DN42" s="878">
        <f t="shared" ref="DN42:DN62" si="254">SUM(DB42:DM42)</f>
        <v>166466.23304311125</v>
      </c>
      <c r="DO42" s="885">
        <f t="shared" si="228"/>
        <v>5906.3439994445098</v>
      </c>
      <c r="DP42" s="885">
        <f t="shared" si="229"/>
        <v>12492.839481329584</v>
      </c>
      <c r="DQ42" s="885">
        <f t="shared" si="230"/>
        <v>14428.029124821554</v>
      </c>
      <c r="DR42" s="885">
        <f t="shared" si="231"/>
        <v>15873.105261880522</v>
      </c>
      <c r="DS42" s="885">
        <f t="shared" si="232"/>
        <v>17466.374019364848</v>
      </c>
      <c r="DT42" s="885">
        <f t="shared" si="233"/>
        <v>15857.705961408679</v>
      </c>
      <c r="DU42" s="885">
        <f t="shared" si="234"/>
        <v>15906.460409529906</v>
      </c>
      <c r="DV42" s="885">
        <f t="shared" si="235"/>
        <v>16441.739485698814</v>
      </c>
      <c r="DW42" s="885">
        <f t="shared" si="236"/>
        <v>15526.051755693687</v>
      </c>
      <c r="DX42" s="885">
        <f t="shared" si="237"/>
        <v>16156.914762589196</v>
      </c>
      <c r="DY42" s="885">
        <f t="shared" si="238"/>
        <v>17297.291799794304</v>
      </c>
      <c r="DZ42" s="877">
        <f t="shared" si="239"/>
        <v>24306.248499950962</v>
      </c>
      <c r="EA42" s="878">
        <f t="shared" ref="EA42:EA62" si="255">SUM(DO42:DZ42)</f>
        <v>187659.10456150654</v>
      </c>
      <c r="EB42" s="885">
        <f t="shared" si="240"/>
        <v>7399.4283188015088</v>
      </c>
      <c r="EC42" s="885">
        <f t="shared" si="241"/>
        <v>14801.487876800034</v>
      </c>
      <c r="ED42" s="885">
        <f t="shared" si="242"/>
        <v>15561.154274863455</v>
      </c>
      <c r="EE42" s="885">
        <f t="shared" si="243"/>
        <v>17117.41309614111</v>
      </c>
      <c r="EF42" s="885">
        <f t="shared" si="244"/>
        <v>18276.787726810264</v>
      </c>
      <c r="EG42" s="885">
        <f t="shared" ref="EG42:EG61" si="256">+EG8/$EG$37</f>
        <v>16361.521498131273</v>
      </c>
      <c r="EH42" s="885">
        <f t="shared" ref="EH42:EH61" si="257">+EH8/$EH$37</f>
        <v>17845.287977944965</v>
      </c>
      <c r="EI42" s="885">
        <f>+EI8/$EI$37</f>
        <v>16483.469647757986</v>
      </c>
      <c r="EJ42" s="885">
        <f t="shared" ref="EJ42:EJ61" si="258">+EJ8/$EJ$37</f>
        <v>16008.973280152502</v>
      </c>
      <c r="EK42" s="885">
        <f t="shared" ref="EK42:EK61" si="259">+EK8/$EK$37</f>
        <v>17139.54063672401</v>
      </c>
      <c r="EL42" s="885">
        <f t="shared" ref="EL42:EL61" si="260">+EL8/$EL$37</f>
        <v>14185.146149162378</v>
      </c>
      <c r="EM42" s="877">
        <f t="shared" ref="EM42:EM62" si="261">+EM8/$EM$37</f>
        <v>20328.016316352285</v>
      </c>
      <c r="EN42" s="878">
        <f t="shared" ref="EN42:EN62" si="262">SUM(EB42:EM42)</f>
        <v>191508.22679964176</v>
      </c>
      <c r="EO42" s="885">
        <f t="shared" ref="EO42:EO61" si="263">+EO8/$EO$37</f>
        <v>8449.6782424209578</v>
      </c>
      <c r="EP42" s="885">
        <f t="shared" ref="EP42:EP62" si="264">+EP8/$EP$37</f>
        <v>16184.527529639114</v>
      </c>
      <c r="EQ42" s="885">
        <f t="shared" ref="EQ42:EQ61" si="265">+EQ8/$EQ$37</f>
        <v>17048.354825301376</v>
      </c>
      <c r="ER42" s="885">
        <f t="shared" ref="ER42:ER62" si="266">+ER8/$ER$37</f>
        <v>16238.012675680069</v>
      </c>
      <c r="ES42" s="885">
        <f t="shared" ref="ES42:ES62" si="267">+ES8/$ES$37</f>
        <v>18385.061312702695</v>
      </c>
      <c r="ET42" s="885">
        <f t="shared" ref="ET42:ET62" si="268">+ET8/$ET$37</f>
        <v>17366.71416206826</v>
      </c>
      <c r="EU42" s="885">
        <f t="shared" ref="EU42:EU62" si="269">+EU8/$EU$37</f>
        <v>19251.007971890511</v>
      </c>
      <c r="EV42" s="972">
        <f t="shared" ref="EV42:EV62" si="270">+EV8/$EV$37</f>
        <v>18138.087549496773</v>
      </c>
      <c r="EW42" s="885"/>
      <c r="EX42" s="885"/>
      <c r="EY42" s="885"/>
      <c r="EZ42" s="877"/>
      <c r="FA42" s="878">
        <f t="shared" ref="FA42:FA64" si="271">SUM(EO42:EZ42)</f>
        <v>131061.44426919975</v>
      </c>
      <c r="FB42" s="110"/>
      <c r="FC42" s="851">
        <f t="shared" ref="FC42:FC55" si="272">IFERROR(((
_xlfn.XLOOKUP((DATE(YEAR($FC$5),MONTH($FC$5),1)),UCA.GGL.DATE,$B42:$FA42) /
_xlfn.XLOOKUP((DATE(YEAR($FC$5)-1,MONTH($FC$5),1)),UCA.GGL.DATE,$B42:$FA42)
)-1)*100,"")</f>
        <v>10.038043792338591</v>
      </c>
      <c r="FD42" s="852">
        <f>IFERROR(((FF42/FE42)-1)*100,"")</f>
        <v>5.8256720333683232</v>
      </c>
      <c r="FE42" s="853">
        <f t="shared" ref="FE42:FE55" si="273">SUMIFS($B42:$FA42,UCA.GGL.DATE,"&gt;="&amp;DATE(YEAR($FC$5)-1,1,1),UCA.GGL.DATE,"&lt;="&amp;DATE(YEAR($FC$5)-1,MONTH($FC$5),1))</f>
        <v>123846.55041725059</v>
      </c>
      <c r="FF42" s="854">
        <f t="shared" si="245"/>
        <v>131061.44426919975</v>
      </c>
      <c r="FH42" s="236">
        <f t="shared" ref="FH42:FH55" si="274">EV42-EI42</f>
        <v>1654.6179017387876</v>
      </c>
    </row>
    <row r="43" spans="1:164" ht="15" customHeight="1" x14ac:dyDescent="0.25">
      <c r="A43" s="403" t="s">
        <v>371</v>
      </c>
      <c r="B43" s="883">
        <f t="shared" si="120"/>
        <v>2077.1022427709154</v>
      </c>
      <c r="C43" s="883">
        <f t="shared" si="121"/>
        <v>1919.6668393565963</v>
      </c>
      <c r="D43" s="883">
        <f t="shared" si="122"/>
        <v>2191.3543410111274</v>
      </c>
      <c r="E43" s="883">
        <f t="shared" si="123"/>
        <v>1958.2053603706829</v>
      </c>
      <c r="F43" s="883">
        <f t="shared" si="124"/>
        <v>1878.7444086627916</v>
      </c>
      <c r="G43" s="883">
        <f t="shared" si="125"/>
        <v>1662.966654142848</v>
      </c>
      <c r="H43" s="883">
        <f t="shared" si="126"/>
        <v>2490.1541214108993</v>
      </c>
      <c r="I43" s="883">
        <f t="shared" si="127"/>
        <v>1601.2798136042895</v>
      </c>
      <c r="J43" s="883">
        <f t="shared" si="128"/>
        <v>1864.9353093884065</v>
      </c>
      <c r="K43" s="883">
        <f t="shared" si="129"/>
        <v>1914.7772890807535</v>
      </c>
      <c r="L43" s="883">
        <f t="shared" si="130"/>
        <v>2027.9833017400135</v>
      </c>
      <c r="M43" s="873">
        <f t="shared" si="131"/>
        <v>2286.6266428920885</v>
      </c>
      <c r="N43" s="879">
        <f t="shared" si="246"/>
        <v>23873.796324431412</v>
      </c>
      <c r="O43" s="883">
        <f t="shared" si="132"/>
        <v>2240.6280959342939</v>
      </c>
      <c r="P43" s="883">
        <f t="shared" si="133"/>
        <v>1802.5122933300806</v>
      </c>
      <c r="Q43" s="883">
        <f t="shared" si="134"/>
        <v>1735.0934371213823</v>
      </c>
      <c r="R43" s="883">
        <f t="shared" si="135"/>
        <v>1924.2923843457029</v>
      </c>
      <c r="S43" s="883">
        <f t="shared" si="136"/>
        <v>2110.7234259387174</v>
      </c>
      <c r="T43" s="883">
        <f t="shared" si="137"/>
        <v>1718.4624233849324</v>
      </c>
      <c r="U43" s="883">
        <f t="shared" si="138"/>
        <v>2572.2924889784636</v>
      </c>
      <c r="V43" s="883">
        <f t="shared" si="139"/>
        <v>1678.3825436199186</v>
      </c>
      <c r="W43" s="883">
        <f t="shared" si="140"/>
        <v>1786.3261745135585</v>
      </c>
      <c r="X43" s="883">
        <f t="shared" si="141"/>
        <v>1890.0378673366299</v>
      </c>
      <c r="Y43" s="883">
        <f t="shared" si="142"/>
        <v>2019.4467256594985</v>
      </c>
      <c r="Z43" s="873">
        <f t="shared" si="143"/>
        <v>1930.2466105743586</v>
      </c>
      <c r="AA43" s="879">
        <f t="shared" si="247"/>
        <v>23408.444470737533</v>
      </c>
      <c r="AB43" s="883">
        <f t="shared" si="144"/>
        <v>2272.5583247333011</v>
      </c>
      <c r="AC43" s="883">
        <f t="shared" si="145"/>
        <v>1530.0646116801897</v>
      </c>
      <c r="AD43" s="883">
        <f t="shared" si="146"/>
        <v>1948.6399268835978</v>
      </c>
      <c r="AE43" s="883">
        <f t="shared" si="147"/>
        <v>1923.518558784169</v>
      </c>
      <c r="AF43" s="883">
        <f t="shared" si="148"/>
        <v>1885.4166778921808</v>
      </c>
      <c r="AG43" s="883">
        <f t="shared" si="149"/>
        <v>1919.538463044451</v>
      </c>
      <c r="AH43" s="883">
        <f t="shared" si="150"/>
        <v>2275.1728026675019</v>
      </c>
      <c r="AI43" s="883">
        <f t="shared" si="151"/>
        <v>1825.5196388484778</v>
      </c>
      <c r="AJ43" s="883">
        <f t="shared" si="152"/>
        <v>1640.1408380837477</v>
      </c>
      <c r="AK43" s="883">
        <f t="shared" si="153"/>
        <v>1970.6899612960315</v>
      </c>
      <c r="AL43" s="883">
        <f t="shared" si="154"/>
        <v>1890.8885444139862</v>
      </c>
      <c r="AM43" s="873">
        <f t="shared" si="155"/>
        <v>2159.6229076868767</v>
      </c>
      <c r="AN43" s="879">
        <f t="shared" si="248"/>
        <v>23241.771256014512</v>
      </c>
      <c r="AO43" s="883">
        <f t="shared" si="156"/>
        <v>2390.0664961719435</v>
      </c>
      <c r="AP43" s="883">
        <f t="shared" si="157"/>
        <v>1643.0226071091565</v>
      </c>
      <c r="AQ43" s="883">
        <f t="shared" si="158"/>
        <v>2268.8636770608864</v>
      </c>
      <c r="AR43" s="883">
        <f t="shared" si="159"/>
        <v>1963.618965718958</v>
      </c>
      <c r="AS43" s="883">
        <f t="shared" si="160"/>
        <v>2001.1457792683175</v>
      </c>
      <c r="AT43" s="883">
        <f t="shared" si="161"/>
        <v>1859.7862635468748</v>
      </c>
      <c r="AU43" s="883">
        <f t="shared" si="162"/>
        <v>2470.0909696345925</v>
      </c>
      <c r="AV43" s="883">
        <f t="shared" si="163"/>
        <v>1786.48661587216</v>
      </c>
      <c r="AW43" s="883">
        <f t="shared" si="164"/>
        <v>1634.3891441182109</v>
      </c>
      <c r="AX43" s="883">
        <f t="shared" si="165"/>
        <v>2103.6199313787452</v>
      </c>
      <c r="AY43" s="883">
        <f t="shared" si="166"/>
        <v>1843.8500778437372</v>
      </c>
      <c r="AZ43" s="873">
        <f t="shared" si="167"/>
        <v>2522.0084982682224</v>
      </c>
      <c r="BA43" s="879">
        <f t="shared" si="249"/>
        <v>24486.949025991806</v>
      </c>
      <c r="BB43" s="883">
        <f t="shared" si="168"/>
        <v>2990.4549471744049</v>
      </c>
      <c r="BC43" s="883">
        <f t="shared" si="169"/>
        <v>834.29709986203932</v>
      </c>
      <c r="BD43" s="883">
        <f t="shared" si="170"/>
        <v>1472.6789704434564</v>
      </c>
      <c r="BE43" s="883">
        <f t="shared" si="171"/>
        <v>1761.3157171038688</v>
      </c>
      <c r="BF43" s="883">
        <f t="shared" si="172"/>
        <v>1792.8064955340685</v>
      </c>
      <c r="BG43" s="883">
        <f t="shared" si="173"/>
        <v>1572.7330409042031</v>
      </c>
      <c r="BH43" s="883">
        <f t="shared" si="174"/>
        <v>2067.7450938403731</v>
      </c>
      <c r="BI43" s="883">
        <f t="shared" si="175"/>
        <v>1449.7521274103565</v>
      </c>
      <c r="BJ43" s="883">
        <f t="shared" si="176"/>
        <v>1539.9903473508475</v>
      </c>
      <c r="BK43" s="883">
        <f t="shared" si="177"/>
        <v>1712.615534454849</v>
      </c>
      <c r="BL43" s="883">
        <f t="shared" si="178"/>
        <v>1583.0877395878183</v>
      </c>
      <c r="BM43" s="873">
        <f t="shared" si="179"/>
        <v>2116.9751705727999</v>
      </c>
      <c r="BN43" s="879">
        <f t="shared" si="250"/>
        <v>20894.452284239087</v>
      </c>
      <c r="BO43" s="883">
        <f t="shared" si="180"/>
        <v>2148.4378492992037</v>
      </c>
      <c r="BP43" s="883">
        <f t="shared" si="181"/>
        <v>1578.1551714232542</v>
      </c>
      <c r="BQ43" s="883">
        <f t="shared" si="182"/>
        <v>1823.3409873041358</v>
      </c>
      <c r="BR43" s="883">
        <f t="shared" si="183"/>
        <v>1443.6364758265854</v>
      </c>
      <c r="BS43" s="883">
        <f t="shared" si="184"/>
        <v>1849.368131994175</v>
      </c>
      <c r="BT43" s="883">
        <f t="shared" si="185"/>
        <v>1435.0473755081798</v>
      </c>
      <c r="BU43" s="883">
        <f t="shared" si="186"/>
        <v>2090.4532450845818</v>
      </c>
      <c r="BV43" s="883">
        <f t="shared" si="187"/>
        <v>1445.7792984403179</v>
      </c>
      <c r="BW43" s="883">
        <f t="shared" si="188"/>
        <v>1369.3163976170488</v>
      </c>
      <c r="BX43" s="883">
        <f t="shared" si="189"/>
        <v>1522.6757973522579</v>
      </c>
      <c r="BY43" s="883">
        <f t="shared" si="190"/>
        <v>1679.1850855617074</v>
      </c>
      <c r="BZ43" s="873">
        <f t="shared" si="191"/>
        <v>2196.3790563424291</v>
      </c>
      <c r="CA43" s="879">
        <f t="shared" si="251"/>
        <v>20581.774871753878</v>
      </c>
      <c r="CB43" s="883">
        <f t="shared" si="192"/>
        <v>1830.4624655527571</v>
      </c>
      <c r="CC43" s="883">
        <f t="shared" si="193"/>
        <v>1023.720955151687</v>
      </c>
      <c r="CD43" s="883">
        <f t="shared" si="194"/>
        <v>1867.0991390665195</v>
      </c>
      <c r="CE43" s="883">
        <f t="shared" si="195"/>
        <v>1677.3821291623397</v>
      </c>
      <c r="CF43" s="883">
        <f t="shared" si="196"/>
        <v>1614.0745960571842</v>
      </c>
      <c r="CG43" s="883">
        <f t="shared" si="197"/>
        <v>1521.9825553524604</v>
      </c>
      <c r="CH43" s="883">
        <f t="shared" si="198"/>
        <v>1885.1002348268528</v>
      </c>
      <c r="CI43" s="883">
        <f t="shared" si="199"/>
        <v>1288.8451515419447</v>
      </c>
      <c r="CJ43" s="883">
        <f t="shared" si="200"/>
        <v>1325.8949261599673</v>
      </c>
      <c r="CK43" s="883">
        <f t="shared" si="201"/>
        <v>1383.4194961864212</v>
      </c>
      <c r="CL43" s="883">
        <f t="shared" si="202"/>
        <v>1606.6997061371349</v>
      </c>
      <c r="CM43" s="873">
        <f t="shared" si="203"/>
        <v>2044.6648824918009</v>
      </c>
      <c r="CN43" s="879">
        <f t="shared" si="252"/>
        <v>19069.346237687067</v>
      </c>
      <c r="CO43" s="883">
        <f t="shared" si="204"/>
        <v>1689.2828745945556</v>
      </c>
      <c r="CP43" s="883">
        <f t="shared" si="205"/>
        <v>1249.2013366836284</v>
      </c>
      <c r="CQ43" s="883">
        <f t="shared" si="206"/>
        <v>1316.8070368766114</v>
      </c>
      <c r="CR43" s="883">
        <f t="shared" si="207"/>
        <v>1350.823210066512</v>
      </c>
      <c r="CS43" s="883">
        <f t="shared" si="208"/>
        <v>1403.1973342140391</v>
      </c>
      <c r="CT43" s="883">
        <f t="shared" si="209"/>
        <v>1291.3985095114735</v>
      </c>
      <c r="CU43" s="883">
        <f t="shared" si="210"/>
        <v>1712.083512151321</v>
      </c>
      <c r="CV43" s="883">
        <f t="shared" si="211"/>
        <v>1395.2983134958367</v>
      </c>
      <c r="CW43" s="883">
        <f t="shared" si="212"/>
        <v>1264.2833889068522</v>
      </c>
      <c r="CX43" s="883">
        <f t="shared" si="213"/>
        <v>1494.0887857444441</v>
      </c>
      <c r="CY43" s="883">
        <f t="shared" si="214"/>
        <v>1715.805750244092</v>
      </c>
      <c r="CZ43" s="873">
        <f t="shared" si="215"/>
        <v>2355.8881483576183</v>
      </c>
      <c r="DA43" s="879">
        <f t="shared" si="253"/>
        <v>18238.158200846981</v>
      </c>
      <c r="DB43" s="883">
        <f t="shared" si="216"/>
        <v>1548.7945325042676</v>
      </c>
      <c r="DC43" s="883">
        <f t="shared" si="217"/>
        <v>1297.3658990526419</v>
      </c>
      <c r="DD43" s="883">
        <f t="shared" si="218"/>
        <v>1346.0811479838078</v>
      </c>
      <c r="DE43" s="883">
        <f t="shared" si="219"/>
        <v>1471.9263067084232</v>
      </c>
      <c r="DF43" s="883">
        <f t="shared" si="220"/>
        <v>1527.9599852869742</v>
      </c>
      <c r="DG43" s="883">
        <f t="shared" si="221"/>
        <v>1425.8284928097548</v>
      </c>
      <c r="DH43" s="883">
        <f t="shared" si="222"/>
        <v>1838.0887708464841</v>
      </c>
      <c r="DI43" s="883">
        <f t="shared" si="223"/>
        <v>1316.4097196192624</v>
      </c>
      <c r="DJ43" s="883">
        <f t="shared" si="224"/>
        <v>1311.0230827031658</v>
      </c>
      <c r="DK43" s="883">
        <f t="shared" si="225"/>
        <v>1538.5299762550317</v>
      </c>
      <c r="DL43" s="883">
        <f t="shared" si="226"/>
        <v>1601.0566436877452</v>
      </c>
      <c r="DM43" s="873">
        <f t="shared" si="227"/>
        <v>2313.4484198978307</v>
      </c>
      <c r="DN43" s="879">
        <f t="shared" si="254"/>
        <v>18536.512977355389</v>
      </c>
      <c r="DO43" s="883">
        <f t="shared" si="228"/>
        <v>3567.1583865497555</v>
      </c>
      <c r="DP43" s="883">
        <f t="shared" si="229"/>
        <v>3328.1010469371463</v>
      </c>
      <c r="DQ43" s="883">
        <f t="shared" si="230"/>
        <v>3413.1364223228325</v>
      </c>
      <c r="DR43" s="883">
        <f t="shared" si="231"/>
        <v>4166.5919551843726</v>
      </c>
      <c r="DS43" s="883">
        <f t="shared" si="232"/>
        <v>4369.6818176138768</v>
      </c>
      <c r="DT43" s="883">
        <f t="shared" si="233"/>
        <v>3835.573866315613</v>
      </c>
      <c r="DU43" s="883">
        <f t="shared" si="234"/>
        <v>4669.5504248306925</v>
      </c>
      <c r="DV43" s="883">
        <f t="shared" si="235"/>
        <v>3721.4158054094505</v>
      </c>
      <c r="DW43" s="883">
        <f t="shared" si="236"/>
        <v>3849.4944070616925</v>
      </c>
      <c r="DX43" s="883">
        <f t="shared" si="237"/>
        <v>4528.6158898709973</v>
      </c>
      <c r="DY43" s="883">
        <f t="shared" si="238"/>
        <v>4497.1392706332772</v>
      </c>
      <c r="DZ43" s="873">
        <f t="shared" si="239"/>
        <v>5425.7213715069356</v>
      </c>
      <c r="EA43" s="879">
        <f t="shared" si="255"/>
        <v>49372.180664236643</v>
      </c>
      <c r="EB43" s="883">
        <f t="shared" si="240"/>
        <v>4074.0750193295394</v>
      </c>
      <c r="EC43" s="883">
        <f t="shared" si="241"/>
        <v>4023.9330188050317</v>
      </c>
      <c r="ED43" s="883">
        <f t="shared" si="242"/>
        <v>4725.7013266769045</v>
      </c>
      <c r="EE43" s="883">
        <f t="shared" si="243"/>
        <v>4601.3601907158609</v>
      </c>
      <c r="EF43" s="883">
        <f t="shared" si="244"/>
        <v>4656.0281009234159</v>
      </c>
      <c r="EG43" s="883">
        <f t="shared" si="256"/>
        <v>4439.8735913396094</v>
      </c>
      <c r="EH43" s="883">
        <f t="shared" si="257"/>
        <v>5393.0909773637704</v>
      </c>
      <c r="EI43" s="883">
        <f t="shared" ref="EI43:EI61" si="275">+EI9/$EI$37</f>
        <v>4368.6271157371448</v>
      </c>
      <c r="EJ43" s="883">
        <f t="shared" si="258"/>
        <v>4599.3727817801573</v>
      </c>
      <c r="EK43" s="883">
        <f>+EK9/$EK$37</f>
        <v>5240.2269055920278</v>
      </c>
      <c r="EL43" s="883">
        <f t="shared" si="260"/>
        <v>4704.8431222797435</v>
      </c>
      <c r="EM43" s="873">
        <f t="shared" si="261"/>
        <v>6510.9092465804115</v>
      </c>
      <c r="EN43" s="879">
        <f t="shared" si="262"/>
        <v>57338.041397123612</v>
      </c>
      <c r="EO43" s="883">
        <f t="shared" si="263"/>
        <v>4992.9417048037949</v>
      </c>
      <c r="EP43" s="883">
        <f t="shared" si="264"/>
        <v>5714.4667700554446</v>
      </c>
      <c r="EQ43" s="883">
        <f t="shared" si="265"/>
        <v>4530.3693494590752</v>
      </c>
      <c r="ER43" s="883">
        <f t="shared" si="266"/>
        <v>4747.2959974286696</v>
      </c>
      <c r="ES43" s="883">
        <f t="shared" si="267"/>
        <v>4590.6850788901511</v>
      </c>
      <c r="ET43" s="883">
        <f t="shared" si="268"/>
        <v>4127.331940205152</v>
      </c>
      <c r="EU43" s="883">
        <f t="shared" si="269"/>
        <v>5237.8264302295747</v>
      </c>
      <c r="EV43" s="973">
        <f t="shared" si="270"/>
        <v>4215.0144903989185</v>
      </c>
      <c r="EW43" s="883"/>
      <c r="EX43" s="883"/>
      <c r="EY43" s="883"/>
      <c r="EZ43" s="873"/>
      <c r="FA43" s="879">
        <f t="shared" si="271"/>
        <v>38155.931761470783</v>
      </c>
      <c r="FC43" s="843">
        <f t="shared" si="272"/>
        <v>-3.5162677259605424</v>
      </c>
      <c r="FD43" s="844">
        <f t="shared" ref="FD43:FD55" si="276">IFERROR(((FF43/FE43)-1)*100,"")</f>
        <v>5.1629095158288951</v>
      </c>
      <c r="FE43" s="845">
        <f t="shared" si="273"/>
        <v>36282.689340891273</v>
      </c>
      <c r="FF43" s="846">
        <f t="shared" si="245"/>
        <v>38155.931761470783</v>
      </c>
      <c r="FH43" s="127">
        <f t="shared" si="274"/>
        <v>-153.61262533822628</v>
      </c>
    </row>
    <row r="44" spans="1:164" ht="15" customHeight="1" x14ac:dyDescent="0.25">
      <c r="A44" s="403" t="s">
        <v>372</v>
      </c>
      <c r="B44" s="883">
        <f t="shared" si="120"/>
        <v>46.36739777657359</v>
      </c>
      <c r="C44" s="883">
        <f t="shared" si="121"/>
        <v>488.14385343639162</v>
      </c>
      <c r="D44" s="883">
        <f t="shared" si="122"/>
        <v>625.21252312737624</v>
      </c>
      <c r="E44" s="883">
        <f t="shared" si="123"/>
        <v>537.57694624100236</v>
      </c>
      <c r="F44" s="883">
        <f t="shared" si="124"/>
        <v>721.7644571205559</v>
      </c>
      <c r="G44" s="883">
        <f t="shared" si="125"/>
        <v>624.95607408692433</v>
      </c>
      <c r="H44" s="883">
        <f t="shared" si="126"/>
        <v>562.53942092032594</v>
      </c>
      <c r="I44" s="883">
        <f t="shared" si="127"/>
        <v>733.25366642935364</v>
      </c>
      <c r="J44" s="883">
        <f t="shared" si="128"/>
        <v>680.51108840540223</v>
      </c>
      <c r="K44" s="883">
        <f t="shared" si="129"/>
        <v>666.63742855252906</v>
      </c>
      <c r="L44" s="883">
        <f t="shared" si="130"/>
        <v>843.91983494149235</v>
      </c>
      <c r="M44" s="873">
        <f t="shared" si="131"/>
        <v>1181.7757089089389</v>
      </c>
      <c r="N44" s="879">
        <f t="shared" si="246"/>
        <v>7712.6583999468658</v>
      </c>
      <c r="O44" s="883">
        <f t="shared" si="132"/>
        <v>97.679963940797521</v>
      </c>
      <c r="P44" s="883">
        <f t="shared" si="133"/>
        <v>338.29922775358563</v>
      </c>
      <c r="Q44" s="883">
        <f t="shared" si="134"/>
        <v>338.5184445436646</v>
      </c>
      <c r="R44" s="883">
        <f t="shared" si="135"/>
        <v>857.39490197503233</v>
      </c>
      <c r="S44" s="883">
        <f t="shared" si="136"/>
        <v>695.63849251064539</v>
      </c>
      <c r="T44" s="883">
        <f t="shared" si="137"/>
        <v>577.27855727198119</v>
      </c>
      <c r="U44" s="883">
        <f t="shared" si="138"/>
        <v>897.51850481239887</v>
      </c>
      <c r="V44" s="883">
        <f t="shared" si="139"/>
        <v>582.88472647531762</v>
      </c>
      <c r="W44" s="883">
        <f t="shared" si="140"/>
        <v>756.60509457702369</v>
      </c>
      <c r="X44" s="883">
        <f t="shared" si="141"/>
        <v>297.73058586983086</v>
      </c>
      <c r="Y44" s="883">
        <f t="shared" si="142"/>
        <v>1028.4151564792292</v>
      </c>
      <c r="Z44" s="873">
        <f t="shared" si="143"/>
        <v>945.3970908717713</v>
      </c>
      <c r="AA44" s="879">
        <f t="shared" si="247"/>
        <v>7413.3607470812785</v>
      </c>
      <c r="AB44" s="883">
        <f t="shared" si="144"/>
        <v>62.681211009321331</v>
      </c>
      <c r="AC44" s="883">
        <f t="shared" si="145"/>
        <v>248.47203095661203</v>
      </c>
      <c r="AD44" s="883">
        <f t="shared" si="146"/>
        <v>914.4335321224097</v>
      </c>
      <c r="AE44" s="883">
        <f t="shared" si="147"/>
        <v>278.2810027100835</v>
      </c>
      <c r="AF44" s="883">
        <f t="shared" si="148"/>
        <v>800.81466709399785</v>
      </c>
      <c r="AG44" s="883">
        <f t="shared" si="149"/>
        <v>851.27986850162733</v>
      </c>
      <c r="AH44" s="883">
        <f t="shared" si="150"/>
        <v>817.09886187170434</v>
      </c>
      <c r="AI44" s="883">
        <f t="shared" si="151"/>
        <v>702.67448785212423</v>
      </c>
      <c r="AJ44" s="883">
        <f t="shared" si="152"/>
        <v>558.6662496140093</v>
      </c>
      <c r="AK44" s="883">
        <f t="shared" si="153"/>
        <v>652.8135667035483</v>
      </c>
      <c r="AL44" s="883">
        <f t="shared" si="154"/>
        <v>999.95442306734276</v>
      </c>
      <c r="AM44" s="873">
        <f t="shared" si="155"/>
        <v>1564.9336891148898</v>
      </c>
      <c r="AN44" s="879">
        <f t="shared" si="248"/>
        <v>8452.1035906176712</v>
      </c>
      <c r="AO44" s="883">
        <f t="shared" si="156"/>
        <v>48.23326965166271</v>
      </c>
      <c r="AP44" s="883">
        <f t="shared" si="157"/>
        <v>477.53935040541484</v>
      </c>
      <c r="AQ44" s="883">
        <f t="shared" si="158"/>
        <v>368.7350101932023</v>
      </c>
      <c r="AR44" s="883">
        <f t="shared" si="159"/>
        <v>580.3553138476949</v>
      </c>
      <c r="AS44" s="883">
        <f t="shared" si="160"/>
        <v>838.52086281818663</v>
      </c>
      <c r="AT44" s="883">
        <f t="shared" si="161"/>
        <v>514.86414197885108</v>
      </c>
      <c r="AU44" s="883">
        <f t="shared" si="162"/>
        <v>1125.2873442338782</v>
      </c>
      <c r="AV44" s="883">
        <f t="shared" si="163"/>
        <v>518.63451795176684</v>
      </c>
      <c r="AW44" s="883">
        <f t="shared" si="164"/>
        <v>600.50346369681233</v>
      </c>
      <c r="AX44" s="883">
        <f t="shared" si="165"/>
        <v>813.00346490217896</v>
      </c>
      <c r="AY44" s="883">
        <f t="shared" si="166"/>
        <v>880.58152433625776</v>
      </c>
      <c r="AZ44" s="873">
        <f t="shared" si="167"/>
        <v>1312.8553329446609</v>
      </c>
      <c r="BA44" s="879">
        <f t="shared" si="249"/>
        <v>8079.1135969605675</v>
      </c>
      <c r="BB44" s="883">
        <f t="shared" si="168"/>
        <v>150.15721446208116</v>
      </c>
      <c r="BC44" s="883">
        <f t="shared" si="169"/>
        <v>158.41084174595682</v>
      </c>
      <c r="BD44" s="883">
        <f t="shared" si="170"/>
        <v>190.11327952568587</v>
      </c>
      <c r="BE44" s="883">
        <f t="shared" si="171"/>
        <v>528.04593974163504</v>
      </c>
      <c r="BF44" s="883">
        <f t="shared" si="172"/>
        <v>541.18517755632138</v>
      </c>
      <c r="BG44" s="883">
        <f t="shared" si="173"/>
        <v>784.27512013175033</v>
      </c>
      <c r="BH44" s="883">
        <f t="shared" si="174"/>
        <v>587.2062110367682</v>
      </c>
      <c r="BI44" s="883">
        <f t="shared" si="175"/>
        <v>472.8208377165671</v>
      </c>
      <c r="BJ44" s="883">
        <f t="shared" si="176"/>
        <v>582.62388762077205</v>
      </c>
      <c r="BK44" s="883">
        <f t="shared" si="177"/>
        <v>538.92524522991198</v>
      </c>
      <c r="BL44" s="883">
        <f t="shared" si="178"/>
        <v>1342.3640561360335</v>
      </c>
      <c r="BM44" s="873">
        <f t="shared" si="179"/>
        <v>2080.9769008312087</v>
      </c>
      <c r="BN44" s="879">
        <f t="shared" si="250"/>
        <v>7957.1047117346925</v>
      </c>
      <c r="BO44" s="883">
        <f t="shared" si="180"/>
        <v>92.026484366117259</v>
      </c>
      <c r="BP44" s="883">
        <f t="shared" si="181"/>
        <v>299.87712101475142</v>
      </c>
      <c r="BQ44" s="883">
        <f t="shared" si="182"/>
        <v>153.08924705151441</v>
      </c>
      <c r="BR44" s="883">
        <f t="shared" si="183"/>
        <v>292.15636042856312</v>
      </c>
      <c r="BS44" s="883">
        <f t="shared" si="184"/>
        <v>288.83543734327975</v>
      </c>
      <c r="BT44" s="883">
        <f t="shared" si="185"/>
        <v>636.19747350362638</v>
      </c>
      <c r="BU44" s="883">
        <f t="shared" si="186"/>
        <v>655.14531439088694</v>
      </c>
      <c r="BV44" s="883">
        <f t="shared" si="187"/>
        <v>880.18824838821627</v>
      </c>
      <c r="BW44" s="883">
        <f t="shared" si="188"/>
        <v>821.58983857022929</v>
      </c>
      <c r="BX44" s="883">
        <f t="shared" si="189"/>
        <v>1412.7427016689783</v>
      </c>
      <c r="BY44" s="883">
        <f t="shared" si="190"/>
        <v>725.47316803394153</v>
      </c>
      <c r="BZ44" s="873">
        <f t="shared" si="191"/>
        <v>1564.9625115515607</v>
      </c>
      <c r="CA44" s="879">
        <f t="shared" si="251"/>
        <v>7822.2839063116662</v>
      </c>
      <c r="CB44" s="883">
        <f t="shared" si="192"/>
        <v>44.481046659234892</v>
      </c>
      <c r="CC44" s="883">
        <f t="shared" si="193"/>
        <v>491.95291780196425</v>
      </c>
      <c r="CD44" s="883">
        <f t="shared" si="194"/>
        <v>172.65647952658136</v>
      </c>
      <c r="CE44" s="883">
        <f t="shared" si="195"/>
        <v>679.25937658570774</v>
      </c>
      <c r="CF44" s="883">
        <f t="shared" si="196"/>
        <v>972.7204519285018</v>
      </c>
      <c r="CG44" s="883">
        <f t="shared" si="197"/>
        <v>838.08733724866931</v>
      </c>
      <c r="CH44" s="883">
        <f t="shared" si="198"/>
        <v>899.45271239382475</v>
      </c>
      <c r="CI44" s="883">
        <f t="shared" si="199"/>
        <v>639.86144530545482</v>
      </c>
      <c r="CJ44" s="883">
        <f t="shared" si="200"/>
        <v>714.54249324626721</v>
      </c>
      <c r="CK44" s="883">
        <f t="shared" si="201"/>
        <v>797.53101552538078</v>
      </c>
      <c r="CL44" s="883">
        <f t="shared" si="202"/>
        <v>850.60572677848313</v>
      </c>
      <c r="CM44" s="873">
        <f t="shared" si="203"/>
        <v>847.85011820018826</v>
      </c>
      <c r="CN44" s="879">
        <f t="shared" si="252"/>
        <v>7949.0011212002601</v>
      </c>
      <c r="CO44" s="883">
        <f t="shared" si="204"/>
        <v>39.537764524296882</v>
      </c>
      <c r="CP44" s="883">
        <f t="shared" si="205"/>
        <v>493.32327596259319</v>
      </c>
      <c r="CQ44" s="883">
        <f t="shared" si="206"/>
        <v>591.99935768239664</v>
      </c>
      <c r="CR44" s="883">
        <f t="shared" si="207"/>
        <v>575.2012474651616</v>
      </c>
      <c r="CS44" s="883">
        <f t="shared" si="208"/>
        <v>815.9561591024368</v>
      </c>
      <c r="CT44" s="883">
        <f t="shared" si="209"/>
        <v>767.26420432658983</v>
      </c>
      <c r="CU44" s="883">
        <f t="shared" si="210"/>
        <v>748.62046819766135</v>
      </c>
      <c r="CV44" s="883">
        <f t="shared" si="211"/>
        <v>982.90079386716639</v>
      </c>
      <c r="CW44" s="883">
        <f t="shared" si="212"/>
        <v>865.38224396793521</v>
      </c>
      <c r="CX44" s="883">
        <f t="shared" si="213"/>
        <v>693.70536362446467</v>
      </c>
      <c r="CY44" s="883">
        <f t="shared" si="214"/>
        <v>761.26281386088942</v>
      </c>
      <c r="CZ44" s="873">
        <f t="shared" si="215"/>
        <v>856.47269513325648</v>
      </c>
      <c r="DA44" s="879">
        <f t="shared" si="253"/>
        <v>8191.6263877148494</v>
      </c>
      <c r="DB44" s="883">
        <f t="shared" si="216"/>
        <v>25.823023656759293</v>
      </c>
      <c r="DC44" s="883">
        <f t="shared" si="217"/>
        <v>241.09821849782969</v>
      </c>
      <c r="DD44" s="883">
        <f t="shared" si="218"/>
        <v>235.8098361431488</v>
      </c>
      <c r="DE44" s="883">
        <f t="shared" si="219"/>
        <v>262.08449662594336</v>
      </c>
      <c r="DF44" s="883">
        <f t="shared" si="220"/>
        <v>1083.3792021663548</v>
      </c>
      <c r="DG44" s="883">
        <f t="shared" si="221"/>
        <v>1235.9092851155781</v>
      </c>
      <c r="DH44" s="883">
        <f t="shared" si="222"/>
        <v>904.75576002798016</v>
      </c>
      <c r="DI44" s="883">
        <f t="shared" si="223"/>
        <v>964.53203504975363</v>
      </c>
      <c r="DJ44" s="883">
        <f t="shared" si="224"/>
        <v>876.67197019664582</v>
      </c>
      <c r="DK44" s="883">
        <f t="shared" si="225"/>
        <v>1270.6864132024668</v>
      </c>
      <c r="DL44" s="883">
        <f t="shared" si="226"/>
        <v>1140.0163954518314</v>
      </c>
      <c r="DM44" s="873">
        <f t="shared" si="227"/>
        <v>1646.359500986144</v>
      </c>
      <c r="DN44" s="879">
        <f t="shared" si="254"/>
        <v>9887.1261371204364</v>
      </c>
      <c r="DO44" s="883">
        <f t="shared" si="228"/>
        <v>39.869245897889648</v>
      </c>
      <c r="DP44" s="883">
        <f t="shared" si="229"/>
        <v>252.60943957351381</v>
      </c>
      <c r="DQ44" s="883">
        <f t="shared" si="230"/>
        <v>279.80204940678385</v>
      </c>
      <c r="DR44" s="883">
        <f t="shared" si="231"/>
        <v>880.2184970626472</v>
      </c>
      <c r="DS44" s="883">
        <f t="shared" si="232"/>
        <v>907.96395516340772</v>
      </c>
      <c r="DT44" s="883">
        <f t="shared" si="233"/>
        <v>1404.9002098436338</v>
      </c>
      <c r="DU44" s="883">
        <f t="shared" si="234"/>
        <v>1349.5034297497762</v>
      </c>
      <c r="DV44" s="883">
        <f t="shared" si="235"/>
        <v>1264.8350271159256</v>
      </c>
      <c r="DW44" s="883">
        <f t="shared" si="236"/>
        <v>1468.6578981467389</v>
      </c>
      <c r="DX44" s="883">
        <f t="shared" si="237"/>
        <v>773.61522370849423</v>
      </c>
      <c r="DY44" s="883">
        <f t="shared" si="238"/>
        <v>1247.1857447471966</v>
      </c>
      <c r="DZ44" s="873">
        <f t="shared" si="239"/>
        <v>1201.1224205868937</v>
      </c>
      <c r="EA44" s="879">
        <f t="shared" si="255"/>
        <v>11070.283141002899</v>
      </c>
      <c r="EB44" s="883">
        <f t="shared" si="240"/>
        <v>44.733187146083331</v>
      </c>
      <c r="EC44" s="883">
        <f t="shared" si="241"/>
        <v>570.94084302878605</v>
      </c>
      <c r="ED44" s="883">
        <f t="shared" si="242"/>
        <v>574.10406229662021</v>
      </c>
      <c r="EE44" s="883">
        <f t="shared" si="243"/>
        <v>1449.7209427933037</v>
      </c>
      <c r="EF44" s="883">
        <f t="shared" si="244"/>
        <v>1327.4539319995126</v>
      </c>
      <c r="EG44" s="883">
        <f t="shared" si="256"/>
        <v>1248.524880237595</v>
      </c>
      <c r="EH44" s="883">
        <f t="shared" si="257"/>
        <v>988.71500574604113</v>
      </c>
      <c r="EI44" s="883">
        <f t="shared" si="275"/>
        <v>1215.6227783211987</v>
      </c>
      <c r="EJ44" s="883">
        <f t="shared" si="258"/>
        <v>1206.1215092336161</v>
      </c>
      <c r="EK44" s="883">
        <f t="shared" si="259"/>
        <v>1060.9692122304264</v>
      </c>
      <c r="EL44" s="883">
        <f t="shared" si="260"/>
        <v>1014.5645522833545</v>
      </c>
      <c r="EM44" s="873">
        <f t="shared" si="261"/>
        <v>1060.5682263871897</v>
      </c>
      <c r="EN44" s="879">
        <f t="shared" si="262"/>
        <v>11762.039131703728</v>
      </c>
      <c r="EO44" s="883">
        <f t="shared" si="263"/>
        <v>42.886185769705541</v>
      </c>
      <c r="EP44" s="883">
        <f t="shared" si="264"/>
        <v>412.2716112175691</v>
      </c>
      <c r="EQ44" s="883">
        <f t="shared" si="265"/>
        <v>692.30273317611022</v>
      </c>
      <c r="ER44" s="883">
        <f t="shared" si="266"/>
        <v>1034.1432769630576</v>
      </c>
      <c r="ES44" s="883">
        <f t="shared" si="267"/>
        <v>770.60585371506352</v>
      </c>
      <c r="ET44" s="883">
        <f t="shared" si="268"/>
        <v>846.25151291976135</v>
      </c>
      <c r="EU44" s="883">
        <f t="shared" si="269"/>
        <v>1714.043937297293</v>
      </c>
      <c r="EV44" s="973">
        <f t="shared" si="270"/>
        <v>2040.4093710103564</v>
      </c>
      <c r="EW44" s="883"/>
      <c r="EX44" s="883"/>
      <c r="EY44" s="883"/>
      <c r="EZ44" s="873"/>
      <c r="FA44" s="879">
        <f t="shared" si="271"/>
        <v>7552.9144820689162</v>
      </c>
      <c r="FC44" s="843">
        <f t="shared" si="272"/>
        <v>67.848892551043335</v>
      </c>
      <c r="FD44" s="844">
        <f t="shared" si="276"/>
        <v>1.7938296193436232</v>
      </c>
      <c r="FE44" s="845">
        <f>SUMIFS($B44:$FA44,UCA.GGL.DATE,"&gt;="&amp;DATE(YEAR($FC$5)-1,1,1),UCA.GGL.DATE,"&lt;="&amp;DATE(YEAR($FC$5)-1,MONTH($FC$5),1))</f>
        <v>7419.8156315691413</v>
      </c>
      <c r="FF44" s="846">
        <f t="shared" si="245"/>
        <v>7552.9144820689162</v>
      </c>
      <c r="FH44" s="954">
        <f t="shared" si="274"/>
        <v>824.78659268915771</v>
      </c>
    </row>
    <row r="45" spans="1:164" ht="15" customHeight="1" x14ac:dyDescent="0.25">
      <c r="A45" s="403" t="s">
        <v>373</v>
      </c>
      <c r="B45" s="883">
        <f t="shared" si="120"/>
        <v>2150.9757239742698</v>
      </c>
      <c r="C45" s="883">
        <f t="shared" si="121"/>
        <v>6964.8647081799118</v>
      </c>
      <c r="D45" s="883">
        <f t="shared" si="122"/>
        <v>8673.6573171178552</v>
      </c>
      <c r="E45" s="883">
        <f t="shared" si="123"/>
        <v>8104.7083408063509</v>
      </c>
      <c r="F45" s="883">
        <f t="shared" si="124"/>
        <v>8489.3981664094408</v>
      </c>
      <c r="G45" s="883">
        <f t="shared" si="125"/>
        <v>7297.5521918872437</v>
      </c>
      <c r="H45" s="883">
        <f t="shared" si="126"/>
        <v>7679.8860073470587</v>
      </c>
      <c r="I45" s="883">
        <f t="shared" si="127"/>
        <v>6296.9966992427362</v>
      </c>
      <c r="J45" s="883">
        <f t="shared" si="128"/>
        <v>6538.6915541413928</v>
      </c>
      <c r="K45" s="883">
        <f t="shared" si="129"/>
        <v>6886.8131159474497</v>
      </c>
      <c r="L45" s="883">
        <f t="shared" si="130"/>
        <v>7470.2814114524745</v>
      </c>
      <c r="M45" s="873">
        <f t="shared" si="131"/>
        <v>9817.7129410188682</v>
      </c>
      <c r="N45" s="879">
        <f t="shared" si="246"/>
        <v>86371.538177525043</v>
      </c>
      <c r="O45" s="883">
        <f t="shared" si="132"/>
        <v>4850.1859018296</v>
      </c>
      <c r="P45" s="883">
        <f t="shared" si="133"/>
        <v>9126.5780578223421</v>
      </c>
      <c r="Q45" s="883">
        <f t="shared" si="134"/>
        <v>7950.709634733691</v>
      </c>
      <c r="R45" s="883">
        <f t="shared" si="135"/>
        <v>7786.6368315019454</v>
      </c>
      <c r="S45" s="883">
        <f t="shared" si="136"/>
        <v>8369.2378633713906</v>
      </c>
      <c r="T45" s="883">
        <f t="shared" si="137"/>
        <v>7798.089751771834</v>
      </c>
      <c r="U45" s="883">
        <f t="shared" si="138"/>
        <v>8503.041318545258</v>
      </c>
      <c r="V45" s="883">
        <f t="shared" si="139"/>
        <v>7419.205338258168</v>
      </c>
      <c r="W45" s="883">
        <f t="shared" si="140"/>
        <v>7388.8946309424464</v>
      </c>
      <c r="X45" s="883">
        <f t="shared" si="141"/>
        <v>6550.0728891362787</v>
      </c>
      <c r="Y45" s="883">
        <f t="shared" si="142"/>
        <v>7481.8485404016337</v>
      </c>
      <c r="Z45" s="873">
        <f t="shared" si="143"/>
        <v>9052.8712156044185</v>
      </c>
      <c r="AA45" s="879">
        <f t="shared" si="247"/>
        <v>92277.371973919013</v>
      </c>
      <c r="AB45" s="883">
        <f t="shared" si="144"/>
        <v>4648.6135327610637</v>
      </c>
      <c r="AC45" s="883">
        <f t="shared" si="145"/>
        <v>6399.2445867422184</v>
      </c>
      <c r="AD45" s="883">
        <f t="shared" si="146"/>
        <v>8232.7706001828556</v>
      </c>
      <c r="AE45" s="883">
        <f t="shared" si="147"/>
        <v>6985.0688897306236</v>
      </c>
      <c r="AF45" s="883">
        <f t="shared" si="148"/>
        <v>9342.5970810298877</v>
      </c>
      <c r="AG45" s="883">
        <f t="shared" si="149"/>
        <v>9348.1667802748798</v>
      </c>
      <c r="AH45" s="883">
        <f t="shared" si="150"/>
        <v>8443.836118529327</v>
      </c>
      <c r="AI45" s="883">
        <f t="shared" si="151"/>
        <v>8329.5607401817615</v>
      </c>
      <c r="AJ45" s="883">
        <f t="shared" si="152"/>
        <v>5781.0123724499736</v>
      </c>
      <c r="AK45" s="883">
        <f t="shared" si="153"/>
        <v>6901.3778608019702</v>
      </c>
      <c r="AL45" s="883">
        <f t="shared" si="154"/>
        <v>7945.4862280549514</v>
      </c>
      <c r="AM45" s="873">
        <f t="shared" si="155"/>
        <v>10932.18992589425</v>
      </c>
      <c r="AN45" s="879">
        <f t="shared" si="248"/>
        <v>93289.924716633774</v>
      </c>
      <c r="AO45" s="883">
        <f t="shared" si="156"/>
        <v>3812.5880011224735</v>
      </c>
      <c r="AP45" s="883">
        <f t="shared" si="157"/>
        <v>6683.3965928168354</v>
      </c>
      <c r="AQ45" s="883">
        <f t="shared" si="158"/>
        <v>8091.4467449954063</v>
      </c>
      <c r="AR45" s="883">
        <f t="shared" si="159"/>
        <v>7833.7233300748658</v>
      </c>
      <c r="AS45" s="883">
        <f t="shared" si="160"/>
        <v>9658.0146136371168</v>
      </c>
      <c r="AT45" s="883">
        <f t="shared" si="161"/>
        <v>8359.7677789723966</v>
      </c>
      <c r="AU45" s="883">
        <f t="shared" si="162"/>
        <v>7892.6404005292852</v>
      </c>
      <c r="AV45" s="883">
        <f t="shared" si="163"/>
        <v>7343.8931536508053</v>
      </c>
      <c r="AW45" s="883">
        <f t="shared" si="164"/>
        <v>5714.6968773977305</v>
      </c>
      <c r="AX45" s="883">
        <f t="shared" si="165"/>
        <v>7541.332401155285</v>
      </c>
      <c r="AY45" s="883">
        <f t="shared" si="166"/>
        <v>8508.9900104402441</v>
      </c>
      <c r="AZ45" s="873">
        <f t="shared" si="167"/>
        <v>8871.1208016008113</v>
      </c>
      <c r="BA45" s="879">
        <f t="shared" si="249"/>
        <v>90311.610706393258</v>
      </c>
      <c r="BB45" s="883">
        <f t="shared" si="168"/>
        <v>1534.0004632370355</v>
      </c>
      <c r="BC45" s="883">
        <f t="shared" si="169"/>
        <v>7422.0759719372309</v>
      </c>
      <c r="BD45" s="883">
        <f t="shared" si="170"/>
        <v>9015.0039680966784</v>
      </c>
      <c r="BE45" s="883">
        <f t="shared" si="171"/>
        <v>8923.7671163999185</v>
      </c>
      <c r="BF45" s="883">
        <f t="shared" si="172"/>
        <v>10368.18861403269</v>
      </c>
      <c r="BG45" s="883">
        <f t="shared" si="173"/>
        <v>9311.6113596442556</v>
      </c>
      <c r="BH45" s="883">
        <f t="shared" si="174"/>
        <v>10324.114888121567</v>
      </c>
      <c r="BI45" s="883">
        <f t="shared" si="175"/>
        <v>7922.5303307978902</v>
      </c>
      <c r="BJ45" s="883">
        <f t="shared" si="176"/>
        <v>7758.3531765634798</v>
      </c>
      <c r="BK45" s="883">
        <f t="shared" si="177"/>
        <v>7497.0335338362111</v>
      </c>
      <c r="BL45" s="883">
        <f t="shared" si="178"/>
        <v>8065.2839879263702</v>
      </c>
      <c r="BM45" s="873">
        <f t="shared" si="179"/>
        <v>9617.7684907677922</v>
      </c>
      <c r="BN45" s="879">
        <f t="shared" si="250"/>
        <v>97759.731901361098</v>
      </c>
      <c r="BO45" s="883">
        <f t="shared" si="180"/>
        <v>6511.0467510162662</v>
      </c>
      <c r="BP45" s="883">
        <f t="shared" si="181"/>
        <v>7227.4531931205074</v>
      </c>
      <c r="BQ45" s="883">
        <f t="shared" si="182"/>
        <v>11067.048213979659</v>
      </c>
      <c r="BR45" s="883">
        <f t="shared" si="183"/>
        <v>7120.7969256567385</v>
      </c>
      <c r="BS45" s="883">
        <f t="shared" si="184"/>
        <v>6514.5395560031666</v>
      </c>
      <c r="BT45" s="883">
        <f t="shared" si="185"/>
        <v>6769.6352520385881</v>
      </c>
      <c r="BU45" s="883">
        <f t="shared" si="186"/>
        <v>13865.30688308388</v>
      </c>
      <c r="BV45" s="883">
        <f t="shared" si="187"/>
        <v>9415.347020637586</v>
      </c>
      <c r="BW45" s="883">
        <f t="shared" si="188"/>
        <v>12468.633152765316</v>
      </c>
      <c r="BX45" s="883">
        <f t="shared" si="189"/>
        <v>16679.103902207891</v>
      </c>
      <c r="BY45" s="883">
        <f t="shared" si="190"/>
        <v>16929.745100102926</v>
      </c>
      <c r="BZ45" s="873">
        <f t="shared" si="191"/>
        <v>26198.355068650792</v>
      </c>
      <c r="CA45" s="879">
        <f t="shared" si="251"/>
        <v>140767.0110192633</v>
      </c>
      <c r="CB45" s="883">
        <f t="shared" si="192"/>
        <v>4394.1882457304773</v>
      </c>
      <c r="CC45" s="883">
        <f t="shared" si="193"/>
        <v>6844.8263995409106</v>
      </c>
      <c r="CD45" s="883">
        <f t="shared" si="194"/>
        <v>13201.528572173916</v>
      </c>
      <c r="CE45" s="883">
        <f t="shared" si="195"/>
        <v>10903.653720597205</v>
      </c>
      <c r="CF45" s="883">
        <f t="shared" si="196"/>
        <v>11907.14053208907</v>
      </c>
      <c r="CG45" s="883">
        <f t="shared" si="197"/>
        <v>11105.155684447276</v>
      </c>
      <c r="CH45" s="883">
        <f t="shared" si="198"/>
        <v>10121.639410939433</v>
      </c>
      <c r="CI45" s="883">
        <f t="shared" si="199"/>
        <v>11954.071360054862</v>
      </c>
      <c r="CJ45" s="883">
        <f t="shared" si="200"/>
        <v>12253.008421879678</v>
      </c>
      <c r="CK45" s="883">
        <f t="shared" si="201"/>
        <v>9685.226976566315</v>
      </c>
      <c r="CL45" s="883">
        <f t="shared" si="202"/>
        <v>12247.950941141424</v>
      </c>
      <c r="CM45" s="873">
        <f t="shared" si="203"/>
        <v>21300.240591774182</v>
      </c>
      <c r="CN45" s="879">
        <f t="shared" si="252"/>
        <v>135918.63085693476</v>
      </c>
      <c r="CO45" s="883">
        <f t="shared" si="204"/>
        <v>4701.8054489942087</v>
      </c>
      <c r="CP45" s="883">
        <f t="shared" si="205"/>
        <v>8937.6700215954861</v>
      </c>
      <c r="CQ45" s="883">
        <f t="shared" si="206"/>
        <v>13370.41512276761</v>
      </c>
      <c r="CR45" s="883">
        <f t="shared" si="207"/>
        <v>9597.2359164440713</v>
      </c>
      <c r="CS45" s="883">
        <f t="shared" si="208"/>
        <v>12215.234590926708</v>
      </c>
      <c r="CT45" s="883">
        <f t="shared" si="209"/>
        <v>11961.624510285792</v>
      </c>
      <c r="CU45" s="883">
        <f t="shared" si="210"/>
        <v>12940.180154407757</v>
      </c>
      <c r="CV45" s="883">
        <f t="shared" si="211"/>
        <v>12097.795459194407</v>
      </c>
      <c r="CW45" s="883">
        <f t="shared" si="212"/>
        <v>11400.678449730995</v>
      </c>
      <c r="CX45" s="883">
        <f t="shared" si="213"/>
        <v>10843.020090879305</v>
      </c>
      <c r="CY45" s="883">
        <f t="shared" si="214"/>
        <v>10863.410076614548</v>
      </c>
      <c r="CZ45" s="873">
        <f t="shared" si="215"/>
        <v>16298.27538740188</v>
      </c>
      <c r="DA45" s="879">
        <f t="shared" si="253"/>
        <v>135227.34522924275</v>
      </c>
      <c r="DB45" s="883">
        <f t="shared" si="216"/>
        <v>3195.5991775239627</v>
      </c>
      <c r="DC45" s="883">
        <f t="shared" si="217"/>
        <v>9066.9315471004211</v>
      </c>
      <c r="DD45" s="883">
        <f t="shared" si="218"/>
        <v>13860.763456825967</v>
      </c>
      <c r="DE45" s="883">
        <f t="shared" si="219"/>
        <v>9183.3028225643047</v>
      </c>
      <c r="DF45" s="883">
        <f t="shared" si="220"/>
        <v>12570.8653907637</v>
      </c>
      <c r="DG45" s="883">
        <f t="shared" si="221"/>
        <v>12600.65172257345</v>
      </c>
      <c r="DH45" s="883">
        <f t="shared" si="222"/>
        <v>11131.982272940599</v>
      </c>
      <c r="DI45" s="883">
        <f t="shared" si="223"/>
        <v>10669.068047675493</v>
      </c>
      <c r="DJ45" s="883">
        <f t="shared" si="224"/>
        <v>10792.742781141695</v>
      </c>
      <c r="DK45" s="883">
        <f t="shared" si="225"/>
        <v>11246.574173121877</v>
      </c>
      <c r="DL45" s="883">
        <f t="shared" si="226"/>
        <v>12412.622067889986</v>
      </c>
      <c r="DM45" s="873">
        <f t="shared" si="227"/>
        <v>17037.257299651421</v>
      </c>
      <c r="DN45" s="879">
        <f t="shared" si="254"/>
        <v>133768.36075977288</v>
      </c>
      <c r="DO45" s="883">
        <f t="shared" si="228"/>
        <v>2253.7515145421335</v>
      </c>
      <c r="DP45" s="883">
        <f t="shared" si="229"/>
        <v>8685.5734436319162</v>
      </c>
      <c r="DQ45" s="883">
        <f t="shared" si="230"/>
        <v>10427.813051739397</v>
      </c>
      <c r="DR45" s="883">
        <f t="shared" si="231"/>
        <v>10632.186715316309</v>
      </c>
      <c r="DS45" s="883">
        <f t="shared" si="232"/>
        <v>11892.81173182497</v>
      </c>
      <c r="DT45" s="883">
        <f t="shared" si="233"/>
        <v>10436.641918155759</v>
      </c>
      <c r="DU45" s="883">
        <f t="shared" si="234"/>
        <v>9687.1071238340064</v>
      </c>
      <c r="DV45" s="883">
        <f t="shared" si="235"/>
        <v>11265.233362372146</v>
      </c>
      <c r="DW45" s="883">
        <f t="shared" si="236"/>
        <v>9961.2588819084413</v>
      </c>
      <c r="DX45" s="883">
        <f t="shared" si="237"/>
        <v>10466.756478221003</v>
      </c>
      <c r="DY45" s="883">
        <f t="shared" si="238"/>
        <v>11188.318755007924</v>
      </c>
      <c r="DZ45" s="873">
        <f t="shared" si="239"/>
        <v>17326.889243954654</v>
      </c>
      <c r="EA45" s="879">
        <f t="shared" si="255"/>
        <v>124224.34222050867</v>
      </c>
      <c r="EB45" s="883">
        <f t="shared" si="240"/>
        <v>3223.0261338753039</v>
      </c>
      <c r="EC45" s="883">
        <f t="shared" si="241"/>
        <v>10077.691889121006</v>
      </c>
      <c r="ED45" s="883">
        <f t="shared" si="242"/>
        <v>9912.0145914741461</v>
      </c>
      <c r="EE45" s="883">
        <f t="shared" si="243"/>
        <v>10774.401099008932</v>
      </c>
      <c r="EF45" s="883">
        <f t="shared" si="244"/>
        <v>11931.072008616253</v>
      </c>
      <c r="EG45" s="883">
        <f t="shared" si="256"/>
        <v>10338.933063027574</v>
      </c>
      <c r="EH45" s="883">
        <f t="shared" si="257"/>
        <v>11132.25971689463</v>
      </c>
      <c r="EI45" s="883">
        <f t="shared" si="275"/>
        <v>10539.995773360515</v>
      </c>
      <c r="EJ45" s="883">
        <f t="shared" si="258"/>
        <v>10002.642653657926</v>
      </c>
      <c r="EK45" s="883">
        <f t="shared" si="259"/>
        <v>10319.734372996105</v>
      </c>
      <c r="EL45" s="883">
        <f t="shared" si="260"/>
        <v>7968.1108366658455</v>
      </c>
      <c r="EM45" s="873">
        <f t="shared" si="261"/>
        <v>12348.162287090288</v>
      </c>
      <c r="EN45" s="879">
        <f t="shared" si="262"/>
        <v>118568.04442578851</v>
      </c>
      <c r="EO45" s="883">
        <f>+EO11/$EO$37</f>
        <v>3220.8625158837831</v>
      </c>
      <c r="EP45" s="883">
        <f t="shared" si="264"/>
        <v>9915.2687635610873</v>
      </c>
      <c r="EQ45" s="883">
        <f>+EQ11/$EQ$37</f>
        <v>11644.339962019136</v>
      </c>
      <c r="ER45" s="883">
        <f>+ER11/$ER$37</f>
        <v>9853.2789395607906</v>
      </c>
      <c r="ES45" s="883">
        <f t="shared" si="267"/>
        <v>12788.868457792612</v>
      </c>
      <c r="ET45" s="883">
        <f t="shared" si="268"/>
        <v>12165.130614610329</v>
      </c>
      <c r="EU45" s="883">
        <f t="shared" si="269"/>
        <v>11828.066306358742</v>
      </c>
      <c r="EV45" s="973">
        <f t="shared" si="270"/>
        <v>11633.820390897992</v>
      </c>
      <c r="EW45" s="883"/>
      <c r="EX45" s="883"/>
      <c r="EY45" s="883"/>
      <c r="EZ45" s="873"/>
      <c r="FA45" s="879">
        <f t="shared" si="271"/>
        <v>83049.635950684475</v>
      </c>
      <c r="FC45" s="843">
        <f t="shared" si="272"/>
        <v>10.377846832748094</v>
      </c>
      <c r="FD45" s="844">
        <f t="shared" si="276"/>
        <v>6.5703599045217498</v>
      </c>
      <c r="FE45" s="845">
        <f t="shared" si="273"/>
        <v>77929.394275378349</v>
      </c>
      <c r="FF45" s="846">
        <f t="shared" si="245"/>
        <v>83049.635950684475</v>
      </c>
      <c r="FH45" s="954">
        <f>EV45-EI45</f>
        <v>1093.824617537477</v>
      </c>
    </row>
    <row r="46" spans="1:164" ht="15" customHeight="1" x14ac:dyDescent="0.25">
      <c r="A46" s="403" t="s">
        <v>374</v>
      </c>
      <c r="B46" s="883">
        <f t="shared" si="120"/>
        <v>0</v>
      </c>
      <c r="C46" s="883">
        <f t="shared" si="121"/>
        <v>85.405585914232233</v>
      </c>
      <c r="D46" s="883">
        <f t="shared" si="122"/>
        <v>115.86649993280979</v>
      </c>
      <c r="E46" s="883">
        <f t="shared" si="123"/>
        <v>106.89570400757682</v>
      </c>
      <c r="F46" s="883">
        <f t="shared" si="124"/>
        <v>55.461089554621154</v>
      </c>
      <c r="G46" s="883">
        <f t="shared" si="125"/>
        <v>299.42612886228562</v>
      </c>
      <c r="H46" s="883">
        <f t="shared" si="126"/>
        <v>87.132464653420058</v>
      </c>
      <c r="I46" s="883">
        <f t="shared" si="127"/>
        <v>195.68659633680571</v>
      </c>
      <c r="J46" s="883">
        <f t="shared" si="128"/>
        <v>63.179441093566425</v>
      </c>
      <c r="K46" s="883">
        <f t="shared" si="129"/>
        <v>404.39123373996063</v>
      </c>
      <c r="L46" s="883">
        <f t="shared" si="130"/>
        <v>397.71805506668176</v>
      </c>
      <c r="M46" s="873">
        <f t="shared" si="131"/>
        <v>512.83183283859512</v>
      </c>
      <c r="N46" s="879">
        <f t="shared" si="246"/>
        <v>2323.9946320005552</v>
      </c>
      <c r="O46" s="883">
        <f t="shared" si="132"/>
        <v>18.784608450153367</v>
      </c>
      <c r="P46" s="883">
        <f t="shared" si="133"/>
        <v>50.257313213947313</v>
      </c>
      <c r="Q46" s="883">
        <f t="shared" si="134"/>
        <v>89.476240848545714</v>
      </c>
      <c r="R46" s="883">
        <f t="shared" si="135"/>
        <v>408.56730981071104</v>
      </c>
      <c r="S46" s="883">
        <f t="shared" si="136"/>
        <v>69.191850057208583</v>
      </c>
      <c r="T46" s="883">
        <f t="shared" si="137"/>
        <v>98.070488494081744</v>
      </c>
      <c r="U46" s="883">
        <f t="shared" si="138"/>
        <v>256.85806672050455</v>
      </c>
      <c r="V46" s="883">
        <f t="shared" si="139"/>
        <v>210.81490741810347</v>
      </c>
      <c r="W46" s="883">
        <f t="shared" si="140"/>
        <v>257.61480781207928</v>
      </c>
      <c r="X46" s="883">
        <f t="shared" si="141"/>
        <v>49.254195687107817</v>
      </c>
      <c r="Y46" s="883">
        <f t="shared" si="142"/>
        <v>187.65094801046519</v>
      </c>
      <c r="Z46" s="873">
        <f t="shared" si="143"/>
        <v>382.83467976569409</v>
      </c>
      <c r="AA46" s="879">
        <f t="shared" si="247"/>
        <v>2079.3754162886021</v>
      </c>
      <c r="AB46" s="883">
        <f t="shared" si="144"/>
        <v>0</v>
      </c>
      <c r="AC46" s="883">
        <f t="shared" si="145"/>
        <v>34.146741096376509</v>
      </c>
      <c r="AD46" s="883">
        <f t="shared" si="146"/>
        <v>109.01482108439708</v>
      </c>
      <c r="AE46" s="883">
        <f t="shared" si="147"/>
        <v>325.02070600764279</v>
      </c>
      <c r="AF46" s="883">
        <f t="shared" si="148"/>
        <v>100.37262283684915</v>
      </c>
      <c r="AG46" s="883">
        <f t="shared" si="149"/>
        <v>61.477305711672315</v>
      </c>
      <c r="AH46" s="883">
        <f t="shared" si="150"/>
        <v>12.270919303727009</v>
      </c>
      <c r="AI46" s="883">
        <f t="shared" si="151"/>
        <v>210.08533157211468</v>
      </c>
      <c r="AJ46" s="883">
        <f t="shared" si="152"/>
        <v>175.70376271557419</v>
      </c>
      <c r="AK46" s="883">
        <f t="shared" si="153"/>
        <v>236.33868640040157</v>
      </c>
      <c r="AL46" s="883">
        <f t="shared" si="154"/>
        <v>249.80810857855639</v>
      </c>
      <c r="AM46" s="873">
        <f t="shared" si="155"/>
        <v>1841.0136536155819</v>
      </c>
      <c r="AN46" s="879">
        <f t="shared" si="248"/>
        <v>3355.2526589228937</v>
      </c>
      <c r="AO46" s="883">
        <f t="shared" si="156"/>
        <v>35.994977351987096</v>
      </c>
      <c r="AP46" s="883">
        <f t="shared" si="157"/>
        <v>46.676778611055582</v>
      </c>
      <c r="AQ46" s="883">
        <f t="shared" si="158"/>
        <v>52.880602237009633</v>
      </c>
      <c r="AR46" s="883">
        <f t="shared" si="159"/>
        <v>215.39697838243671</v>
      </c>
      <c r="AS46" s="883">
        <f t="shared" si="160"/>
        <v>191.02821704134456</v>
      </c>
      <c r="AT46" s="883">
        <f t="shared" si="161"/>
        <v>170.43286694313767</v>
      </c>
      <c r="AU46" s="883">
        <f t="shared" si="162"/>
        <v>95.194762706653847</v>
      </c>
      <c r="AV46" s="883">
        <f t="shared" si="163"/>
        <v>53.211475850044479</v>
      </c>
      <c r="AW46" s="883">
        <f t="shared" si="164"/>
        <v>80.019919101108243</v>
      </c>
      <c r="AX46" s="883">
        <f t="shared" si="165"/>
        <v>316.28594326481635</v>
      </c>
      <c r="AY46" s="883">
        <f t="shared" si="166"/>
        <v>453.71857032413925</v>
      </c>
      <c r="AZ46" s="873">
        <f t="shared" si="167"/>
        <v>179.1860583384975</v>
      </c>
      <c r="BA46" s="879">
        <f t="shared" si="249"/>
        <v>1890.0271501522309</v>
      </c>
      <c r="BB46" s="883">
        <f t="shared" si="168"/>
        <v>72.611235162414829</v>
      </c>
      <c r="BC46" s="883">
        <f t="shared" si="169"/>
        <v>130.24891432445338</v>
      </c>
      <c r="BD46" s="883">
        <f t="shared" si="170"/>
        <v>136.29444671878215</v>
      </c>
      <c r="BE46" s="883">
        <f t="shared" si="171"/>
        <v>113.00322620626801</v>
      </c>
      <c r="BF46" s="883">
        <f t="shared" si="172"/>
        <v>89.152770562688715</v>
      </c>
      <c r="BG46" s="883">
        <f t="shared" si="173"/>
        <v>32.765271685504231</v>
      </c>
      <c r="BH46" s="883">
        <f t="shared" si="174"/>
        <v>377.787882219153</v>
      </c>
      <c r="BI46" s="883">
        <f t="shared" si="175"/>
        <v>345.57640638990273</v>
      </c>
      <c r="BJ46" s="883">
        <f t="shared" si="176"/>
        <v>215.5291231055362</v>
      </c>
      <c r="BK46" s="883">
        <f t="shared" si="177"/>
        <v>95.839798765113201</v>
      </c>
      <c r="BL46" s="883">
        <f t="shared" si="178"/>
        <v>193.55016623356764</v>
      </c>
      <c r="BM46" s="873">
        <f t="shared" si="179"/>
        <v>609.20148793461863</v>
      </c>
      <c r="BN46" s="879">
        <f t="shared" si="250"/>
        <v>2411.5607293080029</v>
      </c>
      <c r="BO46" s="883">
        <f t="shared" si="180"/>
        <v>89.258770550594932</v>
      </c>
      <c r="BP46" s="883">
        <f t="shared" si="181"/>
        <v>121.60915506588998</v>
      </c>
      <c r="BQ46" s="883">
        <f t="shared" si="182"/>
        <v>72.082380898695121</v>
      </c>
      <c r="BR46" s="883">
        <f t="shared" si="183"/>
        <v>141.27748884573708</v>
      </c>
      <c r="BS46" s="883">
        <f t="shared" si="184"/>
        <v>73.919969746621348</v>
      </c>
      <c r="BT46" s="883">
        <f t="shared" si="185"/>
        <v>50.78599033362282</v>
      </c>
      <c r="BU46" s="883">
        <f t="shared" si="186"/>
        <v>409.89279315383953</v>
      </c>
      <c r="BV46" s="883">
        <f t="shared" si="187"/>
        <v>152.51125049772511</v>
      </c>
      <c r="BW46" s="883">
        <f t="shared" si="188"/>
        <v>151.61508242941889</v>
      </c>
      <c r="BX46" s="883">
        <f t="shared" si="189"/>
        <v>169.33793620778474</v>
      </c>
      <c r="BY46" s="883">
        <f t="shared" si="190"/>
        <v>76.07958316460811</v>
      </c>
      <c r="BZ46" s="873">
        <f t="shared" si="191"/>
        <v>128.32013652201519</v>
      </c>
      <c r="CA46" s="879">
        <f t="shared" si="251"/>
        <v>1636.6905374165528</v>
      </c>
      <c r="CB46" s="883">
        <f t="shared" si="192"/>
        <v>90.310003823295091</v>
      </c>
      <c r="CC46" s="883">
        <f t="shared" si="193"/>
        <v>56.685932915452675</v>
      </c>
      <c r="CD46" s="883">
        <f t="shared" si="194"/>
        <v>113.09668620152036</v>
      </c>
      <c r="CE46" s="883">
        <f t="shared" si="195"/>
        <v>178.18835717139868</v>
      </c>
      <c r="CF46" s="883">
        <f t="shared" si="196"/>
        <v>330.69823056635192</v>
      </c>
      <c r="CG46" s="883">
        <f t="shared" si="197"/>
        <v>95.705453262338125</v>
      </c>
      <c r="CH46" s="883">
        <f t="shared" si="198"/>
        <v>62.507686669651314</v>
      </c>
      <c r="CI46" s="883">
        <f t="shared" si="199"/>
        <v>130.31801330049996</v>
      </c>
      <c r="CJ46" s="883">
        <f t="shared" si="200"/>
        <v>108.38201305370266</v>
      </c>
      <c r="CK46" s="883">
        <f t="shared" si="201"/>
        <v>91.625731557123046</v>
      </c>
      <c r="CL46" s="883">
        <f t="shared" si="202"/>
        <v>129.23034851283077</v>
      </c>
      <c r="CM46" s="873">
        <f t="shared" si="203"/>
        <v>135.24772389649354</v>
      </c>
      <c r="CN46" s="879">
        <f t="shared" si="252"/>
        <v>1521.9961809306583</v>
      </c>
      <c r="CO46" s="883">
        <f t="shared" si="204"/>
        <v>41.450882162569314</v>
      </c>
      <c r="CP46" s="883">
        <f t="shared" si="205"/>
        <v>198.98219764986038</v>
      </c>
      <c r="CQ46" s="883">
        <f t="shared" si="206"/>
        <v>397.79851018870039</v>
      </c>
      <c r="CR46" s="883">
        <f t="shared" si="207"/>
        <v>112.93055775475663</v>
      </c>
      <c r="CS46" s="883">
        <f t="shared" si="208"/>
        <v>126.10231549764933</v>
      </c>
      <c r="CT46" s="883">
        <f t="shared" si="209"/>
        <v>117.28879556584813</v>
      </c>
      <c r="CU46" s="883">
        <f t="shared" si="210"/>
        <v>137.98340076723267</v>
      </c>
      <c r="CV46" s="883">
        <f t="shared" si="211"/>
        <v>94.382522713850221</v>
      </c>
      <c r="CW46" s="883">
        <f t="shared" si="212"/>
        <v>208.72038918093253</v>
      </c>
      <c r="CX46" s="883">
        <f t="shared" si="213"/>
        <v>181.17390940020383</v>
      </c>
      <c r="CY46" s="883">
        <f t="shared" si="214"/>
        <v>166.00746719707871</v>
      </c>
      <c r="CZ46" s="873">
        <f t="shared" si="215"/>
        <v>247.05943128843936</v>
      </c>
      <c r="DA46" s="879">
        <f t="shared" si="253"/>
        <v>2029.8803793671216</v>
      </c>
      <c r="DB46" s="883">
        <f t="shared" si="216"/>
        <v>189.56446911666481</v>
      </c>
      <c r="DC46" s="883">
        <f t="shared" si="217"/>
        <v>160.34201909807121</v>
      </c>
      <c r="DD46" s="883">
        <f t="shared" si="218"/>
        <v>183.214995238672</v>
      </c>
      <c r="DE46" s="883">
        <f t="shared" si="219"/>
        <v>206.90881312574479</v>
      </c>
      <c r="DF46" s="883">
        <f t="shared" si="220"/>
        <v>168.43653381116249</v>
      </c>
      <c r="DG46" s="883">
        <f t="shared" si="221"/>
        <v>102.13177936423997</v>
      </c>
      <c r="DH46" s="883">
        <f t="shared" si="222"/>
        <v>139.45698385775563</v>
      </c>
      <c r="DI46" s="883">
        <f t="shared" si="223"/>
        <v>261.91542864397087</v>
      </c>
      <c r="DJ46" s="883">
        <f t="shared" si="224"/>
        <v>324.48248247538191</v>
      </c>
      <c r="DK46" s="883">
        <f t="shared" si="225"/>
        <v>279.83655841312753</v>
      </c>
      <c r="DL46" s="883">
        <f t="shared" si="226"/>
        <v>390.68298951008575</v>
      </c>
      <c r="DM46" s="873">
        <f t="shared" si="227"/>
        <v>764.50327000809864</v>
      </c>
      <c r="DN46" s="879">
        <f t="shared" si="254"/>
        <v>3171.4763226629757</v>
      </c>
      <c r="DO46" s="883">
        <f t="shared" si="228"/>
        <v>25.630229505786204</v>
      </c>
      <c r="DP46" s="883">
        <f t="shared" si="229"/>
        <v>186.90832972928152</v>
      </c>
      <c r="DQ46" s="883">
        <f t="shared" si="230"/>
        <v>304.47397360297322</v>
      </c>
      <c r="DR46" s="883">
        <f t="shared" si="231"/>
        <v>134.64145270556745</v>
      </c>
      <c r="DS46" s="883">
        <f t="shared" si="232"/>
        <v>211.68980278083163</v>
      </c>
      <c r="DT46" s="883">
        <f t="shared" si="233"/>
        <v>128.99283363833763</v>
      </c>
      <c r="DU46" s="883">
        <f t="shared" si="234"/>
        <v>151.06381676303462</v>
      </c>
      <c r="DV46" s="883">
        <f t="shared" si="235"/>
        <v>148.41028549309053</v>
      </c>
      <c r="DW46" s="883">
        <f t="shared" si="236"/>
        <v>203.57634231736978</v>
      </c>
      <c r="DX46" s="883">
        <f t="shared" si="237"/>
        <v>156.17847135649052</v>
      </c>
      <c r="DY46" s="883">
        <f t="shared" si="238"/>
        <v>262.85977579873651</v>
      </c>
      <c r="DZ46" s="873">
        <f t="shared" si="239"/>
        <v>312.29182935259234</v>
      </c>
      <c r="EA46" s="879">
        <f t="shared" si="255"/>
        <v>2226.7171430440917</v>
      </c>
      <c r="EB46" s="883">
        <f t="shared" si="240"/>
        <v>52.561494896647915</v>
      </c>
      <c r="EC46" s="883">
        <f t="shared" si="241"/>
        <v>127.80591696343303</v>
      </c>
      <c r="ED46" s="883">
        <f t="shared" si="242"/>
        <v>316.11708733979765</v>
      </c>
      <c r="EE46" s="883">
        <f t="shared" si="243"/>
        <v>142.93023379652291</v>
      </c>
      <c r="EF46" s="883">
        <f t="shared" si="244"/>
        <v>152.95538234769759</v>
      </c>
      <c r="EG46" s="883">
        <f t="shared" si="256"/>
        <v>210.10953152408288</v>
      </c>
      <c r="EH46" s="883">
        <f t="shared" si="257"/>
        <v>215.6796228449906</v>
      </c>
      <c r="EI46" s="883">
        <f t="shared" si="275"/>
        <v>245.00068705157159</v>
      </c>
      <c r="EJ46" s="883">
        <f t="shared" si="258"/>
        <v>183.73214207447126</v>
      </c>
      <c r="EK46" s="883">
        <f t="shared" si="259"/>
        <v>222.57709137369176</v>
      </c>
      <c r="EL46" s="883">
        <f t="shared" si="260"/>
        <v>383.97875388211787</v>
      </c>
      <c r="EM46" s="873">
        <f t="shared" si="261"/>
        <v>282.34120401485643</v>
      </c>
      <c r="EN46" s="879">
        <f t="shared" si="262"/>
        <v>2535.7891481098814</v>
      </c>
      <c r="EO46" s="883">
        <f t="shared" si="263"/>
        <v>156.69952492777026</v>
      </c>
      <c r="EP46" s="883">
        <f>+EP12/$EP$37</f>
        <v>117.94790466621845</v>
      </c>
      <c r="EQ46" s="883">
        <f>+EQ12/$EQ$37</f>
        <v>135.47372436574113</v>
      </c>
      <c r="ER46" s="883">
        <f t="shared" si="266"/>
        <v>397.95149190471693</v>
      </c>
      <c r="ES46" s="883">
        <f t="shared" si="267"/>
        <v>127.54855509766568</v>
      </c>
      <c r="ET46" s="883">
        <f t="shared" si="268"/>
        <v>154.29773825792643</v>
      </c>
      <c r="EU46" s="883">
        <f t="shared" si="269"/>
        <v>124.77309352318358</v>
      </c>
      <c r="EV46" s="973">
        <f t="shared" si="270"/>
        <v>161.14056399745175</v>
      </c>
      <c r="EW46" s="883"/>
      <c r="EX46" s="883"/>
      <c r="EY46" s="883"/>
      <c r="EZ46" s="873"/>
      <c r="FA46" s="879">
        <f t="shared" si="271"/>
        <v>1375.832596740674</v>
      </c>
      <c r="FC46" s="843">
        <f t="shared" si="272"/>
        <v>-34.228525667957676</v>
      </c>
      <c r="FD46" s="844">
        <f t="shared" si="276"/>
        <v>-5.9684082810168793</v>
      </c>
      <c r="FE46" s="845">
        <f t="shared" si="273"/>
        <v>1463.159956764744</v>
      </c>
      <c r="FF46" s="846">
        <f t="shared" si="245"/>
        <v>1375.832596740674</v>
      </c>
      <c r="FH46" s="127">
        <f t="shared" si="274"/>
        <v>-83.860123054119839</v>
      </c>
    </row>
    <row r="47" spans="1:164" ht="15" customHeight="1" x14ac:dyDescent="0.25">
      <c r="A47" s="403" t="s">
        <v>286</v>
      </c>
      <c r="B47" s="883">
        <f t="shared" si="120"/>
        <v>40.080292993309378</v>
      </c>
      <c r="C47" s="883">
        <f t="shared" si="121"/>
        <v>82.27143597242555</v>
      </c>
      <c r="D47" s="883">
        <f t="shared" si="122"/>
        <v>44.324768430672201</v>
      </c>
      <c r="E47" s="883">
        <f t="shared" si="123"/>
        <v>121.61322847238813</v>
      </c>
      <c r="F47" s="883">
        <f t="shared" si="124"/>
        <v>71.637240674718996</v>
      </c>
      <c r="G47" s="883">
        <f t="shared" si="125"/>
        <v>35.316928019654206</v>
      </c>
      <c r="H47" s="883">
        <f t="shared" si="126"/>
        <v>90.954063980324435</v>
      </c>
      <c r="I47" s="883">
        <f t="shared" si="127"/>
        <v>129.44249563135008</v>
      </c>
      <c r="J47" s="883">
        <f t="shared" si="128"/>
        <v>35.015111931374165</v>
      </c>
      <c r="K47" s="883">
        <f t="shared" si="129"/>
        <v>122.38155757919861</v>
      </c>
      <c r="L47" s="883">
        <f t="shared" si="130"/>
        <v>24.999420604191425</v>
      </c>
      <c r="M47" s="873">
        <f t="shared" si="131"/>
        <v>80.695597226073048</v>
      </c>
      <c r="N47" s="879">
        <f t="shared" si="246"/>
        <v>878.73214151568015</v>
      </c>
      <c r="O47" s="883">
        <f t="shared" si="132"/>
        <v>40.574754252331275</v>
      </c>
      <c r="P47" s="883">
        <f t="shared" si="133"/>
        <v>111.76626371459925</v>
      </c>
      <c r="Q47" s="883">
        <f t="shared" si="134"/>
        <v>51.448838487913783</v>
      </c>
      <c r="R47" s="883">
        <f t="shared" si="135"/>
        <v>125.25421176678732</v>
      </c>
      <c r="S47" s="883">
        <f t="shared" si="136"/>
        <v>131.68771462500987</v>
      </c>
      <c r="T47" s="883">
        <f t="shared" si="137"/>
        <v>43.834536523869872</v>
      </c>
      <c r="U47" s="883">
        <f t="shared" si="138"/>
        <v>85.371900788607007</v>
      </c>
      <c r="V47" s="883">
        <f t="shared" si="139"/>
        <v>76.928948671869335</v>
      </c>
      <c r="W47" s="883">
        <f t="shared" si="140"/>
        <v>257.61480781207928</v>
      </c>
      <c r="X47" s="883">
        <f t="shared" si="141"/>
        <v>40.432548698372088</v>
      </c>
      <c r="Y47" s="883">
        <f t="shared" si="142"/>
        <v>41.048644877289263</v>
      </c>
      <c r="Z47" s="873">
        <f t="shared" si="143"/>
        <v>84.749661932863589</v>
      </c>
      <c r="AA47" s="879">
        <f t="shared" si="247"/>
        <v>1090.7128321515918</v>
      </c>
      <c r="AB47" s="883">
        <f t="shared" si="144"/>
        <v>34.984861958690978</v>
      </c>
      <c r="AC47" s="883">
        <f t="shared" si="145"/>
        <v>23.248845001788258</v>
      </c>
      <c r="AD47" s="883">
        <f t="shared" si="146"/>
        <v>258.19299730515098</v>
      </c>
      <c r="AE47" s="883">
        <f t="shared" si="147"/>
        <v>133.02838630843786</v>
      </c>
      <c r="AF47" s="883">
        <f t="shared" si="148"/>
        <v>59.934731622003447</v>
      </c>
      <c r="AG47" s="883">
        <f t="shared" si="149"/>
        <v>168.52014389199587</v>
      </c>
      <c r="AH47" s="883">
        <f t="shared" si="150"/>
        <v>43.309126954330623</v>
      </c>
      <c r="AI47" s="883">
        <f t="shared" si="151"/>
        <v>51.625064413625452</v>
      </c>
      <c r="AJ47" s="883">
        <f t="shared" si="152"/>
        <v>45.180967555433362</v>
      </c>
      <c r="AK47" s="883">
        <f t="shared" si="153"/>
        <v>42.512141761047843</v>
      </c>
      <c r="AL47" s="883">
        <f t="shared" si="154"/>
        <v>89.526605386534655</v>
      </c>
      <c r="AM47" s="873">
        <f t="shared" si="155"/>
        <v>65.596022897031304</v>
      </c>
      <c r="AN47" s="879">
        <f t="shared" si="248"/>
        <v>1015.6598950560706</v>
      </c>
      <c r="AO47" s="883">
        <f t="shared" si="156"/>
        <v>19.437287770073034</v>
      </c>
      <c r="AP47" s="883">
        <f t="shared" si="157"/>
        <v>109.15185152123767</v>
      </c>
      <c r="AQ47" s="883">
        <f t="shared" si="158"/>
        <v>130.05769739372639</v>
      </c>
      <c r="AR47" s="883">
        <f t="shared" si="159"/>
        <v>269.06732183320997</v>
      </c>
      <c r="AS47" s="883">
        <f t="shared" si="160"/>
        <v>39.350381787542887</v>
      </c>
      <c r="AT47" s="883">
        <f t="shared" si="161"/>
        <v>144.04786243729629</v>
      </c>
      <c r="AU47" s="883">
        <f t="shared" si="162"/>
        <v>50.43901606098823</v>
      </c>
      <c r="AV47" s="883">
        <f t="shared" si="163"/>
        <v>56.758907573380775</v>
      </c>
      <c r="AW47" s="883">
        <f t="shared" si="164"/>
        <v>36.115184727048856</v>
      </c>
      <c r="AX47" s="883">
        <f t="shared" si="165"/>
        <v>48.115087566012328</v>
      </c>
      <c r="AY47" s="883">
        <f t="shared" si="166"/>
        <v>109.54264548324234</v>
      </c>
      <c r="AZ47" s="873">
        <f t="shared" si="167"/>
        <v>42.327415355550592</v>
      </c>
      <c r="BA47" s="879">
        <f t="shared" si="249"/>
        <v>1054.4106595093094</v>
      </c>
      <c r="BB47" s="883">
        <f t="shared" si="168"/>
        <v>1.4099268963575695</v>
      </c>
      <c r="BC47" s="883">
        <f t="shared" si="169"/>
        <v>11.968819154138961</v>
      </c>
      <c r="BD47" s="883">
        <f t="shared" si="170"/>
        <v>69.894588060913918</v>
      </c>
      <c r="BE47" s="883">
        <f t="shared" si="171"/>
        <v>111.60812464816594</v>
      </c>
      <c r="BF47" s="883">
        <f t="shared" si="172"/>
        <v>35.52180702107129</v>
      </c>
      <c r="BG47" s="883">
        <f t="shared" si="173"/>
        <v>32.765271685504231</v>
      </c>
      <c r="BH47" s="883">
        <f t="shared" si="174"/>
        <v>102.27406756209113</v>
      </c>
      <c r="BI47" s="883">
        <f t="shared" si="175"/>
        <v>68.837151373441387</v>
      </c>
      <c r="BJ47" s="883">
        <f t="shared" si="176"/>
        <v>75.782820704849826</v>
      </c>
      <c r="BK47" s="883">
        <f t="shared" si="177"/>
        <v>77.088533789330185</v>
      </c>
      <c r="BL47" s="883">
        <f t="shared" si="178"/>
        <v>133.19581332202503</v>
      </c>
      <c r="BM47" s="873">
        <f t="shared" si="179"/>
        <v>236.75785099277226</v>
      </c>
      <c r="BN47" s="879">
        <f t="shared" si="250"/>
        <v>957.10477521066173</v>
      </c>
      <c r="BO47" s="883">
        <f t="shared" si="180"/>
        <v>50.510777133282403</v>
      </c>
      <c r="BP47" s="883">
        <f t="shared" si="181"/>
        <v>1.3819222166578407</v>
      </c>
      <c r="BQ47" s="883">
        <f t="shared" si="182"/>
        <v>117.39130603501778</v>
      </c>
      <c r="BR47" s="883">
        <f t="shared" si="183"/>
        <v>41.148783158952547</v>
      </c>
      <c r="BS47" s="883">
        <f t="shared" si="184"/>
        <v>39.697761530592949</v>
      </c>
      <c r="BT47" s="883">
        <f t="shared" si="185"/>
        <v>74.120094000422498</v>
      </c>
      <c r="BU47" s="883">
        <f t="shared" si="186"/>
        <v>3.4157732762819966</v>
      </c>
      <c r="BV47" s="883">
        <f t="shared" si="187"/>
        <v>179.867528613909</v>
      </c>
      <c r="BW47" s="883">
        <f t="shared" si="188"/>
        <v>99.027869154350171</v>
      </c>
      <c r="BX47" s="883">
        <f t="shared" si="189"/>
        <v>144.75662288729984</v>
      </c>
      <c r="BY47" s="883">
        <f t="shared" si="190"/>
        <v>88.306659030348698</v>
      </c>
      <c r="BZ47" s="873">
        <f t="shared" si="191"/>
        <v>305.52413457622663</v>
      </c>
      <c r="CA47" s="879">
        <f t="shared" si="251"/>
        <v>1145.1492316133422</v>
      </c>
      <c r="CB47" s="883">
        <f t="shared" si="192"/>
        <v>2.0218657572379497</v>
      </c>
      <c r="CC47" s="883">
        <f t="shared" si="193"/>
        <v>24.293971249479718</v>
      </c>
      <c r="CD47" s="883">
        <f t="shared" si="194"/>
        <v>50.860048232636373</v>
      </c>
      <c r="CE47" s="883">
        <f t="shared" si="195"/>
        <v>50.910959191828198</v>
      </c>
      <c r="CF47" s="883">
        <f t="shared" si="196"/>
        <v>85.513885883824329</v>
      </c>
      <c r="CG47" s="883">
        <f t="shared" si="197"/>
        <v>65.797499117857456</v>
      </c>
      <c r="CH47" s="883">
        <f t="shared" si="198"/>
        <v>69.745418810347786</v>
      </c>
      <c r="CI47" s="883">
        <f t="shared" si="199"/>
        <v>71.023317248772486</v>
      </c>
      <c r="CJ47" s="883">
        <f t="shared" si="200"/>
        <v>151.21562300307019</v>
      </c>
      <c r="CK47" s="883">
        <f t="shared" si="201"/>
        <v>223.25706421665191</v>
      </c>
      <c r="CL47" s="883">
        <f t="shared" si="202"/>
        <v>64.293705727776498</v>
      </c>
      <c r="CM47" s="873">
        <f t="shared" si="203"/>
        <v>124.40238754630302</v>
      </c>
      <c r="CN47" s="879">
        <f t="shared" si="252"/>
        <v>983.33574598578582</v>
      </c>
      <c r="CO47" s="883">
        <f t="shared" si="204"/>
        <v>72.69847025435233</v>
      </c>
      <c r="CP47" s="883">
        <f t="shared" si="205"/>
        <v>136.68106228345042</v>
      </c>
      <c r="CQ47" s="883">
        <f t="shared" si="206"/>
        <v>159.11940407548013</v>
      </c>
      <c r="CR47" s="883">
        <f t="shared" si="207"/>
        <v>89.35165009167558</v>
      </c>
      <c r="CS47" s="883">
        <f t="shared" si="208"/>
        <v>401.79659349741206</v>
      </c>
      <c r="CT47" s="883">
        <f t="shared" si="209"/>
        <v>96.518904684395849</v>
      </c>
      <c r="CU47" s="883">
        <f t="shared" si="210"/>
        <v>64.150177549678347</v>
      </c>
      <c r="CV47" s="883">
        <f t="shared" si="211"/>
        <v>105.80461144992127</v>
      </c>
      <c r="CW47" s="883">
        <f t="shared" si="212"/>
        <v>83.72737674879815</v>
      </c>
      <c r="CX47" s="883">
        <f t="shared" si="213"/>
        <v>116.80949421855247</v>
      </c>
      <c r="CY47" s="883">
        <f t="shared" si="214"/>
        <v>177.86514342544146</v>
      </c>
      <c r="CZ47" s="873">
        <f t="shared" si="215"/>
        <v>7.6470776351183609</v>
      </c>
      <c r="DA47" s="879">
        <f t="shared" si="253"/>
        <v>1512.1699659142764</v>
      </c>
      <c r="DB47" s="883">
        <f t="shared" si="216"/>
        <v>1.7606607038699518</v>
      </c>
      <c r="DC47" s="883">
        <f t="shared" si="217"/>
        <v>7.0222782086746518</v>
      </c>
      <c r="DD47" s="883">
        <f t="shared" si="218"/>
        <v>58.9524590357872</v>
      </c>
      <c r="DE47" s="883">
        <f t="shared" si="219"/>
        <v>136.78971534424238</v>
      </c>
      <c r="DF47" s="883">
        <f t="shared" si="220"/>
        <v>206.24881691162756</v>
      </c>
      <c r="DG47" s="883">
        <f t="shared" si="221"/>
        <v>87.787428329936617</v>
      </c>
      <c r="DH47" s="883">
        <f t="shared" si="222"/>
        <v>256.62371209890279</v>
      </c>
      <c r="DI47" s="883">
        <f t="shared" si="223"/>
        <v>44.411746596151588</v>
      </c>
      <c r="DJ47" s="883">
        <f t="shared" si="224"/>
        <v>102.46815236064691</v>
      </c>
      <c r="DK47" s="883">
        <f t="shared" si="225"/>
        <v>109.07914827940276</v>
      </c>
      <c r="DL47" s="883">
        <f t="shared" si="226"/>
        <v>113.83003647512015</v>
      </c>
      <c r="DM47" s="873">
        <f t="shared" si="227"/>
        <v>-22.217308144795712</v>
      </c>
      <c r="DN47" s="879">
        <f t="shared" si="254"/>
        <v>1102.7568461995668</v>
      </c>
      <c r="DO47" s="883">
        <f t="shared" si="228"/>
        <v>19.934622948944824</v>
      </c>
      <c r="DP47" s="883">
        <f t="shared" si="229"/>
        <v>39.647221457726381</v>
      </c>
      <c r="DQ47" s="883">
        <f t="shared" si="230"/>
        <v>2.8036277495669726</v>
      </c>
      <c r="DR47" s="883">
        <f t="shared" si="231"/>
        <v>59.466641611625626</v>
      </c>
      <c r="DS47" s="883">
        <f t="shared" si="232"/>
        <v>84.226711981763245</v>
      </c>
      <c r="DT47" s="883">
        <f t="shared" si="233"/>
        <v>51.597133455335047</v>
      </c>
      <c r="DU47" s="883">
        <f t="shared" si="234"/>
        <v>49.235614352396475</v>
      </c>
      <c r="DV47" s="883">
        <f t="shared" si="235"/>
        <v>41.845005308202218</v>
      </c>
      <c r="DW47" s="883">
        <f t="shared" si="236"/>
        <v>43.064226259443608</v>
      </c>
      <c r="DX47" s="883">
        <f t="shared" si="237"/>
        <v>231.74869943221174</v>
      </c>
      <c r="DY47" s="883">
        <f t="shared" si="238"/>
        <v>101.7882536071703</v>
      </c>
      <c r="DZ47" s="873">
        <f t="shared" si="239"/>
        <v>40.223634549886668</v>
      </c>
      <c r="EA47" s="879">
        <f t="shared" si="255"/>
        <v>765.58139271427308</v>
      </c>
      <c r="EB47" s="883">
        <f t="shared" si="240"/>
        <v>5.0324835539343749</v>
      </c>
      <c r="EC47" s="883">
        <f t="shared" si="241"/>
        <v>1.1162088817767077</v>
      </c>
      <c r="ED47" s="883">
        <f t="shared" si="242"/>
        <v>33.217207075985741</v>
      </c>
      <c r="EE47" s="883">
        <f t="shared" si="243"/>
        <v>149.00062982649106</v>
      </c>
      <c r="EF47" s="883">
        <f t="shared" si="244"/>
        <v>209.27830292338408</v>
      </c>
      <c r="EG47" s="883">
        <f t="shared" si="256"/>
        <v>124.08043200241116</v>
      </c>
      <c r="EH47" s="883">
        <f t="shared" si="257"/>
        <v>115.54265509553069</v>
      </c>
      <c r="EI47" s="883">
        <f t="shared" si="275"/>
        <v>114.22329328755701</v>
      </c>
      <c r="EJ47" s="883">
        <f t="shared" si="258"/>
        <v>17.104193406332158</v>
      </c>
      <c r="EK47" s="883">
        <f t="shared" si="259"/>
        <v>296.03305453175875</v>
      </c>
      <c r="EL47" s="883">
        <f t="shared" si="260"/>
        <v>113.6488840513165</v>
      </c>
      <c r="EM47" s="873">
        <f t="shared" si="261"/>
        <v>126.03535227953628</v>
      </c>
      <c r="EN47" s="879">
        <f t="shared" si="262"/>
        <v>1304.3126969160146</v>
      </c>
      <c r="EO47" s="883">
        <f t="shared" si="263"/>
        <v>36.288311035904691</v>
      </c>
      <c r="EP47" s="883">
        <f t="shared" si="264"/>
        <v>24.572480138795513</v>
      </c>
      <c r="EQ47" s="883">
        <f t="shared" si="265"/>
        <v>45.869056281313931</v>
      </c>
      <c r="ER47" s="883">
        <f t="shared" si="266"/>
        <v>205.34296982283394</v>
      </c>
      <c r="ES47" s="883">
        <f t="shared" si="267"/>
        <v>107.35336720720196</v>
      </c>
      <c r="ET47" s="883">
        <f t="shared" si="268"/>
        <v>73.702356075091998</v>
      </c>
      <c r="EU47" s="883">
        <f t="shared" si="269"/>
        <v>346.29820448171716</v>
      </c>
      <c r="EV47" s="973">
        <f t="shared" si="270"/>
        <v>87.702733192055717</v>
      </c>
      <c r="EW47" s="883"/>
      <c r="EX47" s="883"/>
      <c r="EY47" s="883"/>
      <c r="EZ47" s="873"/>
      <c r="FA47" s="879">
        <f t="shared" si="271"/>
        <v>927.12947823491493</v>
      </c>
      <c r="FC47" s="843">
        <f>IFERROR(((
_xlfn.XLOOKUP((DATE(YEAR($FC$5),MONTH($FC$5),1)),UCA.GGL.DATE,$B47:$FA47) /
_xlfn.XLOOKUP((DATE(YEAR($FC$5)-1,MONTH($FC$5),1)),UCA.GGL.DATE,$B47:$FA47)
)-1)*100,"")</f>
        <v>-23.218171471151528</v>
      </c>
      <c r="FD47" s="844">
        <f t="shared" si="276"/>
        <v>23.371965318020372</v>
      </c>
      <c r="FE47" s="845">
        <f t="shared" si="273"/>
        <v>751.49121264707082</v>
      </c>
      <c r="FF47" s="846">
        <f t="shared" si="245"/>
        <v>927.12947823491493</v>
      </c>
      <c r="FH47" s="127">
        <f t="shared" si="274"/>
        <v>-26.520560095501295</v>
      </c>
    </row>
    <row r="48" spans="1:164" ht="15" customHeight="1" x14ac:dyDescent="0.25">
      <c r="A48" s="401" t="s">
        <v>375</v>
      </c>
      <c r="B48" s="885">
        <f t="shared" si="120"/>
        <v>640.49879979504203</v>
      </c>
      <c r="C48" s="885">
        <f t="shared" si="121"/>
        <v>7285.3315397296456</v>
      </c>
      <c r="D48" s="885">
        <f t="shared" si="122"/>
        <v>10882.897091004517</v>
      </c>
      <c r="E48" s="885">
        <f t="shared" si="123"/>
        <v>9099.3031520072836</v>
      </c>
      <c r="F48" s="885">
        <f t="shared" si="124"/>
        <v>8341.5019275971172</v>
      </c>
      <c r="G48" s="885">
        <f t="shared" si="125"/>
        <v>10783.947194870934</v>
      </c>
      <c r="H48" s="885">
        <f t="shared" si="126"/>
        <v>23580.032166865458</v>
      </c>
      <c r="I48" s="885">
        <f t="shared" si="127"/>
        <v>2222.6037926347699</v>
      </c>
      <c r="J48" s="885">
        <f t="shared" si="128"/>
        <v>10108.710574970628</v>
      </c>
      <c r="K48" s="885">
        <f t="shared" si="129"/>
        <v>9030.3907083284448</v>
      </c>
      <c r="L48" s="885">
        <f t="shared" si="130"/>
        <v>15486.762285196524</v>
      </c>
      <c r="M48" s="877">
        <f t="shared" si="131"/>
        <v>31068.559096498182</v>
      </c>
      <c r="N48" s="878">
        <f t="shared" si="246"/>
        <v>138530.53832949855</v>
      </c>
      <c r="O48" s="885">
        <f t="shared" si="132"/>
        <v>2741.0500650463796</v>
      </c>
      <c r="P48" s="885">
        <f t="shared" si="133"/>
        <v>7406.5777712614299</v>
      </c>
      <c r="Q48" s="885">
        <f t="shared" si="134"/>
        <v>7860.4877585447412</v>
      </c>
      <c r="R48" s="885">
        <f t="shared" si="135"/>
        <v>8349.5352236681629</v>
      </c>
      <c r="S48" s="885">
        <f t="shared" si="136"/>
        <v>9172.0121237125513</v>
      </c>
      <c r="T48" s="885">
        <f t="shared" si="137"/>
        <v>8968.2489894853097</v>
      </c>
      <c r="U48" s="885">
        <f t="shared" si="138"/>
        <v>10885.288532724735</v>
      </c>
      <c r="V48" s="885">
        <f t="shared" si="139"/>
        <v>13927.098515326499</v>
      </c>
      <c r="W48" s="885">
        <f t="shared" si="140"/>
        <v>11903.428053803986</v>
      </c>
      <c r="X48" s="885">
        <f t="shared" si="141"/>
        <v>10493.349093101149</v>
      </c>
      <c r="Y48" s="885">
        <f t="shared" si="142"/>
        <v>21197.960021541574</v>
      </c>
      <c r="Z48" s="877">
        <f t="shared" si="143"/>
        <v>33568.172130753017</v>
      </c>
      <c r="AA48" s="878">
        <f t="shared" si="247"/>
        <v>146473.20827896954</v>
      </c>
      <c r="AB48" s="885">
        <f t="shared" si="144"/>
        <v>1179.2813885242083</v>
      </c>
      <c r="AC48" s="885">
        <f t="shared" si="145"/>
        <v>5251.3328647789231</v>
      </c>
      <c r="AD48" s="885">
        <f t="shared" si="146"/>
        <v>12462.115336595287</v>
      </c>
      <c r="AE48" s="885">
        <f t="shared" si="147"/>
        <v>7649.4917489143891</v>
      </c>
      <c r="AF48" s="885">
        <f t="shared" si="148"/>
        <v>8298.4329614465496</v>
      </c>
      <c r="AG48" s="885">
        <f t="shared" si="149"/>
        <v>12392.378306632865</v>
      </c>
      <c r="AH48" s="885">
        <f t="shared" si="150"/>
        <v>17844.80394274936</v>
      </c>
      <c r="AI48" s="885">
        <f t="shared" si="151"/>
        <v>13743.739370560732</v>
      </c>
      <c r="AJ48" s="885">
        <f t="shared" si="152"/>
        <v>13091.006059633024</v>
      </c>
      <c r="AK48" s="885">
        <f t="shared" si="153"/>
        <v>12895.589849109718</v>
      </c>
      <c r="AL48" s="885">
        <f t="shared" si="154"/>
        <v>14904.735819351787</v>
      </c>
      <c r="AM48" s="877">
        <f t="shared" si="155"/>
        <v>26280.938448383127</v>
      </c>
      <c r="AN48" s="878">
        <f t="shared" si="248"/>
        <v>145993.84609667998</v>
      </c>
      <c r="AO48" s="885">
        <f t="shared" si="156"/>
        <v>2153.9394447429081</v>
      </c>
      <c r="AP48" s="885">
        <f t="shared" si="157"/>
        <v>5111.4663100537482</v>
      </c>
      <c r="AQ48" s="885">
        <f t="shared" si="158"/>
        <v>12489.826566195328</v>
      </c>
      <c r="AR48" s="885">
        <f t="shared" si="159"/>
        <v>5102.9762552995217</v>
      </c>
      <c r="AS48" s="885">
        <f t="shared" si="160"/>
        <v>11893.116299169553</v>
      </c>
      <c r="AT48" s="885">
        <f t="shared" si="161"/>
        <v>11119.496628637429</v>
      </c>
      <c r="AU48" s="885">
        <f t="shared" si="162"/>
        <v>20651.58023792856</v>
      </c>
      <c r="AV48" s="885">
        <f t="shared" si="163"/>
        <v>15857.019803313255</v>
      </c>
      <c r="AW48" s="885">
        <f t="shared" si="164"/>
        <v>18063.257490540433</v>
      </c>
      <c r="AX48" s="885">
        <f t="shared" si="165"/>
        <v>12579.265099243636</v>
      </c>
      <c r="AY48" s="885">
        <f t="shared" si="166"/>
        <v>15272.364960599141</v>
      </c>
      <c r="AZ48" s="877">
        <f t="shared" si="167"/>
        <v>23832.451215942758</v>
      </c>
      <c r="BA48" s="878">
        <f t="shared" si="249"/>
        <v>154126.76031166626</v>
      </c>
      <c r="BB48" s="885">
        <f t="shared" si="168"/>
        <v>1165.3045798395312</v>
      </c>
      <c r="BC48" s="885">
        <f t="shared" si="169"/>
        <v>4031.379910388217</v>
      </c>
      <c r="BD48" s="885">
        <f t="shared" si="170"/>
        <v>12463.602943022172</v>
      </c>
      <c r="BE48" s="885">
        <f t="shared" si="171"/>
        <v>19902.518827884192</v>
      </c>
      <c r="BF48" s="885">
        <f t="shared" si="172"/>
        <v>3147.5107044749243</v>
      </c>
      <c r="BG48" s="885">
        <f t="shared" si="173"/>
        <v>20313.771311572509</v>
      </c>
      <c r="BH48" s="885">
        <f t="shared" si="174"/>
        <v>11405.993630019879</v>
      </c>
      <c r="BI48" s="885">
        <f t="shared" si="175"/>
        <v>21103.801831669894</v>
      </c>
      <c r="BJ48" s="885">
        <f t="shared" si="176"/>
        <v>20163.79234937665</v>
      </c>
      <c r="BK48" s="885">
        <f t="shared" si="177"/>
        <v>11743.153313907966</v>
      </c>
      <c r="BL48" s="885">
        <f t="shared" si="178"/>
        <v>14139.56805796622</v>
      </c>
      <c r="BM48" s="877">
        <f t="shared" si="179"/>
        <v>24251.757415142682</v>
      </c>
      <c r="BN48" s="878">
        <f t="shared" si="250"/>
        <v>163832.15487526485</v>
      </c>
      <c r="BO48" s="885">
        <f t="shared" si="180"/>
        <v>2046.0324381248777</v>
      </c>
      <c r="BP48" s="885">
        <f t="shared" si="181"/>
        <v>6425.2473463506303</v>
      </c>
      <c r="BQ48" s="885">
        <f t="shared" si="182"/>
        <v>5597.7117509329528</v>
      </c>
      <c r="BR48" s="885">
        <f t="shared" si="183"/>
        <v>3289.8452135582565</v>
      </c>
      <c r="BS48" s="885">
        <f t="shared" si="184"/>
        <v>1767.9192764400273</v>
      </c>
      <c r="BT48" s="885">
        <f t="shared" si="185"/>
        <v>1963.4961938445256</v>
      </c>
      <c r="BU48" s="885">
        <f t="shared" si="186"/>
        <v>9297.7348580395937</v>
      </c>
      <c r="BV48" s="885">
        <f t="shared" si="187"/>
        <v>5450.0545076967337</v>
      </c>
      <c r="BW48" s="885">
        <f t="shared" si="188"/>
        <v>10534.516425557595</v>
      </c>
      <c r="BX48" s="885">
        <f t="shared" si="189"/>
        <v>13437.101800939497</v>
      </c>
      <c r="BY48" s="885">
        <f t="shared" si="190"/>
        <v>16121.399528978965</v>
      </c>
      <c r="BZ48" s="877">
        <f t="shared" si="191"/>
        <v>31429.607195117071</v>
      </c>
      <c r="CA48" s="878">
        <f t="shared" si="251"/>
        <v>107360.66653558073</v>
      </c>
      <c r="CB48" s="885">
        <f t="shared" si="192"/>
        <v>1838.5499285817089</v>
      </c>
      <c r="CC48" s="885">
        <f t="shared" si="193"/>
        <v>5991.8380756702891</v>
      </c>
      <c r="CD48" s="885">
        <f t="shared" si="194"/>
        <v>14473.698989150782</v>
      </c>
      <c r="CE48" s="885">
        <f t="shared" si="195"/>
        <v>4002.539225936493</v>
      </c>
      <c r="CF48" s="885">
        <f t="shared" si="196"/>
        <v>6765.6181433241327</v>
      </c>
      <c r="CG48" s="885">
        <f t="shared" si="197"/>
        <v>8501.1698102678256</v>
      </c>
      <c r="CH48" s="885">
        <f t="shared" si="198"/>
        <v>9399.1821481680945</v>
      </c>
      <c r="CI48" s="885">
        <f t="shared" si="199"/>
        <v>9933.49056383061</v>
      </c>
      <c r="CJ48" s="885">
        <f t="shared" si="200"/>
        <v>10089.262125346477</v>
      </c>
      <c r="CK48" s="885">
        <f t="shared" si="201"/>
        <v>12414.641374359488</v>
      </c>
      <c r="CL48" s="885">
        <f t="shared" si="202"/>
        <v>9883.8713815310821</v>
      </c>
      <c r="CM48" s="877">
        <f t="shared" si="203"/>
        <v>24837.096163859842</v>
      </c>
      <c r="CN48" s="878">
        <f t="shared" si="252"/>
        <v>118130.95793002682</v>
      </c>
      <c r="CO48" s="885">
        <f t="shared" si="204"/>
        <v>2186.6934605453876</v>
      </c>
      <c r="CP48" s="885">
        <f t="shared" si="205"/>
        <v>7921.1443537292662</v>
      </c>
      <c r="CQ48" s="885">
        <f t="shared" si="206"/>
        <v>11293.718963278567</v>
      </c>
      <c r="CR48" s="885">
        <f t="shared" si="207"/>
        <v>8057.7814450729102</v>
      </c>
      <c r="CS48" s="885">
        <f t="shared" si="208"/>
        <v>9338.3709814852373</v>
      </c>
      <c r="CT48" s="885">
        <f t="shared" si="209"/>
        <v>13443.006433448198</v>
      </c>
      <c r="CU48" s="885">
        <f t="shared" si="210"/>
        <v>14758.171978551472</v>
      </c>
      <c r="CV48" s="885">
        <f t="shared" si="211"/>
        <v>16158.648586150191</v>
      </c>
      <c r="CW48" s="885">
        <f t="shared" si="212"/>
        <v>19658.590007926745</v>
      </c>
      <c r="CX48" s="885">
        <f t="shared" si="213"/>
        <v>18415.374343639141</v>
      </c>
      <c r="CY48" s="885">
        <f t="shared" si="214"/>
        <v>20603.30533059172</v>
      </c>
      <c r="CZ48" s="877">
        <f t="shared" si="215"/>
        <v>32231.843995282728</v>
      </c>
      <c r="DA48" s="878">
        <f t="shared" si="253"/>
        <v>174066.64987970155</v>
      </c>
      <c r="DB48" s="885">
        <f t="shared" si="216"/>
        <v>338.63374204432074</v>
      </c>
      <c r="DC48" s="885">
        <f t="shared" si="217"/>
        <v>4176.4999646092492</v>
      </c>
      <c r="DD48" s="885">
        <f t="shared" si="218"/>
        <v>7753.9822590600106</v>
      </c>
      <c r="DE48" s="885">
        <f t="shared" si="219"/>
        <v>8145.8850234199463</v>
      </c>
      <c r="DF48" s="885">
        <f t="shared" si="220"/>
        <v>7343.0307954342506</v>
      </c>
      <c r="DG48" s="885">
        <f t="shared" si="221"/>
        <v>7931.278573887018</v>
      </c>
      <c r="DH48" s="885">
        <f t="shared" si="222"/>
        <v>10138.065490446186</v>
      </c>
      <c r="DI48" s="885">
        <f t="shared" si="223"/>
        <v>14289.764157995081</v>
      </c>
      <c r="DJ48" s="885">
        <f t="shared" si="224"/>
        <v>13631.110601531615</v>
      </c>
      <c r="DK48" s="885">
        <f t="shared" si="225"/>
        <v>17822.162200813204</v>
      </c>
      <c r="DL48" s="885">
        <f t="shared" si="226"/>
        <v>17024.168570716211</v>
      </c>
      <c r="DM48" s="877">
        <f t="shared" si="227"/>
        <v>33169.301711044369</v>
      </c>
      <c r="DN48" s="878">
        <f t="shared" si="254"/>
        <v>141763.88309100145</v>
      </c>
      <c r="DO48" s="885">
        <f t="shared" si="228"/>
        <v>1206.3294687390041</v>
      </c>
      <c r="DP48" s="885">
        <f t="shared" si="229"/>
        <v>6583.7043174944492</v>
      </c>
      <c r="DQ48" s="885">
        <f t="shared" si="230"/>
        <v>17612.950248329635</v>
      </c>
      <c r="DR48" s="885">
        <f t="shared" si="231"/>
        <v>10805.537585674729</v>
      </c>
      <c r="DS48" s="885">
        <f t="shared" si="232"/>
        <v>11881.581503560736</v>
      </c>
      <c r="DT48" s="885">
        <f t="shared" si="233"/>
        <v>10459.075454440688</v>
      </c>
      <c r="DU48" s="885">
        <f t="shared" si="234"/>
        <v>12630.613568242617</v>
      </c>
      <c r="DV48" s="885">
        <f t="shared" si="235"/>
        <v>11286.992765132411</v>
      </c>
      <c r="DW48" s="885">
        <f t="shared" si="236"/>
        <v>9871.7747753953117</v>
      </c>
      <c r="DX48" s="885">
        <f t="shared" si="237"/>
        <v>11113.301762868839</v>
      </c>
      <c r="DY48" s="885">
        <f t="shared" si="238"/>
        <v>12860.554349982864</v>
      </c>
      <c r="DZ48" s="877">
        <f t="shared" si="239"/>
        <v>27392.295128472822</v>
      </c>
      <c r="EA48" s="878">
        <f t="shared" si="255"/>
        <v>143704.71092833413</v>
      </c>
      <c r="EB48" s="885">
        <f t="shared" si="240"/>
        <v>767.1741595553292</v>
      </c>
      <c r="EC48" s="885">
        <f t="shared" si="241"/>
        <v>4629.476337168896</v>
      </c>
      <c r="ED48" s="885">
        <f t="shared" si="242"/>
        <v>6285.2491988944357</v>
      </c>
      <c r="EE48" s="885">
        <f t="shared" si="243"/>
        <v>10368.236419185607</v>
      </c>
      <c r="EF48" s="885">
        <f t="shared" si="244"/>
        <v>11045.918658784631</v>
      </c>
      <c r="EG48" s="885">
        <f t="shared" si="256"/>
        <v>9823.8614030708995</v>
      </c>
      <c r="EH48" s="885">
        <f t="shared" si="257"/>
        <v>11676.960805202132</v>
      </c>
      <c r="EI48" s="885">
        <f t="shared" si="275"/>
        <v>12799.63048839697</v>
      </c>
      <c r="EJ48" s="885">
        <f t="shared" si="258"/>
        <v>10285.689467124002</v>
      </c>
      <c r="EK48" s="885">
        <f t="shared" si="259"/>
        <v>19259.26985928537</v>
      </c>
      <c r="EL48" s="885">
        <f t="shared" si="260"/>
        <v>17146.637457839402</v>
      </c>
      <c r="EM48" s="877">
        <f t="shared" si="261"/>
        <v>26363.403535118199</v>
      </c>
      <c r="EN48" s="878">
        <f t="shared" si="262"/>
        <v>140451.50778962587</v>
      </c>
      <c r="EO48" s="885">
        <f t="shared" si="263"/>
        <v>656.48853601318478</v>
      </c>
      <c r="EP48" s="885">
        <f t="shared" si="264"/>
        <v>10719.061891656798</v>
      </c>
      <c r="EQ48" s="885">
        <f t="shared" si="265"/>
        <v>10507.74741625774</v>
      </c>
      <c r="ER48" s="885">
        <f t="shared" si="266"/>
        <v>21528.645110055979</v>
      </c>
      <c r="ES48" s="885">
        <f t="shared" si="267"/>
        <v>9039.4723902341484</v>
      </c>
      <c r="ET48" s="885">
        <f t="shared" si="268"/>
        <v>12062.265455771712</v>
      </c>
      <c r="EU48" s="885">
        <f t="shared" si="269"/>
        <v>14575.717861612915</v>
      </c>
      <c r="EV48" s="972">
        <f t="shared" si="270"/>
        <v>14196.747853034512</v>
      </c>
      <c r="EW48" s="885"/>
      <c r="EX48" s="885"/>
      <c r="EY48" s="885"/>
      <c r="EZ48" s="877"/>
      <c r="FA48" s="878">
        <f t="shared" si="271"/>
        <v>93286.146514636988</v>
      </c>
      <c r="FB48" s="110"/>
      <c r="FC48" s="851">
        <f t="shared" si="272"/>
        <v>10.915294514978747</v>
      </c>
      <c r="FD48" s="852">
        <f t="shared" si="276"/>
        <v>38.413917895972283</v>
      </c>
      <c r="FE48" s="853">
        <f t="shared" si="273"/>
        <v>67396.507470258905</v>
      </c>
      <c r="FF48" s="854">
        <f t="shared" si="245"/>
        <v>93286.146514636988</v>
      </c>
      <c r="FH48" s="236">
        <f t="shared" si="274"/>
        <v>1397.1173646375428</v>
      </c>
    </row>
    <row r="49" spans="1:164" ht="15" customHeight="1" x14ac:dyDescent="0.25">
      <c r="A49" s="403" t="s">
        <v>376</v>
      </c>
      <c r="B49" s="883">
        <f t="shared" si="120"/>
        <v>0</v>
      </c>
      <c r="C49" s="883">
        <f t="shared" si="121"/>
        <v>11.75306228177508</v>
      </c>
      <c r="D49" s="883">
        <f t="shared" si="122"/>
        <v>6.2210201306206594</v>
      </c>
      <c r="E49" s="883">
        <f t="shared" si="123"/>
        <v>387.3032753897711</v>
      </c>
      <c r="F49" s="883">
        <f t="shared" si="124"/>
        <v>5.3920503733659455</v>
      </c>
      <c r="G49" s="883">
        <f t="shared" si="125"/>
        <v>383.87965238754566</v>
      </c>
      <c r="H49" s="883">
        <f t="shared" si="126"/>
        <v>11.464797980713165</v>
      </c>
      <c r="I49" s="883">
        <f t="shared" si="127"/>
        <v>0</v>
      </c>
      <c r="J49" s="883">
        <f t="shared" si="128"/>
        <v>0</v>
      </c>
      <c r="K49" s="883">
        <f t="shared" si="129"/>
        <v>0</v>
      </c>
      <c r="L49" s="883">
        <f t="shared" si="130"/>
        <v>316.6593276530914</v>
      </c>
      <c r="M49" s="873">
        <f t="shared" si="131"/>
        <v>187.03278609407585</v>
      </c>
      <c r="N49" s="879">
        <f t="shared" si="246"/>
        <v>1309.7059722909587</v>
      </c>
      <c r="O49" s="883">
        <f t="shared" si="132"/>
        <v>0</v>
      </c>
      <c r="P49" s="883">
        <f t="shared" si="133"/>
        <v>11.251637286704623</v>
      </c>
      <c r="Q49" s="883">
        <f t="shared" si="134"/>
        <v>13.421436127281856</v>
      </c>
      <c r="R49" s="883">
        <f t="shared" si="135"/>
        <v>43.242525490914673</v>
      </c>
      <c r="S49" s="883">
        <f t="shared" si="136"/>
        <v>0</v>
      </c>
      <c r="T49" s="883">
        <f t="shared" si="137"/>
        <v>13.373248431011147</v>
      </c>
      <c r="U49" s="883">
        <f t="shared" si="138"/>
        <v>381.57527830733915</v>
      </c>
      <c r="V49" s="883">
        <f t="shared" si="139"/>
        <v>0</v>
      </c>
      <c r="W49" s="883">
        <f t="shared" si="140"/>
        <v>33.954960341993257</v>
      </c>
      <c r="X49" s="883">
        <f t="shared" si="141"/>
        <v>8.8216469887357292</v>
      </c>
      <c r="Y49" s="883">
        <f t="shared" si="142"/>
        <v>4.3980690939952778</v>
      </c>
      <c r="Z49" s="873">
        <f t="shared" si="143"/>
        <v>4.383603203423978</v>
      </c>
      <c r="AA49" s="879">
        <f t="shared" si="247"/>
        <v>514.42240527139961</v>
      </c>
      <c r="AB49" s="883">
        <f t="shared" si="144"/>
        <v>0</v>
      </c>
      <c r="AC49" s="883">
        <f t="shared" si="145"/>
        <v>0</v>
      </c>
      <c r="AD49" s="883">
        <f t="shared" si="146"/>
        <v>0</v>
      </c>
      <c r="AE49" s="883">
        <f t="shared" si="147"/>
        <v>0</v>
      </c>
      <c r="AF49" s="883">
        <f t="shared" si="148"/>
        <v>0</v>
      </c>
      <c r="AG49" s="883">
        <f t="shared" si="149"/>
        <v>0</v>
      </c>
      <c r="AH49" s="883">
        <f t="shared" si="150"/>
        <v>11.549100521154832</v>
      </c>
      <c r="AI49" s="883">
        <f t="shared" si="151"/>
        <v>-5.736118268180606</v>
      </c>
      <c r="AJ49" s="883">
        <f t="shared" si="152"/>
        <v>0</v>
      </c>
      <c r="AK49" s="883">
        <f t="shared" si="153"/>
        <v>0</v>
      </c>
      <c r="AL49" s="883">
        <f t="shared" si="154"/>
        <v>0</v>
      </c>
      <c r="AM49" s="873">
        <f t="shared" si="155"/>
        <v>0</v>
      </c>
      <c r="AN49" s="879">
        <f t="shared" si="248"/>
        <v>5.8129822529742263</v>
      </c>
      <c r="AO49" s="883">
        <f t="shared" si="156"/>
        <v>0</v>
      </c>
      <c r="AP49" s="883">
        <f t="shared" si="157"/>
        <v>0</v>
      </c>
      <c r="AQ49" s="883">
        <f t="shared" si="158"/>
        <v>0</v>
      </c>
      <c r="AR49" s="883">
        <f t="shared" si="159"/>
        <v>0</v>
      </c>
      <c r="AS49" s="883">
        <f t="shared" si="160"/>
        <v>0</v>
      </c>
      <c r="AT49" s="883">
        <f t="shared" si="161"/>
        <v>0</v>
      </c>
      <c r="AU49" s="883">
        <f t="shared" si="162"/>
        <v>426.24520614919629</v>
      </c>
      <c r="AV49" s="883">
        <f t="shared" si="163"/>
        <v>0</v>
      </c>
      <c r="AW49" s="883">
        <f t="shared" si="164"/>
        <v>731.50952594198952</v>
      </c>
      <c r="AX49" s="883">
        <f t="shared" si="165"/>
        <v>-730.92478611309912</v>
      </c>
      <c r="AY49" s="883">
        <f t="shared" si="166"/>
        <v>0</v>
      </c>
      <c r="AZ49" s="873">
        <f t="shared" si="167"/>
        <v>0</v>
      </c>
      <c r="BA49" s="879">
        <f t="shared" si="249"/>
        <v>426.8299459780867</v>
      </c>
      <c r="BB49" s="883">
        <f t="shared" si="168"/>
        <v>0</v>
      </c>
      <c r="BC49" s="883">
        <f t="shared" si="169"/>
        <v>0</v>
      </c>
      <c r="BD49" s="883">
        <f t="shared" si="170"/>
        <v>0</v>
      </c>
      <c r="BE49" s="883">
        <f t="shared" si="171"/>
        <v>0</v>
      </c>
      <c r="BF49" s="883">
        <f t="shared" si="172"/>
        <v>0</v>
      </c>
      <c r="BG49" s="883">
        <f t="shared" si="173"/>
        <v>0</v>
      </c>
      <c r="BH49" s="883">
        <f t="shared" si="174"/>
        <v>0</v>
      </c>
      <c r="BI49" s="883">
        <f t="shared" si="175"/>
        <v>0</v>
      </c>
      <c r="BJ49" s="883">
        <f t="shared" si="176"/>
        <v>1455.8644638161059</v>
      </c>
      <c r="BK49" s="883">
        <f t="shared" si="177"/>
        <v>190.29061493942768</v>
      </c>
      <c r="BL49" s="883">
        <f t="shared" si="178"/>
        <v>0</v>
      </c>
      <c r="BM49" s="873">
        <f t="shared" si="179"/>
        <v>0</v>
      </c>
      <c r="BN49" s="879">
        <f t="shared" si="250"/>
        <v>1646.1550787555336</v>
      </c>
      <c r="BO49" s="883">
        <f t="shared" si="180"/>
        <v>0</v>
      </c>
      <c r="BP49" s="883">
        <f t="shared" si="181"/>
        <v>0</v>
      </c>
      <c r="BQ49" s="883">
        <f t="shared" si="182"/>
        <v>0</v>
      </c>
      <c r="BR49" s="883">
        <f t="shared" si="183"/>
        <v>0</v>
      </c>
      <c r="BS49" s="883">
        <f t="shared" si="184"/>
        <v>0</v>
      </c>
      <c r="BT49" s="883">
        <f t="shared" si="185"/>
        <v>0</v>
      </c>
      <c r="BU49" s="883">
        <f t="shared" si="186"/>
        <v>0</v>
      </c>
      <c r="BV49" s="883">
        <f t="shared" si="187"/>
        <v>0</v>
      </c>
      <c r="BW49" s="883">
        <f t="shared" si="188"/>
        <v>0</v>
      </c>
      <c r="BX49" s="883">
        <f t="shared" si="189"/>
        <v>0</v>
      </c>
      <c r="BY49" s="883">
        <f t="shared" si="190"/>
        <v>0</v>
      </c>
      <c r="BZ49" s="873">
        <f t="shared" si="191"/>
        <v>0</v>
      </c>
      <c r="CA49" s="879">
        <f t="shared" si="251"/>
        <v>0</v>
      </c>
      <c r="CB49" s="883">
        <f t="shared" si="192"/>
        <v>0</v>
      </c>
      <c r="CC49" s="883">
        <f t="shared" si="193"/>
        <v>0</v>
      </c>
      <c r="CD49" s="883">
        <f t="shared" si="194"/>
        <v>0</v>
      </c>
      <c r="CE49" s="883">
        <f t="shared" si="195"/>
        <v>0</v>
      </c>
      <c r="CF49" s="883">
        <f t="shared" si="196"/>
        <v>0</v>
      </c>
      <c r="CG49" s="883">
        <f t="shared" si="197"/>
        <v>0</v>
      </c>
      <c r="CH49" s="883">
        <f t="shared" si="198"/>
        <v>0</v>
      </c>
      <c r="CI49" s="883">
        <f t="shared" si="199"/>
        <v>158.33638616010745</v>
      </c>
      <c r="CJ49" s="883">
        <f t="shared" si="200"/>
        <v>0</v>
      </c>
      <c r="CK49" s="883">
        <f t="shared" si="201"/>
        <v>0</v>
      </c>
      <c r="CL49" s="883">
        <f t="shared" si="202"/>
        <v>0</v>
      </c>
      <c r="CM49" s="873">
        <f t="shared" si="203"/>
        <v>0</v>
      </c>
      <c r="CN49" s="879">
        <f t="shared" si="252"/>
        <v>158.33638616010745</v>
      </c>
      <c r="CO49" s="883">
        <f t="shared" si="204"/>
        <v>0</v>
      </c>
      <c r="CP49" s="883">
        <f t="shared" si="205"/>
        <v>0</v>
      </c>
      <c r="CQ49" s="883">
        <f t="shared" si="206"/>
        <v>0</v>
      </c>
      <c r="CR49" s="883">
        <f t="shared" si="207"/>
        <v>0</v>
      </c>
      <c r="CS49" s="883">
        <f t="shared" si="208"/>
        <v>11.126674896851412</v>
      </c>
      <c r="CT49" s="883">
        <f t="shared" si="209"/>
        <v>0</v>
      </c>
      <c r="CU49" s="883">
        <f t="shared" si="210"/>
        <v>0</v>
      </c>
      <c r="CV49" s="883">
        <f t="shared" si="211"/>
        <v>0</v>
      </c>
      <c r="CW49" s="883">
        <f t="shared" si="212"/>
        <v>0</v>
      </c>
      <c r="CX49" s="883">
        <f t="shared" si="213"/>
        <v>62.576514759938824</v>
      </c>
      <c r="CY49" s="883">
        <f t="shared" si="214"/>
        <v>0</v>
      </c>
      <c r="CZ49" s="873">
        <f t="shared" si="215"/>
        <v>0</v>
      </c>
      <c r="DA49" s="879">
        <f t="shared" si="253"/>
        <v>73.703189656790244</v>
      </c>
      <c r="DB49" s="883">
        <f t="shared" si="216"/>
        <v>0</v>
      </c>
      <c r="DC49" s="883">
        <f t="shared" si="217"/>
        <v>0</v>
      </c>
      <c r="DD49" s="883">
        <f t="shared" si="218"/>
        <v>8.669479269968706</v>
      </c>
      <c r="DE49" s="883">
        <f t="shared" si="219"/>
        <v>0</v>
      </c>
      <c r="DF49" s="883">
        <f t="shared" si="220"/>
        <v>0</v>
      </c>
      <c r="DG49" s="883">
        <f t="shared" si="221"/>
        <v>0</v>
      </c>
      <c r="DH49" s="883">
        <f t="shared" si="222"/>
        <v>0</v>
      </c>
      <c r="DI49" s="883">
        <f t="shared" si="223"/>
        <v>30.746593797335713</v>
      </c>
      <c r="DJ49" s="883">
        <f t="shared" si="224"/>
        <v>441.18232266389646</v>
      </c>
      <c r="DK49" s="883">
        <f t="shared" si="225"/>
        <v>95.943962884500863</v>
      </c>
      <c r="DL49" s="883">
        <f t="shared" si="226"/>
        <v>491.92880084725289</v>
      </c>
      <c r="DM49" s="873">
        <f t="shared" si="227"/>
        <v>-38.168196043623404</v>
      </c>
      <c r="DN49" s="879">
        <f t="shared" si="254"/>
        <v>1030.3029634193313</v>
      </c>
      <c r="DO49" s="883">
        <f t="shared" si="228"/>
        <v>0</v>
      </c>
      <c r="DP49" s="883">
        <f t="shared" si="229"/>
        <v>0</v>
      </c>
      <c r="DQ49" s="883">
        <f t="shared" si="230"/>
        <v>0</v>
      </c>
      <c r="DR49" s="883">
        <f t="shared" si="231"/>
        <v>0</v>
      </c>
      <c r="DS49" s="883">
        <f t="shared" si="232"/>
        <v>0</v>
      </c>
      <c r="DT49" s="883">
        <f t="shared" si="233"/>
        <v>0</v>
      </c>
      <c r="DU49" s="883">
        <f t="shared" si="234"/>
        <v>0</v>
      </c>
      <c r="DV49" s="883">
        <f t="shared" si="235"/>
        <v>0</v>
      </c>
      <c r="DW49" s="883">
        <f t="shared" si="236"/>
        <v>0</v>
      </c>
      <c r="DX49" s="883">
        <f t="shared" si="237"/>
        <v>0</v>
      </c>
      <c r="DY49" s="883">
        <f t="shared" si="238"/>
        <v>0</v>
      </c>
      <c r="DZ49" s="873">
        <f t="shared" si="239"/>
        <v>27.933079548532412</v>
      </c>
      <c r="EA49" s="879">
        <f t="shared" si="255"/>
        <v>27.933079548532412</v>
      </c>
      <c r="EB49" s="883">
        <f t="shared" si="240"/>
        <v>0</v>
      </c>
      <c r="EC49" s="883">
        <f t="shared" si="241"/>
        <v>0</v>
      </c>
      <c r="ED49" s="883">
        <f t="shared" si="242"/>
        <v>0</v>
      </c>
      <c r="EE49" s="883">
        <f t="shared" si="243"/>
        <v>0</v>
      </c>
      <c r="EF49" s="883">
        <f t="shared" si="244"/>
        <v>64.053517517447375</v>
      </c>
      <c r="EG49" s="883">
        <f t="shared" si="256"/>
        <v>0</v>
      </c>
      <c r="EH49" s="883">
        <f t="shared" si="257"/>
        <v>14.305281107065705</v>
      </c>
      <c r="EI49" s="883">
        <f t="shared" si="275"/>
        <v>0</v>
      </c>
      <c r="EJ49" s="883">
        <f t="shared" si="258"/>
        <v>0</v>
      </c>
      <c r="EK49" s="883">
        <f t="shared" si="259"/>
        <v>0</v>
      </c>
      <c r="EL49" s="883">
        <f t="shared" si="260"/>
        <v>0</v>
      </c>
      <c r="EM49" s="873">
        <f>+EM15/$EM$37</f>
        <v>0</v>
      </c>
      <c r="EN49" s="879">
        <f t="shared" si="262"/>
        <v>78.358798624513085</v>
      </c>
      <c r="EO49" s="883">
        <f t="shared" si="263"/>
        <v>0</v>
      </c>
      <c r="EP49" s="883">
        <f t="shared" si="264"/>
        <v>0</v>
      </c>
      <c r="EQ49" s="883">
        <f>+EQ15/$EQ$37</f>
        <v>0</v>
      </c>
      <c r="ER49" s="883">
        <f t="shared" si="266"/>
        <v>0</v>
      </c>
      <c r="ES49" s="883">
        <f t="shared" si="267"/>
        <v>23.915354080812314</v>
      </c>
      <c r="ET49" s="883">
        <f t="shared" si="268"/>
        <v>0</v>
      </c>
      <c r="EU49" s="883">
        <f t="shared" si="269"/>
        <v>0</v>
      </c>
      <c r="EV49" s="973">
        <f t="shared" si="270"/>
        <v>0</v>
      </c>
      <c r="EW49" s="883"/>
      <c r="EX49" s="883"/>
      <c r="EY49" s="883"/>
      <c r="EZ49" s="873"/>
      <c r="FA49" s="879">
        <f t="shared" si="271"/>
        <v>23.915354080812314</v>
      </c>
      <c r="FC49" s="843" t="str">
        <f t="shared" si="272"/>
        <v/>
      </c>
      <c r="FD49" s="844">
        <f t="shared" si="276"/>
        <v>-69.479682561990117</v>
      </c>
      <c r="FE49" s="845">
        <f t="shared" si="273"/>
        <v>78.358798624513085</v>
      </c>
      <c r="FF49" s="846">
        <f>SUMIFS($B49:$FA49,UCA.GGL.DATE,"&gt;="&amp;DATE(YEAR($FC$5),1,1),UCA.GGL.DATE,"&lt;="&amp;$FC$5)</f>
        <v>23.915354080812314</v>
      </c>
      <c r="FH49" s="127">
        <f t="shared" si="274"/>
        <v>0</v>
      </c>
    </row>
    <row r="50" spans="1:164" ht="15" customHeight="1" x14ac:dyDescent="0.25">
      <c r="A50" s="404" t="s">
        <v>377</v>
      </c>
      <c r="B50" s="883">
        <f t="shared" si="120"/>
        <v>0</v>
      </c>
      <c r="C50" s="883">
        <f t="shared" si="121"/>
        <v>0</v>
      </c>
      <c r="D50" s="883">
        <f t="shared" si="122"/>
        <v>0</v>
      </c>
      <c r="E50" s="883">
        <f t="shared" si="123"/>
        <v>0</v>
      </c>
      <c r="F50" s="883">
        <f t="shared" si="124"/>
        <v>0</v>
      </c>
      <c r="G50" s="883">
        <f t="shared" si="125"/>
        <v>0</v>
      </c>
      <c r="H50" s="883">
        <f t="shared" si="126"/>
        <v>0</v>
      </c>
      <c r="I50" s="883">
        <f t="shared" si="127"/>
        <v>0</v>
      </c>
      <c r="J50" s="883">
        <f t="shared" si="128"/>
        <v>0</v>
      </c>
      <c r="K50" s="883">
        <f t="shared" si="129"/>
        <v>7.6013389800744484</v>
      </c>
      <c r="L50" s="883">
        <f t="shared" si="130"/>
        <v>1.5151164002540258</v>
      </c>
      <c r="M50" s="873">
        <f t="shared" si="131"/>
        <v>4.5249867603405445</v>
      </c>
      <c r="N50" s="879">
        <f t="shared" si="246"/>
        <v>13.641442140669019</v>
      </c>
      <c r="O50" s="883">
        <f t="shared" si="132"/>
        <v>0</v>
      </c>
      <c r="P50" s="883">
        <f t="shared" si="133"/>
        <v>7.5010915244697483</v>
      </c>
      <c r="Q50" s="883">
        <f t="shared" si="134"/>
        <v>19.386518850518236</v>
      </c>
      <c r="R50" s="883">
        <f t="shared" si="135"/>
        <v>11.928972549217841</v>
      </c>
      <c r="S50" s="883">
        <f t="shared" si="136"/>
        <v>0</v>
      </c>
      <c r="T50" s="883">
        <f t="shared" si="137"/>
        <v>5.2007077231710017</v>
      </c>
      <c r="U50" s="883">
        <f t="shared" si="138"/>
        <v>0</v>
      </c>
      <c r="V50" s="883">
        <f t="shared" si="139"/>
        <v>0</v>
      </c>
      <c r="W50" s="883">
        <f t="shared" si="140"/>
        <v>54.623197071902204</v>
      </c>
      <c r="X50" s="883">
        <f t="shared" si="141"/>
        <v>1.4702744981226215</v>
      </c>
      <c r="Y50" s="883">
        <f t="shared" si="142"/>
        <v>5.8640921253270371</v>
      </c>
      <c r="Z50" s="873">
        <f t="shared" si="143"/>
        <v>2.191801601711989</v>
      </c>
      <c r="AA50" s="879">
        <f t="shared" si="247"/>
        <v>108.16665594444068</v>
      </c>
      <c r="AB50" s="883">
        <f t="shared" si="144"/>
        <v>0</v>
      </c>
      <c r="AC50" s="883">
        <f t="shared" si="145"/>
        <v>0</v>
      </c>
      <c r="AD50" s="883">
        <f t="shared" si="146"/>
        <v>3.5860138514604305</v>
      </c>
      <c r="AE50" s="883">
        <f t="shared" si="147"/>
        <v>0</v>
      </c>
      <c r="AF50" s="883">
        <f t="shared" si="148"/>
        <v>1.4442104005302037</v>
      </c>
      <c r="AG50" s="883">
        <f t="shared" si="149"/>
        <v>0</v>
      </c>
      <c r="AH50" s="883">
        <f t="shared" si="150"/>
        <v>0</v>
      </c>
      <c r="AI50" s="883">
        <f t="shared" si="151"/>
        <v>76.003567053393027</v>
      </c>
      <c r="AJ50" s="883">
        <f t="shared" si="152"/>
        <v>2.8686328606624354</v>
      </c>
      <c r="AK50" s="883">
        <f t="shared" si="153"/>
        <v>0</v>
      </c>
      <c r="AL50" s="883">
        <f t="shared" si="154"/>
        <v>0</v>
      </c>
      <c r="AM50" s="873">
        <f t="shared" si="155"/>
        <v>-0.72083541645089355</v>
      </c>
      <c r="AN50" s="879">
        <f t="shared" si="248"/>
        <v>83.181588749595193</v>
      </c>
      <c r="AO50" s="883">
        <f t="shared" si="156"/>
        <v>0</v>
      </c>
      <c r="AP50" s="883">
        <f t="shared" si="157"/>
        <v>0</v>
      </c>
      <c r="AQ50" s="883">
        <f t="shared" si="158"/>
        <v>0</v>
      </c>
      <c r="AR50" s="883">
        <f t="shared" si="159"/>
        <v>0</v>
      </c>
      <c r="AS50" s="883">
        <f t="shared" si="160"/>
        <v>0</v>
      </c>
      <c r="AT50" s="883">
        <f t="shared" si="161"/>
        <v>0</v>
      </c>
      <c r="AU50" s="883">
        <f t="shared" si="162"/>
        <v>0</v>
      </c>
      <c r="AV50" s="883">
        <f t="shared" si="163"/>
        <v>0</v>
      </c>
      <c r="AW50" s="883">
        <f t="shared" si="164"/>
        <v>0</v>
      </c>
      <c r="AX50" s="883">
        <f t="shared" si="165"/>
        <v>0</v>
      </c>
      <c r="AY50" s="883">
        <f t="shared" si="166"/>
        <v>0</v>
      </c>
      <c r="AZ50" s="873">
        <f t="shared" si="167"/>
        <v>0</v>
      </c>
      <c r="BA50" s="879">
        <f t="shared" si="249"/>
        <v>0</v>
      </c>
      <c r="BB50" s="883">
        <f t="shared" si="168"/>
        <v>0</v>
      </c>
      <c r="BC50" s="883">
        <f t="shared" si="169"/>
        <v>0</v>
      </c>
      <c r="BD50" s="883">
        <f t="shared" si="170"/>
        <v>0</v>
      </c>
      <c r="BE50" s="883">
        <f t="shared" si="171"/>
        <v>0</v>
      </c>
      <c r="BF50" s="883">
        <f t="shared" si="172"/>
        <v>0</v>
      </c>
      <c r="BG50" s="883">
        <f t="shared" si="173"/>
        <v>0</v>
      </c>
      <c r="BH50" s="883">
        <f t="shared" si="174"/>
        <v>0</v>
      </c>
      <c r="BI50" s="883">
        <f t="shared" si="175"/>
        <v>0</v>
      </c>
      <c r="BJ50" s="883">
        <f t="shared" si="176"/>
        <v>0</v>
      </c>
      <c r="BK50" s="883">
        <f t="shared" si="177"/>
        <v>0</v>
      </c>
      <c r="BL50" s="883">
        <f t="shared" si="178"/>
        <v>0</v>
      </c>
      <c r="BM50" s="873">
        <f t="shared" si="179"/>
        <v>17.306860452688031</v>
      </c>
      <c r="BN50" s="879">
        <f t="shared" si="250"/>
        <v>17.306860452688031</v>
      </c>
      <c r="BO50" s="883">
        <f t="shared" si="180"/>
        <v>0</v>
      </c>
      <c r="BP50" s="883">
        <f t="shared" si="181"/>
        <v>0</v>
      </c>
      <c r="BQ50" s="883">
        <f t="shared" si="182"/>
        <v>18.535469373950175</v>
      </c>
      <c r="BR50" s="883">
        <f t="shared" si="183"/>
        <v>0</v>
      </c>
      <c r="BS50" s="883">
        <f t="shared" si="184"/>
        <v>2.0533324929617041</v>
      </c>
      <c r="BT50" s="883">
        <f t="shared" si="185"/>
        <v>2.058891500011736</v>
      </c>
      <c r="BU50" s="883">
        <f t="shared" si="186"/>
        <v>0</v>
      </c>
      <c r="BV50" s="883">
        <f t="shared" si="187"/>
        <v>0</v>
      </c>
      <c r="BW50" s="883">
        <f t="shared" si="188"/>
        <v>11.610163969820364</v>
      </c>
      <c r="BX50" s="883">
        <f t="shared" si="189"/>
        <v>0</v>
      </c>
      <c r="BY50" s="883">
        <f t="shared" si="190"/>
        <v>0</v>
      </c>
      <c r="BZ50" s="873">
        <f t="shared" si="191"/>
        <v>0</v>
      </c>
      <c r="CA50" s="879">
        <f t="shared" si="251"/>
        <v>34.257857336743982</v>
      </c>
      <c r="CB50" s="883">
        <f t="shared" si="192"/>
        <v>0</v>
      </c>
      <c r="CC50" s="883">
        <f t="shared" si="193"/>
        <v>0</v>
      </c>
      <c r="CD50" s="883">
        <f t="shared" si="194"/>
        <v>0</v>
      </c>
      <c r="CE50" s="883">
        <f t="shared" si="195"/>
        <v>0</v>
      </c>
      <c r="CF50" s="883">
        <f t="shared" si="196"/>
        <v>0</v>
      </c>
      <c r="CG50" s="883">
        <f t="shared" si="197"/>
        <v>6.6462120321068143</v>
      </c>
      <c r="CH50" s="883">
        <f t="shared" si="198"/>
        <v>0</v>
      </c>
      <c r="CI50" s="883">
        <f t="shared" si="199"/>
        <v>0</v>
      </c>
      <c r="CJ50" s="883">
        <f t="shared" si="200"/>
        <v>3.2449704507096606</v>
      </c>
      <c r="CK50" s="883">
        <f t="shared" si="201"/>
        <v>3.8715097841037904</v>
      </c>
      <c r="CL50" s="883">
        <f t="shared" si="202"/>
        <v>1.9288111718332952</v>
      </c>
      <c r="CM50" s="873">
        <f t="shared" si="203"/>
        <v>17.224945967949651</v>
      </c>
      <c r="CN50" s="879">
        <f t="shared" si="252"/>
        <v>32.916449406703208</v>
      </c>
      <c r="CO50" s="883">
        <f t="shared" si="204"/>
        <v>0</v>
      </c>
      <c r="CP50" s="883">
        <f t="shared" si="205"/>
        <v>0</v>
      </c>
      <c r="CQ50" s="883">
        <f t="shared" si="206"/>
        <v>0</v>
      </c>
      <c r="CR50" s="883">
        <f t="shared" si="207"/>
        <v>0</v>
      </c>
      <c r="CS50" s="883">
        <f t="shared" si="208"/>
        <v>0</v>
      </c>
      <c r="CT50" s="883">
        <f t="shared" si="209"/>
        <v>0</v>
      </c>
      <c r="CU50" s="883">
        <f t="shared" si="210"/>
        <v>0</v>
      </c>
      <c r="CV50" s="883">
        <f t="shared" si="211"/>
        <v>20.439527211916609</v>
      </c>
      <c r="CW50" s="883">
        <f t="shared" si="212"/>
        <v>20.333791496136694</v>
      </c>
      <c r="CX50" s="883">
        <f t="shared" si="213"/>
        <v>1.1919336144750252</v>
      </c>
      <c r="CY50" s="883">
        <f t="shared" si="214"/>
        <v>2.3715352456725527</v>
      </c>
      <c r="CZ50" s="873">
        <f t="shared" si="215"/>
        <v>0</v>
      </c>
      <c r="DA50" s="879">
        <f t="shared" si="253"/>
        <v>44.336787568200883</v>
      </c>
      <c r="DB50" s="883">
        <f t="shared" si="216"/>
        <v>0</v>
      </c>
      <c r="DC50" s="883">
        <f t="shared" si="217"/>
        <v>0</v>
      </c>
      <c r="DD50" s="883">
        <f t="shared" si="218"/>
        <v>0</v>
      </c>
      <c r="DE50" s="883">
        <f t="shared" si="219"/>
        <v>0</v>
      </c>
      <c r="DF50" s="883">
        <f t="shared" si="220"/>
        <v>0</v>
      </c>
      <c r="DG50" s="883">
        <f t="shared" si="221"/>
        <v>0</v>
      </c>
      <c r="DH50" s="883">
        <f t="shared" si="222"/>
        <v>0</v>
      </c>
      <c r="DI50" s="883">
        <f t="shared" si="223"/>
        <v>0</v>
      </c>
      <c r="DJ50" s="883">
        <f t="shared" si="224"/>
        <v>0.56926751311470514</v>
      </c>
      <c r="DK50" s="883">
        <f t="shared" si="225"/>
        <v>21.701610652446622</v>
      </c>
      <c r="DL50" s="883">
        <f t="shared" si="226"/>
        <v>0.57201023354331737</v>
      </c>
      <c r="DM50" s="873">
        <f t="shared" si="227"/>
        <v>1.1393491356305494</v>
      </c>
      <c r="DN50" s="879">
        <f t="shared" si="254"/>
        <v>23.982237534735194</v>
      </c>
      <c r="DO50" s="883">
        <f t="shared" si="228"/>
        <v>0</v>
      </c>
      <c r="DP50" s="883">
        <f t="shared" si="229"/>
        <v>0</v>
      </c>
      <c r="DQ50" s="883">
        <f t="shared" si="230"/>
        <v>3.3643532994803671</v>
      </c>
      <c r="DR50" s="883">
        <f t="shared" si="231"/>
        <v>0</v>
      </c>
      <c r="DS50" s="883">
        <f t="shared" si="232"/>
        <v>10.668716851023344</v>
      </c>
      <c r="DT50" s="883">
        <f t="shared" si="233"/>
        <v>0</v>
      </c>
      <c r="DU50" s="883">
        <f t="shared" si="234"/>
        <v>0</v>
      </c>
      <c r="DV50" s="883">
        <f t="shared" si="235"/>
        <v>0</v>
      </c>
      <c r="DW50" s="883">
        <f t="shared" si="236"/>
        <v>0</v>
      </c>
      <c r="DX50" s="883">
        <f t="shared" si="237"/>
        <v>0</v>
      </c>
      <c r="DY50" s="883">
        <f t="shared" si="238"/>
        <v>0</v>
      </c>
      <c r="DZ50" s="873">
        <f t="shared" si="239"/>
        <v>0</v>
      </c>
      <c r="EA50" s="879">
        <f t="shared" si="255"/>
        <v>14.033070150503711</v>
      </c>
      <c r="EB50" s="883">
        <f t="shared" si="240"/>
        <v>0</v>
      </c>
      <c r="EC50" s="883">
        <f t="shared" si="241"/>
        <v>0</v>
      </c>
      <c r="ED50" s="883">
        <f t="shared" si="242"/>
        <v>0</v>
      </c>
      <c r="EE50" s="883">
        <f t="shared" si="243"/>
        <v>0</v>
      </c>
      <c r="EF50" s="883">
        <f t="shared" si="244"/>
        <v>0</v>
      </c>
      <c r="EG50" s="883">
        <f t="shared" si="256"/>
        <v>0</v>
      </c>
      <c r="EH50" s="883">
        <f t="shared" si="257"/>
        <v>0</v>
      </c>
      <c r="EI50" s="883">
        <f t="shared" si="275"/>
        <v>0</v>
      </c>
      <c r="EJ50" s="883">
        <f t="shared" si="258"/>
        <v>0</v>
      </c>
      <c r="EK50" s="883">
        <f t="shared" si="259"/>
        <v>0</v>
      </c>
      <c r="EL50" s="883">
        <f t="shared" si="260"/>
        <v>0</v>
      </c>
      <c r="EM50" s="873">
        <f t="shared" si="261"/>
        <v>0</v>
      </c>
      <c r="EN50" s="879">
        <f t="shared" si="262"/>
        <v>0</v>
      </c>
      <c r="EO50" s="883">
        <f t="shared" si="263"/>
        <v>0</v>
      </c>
      <c r="EP50" s="883">
        <f>+EP16/$EP$37</f>
        <v>0</v>
      </c>
      <c r="EQ50" s="883">
        <f t="shared" si="265"/>
        <v>0</v>
      </c>
      <c r="ER50" s="883">
        <f t="shared" si="266"/>
        <v>0</v>
      </c>
      <c r="ES50" s="883">
        <f t="shared" si="267"/>
        <v>0</v>
      </c>
      <c r="ET50" s="883">
        <f t="shared" si="268"/>
        <v>0</v>
      </c>
      <c r="EU50" s="883">
        <f t="shared" si="269"/>
        <v>0</v>
      </c>
      <c r="EV50" s="973">
        <f t="shared" si="270"/>
        <v>0</v>
      </c>
      <c r="EW50" s="883"/>
      <c r="EX50" s="883"/>
      <c r="EY50" s="883"/>
      <c r="EZ50" s="873"/>
      <c r="FA50" s="879">
        <f t="shared" si="271"/>
        <v>0</v>
      </c>
      <c r="FC50" s="843" t="str">
        <f t="shared" si="272"/>
        <v/>
      </c>
      <c r="FD50" s="844" t="str">
        <f t="shared" si="276"/>
        <v/>
      </c>
      <c r="FE50" s="845">
        <f t="shared" si="273"/>
        <v>0</v>
      </c>
      <c r="FF50" s="846">
        <f t="shared" si="245"/>
        <v>0</v>
      </c>
      <c r="FH50" s="127">
        <f t="shared" si="274"/>
        <v>0</v>
      </c>
    </row>
    <row r="51" spans="1:164" ht="15" customHeight="1" x14ac:dyDescent="0.25">
      <c r="A51" s="403" t="s">
        <v>378</v>
      </c>
      <c r="B51" s="883">
        <f t="shared" si="120"/>
        <v>640.49879979504203</v>
      </c>
      <c r="C51" s="883">
        <f t="shared" si="121"/>
        <v>7273.5784774478707</v>
      </c>
      <c r="D51" s="883">
        <f t="shared" si="122"/>
        <v>10876.676070873897</v>
      </c>
      <c r="E51" s="883">
        <f t="shared" si="123"/>
        <v>8711.9998766175122</v>
      </c>
      <c r="F51" s="883">
        <f t="shared" si="124"/>
        <v>8336.109877223751</v>
      </c>
      <c r="G51" s="883">
        <f t="shared" si="125"/>
        <v>10400.067542483388</v>
      </c>
      <c r="H51" s="883">
        <f t="shared" si="126"/>
        <v>23568.567368884742</v>
      </c>
      <c r="I51" s="883">
        <f t="shared" si="127"/>
        <v>2222.6037926347699</v>
      </c>
      <c r="J51" s="883">
        <f t="shared" si="128"/>
        <v>10108.710574970628</v>
      </c>
      <c r="K51" s="883">
        <f t="shared" si="129"/>
        <v>9022.7893693483693</v>
      </c>
      <c r="L51" s="883">
        <f t="shared" si="130"/>
        <v>15168.587841143179</v>
      </c>
      <c r="M51" s="873">
        <f t="shared" si="131"/>
        <v>30877.001323643766</v>
      </c>
      <c r="N51" s="879">
        <f t="shared" si="246"/>
        <v>137207.19091506689</v>
      </c>
      <c r="O51" s="883">
        <f t="shared" si="132"/>
        <v>2741.0500650463796</v>
      </c>
      <c r="P51" s="883">
        <f t="shared" si="133"/>
        <v>7387.8250424502548</v>
      </c>
      <c r="Q51" s="883">
        <f t="shared" si="134"/>
        <v>7827.6798035669408</v>
      </c>
      <c r="R51" s="883">
        <f t="shared" si="135"/>
        <v>8294.363725628029</v>
      </c>
      <c r="S51" s="883">
        <f t="shared" si="136"/>
        <v>9172.0121237125513</v>
      </c>
      <c r="T51" s="883">
        <f t="shared" si="137"/>
        <v>8949.6750333311265</v>
      </c>
      <c r="U51" s="883">
        <f t="shared" si="138"/>
        <v>10503.713254417396</v>
      </c>
      <c r="V51" s="883">
        <f t="shared" si="139"/>
        <v>13927.098515326499</v>
      </c>
      <c r="W51" s="883">
        <f t="shared" si="140"/>
        <v>11814.849896390089</v>
      </c>
      <c r="X51" s="883">
        <f t="shared" si="141"/>
        <v>10483.057171614291</v>
      </c>
      <c r="Y51" s="883">
        <f t="shared" si="142"/>
        <v>21187.697860322252</v>
      </c>
      <c r="Z51" s="873">
        <f t="shared" si="143"/>
        <v>33561.596725947886</v>
      </c>
      <c r="AA51" s="879">
        <f t="shared" si="247"/>
        <v>145850.6192177537</v>
      </c>
      <c r="AB51" s="883">
        <f t="shared" si="144"/>
        <v>1179.2813885242083</v>
      </c>
      <c r="AC51" s="883">
        <f t="shared" si="145"/>
        <v>5251.3328647789231</v>
      </c>
      <c r="AD51" s="883">
        <f t="shared" si="146"/>
        <v>12458.529322743827</v>
      </c>
      <c r="AE51" s="883">
        <f t="shared" si="147"/>
        <v>7649.4917489143891</v>
      </c>
      <c r="AF51" s="883">
        <f t="shared" si="148"/>
        <v>8296.9887510460194</v>
      </c>
      <c r="AG51" s="883">
        <f t="shared" si="149"/>
        <v>12392.378306632865</v>
      </c>
      <c r="AH51" s="883">
        <f t="shared" si="150"/>
        <v>17833.254842228205</v>
      </c>
      <c r="AI51" s="883">
        <f t="shared" si="151"/>
        <v>13673.471921775519</v>
      </c>
      <c r="AJ51" s="883">
        <f t="shared" si="152"/>
        <v>13088.137426772362</v>
      </c>
      <c r="AK51" s="883">
        <f t="shared" si="153"/>
        <v>12895.589849109718</v>
      </c>
      <c r="AL51" s="883">
        <f t="shared" si="154"/>
        <v>14904.735819351787</v>
      </c>
      <c r="AM51" s="873">
        <f t="shared" si="155"/>
        <v>26281.659283799578</v>
      </c>
      <c r="AN51" s="879">
        <f t="shared" si="248"/>
        <v>145904.8515256774</v>
      </c>
      <c r="AO51" s="883">
        <f t="shared" si="156"/>
        <v>2153.9394447429081</v>
      </c>
      <c r="AP51" s="883">
        <f t="shared" si="157"/>
        <v>5111.4663100537482</v>
      </c>
      <c r="AQ51" s="883">
        <f t="shared" si="158"/>
        <v>12489.826566195328</v>
      </c>
      <c r="AR51" s="883">
        <f t="shared" si="159"/>
        <v>5102.9762552995217</v>
      </c>
      <c r="AS51" s="883">
        <f t="shared" si="160"/>
        <v>11893.116299169553</v>
      </c>
      <c r="AT51" s="883">
        <f t="shared" si="161"/>
        <v>11119.496628637429</v>
      </c>
      <c r="AU51" s="883">
        <f t="shared" si="162"/>
        <v>20225.335031779363</v>
      </c>
      <c r="AV51" s="883">
        <f t="shared" si="163"/>
        <v>15857.019803313255</v>
      </c>
      <c r="AW51" s="883">
        <f t="shared" si="164"/>
        <v>17331.747964598446</v>
      </c>
      <c r="AX51" s="883">
        <f t="shared" si="165"/>
        <v>13310.189885356735</v>
      </c>
      <c r="AY51" s="883">
        <f t="shared" si="166"/>
        <v>15272.364960599141</v>
      </c>
      <c r="AZ51" s="873">
        <f t="shared" si="167"/>
        <v>23832.451215942758</v>
      </c>
      <c r="BA51" s="879">
        <f t="shared" si="249"/>
        <v>153699.9303656882</v>
      </c>
      <c r="BB51" s="883">
        <f t="shared" si="168"/>
        <v>1165.3045798395312</v>
      </c>
      <c r="BC51" s="883">
        <f t="shared" si="169"/>
        <v>4031.379910388217</v>
      </c>
      <c r="BD51" s="883">
        <f t="shared" si="170"/>
        <v>12463.602943022172</v>
      </c>
      <c r="BE51" s="883">
        <f t="shared" si="171"/>
        <v>19902.518827884192</v>
      </c>
      <c r="BF51" s="883">
        <f t="shared" si="172"/>
        <v>3147.5107044749243</v>
      </c>
      <c r="BG51" s="883">
        <f t="shared" si="173"/>
        <v>20313.771311572509</v>
      </c>
      <c r="BH51" s="883">
        <f t="shared" si="174"/>
        <v>11405.993630019879</v>
      </c>
      <c r="BI51" s="883">
        <f t="shared" si="175"/>
        <v>21103.801831669894</v>
      </c>
      <c r="BJ51" s="883">
        <f t="shared" si="176"/>
        <v>18707.927885560544</v>
      </c>
      <c r="BK51" s="883">
        <f t="shared" si="177"/>
        <v>11552.862698968538</v>
      </c>
      <c r="BL51" s="883">
        <f t="shared" si="178"/>
        <v>14139.56805796622</v>
      </c>
      <c r="BM51" s="873">
        <f t="shared" si="179"/>
        <v>24234.450554689996</v>
      </c>
      <c r="BN51" s="879">
        <f t="shared" si="250"/>
        <v>162168.69293605664</v>
      </c>
      <c r="BO51" s="883">
        <f t="shared" si="180"/>
        <v>2046.0324381248777</v>
      </c>
      <c r="BP51" s="883">
        <f t="shared" si="181"/>
        <v>6425.2473463506303</v>
      </c>
      <c r="BQ51" s="883">
        <f t="shared" si="182"/>
        <v>5579.1762815590027</v>
      </c>
      <c r="BR51" s="883">
        <f t="shared" si="183"/>
        <v>3289.8452135582565</v>
      </c>
      <c r="BS51" s="883">
        <f t="shared" si="184"/>
        <v>1765.8659439470657</v>
      </c>
      <c r="BT51" s="883">
        <f t="shared" si="185"/>
        <v>1961.4373023445137</v>
      </c>
      <c r="BU51" s="883">
        <f t="shared" si="186"/>
        <v>9297.7348580395937</v>
      </c>
      <c r="BV51" s="883">
        <f t="shared" si="187"/>
        <v>5450.0545076967337</v>
      </c>
      <c r="BW51" s="883">
        <f t="shared" si="188"/>
        <v>10522.906261587776</v>
      </c>
      <c r="BX51" s="883">
        <f t="shared" si="189"/>
        <v>13437.101800939497</v>
      </c>
      <c r="BY51" s="883">
        <f t="shared" si="190"/>
        <v>16121.399528978965</v>
      </c>
      <c r="BZ51" s="873">
        <f t="shared" si="191"/>
        <v>31429.607195117071</v>
      </c>
      <c r="CA51" s="879">
        <f t="shared" si="251"/>
        <v>107326.40867824398</v>
      </c>
      <c r="CB51" s="883">
        <f t="shared" si="192"/>
        <v>1838.5499285817089</v>
      </c>
      <c r="CC51" s="883">
        <f t="shared" si="193"/>
        <v>5991.8380756702891</v>
      </c>
      <c r="CD51" s="883">
        <f t="shared" si="194"/>
        <v>14473.698989150782</v>
      </c>
      <c r="CE51" s="883">
        <f t="shared" si="195"/>
        <v>4002.539225936493</v>
      </c>
      <c r="CF51" s="883">
        <f t="shared" si="196"/>
        <v>6765.6181433241327</v>
      </c>
      <c r="CG51" s="883">
        <f t="shared" si="197"/>
        <v>8494.523598235719</v>
      </c>
      <c r="CH51" s="883">
        <f t="shared" si="198"/>
        <v>9399.1821481680945</v>
      </c>
      <c r="CI51" s="883">
        <f t="shared" si="199"/>
        <v>9775.1541776705017</v>
      </c>
      <c r="CJ51" s="883">
        <f t="shared" si="200"/>
        <v>10086.017154895768</v>
      </c>
      <c r="CK51" s="883">
        <f t="shared" si="201"/>
        <v>12410.769864575384</v>
      </c>
      <c r="CL51" s="883">
        <f t="shared" si="202"/>
        <v>9881.9425703592497</v>
      </c>
      <c r="CM51" s="873">
        <f t="shared" si="203"/>
        <v>24819.871217891894</v>
      </c>
      <c r="CN51" s="879">
        <f t="shared" si="252"/>
        <v>117939.70509446002</v>
      </c>
      <c r="CO51" s="883">
        <f t="shared" si="204"/>
        <v>2186.6934605453876</v>
      </c>
      <c r="CP51" s="883">
        <f t="shared" si="205"/>
        <v>7921.1443537292662</v>
      </c>
      <c r="CQ51" s="883">
        <f t="shared" si="206"/>
        <v>11293.718963278567</v>
      </c>
      <c r="CR51" s="883">
        <f t="shared" si="207"/>
        <v>8057.7814450729102</v>
      </c>
      <c r="CS51" s="883">
        <f t="shared" si="208"/>
        <v>9327.2443065883854</v>
      </c>
      <c r="CT51" s="883">
        <f t="shared" si="209"/>
        <v>13443.006433448198</v>
      </c>
      <c r="CU51" s="883">
        <f t="shared" si="210"/>
        <v>14758.171978551472</v>
      </c>
      <c r="CV51" s="883">
        <f t="shared" si="211"/>
        <v>16138.209058938275</v>
      </c>
      <c r="CW51" s="883">
        <f t="shared" si="212"/>
        <v>19638.256216430607</v>
      </c>
      <c r="CX51" s="883">
        <f t="shared" si="213"/>
        <v>18351.605895264725</v>
      </c>
      <c r="CY51" s="883">
        <f t="shared" si="214"/>
        <v>20600.933795346049</v>
      </c>
      <c r="CZ51" s="873">
        <f t="shared" si="215"/>
        <v>32231.843995282728</v>
      </c>
      <c r="DA51" s="879">
        <f t="shared" si="253"/>
        <v>173948.60990247657</v>
      </c>
      <c r="DB51" s="883">
        <f t="shared" si="216"/>
        <v>338.63374204432074</v>
      </c>
      <c r="DC51" s="883">
        <f t="shared" si="217"/>
        <v>4176.4999646092492</v>
      </c>
      <c r="DD51" s="883">
        <f t="shared" si="218"/>
        <v>7745.3127797900424</v>
      </c>
      <c r="DE51" s="883">
        <f t="shared" si="219"/>
        <v>8145.8850234199463</v>
      </c>
      <c r="DF51" s="883">
        <f t="shared" si="220"/>
        <v>7343.0307954342506</v>
      </c>
      <c r="DG51" s="883">
        <f t="shared" si="221"/>
        <v>7931.278573887018</v>
      </c>
      <c r="DH51" s="883">
        <f t="shared" si="222"/>
        <v>10138.065490446186</v>
      </c>
      <c r="DI51" s="883">
        <f t="shared" si="223"/>
        <v>14259.017564197746</v>
      </c>
      <c r="DJ51" s="883">
        <f t="shared" si="224"/>
        <v>13189.359011354603</v>
      </c>
      <c r="DK51" s="883">
        <f t="shared" si="225"/>
        <v>17704.516627276258</v>
      </c>
      <c r="DL51" s="883">
        <f t="shared" si="226"/>
        <v>16531.667759635413</v>
      </c>
      <c r="DM51" s="873">
        <f t="shared" si="227"/>
        <v>33206.330557952366</v>
      </c>
      <c r="DN51" s="879">
        <f t="shared" si="254"/>
        <v>140709.59789004739</v>
      </c>
      <c r="DO51" s="883">
        <f t="shared" si="228"/>
        <v>1206.3294687390041</v>
      </c>
      <c r="DP51" s="883">
        <f t="shared" si="229"/>
        <v>6583.7043174944492</v>
      </c>
      <c r="DQ51" s="883">
        <f t="shared" si="230"/>
        <v>17609.585895030155</v>
      </c>
      <c r="DR51" s="883">
        <f t="shared" si="231"/>
        <v>10805.537585674729</v>
      </c>
      <c r="DS51" s="883">
        <f t="shared" si="232"/>
        <v>11870.912786709712</v>
      </c>
      <c r="DT51" s="883">
        <f t="shared" si="233"/>
        <v>10459.075454440688</v>
      </c>
      <c r="DU51" s="883">
        <f t="shared" si="234"/>
        <v>12630.613568242617</v>
      </c>
      <c r="DV51" s="883">
        <f t="shared" si="235"/>
        <v>11286.992765132411</v>
      </c>
      <c r="DW51" s="883">
        <f t="shared" si="236"/>
        <v>9871.7747753953117</v>
      </c>
      <c r="DX51" s="883">
        <f t="shared" si="237"/>
        <v>11113.301762868839</v>
      </c>
      <c r="DY51" s="883">
        <f t="shared" si="238"/>
        <v>12860.554349982864</v>
      </c>
      <c r="DZ51" s="873">
        <f t="shared" si="239"/>
        <v>27364.362048924289</v>
      </c>
      <c r="EA51" s="879">
        <f t="shared" si="255"/>
        <v>143662.7447786351</v>
      </c>
      <c r="EB51" s="883">
        <f t="shared" si="240"/>
        <v>767.1741595553292</v>
      </c>
      <c r="EC51" s="883">
        <f t="shared" si="241"/>
        <v>4629.476337168896</v>
      </c>
      <c r="ED51" s="883">
        <f t="shared" si="242"/>
        <v>6285.2491988944357</v>
      </c>
      <c r="EE51" s="883">
        <f t="shared" si="243"/>
        <v>10368.236419185607</v>
      </c>
      <c r="EF51" s="883">
        <f t="shared" si="244"/>
        <v>10981.865141267182</v>
      </c>
      <c r="EG51" s="883">
        <f t="shared" si="256"/>
        <v>9823.8614030708995</v>
      </c>
      <c r="EH51" s="883">
        <f t="shared" si="257"/>
        <v>11662.655524095067</v>
      </c>
      <c r="EI51" s="883">
        <f t="shared" si="275"/>
        <v>12799.63048839697</v>
      </c>
      <c r="EJ51" s="883">
        <f t="shared" si="258"/>
        <v>10285.689467124002</v>
      </c>
      <c r="EK51" s="883">
        <f t="shared" si="259"/>
        <v>19259.26985928537</v>
      </c>
      <c r="EL51" s="883">
        <f t="shared" si="260"/>
        <v>17146.637457839402</v>
      </c>
      <c r="EM51" s="873">
        <f t="shared" si="261"/>
        <v>26363.403535118199</v>
      </c>
      <c r="EN51" s="879">
        <f t="shared" si="262"/>
        <v>140373.14899100136</v>
      </c>
      <c r="EO51" s="883">
        <f>+EO17/$EO$37</f>
        <v>656.48853601318478</v>
      </c>
      <c r="EP51" s="883">
        <f t="shared" si="264"/>
        <v>10719.061891656798</v>
      </c>
      <c r="EQ51" s="883">
        <f t="shared" si="265"/>
        <v>10507.74741625774</v>
      </c>
      <c r="ER51" s="883">
        <f t="shared" si="266"/>
        <v>21528.645110055979</v>
      </c>
      <c r="ES51" s="883">
        <f t="shared" si="267"/>
        <v>9015.5570361533355</v>
      </c>
      <c r="ET51" s="883">
        <f t="shared" si="268"/>
        <v>12062.265455771712</v>
      </c>
      <c r="EU51" s="883">
        <f t="shared" si="269"/>
        <v>14575.717861612915</v>
      </c>
      <c r="EV51" s="973">
        <f t="shared" si="270"/>
        <v>14196.747853034512</v>
      </c>
      <c r="EW51" s="883"/>
      <c r="EX51" s="883"/>
      <c r="EY51" s="883"/>
      <c r="EZ51" s="873"/>
      <c r="FA51" s="879">
        <f t="shared" si="271"/>
        <v>93262.23116055617</v>
      </c>
      <c r="FC51" s="843">
        <f t="shared" si="272"/>
        <v>10.915294514978747</v>
      </c>
      <c r="FD51" s="844">
        <f t="shared" si="276"/>
        <v>38.539506805916865</v>
      </c>
      <c r="FE51" s="845">
        <f t="shared" si="273"/>
        <v>67318.148671634393</v>
      </c>
      <c r="FF51" s="846">
        <f t="shared" si="245"/>
        <v>93262.23116055617</v>
      </c>
      <c r="FH51" s="127">
        <f t="shared" si="274"/>
        <v>1397.1173646375428</v>
      </c>
    </row>
    <row r="52" spans="1:164" ht="15" customHeight="1" x14ac:dyDescent="0.25">
      <c r="A52" s="404" t="s">
        <v>379</v>
      </c>
      <c r="B52" s="883">
        <f t="shared" si="120"/>
        <v>0</v>
      </c>
      <c r="C52" s="883">
        <f t="shared" si="121"/>
        <v>0</v>
      </c>
      <c r="D52" s="883">
        <f t="shared" si="122"/>
        <v>0</v>
      </c>
      <c r="E52" s="883">
        <f t="shared" si="123"/>
        <v>0</v>
      </c>
      <c r="F52" s="883">
        <f t="shared" si="124"/>
        <v>0</v>
      </c>
      <c r="G52" s="883">
        <f t="shared" si="125"/>
        <v>0</v>
      </c>
      <c r="H52" s="883">
        <f t="shared" si="126"/>
        <v>0</v>
      </c>
      <c r="I52" s="883">
        <f t="shared" si="127"/>
        <v>0</v>
      </c>
      <c r="J52" s="883">
        <f t="shared" si="128"/>
        <v>0</v>
      </c>
      <c r="K52" s="883">
        <f t="shared" si="129"/>
        <v>0</v>
      </c>
      <c r="L52" s="883">
        <f t="shared" si="130"/>
        <v>0</v>
      </c>
      <c r="M52" s="873">
        <f t="shared" si="131"/>
        <v>0</v>
      </c>
      <c r="N52" s="879">
        <f t="shared" si="246"/>
        <v>0</v>
      </c>
      <c r="O52" s="883">
        <f t="shared" si="132"/>
        <v>0</v>
      </c>
      <c r="P52" s="883">
        <f t="shared" si="133"/>
        <v>0</v>
      </c>
      <c r="Q52" s="883">
        <f t="shared" si="134"/>
        <v>0</v>
      </c>
      <c r="R52" s="883">
        <f t="shared" si="135"/>
        <v>0</v>
      </c>
      <c r="S52" s="883">
        <f t="shared" si="136"/>
        <v>0</v>
      </c>
      <c r="T52" s="883">
        <f t="shared" si="137"/>
        <v>0</v>
      </c>
      <c r="U52" s="883">
        <f t="shared" si="138"/>
        <v>0</v>
      </c>
      <c r="V52" s="883">
        <f t="shared" si="139"/>
        <v>0</v>
      </c>
      <c r="W52" s="883">
        <f t="shared" si="140"/>
        <v>0</v>
      </c>
      <c r="X52" s="883">
        <f t="shared" si="141"/>
        <v>0</v>
      </c>
      <c r="Y52" s="883">
        <f t="shared" si="142"/>
        <v>0</v>
      </c>
      <c r="Z52" s="873">
        <f t="shared" si="143"/>
        <v>0</v>
      </c>
      <c r="AA52" s="879">
        <f t="shared" si="247"/>
        <v>0</v>
      </c>
      <c r="AB52" s="883">
        <f t="shared" si="144"/>
        <v>0</v>
      </c>
      <c r="AC52" s="883">
        <f t="shared" si="145"/>
        <v>0</v>
      </c>
      <c r="AD52" s="883">
        <f t="shared" si="146"/>
        <v>0</v>
      </c>
      <c r="AE52" s="883">
        <f t="shared" si="147"/>
        <v>0</v>
      </c>
      <c r="AF52" s="883">
        <f t="shared" si="148"/>
        <v>0</v>
      </c>
      <c r="AG52" s="883">
        <f t="shared" si="149"/>
        <v>0</v>
      </c>
      <c r="AH52" s="883">
        <f t="shared" si="150"/>
        <v>0</v>
      </c>
      <c r="AI52" s="883">
        <f t="shared" si="151"/>
        <v>0</v>
      </c>
      <c r="AJ52" s="883">
        <f t="shared" si="152"/>
        <v>0</v>
      </c>
      <c r="AK52" s="883">
        <f t="shared" si="153"/>
        <v>0</v>
      </c>
      <c r="AL52" s="883">
        <f t="shared" si="154"/>
        <v>0</v>
      </c>
      <c r="AM52" s="873">
        <f t="shared" si="155"/>
        <v>0</v>
      </c>
      <c r="AN52" s="879">
        <f t="shared" si="248"/>
        <v>0</v>
      </c>
      <c r="AO52" s="883">
        <f t="shared" si="156"/>
        <v>0</v>
      </c>
      <c r="AP52" s="883">
        <f t="shared" si="157"/>
        <v>0</v>
      </c>
      <c r="AQ52" s="883">
        <f t="shared" si="158"/>
        <v>0</v>
      </c>
      <c r="AR52" s="883">
        <f t="shared" si="159"/>
        <v>0</v>
      </c>
      <c r="AS52" s="883">
        <f t="shared" si="160"/>
        <v>0</v>
      </c>
      <c r="AT52" s="883">
        <f t="shared" si="161"/>
        <v>0</v>
      </c>
      <c r="AU52" s="883">
        <f t="shared" si="162"/>
        <v>0</v>
      </c>
      <c r="AV52" s="883">
        <f t="shared" si="163"/>
        <v>0</v>
      </c>
      <c r="AW52" s="883">
        <f t="shared" si="164"/>
        <v>0</v>
      </c>
      <c r="AX52" s="883">
        <f t="shared" si="165"/>
        <v>0</v>
      </c>
      <c r="AY52" s="883">
        <f t="shared" si="166"/>
        <v>0</v>
      </c>
      <c r="AZ52" s="873">
        <f t="shared" si="167"/>
        <v>0</v>
      </c>
      <c r="BA52" s="879">
        <f t="shared" si="249"/>
        <v>0</v>
      </c>
      <c r="BB52" s="883">
        <f t="shared" si="168"/>
        <v>0</v>
      </c>
      <c r="BC52" s="883">
        <f t="shared" si="169"/>
        <v>0</v>
      </c>
      <c r="BD52" s="883">
        <f t="shared" si="170"/>
        <v>0</v>
      </c>
      <c r="BE52" s="883">
        <f t="shared" si="171"/>
        <v>0</v>
      </c>
      <c r="BF52" s="883">
        <f t="shared" si="172"/>
        <v>0</v>
      </c>
      <c r="BG52" s="883">
        <f t="shared" si="173"/>
        <v>0</v>
      </c>
      <c r="BH52" s="883">
        <f t="shared" si="174"/>
        <v>0</v>
      </c>
      <c r="BI52" s="883">
        <f t="shared" si="175"/>
        <v>0</v>
      </c>
      <c r="BJ52" s="883">
        <f t="shared" si="176"/>
        <v>0</v>
      </c>
      <c r="BK52" s="883">
        <f t="shared" si="177"/>
        <v>0</v>
      </c>
      <c r="BL52" s="883">
        <f t="shared" si="178"/>
        <v>0</v>
      </c>
      <c r="BM52" s="873">
        <f t="shared" si="179"/>
        <v>0</v>
      </c>
      <c r="BN52" s="879">
        <f t="shared" si="250"/>
        <v>0</v>
      </c>
      <c r="BO52" s="883">
        <f t="shared" si="180"/>
        <v>0</v>
      </c>
      <c r="BP52" s="883">
        <f t="shared" si="181"/>
        <v>0</v>
      </c>
      <c r="BQ52" s="883">
        <f t="shared" si="182"/>
        <v>0</v>
      </c>
      <c r="BR52" s="883">
        <f t="shared" si="183"/>
        <v>0</v>
      </c>
      <c r="BS52" s="883">
        <f t="shared" si="184"/>
        <v>0</v>
      </c>
      <c r="BT52" s="883">
        <f t="shared" si="185"/>
        <v>0</v>
      </c>
      <c r="BU52" s="883">
        <f t="shared" si="186"/>
        <v>0</v>
      </c>
      <c r="BV52" s="883">
        <f t="shared" si="187"/>
        <v>0</v>
      </c>
      <c r="BW52" s="883">
        <f t="shared" si="188"/>
        <v>0</v>
      </c>
      <c r="BX52" s="883">
        <f t="shared" si="189"/>
        <v>0</v>
      </c>
      <c r="BY52" s="883">
        <f t="shared" si="190"/>
        <v>0</v>
      </c>
      <c r="BZ52" s="873">
        <f t="shared" si="191"/>
        <v>0</v>
      </c>
      <c r="CA52" s="879">
        <f t="shared" si="251"/>
        <v>0</v>
      </c>
      <c r="CB52" s="883">
        <f t="shared" si="192"/>
        <v>0</v>
      </c>
      <c r="CC52" s="883">
        <f t="shared" si="193"/>
        <v>0</v>
      </c>
      <c r="CD52" s="883">
        <f t="shared" si="194"/>
        <v>0</v>
      </c>
      <c r="CE52" s="883">
        <f t="shared" si="195"/>
        <v>0</v>
      </c>
      <c r="CF52" s="883">
        <f t="shared" si="196"/>
        <v>0</v>
      </c>
      <c r="CG52" s="883">
        <f t="shared" si="197"/>
        <v>0</v>
      </c>
      <c r="CH52" s="883">
        <f t="shared" si="198"/>
        <v>0</v>
      </c>
      <c r="CI52" s="883">
        <f t="shared" si="199"/>
        <v>0</v>
      </c>
      <c r="CJ52" s="883">
        <f t="shared" si="200"/>
        <v>0</v>
      </c>
      <c r="CK52" s="883">
        <f t="shared" si="201"/>
        <v>0</v>
      </c>
      <c r="CL52" s="883">
        <f t="shared" si="202"/>
        <v>0</v>
      </c>
      <c r="CM52" s="873">
        <f t="shared" si="203"/>
        <v>0</v>
      </c>
      <c r="CN52" s="879">
        <f t="shared" si="252"/>
        <v>0</v>
      </c>
      <c r="CO52" s="883">
        <f t="shared" si="204"/>
        <v>0</v>
      </c>
      <c r="CP52" s="883">
        <f t="shared" si="205"/>
        <v>0</v>
      </c>
      <c r="CQ52" s="883">
        <f t="shared" si="206"/>
        <v>0</v>
      </c>
      <c r="CR52" s="883">
        <f t="shared" si="207"/>
        <v>0</v>
      </c>
      <c r="CS52" s="883">
        <f t="shared" si="208"/>
        <v>0</v>
      </c>
      <c r="CT52" s="883">
        <f t="shared" si="209"/>
        <v>0</v>
      </c>
      <c r="CU52" s="883">
        <f t="shared" si="210"/>
        <v>0</v>
      </c>
      <c r="CV52" s="883">
        <f t="shared" si="211"/>
        <v>0</v>
      </c>
      <c r="CW52" s="883">
        <f t="shared" si="212"/>
        <v>0</v>
      </c>
      <c r="CX52" s="883">
        <f t="shared" si="213"/>
        <v>0</v>
      </c>
      <c r="CY52" s="883">
        <f t="shared" si="214"/>
        <v>0</v>
      </c>
      <c r="CZ52" s="873">
        <f t="shared" si="215"/>
        <v>0</v>
      </c>
      <c r="DA52" s="879">
        <f t="shared" si="253"/>
        <v>0</v>
      </c>
      <c r="DB52" s="883">
        <f t="shared" si="216"/>
        <v>0</v>
      </c>
      <c r="DC52" s="883">
        <f t="shared" si="217"/>
        <v>0</v>
      </c>
      <c r="DD52" s="883">
        <f t="shared" si="218"/>
        <v>0</v>
      </c>
      <c r="DE52" s="883">
        <f t="shared" si="219"/>
        <v>0</v>
      </c>
      <c r="DF52" s="883">
        <f t="shared" si="220"/>
        <v>0</v>
      </c>
      <c r="DG52" s="883">
        <f t="shared" si="221"/>
        <v>0</v>
      </c>
      <c r="DH52" s="883">
        <f t="shared" si="222"/>
        <v>0</v>
      </c>
      <c r="DI52" s="883">
        <f t="shared" si="223"/>
        <v>0</v>
      </c>
      <c r="DJ52" s="883">
        <f t="shared" si="224"/>
        <v>0</v>
      </c>
      <c r="DK52" s="883">
        <f t="shared" si="225"/>
        <v>0</v>
      </c>
      <c r="DL52" s="883">
        <f t="shared" si="226"/>
        <v>0</v>
      </c>
      <c r="DM52" s="873">
        <f t="shared" si="227"/>
        <v>0</v>
      </c>
      <c r="DN52" s="879">
        <f t="shared" si="254"/>
        <v>0</v>
      </c>
      <c r="DO52" s="883">
        <f t="shared" si="228"/>
        <v>0</v>
      </c>
      <c r="DP52" s="883">
        <f t="shared" si="229"/>
        <v>0</v>
      </c>
      <c r="DQ52" s="883">
        <f t="shared" si="230"/>
        <v>0</v>
      </c>
      <c r="DR52" s="883">
        <f t="shared" si="231"/>
        <v>0</v>
      </c>
      <c r="DS52" s="883">
        <f t="shared" si="232"/>
        <v>0</v>
      </c>
      <c r="DT52" s="883">
        <f t="shared" si="233"/>
        <v>0</v>
      </c>
      <c r="DU52" s="883">
        <f t="shared" si="234"/>
        <v>0</v>
      </c>
      <c r="DV52" s="883">
        <f t="shared" si="235"/>
        <v>0</v>
      </c>
      <c r="DW52" s="883">
        <f t="shared" si="236"/>
        <v>0</v>
      </c>
      <c r="DX52" s="883">
        <f t="shared" si="237"/>
        <v>0</v>
      </c>
      <c r="DY52" s="883">
        <f t="shared" si="238"/>
        <v>0</v>
      </c>
      <c r="DZ52" s="873">
        <f t="shared" si="239"/>
        <v>0</v>
      </c>
      <c r="EA52" s="879">
        <f t="shared" si="255"/>
        <v>0</v>
      </c>
      <c r="EB52" s="883">
        <f t="shared" si="240"/>
        <v>0</v>
      </c>
      <c r="EC52" s="883">
        <f t="shared" si="241"/>
        <v>0</v>
      </c>
      <c r="ED52" s="883">
        <f t="shared" si="242"/>
        <v>0</v>
      </c>
      <c r="EE52" s="883">
        <f t="shared" si="243"/>
        <v>0</v>
      </c>
      <c r="EF52" s="883">
        <f t="shared" si="244"/>
        <v>0</v>
      </c>
      <c r="EG52" s="883">
        <f t="shared" si="256"/>
        <v>0</v>
      </c>
      <c r="EH52" s="883">
        <f t="shared" si="257"/>
        <v>0</v>
      </c>
      <c r="EI52" s="883">
        <f t="shared" si="275"/>
        <v>0</v>
      </c>
      <c r="EJ52" s="883">
        <f t="shared" si="258"/>
        <v>0</v>
      </c>
      <c r="EK52" s="883">
        <f>+EK18/$EK$37</f>
        <v>0</v>
      </c>
      <c r="EL52" s="883">
        <f t="shared" si="260"/>
        <v>0</v>
      </c>
      <c r="EM52" s="873">
        <f t="shared" si="261"/>
        <v>0</v>
      </c>
      <c r="EN52" s="879">
        <f t="shared" si="262"/>
        <v>0</v>
      </c>
      <c r="EO52" s="883">
        <f t="shared" si="263"/>
        <v>0</v>
      </c>
      <c r="EP52" s="883">
        <f t="shared" si="264"/>
        <v>0</v>
      </c>
      <c r="EQ52" s="883">
        <f t="shared" si="265"/>
        <v>0</v>
      </c>
      <c r="ER52" s="883">
        <f t="shared" si="266"/>
        <v>0</v>
      </c>
      <c r="ES52" s="883">
        <f t="shared" si="267"/>
        <v>0</v>
      </c>
      <c r="ET52" s="883">
        <f t="shared" si="268"/>
        <v>0</v>
      </c>
      <c r="EU52" s="883">
        <f t="shared" si="269"/>
        <v>0</v>
      </c>
      <c r="EV52" s="973">
        <f t="shared" si="270"/>
        <v>0</v>
      </c>
      <c r="EW52" s="883"/>
      <c r="EX52" s="883"/>
      <c r="EY52" s="883"/>
      <c r="EZ52" s="873"/>
      <c r="FA52" s="879">
        <f t="shared" si="271"/>
        <v>0</v>
      </c>
      <c r="FC52" s="843" t="str">
        <f t="shared" si="272"/>
        <v/>
      </c>
      <c r="FD52" s="844" t="str">
        <f t="shared" si="276"/>
        <v/>
      </c>
      <c r="FE52" s="845">
        <f t="shared" si="273"/>
        <v>0</v>
      </c>
      <c r="FF52" s="846">
        <f t="shared" si="245"/>
        <v>0</v>
      </c>
      <c r="FH52" s="127">
        <f t="shared" si="274"/>
        <v>0</v>
      </c>
    </row>
    <row r="53" spans="1:164" ht="15" customHeight="1" x14ac:dyDescent="0.25">
      <c r="A53" s="401" t="s">
        <v>380</v>
      </c>
      <c r="B53" s="885">
        <f t="shared" si="120"/>
        <v>0</v>
      </c>
      <c r="C53" s="885">
        <f t="shared" si="121"/>
        <v>47.795786612551986</v>
      </c>
      <c r="D53" s="885">
        <f t="shared" si="122"/>
        <v>0</v>
      </c>
      <c r="E53" s="885">
        <f t="shared" si="123"/>
        <v>185.13096563631061</v>
      </c>
      <c r="F53" s="885">
        <f t="shared" si="124"/>
        <v>214.91172202415697</v>
      </c>
      <c r="G53" s="885">
        <f t="shared" si="125"/>
        <v>195.01086341287322</v>
      </c>
      <c r="H53" s="885">
        <f t="shared" si="126"/>
        <v>566.36102024723039</v>
      </c>
      <c r="I53" s="885">
        <f t="shared" si="127"/>
        <v>138.57961297003362</v>
      </c>
      <c r="J53" s="885">
        <f t="shared" si="128"/>
        <v>394.30060827069167</v>
      </c>
      <c r="K53" s="885">
        <f t="shared" si="129"/>
        <v>404.39123373996063</v>
      </c>
      <c r="L53" s="885">
        <f t="shared" si="130"/>
        <v>66.665121611177128</v>
      </c>
      <c r="M53" s="877">
        <f>M54+M55</f>
        <v>673</v>
      </c>
      <c r="N53" s="878">
        <f t="shared" si="246"/>
        <v>2886.1469345249866</v>
      </c>
      <c r="O53" s="885">
        <f t="shared" si="132"/>
        <v>36.817832562300602</v>
      </c>
      <c r="P53" s="885">
        <f t="shared" si="133"/>
        <v>210.03056268515294</v>
      </c>
      <c r="Q53" s="885">
        <f t="shared" si="134"/>
        <v>136.45126729403222</v>
      </c>
      <c r="R53" s="885">
        <f t="shared" si="135"/>
        <v>357.12361569220911</v>
      </c>
      <c r="S53" s="885">
        <f t="shared" si="136"/>
        <v>389.85515516104618</v>
      </c>
      <c r="T53" s="885">
        <f t="shared" si="137"/>
        <v>595.85251342616334</v>
      </c>
      <c r="U53" s="885">
        <f t="shared" si="138"/>
        <v>743.84908339290632</v>
      </c>
      <c r="V53" s="885">
        <f t="shared" si="139"/>
        <v>593.2405464888385</v>
      </c>
      <c r="W53" s="885">
        <f t="shared" si="140"/>
        <v>591.25920073775217</v>
      </c>
      <c r="X53" s="885">
        <f t="shared" si="141"/>
        <v>567.52595627533185</v>
      </c>
      <c r="Y53" s="885">
        <f t="shared" si="142"/>
        <v>418.54957544521727</v>
      </c>
      <c r="Z53" s="877">
        <f t="shared" si="143"/>
        <v>119.81848756025541</v>
      </c>
      <c r="AA53" s="878">
        <f t="shared" si="247"/>
        <v>4760.3737967212064</v>
      </c>
      <c r="AB53" s="885">
        <f t="shared" si="144"/>
        <v>809.02493279472878</v>
      </c>
      <c r="AC53" s="885">
        <f t="shared" si="145"/>
        <v>392.32425940517686</v>
      </c>
      <c r="AD53" s="885">
        <f t="shared" si="146"/>
        <v>387.2894959577265</v>
      </c>
      <c r="AE53" s="885">
        <f t="shared" si="147"/>
        <v>450.85836873184076</v>
      </c>
      <c r="AF53" s="885">
        <f t="shared" si="148"/>
        <v>389.93680814315496</v>
      </c>
      <c r="AG53" s="885">
        <f t="shared" si="149"/>
        <v>125.84766110389393</v>
      </c>
      <c r="AH53" s="885">
        <f t="shared" si="150"/>
        <v>250.47111755254542</v>
      </c>
      <c r="AI53" s="885">
        <f t="shared" si="151"/>
        <v>942.87444033218708</v>
      </c>
      <c r="AJ53" s="885">
        <f t="shared" si="152"/>
        <v>984.65822942238105</v>
      </c>
      <c r="AK53" s="885">
        <f t="shared" si="153"/>
        <v>920.13567845522198</v>
      </c>
      <c r="AL53" s="885">
        <f t="shared" si="154"/>
        <v>931.36549152120733</v>
      </c>
      <c r="AM53" s="877">
        <f t="shared" si="155"/>
        <v>1188.6576017275233</v>
      </c>
      <c r="AN53" s="878">
        <f t="shared" si="248"/>
        <v>7773.4440851475883</v>
      </c>
      <c r="AO53" s="885">
        <f t="shared" si="156"/>
        <v>1726.3191138013012</v>
      </c>
      <c r="AP53" s="885">
        <f t="shared" si="157"/>
        <v>656.34731770007386</v>
      </c>
      <c r="AQ53" s="885">
        <f t="shared" si="158"/>
        <v>1210.537029587761</v>
      </c>
      <c r="AR53" s="885">
        <f t="shared" si="159"/>
        <v>1280.9321970251219</v>
      </c>
      <c r="AS53" s="885">
        <f t="shared" si="160"/>
        <v>1206.2680671599512</v>
      </c>
      <c r="AT53" s="885">
        <f t="shared" si="161"/>
        <v>1149.5304665788199</v>
      </c>
      <c r="AU53" s="885">
        <f t="shared" si="162"/>
        <v>1242.5047759249071</v>
      </c>
      <c r="AV53" s="885">
        <f t="shared" si="163"/>
        <v>1189.0991136623272</v>
      </c>
      <c r="AW53" s="885">
        <f t="shared" si="164"/>
        <v>1184.7196872226025</v>
      </c>
      <c r="AX53" s="885">
        <f t="shared" si="165"/>
        <v>1137.072731155615</v>
      </c>
      <c r="AY53" s="885">
        <f t="shared" si="166"/>
        <v>862.9133557099284</v>
      </c>
      <c r="AZ53" s="877">
        <f t="shared" si="167"/>
        <v>1067.3563238824674</v>
      </c>
      <c r="BA53" s="878">
        <f t="shared" si="249"/>
        <v>13913.600179410878</v>
      </c>
      <c r="BB53" s="885">
        <f t="shared" si="168"/>
        <v>0</v>
      </c>
      <c r="BC53" s="885">
        <f t="shared" si="169"/>
        <v>0</v>
      </c>
      <c r="BD53" s="885">
        <f t="shared" si="170"/>
        <v>0</v>
      </c>
      <c r="BE53" s="885">
        <f t="shared" si="171"/>
        <v>0</v>
      </c>
      <c r="BF53" s="885">
        <f t="shared" si="172"/>
        <v>266.76180566804516</v>
      </c>
      <c r="BG53" s="885">
        <f t="shared" si="173"/>
        <v>82.958879373936256</v>
      </c>
      <c r="BH53" s="885">
        <f t="shared" si="174"/>
        <v>27.133936291983364</v>
      </c>
      <c r="BI53" s="885">
        <f t="shared" si="175"/>
        <v>118.90053419048967</v>
      </c>
      <c r="BJ53" s="885">
        <f t="shared" si="176"/>
        <v>154.3466623529969</v>
      </c>
      <c r="BK53" s="885">
        <f t="shared" si="177"/>
        <v>148.62113721546541</v>
      </c>
      <c r="BL53" s="885">
        <f t="shared" si="178"/>
        <v>206.73100192689301</v>
      </c>
      <c r="BM53" s="877">
        <f t="shared" si="179"/>
        <v>229.83510681169705</v>
      </c>
      <c r="BN53" s="878">
        <f t="shared" si="250"/>
        <v>1235.2890638315068</v>
      </c>
      <c r="BO53" s="885">
        <f t="shared" si="180"/>
        <v>40.823778778954271</v>
      </c>
      <c r="BP53" s="885">
        <f t="shared" si="181"/>
        <v>89.133982974430722</v>
      </c>
      <c r="BQ53" s="885">
        <f t="shared" si="182"/>
        <v>78.260870690011842</v>
      </c>
      <c r="BR53" s="885">
        <f t="shared" si="183"/>
        <v>40.462970106303338</v>
      </c>
      <c r="BS53" s="885">
        <f t="shared" si="184"/>
        <v>40.382205694913516</v>
      </c>
      <c r="BT53" s="885">
        <f t="shared" si="185"/>
        <v>424.8179461690882</v>
      </c>
      <c r="BU53" s="885">
        <f t="shared" si="186"/>
        <v>40.306124660127558</v>
      </c>
      <c r="BV53" s="885">
        <f t="shared" si="187"/>
        <v>-16.413766869710326</v>
      </c>
      <c r="BW53" s="885">
        <f t="shared" si="188"/>
        <v>85.36885271926738</v>
      </c>
      <c r="BX53" s="885">
        <f t="shared" si="189"/>
        <v>54.625140712188617</v>
      </c>
      <c r="BY53" s="885">
        <f t="shared" si="190"/>
        <v>86.948095045266399</v>
      </c>
      <c r="BZ53" s="877">
        <f t="shared" si="191"/>
        <v>332.00289290616627</v>
      </c>
      <c r="CA53" s="878">
        <f t="shared" si="251"/>
        <v>1296.7190935870076</v>
      </c>
      <c r="CB53" s="885">
        <f t="shared" si="192"/>
        <v>27.632165348918647</v>
      </c>
      <c r="CC53" s="885">
        <f t="shared" si="193"/>
        <v>12.146985624739859</v>
      </c>
      <c r="CD53" s="885">
        <f t="shared" si="194"/>
        <v>78.966916992777527</v>
      </c>
      <c r="CE53" s="885">
        <f t="shared" si="195"/>
        <v>39.52298147786663</v>
      </c>
      <c r="CF53" s="885">
        <f t="shared" si="196"/>
        <v>295.29013719258091</v>
      </c>
      <c r="CG53" s="885">
        <f t="shared" si="197"/>
        <v>192.74014893109762</v>
      </c>
      <c r="CH53" s="885">
        <f t="shared" si="198"/>
        <v>21.055220772935179</v>
      </c>
      <c r="CI53" s="885">
        <f t="shared" si="199"/>
        <v>191.56747955173495</v>
      </c>
      <c r="CJ53" s="885">
        <f t="shared" si="200"/>
        <v>211.57207338626986</v>
      </c>
      <c r="CK53" s="885">
        <f t="shared" si="201"/>
        <v>574.2739513087289</v>
      </c>
      <c r="CL53" s="885">
        <f t="shared" si="202"/>
        <v>284.82111637404989</v>
      </c>
      <c r="CM53" s="877">
        <f t="shared" si="203"/>
        <v>213.71692219493085</v>
      </c>
      <c r="CN53" s="878">
        <f t="shared" si="252"/>
        <v>2143.3060991566308</v>
      </c>
      <c r="CO53" s="885">
        <f t="shared" si="204"/>
        <v>117.97558769346651</v>
      </c>
      <c r="CP53" s="885">
        <f t="shared" si="205"/>
        <v>121.42364137739084</v>
      </c>
      <c r="CQ53" s="885">
        <f t="shared" si="206"/>
        <v>257.472736515836</v>
      </c>
      <c r="CR53" s="885">
        <f t="shared" si="207"/>
        <v>85.008167101108015</v>
      </c>
      <c r="CS53" s="885">
        <f t="shared" si="208"/>
        <v>565.60597392328009</v>
      </c>
      <c r="CT53" s="885">
        <f t="shared" si="209"/>
        <v>103.23857526368924</v>
      </c>
      <c r="CU53" s="885">
        <f t="shared" si="210"/>
        <v>139.19378147571715</v>
      </c>
      <c r="CV53" s="885">
        <f t="shared" si="211"/>
        <v>419.61147040934685</v>
      </c>
      <c r="CW53" s="885">
        <f t="shared" si="212"/>
        <v>564.5617403633247</v>
      </c>
      <c r="CX53" s="885">
        <f t="shared" si="213"/>
        <v>213.35611699102952</v>
      </c>
      <c r="CY53" s="885">
        <f t="shared" si="214"/>
        <v>89.525455524138877</v>
      </c>
      <c r="CZ53" s="877">
        <f t="shared" si="215"/>
        <v>673.53106863157871</v>
      </c>
      <c r="DA53" s="878">
        <f t="shared" si="253"/>
        <v>3350.5043152699068</v>
      </c>
      <c r="DB53" s="885">
        <f t="shared" si="216"/>
        <v>0</v>
      </c>
      <c r="DC53" s="885">
        <f t="shared" si="217"/>
        <v>111.77126148807153</v>
      </c>
      <c r="DD53" s="885">
        <f t="shared" si="218"/>
        <v>67.621938305755904</v>
      </c>
      <c r="DE53" s="885">
        <f t="shared" si="219"/>
        <v>29.312081859480511</v>
      </c>
      <c r="DF53" s="885">
        <f t="shared" si="220"/>
        <v>44.687243664185971</v>
      </c>
      <c r="DG53" s="885">
        <f t="shared" si="221"/>
        <v>67.131562840539758</v>
      </c>
      <c r="DH53" s="885">
        <f t="shared" si="222"/>
        <v>0</v>
      </c>
      <c r="DI53" s="885">
        <f t="shared" si="223"/>
        <v>49.536178895707536</v>
      </c>
      <c r="DJ53" s="885">
        <f t="shared" si="224"/>
        <v>376.28582616882005</v>
      </c>
      <c r="DK53" s="885">
        <f t="shared" si="225"/>
        <v>157.05112972165318</v>
      </c>
      <c r="DL53" s="885">
        <f t="shared" si="226"/>
        <v>1196.6454085726198</v>
      </c>
      <c r="DM53" s="877">
        <f t="shared" si="227"/>
        <v>332.68994760412045</v>
      </c>
      <c r="DN53" s="878">
        <f t="shared" si="254"/>
        <v>2432.7325791209546</v>
      </c>
      <c r="DO53" s="885">
        <f t="shared" si="228"/>
        <v>21.073744260313102</v>
      </c>
      <c r="DP53" s="885">
        <f t="shared" si="229"/>
        <v>127.43749754269194</v>
      </c>
      <c r="DQ53" s="885">
        <f t="shared" si="230"/>
        <v>350.45346869587155</v>
      </c>
      <c r="DR53" s="885">
        <f t="shared" si="231"/>
        <v>134.64145270556745</v>
      </c>
      <c r="DS53" s="885">
        <f t="shared" si="232"/>
        <v>355.43672456304091</v>
      </c>
      <c r="DT53" s="885">
        <f t="shared" si="233"/>
        <v>132.91870248820007</v>
      </c>
      <c r="DU53" s="885">
        <f t="shared" si="234"/>
        <v>33.010241440811271</v>
      </c>
      <c r="DV53" s="885">
        <f t="shared" si="235"/>
        <v>259.43903291085371</v>
      </c>
      <c r="DW53" s="885">
        <f t="shared" si="236"/>
        <v>22.930302293989453</v>
      </c>
      <c r="DX53" s="885">
        <f t="shared" si="237"/>
        <v>788.16948985641091</v>
      </c>
      <c r="DY53" s="885">
        <f t="shared" si="238"/>
        <v>117.44798493135036</v>
      </c>
      <c r="DZ53" s="877">
        <f t="shared" si="239"/>
        <v>465.36510527854995</v>
      </c>
      <c r="EA53" s="878">
        <f t="shared" si="255"/>
        <v>2808.3237469676505</v>
      </c>
      <c r="EB53" s="885">
        <f t="shared" si="240"/>
        <v>196.82602344276665</v>
      </c>
      <c r="EC53" s="885">
        <f t="shared" si="241"/>
        <v>0</v>
      </c>
      <c r="ED53" s="885">
        <f t="shared" si="242"/>
        <v>171.06861644132658</v>
      </c>
      <c r="EE53" s="885">
        <f t="shared" si="243"/>
        <v>85.537398604096722</v>
      </c>
      <c r="EF53" s="885">
        <f t="shared" si="244"/>
        <v>41.966097683844829</v>
      </c>
      <c r="EG53" s="885">
        <f t="shared" si="256"/>
        <v>457.71892694222782</v>
      </c>
      <c r="EH53" s="885">
        <f t="shared" si="257"/>
        <v>18.706906063085921</v>
      </c>
      <c r="EI53" s="885">
        <f t="shared" si="275"/>
        <v>493.31219419843467</v>
      </c>
      <c r="EJ53" s="885">
        <f t="shared" si="258"/>
        <v>59.588802834963651</v>
      </c>
      <c r="EK53" s="885">
        <f t="shared" si="259"/>
        <v>1055.9985079565722</v>
      </c>
      <c r="EL53" s="885">
        <f t="shared" si="260"/>
        <v>147.30219437719177</v>
      </c>
      <c r="EM53" s="877">
        <f t="shared" si="261"/>
        <v>-549.82234466050988</v>
      </c>
      <c r="EN53" s="878">
        <f t="shared" si="262"/>
        <v>2178.2033238840013</v>
      </c>
      <c r="EO53" s="885">
        <f t="shared" si="263"/>
        <v>77.525028122160023</v>
      </c>
      <c r="EP53" s="885">
        <f t="shared" si="264"/>
        <v>11.467157398104572</v>
      </c>
      <c r="EQ53" s="885">
        <f t="shared" si="265"/>
        <v>389.88697839116838</v>
      </c>
      <c r="ER53" s="885">
        <f t="shared" si="266"/>
        <v>1263.8939382893809</v>
      </c>
      <c r="ES53" s="885">
        <f t="shared" si="267"/>
        <v>451.73446597089929</v>
      </c>
      <c r="ET53" s="885">
        <f t="shared" si="268"/>
        <v>814.43754626864256</v>
      </c>
      <c r="EU53" s="885">
        <f t="shared" si="269"/>
        <v>815.25470429130962</v>
      </c>
      <c r="EV53" s="972">
        <f t="shared" si="270"/>
        <v>502.44156184123483</v>
      </c>
      <c r="EW53" s="885"/>
      <c r="EX53" s="885"/>
      <c r="EY53" s="885"/>
      <c r="EZ53" s="877"/>
      <c r="FA53" s="878">
        <f t="shared" si="271"/>
        <v>4326.6413805728998</v>
      </c>
      <c r="FB53" s="110"/>
      <c r="FC53" s="851">
        <f t="shared" si="272"/>
        <v>1.8506267937759224</v>
      </c>
      <c r="FD53" s="852">
        <f t="shared" si="276"/>
        <v>195.3064355878019</v>
      </c>
      <c r="FE53" s="853">
        <f t="shared" si="273"/>
        <v>1465.1361633757833</v>
      </c>
      <c r="FF53" s="854">
        <f t="shared" si="245"/>
        <v>4326.6413805728998</v>
      </c>
      <c r="FH53" s="236">
        <f t="shared" si="274"/>
        <v>9.1293676428001618</v>
      </c>
    </row>
    <row r="54" spans="1:164" ht="15" customHeight="1" x14ac:dyDescent="0.25">
      <c r="A54" s="403" t="s">
        <v>485</v>
      </c>
      <c r="B54" s="883">
        <f t="shared" si="120"/>
        <v>0</v>
      </c>
      <c r="C54" s="883">
        <f t="shared" si="121"/>
        <v>47.795786612551986</v>
      </c>
      <c r="D54" s="883">
        <f t="shared" si="122"/>
        <v>0</v>
      </c>
      <c r="E54" s="883">
        <f t="shared" si="123"/>
        <v>185.13096563631061</v>
      </c>
      <c r="F54" s="883">
        <f t="shared" si="124"/>
        <v>214.91172202415697</v>
      </c>
      <c r="G54" s="883">
        <f t="shared" si="125"/>
        <v>195.01086341287322</v>
      </c>
      <c r="H54" s="883">
        <f t="shared" si="126"/>
        <v>566.36102024723039</v>
      </c>
      <c r="I54" s="883">
        <f t="shared" si="127"/>
        <v>138.57961297003362</v>
      </c>
      <c r="J54" s="883">
        <f t="shared" si="128"/>
        <v>394.30060827069167</v>
      </c>
      <c r="K54" s="883">
        <f t="shared" si="129"/>
        <v>404.39123373996063</v>
      </c>
      <c r="L54" s="883">
        <f t="shared" si="130"/>
        <v>66.665121611177128</v>
      </c>
      <c r="M54" s="873">
        <v>33</v>
      </c>
      <c r="N54" s="879">
        <f t="shared" si="246"/>
        <v>2246.1469345249866</v>
      </c>
      <c r="O54" s="883">
        <f t="shared" si="132"/>
        <v>36.817832562300602</v>
      </c>
      <c r="P54" s="883">
        <f t="shared" si="133"/>
        <v>210.03056268515294</v>
      </c>
      <c r="Q54" s="883">
        <f t="shared" si="134"/>
        <v>136.45126729403222</v>
      </c>
      <c r="R54" s="883">
        <f t="shared" si="135"/>
        <v>357.12361569220911</v>
      </c>
      <c r="S54" s="883">
        <f t="shared" si="136"/>
        <v>389.85515516104618</v>
      </c>
      <c r="T54" s="883">
        <f t="shared" si="137"/>
        <v>595.85251342616334</v>
      </c>
      <c r="U54" s="883">
        <f t="shared" si="138"/>
        <v>700.04958646657747</v>
      </c>
      <c r="V54" s="883">
        <f t="shared" si="139"/>
        <v>564.39219073688753</v>
      </c>
      <c r="W54" s="883">
        <f t="shared" si="140"/>
        <v>591.25920073775217</v>
      </c>
      <c r="X54" s="883">
        <f t="shared" si="141"/>
        <v>27.935215464329808</v>
      </c>
      <c r="Y54" s="883">
        <f t="shared" si="142"/>
        <v>418.54957544521727</v>
      </c>
      <c r="Z54" s="873">
        <f t="shared" si="143"/>
        <v>119.81848756025541</v>
      </c>
      <c r="AA54" s="879">
        <f t="shared" si="247"/>
        <v>4148.1352032319237</v>
      </c>
      <c r="AB54" s="883">
        <f t="shared" si="144"/>
        <v>809.02493279472878</v>
      </c>
      <c r="AC54" s="883">
        <f t="shared" si="145"/>
        <v>9.44484328197648</v>
      </c>
      <c r="AD54" s="883">
        <f t="shared" si="146"/>
        <v>7.8892304732129466</v>
      </c>
      <c r="AE54" s="883">
        <f t="shared" si="147"/>
        <v>7.1907235842398842</v>
      </c>
      <c r="AF54" s="883">
        <f t="shared" si="148"/>
        <v>2.8884208010604073</v>
      </c>
      <c r="AG54" s="883">
        <f t="shared" si="149"/>
        <v>9.4024114617851779</v>
      </c>
      <c r="AH54" s="883">
        <f t="shared" si="150"/>
        <v>4.3309126954330619</v>
      </c>
      <c r="AI54" s="883">
        <f t="shared" si="151"/>
        <v>66.682374867599549</v>
      </c>
      <c r="AJ54" s="883">
        <f t="shared" si="152"/>
        <v>69.56434687106406</v>
      </c>
      <c r="AK54" s="883">
        <f t="shared" si="153"/>
        <v>52.599768619601569</v>
      </c>
      <c r="AL54" s="883">
        <f t="shared" si="154"/>
        <v>50.53921271820505</v>
      </c>
      <c r="AM54" s="873">
        <f t="shared" si="155"/>
        <v>54.783491650267905</v>
      </c>
      <c r="AN54" s="879">
        <f t="shared" si="248"/>
        <v>1144.340669819175</v>
      </c>
      <c r="AO54" s="883">
        <f t="shared" si="156"/>
        <v>73.429753798053682</v>
      </c>
      <c r="AP54" s="883">
        <f t="shared" si="157"/>
        <v>33.032797170900878</v>
      </c>
      <c r="AQ54" s="883">
        <f t="shared" si="158"/>
        <v>43.590766708886321</v>
      </c>
      <c r="AR54" s="883">
        <f t="shared" si="159"/>
        <v>39.358251863900392</v>
      </c>
      <c r="AS54" s="883">
        <f t="shared" si="160"/>
        <v>32.195766917080547</v>
      </c>
      <c r="AT54" s="883">
        <f t="shared" si="161"/>
        <v>25.671896275953792</v>
      </c>
      <c r="AU54" s="883">
        <f t="shared" si="162"/>
        <v>17.049808245967853</v>
      </c>
      <c r="AV54" s="883">
        <f t="shared" si="163"/>
        <v>84.428875015403904</v>
      </c>
      <c r="AW54" s="883">
        <f t="shared" si="164"/>
        <v>27.617494203037356</v>
      </c>
      <c r="AX54" s="883">
        <f t="shared" si="165"/>
        <v>20.519669697269965</v>
      </c>
      <c r="AY54" s="883">
        <f t="shared" si="166"/>
        <v>10.600901175797645</v>
      </c>
      <c r="AZ54" s="873">
        <f t="shared" si="167"/>
        <v>4.2327415355550588</v>
      </c>
      <c r="BA54" s="879">
        <f t="shared" si="249"/>
        <v>411.72872260780741</v>
      </c>
      <c r="BB54" s="883">
        <f t="shared" si="168"/>
        <v>0</v>
      </c>
      <c r="BC54" s="883">
        <f t="shared" si="169"/>
        <v>0</v>
      </c>
      <c r="BD54" s="883">
        <f t="shared" si="170"/>
        <v>0</v>
      </c>
      <c r="BE54" s="883">
        <f t="shared" si="171"/>
        <v>0</v>
      </c>
      <c r="BF54" s="883">
        <f t="shared" si="172"/>
        <v>0</v>
      </c>
      <c r="BG54" s="883">
        <f t="shared" si="173"/>
        <v>0</v>
      </c>
      <c r="BH54" s="883">
        <f t="shared" si="174"/>
        <v>0</v>
      </c>
      <c r="BI54" s="883">
        <f t="shared" si="175"/>
        <v>5.5625980907831423</v>
      </c>
      <c r="BJ54" s="883">
        <f t="shared" si="176"/>
        <v>42.410569385282933</v>
      </c>
      <c r="BK54" s="883">
        <f t="shared" si="177"/>
        <v>13.88982590798742</v>
      </c>
      <c r="BL54" s="883">
        <f t="shared" si="178"/>
        <v>46.47978902383165</v>
      </c>
      <c r="BM54" s="873">
        <f t="shared" si="179"/>
        <v>24.229604633763241</v>
      </c>
      <c r="BN54" s="879">
        <f t="shared" si="250"/>
        <v>132.5723870416484</v>
      </c>
      <c r="BO54" s="883">
        <f t="shared" si="180"/>
        <v>13.146640623731038</v>
      </c>
      <c r="BP54" s="883">
        <f t="shared" si="181"/>
        <v>13.128261058249487</v>
      </c>
      <c r="BQ54" s="883">
        <f t="shared" si="182"/>
        <v>11.670480716931591</v>
      </c>
      <c r="BR54" s="883">
        <f t="shared" si="183"/>
        <v>11.658821895036557</v>
      </c>
      <c r="BS54" s="883">
        <f t="shared" si="184"/>
        <v>10.951106629129089</v>
      </c>
      <c r="BT54" s="883">
        <f t="shared" si="185"/>
        <v>74.806391167093068</v>
      </c>
      <c r="BU54" s="883">
        <f t="shared" si="186"/>
        <v>10.930474484102389</v>
      </c>
      <c r="BV54" s="883">
        <f t="shared" si="187"/>
        <v>-0.68390695290459702</v>
      </c>
      <c r="BW54" s="883">
        <f t="shared" si="188"/>
        <v>13.659016435082782</v>
      </c>
      <c r="BX54" s="883">
        <f t="shared" si="189"/>
        <v>9.5593996246330093</v>
      </c>
      <c r="BY54" s="883">
        <f t="shared" si="190"/>
        <v>14.944203835905164</v>
      </c>
      <c r="BZ54" s="873">
        <f t="shared" si="191"/>
        <v>46.847033968354751</v>
      </c>
      <c r="CA54" s="879">
        <f t="shared" si="251"/>
        <v>230.61792348534431</v>
      </c>
      <c r="CB54" s="883">
        <f t="shared" si="192"/>
        <v>6.0655972717138491</v>
      </c>
      <c r="CC54" s="883">
        <f t="shared" si="193"/>
        <v>2.6993301388310798</v>
      </c>
      <c r="CD54" s="883">
        <f t="shared" si="194"/>
        <v>16.061067862937801</v>
      </c>
      <c r="CE54" s="883">
        <f t="shared" si="195"/>
        <v>8.0385725039728726</v>
      </c>
      <c r="CF54" s="883">
        <f t="shared" si="196"/>
        <v>38.080402307640519</v>
      </c>
      <c r="CG54" s="883">
        <f t="shared" si="197"/>
        <v>7.3108332353174958</v>
      </c>
      <c r="CH54" s="883">
        <f t="shared" si="198"/>
        <v>0</v>
      </c>
      <c r="CI54" s="883">
        <f t="shared" si="199"/>
        <v>17.592931795567495</v>
      </c>
      <c r="CJ54" s="883">
        <f t="shared" si="200"/>
        <v>21.41680497468376</v>
      </c>
      <c r="CK54" s="883">
        <f t="shared" si="201"/>
        <v>47.103369039929447</v>
      </c>
      <c r="CL54" s="883">
        <f t="shared" si="202"/>
        <v>19.931048775610716</v>
      </c>
      <c r="CM54" s="873">
        <f t="shared" si="203"/>
        <v>10.207375388414608</v>
      </c>
      <c r="CN54" s="879">
        <f t="shared" si="252"/>
        <v>194.50733329461966</v>
      </c>
      <c r="CO54" s="883">
        <f t="shared" si="204"/>
        <v>8.9278823119380064</v>
      </c>
      <c r="CP54" s="883">
        <f t="shared" si="205"/>
        <v>3.8143552265148957</v>
      </c>
      <c r="CQ54" s="883">
        <f t="shared" si="206"/>
        <v>10.649723894815601</v>
      </c>
      <c r="CR54" s="883">
        <f t="shared" si="207"/>
        <v>3.1024878504054021</v>
      </c>
      <c r="CS54" s="883">
        <f t="shared" si="208"/>
        <v>8.6540804753288754</v>
      </c>
      <c r="CT54" s="883">
        <f t="shared" si="209"/>
        <v>4.8870331485770055</v>
      </c>
      <c r="CU54" s="883">
        <f t="shared" si="210"/>
        <v>6.051903542422485</v>
      </c>
      <c r="CV54" s="883">
        <f t="shared" si="211"/>
        <v>3.6069753903382251</v>
      </c>
      <c r="CW54" s="883">
        <f t="shared" si="212"/>
        <v>2.3922107642513759</v>
      </c>
      <c r="CX54" s="883">
        <f t="shared" si="213"/>
        <v>1.7879004217125378</v>
      </c>
      <c r="CY54" s="883">
        <f t="shared" si="214"/>
        <v>1.1857676228362763</v>
      </c>
      <c r="CZ54" s="873">
        <f t="shared" si="215"/>
        <v>0</v>
      </c>
      <c r="DA54" s="879">
        <f t="shared" si="253"/>
        <v>55.060320649140685</v>
      </c>
      <c r="DB54" s="883">
        <f t="shared" si="216"/>
        <v>0</v>
      </c>
      <c r="DC54" s="883">
        <f t="shared" si="217"/>
        <v>0</v>
      </c>
      <c r="DD54" s="883">
        <f t="shared" si="218"/>
        <v>0</v>
      </c>
      <c r="DE54" s="883">
        <f t="shared" si="219"/>
        <v>0</v>
      </c>
      <c r="DF54" s="883">
        <f t="shared" si="220"/>
        <v>0</v>
      </c>
      <c r="DG54" s="883">
        <f t="shared" si="221"/>
        <v>0</v>
      </c>
      <c r="DH54" s="883">
        <f t="shared" si="222"/>
        <v>0</v>
      </c>
      <c r="DI54" s="883">
        <f t="shared" si="223"/>
        <v>0</v>
      </c>
      <c r="DJ54" s="883">
        <f t="shared" si="224"/>
        <v>0</v>
      </c>
      <c r="DK54" s="883">
        <f t="shared" si="225"/>
        <v>0</v>
      </c>
      <c r="DL54" s="883">
        <f t="shared" si="226"/>
        <v>2.8600511677165867</v>
      </c>
      <c r="DM54" s="873">
        <f t="shared" si="227"/>
        <v>2.2786982712610988</v>
      </c>
      <c r="DN54" s="879">
        <f t="shared" si="254"/>
        <v>5.1387494389776851</v>
      </c>
      <c r="DO54" s="883">
        <f t="shared" si="228"/>
        <v>3.9869245897889654</v>
      </c>
      <c r="DP54" s="883">
        <f t="shared" si="229"/>
        <v>0</v>
      </c>
      <c r="DQ54" s="883">
        <f t="shared" si="230"/>
        <v>3.9250788493937616</v>
      </c>
      <c r="DR54" s="883">
        <f t="shared" si="231"/>
        <v>0.56100605293986439</v>
      </c>
      <c r="DS54" s="883">
        <f t="shared" si="232"/>
        <v>0</v>
      </c>
      <c r="DT54" s="883">
        <f t="shared" si="233"/>
        <v>0</v>
      </c>
      <c r="DU54" s="883">
        <f t="shared" si="234"/>
        <v>0</v>
      </c>
      <c r="DV54" s="883">
        <f t="shared" si="235"/>
        <v>0</v>
      </c>
      <c r="DW54" s="883">
        <f t="shared" si="236"/>
        <v>0</v>
      </c>
      <c r="DX54" s="883">
        <f t="shared" si="237"/>
        <v>31.90742963197118</v>
      </c>
      <c r="DY54" s="883">
        <f t="shared" si="238"/>
        <v>3.3556567123242957</v>
      </c>
      <c r="DZ54" s="873">
        <f t="shared" si="239"/>
        <v>2.7933079548532409</v>
      </c>
      <c r="EA54" s="879">
        <f t="shared" si="255"/>
        <v>46.529403791271307</v>
      </c>
      <c r="EB54" s="883">
        <f t="shared" si="240"/>
        <v>2.2366593573041667</v>
      </c>
      <c r="EC54" s="883">
        <f t="shared" si="241"/>
        <v>0</v>
      </c>
      <c r="ED54" s="883">
        <f t="shared" si="242"/>
        <v>2.7681005896654787</v>
      </c>
      <c r="EE54" s="883">
        <f t="shared" si="243"/>
        <v>1.103708369085119</v>
      </c>
      <c r="EF54" s="883">
        <f t="shared" si="244"/>
        <v>0</v>
      </c>
      <c r="EG54" s="883">
        <f t="shared" si="256"/>
        <v>0</v>
      </c>
      <c r="EH54" s="883">
        <f t="shared" si="257"/>
        <v>0</v>
      </c>
      <c r="EI54" s="883">
        <f t="shared" si="275"/>
        <v>0</v>
      </c>
      <c r="EJ54" s="883">
        <f t="shared" si="258"/>
        <v>0</v>
      </c>
      <c r="EK54" s="883">
        <f t="shared" si="259"/>
        <v>46.945540364178157</v>
      </c>
      <c r="EL54" s="883">
        <f t="shared" si="260"/>
        <v>0</v>
      </c>
      <c r="EM54" s="873">
        <f t="shared" si="261"/>
        <v>-46.781680977120459</v>
      </c>
      <c r="EN54" s="879">
        <f t="shared" si="262"/>
        <v>6.2723277031124667</v>
      </c>
      <c r="EO54" s="883">
        <f t="shared" si="263"/>
        <v>0</v>
      </c>
      <c r="EP54" s="883">
        <f t="shared" si="264"/>
        <v>0</v>
      </c>
      <c r="EQ54" s="883">
        <f t="shared" si="265"/>
        <v>5.8669723150517816</v>
      </c>
      <c r="ER54" s="883">
        <f t="shared" si="266"/>
        <v>36.080935266027666</v>
      </c>
      <c r="ES54" s="883">
        <f t="shared" si="267"/>
        <v>9.0346893194179856</v>
      </c>
      <c r="ET54" s="883">
        <f t="shared" si="268"/>
        <v>12.195353882928892</v>
      </c>
      <c r="EU54" s="883">
        <f t="shared" si="269"/>
        <v>4.7582959394434416</v>
      </c>
      <c r="EV54" s="973">
        <f t="shared" si="270"/>
        <v>1.0566594360488639</v>
      </c>
      <c r="EW54" s="883"/>
      <c r="EX54" s="883"/>
      <c r="EY54" s="883"/>
      <c r="EZ54" s="873"/>
      <c r="FA54" s="879">
        <f t="shared" si="271"/>
        <v>68.992906158918629</v>
      </c>
      <c r="FC54" s="843" t="str">
        <f t="shared" si="272"/>
        <v/>
      </c>
      <c r="FD54" s="844">
        <f t="shared" si="276"/>
        <v>1029.4632727747144</v>
      </c>
      <c r="FE54" s="845">
        <f t="shared" si="273"/>
        <v>6.1084683160547648</v>
      </c>
      <c r="FF54" s="846">
        <f t="shared" si="245"/>
        <v>68.992906158918629</v>
      </c>
      <c r="FH54" s="127">
        <f t="shared" si="274"/>
        <v>1.0566594360488639</v>
      </c>
    </row>
    <row r="55" spans="1:164" ht="15" customHeight="1" x14ac:dyDescent="0.25">
      <c r="A55" s="403" t="s">
        <v>382</v>
      </c>
      <c r="B55" s="883">
        <f t="shared" si="120"/>
        <v>0</v>
      </c>
      <c r="C55" s="883">
        <f t="shared" si="121"/>
        <v>0</v>
      </c>
      <c r="D55" s="883">
        <f t="shared" si="122"/>
        <v>0</v>
      </c>
      <c r="E55" s="883">
        <f t="shared" si="123"/>
        <v>0</v>
      </c>
      <c r="F55" s="883">
        <f t="shared" si="124"/>
        <v>0</v>
      </c>
      <c r="G55" s="883">
        <f t="shared" si="125"/>
        <v>0</v>
      </c>
      <c r="H55" s="883">
        <f t="shared" si="126"/>
        <v>0</v>
      </c>
      <c r="I55" s="883">
        <f t="shared" si="127"/>
        <v>0</v>
      </c>
      <c r="J55" s="883">
        <f t="shared" si="128"/>
        <v>0</v>
      </c>
      <c r="K55" s="883">
        <f t="shared" si="129"/>
        <v>0</v>
      </c>
      <c r="L55" s="883">
        <f t="shared" si="130"/>
        <v>0</v>
      </c>
      <c r="M55" s="873">
        <v>640</v>
      </c>
      <c r="N55" s="879">
        <f t="shared" si="246"/>
        <v>640</v>
      </c>
      <c r="O55" s="883">
        <f t="shared" si="132"/>
        <v>0</v>
      </c>
      <c r="P55" s="883">
        <f t="shared" si="133"/>
        <v>0</v>
      </c>
      <c r="Q55" s="883">
        <f t="shared" si="134"/>
        <v>0</v>
      </c>
      <c r="R55" s="883">
        <f t="shared" si="135"/>
        <v>0</v>
      </c>
      <c r="S55" s="883">
        <f t="shared" si="136"/>
        <v>0</v>
      </c>
      <c r="T55" s="883">
        <f t="shared" si="137"/>
        <v>0</v>
      </c>
      <c r="U55" s="883">
        <f t="shared" si="138"/>
        <v>43.799496926328814</v>
      </c>
      <c r="V55" s="883">
        <f t="shared" si="139"/>
        <v>28.848355751951001</v>
      </c>
      <c r="W55" s="883">
        <f t="shared" si="140"/>
        <v>0</v>
      </c>
      <c r="X55" s="883">
        <f t="shared" si="141"/>
        <v>539.59074081100209</v>
      </c>
      <c r="Y55" s="883">
        <f t="shared" si="142"/>
        <v>0</v>
      </c>
      <c r="Z55" s="873">
        <f t="shared" si="143"/>
        <v>0</v>
      </c>
      <c r="AA55" s="879">
        <f t="shared" si="247"/>
        <v>612.23859348928193</v>
      </c>
      <c r="AB55" s="883">
        <f t="shared" si="144"/>
        <v>0</v>
      </c>
      <c r="AC55" s="883">
        <f t="shared" si="145"/>
        <v>382.87941612320037</v>
      </c>
      <c r="AD55" s="883">
        <f t="shared" si="146"/>
        <v>379.40026548451351</v>
      </c>
      <c r="AE55" s="883">
        <f t="shared" si="147"/>
        <v>443.66764514760087</v>
      </c>
      <c r="AF55" s="883">
        <f t="shared" si="148"/>
        <v>387.04838734209454</v>
      </c>
      <c r="AG55" s="883">
        <f t="shared" si="149"/>
        <v>116.44524964210875</v>
      </c>
      <c r="AH55" s="883">
        <f t="shared" si="150"/>
        <v>246.14020485711237</v>
      </c>
      <c r="AI55" s="883">
        <f t="shared" si="151"/>
        <v>876.19206546458759</v>
      </c>
      <c r="AJ55" s="883">
        <f t="shared" si="152"/>
        <v>915.09388255131694</v>
      </c>
      <c r="AK55" s="883">
        <f t="shared" si="153"/>
        <v>867.53590983562049</v>
      </c>
      <c r="AL55" s="883">
        <f t="shared" si="154"/>
        <v>880.82627880300231</v>
      </c>
      <c r="AM55" s="873">
        <f t="shared" si="155"/>
        <v>1133.8741100772554</v>
      </c>
      <c r="AN55" s="879">
        <f t="shared" si="248"/>
        <v>6629.1034153284127</v>
      </c>
      <c r="AO55" s="883">
        <f t="shared" si="156"/>
        <v>1652.8893600032475</v>
      </c>
      <c r="AP55" s="883">
        <f t="shared" si="157"/>
        <v>623.31452052917302</v>
      </c>
      <c r="AQ55" s="883">
        <f t="shared" si="158"/>
        <v>1166.9462628788747</v>
      </c>
      <c r="AR55" s="883">
        <f t="shared" si="159"/>
        <v>1241.5739451612214</v>
      </c>
      <c r="AS55" s="883">
        <f t="shared" si="160"/>
        <v>1174.0723002428706</v>
      </c>
      <c r="AT55" s="883">
        <f t="shared" si="161"/>
        <v>1123.8585703028659</v>
      </c>
      <c r="AU55" s="883">
        <f t="shared" si="162"/>
        <v>1225.4549676789393</v>
      </c>
      <c r="AV55" s="883">
        <f t="shared" si="163"/>
        <v>1104.6702386469233</v>
      </c>
      <c r="AW55" s="883">
        <f t="shared" si="164"/>
        <v>1157.1021930195652</v>
      </c>
      <c r="AX55" s="883">
        <f t="shared" si="165"/>
        <v>1116.5530614583449</v>
      </c>
      <c r="AY55" s="883">
        <f t="shared" si="166"/>
        <v>852.31245453413067</v>
      </c>
      <c r="AZ55" s="873">
        <f t="shared" si="167"/>
        <v>1063.1235823469124</v>
      </c>
      <c r="BA55" s="879">
        <f t="shared" si="249"/>
        <v>13501.871456803068</v>
      </c>
      <c r="BB55" s="883">
        <f t="shared" si="168"/>
        <v>0</v>
      </c>
      <c r="BC55" s="883">
        <f t="shared" si="169"/>
        <v>0</v>
      </c>
      <c r="BD55" s="883">
        <f t="shared" si="170"/>
        <v>0</v>
      </c>
      <c r="BE55" s="883">
        <f t="shared" si="171"/>
        <v>0</v>
      </c>
      <c r="BF55" s="883">
        <f t="shared" si="172"/>
        <v>266.76180566804516</v>
      </c>
      <c r="BG55" s="883">
        <f t="shared" si="173"/>
        <v>82.958879373936256</v>
      </c>
      <c r="BH55" s="883">
        <f t="shared" si="174"/>
        <v>27.133936291983364</v>
      </c>
      <c r="BI55" s="883">
        <f t="shared" si="175"/>
        <v>113.33793609970652</v>
      </c>
      <c r="BJ55" s="883">
        <f t="shared" si="176"/>
        <v>111.93609296771398</v>
      </c>
      <c r="BK55" s="883">
        <f t="shared" si="177"/>
        <v>134.73131130747799</v>
      </c>
      <c r="BL55" s="883">
        <f t="shared" si="178"/>
        <v>160.25121290306137</v>
      </c>
      <c r="BM55" s="873">
        <f t="shared" si="179"/>
        <v>205.6055021779338</v>
      </c>
      <c r="BN55" s="879">
        <f t="shared" si="250"/>
        <v>1102.7166767898586</v>
      </c>
      <c r="BO55" s="883">
        <f t="shared" si="180"/>
        <v>27.677138155223236</v>
      </c>
      <c r="BP55" s="883">
        <f t="shared" si="181"/>
        <v>76.005721916181244</v>
      </c>
      <c r="BQ55" s="883">
        <f t="shared" si="182"/>
        <v>66.590389973080249</v>
      </c>
      <c r="BR55" s="883">
        <f t="shared" si="183"/>
        <v>28.804148211266785</v>
      </c>
      <c r="BS55" s="883">
        <f t="shared" si="184"/>
        <v>29.431099065784426</v>
      </c>
      <c r="BT55" s="883">
        <f t="shared" si="185"/>
        <v>350.01155500199508</v>
      </c>
      <c r="BU55" s="883">
        <f t="shared" si="186"/>
        <v>29.375650176025168</v>
      </c>
      <c r="BV55" s="883">
        <f t="shared" si="187"/>
        <v>-15.729859916805731</v>
      </c>
      <c r="BW55" s="883">
        <f t="shared" si="188"/>
        <v>71.709836284184604</v>
      </c>
      <c r="BX55" s="883">
        <f t="shared" si="189"/>
        <v>45.065741087555615</v>
      </c>
      <c r="BY55" s="883">
        <f t="shared" si="190"/>
        <v>72.003891209361242</v>
      </c>
      <c r="BZ55" s="873">
        <f t="shared" si="191"/>
        <v>285.1558589378115</v>
      </c>
      <c r="CA55" s="879">
        <f t="shared" si="251"/>
        <v>1066.1011701016632</v>
      </c>
      <c r="CB55" s="883">
        <f t="shared" si="192"/>
        <v>21.566568077204796</v>
      </c>
      <c r="CC55" s="883">
        <f t="shared" si="193"/>
        <v>9.4476554859087791</v>
      </c>
      <c r="CD55" s="883">
        <f t="shared" si="194"/>
        <v>62.905849129839723</v>
      </c>
      <c r="CE55" s="883">
        <f t="shared" si="195"/>
        <v>31.484408973893753</v>
      </c>
      <c r="CF55" s="883">
        <f t="shared" si="196"/>
        <v>257.20973488494036</v>
      </c>
      <c r="CG55" s="883">
        <f t="shared" si="197"/>
        <v>185.42931569578013</v>
      </c>
      <c r="CH55" s="883">
        <f t="shared" si="198"/>
        <v>21.055220772935179</v>
      </c>
      <c r="CI55" s="883">
        <f t="shared" si="199"/>
        <v>173.97454775616745</v>
      </c>
      <c r="CJ55" s="883">
        <f t="shared" si="200"/>
        <v>190.15526841158612</v>
      </c>
      <c r="CK55" s="883">
        <f t="shared" si="201"/>
        <v>527.17058226879942</v>
      </c>
      <c r="CL55" s="883">
        <f t="shared" si="202"/>
        <v>264.8900675984392</v>
      </c>
      <c r="CM55" s="873">
        <f t="shared" si="203"/>
        <v>203.50954680651623</v>
      </c>
      <c r="CN55" s="879">
        <f t="shared" si="252"/>
        <v>1948.7987658620111</v>
      </c>
      <c r="CO55" s="883">
        <f t="shared" si="204"/>
        <v>109.0477053815285</v>
      </c>
      <c r="CP55" s="883">
        <f t="shared" si="205"/>
        <v>117.60928615087595</v>
      </c>
      <c r="CQ55" s="883">
        <f t="shared" si="206"/>
        <v>246.82301262102038</v>
      </c>
      <c r="CR55" s="883">
        <f t="shared" si="207"/>
        <v>81.905679250702619</v>
      </c>
      <c r="CS55" s="883">
        <f t="shared" si="208"/>
        <v>556.95189344795119</v>
      </c>
      <c r="CT55" s="883">
        <f t="shared" si="209"/>
        <v>98.351542115112224</v>
      </c>
      <c r="CU55" s="883">
        <f t="shared" si="210"/>
        <v>133.14187793329467</v>
      </c>
      <c r="CV55" s="883">
        <f t="shared" si="211"/>
        <v>416.00449501900863</v>
      </c>
      <c r="CW55" s="883">
        <f t="shared" si="212"/>
        <v>562.16952959907337</v>
      </c>
      <c r="CX55" s="883">
        <f t="shared" si="213"/>
        <v>211.56821656931697</v>
      </c>
      <c r="CY55" s="883">
        <f t="shared" si="214"/>
        <v>88.339687901302597</v>
      </c>
      <c r="CZ55" s="873">
        <f t="shared" si="215"/>
        <v>673.53106863157871</v>
      </c>
      <c r="DA55" s="879">
        <f t="shared" si="253"/>
        <v>3295.4439946207658</v>
      </c>
      <c r="DB55" s="883">
        <f t="shared" si="216"/>
        <v>0</v>
      </c>
      <c r="DC55" s="883">
        <f t="shared" si="217"/>
        <v>111.77126148807153</v>
      </c>
      <c r="DD55" s="883">
        <f t="shared" si="218"/>
        <v>67.621938305755904</v>
      </c>
      <c r="DE55" s="883">
        <f t="shared" si="219"/>
        <v>29.312081859480511</v>
      </c>
      <c r="DF55" s="883">
        <f t="shared" si="220"/>
        <v>44.687243664185971</v>
      </c>
      <c r="DG55" s="883">
        <f t="shared" si="221"/>
        <v>67.131562840539758</v>
      </c>
      <c r="DH55" s="883">
        <f t="shared" si="222"/>
        <v>0</v>
      </c>
      <c r="DI55" s="883">
        <f t="shared" si="223"/>
        <v>49.536178895707536</v>
      </c>
      <c r="DJ55" s="883">
        <f t="shared" si="224"/>
        <v>376.28582616882005</v>
      </c>
      <c r="DK55" s="883">
        <f t="shared" si="225"/>
        <v>157.05112972165318</v>
      </c>
      <c r="DL55" s="883">
        <f t="shared" si="226"/>
        <v>1193.7853574049032</v>
      </c>
      <c r="DM55" s="873">
        <f t="shared" si="227"/>
        <v>330.41124933285931</v>
      </c>
      <c r="DN55" s="879">
        <f t="shared" si="254"/>
        <v>2427.5938296819768</v>
      </c>
      <c r="DO55" s="883">
        <f t="shared" si="228"/>
        <v>17.086819670524136</v>
      </c>
      <c r="DP55" s="883">
        <f t="shared" si="229"/>
        <v>127.43749754269194</v>
      </c>
      <c r="DQ55" s="883">
        <f t="shared" si="230"/>
        <v>346.52838984647781</v>
      </c>
      <c r="DR55" s="883">
        <f t="shared" si="231"/>
        <v>134.08044665262759</v>
      </c>
      <c r="DS55" s="883">
        <f t="shared" si="232"/>
        <v>355.43672456304091</v>
      </c>
      <c r="DT55" s="883">
        <f t="shared" si="233"/>
        <v>132.91870248820007</v>
      </c>
      <c r="DU55" s="883">
        <f t="shared" si="234"/>
        <v>33.010241440811271</v>
      </c>
      <c r="DV55" s="883">
        <f t="shared" si="235"/>
        <v>259.43903291085371</v>
      </c>
      <c r="DW55" s="883">
        <f t="shared" si="236"/>
        <v>22.930302293989453</v>
      </c>
      <c r="DX55" s="883">
        <f t="shared" si="237"/>
        <v>756.26206022443978</v>
      </c>
      <c r="DY55" s="883">
        <f t="shared" si="238"/>
        <v>114.09232821902606</v>
      </c>
      <c r="DZ55" s="873">
        <f t="shared" si="239"/>
        <v>462.57179732369673</v>
      </c>
      <c r="EA55" s="879">
        <f t="shared" si="255"/>
        <v>2761.7943431763797</v>
      </c>
      <c r="EB55" s="883">
        <f t="shared" si="240"/>
        <v>194.58936408546251</v>
      </c>
      <c r="EC55" s="883">
        <f t="shared" si="241"/>
        <v>0</v>
      </c>
      <c r="ED55" s="883">
        <f t="shared" si="242"/>
        <v>168.30051585166109</v>
      </c>
      <c r="EE55" s="883">
        <f t="shared" si="243"/>
        <v>84.433690235011596</v>
      </c>
      <c r="EF55" s="883">
        <f t="shared" si="244"/>
        <v>41.966097683844829</v>
      </c>
      <c r="EG55" s="883">
        <f t="shared" si="256"/>
        <v>457.71892694222782</v>
      </c>
      <c r="EH55" s="883">
        <f t="shared" si="257"/>
        <v>18.706906063085921</v>
      </c>
      <c r="EI55" s="883">
        <f t="shared" si="275"/>
        <v>493.31219419843467</v>
      </c>
      <c r="EJ55" s="883">
        <f t="shared" si="258"/>
        <v>59.588802834963651</v>
      </c>
      <c r="EK55" s="883">
        <f t="shared" si="259"/>
        <v>1009.0529675923941</v>
      </c>
      <c r="EL55" s="883">
        <f t="shared" si="260"/>
        <v>147.30219437719177</v>
      </c>
      <c r="EM55" s="873">
        <f t="shared" si="261"/>
        <v>-503.04066368338937</v>
      </c>
      <c r="EN55" s="879">
        <f t="shared" si="262"/>
        <v>2171.9309961808885</v>
      </c>
      <c r="EO55" s="883">
        <f t="shared" si="263"/>
        <v>77.525028122160023</v>
      </c>
      <c r="EP55" s="883">
        <f t="shared" si="264"/>
        <v>11.467157398104572</v>
      </c>
      <c r="EQ55" s="883">
        <f t="shared" si="265"/>
        <v>384.0200060761166</v>
      </c>
      <c r="ER55" s="883">
        <f t="shared" si="266"/>
        <v>1227.8130030233533</v>
      </c>
      <c r="ES55" s="883">
        <f t="shared" si="267"/>
        <v>442.69977665148133</v>
      </c>
      <c r="ET55" s="883">
        <f t="shared" si="268"/>
        <v>802.24219238571368</v>
      </c>
      <c r="EU55" s="883">
        <f t="shared" si="269"/>
        <v>810.49640835186619</v>
      </c>
      <c r="EV55" s="973">
        <f t="shared" si="270"/>
        <v>501.38490240518598</v>
      </c>
      <c r="EW55" s="883"/>
      <c r="EX55" s="883"/>
      <c r="EY55" s="883"/>
      <c r="EZ55" s="873"/>
      <c r="FA55" s="879">
        <f t="shared" si="271"/>
        <v>4257.6484744139816</v>
      </c>
      <c r="FC55" s="843">
        <f t="shared" si="272"/>
        <v>1.6364298920014342</v>
      </c>
      <c r="FD55" s="844">
        <f t="shared" si="276"/>
        <v>191.81409570430978</v>
      </c>
      <c r="FE55" s="845">
        <f t="shared" si="273"/>
        <v>1459.0276950597286</v>
      </c>
      <c r="FF55" s="846">
        <f t="shared" si="245"/>
        <v>4257.6484744139816</v>
      </c>
      <c r="FH55" s="127">
        <f t="shared" si="274"/>
        <v>8.0727082067513152</v>
      </c>
    </row>
    <row r="56" spans="1:164" ht="15" customHeight="1" x14ac:dyDescent="0.25">
      <c r="A56" s="138"/>
      <c r="B56" s="883"/>
      <c r="C56" s="883"/>
      <c r="D56" s="883"/>
      <c r="E56" s="883"/>
      <c r="F56" s="883"/>
      <c r="G56" s="883"/>
      <c r="H56" s="883"/>
      <c r="I56" s="883"/>
      <c r="J56" s="883"/>
      <c r="K56" s="883"/>
      <c r="L56" s="883"/>
      <c r="M56" s="873"/>
      <c r="N56" s="879"/>
      <c r="O56" s="883"/>
      <c r="P56" s="883"/>
      <c r="Q56" s="883"/>
      <c r="R56" s="883"/>
      <c r="S56" s="883"/>
      <c r="T56" s="883"/>
      <c r="U56" s="883"/>
      <c r="V56" s="883"/>
      <c r="W56" s="883"/>
      <c r="X56" s="883"/>
      <c r="Y56" s="883"/>
      <c r="Z56" s="873"/>
      <c r="AA56" s="879"/>
      <c r="AB56" s="883"/>
      <c r="AC56" s="883"/>
      <c r="AD56" s="883"/>
      <c r="AE56" s="883"/>
      <c r="AF56" s="883"/>
      <c r="AG56" s="883"/>
      <c r="AH56" s="883"/>
      <c r="AI56" s="883"/>
      <c r="AJ56" s="883"/>
      <c r="AK56" s="883"/>
      <c r="AL56" s="883"/>
      <c r="AM56" s="873"/>
      <c r="AN56" s="879"/>
      <c r="AO56" s="883"/>
      <c r="AP56" s="883"/>
      <c r="AQ56" s="883"/>
      <c r="AR56" s="883"/>
      <c r="AS56" s="883"/>
      <c r="AT56" s="883"/>
      <c r="AU56" s="883"/>
      <c r="AV56" s="883"/>
      <c r="AW56" s="883"/>
      <c r="AX56" s="883"/>
      <c r="AY56" s="883"/>
      <c r="AZ56" s="873"/>
      <c r="BA56" s="879"/>
      <c r="BB56" s="883"/>
      <c r="BC56" s="883"/>
      <c r="BD56" s="883"/>
      <c r="BE56" s="883"/>
      <c r="BF56" s="883"/>
      <c r="BG56" s="883"/>
      <c r="BH56" s="883"/>
      <c r="BI56" s="883"/>
      <c r="BJ56" s="883"/>
      <c r="BK56" s="883"/>
      <c r="BL56" s="883"/>
      <c r="BM56" s="873"/>
      <c r="BN56" s="879"/>
      <c r="BO56" s="883"/>
      <c r="BP56" s="883"/>
      <c r="BQ56" s="883"/>
      <c r="BR56" s="883"/>
      <c r="BS56" s="883"/>
      <c r="BT56" s="883"/>
      <c r="BU56" s="883"/>
      <c r="BV56" s="883"/>
      <c r="BW56" s="883"/>
      <c r="BX56" s="883"/>
      <c r="BY56" s="883"/>
      <c r="BZ56" s="873"/>
      <c r="CA56" s="879"/>
      <c r="CB56" s="883"/>
      <c r="CC56" s="883"/>
      <c r="CD56" s="883"/>
      <c r="CE56" s="883"/>
      <c r="CF56" s="883"/>
      <c r="CG56" s="883"/>
      <c r="CH56" s="883"/>
      <c r="CI56" s="883">
        <f t="shared" si="199"/>
        <v>0</v>
      </c>
      <c r="CJ56" s="883"/>
      <c r="CK56" s="883"/>
      <c r="CL56" s="883"/>
      <c r="CM56" s="873"/>
      <c r="CN56" s="879"/>
      <c r="CO56" s="883"/>
      <c r="CP56" s="883"/>
      <c r="CQ56" s="883"/>
      <c r="CR56" s="883"/>
      <c r="CS56" s="883"/>
      <c r="CT56" s="883"/>
      <c r="CU56" s="883"/>
      <c r="CV56" s="883"/>
      <c r="CW56" s="883"/>
      <c r="CX56" s="883"/>
      <c r="CY56" s="883"/>
      <c r="CZ56" s="873"/>
      <c r="DA56" s="879"/>
      <c r="DB56" s="883"/>
      <c r="DC56" s="883"/>
      <c r="DD56" s="883"/>
      <c r="DE56" s="883"/>
      <c r="DF56" s="883"/>
      <c r="DG56" s="883"/>
      <c r="DH56" s="883"/>
      <c r="DI56" s="883"/>
      <c r="DJ56" s="883"/>
      <c r="DK56" s="883"/>
      <c r="DL56" s="883"/>
      <c r="DM56" s="873"/>
      <c r="DN56" s="879"/>
      <c r="DO56" s="883"/>
      <c r="DP56" s="883"/>
      <c r="DQ56" s="883"/>
      <c r="DR56" s="883"/>
      <c r="DS56" s="883"/>
      <c r="DT56" s="883"/>
      <c r="DU56" s="883"/>
      <c r="DV56" s="883"/>
      <c r="DW56" s="883"/>
      <c r="DX56" s="883"/>
      <c r="DY56" s="883"/>
      <c r="DZ56" s="873"/>
      <c r="EA56" s="879"/>
      <c r="EB56" s="883"/>
      <c r="EC56" s="883"/>
      <c r="ED56" s="883"/>
      <c r="EE56" s="883"/>
      <c r="EF56" s="883"/>
      <c r="EG56" s="883"/>
      <c r="EH56" s="883"/>
      <c r="EI56" s="883"/>
      <c r="EJ56" s="883"/>
      <c r="EK56" s="883"/>
      <c r="EL56" s="883"/>
      <c r="EM56" s="873"/>
      <c r="EN56" s="879"/>
      <c r="EO56" s="883"/>
      <c r="EP56" s="883"/>
      <c r="EQ56" s="883"/>
      <c r="ER56" s="883"/>
      <c r="ES56" s="883"/>
      <c r="ET56" s="883">
        <f t="shared" si="268"/>
        <v>0</v>
      </c>
      <c r="EU56" s="883">
        <f t="shared" si="269"/>
        <v>0</v>
      </c>
      <c r="EV56" s="973">
        <f t="shared" si="270"/>
        <v>0</v>
      </c>
      <c r="EW56" s="883"/>
      <c r="EX56" s="883"/>
      <c r="EY56" s="883"/>
      <c r="EZ56" s="873"/>
      <c r="FA56" s="879"/>
      <c r="FC56" s="843" t="str">
        <f t="shared" ref="FC56" si="277">IFERROR((((EY56/DY56)-1)*100),"")</f>
        <v/>
      </c>
      <c r="FD56" s="844"/>
      <c r="FE56" s="845"/>
      <c r="FF56" s="846"/>
    </row>
    <row r="57" spans="1:164" ht="15" customHeight="1" x14ac:dyDescent="0.25">
      <c r="A57" s="822" t="s">
        <v>383</v>
      </c>
      <c r="B57" s="884">
        <f t="shared" ref="B57:B62" si="278">B23/$B$37</f>
        <v>4955.0244573101099</v>
      </c>
      <c r="C57" s="884">
        <f t="shared" ref="C57:C62" si="279">C23/$C$37</f>
        <v>16873.479749201753</v>
      </c>
      <c r="D57" s="884">
        <f t="shared" ref="D57:D62" si="280">D23/$D$37</f>
        <v>22533.312540624356</v>
      </c>
      <c r="E57" s="884">
        <f t="shared" ref="E57:E62" si="281">E23/$E$37</f>
        <v>20113.433697541594</v>
      </c>
      <c r="F57" s="884">
        <f t="shared" ref="F57:F62" si="282">F23/$F$37</f>
        <v>19773.419012043403</v>
      </c>
      <c r="G57" s="884">
        <f t="shared" ref="G57:G62" si="283">G23/$G$37</f>
        <v>20899.176035282762</v>
      </c>
      <c r="H57" s="884">
        <f t="shared" ref="H57:H62" si="284">H23/$H$37</f>
        <v>35057.059265424716</v>
      </c>
      <c r="I57" s="884">
        <f t="shared" ref="I57:I62" si="285">I23/$I$37</f>
        <v>11317.842676849339</v>
      </c>
      <c r="J57" s="884">
        <f t="shared" ref="J57:J62" si="286">J23/$J$37</f>
        <v>19685.343688201461</v>
      </c>
      <c r="K57" s="884">
        <f t="shared" ref="K57:K62" si="287">K23/$K$37</f>
        <v>19429.782566968297</v>
      </c>
      <c r="L57" s="884">
        <f t="shared" ref="L57:L62" si="288">L23/$L$37</f>
        <v>26318.329430612554</v>
      </c>
      <c r="M57" s="875">
        <f t="shared" ref="M57:M62" si="289">M23/$M$37</f>
        <v>45455.754501000942</v>
      </c>
      <c r="N57" s="876">
        <f t="shared" ref="N57:N62" si="290">SUM(B57:M57)</f>
        <v>262411.95762106124</v>
      </c>
      <c r="O57" s="884">
        <f>O23/$O$37</f>
        <v>10025.721222015856</v>
      </c>
      <c r="P57" s="884">
        <f t="shared" ref="P57:P62" si="291">P23/$P$37</f>
        <v>19046.021489781138</v>
      </c>
      <c r="Q57" s="884">
        <f t="shared" ref="Q57:Q62" si="292">Q23/$Q$37</f>
        <v>18162.185621573972</v>
      </c>
      <c r="R57" s="884">
        <f t="shared" ref="R57:R62" si="293">R23/$R$37</f>
        <v>19808.80447876055</v>
      </c>
      <c r="S57" s="884">
        <f t="shared" ref="S57:S62" si="294">S23/$S$37</f>
        <v>20938.346625376569</v>
      </c>
      <c r="T57" s="884">
        <f t="shared" ref="T57:T62" si="295">T23/$T$37</f>
        <v>19799.83726035817</v>
      </c>
      <c r="U57" s="884">
        <f t="shared" ref="U57:U62" si="296">U23/$U$37</f>
        <v>23944.219895962873</v>
      </c>
      <c r="V57" s="884">
        <f t="shared" ref="V57:V62" si="297">V23/$V$37</f>
        <v>24488.555526258715</v>
      </c>
      <c r="W57" s="884">
        <f t="shared" ref="W57:W62" si="298">W23/$W$37</f>
        <v>22941.742770198925</v>
      </c>
      <c r="X57" s="884">
        <f t="shared" ref="X57:X62" si="299">X23/$X$37</f>
        <v>19888.403136104702</v>
      </c>
      <c r="Y57" s="884">
        <f t="shared" ref="Y57:Y62" si="300">Y23/$Y$37</f>
        <v>32374.919612414909</v>
      </c>
      <c r="Z57" s="875">
        <f t="shared" ref="Z57:Z62" si="301">Z23/$Z$37</f>
        <v>46084.089877062383</v>
      </c>
      <c r="AA57" s="876">
        <f t="shared" ref="AA57:AA62" si="302">SUM(O57:Z57)</f>
        <v>277502.84751586872</v>
      </c>
      <c r="AB57" s="884">
        <f t="shared" ref="AB57:AB62" si="303">AB23/$AB$37</f>
        <v>9007.1442517813139</v>
      </c>
      <c r="AC57" s="884">
        <f t="shared" ref="AC57:AC62" si="304">AC23/$AC$37</f>
        <v>13878.833939661285</v>
      </c>
      <c r="AD57" s="884">
        <f t="shared" ref="AD57:AD62" si="305">AD23/$AD$37</f>
        <v>24312.456710131424</v>
      </c>
      <c r="AE57" s="884">
        <f t="shared" ref="AE57:AE62" si="306">AE23/$AE$37</f>
        <v>17745.267661187187</v>
      </c>
      <c r="AF57" s="884">
        <f t="shared" ref="AF57:AF62" si="307">AF23/$AF$37</f>
        <v>20877.505550064623</v>
      </c>
      <c r="AG57" s="884">
        <f t="shared" ref="AG57:AG62" si="308">AG23/$AG$37</f>
        <v>24867.208529161384</v>
      </c>
      <c r="AH57" s="884">
        <f t="shared" ref="AH57:AH62" si="309">AH23/$AH$37</f>
        <v>29686.962889628496</v>
      </c>
      <c r="AI57" s="884">
        <f t="shared" ref="AI57:AI62" si="310">AI23/$AI$37</f>
        <v>25806.079073761022</v>
      </c>
      <c r="AJ57" s="884">
        <f t="shared" ref="AJ57:AJ62" si="311">AJ23/$AJ$37</f>
        <v>22276.368479474142</v>
      </c>
      <c r="AK57" s="884">
        <f t="shared" ref="AK57:AK62" si="312">AK23/$AK$37</f>
        <v>23619.457744527939</v>
      </c>
      <c r="AL57" s="884">
        <f t="shared" ref="AL57:AL62" si="313">AL23/$AL$37</f>
        <v>27011.765220374364</v>
      </c>
      <c r="AM57" s="875">
        <f t="shared" ref="AM57:AM62" si="314">AM23/$AM$37</f>
        <v>44032.952249319278</v>
      </c>
      <c r="AN57" s="876">
        <f t="shared" ref="AN57:AN62" si="315">SUM(AB57:AM57)</f>
        <v>283122.00229907245</v>
      </c>
      <c r="AO57" s="884">
        <f t="shared" ref="AO57:AO62" si="316">AO23/$AO$37</f>
        <v>10186.578590612349</v>
      </c>
      <c r="AP57" s="884">
        <f t="shared" ref="AP57:AP62" si="317">AP23/$AP$37</f>
        <v>14727.600808217523</v>
      </c>
      <c r="AQ57" s="884">
        <f t="shared" ref="AQ57:AQ62" si="318">AQ23/$AQ$37</f>
        <v>24612.347327663319</v>
      </c>
      <c r="AR57" s="884">
        <f t="shared" ref="AR57:AR62" si="319">AR23/$AR$37</f>
        <v>17246.07036218181</v>
      </c>
      <c r="AS57" s="884">
        <f t="shared" ref="AS57:AS62" si="320">AS23/$AS$37</f>
        <v>25827.444220882015</v>
      </c>
      <c r="AT57" s="884">
        <f t="shared" ref="AT57:AT62" si="321">AT23/$AT$37</f>
        <v>23317.926009094808</v>
      </c>
      <c r="AU57" s="884">
        <f t="shared" ref="AU57:AU62" si="322">AU23/$AU$37</f>
        <v>33527.737507018865</v>
      </c>
      <c r="AV57" s="884">
        <f t="shared" ref="AV57:AV62" si="323">AV23/$AV$37</f>
        <v>26805.103587873738</v>
      </c>
      <c r="AW57" s="884">
        <f t="shared" ref="AW57:AW62" si="324">AW23/$AW$37</f>
        <v>27313.701766803948</v>
      </c>
      <c r="AX57" s="884">
        <f t="shared" ref="AX57:AX62" si="325">AX23/$AX$37</f>
        <v>24538.694658666289</v>
      </c>
      <c r="AY57" s="884">
        <f t="shared" ref="AY57:AY62" si="326">AY23/$AY$37</f>
        <v>27931.961144736688</v>
      </c>
      <c r="AZ57" s="875">
        <f t="shared" ref="AZ57:AZ62" si="327">AZ23/$AZ$37</f>
        <v>37827.30564633297</v>
      </c>
      <c r="BA57" s="876">
        <f t="shared" ref="BA57:BA62" si="328">SUM(AO57:AZ57)</f>
        <v>293862.47163008433</v>
      </c>
      <c r="BB57" s="884">
        <f t="shared" ref="BB57:BB62" si="329">BB23/$BB$37</f>
        <v>5913.9383667718257</v>
      </c>
      <c r="BC57" s="884">
        <f t="shared" ref="BC57:BC62" si="330">BC23/$BC$37</f>
        <v>12588.381557412036</v>
      </c>
      <c r="BD57" s="884">
        <f t="shared" ref="BD57:BD62" si="331">BD23/$BD$37</f>
        <v>23347.588195867687</v>
      </c>
      <c r="BE57" s="884">
        <f t="shared" ref="BE57:BE62" si="332">BE23/$BE$37</f>
        <v>31340.258951984048</v>
      </c>
      <c r="BF57" s="884">
        <f t="shared" ref="BF57:BF62" si="333">BF23/$BF$37</f>
        <v>16241.12737484981</v>
      </c>
      <c r="BG57" s="884">
        <f t="shared" ref="BG57:BG62" si="334">BG23/$BG$37</f>
        <v>32130.880254997661</v>
      </c>
      <c r="BH57" s="884">
        <f t="shared" ref="BH57:BH62" si="335">BH23/$BH$37</f>
        <v>24892.255709091816</v>
      </c>
      <c r="BI57" s="884">
        <f t="shared" ref="BI57:BI62" si="336">BI23/$BI$37</f>
        <v>31482.21921954854</v>
      </c>
      <c r="BJ57" s="884">
        <f t="shared" ref="BJ57:BJ62" si="337">BJ23/$BJ$37</f>
        <v>30490.41836707513</v>
      </c>
      <c r="BK57" s="884">
        <f t="shared" ref="BK57:BK62" si="338">BK23/$BK$37</f>
        <v>21813.277097198847</v>
      </c>
      <c r="BL57" s="884">
        <f t="shared" ref="BL57:BL62" si="339">BL23/$BL$37</f>
        <v>25663.780823098929</v>
      </c>
      <c r="BM57" s="875">
        <f t="shared" ref="BM57:BM62" si="340">BM23/$BM$37</f>
        <v>39143.272423053568</v>
      </c>
      <c r="BN57" s="876">
        <f t="shared" ref="BN57:BN62" si="341">SUM(BB57:BM57)</f>
        <v>295047.39834094991</v>
      </c>
      <c r="BO57" s="884">
        <f t="shared" ref="BO57:BO62" si="342">BO23/$BO$37</f>
        <v>10978.136849269296</v>
      </c>
      <c r="BP57" s="884">
        <f t="shared" ref="BP57:BP62" si="343">BP23/$BP$37</f>
        <v>15742.857892166121</v>
      </c>
      <c r="BQ57" s="884">
        <f t="shared" ref="BQ57:BQ62" si="344">BQ23/$BQ$37</f>
        <v>18908.924756891985</v>
      </c>
      <c r="BR57" s="884">
        <f t="shared" ref="BR57:BR62" si="345">BR23/$BR$37</f>
        <v>12369.324217581137</v>
      </c>
      <c r="BS57" s="884">
        <f t="shared" ref="BS57:BS62" si="346">BS23/$BS$37</f>
        <v>10574.662338752776</v>
      </c>
      <c r="BT57" s="884">
        <f t="shared" ref="BT57:BT62" si="347">BT23/$BT$37</f>
        <v>11354.100325398053</v>
      </c>
      <c r="BU57" s="884">
        <f t="shared" ref="BU57:BU62" si="348">BU23/$BU$37</f>
        <v>26362.254991689191</v>
      </c>
      <c r="BV57" s="884">
        <f t="shared" ref="BV57:BV62" si="349">BV23/$BV$37</f>
        <v>17507.334087404779</v>
      </c>
      <c r="BW57" s="884">
        <f t="shared" ref="BW57:BW62" si="350">BW23/$BW$37</f>
        <v>25530.067618813227</v>
      </c>
      <c r="BX57" s="884">
        <f t="shared" ref="BX57:BX62" si="351">BX23/$BX$37</f>
        <v>33420.343901975903</v>
      </c>
      <c r="BY57" s="884">
        <f t="shared" ref="BY57:BY62" si="352">BY23/$BY$37</f>
        <v>35707.137219917764</v>
      </c>
      <c r="BZ57" s="875">
        <f t="shared" ref="BZ57:BZ62" si="353">BZ23/$BZ$37</f>
        <v>62155.150995666263</v>
      </c>
      <c r="CA57" s="876">
        <f t="shared" ref="CA57:CA62" si="354">SUM(BO57:BZ57)</f>
        <v>280610.2951955265</v>
      </c>
      <c r="CB57" s="884">
        <f t="shared" ref="CB57:CB62" si="355">CB23/$CB$37</f>
        <v>8227.6457214536294</v>
      </c>
      <c r="CC57" s="884">
        <f t="shared" ref="CC57:CC62" si="356">CC23/$CC$37</f>
        <v>14445.465237954522</v>
      </c>
      <c r="CD57" s="884">
        <f t="shared" ref="CD57:CD62" si="357">CD23/$CD$37</f>
        <v>29957.906831344735</v>
      </c>
      <c r="CE57" s="884">
        <f t="shared" ref="CE57:CE62" si="358">CE23/$CE$37</f>
        <v>17531.456750122838</v>
      </c>
      <c r="CF57" s="884">
        <f t="shared" ref="CF57:CF64" si="359">CF23/$CF$37</f>
        <v>21971.055977041648</v>
      </c>
      <c r="CG57" s="884">
        <f t="shared" ref="CG57:CG62" si="360">CG23/$CG$37</f>
        <v>22320.638488627526</v>
      </c>
      <c r="CH57" s="884">
        <f t="shared" ref="CH57:CH62" si="361">CH23/$CH$37</f>
        <v>22458.68283258114</v>
      </c>
      <c r="CI57" s="884">
        <f t="shared" si="199"/>
        <v>24209.177330833878</v>
      </c>
      <c r="CJ57" s="884">
        <f t="shared" ref="CJ57:CJ64" si="362">CJ23/$CJ$37</f>
        <v>24853.877676075434</v>
      </c>
      <c r="CK57" s="884">
        <f t="shared" ref="CK57:CK62" si="363">CK23/$CK$37</f>
        <v>25169.97560972011</v>
      </c>
      <c r="CL57" s="884">
        <f t="shared" ref="CL57:CL64" si="364">CL23/$CL$37</f>
        <v>25067.472926202783</v>
      </c>
      <c r="CM57" s="875">
        <f t="shared" ref="CM57:CM62" si="365">CM23/$CM$37</f>
        <v>49503.218789963743</v>
      </c>
      <c r="CN57" s="876">
        <f t="shared" si="252"/>
        <v>285716.574171922</v>
      </c>
      <c r="CO57" s="884">
        <f t="shared" ref="CO57:CO62" si="366">CO23/$CO$37</f>
        <v>8849.4444887688369</v>
      </c>
      <c r="CP57" s="884">
        <f t="shared" ref="CP57:CP62" si="367">CP23/$CP$37</f>
        <v>19058.425889281676</v>
      </c>
      <c r="CQ57" s="884">
        <f t="shared" ref="CQ57:CQ62" si="368">CQ23/$CQ$37</f>
        <v>27387.331131385203</v>
      </c>
      <c r="CR57" s="884">
        <f t="shared" ref="CR57:CR62" si="369">CR23/$CR$37</f>
        <v>19868.332193996197</v>
      </c>
      <c r="CS57" s="884">
        <f t="shared" ref="CS57:CS62" si="370">CS23/$CS$37</f>
        <v>24866.263948646763</v>
      </c>
      <c r="CT57" s="884">
        <f t="shared" ref="CT57:CT62" si="371">CT23/$CT$37</f>
        <v>27780.339933085987</v>
      </c>
      <c r="CU57" s="884">
        <f t="shared" ref="CU57:CU64" si="372">CU23/$CU$37</f>
        <v>30500.383473100839</v>
      </c>
      <c r="CV57" s="884">
        <f t="shared" ref="CV57:CV62" si="373">CV23/$CV$37</f>
        <v>31254.441757280722</v>
      </c>
      <c r="CW57" s="884">
        <f t="shared" ref="CW57:CW62" si="374">CW23/$CW$37</f>
        <v>34045.943596825578</v>
      </c>
      <c r="CX57" s="884">
        <f t="shared" ref="CX57:CX62" si="375">CX23/$CX$37</f>
        <v>31957.528104497138</v>
      </c>
      <c r="CY57" s="884">
        <f t="shared" ref="CY57:CY62" si="376">CY23/$CY$37</f>
        <v>34377.182037457911</v>
      </c>
      <c r="CZ57" s="875">
        <f t="shared" ref="CZ57:CZ62" si="377">CZ23/$CZ$37</f>
        <v>52670.717803730622</v>
      </c>
      <c r="DA57" s="876">
        <f t="shared" si="253"/>
        <v>342616.33435805753</v>
      </c>
      <c r="DB57" s="884">
        <f t="shared" ref="DB57:DB62" si="378">DB23/$DB$37</f>
        <v>5300.1756055498454</v>
      </c>
      <c r="DC57" s="884">
        <f t="shared" ref="DC57:DC62" si="379">DC23/$DC$37</f>
        <v>15061.031188054958</v>
      </c>
      <c r="DD57" s="884">
        <f t="shared" ref="DD57:DD62" si="380">DD23/$DD$37</f>
        <v>23506.426092593148</v>
      </c>
      <c r="DE57" s="884">
        <f t="shared" ref="DE57:DE62" si="381">DE23/$DE$37</f>
        <v>19436.209259648087</v>
      </c>
      <c r="DF57" s="884">
        <f t="shared" ref="DF57:DF62" si="382">DF23/$DF$37</f>
        <v>22944.607968038257</v>
      </c>
      <c r="DG57" s="884">
        <f t="shared" ref="DG57:DG62" si="383">DG23/$DG$37</f>
        <v>23450.718844920517</v>
      </c>
      <c r="DH57" s="884">
        <f t="shared" ref="DH57:DH62" si="384">DH23/$DH$37</f>
        <v>24408.972990217906</v>
      </c>
      <c r="DI57" s="884">
        <f t="shared" ref="DI57:DI62" si="385">DI23/$DI$37</f>
        <v>27595.637314475422</v>
      </c>
      <c r="DJ57" s="884">
        <f t="shared" ref="DJ57:DJ62" si="386">DJ23/$DJ$37</f>
        <v>27414.784896577967</v>
      </c>
      <c r="DK57" s="884">
        <f t="shared" ref="DK57:DK62" si="387">DK23/$DK$37</f>
        <v>32423.919599806763</v>
      </c>
      <c r="DL57" s="884">
        <f t="shared" ref="DL57:DL62" si="388">DL23/$DL$37</f>
        <v>33879.022112303595</v>
      </c>
      <c r="DM57" s="875">
        <f t="shared" ref="DM57:DM62" si="389">DM23/$DM$37</f>
        <v>55241.34284104719</v>
      </c>
      <c r="DN57" s="876">
        <f t="shared" si="254"/>
        <v>310662.84871323366</v>
      </c>
      <c r="DO57" s="884">
        <f t="shared" ref="DO57:DO62" si="390">DO23/$DO$37</f>
        <v>7133.7472124438273</v>
      </c>
      <c r="DP57" s="884">
        <f t="shared" ref="DP57:DP62" si="391">DP23/$DP$37</f>
        <v>19203.981296366725</v>
      </c>
      <c r="DQ57" s="884">
        <f t="shared" ref="DQ57:DQ64" si="392">DQ23/$DQ$37</f>
        <v>32391.432841847058</v>
      </c>
      <c r="DR57" s="884">
        <f t="shared" ref="DR57:DR64" si="393">DR23/$DR$37</f>
        <v>26813.284300260817</v>
      </c>
      <c r="DS57" s="884">
        <f t="shared" ref="DS57:DS62" si="394">DS23/$DS$37</f>
        <v>29703.392247488624</v>
      </c>
      <c r="DT57" s="884">
        <f t="shared" ref="DT57:DT62" si="395">DT23/$DT$37</f>
        <v>26449.700118337569</v>
      </c>
      <c r="DU57" s="884">
        <f t="shared" ref="DU57:DU62" si="396">DU23/$DU$37</f>
        <v>28570.084219213335</v>
      </c>
      <c r="DV57" s="884">
        <f t="shared" ref="DV57:DV62" si="397">DV23/$DV$37</f>
        <v>27988.171283742078</v>
      </c>
      <c r="DW57" s="884">
        <f t="shared" ref="DW57:DW62" si="398">DW23/$DW$37</f>
        <v>25420.756833382988</v>
      </c>
      <c r="DX57" s="884">
        <f t="shared" ref="DX57:DX62" si="399">DX23/$DX$37</f>
        <v>28058.386015314449</v>
      </c>
      <c r="DY57" s="884">
        <f t="shared" ref="DY57:DY62" si="400">DY23/$DY$37</f>
        <v>30275.294134708518</v>
      </c>
      <c r="DZ57" s="875">
        <f t="shared" ref="DZ57:DZ62" si="401">DZ23/$DZ$37</f>
        <v>52163.908733702337</v>
      </c>
      <c r="EA57" s="876">
        <f t="shared" si="255"/>
        <v>334172.13923680829</v>
      </c>
      <c r="EB57" s="884">
        <f t="shared" ref="EB57:EB61" si="402">+EB23/$EB$37</f>
        <v>8363.4285017996044</v>
      </c>
      <c r="EC57" s="884">
        <f t="shared" ref="EC57:EC61" si="403">+EC23/$EC$37</f>
        <v>19430.964213968928</v>
      </c>
      <c r="ED57" s="884">
        <f t="shared" ref="ED57:ED61" si="404">+ED23/$ED$37</f>
        <v>22017.472090199215</v>
      </c>
      <c r="EE57" s="884">
        <f t="shared" ref="EE57:EE61" si="405">+EE23/$EE$37</f>
        <v>27571.186913930815</v>
      </c>
      <c r="EF57" s="884">
        <f t="shared" ref="EF57:EF61" si="406">+EF23/$EF$37</f>
        <v>29364.672483278737</v>
      </c>
      <c r="EG57" s="884">
        <f t="shared" si="256"/>
        <v>26643.101828144401</v>
      </c>
      <c r="EH57" s="884">
        <f t="shared" si="257"/>
        <v>29540.955689210183</v>
      </c>
      <c r="EI57" s="884">
        <f t="shared" si="275"/>
        <v>29776.412330353392</v>
      </c>
      <c r="EJ57" s="884">
        <f t="shared" si="258"/>
        <v>26354.251550111469</v>
      </c>
      <c r="EK57" s="884">
        <f t="shared" si="259"/>
        <v>37454.809003965951</v>
      </c>
      <c r="EL57" s="884">
        <f t="shared" si="260"/>
        <v>31479.085801378969</v>
      </c>
      <c r="EM57" s="875">
        <f t="shared" si="261"/>
        <v>46141.597506809972</v>
      </c>
      <c r="EN57" s="876">
        <f t="shared" si="262"/>
        <v>334137.93791315163</v>
      </c>
      <c r="EO57" s="884">
        <f t="shared" si="263"/>
        <v>9183.6918065563041</v>
      </c>
      <c r="EP57" s="884">
        <f t="shared" si="264"/>
        <v>26915.056578694017</v>
      </c>
      <c r="EQ57" s="884">
        <f t="shared" si="265"/>
        <v>27945.989219950286</v>
      </c>
      <c r="ER57" s="884">
        <f t="shared" si="266"/>
        <v>39030.551724025427</v>
      </c>
      <c r="ES57" s="884">
        <f t="shared" si="267"/>
        <v>27876.268168907744</v>
      </c>
      <c r="ET57" s="884">
        <f t="shared" si="268"/>
        <v>30243.417164108614</v>
      </c>
      <c r="EU57" s="884">
        <f t="shared" si="269"/>
        <v>34641.980537794734</v>
      </c>
      <c r="EV57" s="971">
        <f t="shared" si="270"/>
        <v>32837.276964372519</v>
      </c>
      <c r="EW57" s="884"/>
      <c r="EX57" s="884"/>
      <c r="EY57" s="884"/>
      <c r="EZ57" s="875"/>
      <c r="FA57" s="876">
        <f t="shared" si="271"/>
        <v>228674.23216440965</v>
      </c>
      <c r="FB57" s="757"/>
      <c r="FC57" s="847">
        <f t="shared" ref="FC57:FC64" si="407">IFERROR(((
_xlfn.XLOOKUP((DATE(YEAR($FC$5),MONTH($FC$5),1)),UCA.GGL.DATE,$B57:$FA57) /
_xlfn.XLOOKUP((DATE(YEAR($FC$5)-1,MONTH($FC$5),1)),UCA.GGL.DATE,$B57:$FA57)
)-1)*100,"")</f>
        <v>10.279494386565013</v>
      </c>
      <c r="FD57" s="848">
        <f t="shared" ref="FD57:FD64" si="408">IFERROR(((FF57/FE57)-1)*100,"")</f>
        <v>18.663471104932583</v>
      </c>
      <c r="FE57" s="849">
        <f t="shared" ref="FE57:FE64" si="409">SUMIFS($B57:$FA57,UCA.GGL.DATE,"&gt;="&amp;DATE(YEAR($FC$5)-1,1,1),UCA.GGL.DATE,"&lt;="&amp;DATE(YEAR($FC$5)-1,MONTH($FC$5),1))</f>
        <v>192708.19405088527</v>
      </c>
      <c r="FF57" s="850">
        <f t="shared" ref="FF57:FF64" si="410">SUMIFS($B57:$FA57,UCA.GGL.DATE,"&gt;="&amp;DATE(YEAR($FC$5),1,1),UCA.GGL.DATE,"&lt;="&amp;$FC$5)</f>
        <v>228674.23216440965</v>
      </c>
      <c r="FH57" s="793"/>
    </row>
    <row r="58" spans="1:164" ht="15" customHeight="1" x14ac:dyDescent="0.25">
      <c r="A58" s="402" t="s">
        <v>384</v>
      </c>
      <c r="B58" s="883">
        <f t="shared" si="278"/>
        <v>0</v>
      </c>
      <c r="C58" s="883">
        <f t="shared" si="279"/>
        <v>1281.0837887134835</v>
      </c>
      <c r="D58" s="883">
        <f t="shared" si="280"/>
        <v>3241.9291155696915</v>
      </c>
      <c r="E58" s="883">
        <f t="shared" si="281"/>
        <v>1335.4216935439308</v>
      </c>
      <c r="F58" s="883">
        <f t="shared" si="282"/>
        <v>2455.6937986129478</v>
      </c>
      <c r="G58" s="883">
        <f t="shared" si="283"/>
        <v>1411.1416021766179</v>
      </c>
      <c r="H58" s="883">
        <f t="shared" si="284"/>
        <v>4166.3075861911639</v>
      </c>
      <c r="I58" s="883">
        <f t="shared" si="285"/>
        <v>3.8071322244514727</v>
      </c>
      <c r="J58" s="883">
        <f t="shared" si="286"/>
        <v>-478.79359575726846</v>
      </c>
      <c r="K58" s="883">
        <f t="shared" si="287"/>
        <v>2483.357444790322</v>
      </c>
      <c r="L58" s="883">
        <f t="shared" si="288"/>
        <v>6322.5807382600497</v>
      </c>
      <c r="M58" s="873">
        <f t="shared" si="289"/>
        <v>15929.461725318832</v>
      </c>
      <c r="N58" s="879">
        <f t="shared" si="290"/>
        <v>38151.991029644225</v>
      </c>
      <c r="O58" s="883" t="e">
        <f>O24/$O$37+#REF!</f>
        <v>#REF!</v>
      </c>
      <c r="P58" s="883">
        <f t="shared" si="291"/>
        <v>249.03623861239564</v>
      </c>
      <c r="Q58" s="883">
        <f t="shared" si="292"/>
        <v>2081.8138704094968</v>
      </c>
      <c r="R58" s="883">
        <f t="shared" si="293"/>
        <v>2006.3040706215756</v>
      </c>
      <c r="S58" s="883">
        <f t="shared" si="294"/>
        <v>1496.9247560763833</v>
      </c>
      <c r="T58" s="883">
        <f t="shared" si="295"/>
        <v>1395.275586302163</v>
      </c>
      <c r="U58" s="883">
        <f t="shared" si="296"/>
        <v>2561.8993880128937</v>
      </c>
      <c r="V58" s="883">
        <f t="shared" si="297"/>
        <v>1933.5795368102542</v>
      </c>
      <c r="W58" s="883">
        <f t="shared" si="298"/>
        <v>3377.0422514047646</v>
      </c>
      <c r="X58" s="883">
        <f t="shared" si="299"/>
        <v>1293.8415583479068</v>
      </c>
      <c r="Y58" s="883">
        <f t="shared" si="300"/>
        <v>7986.1604631797591</v>
      </c>
      <c r="Z58" s="873">
        <f t="shared" si="301"/>
        <v>16973.311603657643</v>
      </c>
      <c r="AA58" s="879" t="e">
        <f t="shared" si="302"/>
        <v>#REF!</v>
      </c>
      <c r="AB58" s="883">
        <f t="shared" si="303"/>
        <v>18.95013356095761</v>
      </c>
      <c r="AC58" s="883">
        <f t="shared" si="304"/>
        <v>762.12620021487135</v>
      </c>
      <c r="AD58" s="883">
        <f t="shared" si="305"/>
        <v>2079.8880338470494</v>
      </c>
      <c r="AE58" s="883">
        <f t="shared" si="306"/>
        <v>3018.6657606639033</v>
      </c>
      <c r="AF58" s="883">
        <f t="shared" si="307"/>
        <v>3520.9849564926362</v>
      </c>
      <c r="AG58" s="883">
        <f t="shared" si="308"/>
        <v>5841.7905674491449</v>
      </c>
      <c r="AH58" s="883">
        <f t="shared" si="309"/>
        <v>5714.6393016239253</v>
      </c>
      <c r="AI58" s="883">
        <f t="shared" si="310"/>
        <v>5999.9797085169139</v>
      </c>
      <c r="AJ58" s="883">
        <f t="shared" si="311"/>
        <v>3723.4854531398414</v>
      </c>
      <c r="AK58" s="883">
        <f t="shared" si="312"/>
        <v>3760.5231839137068</v>
      </c>
      <c r="AL58" s="883">
        <f t="shared" si="313"/>
        <v>3550.0186990773464</v>
      </c>
      <c r="AM58" s="873">
        <f t="shared" si="314"/>
        <v>10710.893453043827</v>
      </c>
      <c r="AN58" s="879">
        <f t="shared" si="315"/>
        <v>48701.945451544125</v>
      </c>
      <c r="AO58" s="883">
        <f t="shared" si="316"/>
        <v>15.837790034874324</v>
      </c>
      <c r="AP58" s="883">
        <f t="shared" si="317"/>
        <v>418.65479892685238</v>
      </c>
      <c r="AQ58" s="883">
        <f t="shared" si="318"/>
        <v>985.43716871400375</v>
      </c>
      <c r="AR58" s="883">
        <f t="shared" si="319"/>
        <v>1130.6552353629568</v>
      </c>
      <c r="AS58" s="883">
        <f t="shared" si="320"/>
        <v>1717.8230303980088</v>
      </c>
      <c r="AT58" s="883">
        <f t="shared" si="321"/>
        <v>2086.5546806511334</v>
      </c>
      <c r="AU58" s="883">
        <f t="shared" si="322"/>
        <v>1589.8946189365022</v>
      </c>
      <c r="AV58" s="883">
        <f t="shared" si="323"/>
        <v>1205.4172995896743</v>
      </c>
      <c r="AW58" s="883">
        <f t="shared" si="324"/>
        <v>3347.3819255835278</v>
      </c>
      <c r="AX58" s="883">
        <f t="shared" si="325"/>
        <v>2718.5024474796965</v>
      </c>
      <c r="AY58" s="883">
        <f t="shared" si="326"/>
        <v>1979.5416128939471</v>
      </c>
      <c r="AZ58" s="873">
        <f t="shared" si="327"/>
        <v>5336.781619412337</v>
      </c>
      <c r="BA58" s="879">
        <f t="shared" si="328"/>
        <v>22532.482227983513</v>
      </c>
      <c r="BB58" s="883">
        <f t="shared" si="329"/>
        <v>1119.4819557079102</v>
      </c>
      <c r="BC58" s="883">
        <f t="shared" si="330"/>
        <v>487.20134439200945</v>
      </c>
      <c r="BD58" s="883">
        <f t="shared" si="331"/>
        <v>3180.9027026521926</v>
      </c>
      <c r="BE58" s="883">
        <f t="shared" si="332"/>
        <v>8870.7532571920383</v>
      </c>
      <c r="BF58" s="883">
        <f t="shared" si="333"/>
        <v>-429.74421435296046</v>
      </c>
      <c r="BG58" s="883">
        <f t="shared" si="334"/>
        <v>8838.2577538047371</v>
      </c>
      <c r="BH58" s="883">
        <f t="shared" si="335"/>
        <v>5427.4830003528778</v>
      </c>
      <c r="BI58" s="883">
        <f t="shared" si="336"/>
        <v>9736.6326331545424</v>
      </c>
      <c r="BJ58" s="883">
        <f t="shared" si="337"/>
        <v>6492.9886473632341</v>
      </c>
      <c r="BK58" s="883">
        <f t="shared" si="338"/>
        <v>2689.0702957863646</v>
      </c>
      <c r="BL58" s="883">
        <f t="shared" si="339"/>
        <v>4385.0559167110432</v>
      </c>
      <c r="BM58" s="873">
        <f t="shared" si="340"/>
        <v>13938.253134176832</v>
      </c>
      <c r="BN58" s="879">
        <f t="shared" si="341"/>
        <v>64736.336426940819</v>
      </c>
      <c r="BO58" s="883">
        <f t="shared" si="342"/>
        <v>216.57360606462183</v>
      </c>
      <c r="BP58" s="883">
        <f t="shared" si="343"/>
        <v>1029.5320514100913</v>
      </c>
      <c r="BQ58" s="883">
        <f t="shared" si="344"/>
        <v>632.26545531141153</v>
      </c>
      <c r="BR58" s="883">
        <f t="shared" si="345"/>
        <v>1988.1720396300575</v>
      </c>
      <c r="BS58" s="883">
        <f t="shared" si="346"/>
        <v>1817.8837004354289</v>
      </c>
      <c r="BT58" s="883">
        <f t="shared" si="347"/>
        <v>2181.0523956790989</v>
      </c>
      <c r="BU58" s="883">
        <f t="shared" si="348"/>
        <v>5122.2936051124816</v>
      </c>
      <c r="BV58" s="883">
        <f t="shared" si="349"/>
        <v>4291.5161294763457</v>
      </c>
      <c r="BW58" s="883">
        <f t="shared" si="350"/>
        <v>5695.8098534295195</v>
      </c>
      <c r="BX58" s="883">
        <f t="shared" si="351"/>
        <v>7312.2578985853488</v>
      </c>
      <c r="BY58" s="883">
        <f t="shared" si="352"/>
        <v>5292.9652858805921</v>
      </c>
      <c r="BZ58" s="873">
        <f t="shared" si="353"/>
        <v>16515.27683014825</v>
      </c>
      <c r="CA58" s="879">
        <f t="shared" si="354"/>
        <v>52095.598851163246</v>
      </c>
      <c r="CB58" s="883">
        <f t="shared" si="355"/>
        <v>1.3479105048252997</v>
      </c>
      <c r="CC58" s="883">
        <f t="shared" si="356"/>
        <v>590.4784678692987</v>
      </c>
      <c r="CD58" s="883">
        <f t="shared" si="357"/>
        <v>4614.210954789839</v>
      </c>
      <c r="CE58" s="883">
        <f t="shared" si="358"/>
        <v>2323.8173346901581</v>
      </c>
      <c r="CF58" s="883">
        <f t="shared" si="359"/>
        <v>4637.1240774970674</v>
      </c>
      <c r="CG58" s="883">
        <f t="shared" si="360"/>
        <v>1494.7330860208226</v>
      </c>
      <c r="CH58" s="883">
        <f t="shared" si="361"/>
        <v>2389.7675577281429</v>
      </c>
      <c r="CI58" s="883">
        <f t="shared" si="199"/>
        <v>2085.7398028745019</v>
      </c>
      <c r="CJ58" s="883">
        <f t="shared" si="362"/>
        <v>1766.5619133663392</v>
      </c>
      <c r="CK58" s="883">
        <f t="shared" si="363"/>
        <v>4082.5070673374471</v>
      </c>
      <c r="CL58" s="883">
        <f t="shared" si="364"/>
        <v>1995.0336887329049</v>
      </c>
      <c r="CM58" s="873">
        <f t="shared" si="365"/>
        <v>2569.7067540333774</v>
      </c>
      <c r="CN58" s="879">
        <f t="shared" si="252"/>
        <v>28551.02861544472</v>
      </c>
      <c r="CO58" s="883">
        <f t="shared" si="366"/>
        <v>1042.6491128584744</v>
      </c>
      <c r="CP58" s="883">
        <f t="shared" si="367"/>
        <v>1010.1684091553615</v>
      </c>
      <c r="CQ58" s="883">
        <f t="shared" si="368"/>
        <v>925.89952450220335</v>
      </c>
      <c r="CR58" s="883">
        <f t="shared" si="369"/>
        <v>984.72964371867465</v>
      </c>
      <c r="CS58" s="883">
        <f t="shared" si="370"/>
        <v>1398.252145370994</v>
      </c>
      <c r="CT58" s="883">
        <f t="shared" si="371"/>
        <v>3069.6676964499316</v>
      </c>
      <c r="CU58" s="883">
        <f t="shared" si="372"/>
        <v>1902.1132833833869</v>
      </c>
      <c r="CV58" s="883">
        <f t="shared" si="373"/>
        <v>2336.7188903741135</v>
      </c>
      <c r="CW58" s="883">
        <f t="shared" si="374"/>
        <v>5179.1363046042288</v>
      </c>
      <c r="CX58" s="883">
        <f t="shared" si="375"/>
        <v>5826.1715075539232</v>
      </c>
      <c r="CY58" s="883">
        <f t="shared" si="376"/>
        <v>4772.1217981045947</v>
      </c>
      <c r="CZ58" s="873">
        <f t="shared" si="377"/>
        <v>9583.5529870267947</v>
      </c>
      <c r="DA58" s="879">
        <f t="shared" si="253"/>
        <v>38031.181303102683</v>
      </c>
      <c r="DB58" s="883">
        <f t="shared" si="378"/>
        <v>0.58688690128998389</v>
      </c>
      <c r="DC58" s="883">
        <f t="shared" si="379"/>
        <v>785.9099695208381</v>
      </c>
      <c r="DD58" s="883">
        <f t="shared" si="380"/>
        <v>882.55298968281431</v>
      </c>
      <c r="DE58" s="883">
        <f t="shared" si="381"/>
        <v>1485.7202275834729</v>
      </c>
      <c r="DF58" s="883">
        <f t="shared" si="382"/>
        <v>2509.9335191384453</v>
      </c>
      <c r="DG58" s="883">
        <f t="shared" si="383"/>
        <v>3479.9395609219969</v>
      </c>
      <c r="DH58" s="883">
        <f t="shared" si="384"/>
        <v>3876.7898422424441</v>
      </c>
      <c r="DI58" s="883">
        <f t="shared" si="385"/>
        <v>5389.7640163996266</v>
      </c>
      <c r="DJ58" s="883">
        <f t="shared" si="386"/>
        <v>5029.4784783684199</v>
      </c>
      <c r="DK58" s="883">
        <f t="shared" si="387"/>
        <v>8593.8378183688619</v>
      </c>
      <c r="DL58" s="883">
        <f t="shared" si="388"/>
        <v>8514.9443365258212</v>
      </c>
      <c r="DM58" s="873">
        <f t="shared" si="389"/>
        <v>17736.247994360761</v>
      </c>
      <c r="DN58" s="879">
        <f t="shared" si="254"/>
        <v>58285.705640014792</v>
      </c>
      <c r="DO58" s="883">
        <f t="shared" si="390"/>
        <v>161.18566555861102</v>
      </c>
      <c r="DP58" s="883">
        <f t="shared" si="391"/>
        <v>677.40109804915357</v>
      </c>
      <c r="DQ58" s="883">
        <f t="shared" si="392"/>
        <v>8141.7349847424875</v>
      </c>
      <c r="DR58" s="883">
        <f t="shared" si="393"/>
        <v>4406.7025458426351</v>
      </c>
      <c r="DS58" s="883">
        <f t="shared" si="394"/>
        <v>6767.3355520280711</v>
      </c>
      <c r="DT58" s="883">
        <f t="shared" si="395"/>
        <v>4815.9194019669794</v>
      </c>
      <c r="DU58" s="883">
        <f t="shared" si="396"/>
        <v>6059.8970346682527</v>
      </c>
      <c r="DV58" s="883">
        <f t="shared" si="397"/>
        <v>5120.1548495116231</v>
      </c>
      <c r="DW58" s="883">
        <f t="shared" si="398"/>
        <v>4042.4445117306282</v>
      </c>
      <c r="DX58" s="883">
        <f t="shared" si="399"/>
        <v>3974.9939967829359</v>
      </c>
      <c r="DY58" s="883">
        <f t="shared" si="400"/>
        <v>5998.2363732796794</v>
      </c>
      <c r="DZ58" s="873">
        <f t="shared" si="401"/>
        <v>11660.384726739368</v>
      </c>
      <c r="EA58" s="879">
        <f t="shared" si="255"/>
        <v>61826.390740900431</v>
      </c>
      <c r="EB58" s="883">
        <f t="shared" si="402"/>
        <v>303.06734291471457</v>
      </c>
      <c r="EC58" s="883">
        <f t="shared" si="403"/>
        <v>951.56807171464334</v>
      </c>
      <c r="ED58" s="883">
        <f t="shared" si="404"/>
        <v>1911.6502672229794</v>
      </c>
      <c r="EE58" s="883">
        <f t="shared" si="405"/>
        <v>4337.0220363199751</v>
      </c>
      <c r="EF58" s="883">
        <f t="shared" si="406"/>
        <v>3822.7801877007596</v>
      </c>
      <c r="EG58" s="883">
        <f t="shared" si="256"/>
        <v>4454.2117745932219</v>
      </c>
      <c r="EH58" s="883">
        <f t="shared" si="257"/>
        <v>4234.3632076914482</v>
      </c>
      <c r="EI58" s="883">
        <f t="shared" si="275"/>
        <v>5436.3665964686561</v>
      </c>
      <c r="EJ58" s="883">
        <f t="shared" si="258"/>
        <v>5961.6390243683536</v>
      </c>
      <c r="EK58" s="883">
        <f t="shared" si="259"/>
        <v>5234.1516003684283</v>
      </c>
      <c r="EL58" s="883">
        <f t="shared" si="260"/>
        <v>9329.6906708340448</v>
      </c>
      <c r="EM58" s="873">
        <f t="shared" si="261"/>
        <v>10526.978965286859</v>
      </c>
      <c r="EN58" s="879">
        <f t="shared" si="262"/>
        <v>56503.489745484083</v>
      </c>
      <c r="EO58" s="883">
        <f t="shared" si="263"/>
        <v>377.17850561561539</v>
      </c>
      <c r="EP58" s="883">
        <f t="shared" si="264"/>
        <v>2096.8516385105504</v>
      </c>
      <c r="EQ58" s="883">
        <f t="shared" si="265"/>
        <v>1874.7643352188193</v>
      </c>
      <c r="ER58" s="883">
        <f t="shared" si="266"/>
        <v>1820.4954249667783</v>
      </c>
      <c r="ES58" s="883">
        <f t="shared" si="267"/>
        <v>1992.4147210881194</v>
      </c>
      <c r="ET58" s="883">
        <f t="shared" si="268"/>
        <v>1960.8008112639584</v>
      </c>
      <c r="EU58" s="883">
        <f t="shared" si="269"/>
        <v>2705.8842908968372</v>
      </c>
      <c r="EV58" s="973">
        <f t="shared" si="270"/>
        <v>3903.2999567645038</v>
      </c>
      <c r="EW58" s="883"/>
      <c r="EX58" s="883"/>
      <c r="EY58" s="883"/>
      <c r="EZ58" s="873"/>
      <c r="FA58" s="879">
        <f t="shared" si="271"/>
        <v>16731.689684325182</v>
      </c>
      <c r="FC58" s="843">
        <f t="shared" si="407"/>
        <v>-28.20020711443556</v>
      </c>
      <c r="FD58" s="844">
        <f t="shared" si="408"/>
        <v>-34.259281360575613</v>
      </c>
      <c r="FE58" s="845">
        <f t="shared" si="409"/>
        <v>25451.029484626397</v>
      </c>
      <c r="FF58" s="846">
        <f t="shared" si="410"/>
        <v>16731.689684325182</v>
      </c>
    </row>
    <row r="59" spans="1:164" ht="15" customHeight="1" x14ac:dyDescent="0.25">
      <c r="A59" s="402" t="s">
        <v>385</v>
      </c>
      <c r="B59" s="883">
        <f t="shared" si="278"/>
        <v>974.50124140595346</v>
      </c>
      <c r="C59" s="883">
        <f t="shared" si="279"/>
        <v>1298.3216133934204</v>
      </c>
      <c r="D59" s="883">
        <f t="shared" si="280"/>
        <v>1451.8305729835965</v>
      </c>
      <c r="E59" s="883">
        <f t="shared" si="281"/>
        <v>1459.3587416686576</v>
      </c>
      <c r="F59" s="883">
        <f t="shared" si="282"/>
        <v>1304.105897444078</v>
      </c>
      <c r="G59" s="883">
        <f t="shared" si="283"/>
        <v>1092.521490694955</v>
      </c>
      <c r="H59" s="883">
        <f t="shared" si="284"/>
        <v>1722.0126567031173</v>
      </c>
      <c r="I59" s="883">
        <f t="shared" si="285"/>
        <v>1097.2155070869144</v>
      </c>
      <c r="J59" s="883">
        <f t="shared" si="286"/>
        <v>1190.5138056667215</v>
      </c>
      <c r="K59" s="883">
        <f t="shared" si="287"/>
        <v>1229.8966469760458</v>
      </c>
      <c r="L59" s="883">
        <f t="shared" si="288"/>
        <v>1402.2402284351008</v>
      </c>
      <c r="M59" s="873">
        <f t="shared" si="289"/>
        <v>1231.5505632726849</v>
      </c>
      <c r="N59" s="879">
        <f t="shared" si="290"/>
        <v>15454.068965731245</v>
      </c>
      <c r="O59" s="883">
        <f>O25/$O$37</f>
        <v>1097.0211334889568</v>
      </c>
      <c r="P59" s="883">
        <f t="shared" si="291"/>
        <v>1552.7259455652379</v>
      </c>
      <c r="Q59" s="883">
        <f t="shared" si="292"/>
        <v>1019.2835103330166</v>
      </c>
      <c r="R59" s="883">
        <f t="shared" si="293"/>
        <v>1353.938384336225</v>
      </c>
      <c r="S59" s="883">
        <f t="shared" si="294"/>
        <v>1793.7801127734397</v>
      </c>
      <c r="T59" s="883">
        <f t="shared" si="295"/>
        <v>1287.5466406079065</v>
      </c>
      <c r="U59" s="883">
        <f t="shared" si="296"/>
        <v>1774.9931720483423</v>
      </c>
      <c r="V59" s="883">
        <f t="shared" si="297"/>
        <v>1749.3938808554901</v>
      </c>
      <c r="W59" s="883">
        <f t="shared" si="298"/>
        <v>1760.4908786011722</v>
      </c>
      <c r="X59" s="883">
        <f t="shared" si="299"/>
        <v>1684.9345748485243</v>
      </c>
      <c r="Y59" s="883">
        <f t="shared" si="300"/>
        <v>1710.8488775641631</v>
      </c>
      <c r="Z59" s="873">
        <f t="shared" si="301"/>
        <v>1453.8950624689528</v>
      </c>
      <c r="AA59" s="879">
        <f t="shared" si="302"/>
        <v>18238.852173491428</v>
      </c>
      <c r="AB59" s="883">
        <f t="shared" si="303"/>
        <v>655.96616172545578</v>
      </c>
      <c r="AC59" s="883">
        <f t="shared" si="304"/>
        <v>2211.5463807951082</v>
      </c>
      <c r="AD59" s="883">
        <f t="shared" si="305"/>
        <v>792.50906117275508</v>
      </c>
      <c r="AE59" s="883">
        <f t="shared" si="306"/>
        <v>1135.4152539514778</v>
      </c>
      <c r="AF59" s="883">
        <f t="shared" si="307"/>
        <v>1410.2714561177438</v>
      </c>
      <c r="AG59" s="883">
        <f t="shared" si="308"/>
        <v>1603.4727854444416</v>
      </c>
      <c r="AH59" s="883">
        <f t="shared" si="309"/>
        <v>1838.4724392113349</v>
      </c>
      <c r="AI59" s="883">
        <f t="shared" si="310"/>
        <v>1539.4307402229701</v>
      </c>
      <c r="AJ59" s="883">
        <f t="shared" si="311"/>
        <v>1138.1300874678213</v>
      </c>
      <c r="AK59" s="883">
        <f t="shared" si="312"/>
        <v>1314.9942154900393</v>
      </c>
      <c r="AL59" s="883">
        <f t="shared" si="313"/>
        <v>1508.9564940149794</v>
      </c>
      <c r="AM59" s="873">
        <f t="shared" si="314"/>
        <v>1135.3157809101572</v>
      </c>
      <c r="AN59" s="879">
        <f t="shared" si="315"/>
        <v>16284.480856524286</v>
      </c>
      <c r="AO59" s="883">
        <f t="shared" si="316"/>
        <v>1223.8292299675613</v>
      </c>
      <c r="AP59" s="883">
        <f t="shared" si="317"/>
        <v>1599.2182456433966</v>
      </c>
      <c r="AQ59" s="883">
        <f t="shared" si="318"/>
        <v>1447.0705341884393</v>
      </c>
      <c r="AR59" s="883">
        <f t="shared" si="319"/>
        <v>1588.6421661428888</v>
      </c>
      <c r="AS59" s="883">
        <f t="shared" si="320"/>
        <v>1882.3791724186426</v>
      </c>
      <c r="AT59" s="883">
        <f t="shared" si="321"/>
        <v>1180.1941204639868</v>
      </c>
      <c r="AU59" s="883">
        <f t="shared" si="322"/>
        <v>1763.9447447807574</v>
      </c>
      <c r="AV59" s="883">
        <f t="shared" si="323"/>
        <v>1256.5003164057168</v>
      </c>
      <c r="AW59" s="883">
        <f t="shared" si="324"/>
        <v>863.93186994116866</v>
      </c>
      <c r="AX59" s="883">
        <f t="shared" si="325"/>
        <v>1238.2559300076703</v>
      </c>
      <c r="AY59" s="883">
        <f t="shared" si="326"/>
        <v>983.76362911402146</v>
      </c>
      <c r="AZ59" s="873">
        <f t="shared" si="327"/>
        <v>896.63574861507993</v>
      </c>
      <c r="BA59" s="879">
        <f t="shared" si="328"/>
        <v>15924.365707689327</v>
      </c>
      <c r="BB59" s="883">
        <f t="shared" si="329"/>
        <v>559.03601440577631</v>
      </c>
      <c r="BC59" s="883">
        <f t="shared" si="330"/>
        <v>1163.087602508092</v>
      </c>
      <c r="BD59" s="883">
        <f t="shared" si="331"/>
        <v>1102.2376537206126</v>
      </c>
      <c r="BE59" s="883">
        <f t="shared" si="332"/>
        <v>2015.9217514574973</v>
      </c>
      <c r="BF59" s="883">
        <f t="shared" si="333"/>
        <v>1847.1339650957068</v>
      </c>
      <c r="BG59" s="883">
        <f t="shared" si="334"/>
        <v>965.52981456219925</v>
      </c>
      <c r="BH59" s="883">
        <f t="shared" si="335"/>
        <v>2117.8385146871119</v>
      </c>
      <c r="BI59" s="883">
        <f t="shared" si="336"/>
        <v>1113.2149429179763</v>
      </c>
      <c r="BJ59" s="883">
        <f t="shared" si="337"/>
        <v>1217.3919179283675</v>
      </c>
      <c r="BK59" s="883">
        <f t="shared" si="338"/>
        <v>1579.2732057381697</v>
      </c>
      <c r="BL59" s="883">
        <f t="shared" si="339"/>
        <v>1302.8215490560574</v>
      </c>
      <c r="BM59" s="873">
        <f t="shared" si="340"/>
        <v>2499.1106493681514</v>
      </c>
      <c r="BN59" s="879">
        <f t="shared" si="341"/>
        <v>17482.59758144572</v>
      </c>
      <c r="BO59" s="883">
        <f t="shared" si="342"/>
        <v>1172.126800873704</v>
      </c>
      <c r="BP59" s="883">
        <f t="shared" si="343"/>
        <v>1372.2487611412359</v>
      </c>
      <c r="BQ59" s="883">
        <f t="shared" si="344"/>
        <v>1648.2837765501617</v>
      </c>
      <c r="BR59" s="883">
        <f t="shared" si="345"/>
        <v>183.79789810998807</v>
      </c>
      <c r="BS59" s="883">
        <f t="shared" si="346"/>
        <v>1006.8173657155556</v>
      </c>
      <c r="BT59" s="883">
        <f t="shared" si="347"/>
        <v>732.96537400417799</v>
      </c>
      <c r="BU59" s="883">
        <f t="shared" si="348"/>
        <v>1379.9724036179266</v>
      </c>
      <c r="BV59" s="883">
        <f t="shared" si="349"/>
        <v>1151.6993086913412</v>
      </c>
      <c r="BW59" s="883">
        <f t="shared" si="350"/>
        <v>1366.5845943300324</v>
      </c>
      <c r="BX59" s="883">
        <f t="shared" si="351"/>
        <v>1095.2340712793819</v>
      </c>
      <c r="BY59" s="883">
        <f t="shared" si="352"/>
        <v>1388.4523927540979</v>
      </c>
      <c r="BZ59" s="873">
        <f t="shared" si="353"/>
        <v>1767.2873828931508</v>
      </c>
      <c r="CA59" s="879">
        <f t="shared" si="354"/>
        <v>14265.470129960753</v>
      </c>
      <c r="CB59" s="883">
        <f t="shared" si="355"/>
        <v>826.94309471032147</v>
      </c>
      <c r="CC59" s="883">
        <f t="shared" si="356"/>
        <v>1425.24631330281</v>
      </c>
      <c r="CD59" s="883">
        <f t="shared" si="357"/>
        <v>1191.1958665012203</v>
      </c>
      <c r="CE59" s="883">
        <f t="shared" si="358"/>
        <v>1619.772359550534</v>
      </c>
      <c r="CF59" s="883">
        <f t="shared" si="359"/>
        <v>1217.2367193775619</v>
      </c>
      <c r="CG59" s="883">
        <f t="shared" si="360"/>
        <v>1383.7413450846389</v>
      </c>
      <c r="CH59" s="883">
        <f t="shared" si="361"/>
        <v>1619.2780725685461</v>
      </c>
      <c r="CI59" s="883">
        <f t="shared" si="199"/>
        <v>1638.7490172537871</v>
      </c>
      <c r="CJ59" s="883">
        <f t="shared" si="362"/>
        <v>1983.3259394737445</v>
      </c>
      <c r="CK59" s="883">
        <f t="shared" si="363"/>
        <v>1413.1010711978836</v>
      </c>
      <c r="CL59" s="883">
        <f t="shared" si="364"/>
        <v>1566.8376085859134</v>
      </c>
      <c r="CM59" s="873">
        <f t="shared" si="365"/>
        <v>3459.024334749</v>
      </c>
      <c r="CN59" s="879">
        <f t="shared" si="252"/>
        <v>19344.451742355963</v>
      </c>
      <c r="CO59" s="883">
        <f t="shared" si="366"/>
        <v>707.21582028137493</v>
      </c>
      <c r="CP59" s="883">
        <f t="shared" si="367"/>
        <v>1115.0631778845211</v>
      </c>
      <c r="CQ59" s="883">
        <f t="shared" si="368"/>
        <v>1420.7984584377518</v>
      </c>
      <c r="CR59" s="883">
        <f t="shared" si="369"/>
        <v>1343.9977367956203</v>
      </c>
      <c r="CS59" s="883">
        <f t="shared" si="370"/>
        <v>1662.2015998685247</v>
      </c>
      <c r="CT59" s="883">
        <f t="shared" si="371"/>
        <v>1230.3105951542611</v>
      </c>
      <c r="CU59" s="883">
        <f t="shared" si="372"/>
        <v>1641.8814310592202</v>
      </c>
      <c r="CV59" s="883">
        <f t="shared" si="373"/>
        <v>2377.5979447979466</v>
      </c>
      <c r="CW59" s="883">
        <f t="shared" si="374"/>
        <v>2119.4987371267189</v>
      </c>
      <c r="CX59" s="883">
        <f t="shared" si="375"/>
        <v>1790.2842889414878</v>
      </c>
      <c r="CY59" s="883">
        <f t="shared" si="376"/>
        <v>1323.3166670852845</v>
      </c>
      <c r="CZ59" s="873">
        <f t="shared" si="377"/>
        <v>2220.0054611489763</v>
      </c>
      <c r="DA59" s="879">
        <f t="shared" si="253"/>
        <v>18952.171918581691</v>
      </c>
      <c r="DB59" s="883">
        <f t="shared" si="378"/>
        <v>903.80582798657531</v>
      </c>
      <c r="DC59" s="883">
        <f t="shared" si="379"/>
        <v>1056.852870405535</v>
      </c>
      <c r="DD59" s="883">
        <f t="shared" si="380"/>
        <v>1025.8883802796302</v>
      </c>
      <c r="DE59" s="883">
        <f t="shared" si="381"/>
        <v>1309.8477364265898</v>
      </c>
      <c r="DF59" s="883">
        <f t="shared" si="382"/>
        <v>1372.1275458426333</v>
      </c>
      <c r="DG59" s="883">
        <f t="shared" si="383"/>
        <v>1105.6625777241036</v>
      </c>
      <c r="DH59" s="883">
        <f t="shared" si="384"/>
        <v>1476.8723208542644</v>
      </c>
      <c r="DI59" s="883">
        <f t="shared" si="385"/>
        <v>1131.930156835248</v>
      </c>
      <c r="DJ59" s="883">
        <f t="shared" si="386"/>
        <v>1359.9800888310306</v>
      </c>
      <c r="DK59" s="883">
        <f t="shared" si="387"/>
        <v>1717.2827166291315</v>
      </c>
      <c r="DL59" s="883">
        <f t="shared" si="388"/>
        <v>2495.6806489494934</v>
      </c>
      <c r="DM59" s="873">
        <f t="shared" si="389"/>
        <v>3255.6901550642947</v>
      </c>
      <c r="DN59" s="879">
        <f t="shared" si="254"/>
        <v>18211.621025828532</v>
      </c>
      <c r="DO59" s="883">
        <f t="shared" si="390"/>
        <v>968.25311466303435</v>
      </c>
      <c r="DP59" s="883">
        <f t="shared" si="391"/>
        <v>646.81609863890753</v>
      </c>
      <c r="DQ59" s="883">
        <f t="shared" si="392"/>
        <v>1096.2184500806861</v>
      </c>
      <c r="DR59" s="883">
        <f t="shared" si="393"/>
        <v>1394.6610476085029</v>
      </c>
      <c r="DS59" s="883">
        <f t="shared" si="394"/>
        <v>1758.0922347660048</v>
      </c>
      <c r="DT59" s="883">
        <f t="shared" si="395"/>
        <v>859.20443971275324</v>
      </c>
      <c r="DU59" s="883">
        <f t="shared" si="396"/>
        <v>1302.5057978679431</v>
      </c>
      <c r="DV59" s="883">
        <f t="shared" si="397"/>
        <v>1346.8512375200019</v>
      </c>
      <c r="DW59" s="883">
        <f t="shared" si="398"/>
        <v>1655.455970492897</v>
      </c>
      <c r="DX59" s="883">
        <f t="shared" si="399"/>
        <v>1824.8810631618605</v>
      </c>
      <c r="DY59" s="883">
        <f t="shared" si="400"/>
        <v>1752.7713560707239</v>
      </c>
      <c r="DZ59" s="873">
        <f t="shared" si="401"/>
        <v>2231.8530559277397</v>
      </c>
      <c r="EA59" s="879">
        <f t="shared" si="255"/>
        <v>16837.563866511056</v>
      </c>
      <c r="EB59" s="883">
        <f t="shared" si="402"/>
        <v>1027.7449746812645</v>
      </c>
      <c r="EC59" s="883">
        <f t="shared" si="403"/>
        <v>782.46242612547212</v>
      </c>
      <c r="ED59" s="883">
        <f t="shared" si="404"/>
        <v>1531.8668663208757</v>
      </c>
      <c r="EE59" s="883">
        <f t="shared" si="405"/>
        <v>1583.8215096371457</v>
      </c>
      <c r="EF59" s="883">
        <f t="shared" si="406"/>
        <v>1909.4574446149397</v>
      </c>
      <c r="EG59" s="883">
        <f t="shared" si="256"/>
        <v>1346.686288666169</v>
      </c>
      <c r="EH59" s="883">
        <f t="shared" si="257"/>
        <v>1251.7120968682491</v>
      </c>
      <c r="EI59" s="883">
        <f t="shared" si="275"/>
        <v>1237.1431089405935</v>
      </c>
      <c r="EJ59" s="883">
        <f t="shared" si="258"/>
        <v>1043.3557977862617</v>
      </c>
      <c r="EK59" s="883">
        <f t="shared" si="259"/>
        <v>1864.0141026953092</v>
      </c>
      <c r="EL59" s="883">
        <f t="shared" si="260"/>
        <v>1016.2196331190534</v>
      </c>
      <c r="EM59" s="873">
        <f t="shared" si="261"/>
        <v>1504.1686365937671</v>
      </c>
      <c r="EN59" s="879">
        <f t="shared" si="262"/>
        <v>16098.652886049103</v>
      </c>
      <c r="EO59" s="883">
        <f t="shared" si="263"/>
        <v>1080.4019876598895</v>
      </c>
      <c r="EP59" s="883">
        <f t="shared" si="264"/>
        <v>945.22140267233397</v>
      </c>
      <c r="EQ59" s="883">
        <f t="shared" si="265"/>
        <v>1091.2568505996314</v>
      </c>
      <c r="ER59" s="883">
        <f t="shared" si="266"/>
        <v>1619.3972710575947</v>
      </c>
      <c r="ES59" s="883">
        <f t="shared" si="267"/>
        <v>1400.3768445097878</v>
      </c>
      <c r="ET59" s="883">
        <f t="shared" si="268"/>
        <v>1336.7168321245103</v>
      </c>
      <c r="EU59" s="883">
        <f t="shared" si="269"/>
        <v>1323.8636702629308</v>
      </c>
      <c r="EV59" s="973">
        <f t="shared" si="270"/>
        <v>1160.740390499677</v>
      </c>
      <c r="EW59" s="883"/>
      <c r="EX59" s="883"/>
      <c r="EY59" s="883"/>
      <c r="EZ59" s="873"/>
      <c r="FA59" s="879">
        <f t="shared" si="271"/>
        <v>9957.9752493863543</v>
      </c>
      <c r="FC59" s="843">
        <f t="shared" si="407"/>
        <v>-6.1757381089357244</v>
      </c>
      <c r="FD59" s="844">
        <f t="shared" si="408"/>
        <v>-6.6809717971362588</v>
      </c>
      <c r="FE59" s="845">
        <f t="shared" si="409"/>
        <v>10670.894715854711</v>
      </c>
      <c r="FF59" s="846">
        <f t="shared" si="410"/>
        <v>9957.9752493863543</v>
      </c>
    </row>
    <row r="60" spans="1:164" ht="15" customHeight="1" x14ac:dyDescent="0.25">
      <c r="A60" s="402" t="s">
        <v>386</v>
      </c>
      <c r="B60" s="883">
        <f t="shared" si="278"/>
        <v>0</v>
      </c>
      <c r="C60" s="883">
        <f t="shared" si="279"/>
        <v>0</v>
      </c>
      <c r="D60" s="883">
        <f t="shared" si="280"/>
        <v>398.92291587604979</v>
      </c>
      <c r="E60" s="883">
        <f t="shared" si="281"/>
        <v>0</v>
      </c>
      <c r="F60" s="883">
        <f t="shared" si="282"/>
        <v>-356.64561755263327</v>
      </c>
      <c r="G60" s="883">
        <f t="shared" si="283"/>
        <v>194.24310410809812</v>
      </c>
      <c r="H60" s="883">
        <f t="shared" si="284"/>
        <v>668.77988220826796</v>
      </c>
      <c r="I60" s="883">
        <f t="shared" si="285"/>
        <v>455.33301404439612</v>
      </c>
      <c r="J60" s="883">
        <f t="shared" si="286"/>
        <v>217.70265244289155</v>
      </c>
      <c r="K60" s="883">
        <f t="shared" si="287"/>
        <v>221.95909821817389</v>
      </c>
      <c r="L60" s="883">
        <f t="shared" si="288"/>
        <v>2215.8577353715127</v>
      </c>
      <c r="M60" s="873">
        <f t="shared" si="289"/>
        <v>869.55162244544135</v>
      </c>
      <c r="N60" s="879">
        <f t="shared" si="290"/>
        <v>4885.7044071621985</v>
      </c>
      <c r="O60" s="883">
        <f>O26/$O$37</f>
        <v>0</v>
      </c>
      <c r="P60" s="883">
        <f t="shared" si="291"/>
        <v>168.02445014812236</v>
      </c>
      <c r="Q60" s="883">
        <f t="shared" si="292"/>
        <v>320.62319637395547</v>
      </c>
      <c r="R60" s="883">
        <f t="shared" si="293"/>
        <v>357.86917647653524</v>
      </c>
      <c r="S60" s="883">
        <f t="shared" si="294"/>
        <v>290.15937120764886</v>
      </c>
      <c r="T60" s="883">
        <f t="shared" si="295"/>
        <v>1855.166740679713</v>
      </c>
      <c r="U60" s="883">
        <f t="shared" si="296"/>
        <v>1715.6040236736592</v>
      </c>
      <c r="V60" s="883">
        <f t="shared" si="297"/>
        <v>5098.7619537999553</v>
      </c>
      <c r="W60" s="883">
        <f t="shared" si="298"/>
        <v>2238.8129286362077</v>
      </c>
      <c r="X60" s="883">
        <f t="shared" si="299"/>
        <v>3669.070010065002</v>
      </c>
      <c r="Y60" s="883">
        <f t="shared" si="300"/>
        <v>9793.7668608118183</v>
      </c>
      <c r="Z60" s="873">
        <f t="shared" si="301"/>
        <v>9923.7470520179832</v>
      </c>
      <c r="AA60" s="879">
        <f t="shared" si="302"/>
        <v>35431.605763890599</v>
      </c>
      <c r="AB60" s="883">
        <f t="shared" si="303"/>
        <v>107.86999103929718</v>
      </c>
      <c r="AC60" s="883">
        <f t="shared" si="304"/>
        <v>1503.1831346468721</v>
      </c>
      <c r="AD60" s="883">
        <f t="shared" si="305"/>
        <v>5423.4873489487545</v>
      </c>
      <c r="AE60" s="883">
        <f t="shared" si="306"/>
        <v>2050.7943662252151</v>
      </c>
      <c r="AF60" s="883">
        <f t="shared" si="307"/>
        <v>3672.6270485483078</v>
      </c>
      <c r="AG60" s="883">
        <f t="shared" si="308"/>
        <v>2738.2715226398986</v>
      </c>
      <c r="AH60" s="883">
        <f t="shared" si="309"/>
        <v>7421.018903624552</v>
      </c>
      <c r="AI60" s="883">
        <f t="shared" si="310"/>
        <v>3270.304427646468</v>
      </c>
      <c r="AJ60" s="883">
        <f t="shared" si="311"/>
        <v>5766.6692081466608</v>
      </c>
      <c r="AK60" s="883">
        <f t="shared" si="312"/>
        <v>4975.3616755938201</v>
      </c>
      <c r="AL60" s="883">
        <f t="shared" si="313"/>
        <v>7294.2523727432235</v>
      </c>
      <c r="AM60" s="873">
        <f t="shared" si="314"/>
        <v>8985.9343014768383</v>
      </c>
      <c r="AN60" s="879">
        <f t="shared" si="315"/>
        <v>53209.774301279918</v>
      </c>
      <c r="AO60" s="883">
        <f t="shared" si="316"/>
        <v>781.81090808515978</v>
      </c>
      <c r="AP60" s="883">
        <f t="shared" si="317"/>
        <v>1331.36534684457</v>
      </c>
      <c r="AQ60" s="883">
        <f t="shared" si="318"/>
        <v>6164.1631742762847</v>
      </c>
      <c r="AR60" s="883">
        <f t="shared" si="319"/>
        <v>178.90114483591088</v>
      </c>
      <c r="AS60" s="883">
        <f t="shared" si="320"/>
        <v>5018.9623316293337</v>
      </c>
      <c r="AT60" s="883">
        <f t="shared" si="321"/>
        <v>3696.7530637373461</v>
      </c>
      <c r="AU60" s="883">
        <f t="shared" si="322"/>
        <v>11514.303835443623</v>
      </c>
      <c r="AV60" s="883">
        <f t="shared" si="323"/>
        <v>9443.972733865894</v>
      </c>
      <c r="AW60" s="883">
        <f t="shared" si="324"/>
        <v>10397.632497005065</v>
      </c>
      <c r="AX60" s="883">
        <f t="shared" si="325"/>
        <v>2553.6375150843896</v>
      </c>
      <c r="AY60" s="883">
        <f t="shared" si="326"/>
        <v>5092.6729248531892</v>
      </c>
      <c r="AZ60" s="873">
        <f t="shared" si="327"/>
        <v>7030.5836905569531</v>
      </c>
      <c r="BA60" s="879">
        <f t="shared" si="328"/>
        <v>63204.759166217715</v>
      </c>
      <c r="BB60" s="883">
        <f t="shared" si="329"/>
        <v>6.344671033609063</v>
      </c>
      <c r="BC60" s="883">
        <f t="shared" si="330"/>
        <v>777.97324501903245</v>
      </c>
      <c r="BD60" s="883">
        <f t="shared" si="331"/>
        <v>7368.2874733815461</v>
      </c>
      <c r="BE60" s="883">
        <f t="shared" si="332"/>
        <v>6116.1252307194936</v>
      </c>
      <c r="BF60" s="883">
        <f t="shared" si="333"/>
        <v>222.1854203867008</v>
      </c>
      <c r="BG60" s="883">
        <f t="shared" si="334"/>
        <v>5510.839844125765</v>
      </c>
      <c r="BH60" s="883">
        <f t="shared" si="335"/>
        <v>1068.6596447304216</v>
      </c>
      <c r="BI60" s="883">
        <f t="shared" si="336"/>
        <v>7636.7518538839067</v>
      </c>
      <c r="BJ60" s="883">
        <f t="shared" si="337"/>
        <v>6285.1073318517656</v>
      </c>
      <c r="BK60" s="883">
        <f t="shared" si="338"/>
        <v>3603.7153318273363</v>
      </c>
      <c r="BL60" s="883">
        <f t="shared" si="339"/>
        <v>5868.9405245017279</v>
      </c>
      <c r="BM60" s="873">
        <f t="shared" si="340"/>
        <v>4334.3301317711903</v>
      </c>
      <c r="BN60" s="879">
        <f t="shared" si="341"/>
        <v>48799.260703232489</v>
      </c>
      <c r="BO60" s="883">
        <f t="shared" si="342"/>
        <v>655.25624582491014</v>
      </c>
      <c r="BP60" s="883">
        <f t="shared" si="343"/>
        <v>1469.6742774156137</v>
      </c>
      <c r="BQ60" s="883">
        <f t="shared" si="344"/>
        <v>2746.681961673135</v>
      </c>
      <c r="BR60" s="883">
        <f t="shared" si="345"/>
        <v>952.5943301297516</v>
      </c>
      <c r="BS60" s="883">
        <f t="shared" si="346"/>
        <v>43.804426516516358</v>
      </c>
      <c r="BT60" s="883">
        <f t="shared" si="347"/>
        <v>542.17476166975712</v>
      </c>
      <c r="BU60" s="883">
        <f t="shared" si="348"/>
        <v>9417.2869227094634</v>
      </c>
      <c r="BV60" s="883">
        <f t="shared" si="349"/>
        <v>750.92983428924754</v>
      </c>
      <c r="BW60" s="883">
        <f t="shared" si="350"/>
        <v>5573.5616563355288</v>
      </c>
      <c r="BX60" s="883">
        <f t="shared" si="351"/>
        <v>9737.6141462065243</v>
      </c>
      <c r="BY60" s="883">
        <f t="shared" si="352"/>
        <v>10149.83153254977</v>
      </c>
      <c r="BZ60" s="873">
        <f t="shared" si="353"/>
        <v>24928.05361133497</v>
      </c>
      <c r="CA60" s="879">
        <f t="shared" si="354"/>
        <v>66967.463706655195</v>
      </c>
      <c r="CB60" s="883">
        <f t="shared" si="355"/>
        <v>487.94360274675853</v>
      </c>
      <c r="CC60" s="883">
        <f t="shared" si="356"/>
        <v>1284.8811460835939</v>
      </c>
      <c r="CD60" s="883">
        <f t="shared" si="357"/>
        <v>5263.3457809169086</v>
      </c>
      <c r="CE60" s="883">
        <f t="shared" si="358"/>
        <v>2270.8967323723368</v>
      </c>
      <c r="CF60" s="883">
        <f t="shared" si="359"/>
        <v>2606.8373649897071</v>
      </c>
      <c r="CG60" s="883">
        <f t="shared" si="360"/>
        <v>4334.6594873400645</v>
      </c>
      <c r="CH60" s="883">
        <f t="shared" si="361"/>
        <v>5313.1533669203618</v>
      </c>
      <c r="CI60" s="883">
        <f t="shared" si="199"/>
        <v>4798.3092497244088</v>
      </c>
      <c r="CJ60" s="883">
        <f t="shared" si="362"/>
        <v>5733.8627864039699</v>
      </c>
      <c r="CK60" s="883">
        <f t="shared" si="363"/>
        <v>3024.2943930157444</v>
      </c>
      <c r="CL60" s="883">
        <f t="shared" si="364"/>
        <v>3688.5298976025383</v>
      </c>
      <c r="CM60" s="873">
        <f t="shared" si="365"/>
        <v>7553.4577874268089</v>
      </c>
      <c r="CN60" s="879">
        <f t="shared" si="252"/>
        <v>46360.171595543201</v>
      </c>
      <c r="CO60" s="883">
        <f t="shared" si="366"/>
        <v>0</v>
      </c>
      <c r="CP60" s="883">
        <f t="shared" si="367"/>
        <v>77.558556272469545</v>
      </c>
      <c r="CQ60" s="883">
        <f t="shared" si="368"/>
        <v>831.30491814237064</v>
      </c>
      <c r="CR60" s="883">
        <f t="shared" si="369"/>
        <v>358.02709793678343</v>
      </c>
      <c r="CS60" s="883">
        <f t="shared" si="370"/>
        <v>65.523752170347208</v>
      </c>
      <c r="CT60" s="883">
        <f t="shared" si="371"/>
        <v>65.974947505789572</v>
      </c>
      <c r="CU60" s="883">
        <f t="shared" si="372"/>
        <v>136.77302005874816</v>
      </c>
      <c r="CV60" s="883">
        <f t="shared" si="373"/>
        <v>268.71966658019778</v>
      </c>
      <c r="CW60" s="883">
        <f t="shared" si="374"/>
        <v>69.972164854352741</v>
      </c>
      <c r="CX60" s="883">
        <f t="shared" si="375"/>
        <v>19.070937831600403</v>
      </c>
      <c r="CY60" s="883">
        <f t="shared" si="376"/>
        <v>1759.6791522890342</v>
      </c>
      <c r="CZ60" s="873">
        <f t="shared" si="377"/>
        <v>992.94361908306109</v>
      </c>
      <c r="DA60" s="879">
        <f t="shared" si="253"/>
        <v>4645.5478327247547</v>
      </c>
      <c r="DB60" s="883">
        <f t="shared" si="378"/>
        <v>0</v>
      </c>
      <c r="DC60" s="883">
        <f t="shared" si="379"/>
        <v>0</v>
      </c>
      <c r="DD60" s="883">
        <f t="shared" si="380"/>
        <v>820.71070422370417</v>
      </c>
      <c r="DE60" s="883">
        <f t="shared" si="381"/>
        <v>1172.4832743792203</v>
      </c>
      <c r="DF60" s="883">
        <f t="shared" si="382"/>
        <v>0</v>
      </c>
      <c r="DG60" s="883">
        <f t="shared" si="383"/>
        <v>79.754591750726732</v>
      </c>
      <c r="DH60" s="883">
        <f t="shared" si="384"/>
        <v>133.16998868384042</v>
      </c>
      <c r="DI60" s="883">
        <f t="shared" si="385"/>
        <v>410.52396533109351</v>
      </c>
      <c r="DJ60" s="883">
        <f t="shared" si="386"/>
        <v>190.13534938031151</v>
      </c>
      <c r="DK60" s="883">
        <f t="shared" si="387"/>
        <v>36.550081098857468</v>
      </c>
      <c r="DL60" s="883">
        <f t="shared" si="388"/>
        <v>9.7241739702363947</v>
      </c>
      <c r="DM60" s="873">
        <f t="shared" si="389"/>
        <v>0</v>
      </c>
      <c r="DN60" s="879">
        <f t="shared" si="254"/>
        <v>2853.0521288179907</v>
      </c>
      <c r="DO60" s="883">
        <f t="shared" si="390"/>
        <v>0</v>
      </c>
      <c r="DP60" s="883">
        <f t="shared" si="391"/>
        <v>0</v>
      </c>
      <c r="DQ60" s="883">
        <f t="shared" si="392"/>
        <v>0</v>
      </c>
      <c r="DR60" s="883">
        <f t="shared" si="393"/>
        <v>0</v>
      </c>
      <c r="DS60" s="883">
        <f t="shared" si="394"/>
        <v>0</v>
      </c>
      <c r="DT60" s="883">
        <f t="shared" si="395"/>
        <v>39.258688498624494</v>
      </c>
      <c r="DU60" s="883">
        <f t="shared" si="396"/>
        <v>101.26870679299729</v>
      </c>
      <c r="DV60" s="883">
        <f t="shared" si="397"/>
        <v>219.2678278149796</v>
      </c>
      <c r="DW60" s="883">
        <f t="shared" si="398"/>
        <v>373.03686902660888</v>
      </c>
      <c r="DX60" s="883">
        <f t="shared" si="399"/>
        <v>108.03743717491996</v>
      </c>
      <c r="DY60" s="883">
        <f t="shared" si="400"/>
        <v>0</v>
      </c>
      <c r="DZ60" s="873">
        <f t="shared" si="401"/>
        <v>111.17365660315899</v>
      </c>
      <c r="EA60" s="879">
        <f t="shared" si="255"/>
        <v>952.04318591128924</v>
      </c>
      <c r="EB60" s="883">
        <f t="shared" si="402"/>
        <v>0</v>
      </c>
      <c r="EC60" s="883">
        <f t="shared" si="403"/>
        <v>40.183519743961483</v>
      </c>
      <c r="ED60" s="883">
        <f t="shared" si="404"/>
        <v>16.60860353799287</v>
      </c>
      <c r="EE60" s="883">
        <f t="shared" si="405"/>
        <v>0</v>
      </c>
      <c r="EF60" s="883">
        <f t="shared" si="406"/>
        <v>38.652984708804446</v>
      </c>
      <c r="EG60" s="883">
        <f t="shared" si="256"/>
        <v>0</v>
      </c>
      <c r="EH60" s="883">
        <f t="shared" si="257"/>
        <v>170.01276392628088</v>
      </c>
      <c r="EI60" s="883">
        <f t="shared" si="275"/>
        <v>461.85940329316531</v>
      </c>
      <c r="EJ60" s="883">
        <f t="shared" si="258"/>
        <v>108.69439035636887</v>
      </c>
      <c r="EK60" s="883">
        <f t="shared" si="259"/>
        <v>6976.6595985917475</v>
      </c>
      <c r="EL60" s="883">
        <f t="shared" si="260"/>
        <v>381.22028582261987</v>
      </c>
      <c r="EM60" s="873">
        <f t="shared" si="261"/>
        <v>1493.1611822462094</v>
      </c>
      <c r="EN60" s="879">
        <f t="shared" si="262"/>
        <v>9687.05273222715</v>
      </c>
      <c r="EO60" s="883">
        <f t="shared" si="263"/>
        <v>0</v>
      </c>
      <c r="EP60" s="883">
        <f t="shared" si="264"/>
        <v>3944.7021449479726</v>
      </c>
      <c r="EQ60" s="883">
        <f>+EQ26/$EQ$37</f>
        <v>1461.9428286869938</v>
      </c>
      <c r="ER60" s="883">
        <f t="shared" si="266"/>
        <v>13764.876803989555</v>
      </c>
      <c r="ES60" s="883">
        <f t="shared" si="267"/>
        <v>925.78992908389012</v>
      </c>
      <c r="ET60" s="883">
        <f t="shared" si="268"/>
        <v>1270.9679677121981</v>
      </c>
      <c r="EU60" s="883">
        <f t="shared" si="269"/>
        <v>1631.5668076802733</v>
      </c>
      <c r="EV60" s="973">
        <f t="shared" si="270"/>
        <v>613.91913234438994</v>
      </c>
      <c r="EW60" s="883"/>
      <c r="EX60" s="883"/>
      <c r="EY60" s="883"/>
      <c r="EZ60" s="873"/>
      <c r="FA60" s="879">
        <f t="shared" si="271"/>
        <v>23613.765614445267</v>
      </c>
      <c r="FC60" s="843">
        <f t="shared" si="407"/>
        <v>32.923380571447346</v>
      </c>
      <c r="FD60" s="844">
        <f t="shared" si="408"/>
        <v>3146.6939009004777</v>
      </c>
      <c r="FE60" s="845">
        <f t="shared" si="409"/>
        <v>727.31727521020503</v>
      </c>
      <c r="FF60" s="846">
        <f t="shared" si="410"/>
        <v>23613.765614445267</v>
      </c>
    </row>
    <row r="61" spans="1:164" ht="15" customHeight="1" x14ac:dyDescent="0.25">
      <c r="A61" s="402" t="s">
        <v>483</v>
      </c>
      <c r="B61" s="883">
        <f t="shared" si="278"/>
        <v>14.931873860252512</v>
      </c>
      <c r="C61" s="883">
        <f t="shared" si="279"/>
        <v>603.32386379778734</v>
      </c>
      <c r="D61" s="883">
        <f t="shared" si="280"/>
        <v>24.106453006155057</v>
      </c>
      <c r="E61" s="883">
        <f t="shared" si="281"/>
        <v>281.95678448375338</v>
      </c>
      <c r="F61" s="883">
        <f t="shared" si="282"/>
        <v>551.52972390428818</v>
      </c>
      <c r="G61" s="883">
        <f t="shared" si="283"/>
        <v>3325.1655489809209</v>
      </c>
      <c r="H61" s="883">
        <f t="shared" si="284"/>
        <v>7241.9307244838155</v>
      </c>
      <c r="I61" s="883">
        <f t="shared" si="285"/>
        <v>-2537.0729143744616</v>
      </c>
      <c r="J61" s="883">
        <f t="shared" si="286"/>
        <v>2614.7154235710923</v>
      </c>
      <c r="K61" s="883">
        <f t="shared" si="287"/>
        <v>-773.81630817157884</v>
      </c>
      <c r="L61" s="883">
        <f t="shared" si="288"/>
        <v>1677.2338550812065</v>
      </c>
      <c r="M61" s="873">
        <f t="shared" si="289"/>
        <v>1498.5247821327771</v>
      </c>
      <c r="N61" s="879">
        <f t="shared" si="290"/>
        <v>14522.529810756007</v>
      </c>
      <c r="O61" s="883">
        <f>O27/$O$37</f>
        <v>401.23923649527597</v>
      </c>
      <c r="P61" s="883">
        <f t="shared" si="291"/>
        <v>1050.1528134257649</v>
      </c>
      <c r="Q61" s="883">
        <f t="shared" si="292"/>
        <v>-122.28419582634581</v>
      </c>
      <c r="R61" s="883">
        <f t="shared" si="293"/>
        <v>495.05236079254036</v>
      </c>
      <c r="S61" s="883">
        <f t="shared" si="294"/>
        <v>799.79826679031419</v>
      </c>
      <c r="T61" s="883">
        <f t="shared" si="295"/>
        <v>243.69030474286981</v>
      </c>
      <c r="U61" s="883">
        <f t="shared" si="296"/>
        <v>705.24613694936227</v>
      </c>
      <c r="V61" s="883">
        <f t="shared" si="297"/>
        <v>1216.8088515887025</v>
      </c>
      <c r="W61" s="883">
        <f t="shared" si="298"/>
        <v>1181.780250163722</v>
      </c>
      <c r="X61" s="883">
        <f t="shared" si="299"/>
        <v>723.37505307632978</v>
      </c>
      <c r="Y61" s="883">
        <f t="shared" si="300"/>
        <v>449.33605910318425</v>
      </c>
      <c r="Z61" s="873">
        <f t="shared" si="301"/>
        <v>880.37364335431562</v>
      </c>
      <c r="AA61" s="879">
        <f t="shared" si="302"/>
        <v>8024.5687806560363</v>
      </c>
      <c r="AB61" s="883">
        <f t="shared" si="303"/>
        <v>89.648708769145628</v>
      </c>
      <c r="AC61" s="883">
        <f t="shared" si="304"/>
        <v>154.02359813684723</v>
      </c>
      <c r="AD61" s="883">
        <f t="shared" si="305"/>
        <v>248.86936129135387</v>
      </c>
      <c r="AE61" s="883">
        <f t="shared" si="306"/>
        <v>171.85829366333323</v>
      </c>
      <c r="AF61" s="883">
        <f t="shared" si="307"/>
        <v>324.9473401192958</v>
      </c>
      <c r="AG61" s="883">
        <f t="shared" si="308"/>
        <v>612.60326985631127</v>
      </c>
      <c r="AH61" s="883">
        <f t="shared" si="309"/>
        <v>824.31704969742611</v>
      </c>
      <c r="AI61" s="883">
        <f t="shared" si="310"/>
        <v>1076.9562048509088</v>
      </c>
      <c r="AJ61" s="883">
        <f t="shared" si="311"/>
        <v>358.57910758280445</v>
      </c>
      <c r="AK61" s="883">
        <f t="shared" si="312"/>
        <v>224.08942521501493</v>
      </c>
      <c r="AL61" s="883">
        <f t="shared" si="313"/>
        <v>229.59242349127436</v>
      </c>
      <c r="AM61" s="873">
        <f t="shared" si="314"/>
        <v>841.2149309981927</v>
      </c>
      <c r="AN61" s="879">
        <f t="shared" si="315"/>
        <v>5156.6997136719083</v>
      </c>
      <c r="AO61" s="883">
        <f t="shared" si="316"/>
        <v>375.7875635547453</v>
      </c>
      <c r="AP61" s="883">
        <f t="shared" si="317"/>
        <v>142.90275297846247</v>
      </c>
      <c r="AQ61" s="883">
        <f t="shared" si="318"/>
        <v>320.14202435378803</v>
      </c>
      <c r="AR61" s="883">
        <f t="shared" si="319"/>
        <v>298.40710958629938</v>
      </c>
      <c r="AS61" s="883">
        <f t="shared" si="320"/>
        <v>475.78188888574584</v>
      </c>
      <c r="AT61" s="883">
        <f t="shared" si="321"/>
        <v>913.49164248602244</v>
      </c>
      <c r="AU61" s="883">
        <f t="shared" si="322"/>
        <v>1187.0928991255116</v>
      </c>
      <c r="AV61" s="883">
        <f t="shared" si="323"/>
        <v>527.85784043244121</v>
      </c>
      <c r="AW61" s="883">
        <f t="shared" si="324"/>
        <v>303.79243623341091</v>
      </c>
      <c r="AX61" s="883">
        <f t="shared" si="325"/>
        <v>912.77151411993975</v>
      </c>
      <c r="AY61" s="883">
        <f t="shared" si="326"/>
        <v>283.3974247663237</v>
      </c>
      <c r="AZ61" s="873">
        <f t="shared" si="327"/>
        <v>680.76593030177196</v>
      </c>
      <c r="BA61" s="879">
        <f t="shared" si="328"/>
        <v>6422.1910268244628</v>
      </c>
      <c r="BB61" s="883">
        <f t="shared" si="329"/>
        <v>0</v>
      </c>
      <c r="BC61" s="883">
        <f t="shared" si="330"/>
        <v>0</v>
      </c>
      <c r="BD61" s="883">
        <f t="shared" si="331"/>
        <v>49.625157523248888</v>
      </c>
      <c r="BE61" s="883">
        <f t="shared" si="332"/>
        <v>-0.69755077905103713</v>
      </c>
      <c r="BF61" s="883">
        <f t="shared" si="333"/>
        <v>17.412650500525139</v>
      </c>
      <c r="BG61" s="883">
        <f t="shared" si="334"/>
        <v>232.14543555899809</v>
      </c>
      <c r="BH61" s="883">
        <f t="shared" si="335"/>
        <v>541.28724192725781</v>
      </c>
      <c r="BI61" s="883">
        <f t="shared" si="336"/>
        <v>431.79667679704141</v>
      </c>
      <c r="BJ61" s="883">
        <f t="shared" si="337"/>
        <v>146.00359952310518</v>
      </c>
      <c r="BK61" s="883">
        <f t="shared" si="338"/>
        <v>402.80495133163521</v>
      </c>
      <c r="BL61" s="883">
        <f t="shared" si="339"/>
        <v>412.07454746501497</v>
      </c>
      <c r="BM61" s="873">
        <f t="shared" si="340"/>
        <v>331.59944627350268</v>
      </c>
      <c r="BN61" s="879">
        <f t="shared" si="341"/>
        <v>2564.0521561212781</v>
      </c>
      <c r="BO61" s="883">
        <f t="shared" si="342"/>
        <v>2.0757853616417425</v>
      </c>
      <c r="BP61" s="883">
        <f t="shared" si="343"/>
        <v>58.731694207958235</v>
      </c>
      <c r="BQ61" s="883">
        <f t="shared" si="344"/>
        <v>56.292906987552378</v>
      </c>
      <c r="BR61" s="883">
        <f t="shared" si="345"/>
        <v>58.294109475182779</v>
      </c>
      <c r="BS61" s="883">
        <f t="shared" si="346"/>
        <v>13.004439122090794</v>
      </c>
      <c r="BT61" s="883">
        <f t="shared" si="347"/>
        <v>175.00577750099754</v>
      </c>
      <c r="BU61" s="883">
        <f t="shared" si="348"/>
        <v>269.16293417102133</v>
      </c>
      <c r="BV61" s="883">
        <f t="shared" si="349"/>
        <v>382.98789362657431</v>
      </c>
      <c r="BW61" s="883">
        <f t="shared" si="350"/>
        <v>616.02164122223348</v>
      </c>
      <c r="BX61" s="883">
        <f t="shared" si="351"/>
        <v>807.76926828148919</v>
      </c>
      <c r="BY61" s="883">
        <f t="shared" si="352"/>
        <v>313.82828055400842</v>
      </c>
      <c r="BZ61" s="873">
        <f t="shared" si="353"/>
        <v>661.96895824849105</v>
      </c>
      <c r="CA61" s="879">
        <f t="shared" si="354"/>
        <v>3415.1436887592413</v>
      </c>
      <c r="CB61" s="883">
        <f t="shared" si="355"/>
        <v>4.0437315144758994</v>
      </c>
      <c r="CC61" s="883">
        <f t="shared" si="356"/>
        <v>250.36287037658263</v>
      </c>
      <c r="CD61" s="883">
        <f t="shared" si="357"/>
        <v>378.10430593999405</v>
      </c>
      <c r="CE61" s="883">
        <f t="shared" si="358"/>
        <v>239.81741303519073</v>
      </c>
      <c r="CF61" s="883">
        <f t="shared" si="359"/>
        <v>163.6789221995075</v>
      </c>
      <c r="CG61" s="883">
        <f t="shared" si="360"/>
        <v>213.34340623062874</v>
      </c>
      <c r="CH61" s="883">
        <f t="shared" si="361"/>
        <v>384.91575475522126</v>
      </c>
      <c r="CI61" s="883">
        <f t="shared" si="199"/>
        <v>405.28902136455491</v>
      </c>
      <c r="CJ61" s="883">
        <f t="shared" si="362"/>
        <v>184.96331569045066</v>
      </c>
      <c r="CK61" s="883">
        <f t="shared" si="363"/>
        <v>347.14537730797321</v>
      </c>
      <c r="CL61" s="883">
        <f t="shared" si="364"/>
        <v>540.06712811332261</v>
      </c>
      <c r="CM61" s="873">
        <f t="shared" si="365"/>
        <v>1210.8499054506829</v>
      </c>
      <c r="CN61" s="879">
        <f t="shared" si="252"/>
        <v>4322.5811519785857</v>
      </c>
      <c r="CO61" s="883">
        <f t="shared" si="366"/>
        <v>33.798411609479594</v>
      </c>
      <c r="CP61" s="883">
        <f t="shared" si="367"/>
        <v>52.129521429036906</v>
      </c>
      <c r="CQ61" s="883">
        <f t="shared" si="368"/>
        <v>679.07651188118302</v>
      </c>
      <c r="CR61" s="883">
        <f t="shared" si="369"/>
        <v>216.55365195829708</v>
      </c>
      <c r="CS61" s="883">
        <f t="shared" si="370"/>
        <v>166.90012345277117</v>
      </c>
      <c r="CT61" s="883">
        <f t="shared" si="371"/>
        <v>173.48967677448368</v>
      </c>
      <c r="CU61" s="883">
        <f t="shared" si="372"/>
        <v>666.31458002071554</v>
      </c>
      <c r="CV61" s="883">
        <f t="shared" si="373"/>
        <v>997.32869542851927</v>
      </c>
      <c r="CW61" s="883">
        <f t="shared" si="374"/>
        <v>736.20286269836095</v>
      </c>
      <c r="CX61" s="883">
        <f t="shared" si="375"/>
        <v>368.90345368002033</v>
      </c>
      <c r="CY61" s="883">
        <f t="shared" si="376"/>
        <v>320.75014197721276</v>
      </c>
      <c r="CZ61" s="873">
        <f t="shared" si="377"/>
        <v>146.47094854957476</v>
      </c>
      <c r="DA61" s="879">
        <f t="shared" si="253"/>
        <v>4557.918579459656</v>
      </c>
      <c r="DB61" s="883">
        <f t="shared" si="378"/>
        <v>0</v>
      </c>
      <c r="DC61" s="883">
        <f t="shared" si="379"/>
        <v>29.259492536144382</v>
      </c>
      <c r="DD61" s="883">
        <f t="shared" si="380"/>
        <v>85.538862130357899</v>
      </c>
      <c r="DE61" s="883">
        <f t="shared" si="381"/>
        <v>104.60389996912653</v>
      </c>
      <c r="DF61" s="883">
        <f t="shared" si="382"/>
        <v>829.57857468899078</v>
      </c>
      <c r="DG61" s="883">
        <f t="shared" si="383"/>
        <v>955.90755292597646</v>
      </c>
      <c r="DH61" s="883">
        <f t="shared" si="384"/>
        <v>1139.0892165102744</v>
      </c>
      <c r="DI61" s="883">
        <f t="shared" si="385"/>
        <v>213.518012481498</v>
      </c>
      <c r="DJ61" s="883">
        <f t="shared" si="386"/>
        <v>653.51910505568151</v>
      </c>
      <c r="DK61" s="883">
        <f t="shared" si="387"/>
        <v>1848.0634755609808</v>
      </c>
      <c r="DL61" s="883">
        <f t="shared" si="388"/>
        <v>780.79396878662817</v>
      </c>
      <c r="DM61" s="873">
        <f t="shared" si="389"/>
        <v>1351.2680748578316</v>
      </c>
      <c r="DN61" s="879">
        <f t="shared" si="254"/>
        <v>7991.1402355034907</v>
      </c>
      <c r="DO61" s="883">
        <f t="shared" si="390"/>
        <v>19.934622948944824</v>
      </c>
      <c r="DP61" s="883">
        <f t="shared" si="391"/>
        <v>505.78526802499516</v>
      </c>
      <c r="DQ61" s="883">
        <f t="shared" si="392"/>
        <v>424.46924128443965</v>
      </c>
      <c r="DR61" s="883">
        <f t="shared" si="393"/>
        <v>70.686762670422908</v>
      </c>
      <c r="DS61" s="883">
        <f t="shared" si="394"/>
        <v>674.93671868052945</v>
      </c>
      <c r="DT61" s="883">
        <f t="shared" si="395"/>
        <v>139.64876337367855</v>
      </c>
      <c r="DU61" s="883">
        <f t="shared" si="396"/>
        <v>877.84862407852347</v>
      </c>
      <c r="DV61" s="883">
        <f t="shared" si="397"/>
        <v>298.49437119850916</v>
      </c>
      <c r="DW61" s="883">
        <f t="shared" si="398"/>
        <v>128.07412744691669</v>
      </c>
      <c r="DX61" s="883">
        <f t="shared" si="399"/>
        <v>229.50958156330148</v>
      </c>
      <c r="DY61" s="883">
        <f t="shared" si="400"/>
        <v>954.12505853754146</v>
      </c>
      <c r="DZ61" s="873">
        <f t="shared" si="401"/>
        <v>1546.3752838067542</v>
      </c>
      <c r="EA61" s="879">
        <f t="shared" si="255"/>
        <v>5869.8884236145568</v>
      </c>
      <c r="EB61" s="883">
        <f t="shared" si="402"/>
        <v>79.960572023623953</v>
      </c>
      <c r="EC61" s="883">
        <f t="shared" si="403"/>
        <v>308.07365137037135</v>
      </c>
      <c r="ED61" s="883">
        <f t="shared" si="404"/>
        <v>604.55316878294047</v>
      </c>
      <c r="EE61" s="883">
        <f t="shared" si="405"/>
        <v>255.50848744320504</v>
      </c>
      <c r="EF61" s="883">
        <f t="shared" si="406"/>
        <v>125.89829305153448</v>
      </c>
      <c r="EG61" s="883">
        <f t="shared" si="256"/>
        <v>195.21987968379355</v>
      </c>
      <c r="EH61" s="883">
        <f t="shared" si="257"/>
        <v>577.16307235815088</v>
      </c>
      <c r="EI61" s="883">
        <f t="shared" si="275"/>
        <v>1386.1300132287113</v>
      </c>
      <c r="EJ61" s="883">
        <f t="shared" si="258"/>
        <v>1033.424330647101</v>
      </c>
      <c r="EK61" s="883">
        <f t="shared" si="259"/>
        <v>662.20826937234835</v>
      </c>
      <c r="EL61" s="883">
        <f t="shared" si="260"/>
        <v>214.05712141704271</v>
      </c>
      <c r="EM61" s="873">
        <f t="shared" si="261"/>
        <v>1487.1070823550526</v>
      </c>
      <c r="EN61" s="879">
        <f t="shared" si="262"/>
        <v>6929.303941733875</v>
      </c>
      <c r="EO61" s="883">
        <f t="shared" si="263"/>
        <v>2.1992915779336175</v>
      </c>
      <c r="EP61" s="883">
        <f t="shared" si="264"/>
        <v>929.9318594748612</v>
      </c>
      <c r="EQ61" s="883">
        <f t="shared" si="265"/>
        <v>760.03959535898082</v>
      </c>
      <c r="ER61" s="883">
        <f t="shared" si="266"/>
        <v>402.19630781836725</v>
      </c>
      <c r="ES61" s="883">
        <f t="shared" si="267"/>
        <v>759.97680745692469</v>
      </c>
      <c r="ET61" s="883">
        <f t="shared" si="268"/>
        <v>1468.2145609491349</v>
      </c>
      <c r="EU61" s="883">
        <f t="shared" si="269"/>
        <v>1841.9892281134389</v>
      </c>
      <c r="EV61" s="973">
        <f t="shared" si="270"/>
        <v>1003.2981345283964</v>
      </c>
      <c r="EW61" s="883"/>
      <c r="EX61" s="883"/>
      <c r="EY61" s="883"/>
      <c r="EZ61" s="873"/>
      <c r="FA61" s="879">
        <f t="shared" si="271"/>
        <v>7167.8457852780375</v>
      </c>
      <c r="FC61" s="843">
        <f t="shared" si="407"/>
        <v>-27.618756902073351</v>
      </c>
      <c r="FD61" s="844">
        <f t="shared" si="408"/>
        <v>102.91100641493043</v>
      </c>
      <c r="FE61" s="845">
        <f t="shared" si="409"/>
        <v>3532.5071379423307</v>
      </c>
      <c r="FF61" s="846">
        <f>SUMIFS($B61:$FA61,UCA.GGL.DATE,"&gt;="&amp;DATE(YEAR($FC$5),1,1),UCA.GGL.DATE,"&lt;="&amp;$FC$5)</f>
        <v>7167.8457852780375</v>
      </c>
    </row>
    <row r="62" spans="1:164" ht="15" customHeight="1" x14ac:dyDescent="0.25">
      <c r="A62" s="402" t="s">
        <v>387</v>
      </c>
      <c r="B62" s="883">
        <f t="shared" si="278"/>
        <v>3965.5913420439042</v>
      </c>
      <c r="C62" s="883">
        <f t="shared" si="279"/>
        <v>13690.750483297063</v>
      </c>
      <c r="D62" s="883">
        <f t="shared" si="280"/>
        <v>17416.523483188863</v>
      </c>
      <c r="E62" s="883">
        <f t="shared" si="281"/>
        <v>17036.696477845253</v>
      </c>
      <c r="F62" s="883">
        <f t="shared" si="282"/>
        <v>15818.735209634722</v>
      </c>
      <c r="G62" s="883">
        <f t="shared" si="283"/>
        <v>14876.104289322171</v>
      </c>
      <c r="H62" s="883">
        <f t="shared" si="284"/>
        <v>21258.028415838351</v>
      </c>
      <c r="I62" s="883">
        <f t="shared" si="285"/>
        <v>12298.559937868038</v>
      </c>
      <c r="J62" s="883">
        <f t="shared" si="286"/>
        <v>16141.205402278025</v>
      </c>
      <c r="K62" s="883">
        <f t="shared" si="287"/>
        <v>16268.385685155334</v>
      </c>
      <c r="L62" s="883">
        <f t="shared" si="288"/>
        <v>14700.416873464685</v>
      </c>
      <c r="M62" s="873">
        <f t="shared" si="289"/>
        <v>25926.66580783121</v>
      </c>
      <c r="N62" s="879">
        <f t="shared" si="290"/>
        <v>189397.66340776763</v>
      </c>
      <c r="O62" s="883">
        <f>O28/$O$37</f>
        <v>8471.1070266811639</v>
      </c>
      <c r="P62" s="883">
        <f t="shared" si="291"/>
        <v>16026.082042029617</v>
      </c>
      <c r="Q62" s="883">
        <f t="shared" si="292"/>
        <v>14862.749240283847</v>
      </c>
      <c r="R62" s="883">
        <f t="shared" si="293"/>
        <v>15595.640486533674</v>
      </c>
      <c r="S62" s="883">
        <f t="shared" si="294"/>
        <v>16557.684118528785</v>
      </c>
      <c r="T62" s="883">
        <f t="shared" si="295"/>
        <v>15018.157988025519</v>
      </c>
      <c r="U62" s="883">
        <f t="shared" si="296"/>
        <v>17186.477175278615</v>
      </c>
      <c r="V62" s="883">
        <f t="shared" si="297"/>
        <v>14490.011303204312</v>
      </c>
      <c r="W62" s="883">
        <f t="shared" si="298"/>
        <v>14383.616461393058</v>
      </c>
      <c r="X62" s="883">
        <f t="shared" si="299"/>
        <v>12517.181939766939</v>
      </c>
      <c r="Y62" s="883">
        <f t="shared" si="300"/>
        <v>12434.807351755982</v>
      </c>
      <c r="Z62" s="873">
        <f t="shared" si="301"/>
        <v>16852.762515563485</v>
      </c>
      <c r="AA62" s="879">
        <f t="shared" si="302"/>
        <v>174396.27764904502</v>
      </c>
      <c r="AB62" s="883">
        <f t="shared" si="303"/>
        <v>8134.7092566864576</v>
      </c>
      <c r="AC62" s="883">
        <f t="shared" si="304"/>
        <v>9247.9546258675855</v>
      </c>
      <c r="AD62" s="883">
        <f t="shared" si="305"/>
        <v>15767.702904871512</v>
      </c>
      <c r="AE62" s="883">
        <f t="shared" si="306"/>
        <v>11368.533986683256</v>
      </c>
      <c r="AF62" s="883">
        <f t="shared" si="307"/>
        <v>11948.67474878664</v>
      </c>
      <c r="AG62" s="883">
        <f t="shared" si="308"/>
        <v>14071.070383771588</v>
      </c>
      <c r="AH62" s="883">
        <f t="shared" si="309"/>
        <v>13888.515195471258</v>
      </c>
      <c r="AI62" s="883">
        <f t="shared" si="310"/>
        <v>13919.407992523762</v>
      </c>
      <c r="AJ62" s="883">
        <f t="shared" si="311"/>
        <v>11289.504623137016</v>
      </c>
      <c r="AK62" s="883">
        <f t="shared" si="312"/>
        <v>13344.489244315359</v>
      </c>
      <c r="AL62" s="883">
        <f t="shared" si="313"/>
        <v>14428.945231047543</v>
      </c>
      <c r="AM62" s="873">
        <f t="shared" si="314"/>
        <v>22359.593782890264</v>
      </c>
      <c r="AN62" s="879">
        <f t="shared" si="315"/>
        <v>159769.10197605225</v>
      </c>
      <c r="AO62" s="883">
        <f t="shared" si="316"/>
        <v>7789.3130989700085</v>
      </c>
      <c r="AP62" s="883">
        <f t="shared" si="317"/>
        <v>11235.45966382424</v>
      </c>
      <c r="AQ62" s="883">
        <f t="shared" si="318"/>
        <v>15695.534426130804</v>
      </c>
      <c r="AR62" s="883">
        <f t="shared" si="319"/>
        <v>14049.464706253753</v>
      </c>
      <c r="AS62" s="883">
        <f t="shared" si="320"/>
        <v>16732.497797550284</v>
      </c>
      <c r="AT62" s="883">
        <f t="shared" si="321"/>
        <v>15440.932501756319</v>
      </c>
      <c r="AU62" s="883">
        <f t="shared" si="322"/>
        <v>17472.501408732471</v>
      </c>
      <c r="AV62" s="883">
        <f t="shared" si="323"/>
        <v>14371.355397580013</v>
      </c>
      <c r="AW62" s="883">
        <f t="shared" si="324"/>
        <v>12400.963038040774</v>
      </c>
      <c r="AX62" s="883">
        <f t="shared" si="325"/>
        <v>17115.527251974592</v>
      </c>
      <c r="AY62" s="883">
        <f t="shared" si="326"/>
        <v>19592.585553109209</v>
      </c>
      <c r="AZ62" s="873">
        <f t="shared" si="327"/>
        <v>23882.538657446828</v>
      </c>
      <c r="BA62" s="879">
        <f t="shared" si="328"/>
        <v>185778.67350136931</v>
      </c>
      <c r="BB62" s="883">
        <f t="shared" si="329"/>
        <v>4229.0757256245297</v>
      </c>
      <c r="BC62" s="883">
        <f t="shared" si="330"/>
        <v>10160.119365492903</v>
      </c>
      <c r="BD62" s="883">
        <f t="shared" si="331"/>
        <v>11646.535208590087</v>
      </c>
      <c r="BE62" s="883">
        <f t="shared" si="332"/>
        <v>14338.156263394068</v>
      </c>
      <c r="BF62" s="883">
        <f t="shared" si="333"/>
        <v>14584.139553219837</v>
      </c>
      <c r="BG62" s="883">
        <f t="shared" si="334"/>
        <v>16584.107406945961</v>
      </c>
      <c r="BH62" s="883">
        <f t="shared" si="335"/>
        <v>15736.987307394145</v>
      </c>
      <c r="BI62" s="883">
        <f t="shared" si="336"/>
        <v>12563.823112795075</v>
      </c>
      <c r="BJ62" s="883">
        <f t="shared" si="337"/>
        <v>16348.926870408659</v>
      </c>
      <c r="BK62" s="883">
        <f t="shared" si="338"/>
        <v>13538.41331251534</v>
      </c>
      <c r="BL62" s="883">
        <f t="shared" si="339"/>
        <v>13694.888285365085</v>
      </c>
      <c r="BM62" s="873">
        <f t="shared" si="340"/>
        <v>18039.979061463895</v>
      </c>
      <c r="BN62" s="879">
        <f t="shared" si="341"/>
        <v>161465.15147320958</v>
      </c>
      <c r="BO62" s="883">
        <f t="shared" si="342"/>
        <v>8932.1044111444189</v>
      </c>
      <c r="BP62" s="883">
        <f t="shared" si="343"/>
        <v>11812.671107991222</v>
      </c>
      <c r="BQ62" s="883">
        <f t="shared" si="344"/>
        <v>13825.400656369724</v>
      </c>
      <c r="BR62" s="883">
        <f t="shared" si="345"/>
        <v>9186.4658402361565</v>
      </c>
      <c r="BS62" s="883">
        <f t="shared" si="346"/>
        <v>7693.1524069631851</v>
      </c>
      <c r="BT62" s="883">
        <f t="shared" si="347"/>
        <v>7722.9020165440215</v>
      </c>
      <c r="BU62" s="883">
        <f t="shared" si="348"/>
        <v>10173.539126078298</v>
      </c>
      <c r="BV62" s="883">
        <f t="shared" si="349"/>
        <v>10930.20092132127</v>
      </c>
      <c r="BW62" s="883">
        <f t="shared" si="350"/>
        <v>12278.089873495912</v>
      </c>
      <c r="BX62" s="883">
        <f t="shared" si="351"/>
        <v>14467.468517623156</v>
      </c>
      <c r="BY62" s="883">
        <f t="shared" si="352"/>
        <v>18562.059728179294</v>
      </c>
      <c r="BZ62" s="873">
        <f t="shared" si="353"/>
        <v>18282.564213041402</v>
      </c>
      <c r="CA62" s="879">
        <f t="shared" si="354"/>
        <v>143866.61881898806</v>
      </c>
      <c r="CB62" s="883">
        <f t="shared" si="355"/>
        <v>6907.3673819772484</v>
      </c>
      <c r="CC62" s="883">
        <f t="shared" si="356"/>
        <v>10894.496440322238</v>
      </c>
      <c r="CD62" s="883">
        <f t="shared" si="357"/>
        <v>18511.049923196773</v>
      </c>
      <c r="CE62" s="883">
        <f t="shared" si="358"/>
        <v>11077.152910474619</v>
      </c>
      <c r="CF62" s="883">
        <f t="shared" si="359"/>
        <v>13346.178892977801</v>
      </c>
      <c r="CG62" s="883">
        <f t="shared" si="360"/>
        <v>14894.16116395137</v>
      </c>
      <c r="CH62" s="883">
        <f t="shared" si="361"/>
        <v>12751.568080608868</v>
      </c>
      <c r="CI62" s="883">
        <f t="shared" si="199"/>
        <v>15281.090239616626</v>
      </c>
      <c r="CJ62" s="883">
        <f t="shared" si="362"/>
        <v>15185.163721140927</v>
      </c>
      <c r="CK62" s="883">
        <f t="shared" si="363"/>
        <v>16302.927700861061</v>
      </c>
      <c r="CL62" s="883">
        <f t="shared" si="364"/>
        <v>17277.004603168101</v>
      </c>
      <c r="CM62" s="873">
        <f t="shared" si="365"/>
        <v>34710.180008303869</v>
      </c>
      <c r="CN62" s="879">
        <f t="shared" si="252"/>
        <v>187138.3410665995</v>
      </c>
      <c r="CO62" s="883">
        <f t="shared" si="366"/>
        <v>7065.7811440195073</v>
      </c>
      <c r="CP62" s="883">
        <f t="shared" si="367"/>
        <v>16803.506224540288</v>
      </c>
      <c r="CQ62" s="883">
        <f t="shared" si="368"/>
        <v>23530.251718421692</v>
      </c>
      <c r="CR62" s="883">
        <f t="shared" si="369"/>
        <v>16965.024063586821</v>
      </c>
      <c r="CS62" s="883">
        <f t="shared" si="370"/>
        <v>21573.386327784126</v>
      </c>
      <c r="CT62" s="883">
        <f t="shared" si="371"/>
        <v>23240.897017201522</v>
      </c>
      <c r="CU62" s="883">
        <f t="shared" si="372"/>
        <v>26153.301158578768</v>
      </c>
      <c r="CV62" s="883">
        <f t="shared" si="373"/>
        <v>25274.076560099944</v>
      </c>
      <c r="CW62" s="883">
        <f t="shared" si="374"/>
        <v>25941.133527541919</v>
      </c>
      <c r="CX62" s="883">
        <f t="shared" si="375"/>
        <v>23953.097916490107</v>
      </c>
      <c r="CY62" s="883">
        <f t="shared" si="376"/>
        <v>26201.314278001784</v>
      </c>
      <c r="CZ62" s="873">
        <f t="shared" si="377"/>
        <v>39727.744787922209</v>
      </c>
      <c r="DA62" s="879">
        <f>SUM(CO62:CZ62)</f>
        <v>276429.51472418872</v>
      </c>
      <c r="DB62" s="883">
        <f t="shared" si="378"/>
        <v>4395.7828906619798</v>
      </c>
      <c r="DC62" s="883">
        <f t="shared" si="379"/>
        <v>13189.008855592441</v>
      </c>
      <c r="DD62" s="883">
        <f t="shared" si="380"/>
        <v>20691.735156276642</v>
      </c>
      <c r="DE62" s="883">
        <f t="shared" si="381"/>
        <v>15363.554121289677</v>
      </c>
      <c r="DF62" s="883">
        <f t="shared" si="382"/>
        <v>18232.968328368184</v>
      </c>
      <c r="DG62" s="883">
        <f t="shared" si="383"/>
        <v>17829.454561597715</v>
      </c>
      <c r="DH62" s="883">
        <f t="shared" si="384"/>
        <v>17783.051621927083</v>
      </c>
      <c r="DI62" s="883">
        <f t="shared" si="385"/>
        <v>20449.901163427952</v>
      </c>
      <c r="DJ62" s="883">
        <f t="shared" si="386"/>
        <v>20181.671874942524</v>
      </c>
      <c r="DK62" s="883">
        <f t="shared" si="387"/>
        <v>20228.18550814893</v>
      </c>
      <c r="DL62" s="883">
        <f t="shared" si="388"/>
        <v>22077.87898407142</v>
      </c>
      <c r="DM62" s="873">
        <f t="shared" si="389"/>
        <v>32898.136616764299</v>
      </c>
      <c r="DN62" s="879">
        <f t="shared" si="254"/>
        <v>223321.32968306885</v>
      </c>
      <c r="DO62" s="883">
        <f t="shared" si="390"/>
        <v>5984.3738092732365</v>
      </c>
      <c r="DP62" s="883">
        <f t="shared" si="391"/>
        <v>17373.978831653669</v>
      </c>
      <c r="DQ62" s="883">
        <f t="shared" si="392"/>
        <v>22729.010165739444</v>
      </c>
      <c r="DR62" s="883">
        <f t="shared" si="393"/>
        <v>20941.233944139258</v>
      </c>
      <c r="DS62" s="883">
        <f t="shared" si="394"/>
        <v>20503.027742014019</v>
      </c>
      <c r="DT62" s="883">
        <f t="shared" si="395"/>
        <v>20595.668824785535</v>
      </c>
      <c r="DU62" s="883">
        <f t="shared" si="396"/>
        <v>20228.564055805618</v>
      </c>
      <c r="DV62" s="883">
        <f t="shared" si="397"/>
        <v>21003.402997696965</v>
      </c>
      <c r="DW62" s="883">
        <f t="shared" si="398"/>
        <v>19221.74535468594</v>
      </c>
      <c r="DX62" s="883">
        <f t="shared" si="399"/>
        <v>21920.96393663143</v>
      </c>
      <c r="DY62" s="883">
        <f t="shared" si="400"/>
        <v>21570.161346820576</v>
      </c>
      <c r="DZ62" s="873">
        <f t="shared" si="401"/>
        <v>36614.122010625309</v>
      </c>
      <c r="EA62" s="879">
        <f t="shared" si="255"/>
        <v>248686.25301987102</v>
      </c>
      <c r="EB62" s="883">
        <f>+EB28/$EB$37</f>
        <v>6952.6556121800022</v>
      </c>
      <c r="EC62" s="883">
        <f>+EC28/$EC$37</f>
        <v>17348.676545014481</v>
      </c>
      <c r="ED62" s="883">
        <f>+ED28/$ED$37</f>
        <v>17952.793184334427</v>
      </c>
      <c r="EE62" s="883">
        <f>+EE28/$EE$37</f>
        <v>21394.834880530489</v>
      </c>
      <c r="EF62" s="883">
        <f>+EF28/$EF$37</f>
        <v>23467.8835732027</v>
      </c>
      <c r="EG62" s="883">
        <f>+EG28/$EG$37</f>
        <v>20646.983885201214</v>
      </c>
      <c r="EH62" s="883">
        <f>+EH28/$EH$37</f>
        <v>23307.704548366051</v>
      </c>
      <c r="EI62" s="883">
        <f>+EI28/$EI$37</f>
        <v>21254.913208422266</v>
      </c>
      <c r="EJ62" s="883">
        <f>+EJ28/$EJ$37</f>
        <v>18207.138006953384</v>
      </c>
      <c r="EK62" s="883">
        <f>+EK28/$EK$37</f>
        <v>22717.775432938121</v>
      </c>
      <c r="EL62" s="883">
        <f>+EL28/$EL$37</f>
        <v>20537.898090186209</v>
      </c>
      <c r="EM62" s="873">
        <f t="shared" si="261"/>
        <v>31130.181640328086</v>
      </c>
      <c r="EN62" s="879">
        <f t="shared" si="262"/>
        <v>244919.43860765744</v>
      </c>
      <c r="EO62" s="883">
        <f>+EO28/$EO$37</f>
        <v>7723.9120217028649</v>
      </c>
      <c r="EP62" s="883">
        <f t="shared" si="264"/>
        <v>18998.349533088298</v>
      </c>
      <c r="EQ62" s="883">
        <f>+EQ28/$EQ$37</f>
        <v>22757.98561008586</v>
      </c>
      <c r="ER62" s="883">
        <f t="shared" si="266"/>
        <v>21423.585916193133</v>
      </c>
      <c r="ES62" s="883">
        <f t="shared" si="267"/>
        <v>22797.709866769019</v>
      </c>
      <c r="ET62" s="883">
        <f t="shared" si="268"/>
        <v>24206.716992058813</v>
      </c>
      <c r="EU62" s="883">
        <f t="shared" si="269"/>
        <v>27138.676540841254</v>
      </c>
      <c r="EV62" s="973">
        <f t="shared" si="270"/>
        <v>26156.019350235554</v>
      </c>
      <c r="EW62" s="883"/>
      <c r="EX62" s="883"/>
      <c r="EY62" s="883"/>
      <c r="EZ62" s="873"/>
      <c r="FA62" s="879">
        <f t="shared" si="271"/>
        <v>171202.9558309748</v>
      </c>
      <c r="FC62" s="843">
        <f t="shared" si="407"/>
        <v>23.058697505625304</v>
      </c>
      <c r="FD62" s="844">
        <f t="shared" si="408"/>
        <v>12.392142637831727</v>
      </c>
      <c r="FE62" s="845">
        <f t="shared" si="409"/>
        <v>152326.44543725165</v>
      </c>
      <c r="FF62" s="846">
        <f t="shared" si="410"/>
        <v>171202.9558309748</v>
      </c>
    </row>
    <row r="63" spans="1:164" ht="15" customHeight="1" x14ac:dyDescent="0.25">
      <c r="A63" s="402" t="s">
        <v>388</v>
      </c>
      <c r="B63" s="883"/>
      <c r="C63" s="883"/>
      <c r="D63" s="883"/>
      <c r="E63" s="883"/>
      <c r="F63" s="883"/>
      <c r="G63" s="883"/>
      <c r="H63" s="883"/>
      <c r="I63" s="883"/>
      <c r="J63" s="883"/>
      <c r="K63" s="883"/>
      <c r="L63" s="883"/>
      <c r="M63" s="873"/>
      <c r="N63" s="879"/>
      <c r="O63" s="883"/>
      <c r="P63" s="883"/>
      <c r="Q63" s="883"/>
      <c r="R63" s="883"/>
      <c r="S63" s="883"/>
      <c r="T63" s="883"/>
      <c r="U63" s="883"/>
      <c r="V63" s="883"/>
      <c r="W63" s="883"/>
      <c r="X63" s="883"/>
      <c r="Y63" s="883"/>
      <c r="Z63" s="873"/>
      <c r="AA63" s="879"/>
      <c r="AB63" s="883"/>
      <c r="AC63" s="883"/>
      <c r="AD63" s="883"/>
      <c r="AE63" s="883"/>
      <c r="AF63" s="883"/>
      <c r="AG63" s="883"/>
      <c r="AH63" s="883"/>
      <c r="AI63" s="883"/>
      <c r="AJ63" s="883"/>
      <c r="AK63" s="883"/>
      <c r="AL63" s="883"/>
      <c r="AM63" s="873"/>
      <c r="AN63" s="879"/>
      <c r="AO63" s="883"/>
      <c r="AP63" s="883"/>
      <c r="AQ63" s="883"/>
      <c r="AR63" s="883"/>
      <c r="AS63" s="883"/>
      <c r="AT63" s="883"/>
      <c r="AU63" s="883"/>
      <c r="AV63" s="883"/>
      <c r="AW63" s="883"/>
      <c r="AX63" s="883"/>
      <c r="AY63" s="883"/>
      <c r="AZ63" s="873"/>
      <c r="BA63" s="879"/>
      <c r="BB63" s="883"/>
      <c r="BC63" s="883"/>
      <c r="BD63" s="883"/>
      <c r="BE63" s="883"/>
      <c r="BF63" s="883"/>
      <c r="BG63" s="883"/>
      <c r="BH63" s="883"/>
      <c r="BI63" s="883"/>
      <c r="BJ63" s="883"/>
      <c r="BK63" s="883"/>
      <c r="BL63" s="883"/>
      <c r="BM63" s="873"/>
      <c r="BN63" s="879"/>
      <c r="BO63" s="883"/>
      <c r="BP63" s="883"/>
      <c r="BQ63" s="883"/>
      <c r="BR63" s="883"/>
      <c r="BS63" s="883"/>
      <c r="BT63" s="883"/>
      <c r="BU63" s="883"/>
      <c r="BV63" s="883"/>
      <c r="BW63" s="883"/>
      <c r="BX63" s="883"/>
      <c r="BY63" s="883"/>
      <c r="BZ63" s="873"/>
      <c r="CA63" s="879"/>
      <c r="CB63" s="883"/>
      <c r="CC63" s="883"/>
      <c r="CD63" s="883"/>
      <c r="CE63" s="883"/>
      <c r="CF63" s="883">
        <f t="shared" si="359"/>
        <v>0</v>
      </c>
      <c r="CG63" s="883"/>
      <c r="CH63" s="883"/>
      <c r="CI63" s="883"/>
      <c r="CJ63" s="883">
        <f t="shared" si="362"/>
        <v>0</v>
      </c>
      <c r="CK63" s="883"/>
      <c r="CL63" s="883">
        <f t="shared" si="364"/>
        <v>0</v>
      </c>
      <c r="CM63" s="873"/>
      <c r="CN63" s="879"/>
      <c r="CO63" s="883"/>
      <c r="CP63" s="883"/>
      <c r="CQ63" s="883"/>
      <c r="CR63" s="883"/>
      <c r="CS63" s="883"/>
      <c r="CT63" s="883"/>
      <c r="CU63" s="883">
        <f t="shared" si="372"/>
        <v>0</v>
      </c>
      <c r="CV63" s="883"/>
      <c r="CW63" s="883"/>
      <c r="CX63" s="883"/>
      <c r="CY63" s="883"/>
      <c r="CZ63" s="873"/>
      <c r="DA63" s="879"/>
      <c r="DB63" s="883"/>
      <c r="DC63" s="883"/>
      <c r="DD63" s="883"/>
      <c r="DE63" s="883"/>
      <c r="DF63" s="883"/>
      <c r="DG63" s="883"/>
      <c r="DH63" s="883"/>
      <c r="DI63" s="883"/>
      <c r="DJ63" s="883"/>
      <c r="DK63" s="883"/>
      <c r="DL63" s="883"/>
      <c r="DM63" s="873"/>
      <c r="DN63" s="879"/>
      <c r="DO63" s="883"/>
      <c r="DP63" s="883"/>
      <c r="DQ63" s="883">
        <f t="shared" si="392"/>
        <v>0</v>
      </c>
      <c r="DR63" s="883">
        <f t="shared" si="393"/>
        <v>0</v>
      </c>
      <c r="DS63" s="883"/>
      <c r="DT63" s="883"/>
      <c r="DU63" s="883"/>
      <c r="DV63" s="883"/>
      <c r="DW63" s="883"/>
      <c r="DX63" s="883"/>
      <c r="DY63" s="883"/>
      <c r="DZ63" s="873"/>
      <c r="EA63" s="879"/>
      <c r="EB63" s="883"/>
      <c r="EC63" s="883"/>
      <c r="ED63" s="883"/>
      <c r="EE63" s="883"/>
      <c r="EF63" s="883"/>
      <c r="EG63" s="883"/>
      <c r="EH63" s="883"/>
      <c r="EI63" s="883"/>
      <c r="EJ63" s="883"/>
      <c r="EK63" s="883"/>
      <c r="EL63" s="883"/>
      <c r="EM63" s="873"/>
      <c r="EN63" s="879"/>
      <c r="EO63" s="883"/>
      <c r="EP63" s="883"/>
      <c r="EQ63" s="883"/>
      <c r="ER63" s="883"/>
      <c r="ES63" s="883"/>
      <c r="ET63" s="883"/>
      <c r="EU63" s="883"/>
      <c r="EV63" s="973"/>
      <c r="EW63" s="883"/>
      <c r="EX63" s="883"/>
      <c r="EY63" s="883"/>
      <c r="EZ63" s="873"/>
      <c r="FA63" s="879">
        <f t="shared" si="271"/>
        <v>0</v>
      </c>
      <c r="FC63" s="843" t="str">
        <f t="shared" si="407"/>
        <v/>
      </c>
      <c r="FD63" s="844" t="str">
        <f t="shared" si="408"/>
        <v/>
      </c>
      <c r="FE63" s="845">
        <f t="shared" si="409"/>
        <v>0</v>
      </c>
      <c r="FF63" s="846">
        <f t="shared" si="410"/>
        <v>0</v>
      </c>
    </row>
    <row r="64" spans="1:164" ht="15" customHeight="1" x14ac:dyDescent="0.25">
      <c r="A64" s="402" t="s">
        <v>389</v>
      </c>
      <c r="B64" s="883"/>
      <c r="C64" s="883"/>
      <c r="D64" s="883"/>
      <c r="E64" s="883"/>
      <c r="F64" s="883"/>
      <c r="G64" s="883"/>
      <c r="H64" s="883"/>
      <c r="I64" s="883"/>
      <c r="J64" s="883"/>
      <c r="K64" s="883"/>
      <c r="L64" s="883"/>
      <c r="M64" s="873"/>
      <c r="N64" s="879"/>
      <c r="O64" s="883"/>
      <c r="P64" s="883"/>
      <c r="Q64" s="883"/>
      <c r="R64" s="883"/>
      <c r="S64" s="883"/>
      <c r="T64" s="883"/>
      <c r="U64" s="883"/>
      <c r="V64" s="883"/>
      <c r="W64" s="883"/>
      <c r="X64" s="883"/>
      <c r="Y64" s="883"/>
      <c r="Z64" s="873"/>
      <c r="AA64" s="879"/>
      <c r="AB64" s="883"/>
      <c r="AC64" s="883"/>
      <c r="AD64" s="883"/>
      <c r="AE64" s="883"/>
      <c r="AF64" s="883"/>
      <c r="AG64" s="883"/>
      <c r="AH64" s="883"/>
      <c r="AI64" s="883"/>
      <c r="AJ64" s="883"/>
      <c r="AK64" s="883"/>
      <c r="AL64" s="883"/>
      <c r="AM64" s="873"/>
      <c r="AN64" s="879"/>
      <c r="AO64" s="883"/>
      <c r="AP64" s="883"/>
      <c r="AQ64" s="883"/>
      <c r="AR64" s="883"/>
      <c r="AS64" s="883"/>
      <c r="AT64" s="883"/>
      <c r="AU64" s="883"/>
      <c r="AV64" s="883"/>
      <c r="AW64" s="883"/>
      <c r="AX64" s="883"/>
      <c r="AY64" s="883"/>
      <c r="AZ64" s="873"/>
      <c r="BA64" s="879"/>
      <c r="BB64" s="883"/>
      <c r="BC64" s="883"/>
      <c r="BD64" s="883"/>
      <c r="BE64" s="883"/>
      <c r="BF64" s="883"/>
      <c r="BG64" s="883"/>
      <c r="BH64" s="883"/>
      <c r="BI64" s="883"/>
      <c r="BJ64" s="883"/>
      <c r="BK64" s="883"/>
      <c r="BL64" s="883"/>
      <c r="BM64" s="873"/>
      <c r="BN64" s="879"/>
      <c r="BO64" s="883"/>
      <c r="BP64" s="883"/>
      <c r="BQ64" s="883"/>
      <c r="BR64" s="883"/>
      <c r="BS64" s="883"/>
      <c r="BT64" s="883"/>
      <c r="BU64" s="883"/>
      <c r="BV64" s="883"/>
      <c r="BW64" s="883"/>
      <c r="BX64" s="883"/>
      <c r="BY64" s="883"/>
      <c r="BZ64" s="873"/>
      <c r="CA64" s="879"/>
      <c r="CB64" s="883"/>
      <c r="CC64" s="883"/>
      <c r="CD64" s="883"/>
      <c r="CE64" s="883"/>
      <c r="CF64" s="883">
        <f t="shared" si="359"/>
        <v>0</v>
      </c>
      <c r="CG64" s="883"/>
      <c r="CH64" s="883"/>
      <c r="CI64" s="883"/>
      <c r="CJ64" s="883">
        <f t="shared" si="362"/>
        <v>0</v>
      </c>
      <c r="CK64" s="883"/>
      <c r="CL64" s="883">
        <f t="shared" si="364"/>
        <v>0</v>
      </c>
      <c r="CM64" s="873"/>
      <c r="CN64" s="879"/>
      <c r="CO64" s="883"/>
      <c r="CP64" s="883"/>
      <c r="CQ64" s="883"/>
      <c r="CR64" s="883"/>
      <c r="CS64" s="883"/>
      <c r="CT64" s="883"/>
      <c r="CU64" s="883">
        <f t="shared" si="372"/>
        <v>0</v>
      </c>
      <c r="CV64" s="883"/>
      <c r="CW64" s="883"/>
      <c r="CX64" s="883"/>
      <c r="CY64" s="883"/>
      <c r="CZ64" s="873"/>
      <c r="DA64" s="879"/>
      <c r="DB64" s="883"/>
      <c r="DC64" s="883"/>
      <c r="DD64" s="883"/>
      <c r="DE64" s="883"/>
      <c r="DF64" s="883"/>
      <c r="DG64" s="883"/>
      <c r="DH64" s="883"/>
      <c r="DI64" s="883"/>
      <c r="DJ64" s="883"/>
      <c r="DK64" s="883"/>
      <c r="DL64" s="883"/>
      <c r="DM64" s="873"/>
      <c r="DN64" s="879"/>
      <c r="DO64" s="883"/>
      <c r="DP64" s="883"/>
      <c r="DQ64" s="883">
        <f t="shared" si="392"/>
        <v>0</v>
      </c>
      <c r="DR64" s="883">
        <f t="shared" si="393"/>
        <v>0</v>
      </c>
      <c r="DS64" s="883"/>
      <c r="DT64" s="883"/>
      <c r="DU64" s="883"/>
      <c r="DV64" s="883"/>
      <c r="DW64" s="883"/>
      <c r="DX64" s="883"/>
      <c r="DY64" s="883"/>
      <c r="DZ64" s="873"/>
      <c r="EA64" s="879"/>
      <c r="EB64" s="883"/>
      <c r="EC64" s="883"/>
      <c r="ED64" s="883"/>
      <c r="EE64" s="883"/>
      <c r="EF64" s="883"/>
      <c r="EG64" s="883"/>
      <c r="EH64" s="883"/>
      <c r="EI64" s="883"/>
      <c r="EJ64" s="883"/>
      <c r="EK64" s="883"/>
      <c r="EL64" s="883"/>
      <c r="EM64" s="873"/>
      <c r="EN64" s="879"/>
      <c r="EO64" s="883"/>
      <c r="EP64" s="883"/>
      <c r="EQ64" s="883"/>
      <c r="ER64" s="883"/>
      <c r="ES64" s="883"/>
      <c r="ET64" s="883"/>
      <c r="EU64" s="883"/>
      <c r="EV64" s="973"/>
      <c r="EW64" s="883"/>
      <c r="EX64" s="883"/>
      <c r="EY64" s="883"/>
      <c r="EZ64" s="873"/>
      <c r="FA64" s="879">
        <f t="shared" si="271"/>
        <v>0</v>
      </c>
      <c r="FC64" s="843" t="str">
        <f t="shared" si="407"/>
        <v/>
      </c>
      <c r="FD64" s="844" t="str">
        <f t="shared" si="408"/>
        <v/>
      </c>
      <c r="FE64" s="845">
        <f t="shared" si="409"/>
        <v>0</v>
      </c>
      <c r="FF64" s="846">
        <f t="shared" si="410"/>
        <v>0</v>
      </c>
    </row>
    <row r="65" spans="1:164" ht="15" customHeight="1" x14ac:dyDescent="0.25">
      <c r="A65" s="133"/>
      <c r="B65" s="880"/>
      <c r="C65" s="880"/>
      <c r="D65" s="880"/>
      <c r="E65" s="880"/>
      <c r="F65" s="880"/>
      <c r="G65" s="880"/>
      <c r="H65" s="880"/>
      <c r="I65" s="880"/>
      <c r="J65" s="880"/>
      <c r="K65" s="880"/>
      <c r="L65" s="880"/>
      <c r="M65" s="881"/>
      <c r="N65" s="882"/>
      <c r="O65" s="880"/>
      <c r="P65" s="880"/>
      <c r="Q65" s="880"/>
      <c r="R65" s="880"/>
      <c r="S65" s="880"/>
      <c r="T65" s="880"/>
      <c r="U65" s="880"/>
      <c r="V65" s="880"/>
      <c r="W65" s="880"/>
      <c r="X65" s="880"/>
      <c r="Y65" s="880"/>
      <c r="Z65" s="881"/>
      <c r="AA65" s="882"/>
      <c r="AB65" s="880"/>
      <c r="AC65" s="880"/>
      <c r="AD65" s="880"/>
      <c r="AE65" s="880"/>
      <c r="AF65" s="880"/>
      <c r="AG65" s="880"/>
      <c r="AH65" s="880"/>
      <c r="AI65" s="880"/>
      <c r="AJ65" s="880"/>
      <c r="AK65" s="880"/>
      <c r="AL65" s="880"/>
      <c r="AM65" s="881"/>
      <c r="AN65" s="882"/>
      <c r="AO65" s="880"/>
      <c r="AP65" s="880"/>
      <c r="AQ65" s="880"/>
      <c r="AR65" s="880"/>
      <c r="AS65" s="880"/>
      <c r="AT65" s="880"/>
      <c r="AU65" s="880"/>
      <c r="AV65" s="880"/>
      <c r="AW65" s="880"/>
      <c r="AX65" s="880"/>
      <c r="AY65" s="880"/>
      <c r="AZ65" s="881"/>
      <c r="BA65" s="882"/>
      <c r="BB65" s="880"/>
      <c r="BC65" s="880"/>
      <c r="BD65" s="880"/>
      <c r="BE65" s="880"/>
      <c r="BF65" s="880"/>
      <c r="BG65" s="880"/>
      <c r="BH65" s="880"/>
      <c r="BI65" s="880"/>
      <c r="BJ65" s="880"/>
      <c r="BK65" s="880"/>
      <c r="BL65" s="880"/>
      <c r="BM65" s="881"/>
      <c r="BN65" s="882"/>
      <c r="BO65" s="880"/>
      <c r="BP65" s="880"/>
      <c r="BQ65" s="880"/>
      <c r="BR65" s="880"/>
      <c r="BS65" s="880"/>
      <c r="BT65" s="880"/>
      <c r="BU65" s="880"/>
      <c r="BV65" s="880"/>
      <c r="BW65" s="880"/>
      <c r="BX65" s="880"/>
      <c r="BY65" s="880"/>
      <c r="BZ65" s="881"/>
      <c r="CA65" s="882"/>
      <c r="CB65" s="880"/>
      <c r="CC65" s="880"/>
      <c r="CD65" s="880"/>
      <c r="CE65" s="880"/>
      <c r="CF65" s="880"/>
      <c r="CG65" s="880"/>
      <c r="CH65" s="880"/>
      <c r="CI65" s="880"/>
      <c r="CJ65" s="880"/>
      <c r="CK65" s="880"/>
      <c r="CL65" s="880"/>
      <c r="CM65" s="881"/>
      <c r="CN65" s="882"/>
      <c r="CO65" s="880"/>
      <c r="CP65" s="880"/>
      <c r="CQ65" s="880"/>
      <c r="CR65" s="880"/>
      <c r="CS65" s="880"/>
      <c r="CT65" s="880"/>
      <c r="CU65" s="880"/>
      <c r="CV65" s="880"/>
      <c r="CW65" s="880"/>
      <c r="CX65" s="880"/>
      <c r="CY65" s="880"/>
      <c r="CZ65" s="881"/>
      <c r="DA65" s="882"/>
      <c r="DB65" s="880"/>
      <c r="DC65" s="880"/>
      <c r="DD65" s="880"/>
      <c r="DE65" s="880"/>
      <c r="DF65" s="880"/>
      <c r="DG65" s="880"/>
      <c r="DH65" s="880"/>
      <c r="DI65" s="880"/>
      <c r="DJ65" s="880"/>
      <c r="DK65" s="880"/>
      <c r="DL65" s="880"/>
      <c r="DM65" s="881"/>
      <c r="DN65" s="882"/>
      <c r="DO65" s="880"/>
      <c r="DP65" s="880"/>
      <c r="DQ65" s="880"/>
      <c r="DR65" s="880"/>
      <c r="DS65" s="880"/>
      <c r="DT65" s="880"/>
      <c r="DU65" s="880"/>
      <c r="DV65" s="880"/>
      <c r="DW65" s="880"/>
      <c r="DX65" s="880"/>
      <c r="DY65" s="880"/>
      <c r="DZ65" s="881"/>
      <c r="EA65" s="882"/>
      <c r="EB65" s="880"/>
      <c r="EC65" s="880"/>
      <c r="ED65" s="880"/>
      <c r="EE65" s="880"/>
      <c r="EF65" s="880"/>
      <c r="EG65" s="880"/>
      <c r="EH65" s="880"/>
      <c r="EI65" s="880"/>
      <c r="EJ65" s="880"/>
      <c r="EK65" s="880"/>
      <c r="EL65" s="880"/>
      <c r="EM65" s="881"/>
      <c r="EN65" s="882"/>
      <c r="EO65" s="880"/>
      <c r="EP65" s="880"/>
      <c r="EQ65" s="880"/>
      <c r="ER65" s="880"/>
      <c r="ES65" s="880"/>
      <c r="ET65" s="880"/>
      <c r="EU65" s="880"/>
      <c r="EV65" s="978"/>
      <c r="EW65" s="880"/>
      <c r="EX65" s="880"/>
      <c r="EY65" s="880"/>
      <c r="EZ65" s="881"/>
      <c r="FA65" s="882"/>
      <c r="FC65" s="340"/>
      <c r="FD65" s="228"/>
      <c r="FE65" s="305"/>
      <c r="FF65" s="218"/>
    </row>
    <row r="66" spans="1:164" ht="15" customHeight="1" x14ac:dyDescent="0.25">
      <c r="A66" s="131" t="s">
        <v>244</v>
      </c>
      <c r="FC66" s="205"/>
      <c r="FD66" s="205"/>
    </row>
    <row r="67" spans="1:164" ht="15" customHeight="1" x14ac:dyDescent="0.25">
      <c r="A67" s="175" t="s">
        <v>145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7"/>
      <c r="BD67" s="127"/>
      <c r="BE67" s="127"/>
      <c r="BF67" s="127"/>
      <c r="BG67" s="127"/>
      <c r="BH67" s="127"/>
      <c r="BI67" s="127"/>
      <c r="BJ67" s="127"/>
      <c r="BK67" s="127"/>
      <c r="BL67" s="127"/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FC67" s="205"/>
      <c r="FD67" s="205"/>
    </row>
    <row r="68" spans="1:164" ht="15" customHeight="1" x14ac:dyDescent="0.25">
      <c r="A68" s="175"/>
      <c r="B68" s="886" t="e">
        <f>((B70/#REF!)-1)*100</f>
        <v>#REF!</v>
      </c>
      <c r="C68" s="886">
        <f t="shared" ref="C68:L68" si="411">((C70/B70)-1)*100</f>
        <v>0.34999999999998366</v>
      </c>
      <c r="D68" s="886">
        <f t="shared" si="411"/>
        <v>0.69000000000001283</v>
      </c>
      <c r="E68" s="886">
        <f t="shared" si="411"/>
        <v>-4.9999999999983391E-2</v>
      </c>
      <c r="F68" s="886">
        <f t="shared" si="411"/>
        <v>0.37999999999998035</v>
      </c>
      <c r="G68" s="886">
        <f t="shared" si="411"/>
        <v>0.25999999999968271</v>
      </c>
      <c r="H68" s="886">
        <f t="shared" si="411"/>
        <v>-4.2299536598511267E-2</v>
      </c>
      <c r="I68" s="886">
        <f t="shared" si="411"/>
        <v>0.23926474866931002</v>
      </c>
      <c r="J68" s="886">
        <f t="shared" si="411"/>
        <v>0.21634954674387696</v>
      </c>
      <c r="K68" s="886">
        <f t="shared" si="411"/>
        <v>1.9530980943494036E-2</v>
      </c>
      <c r="L68" s="886">
        <f t="shared" si="411"/>
        <v>0.71619945035816812</v>
      </c>
      <c r="M68" s="886">
        <f>((M70/L70)-1)*100</f>
        <v>8.1921521308747636E-2</v>
      </c>
      <c r="N68" s="886"/>
      <c r="O68" s="886">
        <f>((O70/M70)-1)*100</f>
        <v>3.053448358329991E-2</v>
      </c>
      <c r="P68" s="886">
        <f t="shared" ref="P68:Z68" si="412">((P70/O70)-1)*100</f>
        <v>0.23219235243348013</v>
      </c>
      <c r="Q68" s="886">
        <f t="shared" si="412"/>
        <v>-0.28672930868928193</v>
      </c>
      <c r="R68" s="886">
        <f t="shared" si="412"/>
        <v>-0.66892865715068028</v>
      </c>
      <c r="S68" s="886">
        <f t="shared" si="412"/>
        <v>-7.8050303420551526E-2</v>
      </c>
      <c r="T68" s="886">
        <f t="shared" si="412"/>
        <v>0.55896268753110601</v>
      </c>
      <c r="U68" s="886">
        <f t="shared" si="412"/>
        <v>-0.30043095942746678</v>
      </c>
      <c r="V68" s="886">
        <f t="shared" si="412"/>
        <v>0.43162471284821091</v>
      </c>
      <c r="W68" s="886">
        <f t="shared" si="412"/>
        <v>0.78869387074389508</v>
      </c>
      <c r="X68" s="886">
        <f t="shared" si="412"/>
        <v>0.45930640210378737</v>
      </c>
      <c r="Y68" s="886">
        <f t="shared" si="412"/>
        <v>0.22347258548029991</v>
      </c>
      <c r="Z68" s="886">
        <f t="shared" si="412"/>
        <v>0.53272555389280996</v>
      </c>
      <c r="AA68" s="886"/>
      <c r="AB68" s="886">
        <f>((AB70/Z70)-1)*100</f>
        <v>3.1737347613192135E-2</v>
      </c>
      <c r="AC68" s="886">
        <f t="shared" ref="AC68:AH68" si="413">((AC70/AB70)-1)*100</f>
        <v>-0.61843213831460631</v>
      </c>
      <c r="AD68" s="886">
        <f t="shared" si="413"/>
        <v>0.39649345792385216</v>
      </c>
      <c r="AE68" s="886">
        <f t="shared" si="413"/>
        <v>-0.25290356996410246</v>
      </c>
      <c r="AF68" s="886">
        <f t="shared" si="413"/>
        <v>-0.13312826441995718</v>
      </c>
      <c r="AG68" s="886">
        <f t="shared" si="413"/>
        <v>-0.12688342585249757</v>
      </c>
      <c r="AH68" s="886">
        <f t="shared" si="413"/>
        <v>-0.10704403257981721</v>
      </c>
      <c r="AI68" s="886">
        <f>((AI70/AH70)-1)*100</f>
        <v>0.18869062535811221</v>
      </c>
      <c r="AJ68" s="886">
        <f>((AJ70/AI70)-1)*100</f>
        <v>0.21102217153214919</v>
      </c>
      <c r="AK68" s="886">
        <f>((AK70/AJ70)-1)*100</f>
        <v>-7.3444432088221046E-2</v>
      </c>
      <c r="AL68" s="886">
        <f>((AL70/AK70)-1)*100</f>
        <v>-0.16134807921912575</v>
      </c>
      <c r="AM68" s="886">
        <f>((AM70/AL70)-1)*100</f>
        <v>6.1335741311441261E-2</v>
      </c>
      <c r="AN68" s="886"/>
      <c r="AO68" s="886">
        <f>((AO70/AM70)-1)*100</f>
        <v>0.26357487057231399</v>
      </c>
      <c r="AP68" s="886">
        <f t="shared" ref="AP68:AV68" si="414">((AP70/AO70)-1)*100</f>
        <v>0.38205279946403881</v>
      </c>
      <c r="AQ68" s="886">
        <f t="shared" si="414"/>
        <v>9.0167422404063835E-2</v>
      </c>
      <c r="AR68" s="886">
        <f t="shared" si="414"/>
        <v>-9.3202373189993359E-2</v>
      </c>
      <c r="AS68" s="886">
        <f t="shared" si="414"/>
        <v>0.70330936786742182</v>
      </c>
      <c r="AT68" s="886">
        <f t="shared" si="414"/>
        <v>0.28221574746070122</v>
      </c>
      <c r="AU68" s="886">
        <f t="shared" si="414"/>
        <v>7.206102002381698E-2</v>
      </c>
      <c r="AV68" s="886">
        <f t="shared" si="414"/>
        <v>0.13031818425595088</v>
      </c>
      <c r="AW68" s="886">
        <f>((AW70/AV70)-1)*100</f>
        <v>0.63274317403616553</v>
      </c>
      <c r="AX68" s="886">
        <f>((AX70/AW70)-1)*100</f>
        <v>0.39157518161896387</v>
      </c>
      <c r="AY68" s="886">
        <f>((AY70/AX70)-1)*100</f>
        <v>0.47741438947532799</v>
      </c>
      <c r="AZ68" s="886">
        <f>((AZ70/AY70)-1)*100</f>
        <v>-0.13144839318965928</v>
      </c>
      <c r="BA68" s="886"/>
      <c r="BB68" s="886">
        <f>((BB70/AZ70)-1)*100</f>
        <v>-0.33058723767540599</v>
      </c>
      <c r="BC68" s="886">
        <f t="shared" ref="BC68:BM68" si="415">((BC70/BB70)-1)*100</f>
        <v>-0.45074289343741691</v>
      </c>
      <c r="BD68" s="886">
        <f t="shared" si="415"/>
        <v>3.241163410994119E-2</v>
      </c>
      <c r="BE68" s="886">
        <f t="shared" si="415"/>
        <v>0.27101016981727621</v>
      </c>
      <c r="BF68" s="886">
        <f t="shared" si="415"/>
        <v>0.18123261861293649</v>
      </c>
      <c r="BG68" s="886">
        <f t="shared" si="415"/>
        <v>-8.2237010864016913E-2</v>
      </c>
      <c r="BH68" s="886">
        <f t="shared" si="415"/>
        <v>4.2854836252903539E-2</v>
      </c>
      <c r="BI68" s="886">
        <f t="shared" si="415"/>
        <v>0.30860030910426772</v>
      </c>
      <c r="BJ68" s="886">
        <f t="shared" si="415"/>
        <v>-1.1282458968542297E-2</v>
      </c>
      <c r="BK68" s="886">
        <f t="shared" si="415"/>
        <v>0.12230891474160899</v>
      </c>
      <c r="BL68" s="886">
        <f t="shared" si="415"/>
        <v>-0.1368932842300552</v>
      </c>
      <c r="BM68" s="886">
        <f t="shared" si="415"/>
        <v>-3.833217719069193E-2</v>
      </c>
      <c r="BN68" s="886"/>
      <c r="BO68" s="886">
        <f>((BO70/BM70)-1)*100</f>
        <v>-0.34848401419980135</v>
      </c>
      <c r="BP68" s="886">
        <f t="shared" ref="BP68:BW68" si="416">((BP70/BO70)-1)*100</f>
        <v>-0.14000000000000679</v>
      </c>
      <c r="BQ68" s="886">
        <f t="shared" si="416"/>
        <v>0.27999999999999137</v>
      </c>
      <c r="BR68" s="886">
        <f t="shared" si="416"/>
        <v>-0.23000000000000798</v>
      </c>
      <c r="BS68" s="886">
        <f t="shared" si="416"/>
        <v>-0.12000000000021993</v>
      </c>
      <c r="BT68" s="886">
        <f t="shared" si="416"/>
        <v>-0.14999999999978364</v>
      </c>
      <c r="BU68" s="886">
        <f t="shared" si="416"/>
        <v>0.53000000000000824</v>
      </c>
      <c r="BV68" s="886">
        <f t="shared" si="416"/>
        <v>0.34000000000034003</v>
      </c>
      <c r="BW68" s="886">
        <f t="shared" si="416"/>
        <v>0.11999999999927624</v>
      </c>
      <c r="BX68" s="886">
        <f>((BX70/BW70)-1)*100</f>
        <v>0.25000000000037215</v>
      </c>
      <c r="BY68" s="886">
        <f>((BY70/BX70)-1)*100</f>
        <v>0.36000000000002697</v>
      </c>
      <c r="BZ68" s="886">
        <f>((BZ70/BY70)-1)*100</f>
        <v>0.64999999999977298</v>
      </c>
      <c r="CA68" s="886"/>
      <c r="CB68" s="886">
        <f>((CB70/BZ70)-1)*100</f>
        <v>1.0700000000002374</v>
      </c>
      <c r="CC68" s="886">
        <f t="shared" ref="CC68:CM68" si="417">((CC70/CB70)-1)*100</f>
        <v>1.0699999999999932</v>
      </c>
      <c r="CD68" s="886">
        <f t="shared" si="417"/>
        <v>1.6100000000000003</v>
      </c>
      <c r="CE68" s="886">
        <f t="shared" si="417"/>
        <v>-9.9999999999988987E-3</v>
      </c>
      <c r="CF68" s="886">
        <f t="shared" si="417"/>
        <v>1.089999999999991</v>
      </c>
      <c r="CG68" s="886">
        <f t="shared" si="417"/>
        <v>1.8299999999996874</v>
      </c>
      <c r="CH68" s="886">
        <f t="shared" si="417"/>
        <v>1.5100000000002778</v>
      </c>
      <c r="CI68" s="886">
        <f t="shared" si="417"/>
        <v>1.8499999999999961</v>
      </c>
      <c r="CJ68" s="886">
        <f t="shared" si="417"/>
        <v>1.1600000000000055</v>
      </c>
      <c r="CK68" s="886">
        <f t="shared" si="417"/>
        <v>0.9100000000000108</v>
      </c>
      <c r="CL68" s="886">
        <f t="shared" si="417"/>
        <v>0.37000000000000366</v>
      </c>
      <c r="CM68" s="886">
        <f t="shared" si="417"/>
        <v>0.36000000000000476</v>
      </c>
      <c r="CN68" s="886"/>
      <c r="CO68" s="886">
        <f>((CO70/CM70)-1)*100</f>
        <v>-0.26000000000001577</v>
      </c>
      <c r="CP68" s="886">
        <f t="shared" ref="CP68:CX68" si="418">((CP70/CO70)-1)*100</f>
        <v>0.45999999999999375</v>
      </c>
      <c r="CQ68" s="886">
        <f t="shared" si="418"/>
        <v>1.7700000000000049</v>
      </c>
      <c r="CR68" s="886">
        <f t="shared" si="418"/>
        <v>1.2999999999999901</v>
      </c>
      <c r="CS68" s="886">
        <f t="shared" si="418"/>
        <v>1.6899999999999915</v>
      </c>
      <c r="CT68" s="886">
        <f t="shared" si="418"/>
        <v>0.38000000000000256</v>
      </c>
      <c r="CU68" s="886">
        <f t="shared" si="418"/>
        <v>1.9600000000000062</v>
      </c>
      <c r="CV68" s="886">
        <f t="shared" si="418"/>
        <v>-0.27000000000001467</v>
      </c>
      <c r="CW68" s="886">
        <f t="shared" si="418"/>
        <v>0.17000000000000348</v>
      </c>
      <c r="CX68" s="886">
        <f t="shared" si="418"/>
        <v>0.81999999999979867</v>
      </c>
      <c r="CY68" s="886">
        <f>((CY70/CX70)-1)*100</f>
        <v>-4.9999999999794653E-2</v>
      </c>
      <c r="CZ68" s="886">
        <f>((CZ70/CY70)-1)*100</f>
        <v>-1.1099999999999999</v>
      </c>
      <c r="DA68" s="886"/>
      <c r="DB68" s="886">
        <f>((DB70/CZ70)-1)*100</f>
        <v>0.39000000000000146</v>
      </c>
      <c r="DC68" s="886">
        <f t="shared" ref="DC68:DM68" si="419">((DC70/DB70)-1)*100</f>
        <v>0.81999999999999851</v>
      </c>
      <c r="DD68" s="886">
        <f t="shared" si="419"/>
        <v>-0.51000000000001044</v>
      </c>
      <c r="DE68" s="886">
        <f t="shared" si="419"/>
        <v>-8.0000000000002292E-2</v>
      </c>
      <c r="DF68" s="886">
        <f t="shared" si="419"/>
        <v>-0.8399999999999852</v>
      </c>
      <c r="DG68" s="886">
        <f t="shared" si="419"/>
        <v>-0.74999999999999512</v>
      </c>
      <c r="DH68" s="886">
        <f t="shared" si="419"/>
        <v>-0.32999999999999696</v>
      </c>
      <c r="DI68" s="886">
        <f t="shared" si="419"/>
        <v>1.3100000000000112</v>
      </c>
      <c r="DJ68" s="886">
        <f t="shared" si="419"/>
        <v>0.13000000000000789</v>
      </c>
      <c r="DK68" s="886">
        <f t="shared" si="419"/>
        <v>0.48999999999999044</v>
      </c>
      <c r="DL68" s="886">
        <f t="shared" si="419"/>
        <v>-0.9299999999999975</v>
      </c>
      <c r="DM68" s="886">
        <f t="shared" si="419"/>
        <v>-0.71999999999999842</v>
      </c>
      <c r="DN68" s="886"/>
      <c r="DO68" s="886">
        <f>((DO70/DM70)-1)*100</f>
        <v>-0.72999999999999732</v>
      </c>
      <c r="DP68" s="886">
        <f t="shared" ref="DP68:DZ68" si="420">((DP70/DO70)-1)*100</f>
        <v>0.33000000000000806</v>
      </c>
      <c r="DQ68" s="886">
        <f t="shared" si="420"/>
        <v>-0.40999999999998815</v>
      </c>
      <c r="DR68" s="886">
        <f t="shared" si="420"/>
        <v>-0.12999999999999678</v>
      </c>
      <c r="DS68" s="886">
        <f t="shared" si="420"/>
        <v>-0.20999999999999908</v>
      </c>
      <c r="DT68" s="886">
        <f t="shared" si="420"/>
        <v>-9.9999999999988987E-3</v>
      </c>
      <c r="DU68" s="886">
        <f t="shared" si="420"/>
        <v>0.62999999999999723</v>
      </c>
      <c r="DV68" s="886">
        <f t="shared" si="420"/>
        <v>-0.29999999999984484</v>
      </c>
      <c r="DW68" s="886">
        <f t="shared" si="420"/>
        <v>-0.39000000000015689</v>
      </c>
      <c r="DX68" s="886">
        <f t="shared" si="420"/>
        <v>-0.18000000000000238</v>
      </c>
      <c r="DY68" s="886">
        <f t="shared" si="420"/>
        <v>0.32000000000000917</v>
      </c>
      <c r="DZ68" s="886">
        <f t="shared" si="420"/>
        <v>-0.29000000000000137</v>
      </c>
      <c r="EA68" s="886"/>
      <c r="EB68" s="886">
        <f>((EB70/DZ70)-1)*100</f>
        <v>9.9999999999988987E-2</v>
      </c>
      <c r="EC68" s="886">
        <f>((EC70/EB70)-1)*100</f>
        <v>-0.36000000000000476</v>
      </c>
      <c r="ED68" s="886">
        <f>((ED70/EC70)-1)*100</f>
        <v>-0.15000000000000568</v>
      </c>
      <c r="EE68" s="886">
        <f>((EE70/ED70)-1)*100</f>
        <v>0.19000000000000128</v>
      </c>
      <c r="EF68" s="886">
        <f>((EF70/EE70)-1)*100</f>
        <v>-0.40000000000000036</v>
      </c>
      <c r="EG68" s="886">
        <f>((EG70/EF70)-1)*100</f>
        <v>-0.33999999999999586</v>
      </c>
      <c r="EH68" s="886">
        <f t="shared" ref="EH68:EK68" si="421">((EH70/EG70)-1)*100</f>
        <v>-0.74000000000000732</v>
      </c>
      <c r="EI68" s="886">
        <f t="shared" si="421"/>
        <v>-0.75999999999999401</v>
      </c>
      <c r="EJ68" s="886">
        <f t="shared" si="421"/>
        <v>-0.35000000000000586</v>
      </c>
      <c r="EK68" s="886">
        <f t="shared" si="421"/>
        <v>-0.63000000000025258</v>
      </c>
      <c r="EL68" s="886">
        <f>((EL70/EK70)-1)*100</f>
        <v>-0.38999999999975721</v>
      </c>
      <c r="EM68" s="886">
        <f>((EM70/EL70)-1)*100</f>
        <v>-6.9999999999992291E-2</v>
      </c>
      <c r="EN68" s="886"/>
      <c r="EO68" s="886">
        <f>((EO70/EM70)-1)*100</f>
        <v>6.9999999999859064E-2</v>
      </c>
      <c r="EP68" s="886">
        <f>((EP70/EO70)-1)*100</f>
        <v>0.38000000000015799</v>
      </c>
      <c r="EQ68" s="886">
        <f>((EQ70/EP70)-1)*100</f>
        <v>3.1099999999999905</v>
      </c>
      <c r="ER68" s="886">
        <f>((ER70/EQ70)-1)*100</f>
        <v>1.419999999999999</v>
      </c>
      <c r="ES68" s="886">
        <f>((ES70/ER70)-1)*100</f>
        <v>-0.43999999999999595</v>
      </c>
      <c r="ET68" s="886">
        <f>((ET70/ES70)-1)*100</f>
        <v>-0.96000000000000529</v>
      </c>
      <c r="EU68" s="886">
        <f t="shared" ref="EU68" si="422">((EU70/ET70)-1)*100</f>
        <v>0.55000000000000604</v>
      </c>
      <c r="EV68" s="974">
        <f>((EV70/EU70)-1)*100</f>
        <v>1.2199999999999989</v>
      </c>
      <c r="EW68" s="886"/>
      <c r="EX68" s="886"/>
      <c r="EY68" s="886"/>
      <c r="EZ68" s="886"/>
      <c r="FA68" s="886"/>
      <c r="FC68"/>
      <c r="FD68"/>
      <c r="FE68"/>
      <c r="FF68"/>
    </row>
    <row r="69" spans="1:164" ht="15" customHeight="1" x14ac:dyDescent="0.25">
      <c r="A69" s="175"/>
      <c r="B69" s="886"/>
      <c r="C69" s="886"/>
      <c r="D69" s="886"/>
      <c r="E69" s="886"/>
      <c r="F69" s="886"/>
      <c r="G69" s="886"/>
      <c r="H69" s="886"/>
      <c r="I69" s="886"/>
      <c r="J69" s="886"/>
      <c r="K69" s="886"/>
      <c r="L69" s="886"/>
      <c r="M69" s="886"/>
      <c r="N69" s="886"/>
      <c r="O69" s="886"/>
      <c r="P69" s="886"/>
      <c r="Q69" s="886"/>
      <c r="R69" s="886"/>
      <c r="S69" s="886"/>
      <c r="T69" s="886"/>
      <c r="U69" s="886"/>
      <c r="V69" s="886"/>
      <c r="W69" s="886"/>
      <c r="X69" s="886"/>
      <c r="Y69" s="886"/>
      <c r="Z69" s="886"/>
      <c r="AA69" s="886"/>
      <c r="AB69" s="886"/>
      <c r="AC69" s="886"/>
      <c r="AD69" s="886"/>
      <c r="AE69" s="886"/>
      <c r="AF69" s="886"/>
      <c r="AG69" s="886"/>
      <c r="AH69" s="886"/>
      <c r="AI69" s="886"/>
      <c r="AJ69" s="886"/>
      <c r="AK69" s="886"/>
      <c r="AL69" s="886"/>
      <c r="AM69" s="886"/>
      <c r="AN69" s="886"/>
      <c r="AO69" s="886"/>
      <c r="AP69" s="886"/>
      <c r="AQ69" s="886"/>
      <c r="AR69" s="886"/>
      <c r="AS69" s="886"/>
      <c r="AT69" s="886"/>
      <c r="AU69" s="886"/>
      <c r="AV69" s="886"/>
      <c r="AW69" s="886"/>
      <c r="AX69" s="886"/>
      <c r="AY69" s="886"/>
      <c r="AZ69" s="886"/>
      <c r="BA69" s="886"/>
      <c r="BB69" s="886"/>
      <c r="BC69" s="886"/>
      <c r="BD69" s="886"/>
      <c r="BE69" s="886"/>
      <c r="BF69" s="886"/>
      <c r="BG69" s="886"/>
      <c r="BH69" s="886"/>
      <c r="BI69" s="886"/>
      <c r="BJ69" s="886"/>
      <c r="BK69" s="886"/>
      <c r="BL69" s="886"/>
      <c r="BM69" s="886"/>
      <c r="BN69" s="886"/>
      <c r="BO69" s="886"/>
      <c r="BP69" s="886"/>
      <c r="BQ69" s="886"/>
      <c r="BR69" s="886"/>
      <c r="BS69" s="886"/>
      <c r="BT69" s="886"/>
      <c r="BU69" s="886"/>
      <c r="BV69" s="886"/>
      <c r="BW69" s="886"/>
      <c r="BX69" s="886"/>
      <c r="BY69" s="886"/>
      <c r="BZ69" s="886"/>
      <c r="CA69" s="886"/>
      <c r="CB69" s="886"/>
      <c r="CC69" s="886"/>
      <c r="CD69" s="886"/>
      <c r="CE69" s="886"/>
      <c r="CF69" s="886"/>
      <c r="CG69" s="886"/>
      <c r="CH69" s="886"/>
      <c r="CI69" s="886"/>
      <c r="CJ69" s="886"/>
      <c r="CK69" s="886"/>
      <c r="CL69" s="886"/>
      <c r="CM69" s="886"/>
      <c r="CN69" s="886"/>
      <c r="CO69" s="886"/>
      <c r="CP69" s="886"/>
      <c r="CQ69" s="886"/>
      <c r="CR69" s="886"/>
      <c r="CS69" s="886"/>
      <c r="CT69" s="886"/>
      <c r="CU69" s="886"/>
      <c r="CV69" s="886"/>
      <c r="CW69" s="886"/>
      <c r="CX69" s="886"/>
      <c r="CY69" s="886"/>
      <c r="CZ69" s="886"/>
      <c r="DA69" s="886"/>
      <c r="DB69" s="886"/>
      <c r="DC69" s="886"/>
      <c r="DD69" s="886"/>
      <c r="DE69" s="886"/>
      <c r="DF69" s="886"/>
      <c r="DG69" s="886"/>
      <c r="DH69" s="886"/>
      <c r="DI69" s="886"/>
      <c r="DJ69" s="886"/>
      <c r="DK69" s="886"/>
      <c r="DL69" s="886"/>
      <c r="DM69" s="886"/>
      <c r="DN69" s="886"/>
      <c r="DO69" s="886"/>
      <c r="DP69" s="886"/>
      <c r="DQ69" s="886"/>
      <c r="DR69" s="886"/>
      <c r="DS69" s="886"/>
      <c r="DT69" s="886"/>
      <c r="DU69" s="886"/>
      <c r="DV69" s="886"/>
      <c r="DW69" s="886"/>
      <c r="DX69" s="886"/>
      <c r="DY69" s="886"/>
      <c r="DZ69" s="886"/>
      <c r="EA69" s="886"/>
      <c r="EB69" s="886"/>
      <c r="EC69" s="886"/>
      <c r="ED69" s="886"/>
      <c r="EE69" s="886"/>
      <c r="EF69" s="886"/>
      <c r="EG69" s="886"/>
      <c r="EH69" s="886"/>
      <c r="EI69" s="886"/>
      <c r="EJ69" s="886"/>
      <c r="EK69" s="886"/>
      <c r="EL69" s="886"/>
      <c r="EM69" s="886"/>
      <c r="EN69" s="886"/>
      <c r="EO69" s="886"/>
      <c r="EP69" s="886"/>
      <c r="EQ69" s="886"/>
      <c r="ER69" s="886"/>
      <c r="ES69" s="886"/>
      <c r="ET69" s="886"/>
      <c r="EU69" s="886"/>
      <c r="EV69" s="974"/>
      <c r="EW69" s="886"/>
      <c r="EX69" s="886"/>
      <c r="EY69" s="886"/>
      <c r="EZ69" s="886"/>
      <c r="FA69" s="886"/>
      <c r="FC69"/>
      <c r="FD69"/>
      <c r="FE69"/>
      <c r="FF69"/>
    </row>
    <row r="70" spans="1:164" ht="15" customHeight="1" x14ac:dyDescent="0.25">
      <c r="A70" s="887" t="s">
        <v>223</v>
      </c>
      <c r="B70" s="888">
        <v>120.77306385079554</v>
      </c>
      <c r="C70" s="888">
        <v>121.19576957427331</v>
      </c>
      <c r="D70" s="888">
        <v>122.03202038433581</v>
      </c>
      <c r="E70" s="888">
        <v>121.97100437414366</v>
      </c>
      <c r="F70" s="888">
        <v>122.43449419076539</v>
      </c>
      <c r="G70" s="888">
        <v>122.75282387566099</v>
      </c>
      <c r="H70" s="888">
        <v>122.7009</v>
      </c>
      <c r="I70" s="888">
        <v>122.99448</v>
      </c>
      <c r="J70" s="888">
        <v>123.260578</v>
      </c>
      <c r="K70" s="888">
        <v>123.28465200000001</v>
      </c>
      <c r="L70" s="888">
        <v>124.167616</v>
      </c>
      <c r="M70" s="889">
        <v>124.269336</v>
      </c>
      <c r="N70" s="890"/>
      <c r="O70" s="888">
        <v>124.30728099999999</v>
      </c>
      <c r="P70" s="888">
        <v>124.595913</v>
      </c>
      <c r="Q70" s="888">
        <v>124.23866</v>
      </c>
      <c r="R70" s="888">
        <v>123.40759199999999</v>
      </c>
      <c r="S70" s="888">
        <v>123.311272</v>
      </c>
      <c r="T70" s="888">
        <v>124.000536</v>
      </c>
      <c r="U70" s="888">
        <v>123.628</v>
      </c>
      <c r="V70" s="888">
        <v>124.161609</v>
      </c>
      <c r="W70" s="888">
        <v>125.14086399999999</v>
      </c>
      <c r="X70" s="888">
        <v>125.715644</v>
      </c>
      <c r="Y70" s="888">
        <v>125.996584</v>
      </c>
      <c r="Z70" s="889">
        <v>126.66780000000001</v>
      </c>
      <c r="AA70" s="890"/>
      <c r="AB70" s="888">
        <v>126.708001</v>
      </c>
      <c r="AC70" s="888">
        <v>125.924398</v>
      </c>
      <c r="AD70" s="888">
        <v>126.42368</v>
      </c>
      <c r="AE70" s="888">
        <v>126.10395000000001</v>
      </c>
      <c r="AF70" s="888">
        <v>125.93607</v>
      </c>
      <c r="AG70" s="888">
        <v>125.776278</v>
      </c>
      <c r="AH70" s="888">
        <v>125.641642</v>
      </c>
      <c r="AI70" s="888">
        <v>125.878716</v>
      </c>
      <c r="AJ70" s="888">
        <v>126.14434799999999</v>
      </c>
      <c r="AK70" s="888">
        <v>126.05170200000001</v>
      </c>
      <c r="AL70" s="888">
        <v>125.84831999999999</v>
      </c>
      <c r="AM70" s="889">
        <v>125.92550999999999</v>
      </c>
      <c r="AN70" s="890"/>
      <c r="AO70" s="888">
        <v>126.257418</v>
      </c>
      <c r="AP70" s="888">
        <v>126.739788</v>
      </c>
      <c r="AQ70" s="888">
        <v>126.85406599999999</v>
      </c>
      <c r="AR70" s="888">
        <v>126.73583499999999</v>
      </c>
      <c r="AS70" s="888">
        <v>127.62718</v>
      </c>
      <c r="AT70" s="888">
        <v>127.987364</v>
      </c>
      <c r="AU70" s="888">
        <v>128.07959299999999</v>
      </c>
      <c r="AV70" s="888">
        <v>128.24650399999999</v>
      </c>
      <c r="AW70" s="888">
        <v>129.057975</v>
      </c>
      <c r="AX70" s="888">
        <v>129.563334</v>
      </c>
      <c r="AY70" s="888">
        <v>130.18188799999999</v>
      </c>
      <c r="AZ70" s="889">
        <v>130.01076600000002</v>
      </c>
      <c r="BA70" s="890"/>
      <c r="BB70" s="888">
        <v>129.58096699999999</v>
      </c>
      <c r="BC70" s="888">
        <v>128.99689000000001</v>
      </c>
      <c r="BD70" s="888">
        <v>129.03870000000001</v>
      </c>
      <c r="BE70" s="888">
        <v>129.388408</v>
      </c>
      <c r="BF70" s="888">
        <v>129.62290199999998</v>
      </c>
      <c r="BG70" s="888">
        <v>129.51630399999999</v>
      </c>
      <c r="BH70" s="888">
        <v>129.571808</v>
      </c>
      <c r="BI70" s="888">
        <v>129.971667</v>
      </c>
      <c r="BJ70" s="888">
        <v>129.95700299999999</v>
      </c>
      <c r="BK70" s="888">
        <v>130.11595199999999</v>
      </c>
      <c r="BL70" s="888">
        <v>129.93783199999999</v>
      </c>
      <c r="BM70" s="889">
        <v>129.888024</v>
      </c>
      <c r="BN70" s="890"/>
      <c r="BO70" s="888">
        <v>129.435385</v>
      </c>
      <c r="BP70" s="888">
        <v>129.25417546099999</v>
      </c>
      <c r="BQ70" s="888">
        <v>129.61608715229079</v>
      </c>
      <c r="BR70" s="888">
        <v>129.31797015184051</v>
      </c>
      <c r="BS70" s="888">
        <v>129.16278858765801</v>
      </c>
      <c r="BT70" s="888">
        <v>128.96904440477681</v>
      </c>
      <c r="BU70" s="888">
        <v>129.65258034012214</v>
      </c>
      <c r="BV70" s="888">
        <v>130.09339911327899</v>
      </c>
      <c r="BW70" s="888">
        <v>130.24951119221399</v>
      </c>
      <c r="BX70" s="888">
        <v>130.57513497019499</v>
      </c>
      <c r="BY70" s="888">
        <v>131.04520545608773</v>
      </c>
      <c r="BZ70" s="889">
        <v>131.89699929155199</v>
      </c>
      <c r="CA70" s="890"/>
      <c r="CB70" s="888">
        <v>133.30829718397192</v>
      </c>
      <c r="CC70" s="888">
        <v>134.73469596384041</v>
      </c>
      <c r="CD70" s="888">
        <v>136.90392456885823</v>
      </c>
      <c r="CE70" s="888">
        <v>136.89023417640135</v>
      </c>
      <c r="CF70" s="888">
        <v>138.38233772892411</v>
      </c>
      <c r="CG70" s="888">
        <v>140.914734509363</v>
      </c>
      <c r="CH70" s="888">
        <v>143.04254700045479</v>
      </c>
      <c r="CI70" s="888">
        <v>145.68883411996319</v>
      </c>
      <c r="CJ70" s="888">
        <v>147.37882459575476</v>
      </c>
      <c r="CK70" s="888">
        <v>148.71997189957614</v>
      </c>
      <c r="CL70" s="888">
        <v>149.27023579560458</v>
      </c>
      <c r="CM70" s="889">
        <v>149.80760864446876</v>
      </c>
      <c r="CN70" s="890" t="s">
        <v>83</v>
      </c>
      <c r="CO70" s="888">
        <v>149.41810886199312</v>
      </c>
      <c r="CP70" s="888">
        <v>150.10543216275829</v>
      </c>
      <c r="CQ70" s="888">
        <v>152.76229831203912</v>
      </c>
      <c r="CR70" s="888">
        <v>154.74820819009562</v>
      </c>
      <c r="CS70" s="888">
        <v>157.36345290850824</v>
      </c>
      <c r="CT70" s="888">
        <v>157.96143402956056</v>
      </c>
      <c r="CU70" s="888">
        <v>161.05747813653997</v>
      </c>
      <c r="CV70" s="888">
        <v>160.62262294557129</v>
      </c>
      <c r="CW70" s="888">
        <v>160.89568140457877</v>
      </c>
      <c r="CX70" s="888">
        <v>162.215025992096</v>
      </c>
      <c r="CY70" s="888">
        <v>162.13391847910029</v>
      </c>
      <c r="CZ70" s="889">
        <v>160.33423198398228</v>
      </c>
      <c r="DA70" s="890" t="s">
        <v>83</v>
      </c>
      <c r="DB70" s="888">
        <v>160.95953548871981</v>
      </c>
      <c r="DC70" s="888">
        <v>162.2794036797273</v>
      </c>
      <c r="DD70" s="888">
        <v>161.45177872096068</v>
      </c>
      <c r="DE70" s="888">
        <v>161.3226172979839</v>
      </c>
      <c r="DF70" s="888">
        <v>159.96750731268085</v>
      </c>
      <c r="DG70" s="888">
        <v>158.76775100783576</v>
      </c>
      <c r="DH70" s="888">
        <v>158.2438174295099</v>
      </c>
      <c r="DI70" s="888">
        <v>160.31681143783649</v>
      </c>
      <c r="DJ70" s="888">
        <v>160.5252232927057</v>
      </c>
      <c r="DK70" s="888">
        <v>161.31179688683994</v>
      </c>
      <c r="DL70" s="888">
        <v>159.81159717579234</v>
      </c>
      <c r="DM70" s="889">
        <v>158.66095367612664</v>
      </c>
      <c r="DN70" s="890" t="s">
        <v>83</v>
      </c>
      <c r="DO70" s="888">
        <v>157.50272871429092</v>
      </c>
      <c r="DP70" s="888">
        <v>158.02248771904809</v>
      </c>
      <c r="DQ70" s="888">
        <v>157.3745955194</v>
      </c>
      <c r="DR70" s="888">
        <v>157.17000854522479</v>
      </c>
      <c r="DS70" s="888">
        <v>156.83995152727982</v>
      </c>
      <c r="DT70" s="888">
        <v>156.8242675321271</v>
      </c>
      <c r="DU70" s="888">
        <v>157.81226041757949</v>
      </c>
      <c r="DV70" s="888">
        <v>157.33882363632699</v>
      </c>
      <c r="DW70" s="888">
        <v>156.72520222414508</v>
      </c>
      <c r="DX70" s="888">
        <v>156.44309686014162</v>
      </c>
      <c r="DY70" s="888">
        <v>156.94371477009409</v>
      </c>
      <c r="DZ70" s="889">
        <v>156.48857799726082</v>
      </c>
      <c r="EA70" s="890" t="s">
        <v>83</v>
      </c>
      <c r="EB70" s="888">
        <v>156.64506657525806</v>
      </c>
      <c r="EC70" s="888">
        <v>156.08114433558711</v>
      </c>
      <c r="ED70" s="888">
        <v>155.84702261908373</v>
      </c>
      <c r="EE70" s="888">
        <v>156.14313196205998</v>
      </c>
      <c r="EF70" s="888">
        <v>155.51855943421174</v>
      </c>
      <c r="EG70" s="888">
        <v>154.98979633213543</v>
      </c>
      <c r="EH70" s="888">
        <v>153.84287183927762</v>
      </c>
      <c r="EI70" s="888">
        <v>152.67366601329911</v>
      </c>
      <c r="EJ70" s="888">
        <v>152.13930818225256</v>
      </c>
      <c r="EK70" s="888">
        <v>151.18083054070399</v>
      </c>
      <c r="EL70" s="888">
        <v>150.59122530159561</v>
      </c>
      <c r="EM70" s="889">
        <v>150.4858114438845</v>
      </c>
      <c r="EN70" s="890" t="s">
        <v>83</v>
      </c>
      <c r="EO70" s="888">
        <v>150.59115151189499</v>
      </c>
      <c r="EP70" s="888">
        <v>151.16339788764043</v>
      </c>
      <c r="EQ70" s="888">
        <v>155.86457956194604</v>
      </c>
      <c r="ER70" s="888">
        <v>158.07785659172566</v>
      </c>
      <c r="ES70" s="888">
        <v>157.38231402272208</v>
      </c>
      <c r="ET70" s="888">
        <v>155.87144380810395</v>
      </c>
      <c r="EU70" s="888">
        <v>156.72873674904852</v>
      </c>
      <c r="EV70" s="979">
        <v>158.64082733738692</v>
      </c>
      <c r="EW70" s="888"/>
      <c r="EX70" s="888"/>
      <c r="EY70" s="888"/>
      <c r="EZ70" s="889"/>
      <c r="FA70" s="890" t="s">
        <v>83</v>
      </c>
      <c r="FB70" s="757"/>
      <c r="FC70" s="891"/>
      <c r="FD70" s="892"/>
      <c r="FE70" s="893"/>
      <c r="FF70" s="894"/>
      <c r="FH70" s="793"/>
    </row>
    <row r="71" spans="1:164" ht="15" customHeight="1" x14ac:dyDescent="0.25">
      <c r="A71" s="414" t="s">
        <v>391</v>
      </c>
      <c r="B71" s="880">
        <f t="shared" ref="B71:M71" si="423">B11/B70*100</f>
        <v>2266.2338047342428</v>
      </c>
      <c r="C71" s="880">
        <f t="shared" si="423"/>
        <v>7334.4144199294742</v>
      </c>
      <c r="D71" s="880">
        <f t="shared" si="423"/>
        <v>9140.2239878278215</v>
      </c>
      <c r="E71" s="880">
        <f t="shared" si="423"/>
        <v>8578.2682971970553</v>
      </c>
      <c r="F71" s="880">
        <f t="shared" si="423"/>
        <v>9001.5481934594027</v>
      </c>
      <c r="G71" s="880">
        <f t="shared" si="423"/>
        <v>7743.202722267165</v>
      </c>
      <c r="H71" s="880">
        <f t="shared" si="423"/>
        <v>8189.0189884507781</v>
      </c>
      <c r="I71" s="880">
        <f t="shared" si="423"/>
        <v>6723.87899034168</v>
      </c>
      <c r="J71" s="880">
        <f t="shared" si="423"/>
        <v>6968.9759202654404</v>
      </c>
      <c r="K71" s="880">
        <f t="shared" si="423"/>
        <v>7348.8466350215258</v>
      </c>
      <c r="L71" s="880">
        <f t="shared" si="423"/>
        <v>7941.6842472033932</v>
      </c>
      <c r="M71" s="881">
        <f t="shared" si="423"/>
        <v>10475.633345300888</v>
      </c>
      <c r="N71" s="882">
        <f>SUM(B71:M71)</f>
        <v>91711.929551998866</v>
      </c>
      <c r="O71" s="880">
        <f t="shared" ref="O71:Z71" si="424">O11/O70*100</f>
        <v>5192.7770827840732</v>
      </c>
      <c r="P71" s="880">
        <f t="shared" si="424"/>
        <v>9765.1678189476406</v>
      </c>
      <c r="Q71" s="880">
        <f t="shared" si="424"/>
        <v>8582.6746682554367</v>
      </c>
      <c r="R71" s="880">
        <f t="shared" si="424"/>
        <v>8463.012551124084</v>
      </c>
      <c r="S71" s="880">
        <f t="shared" si="424"/>
        <v>9122.4425938936074</v>
      </c>
      <c r="T71" s="880">
        <f t="shared" si="424"/>
        <v>8464.4795406368248</v>
      </c>
      <c r="U71" s="880">
        <f t="shared" si="424"/>
        <v>9264.8914485391651</v>
      </c>
      <c r="V71" s="880">
        <f t="shared" si="424"/>
        <v>8078.1813966344462</v>
      </c>
      <c r="W71" s="880">
        <f t="shared" si="424"/>
        <v>7998.985846861342</v>
      </c>
      <c r="X71" s="880">
        <f t="shared" si="424"/>
        <v>7087.4234236114644</v>
      </c>
      <c r="Y71" s="880">
        <f t="shared" si="424"/>
        <v>8101.0132782647506</v>
      </c>
      <c r="Z71" s="881">
        <f t="shared" si="424"/>
        <v>9782.280895381462</v>
      </c>
      <c r="AA71" s="882">
        <f>SUM(O71:Z71)</f>
        <v>99903.330544934288</v>
      </c>
      <c r="AB71" s="880">
        <f t="shared" ref="AB71:AM71" si="425">AB11/AB70*100</f>
        <v>5033.6205682859763</v>
      </c>
      <c r="AC71" s="880">
        <f t="shared" si="425"/>
        <v>6994.6731053659678</v>
      </c>
      <c r="AD71" s="880">
        <f t="shared" si="425"/>
        <v>9079.7863185124806</v>
      </c>
      <c r="AE71" s="880">
        <f t="shared" si="425"/>
        <v>7703.1686953501448</v>
      </c>
      <c r="AF71" s="880">
        <f t="shared" si="425"/>
        <v>10273.466529485953</v>
      </c>
      <c r="AG71" s="880">
        <f t="shared" si="425"/>
        <v>10276.182604163243</v>
      </c>
      <c r="AH71" s="880">
        <f t="shared" si="425"/>
        <v>9310.6073860448269</v>
      </c>
      <c r="AI71" s="880">
        <f t="shared" si="425"/>
        <v>9228.7245764407071</v>
      </c>
      <c r="AJ71" s="880">
        <f t="shared" si="425"/>
        <v>6390.2982002808403</v>
      </c>
      <c r="AK71" s="880">
        <f t="shared" si="425"/>
        <v>7598.4693963116815</v>
      </c>
      <c r="AL71" s="880">
        <f t="shared" si="425"/>
        <v>8744.653881752256</v>
      </c>
      <c r="AM71" s="881">
        <f t="shared" si="425"/>
        <v>12043.628014689002</v>
      </c>
      <c r="AN71" s="882">
        <f>SUM(AB71:AM71)</f>
        <v>102677.2792766831</v>
      </c>
      <c r="AO71" s="880">
        <f t="shared" ref="AO71:AZ71" si="426">AO11/AO70*100</f>
        <v>4194.605025108307</v>
      </c>
      <c r="AP71" s="880">
        <f t="shared" si="426"/>
        <v>7343.3924317436922</v>
      </c>
      <c r="AQ71" s="880">
        <f t="shared" si="426"/>
        <v>8926.004784111532</v>
      </c>
      <c r="AR71" s="880">
        <f t="shared" si="426"/>
        <v>8637.6516949606248</v>
      </c>
      <c r="AS71" s="880">
        <f t="shared" si="426"/>
        <v>10576.900625713113</v>
      </c>
      <c r="AT71" s="880">
        <f t="shared" si="426"/>
        <v>9159.4979641896534</v>
      </c>
      <c r="AU71" s="880">
        <f t="shared" si="426"/>
        <v>8674.2936480130775</v>
      </c>
      <c r="AV71" s="880">
        <f t="shared" si="426"/>
        <v>8071.1751799487656</v>
      </c>
      <c r="AW71" s="880">
        <f t="shared" si="426"/>
        <v>6253.003737273888</v>
      </c>
      <c r="AX71" s="880">
        <f t="shared" si="426"/>
        <v>8226.0927308338632</v>
      </c>
      <c r="AY71" s="880">
        <f t="shared" si="426"/>
        <v>9248.5983918131533</v>
      </c>
      <c r="AZ71" s="881">
        <f t="shared" si="426"/>
        <v>9672.2759098273436</v>
      </c>
      <c r="BA71" s="882">
        <f>SUM(AO71:AZ71)</f>
        <v>98983.492123536998</v>
      </c>
      <c r="BB71" s="880">
        <f t="shared" ref="BB71:BM71" si="427">BB11/BB70*100</f>
        <v>1679.2589609244083</v>
      </c>
      <c r="BC71" s="880">
        <f t="shared" si="427"/>
        <v>8172.2900451320957</v>
      </c>
      <c r="BD71" s="880">
        <f t="shared" si="427"/>
        <v>9995.4509771099674</v>
      </c>
      <c r="BE71" s="880">
        <f t="shared" si="427"/>
        <v>9887.2844930590691</v>
      </c>
      <c r="BF71" s="880">
        <f t="shared" si="427"/>
        <v>11484.081725002579</v>
      </c>
      <c r="BG71" s="880">
        <f t="shared" si="427"/>
        <v>10312.987313164835</v>
      </c>
      <c r="BH71" s="880">
        <f t="shared" si="427"/>
        <v>11452.336915758711</v>
      </c>
      <c r="BI71" s="880">
        <f t="shared" si="427"/>
        <v>8766.5260152430001</v>
      </c>
      <c r="BJ71" s="880">
        <f t="shared" si="427"/>
        <v>8586.6861672702635</v>
      </c>
      <c r="BK71" s="880">
        <f t="shared" si="427"/>
        <v>8296.4462343556461</v>
      </c>
      <c r="BL71" s="880">
        <f t="shared" si="427"/>
        <v>8947.3556862176993</v>
      </c>
      <c r="BM71" s="881">
        <f t="shared" si="427"/>
        <v>10696.136235008085</v>
      </c>
      <c r="BN71" s="882">
        <f>SUM(BB71:BM71)</f>
        <v>108276.84076824637</v>
      </c>
      <c r="BO71" s="880">
        <f t="shared" ref="BO71:BZ71" si="428">BO11/BO70*100</f>
        <v>7270.0367059595028</v>
      </c>
      <c r="BP71" s="880">
        <f t="shared" si="428"/>
        <v>8092.5818935389889</v>
      </c>
      <c r="BQ71" s="880">
        <f t="shared" si="428"/>
        <v>12437.499352267003</v>
      </c>
      <c r="BR71" s="880">
        <f t="shared" si="428"/>
        <v>8029.0465337560236</v>
      </c>
      <c r="BS71" s="880">
        <f t="shared" si="428"/>
        <v>7368.9954390698877</v>
      </c>
      <c r="BT71" s="880">
        <f t="shared" si="428"/>
        <v>7648.3469700227179</v>
      </c>
      <c r="BU71" s="880">
        <f t="shared" si="428"/>
        <v>15654.142745757003</v>
      </c>
      <c r="BV71" s="880">
        <f t="shared" si="428"/>
        <v>10582.397026933217</v>
      </c>
      <c r="BW71" s="880">
        <f t="shared" si="428"/>
        <v>14016.943198395174</v>
      </c>
      <c r="BX71" s="880">
        <f t="shared" si="428"/>
        <v>18707.237029144711</v>
      </c>
      <c r="BY71" s="880">
        <f t="shared" si="428"/>
        <v>19018.627895052225</v>
      </c>
      <c r="BZ71" s="881">
        <f t="shared" si="428"/>
        <v>29255.403994980425</v>
      </c>
      <c r="CA71" s="882">
        <f>SUM(BO71:BZ71)</f>
        <v>158081.25878487687</v>
      </c>
      <c r="CB71" s="880">
        <f t="shared" ref="CB71:CM71" si="429">CB11/CB70*100</f>
        <v>4890.918373221798</v>
      </c>
      <c r="CC71" s="880">
        <f t="shared" si="429"/>
        <v>7528.1277234797344</v>
      </c>
      <c r="CD71" s="880">
        <f t="shared" si="429"/>
        <v>14409.375087036282</v>
      </c>
      <c r="CE71" s="880">
        <f t="shared" si="429"/>
        <v>11890.548729009341</v>
      </c>
      <c r="CF71" s="880">
        <f t="shared" si="429"/>
        <v>12879.533828163323</v>
      </c>
      <c r="CG71" s="880">
        <f t="shared" si="429"/>
        <v>11857.525090032213</v>
      </c>
      <c r="CH71" s="880">
        <f t="shared" si="429"/>
        <v>10754.142961360363</v>
      </c>
      <c r="CI71" s="880">
        <f t="shared" si="429"/>
        <v>12592.591677199864</v>
      </c>
      <c r="CJ71" s="880">
        <f t="shared" si="429"/>
        <v>12810.524206435988</v>
      </c>
      <c r="CK71" s="880">
        <f t="shared" si="429"/>
        <v>10092.793730579489</v>
      </c>
      <c r="CL71" s="880">
        <f t="shared" si="429"/>
        <v>12762.088770386297</v>
      </c>
      <c r="CM71" s="881">
        <f t="shared" si="429"/>
        <v>22287.25249812788</v>
      </c>
      <c r="CN71" s="882">
        <f>SUM(CB71:CM71)</f>
        <v>144755.42267503258</v>
      </c>
      <c r="CO71" s="880">
        <f t="shared" ref="CO71:CZ71" si="430">CO11/CO70*100</f>
        <v>4934.4755171609859</v>
      </c>
      <c r="CP71" s="880">
        <f t="shared" si="430"/>
        <v>9366.0834237870367</v>
      </c>
      <c r="CQ71" s="880">
        <f t="shared" si="430"/>
        <v>13971.379218453385</v>
      </c>
      <c r="CR71" s="880">
        <f t="shared" si="430"/>
        <v>9994.94610044211</v>
      </c>
      <c r="CS71" s="880">
        <f t="shared" si="430"/>
        <v>12557.553634444668</v>
      </c>
      <c r="CT71" s="880">
        <f t="shared" si="430"/>
        <v>12396.063710295042</v>
      </c>
      <c r="CU71" s="880">
        <f t="shared" si="430"/>
        <v>13276.005713856359</v>
      </c>
      <c r="CV71" s="880">
        <f t="shared" si="430"/>
        <v>12528.745721466168</v>
      </c>
      <c r="CW71" s="880">
        <f t="shared" si="430"/>
        <v>11848.04951480662</v>
      </c>
      <c r="CX71" s="880">
        <f t="shared" si="430"/>
        <v>11215.976996413705</v>
      </c>
      <c r="CY71" s="880">
        <f t="shared" si="430"/>
        <v>11301.151647896493</v>
      </c>
      <c r="CZ71" s="881">
        <f t="shared" si="430"/>
        <v>17280.776324027913</v>
      </c>
      <c r="DA71" s="882">
        <f>SUM(CO71:CZ71)</f>
        <v>140671.20752305049</v>
      </c>
      <c r="DB71" s="880">
        <f t="shared" ref="DB71:DM71" si="431">DB11/DB70*100</f>
        <v>3382.837794273823</v>
      </c>
      <c r="DC71" s="880">
        <f t="shared" si="431"/>
        <v>9547.7304258393597</v>
      </c>
      <c r="DD71" s="880">
        <f t="shared" si="431"/>
        <v>14853.970758320615</v>
      </c>
      <c r="DE71" s="880">
        <f t="shared" si="431"/>
        <v>9904.3768738803392</v>
      </c>
      <c r="DF71" s="880">
        <f t="shared" si="431"/>
        <v>13716.535544378408</v>
      </c>
      <c r="DG71" s="880">
        <f t="shared" si="431"/>
        <v>13832.154112276961</v>
      </c>
      <c r="DH71" s="880">
        <f t="shared" si="431"/>
        <v>12308.221778507132</v>
      </c>
      <c r="DI71" s="880">
        <f t="shared" si="431"/>
        <v>11688.106713166346</v>
      </c>
      <c r="DJ71" s="880">
        <f t="shared" si="431"/>
        <v>11810.604969805701</v>
      </c>
      <c r="DK71" s="880">
        <f t="shared" si="431"/>
        <v>12208.034613745342</v>
      </c>
      <c r="DL71" s="880">
        <f t="shared" si="431"/>
        <v>13578.488910369913</v>
      </c>
      <c r="DM71" s="881">
        <f t="shared" si="431"/>
        <v>18849.628284126491</v>
      </c>
      <c r="DN71" s="882">
        <f>SUM(DB71:DM71)</f>
        <v>145680.69077869045</v>
      </c>
      <c r="DO71" s="880">
        <f t="shared" ref="DO71:DZ71" si="432">DO11/DO70*100</f>
        <v>2512.3374257077007</v>
      </c>
      <c r="DP71" s="880">
        <f t="shared" si="432"/>
        <v>9704.31501323056</v>
      </c>
      <c r="DQ71" s="880">
        <f t="shared" si="432"/>
        <v>11817.027988934527</v>
      </c>
      <c r="DR71" s="880">
        <f t="shared" si="432"/>
        <v>12058.280186799549</v>
      </c>
      <c r="DS71" s="880">
        <f t="shared" si="432"/>
        <v>13504.212283766279</v>
      </c>
      <c r="DT71" s="880">
        <f t="shared" si="432"/>
        <v>11866.148200684407</v>
      </c>
      <c r="DU71" s="880">
        <f t="shared" si="432"/>
        <v>10971.264180733646</v>
      </c>
      <c r="DV71" s="880">
        <f t="shared" si="432"/>
        <v>12832.814898037808</v>
      </c>
      <c r="DW71" s="880">
        <f t="shared" si="432"/>
        <v>11364.477280767571</v>
      </c>
      <c r="DX71" s="880">
        <f t="shared" si="432"/>
        <v>11951.949542852506</v>
      </c>
      <c r="DY71" s="880">
        <f t="shared" si="432"/>
        <v>12746.607934765152</v>
      </c>
      <c r="DZ71" s="881">
        <f t="shared" si="432"/>
        <v>19819.33786921042</v>
      </c>
      <c r="EA71" s="882">
        <f>SUM(DO71:DZ71)</f>
        <v>141148.77280549012</v>
      </c>
      <c r="EB71" s="880">
        <f>+EB11/EB70*100</f>
        <v>3679.6562611378263</v>
      </c>
      <c r="EC71" s="880">
        <f t="shared" ref="EC71:EL71" si="433">+EC11/EC70*100</f>
        <v>11568.982324460658</v>
      </c>
      <c r="ED71" s="880">
        <f t="shared" si="433"/>
        <v>11488.188673171113</v>
      </c>
      <c r="EE71" s="880">
        <f t="shared" si="433"/>
        <v>12503.912118750113</v>
      </c>
      <c r="EF71" s="880">
        <f t="shared" si="433"/>
        <v>13893.518611931526</v>
      </c>
      <c r="EG71" s="880">
        <f t="shared" si="433"/>
        <v>12096.280170485525</v>
      </c>
      <c r="EH71" s="880">
        <f t="shared" si="433"/>
        <v>13151.730566455995</v>
      </c>
      <c r="EI71" s="880">
        <f t="shared" si="433"/>
        <v>12510.998457544178</v>
      </c>
      <c r="EJ71" s="880">
        <f t="shared" si="433"/>
        <v>11916.052607707858</v>
      </c>
      <c r="EK71" s="880">
        <f t="shared" si="433"/>
        <v>12359.371180309294</v>
      </c>
      <c r="EL71" s="880">
        <f t="shared" si="433"/>
        <v>9590.8642559182135</v>
      </c>
      <c r="EM71" s="881">
        <f>+EM11/EM70*100</f>
        <v>14909.04676310051</v>
      </c>
      <c r="EN71" s="882">
        <f>SUM(EB71:EM71)</f>
        <v>139668.60199097279</v>
      </c>
      <c r="EO71" s="880">
        <f t="shared" ref="EO71:EV71" si="434">+EO11/EO70*100</f>
        <v>3890.0027931171535</v>
      </c>
      <c r="EP71" s="880">
        <f t="shared" si="434"/>
        <v>12012.167134200581</v>
      </c>
      <c r="EQ71" s="880">
        <f t="shared" si="434"/>
        <v>14007.03101458866</v>
      </c>
      <c r="ER71" s="880">
        <f t="shared" si="434"/>
        <v>11747.375881975375</v>
      </c>
      <c r="ES71" s="880">
        <f t="shared" si="434"/>
        <v>15290.155154616519</v>
      </c>
      <c r="ET71" s="880">
        <f t="shared" si="434"/>
        <v>14719.181037577047</v>
      </c>
      <c r="EU71" s="880">
        <f t="shared" si="434"/>
        <v>14274.344618639832</v>
      </c>
      <c r="EV71" s="978">
        <f t="shared" si="434"/>
        <v>13880.411726023911</v>
      </c>
      <c r="EW71" s="880"/>
      <c r="EX71" s="880"/>
      <c r="EY71" s="880"/>
      <c r="EZ71" s="881"/>
      <c r="FA71" s="882">
        <f>SUM(EO71:EZ71)</f>
        <v>99820.669360739092</v>
      </c>
      <c r="FC71" s="895">
        <f>IFERROR(((
_xlfn.XLOOKUP((DATE(YEAR($FC$5),MONTH($FC$5),1)),UCA.GGL.DATE,$B71:$FA71) /
_xlfn.XLOOKUP((DATE(YEAR($FC$5)-1,MONTH($FC$5),1)),UCA.GGL.DATE,$B71:$FA71)
)-1)*100,"")</f>
        <v>10.945675304227787</v>
      </c>
      <c r="FD71" s="896">
        <f>IFERROR(((FF71/FE71)-1)*100,"")</f>
        <v>9.8218519956336792</v>
      </c>
      <c r="FE71" s="897">
        <f>SUMIFS($B71:$FA71,UCA.GGL.DATE,"&gt;="&amp;DATE(YEAR($FC$5)-1,1,1),UCA.GGL.DATE,"&lt;="&amp;DATE(YEAR($FC$5)-1,MONTH($FC$5),1))</f>
        <v>90893.267183936929</v>
      </c>
      <c r="FF71" s="898">
        <f>SUMIFS($B71:$FA71,UCA.GGL.DATE,"&gt;="&amp;DATE(YEAR($FC$5),1,1),UCA.GGL.DATE,"&lt;="&amp;$FC$5)</f>
        <v>99820.669360739092</v>
      </c>
    </row>
    <row r="72" spans="1:164" ht="15" customHeight="1" x14ac:dyDescent="0.25">
      <c r="A72" s="175" t="s">
        <v>654</v>
      </c>
      <c r="BY72" s="205"/>
      <c r="BZ72" s="205"/>
    </row>
  </sheetData>
  <mergeCells count="2">
    <mergeCell ref="FC4:FD4"/>
    <mergeCell ref="FC38:FD38"/>
  </mergeCells>
  <printOptions horizontalCentered="1" verticalCentered="1"/>
  <pageMargins left="0.74803149606299213" right="0.74803149606299213" top="0.15748031496062992" bottom="0.15748031496062992" header="0" footer="0"/>
  <pageSetup paperSize="9" scale="1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59999389629810485"/>
    <pageSetUpPr fitToPage="1"/>
  </sheetPr>
  <dimension ref="A1:FH93"/>
  <sheetViews>
    <sheetView showGridLines="0" view="pageBreakPreview" zoomScale="80" zoomScaleSheetLayoutView="80" workbookViewId="0">
      <pane xSplit="1" topLeftCell="EB1" activePane="topRight" state="frozen"/>
      <selection activeCell="FG21" sqref="FG21"/>
      <selection pane="topRight" activeCell="EV7" sqref="EV7"/>
    </sheetView>
  </sheetViews>
  <sheetFormatPr baseColWidth="10" defaultColWidth="10.7109375" defaultRowHeight="15" customHeight="1" x14ac:dyDescent="0.25"/>
  <cols>
    <col min="1" max="1" width="30.7109375" style="126" customWidth="1"/>
    <col min="2" max="143" width="10.7109375" style="126"/>
    <col min="144" max="144" width="9.85546875" style="126" customWidth="1"/>
    <col min="145" max="145" width="10" style="126" customWidth="1"/>
    <col min="146" max="146" width="9.42578125" style="126" customWidth="1"/>
    <col min="147" max="147" width="8.85546875" style="126" customWidth="1"/>
    <col min="148" max="148" width="9.42578125" style="126" customWidth="1"/>
    <col min="149" max="151" width="10.7109375" style="126"/>
    <col min="152" max="152" width="10.7109375" style="946"/>
    <col min="153" max="157" width="10.7109375" style="126"/>
    <col min="158" max="158" width="3.42578125" customWidth="1"/>
    <col min="159" max="159" width="8.7109375" style="126" customWidth="1"/>
    <col min="160" max="162" width="10.7109375" style="126"/>
    <col min="164" max="164" width="10.7109375" style="126"/>
  </cols>
  <sheetData>
    <row r="1" spans="1:164" ht="15" customHeight="1" x14ac:dyDescent="0.25">
      <c r="A1" s="681" t="s">
        <v>301</v>
      </c>
    </row>
    <row r="2" spans="1:164" ht="15" customHeight="1" x14ac:dyDescent="0.25">
      <c r="A2" s="681" t="s">
        <v>611</v>
      </c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  <c r="EP2" s="253"/>
      <c r="EQ2" s="253"/>
      <c r="ER2" s="253"/>
      <c r="ES2" s="253"/>
      <c r="ET2" s="253"/>
      <c r="EU2" s="253"/>
      <c r="EV2" s="947"/>
      <c r="EW2" s="253"/>
      <c r="EX2" s="253"/>
      <c r="EY2" s="253"/>
      <c r="EZ2" s="253"/>
      <c r="FA2" s="253"/>
      <c r="FC2" s="127"/>
      <c r="FD2" s="127"/>
      <c r="FE2" s="127"/>
      <c r="FF2" s="127"/>
    </row>
    <row r="3" spans="1:164" ht="15" customHeight="1" x14ac:dyDescent="0.25">
      <c r="A3" s="775" t="s">
        <v>305</v>
      </c>
    </row>
    <row r="4" spans="1:164" ht="15" customHeight="1" x14ac:dyDescent="0.25">
      <c r="A4" s="836"/>
      <c r="B4" s="474">
        <v>2015</v>
      </c>
      <c r="C4" s="474"/>
      <c r="D4" s="474"/>
      <c r="E4" s="474"/>
      <c r="F4" s="474"/>
      <c r="G4" s="474"/>
      <c r="H4" s="474"/>
      <c r="I4" s="474"/>
      <c r="J4" s="474"/>
      <c r="K4" s="474"/>
      <c r="L4" s="474"/>
      <c r="M4" s="474"/>
      <c r="N4" s="758" t="s">
        <v>83</v>
      </c>
      <c r="O4" s="474">
        <v>2016</v>
      </c>
      <c r="P4" s="474"/>
      <c r="Q4" s="474"/>
      <c r="R4" s="474"/>
      <c r="S4" s="474"/>
      <c r="T4" s="474"/>
      <c r="U4" s="474"/>
      <c r="V4" s="474"/>
      <c r="W4" s="474"/>
      <c r="X4" s="474"/>
      <c r="Y4" s="474"/>
      <c r="Z4" s="474"/>
      <c r="AA4" s="758" t="s">
        <v>83</v>
      </c>
      <c r="AB4" s="474">
        <v>2017</v>
      </c>
      <c r="AC4" s="474"/>
      <c r="AD4" s="474"/>
      <c r="AE4" s="474"/>
      <c r="AF4" s="474"/>
      <c r="AG4" s="474"/>
      <c r="AH4" s="474"/>
      <c r="AI4" s="474"/>
      <c r="AJ4" s="474"/>
      <c r="AK4" s="474"/>
      <c r="AL4" s="474"/>
      <c r="AM4" s="474"/>
      <c r="AN4" s="758" t="s">
        <v>83</v>
      </c>
      <c r="AO4" s="474">
        <v>2018</v>
      </c>
      <c r="AP4" s="474"/>
      <c r="AQ4" s="474"/>
      <c r="AR4" s="474"/>
      <c r="AS4" s="474"/>
      <c r="AT4" s="474"/>
      <c r="AU4" s="474"/>
      <c r="AV4" s="474"/>
      <c r="AW4" s="474"/>
      <c r="AX4" s="474"/>
      <c r="AY4" s="474"/>
      <c r="AZ4" s="474"/>
      <c r="BA4" s="758" t="s">
        <v>83</v>
      </c>
      <c r="BB4" s="474">
        <v>2019</v>
      </c>
      <c r="BC4" s="474"/>
      <c r="BD4" s="474"/>
      <c r="BE4" s="474"/>
      <c r="BF4" s="474"/>
      <c r="BG4" s="474"/>
      <c r="BH4" s="474"/>
      <c r="BI4" s="474"/>
      <c r="BJ4" s="474"/>
      <c r="BK4" s="474"/>
      <c r="BL4" s="474"/>
      <c r="BM4" s="474"/>
      <c r="BN4" s="758" t="s">
        <v>83</v>
      </c>
      <c r="BO4" s="474">
        <v>2020</v>
      </c>
      <c r="BP4" s="474"/>
      <c r="BQ4" s="474"/>
      <c r="BR4" s="474"/>
      <c r="BS4" s="474"/>
      <c r="BT4" s="474"/>
      <c r="BU4" s="474"/>
      <c r="BV4" s="474"/>
      <c r="BW4" s="474"/>
      <c r="BX4" s="474"/>
      <c r="BY4" s="474"/>
      <c r="BZ4" s="474"/>
      <c r="CA4" s="758" t="s">
        <v>83</v>
      </c>
      <c r="CB4" s="474">
        <v>2021</v>
      </c>
      <c r="CC4" s="474"/>
      <c r="CD4" s="474"/>
      <c r="CE4" s="474"/>
      <c r="CF4" s="474"/>
      <c r="CG4" s="474"/>
      <c r="CH4" s="474"/>
      <c r="CI4" s="474"/>
      <c r="CJ4" s="474"/>
      <c r="CK4" s="474"/>
      <c r="CL4" s="474"/>
      <c r="CM4" s="474"/>
      <c r="CN4" s="758" t="s">
        <v>83</v>
      </c>
      <c r="CO4" s="474">
        <v>2022</v>
      </c>
      <c r="CP4" s="474"/>
      <c r="CQ4" s="474"/>
      <c r="CR4" s="474"/>
      <c r="CS4" s="474"/>
      <c r="CT4" s="474"/>
      <c r="CU4" s="474"/>
      <c r="CV4" s="474"/>
      <c r="CW4" s="474"/>
      <c r="CX4" s="474"/>
      <c r="CY4" s="474"/>
      <c r="CZ4" s="474"/>
      <c r="DA4" s="758" t="s">
        <v>83</v>
      </c>
      <c r="DB4" s="474">
        <v>2023</v>
      </c>
      <c r="DC4" s="474"/>
      <c r="DD4" s="474"/>
      <c r="DE4" s="474"/>
      <c r="DF4" s="474"/>
      <c r="DG4" s="474"/>
      <c r="DH4" s="474"/>
      <c r="DI4" s="474"/>
      <c r="DJ4" s="474"/>
      <c r="DK4" s="474"/>
      <c r="DL4" s="474"/>
      <c r="DM4" s="474"/>
      <c r="DN4" s="758" t="s">
        <v>83</v>
      </c>
      <c r="DO4" s="474">
        <v>2024</v>
      </c>
      <c r="DP4" s="474"/>
      <c r="DQ4" s="474"/>
      <c r="DR4" s="474"/>
      <c r="DS4" s="474"/>
      <c r="DT4" s="474"/>
      <c r="DU4" s="474"/>
      <c r="DV4" s="474"/>
      <c r="DW4" s="474"/>
      <c r="DX4" s="474"/>
      <c r="DY4" s="474"/>
      <c r="DZ4" s="474"/>
      <c r="EA4" s="758" t="s">
        <v>83</v>
      </c>
      <c r="EB4" s="474">
        <v>2025</v>
      </c>
      <c r="EC4" s="474"/>
      <c r="ED4" s="474"/>
      <c r="EE4" s="474"/>
      <c r="EF4" s="474"/>
      <c r="EG4" s="474"/>
      <c r="EH4" s="474"/>
      <c r="EI4" s="474"/>
      <c r="EJ4" s="474"/>
      <c r="EK4" s="474"/>
      <c r="EL4" s="474"/>
      <c r="EM4" s="474"/>
      <c r="EN4" s="758" t="s">
        <v>83</v>
      </c>
      <c r="EO4" s="474">
        <v>2026</v>
      </c>
      <c r="EP4" s="474"/>
      <c r="EQ4" s="474"/>
      <c r="ER4" s="474"/>
      <c r="ES4" s="474"/>
      <c r="ET4" s="474"/>
      <c r="EU4" s="474"/>
      <c r="EV4" s="976"/>
      <c r="EW4" s="474"/>
      <c r="EX4" s="474"/>
      <c r="EY4" s="474"/>
      <c r="EZ4" s="474"/>
      <c r="FA4" s="758" t="s">
        <v>83</v>
      </c>
      <c r="FB4" s="753"/>
      <c r="FC4" s="984" t="str">
        <f>CONCATENATE("Var.% ",FF4,"/",FE4)</f>
        <v>Var.% 2026/2025</v>
      </c>
      <c r="FD4" s="985"/>
      <c r="FE4" s="478">
        <f>FF4-1</f>
        <v>2025</v>
      </c>
      <c r="FF4" s="478">
        <f>YEAR(FC5)</f>
        <v>2026</v>
      </c>
      <c r="FG4" s="753"/>
      <c r="FH4" s="795"/>
    </row>
    <row r="5" spans="1:164" ht="15" customHeight="1" x14ac:dyDescent="0.25">
      <c r="A5" s="837"/>
      <c r="B5" s="645">
        <v>42005</v>
      </c>
      <c r="C5" s="645">
        <v>42036</v>
      </c>
      <c r="D5" s="645">
        <v>42064</v>
      </c>
      <c r="E5" s="645">
        <v>42095</v>
      </c>
      <c r="F5" s="645">
        <v>42125</v>
      </c>
      <c r="G5" s="645">
        <v>42156</v>
      </c>
      <c r="H5" s="645">
        <v>42186</v>
      </c>
      <c r="I5" s="645">
        <v>42217</v>
      </c>
      <c r="J5" s="645">
        <v>42248</v>
      </c>
      <c r="K5" s="645">
        <v>42278</v>
      </c>
      <c r="L5" s="645">
        <v>42309</v>
      </c>
      <c r="M5" s="645">
        <v>42339</v>
      </c>
      <c r="N5" s="759">
        <f t="shared" ref="N5" si="0">YEAR(M5)</f>
        <v>2015</v>
      </c>
      <c r="O5" s="645">
        <v>42370</v>
      </c>
      <c r="P5" s="645">
        <v>42401</v>
      </c>
      <c r="Q5" s="645">
        <v>42430</v>
      </c>
      <c r="R5" s="645">
        <v>42461</v>
      </c>
      <c r="S5" s="645">
        <v>42491</v>
      </c>
      <c r="T5" s="645">
        <v>42522</v>
      </c>
      <c r="U5" s="645">
        <v>42552</v>
      </c>
      <c r="V5" s="645">
        <v>42583</v>
      </c>
      <c r="W5" s="645">
        <v>42614</v>
      </c>
      <c r="X5" s="645">
        <v>42644</v>
      </c>
      <c r="Y5" s="645">
        <v>42675</v>
      </c>
      <c r="Z5" s="645">
        <v>42705</v>
      </c>
      <c r="AA5" s="759">
        <f t="shared" ref="AA5" si="1">YEAR(Z5)</f>
        <v>2016</v>
      </c>
      <c r="AB5" s="645">
        <v>42736</v>
      </c>
      <c r="AC5" s="645">
        <v>42767</v>
      </c>
      <c r="AD5" s="645">
        <v>42795</v>
      </c>
      <c r="AE5" s="645">
        <v>42826</v>
      </c>
      <c r="AF5" s="645">
        <v>42856</v>
      </c>
      <c r="AG5" s="645">
        <v>42887</v>
      </c>
      <c r="AH5" s="645">
        <v>42917</v>
      </c>
      <c r="AI5" s="645">
        <v>42948</v>
      </c>
      <c r="AJ5" s="645">
        <v>42979</v>
      </c>
      <c r="AK5" s="645">
        <v>43009</v>
      </c>
      <c r="AL5" s="645">
        <v>43040</v>
      </c>
      <c r="AM5" s="645">
        <v>43070</v>
      </c>
      <c r="AN5" s="759">
        <f t="shared" ref="AN5" si="2">YEAR(AM5)</f>
        <v>2017</v>
      </c>
      <c r="AO5" s="645">
        <v>43101</v>
      </c>
      <c r="AP5" s="645">
        <v>43132</v>
      </c>
      <c r="AQ5" s="645">
        <v>43160</v>
      </c>
      <c r="AR5" s="645">
        <v>43191</v>
      </c>
      <c r="AS5" s="645">
        <v>43221</v>
      </c>
      <c r="AT5" s="645">
        <v>43252</v>
      </c>
      <c r="AU5" s="645">
        <v>43282</v>
      </c>
      <c r="AV5" s="645">
        <v>43313</v>
      </c>
      <c r="AW5" s="645">
        <v>43344</v>
      </c>
      <c r="AX5" s="645">
        <v>43374</v>
      </c>
      <c r="AY5" s="645">
        <v>43405</v>
      </c>
      <c r="AZ5" s="645">
        <v>43435</v>
      </c>
      <c r="BA5" s="759">
        <f t="shared" ref="BA5" si="3">YEAR(AZ5)</f>
        <v>2018</v>
      </c>
      <c r="BB5" s="645">
        <v>43466</v>
      </c>
      <c r="BC5" s="645">
        <v>43497</v>
      </c>
      <c r="BD5" s="645">
        <v>43525</v>
      </c>
      <c r="BE5" s="645">
        <v>43556</v>
      </c>
      <c r="BF5" s="645">
        <v>43586</v>
      </c>
      <c r="BG5" s="645">
        <v>43617</v>
      </c>
      <c r="BH5" s="645">
        <v>43647</v>
      </c>
      <c r="BI5" s="645">
        <v>43678</v>
      </c>
      <c r="BJ5" s="645">
        <v>43709</v>
      </c>
      <c r="BK5" s="645">
        <v>43739</v>
      </c>
      <c r="BL5" s="645">
        <v>43770</v>
      </c>
      <c r="BM5" s="645">
        <v>43800</v>
      </c>
      <c r="BN5" s="759">
        <f t="shared" ref="BN5" si="4">YEAR(BM5)</f>
        <v>2019</v>
      </c>
      <c r="BO5" s="645">
        <v>43831</v>
      </c>
      <c r="BP5" s="645">
        <v>43862</v>
      </c>
      <c r="BQ5" s="645">
        <v>43891</v>
      </c>
      <c r="BR5" s="645">
        <v>43922</v>
      </c>
      <c r="BS5" s="645">
        <v>43952</v>
      </c>
      <c r="BT5" s="645">
        <v>43983</v>
      </c>
      <c r="BU5" s="645">
        <v>44013</v>
      </c>
      <c r="BV5" s="645">
        <v>44044</v>
      </c>
      <c r="BW5" s="645">
        <v>44075</v>
      </c>
      <c r="BX5" s="645">
        <v>44105</v>
      </c>
      <c r="BY5" s="645">
        <v>44136</v>
      </c>
      <c r="BZ5" s="645">
        <v>44166</v>
      </c>
      <c r="CA5" s="759">
        <f t="shared" ref="CA5" si="5">YEAR(BZ5)</f>
        <v>2020</v>
      </c>
      <c r="CB5" s="645">
        <v>44197</v>
      </c>
      <c r="CC5" s="645">
        <v>44228</v>
      </c>
      <c r="CD5" s="645">
        <v>44256</v>
      </c>
      <c r="CE5" s="645">
        <v>44287</v>
      </c>
      <c r="CF5" s="645">
        <v>44317</v>
      </c>
      <c r="CG5" s="645">
        <v>44348</v>
      </c>
      <c r="CH5" s="645">
        <v>44378</v>
      </c>
      <c r="CI5" s="645">
        <v>44409</v>
      </c>
      <c r="CJ5" s="645">
        <v>44440</v>
      </c>
      <c r="CK5" s="645">
        <v>44470</v>
      </c>
      <c r="CL5" s="645">
        <v>44501</v>
      </c>
      <c r="CM5" s="645">
        <v>44531</v>
      </c>
      <c r="CN5" s="759">
        <f t="shared" ref="CN5" si="6">YEAR(CM5)</f>
        <v>2021</v>
      </c>
      <c r="CO5" s="645">
        <v>44562</v>
      </c>
      <c r="CP5" s="645">
        <v>44593</v>
      </c>
      <c r="CQ5" s="645">
        <v>44621</v>
      </c>
      <c r="CR5" s="645">
        <v>44652</v>
      </c>
      <c r="CS5" s="645">
        <v>44682</v>
      </c>
      <c r="CT5" s="645">
        <v>44713</v>
      </c>
      <c r="CU5" s="645">
        <v>44743</v>
      </c>
      <c r="CV5" s="645">
        <v>44774</v>
      </c>
      <c r="CW5" s="645">
        <v>44805</v>
      </c>
      <c r="CX5" s="645">
        <v>44835</v>
      </c>
      <c r="CY5" s="645">
        <v>44866</v>
      </c>
      <c r="CZ5" s="645">
        <v>44896</v>
      </c>
      <c r="DA5" s="759">
        <f t="shared" ref="DA5" si="7">YEAR(CZ5)</f>
        <v>2022</v>
      </c>
      <c r="DB5" s="645">
        <v>44927</v>
      </c>
      <c r="DC5" s="645">
        <v>44958</v>
      </c>
      <c r="DD5" s="645">
        <v>44986</v>
      </c>
      <c r="DE5" s="645">
        <v>45017</v>
      </c>
      <c r="DF5" s="645">
        <v>45047</v>
      </c>
      <c r="DG5" s="645">
        <v>45078</v>
      </c>
      <c r="DH5" s="645">
        <v>45108</v>
      </c>
      <c r="DI5" s="645">
        <v>45139</v>
      </c>
      <c r="DJ5" s="645">
        <v>45170</v>
      </c>
      <c r="DK5" s="645">
        <v>45200</v>
      </c>
      <c r="DL5" s="645">
        <v>45231</v>
      </c>
      <c r="DM5" s="645">
        <v>45261</v>
      </c>
      <c r="DN5" s="759">
        <f t="shared" ref="DN5" si="8">YEAR(DM5)</f>
        <v>2023</v>
      </c>
      <c r="DO5" s="645">
        <v>45292</v>
      </c>
      <c r="DP5" s="645">
        <v>45323</v>
      </c>
      <c r="DQ5" s="645">
        <v>45352</v>
      </c>
      <c r="DR5" s="645">
        <v>45383</v>
      </c>
      <c r="DS5" s="645">
        <v>45413</v>
      </c>
      <c r="DT5" s="645">
        <v>45444</v>
      </c>
      <c r="DU5" s="645">
        <v>45474</v>
      </c>
      <c r="DV5" s="645">
        <v>45505</v>
      </c>
      <c r="DW5" s="645">
        <v>45536</v>
      </c>
      <c r="DX5" s="645">
        <v>45566</v>
      </c>
      <c r="DY5" s="645">
        <v>45597</v>
      </c>
      <c r="DZ5" s="645">
        <v>45627</v>
      </c>
      <c r="EA5" s="759">
        <f t="shared" ref="EA5" si="9">YEAR(DZ5)</f>
        <v>2024</v>
      </c>
      <c r="EB5" s="645">
        <v>45658</v>
      </c>
      <c r="EC5" s="645">
        <v>45689</v>
      </c>
      <c r="ED5" s="645">
        <v>45717</v>
      </c>
      <c r="EE5" s="645">
        <v>45748</v>
      </c>
      <c r="EF5" s="645">
        <v>45778</v>
      </c>
      <c r="EG5" s="645">
        <v>45809</v>
      </c>
      <c r="EH5" s="645">
        <v>45839</v>
      </c>
      <c r="EI5" s="645">
        <v>45870</v>
      </c>
      <c r="EJ5" s="645">
        <v>45901</v>
      </c>
      <c r="EK5" s="645">
        <v>45931</v>
      </c>
      <c r="EL5" s="645">
        <v>45962</v>
      </c>
      <c r="EM5" s="645">
        <v>45992</v>
      </c>
      <c r="EN5" s="759">
        <f>YEAR(EM5)</f>
        <v>2025</v>
      </c>
      <c r="EO5" s="645">
        <v>46023</v>
      </c>
      <c r="EP5" s="645">
        <v>46054</v>
      </c>
      <c r="EQ5" s="645">
        <v>46082</v>
      </c>
      <c r="ER5" s="645">
        <v>46113</v>
      </c>
      <c r="ES5" s="645">
        <v>46143</v>
      </c>
      <c r="ET5" s="645">
        <v>46174</v>
      </c>
      <c r="EU5" s="645">
        <v>46204</v>
      </c>
      <c r="EV5" s="977">
        <v>46235</v>
      </c>
      <c r="EW5" s="645">
        <v>46266</v>
      </c>
      <c r="EX5" s="645">
        <v>46296</v>
      </c>
      <c r="EY5" s="645">
        <v>46327</v>
      </c>
      <c r="EZ5" s="645">
        <v>46357</v>
      </c>
      <c r="FA5" s="759">
        <f>YEAR(EZ5)</f>
        <v>2026</v>
      </c>
      <c r="FB5" s="753"/>
      <c r="FC5" s="485">
        <f>EV5</f>
        <v>46235</v>
      </c>
      <c r="FD5" s="487" t="str">
        <f>CONCATENATE("Ene.-",TEXT(FC5,"MMM."))</f>
        <v>Ene.-Ago.</v>
      </c>
      <c r="FE5" s="487" t="str">
        <f>FD5</f>
        <v>Ene.-Ago.</v>
      </c>
      <c r="FF5" s="487" t="str">
        <f>FD5</f>
        <v>Ene.-Ago.</v>
      </c>
      <c r="FG5" s="753"/>
      <c r="FH5" s="795"/>
    </row>
    <row r="6" spans="1:164" ht="15" customHeight="1" x14ac:dyDescent="0.25">
      <c r="A6" s="138"/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73"/>
      <c r="N6" s="874"/>
      <c r="O6" s="883"/>
      <c r="P6" s="883"/>
      <c r="Q6" s="883"/>
      <c r="R6" s="883"/>
      <c r="S6" s="883"/>
      <c r="T6" s="883"/>
      <c r="U6" s="883"/>
      <c r="V6" s="883"/>
      <c r="W6" s="883"/>
      <c r="X6" s="883"/>
      <c r="Y6" s="883"/>
      <c r="Z6" s="873"/>
      <c r="AA6" s="874"/>
      <c r="AB6" s="883"/>
      <c r="AC6" s="883"/>
      <c r="AD6" s="883"/>
      <c r="AE6" s="883"/>
      <c r="AF6" s="883"/>
      <c r="AG6" s="883"/>
      <c r="AH6" s="883"/>
      <c r="AI6" s="883"/>
      <c r="AJ6" s="883"/>
      <c r="AK6" s="883"/>
      <c r="AL6" s="883"/>
      <c r="AM6" s="873"/>
      <c r="AN6" s="874"/>
      <c r="AO6" s="883"/>
      <c r="AP6" s="883"/>
      <c r="AQ6" s="883"/>
      <c r="AR6" s="883"/>
      <c r="AS6" s="883"/>
      <c r="AT6" s="883"/>
      <c r="AU6" s="883"/>
      <c r="AV6" s="883"/>
      <c r="AW6" s="883"/>
      <c r="AX6" s="883"/>
      <c r="AY6" s="883"/>
      <c r="AZ6" s="873"/>
      <c r="BA6" s="874"/>
      <c r="BB6" s="883"/>
      <c r="BC6" s="883"/>
      <c r="BD6" s="883"/>
      <c r="BE6" s="883"/>
      <c r="BF6" s="883"/>
      <c r="BG6" s="883"/>
      <c r="BH6" s="883"/>
      <c r="BI6" s="883"/>
      <c r="BJ6" s="883"/>
      <c r="BK6" s="883"/>
      <c r="BL6" s="883"/>
      <c r="BM6" s="873"/>
      <c r="BN6" s="874"/>
      <c r="BO6" s="883"/>
      <c r="BP6" s="883"/>
      <c r="BQ6" s="883"/>
      <c r="BR6" s="883"/>
      <c r="BS6" s="883"/>
      <c r="BT6" s="883"/>
      <c r="BU6" s="883"/>
      <c r="BV6" s="883"/>
      <c r="BW6" s="883"/>
      <c r="BX6" s="883"/>
      <c r="BY6" s="883"/>
      <c r="BZ6" s="873"/>
      <c r="CA6" s="874"/>
      <c r="CB6" s="883"/>
      <c r="CC6" s="883"/>
      <c r="CD6" s="883"/>
      <c r="CE6" s="883"/>
      <c r="CF6" s="883"/>
      <c r="CG6" s="883"/>
      <c r="CH6" s="883"/>
      <c r="CI6" s="883"/>
      <c r="CJ6" s="883"/>
      <c r="CK6" s="883"/>
      <c r="CL6" s="883"/>
      <c r="CM6" s="873"/>
      <c r="CN6" s="874"/>
      <c r="CO6" s="883"/>
      <c r="CP6" s="883"/>
      <c r="CQ6" s="883"/>
      <c r="CR6" s="883"/>
      <c r="CS6" s="883"/>
      <c r="CT6" s="883"/>
      <c r="CU6" s="883"/>
      <c r="CV6" s="883"/>
      <c r="CW6" s="883"/>
      <c r="CX6" s="883"/>
      <c r="CY6" s="883"/>
      <c r="CZ6" s="873"/>
      <c r="DA6" s="874"/>
      <c r="DB6" s="883"/>
      <c r="DC6" s="883"/>
      <c r="DD6" s="883"/>
      <c r="DE6" s="883"/>
      <c r="DF6" s="883"/>
      <c r="DG6" s="883"/>
      <c r="DH6" s="883"/>
      <c r="DI6" s="883"/>
      <c r="DJ6" s="883"/>
      <c r="DK6" s="883"/>
      <c r="DL6" s="883"/>
      <c r="DM6" s="873"/>
      <c r="DN6" s="874"/>
      <c r="DO6" s="883"/>
      <c r="DP6" s="883"/>
      <c r="DQ6" s="883"/>
      <c r="DR6" s="883"/>
      <c r="DS6" s="883"/>
      <c r="DT6" s="883"/>
      <c r="DU6" s="883"/>
      <c r="DV6" s="883"/>
      <c r="DW6" s="883"/>
      <c r="DX6" s="883"/>
      <c r="DY6" s="883"/>
      <c r="DZ6" s="873"/>
      <c r="EA6" s="874"/>
      <c r="EB6" s="883"/>
      <c r="EC6" s="883"/>
      <c r="ED6" s="883"/>
      <c r="EE6" s="883"/>
      <c r="EF6" s="883"/>
      <c r="EG6" s="883"/>
      <c r="EH6" s="883"/>
      <c r="EI6" s="883"/>
      <c r="EJ6" s="883"/>
      <c r="EK6" s="883"/>
      <c r="EL6" s="883"/>
      <c r="EM6" s="873"/>
      <c r="EN6" s="874"/>
      <c r="EO6" s="883"/>
      <c r="EP6" s="883"/>
      <c r="EQ6" s="883"/>
      <c r="ER6" s="883"/>
      <c r="ES6" s="883"/>
      <c r="ET6" s="883"/>
      <c r="EU6" s="883"/>
      <c r="EV6" s="973"/>
      <c r="EW6" s="883"/>
      <c r="EX6" s="883"/>
      <c r="EY6" s="883"/>
      <c r="EZ6" s="873"/>
      <c r="FA6" s="874"/>
      <c r="FC6" s="839"/>
      <c r="FD6" s="840"/>
      <c r="FE6" s="454"/>
      <c r="FF6" s="455"/>
    </row>
    <row r="7" spans="1:164" ht="15" customHeight="1" x14ac:dyDescent="0.25">
      <c r="A7" s="822" t="s">
        <v>152</v>
      </c>
      <c r="B7" s="884">
        <f t="shared" ref="B7:M7" si="10">SUM(B8:B25)</f>
        <v>815</v>
      </c>
      <c r="C7" s="884">
        <f t="shared" si="10"/>
        <v>9284</v>
      </c>
      <c r="D7" s="884">
        <f t="shared" si="10"/>
        <v>13987</v>
      </c>
      <c r="E7" s="884">
        <f t="shared" si="10"/>
        <v>11247</v>
      </c>
      <c r="F7" s="884">
        <f t="shared" si="10"/>
        <v>10822</v>
      </c>
      <c r="G7" s="884">
        <f t="shared" si="10"/>
        <v>13546</v>
      </c>
      <c r="H7" s="884">
        <f t="shared" si="10"/>
        <v>30836</v>
      </c>
      <c r="I7" s="884">
        <f t="shared" si="10"/>
        <v>2919</v>
      </c>
      <c r="J7" s="884">
        <f t="shared" si="10"/>
        <v>13280</v>
      </c>
      <c r="K7" s="884">
        <f t="shared" si="10"/>
        <v>11870</v>
      </c>
      <c r="L7" s="884">
        <f t="shared" si="10"/>
        <v>20023</v>
      </c>
      <c r="M7" s="875">
        <f t="shared" si="10"/>
        <v>40942</v>
      </c>
      <c r="N7" s="876">
        <f>SUM(B7:M7)</f>
        <v>179571</v>
      </c>
      <c r="O7" s="884">
        <f t="shared" ref="O7:Z7" si="11">SUM(O8:O25)</f>
        <v>3648</v>
      </c>
      <c r="P7" s="884">
        <f t="shared" si="11"/>
        <v>9849</v>
      </c>
      <c r="Q7" s="884">
        <f t="shared" si="11"/>
        <v>10498</v>
      </c>
      <c r="R7" s="884">
        <f t="shared" si="11"/>
        <v>11125</v>
      </c>
      <c r="S7" s="884">
        <f t="shared" si="11"/>
        <v>12328</v>
      </c>
      <c r="T7" s="884">
        <f t="shared" si="11"/>
        <v>12046</v>
      </c>
      <c r="U7" s="884">
        <f t="shared" si="11"/>
        <v>14149</v>
      </c>
      <c r="V7" s="884">
        <f t="shared" si="11"/>
        <v>18828</v>
      </c>
      <c r="W7" s="884">
        <f t="shared" si="11"/>
        <v>16006</v>
      </c>
      <c r="X7" s="884">
        <f t="shared" si="11"/>
        <v>14260</v>
      </c>
      <c r="Y7" s="884">
        <f t="shared" si="11"/>
        <v>28905</v>
      </c>
      <c r="Z7" s="875">
        <f t="shared" si="11"/>
        <v>45937</v>
      </c>
      <c r="AA7" s="876">
        <f>SUM(O7:Z7)</f>
        <v>197579</v>
      </c>
      <c r="AB7" s="884">
        <f t="shared" ref="AB7:AM7" si="12">SUM(AB8:AB25)</f>
        <v>1618</v>
      </c>
      <c r="AC7" s="884">
        <f t="shared" si="12"/>
        <v>7228</v>
      </c>
      <c r="AD7" s="884">
        <f t="shared" si="12"/>
        <v>17371</v>
      </c>
      <c r="AE7" s="884">
        <f t="shared" si="12"/>
        <v>10638</v>
      </c>
      <c r="AF7" s="884">
        <f t="shared" si="12"/>
        <v>11490</v>
      </c>
      <c r="AG7" s="884">
        <f t="shared" si="12"/>
        <v>17134</v>
      </c>
      <c r="AH7" s="884">
        <f t="shared" si="12"/>
        <v>24706</v>
      </c>
      <c r="AI7" s="884">
        <f t="shared" si="12"/>
        <v>19070</v>
      </c>
      <c r="AJ7" s="884">
        <f t="shared" si="12"/>
        <v>18250</v>
      </c>
      <c r="AK7" s="884">
        <f t="shared" si="12"/>
        <v>17897</v>
      </c>
      <c r="AL7" s="884">
        <f t="shared" si="12"/>
        <v>20644</v>
      </c>
      <c r="AM7" s="875">
        <f t="shared" si="12"/>
        <v>36460</v>
      </c>
      <c r="AN7" s="876">
        <f>SUM(AB7:AM7)</f>
        <v>202506</v>
      </c>
      <c r="AO7" s="884">
        <f t="shared" ref="AO7:AZ7" si="13">SUM(AO8:AO25)</f>
        <v>2992</v>
      </c>
      <c r="AP7" s="884">
        <f t="shared" si="13"/>
        <v>7118</v>
      </c>
      <c r="AQ7" s="884">
        <f t="shared" si="13"/>
        <v>17477</v>
      </c>
      <c r="AR7" s="884">
        <f t="shared" si="13"/>
        <v>7131</v>
      </c>
      <c r="AS7" s="884">
        <f t="shared" si="13"/>
        <v>16623</v>
      </c>
      <c r="AT7" s="884">
        <f t="shared" si="13"/>
        <v>15593</v>
      </c>
      <c r="AU7" s="884">
        <f t="shared" si="13"/>
        <v>28470</v>
      </c>
      <c r="AV7" s="884">
        <f t="shared" si="13"/>
        <v>22350</v>
      </c>
      <c r="AW7" s="884">
        <f t="shared" si="13"/>
        <v>24475</v>
      </c>
      <c r="AX7" s="884">
        <f t="shared" si="13"/>
        <v>18811</v>
      </c>
      <c r="AY7" s="884">
        <f t="shared" si="13"/>
        <v>21610</v>
      </c>
      <c r="AZ7" s="875">
        <f t="shared" si="13"/>
        <v>33783</v>
      </c>
      <c r="BA7" s="876">
        <f>SUM(AO7:AZ7)</f>
        <v>216433</v>
      </c>
      <c r="BB7" s="884">
        <f t="shared" ref="BB7:BM7" si="14">SUM(BB8:BB25)</f>
        <v>1653</v>
      </c>
      <c r="BC7" s="884">
        <f t="shared" si="14"/>
        <v>5726</v>
      </c>
      <c r="BD7" s="884">
        <f t="shared" si="14"/>
        <v>17832</v>
      </c>
      <c r="BE7" s="884">
        <f t="shared" si="14"/>
        <v>28532</v>
      </c>
      <c r="BF7" s="884">
        <f t="shared" si="14"/>
        <v>4519</v>
      </c>
      <c r="BG7" s="884">
        <f t="shared" si="14"/>
        <v>29139</v>
      </c>
      <c r="BH7" s="884">
        <f t="shared" si="14"/>
        <v>16394</v>
      </c>
      <c r="BI7" s="884">
        <f t="shared" si="14"/>
        <v>30351</v>
      </c>
      <c r="BJ7" s="884">
        <f t="shared" si="14"/>
        <v>26908</v>
      </c>
      <c r="BK7" s="884">
        <f t="shared" si="14"/>
        <v>16635</v>
      </c>
      <c r="BL7" s="884">
        <f t="shared" si="14"/>
        <v>20382</v>
      </c>
      <c r="BM7" s="875">
        <f t="shared" si="14"/>
        <v>35007</v>
      </c>
      <c r="BN7" s="876">
        <f>SUM(BB7:BM7)</f>
        <v>233078</v>
      </c>
      <c r="BO7" s="884">
        <f t="shared" ref="BO7:BZ7" si="15">SUM(BO8:BO25)</f>
        <v>2957</v>
      </c>
      <c r="BP7" s="884">
        <f t="shared" si="15"/>
        <v>9299</v>
      </c>
      <c r="BQ7" s="884">
        <f t="shared" si="15"/>
        <v>8127</v>
      </c>
      <c r="BR7" s="884">
        <f t="shared" si="15"/>
        <v>4797</v>
      </c>
      <c r="BS7" s="884">
        <f t="shared" si="15"/>
        <v>2580</v>
      </c>
      <c r="BT7" s="884">
        <f t="shared" si="15"/>
        <v>2858</v>
      </c>
      <c r="BU7" s="884">
        <f t="shared" si="15"/>
        <v>13610</v>
      </c>
      <c r="BV7" s="884">
        <f t="shared" si="15"/>
        <v>7969</v>
      </c>
      <c r="BW7" s="884">
        <f t="shared" si="15"/>
        <v>15408</v>
      </c>
      <c r="BX7" s="884">
        <f t="shared" si="15"/>
        <v>19679</v>
      </c>
      <c r="BY7" s="884">
        <f t="shared" si="15"/>
        <v>23733</v>
      </c>
      <c r="BZ7" s="875">
        <f t="shared" si="15"/>
        <v>46292</v>
      </c>
      <c r="CA7" s="876">
        <f>SUM(BO7:BZ7)</f>
        <v>157309</v>
      </c>
      <c r="CB7" s="884">
        <f t="shared" ref="CB7:CM7" si="16">SUM(CB8:CB25)</f>
        <v>2728</v>
      </c>
      <c r="CC7" s="884">
        <f t="shared" si="16"/>
        <v>8879</v>
      </c>
      <c r="CD7" s="884">
        <f t="shared" si="16"/>
        <v>21628</v>
      </c>
      <c r="CE7" s="884">
        <f t="shared" si="16"/>
        <v>5975</v>
      </c>
      <c r="CF7" s="884">
        <f t="shared" si="16"/>
        <v>10127</v>
      </c>
      <c r="CG7" s="884">
        <f t="shared" si="16"/>
        <v>12781</v>
      </c>
      <c r="CH7" s="884">
        <f t="shared" si="16"/>
        <v>14285</v>
      </c>
      <c r="CI7" s="884">
        <f t="shared" si="16"/>
        <v>15002</v>
      </c>
      <c r="CJ7" s="884">
        <f t="shared" si="16"/>
        <v>15541</v>
      </c>
      <c r="CK7" s="884">
        <f t="shared" si="16"/>
        <v>19234</v>
      </c>
      <c r="CL7" s="884">
        <f t="shared" si="16"/>
        <v>15370</v>
      </c>
      <c r="CM7" s="875">
        <f t="shared" si="16"/>
        <v>38905</v>
      </c>
      <c r="CN7" s="876">
        <f>SUM(CB7:CM7)</f>
        <v>180455</v>
      </c>
      <c r="CO7" s="884">
        <f t="shared" ref="CO7:CZ7" si="17">SUM(CO8:CO25)</f>
        <v>3429</v>
      </c>
      <c r="CP7" s="884">
        <f t="shared" si="17"/>
        <v>12460</v>
      </c>
      <c r="CQ7" s="884">
        <f t="shared" si="17"/>
        <v>18028</v>
      </c>
      <c r="CR7" s="884">
        <f t="shared" si="17"/>
        <v>12986</v>
      </c>
      <c r="CS7" s="884">
        <f t="shared" si="17"/>
        <v>15089</v>
      </c>
      <c r="CT7" s="884">
        <f t="shared" si="17"/>
        <v>22006</v>
      </c>
      <c r="CU7" s="884">
        <f t="shared" si="17"/>
        <v>24386</v>
      </c>
      <c r="CV7" s="884">
        <f t="shared" si="17"/>
        <v>26845</v>
      </c>
      <c r="CW7" s="884">
        <f t="shared" si="17"/>
        <v>32837</v>
      </c>
      <c r="CX7" s="884">
        <f t="shared" si="17"/>
        <v>30793</v>
      </c>
      <c r="CY7" s="884">
        <f t="shared" si="17"/>
        <v>34747</v>
      </c>
      <c r="CZ7" s="875">
        <f t="shared" si="17"/>
        <v>54793</v>
      </c>
      <c r="DA7" s="876">
        <f>SUM(CO7:CZ7)</f>
        <v>288399</v>
      </c>
      <c r="DB7" s="884">
        <f t="shared" ref="DB7:DM7" si="18">SUM(DB8:DB25)</f>
        <v>577</v>
      </c>
      <c r="DC7" s="884">
        <f t="shared" si="18"/>
        <v>7137</v>
      </c>
      <c r="DD7" s="884">
        <f t="shared" si="18"/>
        <v>13401</v>
      </c>
      <c r="DE7" s="884">
        <f t="shared" si="18"/>
        <v>14173</v>
      </c>
      <c r="DF7" s="884">
        <f t="shared" si="18"/>
        <v>12817</v>
      </c>
      <c r="DG7" s="884">
        <f t="shared" si="18"/>
        <v>13823</v>
      </c>
      <c r="DH7" s="884">
        <f t="shared" si="18"/>
        <v>17738</v>
      </c>
      <c r="DI7" s="884">
        <f t="shared" si="18"/>
        <v>25043</v>
      </c>
      <c r="DJ7" s="884">
        <f t="shared" si="18"/>
        <v>23169</v>
      </c>
      <c r="DK7" s="884">
        <f t="shared" si="18"/>
        <v>31001</v>
      </c>
      <c r="DL7" s="884">
        <f t="shared" si="18"/>
        <v>28901</v>
      </c>
      <c r="DM7" s="875">
        <f t="shared" si="18"/>
        <v>62683</v>
      </c>
      <c r="DN7" s="876">
        <f>SUM(DB7:DM7)</f>
        <v>250463</v>
      </c>
      <c r="DO7" s="884">
        <f t="shared" ref="DO7:DZ7" si="19">SUM(DO8:DO25)</f>
        <v>2118</v>
      </c>
      <c r="DP7" s="884">
        <f t="shared" si="19"/>
        <v>11624</v>
      </c>
      <c r="DQ7" s="884">
        <f t="shared" si="19"/>
        <v>31405</v>
      </c>
      <c r="DR7" s="884">
        <f t="shared" si="19"/>
        <v>19261</v>
      </c>
      <c r="DS7" s="884">
        <f t="shared" si="19"/>
        <v>21141</v>
      </c>
      <c r="DT7" s="884">
        <f t="shared" si="19"/>
        <v>18649</v>
      </c>
      <c r="DU7" s="884">
        <f t="shared" si="19"/>
        <v>22575</v>
      </c>
      <c r="DV7" s="884">
        <f t="shared" si="19"/>
        <v>20230</v>
      </c>
      <c r="DW7" s="884">
        <f t="shared" si="19"/>
        <v>17651</v>
      </c>
      <c r="DX7" s="884">
        <f t="shared" si="19"/>
        <v>19853</v>
      </c>
      <c r="DY7" s="884">
        <f t="shared" si="19"/>
        <v>22995</v>
      </c>
      <c r="DZ7" s="875">
        <f t="shared" si="19"/>
        <v>48982</v>
      </c>
      <c r="EA7" s="876">
        <f>SUM(DO7:DZ7)</f>
        <v>256484</v>
      </c>
      <c r="EB7" s="884">
        <f>SUM(EB8:EB25)</f>
        <v>1372</v>
      </c>
      <c r="EC7" s="884">
        <f>SUM(EC8:EC25)</f>
        <v>8295</v>
      </c>
      <c r="ED7" s="884">
        <f>SUM(ED8:ED25)</f>
        <v>11353</v>
      </c>
      <c r="EE7" s="884">
        <f>SUM(EE8:EE25)</f>
        <v>18788</v>
      </c>
      <c r="EF7" s="884">
        <f>SUM(EF8:EF25)</f>
        <v>19888</v>
      </c>
      <c r="EG7" s="884">
        <f t="shared" ref="EG7:EM7" si="20">SUM(EG8:EG25)</f>
        <v>17814</v>
      </c>
      <c r="EH7" s="884">
        <f t="shared" si="20"/>
        <v>21197</v>
      </c>
      <c r="EI7" s="884">
        <f t="shared" si="20"/>
        <v>23196</v>
      </c>
      <c r="EJ7" s="884">
        <f t="shared" si="20"/>
        <v>18642</v>
      </c>
      <c r="EK7" s="884">
        <f t="shared" si="20"/>
        <v>34871</v>
      </c>
      <c r="EL7" s="884">
        <f t="shared" si="20"/>
        <v>31080</v>
      </c>
      <c r="EM7" s="875">
        <f t="shared" si="20"/>
        <v>47901</v>
      </c>
      <c r="EN7" s="876">
        <f>SUM(EB7:EM7)</f>
        <v>254397</v>
      </c>
      <c r="EO7" s="884">
        <f t="shared" ref="EO7" si="21">SUM(EO8:EO25)</f>
        <v>1194</v>
      </c>
      <c r="EP7" s="884">
        <f>SUM(EP8:EP25)</f>
        <v>19630</v>
      </c>
      <c r="EQ7" s="884">
        <f>SUM(EQ8:EQ25)</f>
        <v>19701</v>
      </c>
      <c r="ER7" s="884">
        <f>SUM(ER8:ER25)</f>
        <v>40574</v>
      </c>
      <c r="ES7" s="884">
        <f>SUM(ES8:ES25)</f>
        <v>16964</v>
      </c>
      <c r="ET7" s="884">
        <f>SUM(ET8:ET25)</f>
        <v>22749</v>
      </c>
      <c r="EU7" s="884">
        <f t="shared" ref="EU7:EV7" si="22">SUM(EU8:EU25)</f>
        <v>27569</v>
      </c>
      <c r="EV7" s="971">
        <f t="shared" si="22"/>
        <v>26871</v>
      </c>
      <c r="EW7" s="884"/>
      <c r="EX7" s="884"/>
      <c r="EY7" s="884"/>
      <c r="EZ7" s="875"/>
      <c r="FA7" s="876">
        <f>SUM(EO7:EZ7)</f>
        <v>175252</v>
      </c>
      <c r="FB7" s="757"/>
      <c r="FC7" s="841">
        <f>IFERROR(((
_xlfn.XLOOKUP((DATE(YEAR($FC$5),MONTH($FC$5),1)),$B$5:$FA$5,$B7:$FA7) /
_xlfn.XLOOKUP((DATE(YEAR($FC$5)-1,MONTH($FC$5),1)),$B$5:$FA$5,$B7:$FA7)
)-1)*100,"")</f>
        <v>15.843248836006207</v>
      </c>
      <c r="FD7" s="842">
        <f>IFERROR(((FF7/FE7)-1)*100,"")</f>
        <v>43.763484081605867</v>
      </c>
      <c r="FE7" s="702">
        <f>SUMIFS($B7:$FA7,$B$5:$FA$5,"&gt;="&amp;DATE(YEAR($FC$5)-1,1,1),$B$5:$FA$5,"&lt;="&amp;DATE(YEAR($FC$5)-1,MONTH($FC$5),1))</f>
        <v>121903</v>
      </c>
      <c r="FF7" s="703">
        <f>SUMIFS($B7:$FA7,$B$5:$FA$5,"&gt;="&amp;DATE(YEAR($FC$5),1,1),$B$5:$FA$5,"&lt;="&amp;$FC$5)</f>
        <v>175252</v>
      </c>
      <c r="FG7" s="757"/>
      <c r="FH7" s="838">
        <f>EV7-EI7</f>
        <v>3675</v>
      </c>
    </row>
    <row r="8" spans="1:164" ht="15" customHeight="1" x14ac:dyDescent="0.25">
      <c r="A8" s="403" t="s">
        <v>392</v>
      </c>
      <c r="B8" s="883">
        <v>15</v>
      </c>
      <c r="C8" s="883">
        <v>1131</v>
      </c>
      <c r="D8" s="883">
        <v>1163</v>
      </c>
      <c r="E8" s="883">
        <v>2129</v>
      </c>
      <c r="F8" s="883">
        <v>1784</v>
      </c>
      <c r="G8" s="883">
        <v>1892</v>
      </c>
      <c r="H8" s="883">
        <v>2073</v>
      </c>
      <c r="I8" s="883">
        <v>1220</v>
      </c>
      <c r="J8" s="883">
        <v>1517</v>
      </c>
      <c r="K8" s="883">
        <v>1888</v>
      </c>
      <c r="L8" s="883">
        <v>1287</v>
      </c>
      <c r="M8" s="873">
        <v>1738</v>
      </c>
      <c r="N8" s="879">
        <f t="shared" ref="N8:N25" si="23">SUM(B8:M8)</f>
        <v>17837</v>
      </c>
      <c r="O8" s="883">
        <v>278</v>
      </c>
      <c r="P8" s="883">
        <v>1243</v>
      </c>
      <c r="Q8" s="883">
        <v>1121</v>
      </c>
      <c r="R8" s="883">
        <v>835</v>
      </c>
      <c r="S8" s="883">
        <v>839</v>
      </c>
      <c r="T8" s="883">
        <v>686</v>
      </c>
      <c r="U8" s="883">
        <v>1529</v>
      </c>
      <c r="V8" s="883">
        <v>734</v>
      </c>
      <c r="W8" s="883">
        <v>1935</v>
      </c>
      <c r="X8" s="883">
        <v>2604</v>
      </c>
      <c r="Y8" s="883">
        <v>1249</v>
      </c>
      <c r="Z8" s="873">
        <v>3650</v>
      </c>
      <c r="AA8" s="879">
        <f t="shared" ref="AA8:AA25" si="24">SUM(O8:Z8)</f>
        <v>16703</v>
      </c>
      <c r="AB8" s="883">
        <v>665</v>
      </c>
      <c r="AC8" s="883">
        <v>1074</v>
      </c>
      <c r="AD8" s="883">
        <v>1317</v>
      </c>
      <c r="AE8" s="883">
        <v>994</v>
      </c>
      <c r="AF8" s="883">
        <v>1186</v>
      </c>
      <c r="AG8" s="883">
        <v>1077</v>
      </c>
      <c r="AH8" s="883">
        <v>968</v>
      </c>
      <c r="AI8" s="883">
        <v>838</v>
      </c>
      <c r="AJ8" s="883">
        <v>1318</v>
      </c>
      <c r="AK8" s="883">
        <v>774</v>
      </c>
      <c r="AL8" s="883">
        <v>791</v>
      </c>
      <c r="AM8" s="873">
        <v>2388</v>
      </c>
      <c r="AN8" s="879">
        <f t="shared" ref="AN8:AN25" si="25">SUM(AB8:AM8)</f>
        <v>13390</v>
      </c>
      <c r="AO8" s="883">
        <v>165</v>
      </c>
      <c r="AP8" s="883">
        <v>669</v>
      </c>
      <c r="AQ8" s="883">
        <v>697</v>
      </c>
      <c r="AR8" s="883">
        <v>539</v>
      </c>
      <c r="AS8" s="883">
        <v>657</v>
      </c>
      <c r="AT8" s="883">
        <v>653</v>
      </c>
      <c r="AU8" s="883">
        <v>810</v>
      </c>
      <c r="AV8" s="883">
        <v>696</v>
      </c>
      <c r="AW8" s="883">
        <v>447</v>
      </c>
      <c r="AX8" s="883">
        <v>1675</v>
      </c>
      <c r="AY8" s="883">
        <v>1433</v>
      </c>
      <c r="AZ8" s="873">
        <v>1499</v>
      </c>
      <c r="BA8" s="879">
        <f t="shared" ref="BA8:BA25" si="26">SUM(AO8:AZ8)</f>
        <v>9940</v>
      </c>
      <c r="BB8" s="883">
        <v>73</v>
      </c>
      <c r="BC8" s="883">
        <v>851</v>
      </c>
      <c r="BD8" s="883">
        <v>884</v>
      </c>
      <c r="BE8" s="883">
        <v>4724</v>
      </c>
      <c r="BF8" s="883">
        <v>1104</v>
      </c>
      <c r="BG8" s="883">
        <v>3106</v>
      </c>
      <c r="BH8" s="883">
        <v>3592</v>
      </c>
      <c r="BI8" s="883">
        <v>842</v>
      </c>
      <c r="BJ8" s="883">
        <v>3432</v>
      </c>
      <c r="BK8" s="883">
        <v>2195</v>
      </c>
      <c r="BL8" s="883">
        <v>3130</v>
      </c>
      <c r="BM8" s="873">
        <v>4765</v>
      </c>
      <c r="BN8" s="879">
        <f t="shared" ref="BN8:BN25" si="27">SUM(BB8:BM8)</f>
        <v>28698</v>
      </c>
      <c r="BO8" s="883">
        <v>720</v>
      </c>
      <c r="BP8" s="883">
        <v>1216</v>
      </c>
      <c r="BQ8" s="883">
        <v>905</v>
      </c>
      <c r="BR8" s="883">
        <v>882</v>
      </c>
      <c r="BS8" s="883">
        <v>1017</v>
      </c>
      <c r="BT8" s="883">
        <v>868</v>
      </c>
      <c r="BU8" s="883">
        <v>1160</v>
      </c>
      <c r="BV8" s="883">
        <v>1183</v>
      </c>
      <c r="BW8" s="883">
        <v>2710</v>
      </c>
      <c r="BX8" s="883">
        <v>2067</v>
      </c>
      <c r="BY8" s="883">
        <v>5893</v>
      </c>
      <c r="BZ8" s="873">
        <v>3174</v>
      </c>
      <c r="CA8" s="879">
        <f t="shared" ref="CA8:CA25" si="28">SUM(BO8:BZ8)</f>
        <v>21795</v>
      </c>
      <c r="CB8" s="883">
        <v>211</v>
      </c>
      <c r="CC8" s="883">
        <v>1259</v>
      </c>
      <c r="CD8" s="883">
        <v>3428</v>
      </c>
      <c r="CE8" s="883">
        <v>1592</v>
      </c>
      <c r="CF8" s="883">
        <v>2580</v>
      </c>
      <c r="CG8" s="883">
        <v>2937</v>
      </c>
      <c r="CH8" s="883">
        <v>4181</v>
      </c>
      <c r="CI8" s="883">
        <v>1906</v>
      </c>
      <c r="CJ8" s="883">
        <v>2147</v>
      </c>
      <c r="CK8" s="883">
        <v>1843</v>
      </c>
      <c r="CL8" s="883">
        <v>2784</v>
      </c>
      <c r="CM8" s="873">
        <v>6367</v>
      </c>
      <c r="CN8" s="879">
        <f t="shared" ref="CN8:CN32" si="29">SUM(CB8:CM8)</f>
        <v>31235</v>
      </c>
      <c r="CO8" s="883">
        <v>504</v>
      </c>
      <c r="CP8" s="883">
        <v>1698</v>
      </c>
      <c r="CQ8" s="883">
        <v>3155</v>
      </c>
      <c r="CR8" s="883">
        <v>1037</v>
      </c>
      <c r="CS8" s="883">
        <v>1359</v>
      </c>
      <c r="CT8" s="883">
        <v>2759</v>
      </c>
      <c r="CU8" s="883">
        <v>3731</v>
      </c>
      <c r="CV8" s="883">
        <v>3453</v>
      </c>
      <c r="CW8" s="883">
        <v>5697</v>
      </c>
      <c r="CX8" s="883">
        <v>3191</v>
      </c>
      <c r="CY8" s="883">
        <v>4078</v>
      </c>
      <c r="CZ8" s="873">
        <v>8478</v>
      </c>
      <c r="DA8" s="879">
        <f t="shared" ref="DA8:DA31" si="30">SUM(CO8:CZ8)</f>
        <v>39140</v>
      </c>
      <c r="DB8" s="883"/>
      <c r="DC8" s="883">
        <v>508</v>
      </c>
      <c r="DD8" s="883">
        <v>1455</v>
      </c>
      <c r="DE8" s="883">
        <v>1473</v>
      </c>
      <c r="DF8" s="883">
        <v>2302</v>
      </c>
      <c r="DG8" s="883">
        <v>4306</v>
      </c>
      <c r="DH8" s="883">
        <v>4489</v>
      </c>
      <c r="DI8" s="883">
        <v>8925</v>
      </c>
      <c r="DJ8" s="883">
        <v>4842</v>
      </c>
      <c r="DK8" s="883">
        <v>3834</v>
      </c>
      <c r="DL8" s="883">
        <v>7233</v>
      </c>
      <c r="DM8" s="873">
        <v>7469</v>
      </c>
      <c r="DN8" s="879">
        <f>SUM(DB8:DM8)</f>
        <v>46836</v>
      </c>
      <c r="DO8" s="883">
        <v>192</v>
      </c>
      <c r="DP8" s="883">
        <v>1261</v>
      </c>
      <c r="DQ8" s="883">
        <v>4741</v>
      </c>
      <c r="DR8" s="883">
        <v>2379</v>
      </c>
      <c r="DS8" s="883">
        <v>2860</v>
      </c>
      <c r="DT8" s="883">
        <v>2446</v>
      </c>
      <c r="DU8" s="883">
        <v>2876</v>
      </c>
      <c r="DV8" s="883">
        <v>3113</v>
      </c>
      <c r="DW8" s="883">
        <v>3077</v>
      </c>
      <c r="DX8" s="883">
        <v>2668</v>
      </c>
      <c r="DY8" s="883">
        <v>2051</v>
      </c>
      <c r="DZ8" s="873">
        <v>4476</v>
      </c>
      <c r="EA8" s="879">
        <f t="shared" ref="EA8:EA32" si="31">SUM(DO8:DZ8)</f>
        <v>32140</v>
      </c>
      <c r="EB8" s="883">
        <v>202</v>
      </c>
      <c r="EC8" s="883">
        <v>301</v>
      </c>
      <c r="ED8" s="883">
        <v>1379</v>
      </c>
      <c r="EE8" s="883">
        <v>3024</v>
      </c>
      <c r="EF8" s="883">
        <v>1843</v>
      </c>
      <c r="EG8" s="883">
        <v>2459</v>
      </c>
      <c r="EH8" s="883">
        <v>1894</v>
      </c>
      <c r="EI8" s="883">
        <v>1719</v>
      </c>
      <c r="EJ8" s="883">
        <v>1684</v>
      </c>
      <c r="EK8" s="883">
        <v>1451</v>
      </c>
      <c r="EL8" s="883">
        <v>3235</v>
      </c>
      <c r="EM8" s="873">
        <v>2216</v>
      </c>
      <c r="EN8" s="879">
        <f t="shared" ref="EN8:EN30" si="32">SUM(EB8:EM8)</f>
        <v>21407</v>
      </c>
      <c r="EO8" s="883">
        <v>200</v>
      </c>
      <c r="EP8" s="883">
        <v>654</v>
      </c>
      <c r="EQ8" s="883">
        <v>1617</v>
      </c>
      <c r="ER8" s="883">
        <v>1149</v>
      </c>
      <c r="ES8" s="883">
        <v>1168</v>
      </c>
      <c r="ET8" s="883">
        <v>1923</v>
      </c>
      <c r="EU8" s="883">
        <v>1766</v>
      </c>
      <c r="EV8" s="973">
        <v>1755</v>
      </c>
      <c r="EW8" s="883"/>
      <c r="EX8" s="883"/>
      <c r="EY8" s="883"/>
      <c r="EZ8" s="873"/>
      <c r="FA8" s="879">
        <f t="shared" ref="FA8:FA30" si="33">SUM(EO8:EZ8)</f>
        <v>10232</v>
      </c>
      <c r="FC8" s="843">
        <f t="shared" ref="FC8:FC32" si="34">IFERROR(((
_xlfn.XLOOKUP((DATE(YEAR($FC$5),MONTH($FC$5),1)),$B$5:$FA$5,$B8:$FA8) /
_xlfn.XLOOKUP((DATE(YEAR($FC$5)-1,MONTH($FC$5),1)),$B$5:$FA$5,$B8:$FA8)
)-1)*100,"")</f>
        <v>2.0942408376963373</v>
      </c>
      <c r="FD8" s="844">
        <f t="shared" ref="FD8:FD32" si="35">IFERROR(((FF8/FE8)-1)*100,"")</f>
        <v>-20.193432649559316</v>
      </c>
      <c r="FE8" s="845">
        <f t="shared" ref="FE8:FE32" si="36">SUMIFS($B8:$FA8,$B$5:$FA$5,"&gt;="&amp;DATE(YEAR($FC$5)-1,1,1),$B$5:$FA$5,"&lt;="&amp;DATE(YEAR($FC$5)-1,MONTH($FC$5),1))</f>
        <v>12821</v>
      </c>
      <c r="FF8" s="846">
        <f t="shared" ref="FF8:FF32" si="37">SUMIFS($B8:$FA8,$B$5:$FA$5,"&gt;="&amp;DATE(YEAR($FC$5),1,1),$B$5:$FA$5,"&lt;="&amp;$FC$5)</f>
        <v>10232</v>
      </c>
      <c r="FH8" s="127">
        <f t="shared" ref="FH8:FH25" si="38">EV8-EI8</f>
        <v>36</v>
      </c>
    </row>
    <row r="9" spans="1:164" ht="15" customHeight="1" x14ac:dyDescent="0.25">
      <c r="A9" s="403" t="s">
        <v>394</v>
      </c>
      <c r="B9" s="883">
        <v>7</v>
      </c>
      <c r="C9" s="883"/>
      <c r="D9" s="883">
        <v>50</v>
      </c>
      <c r="E9" s="883">
        <v>172</v>
      </c>
      <c r="F9" s="883">
        <v>269</v>
      </c>
      <c r="G9" s="883">
        <v>460</v>
      </c>
      <c r="H9" s="883">
        <v>274</v>
      </c>
      <c r="I9" s="883">
        <v>171</v>
      </c>
      <c r="J9" s="883">
        <v>754</v>
      </c>
      <c r="K9" s="883">
        <v>349</v>
      </c>
      <c r="L9" s="883">
        <v>280</v>
      </c>
      <c r="M9" s="873">
        <v>518</v>
      </c>
      <c r="N9" s="879">
        <f t="shared" si="23"/>
        <v>3304</v>
      </c>
      <c r="O9" s="883">
        <v>12</v>
      </c>
      <c r="P9" s="883">
        <v>88</v>
      </c>
      <c r="Q9" s="883">
        <v>144</v>
      </c>
      <c r="R9" s="883">
        <v>59</v>
      </c>
      <c r="S9" s="883">
        <v>297</v>
      </c>
      <c r="T9" s="883">
        <v>39</v>
      </c>
      <c r="U9" s="883">
        <v>42</v>
      </c>
      <c r="V9" s="883">
        <v>425</v>
      </c>
      <c r="W9" s="883">
        <v>551</v>
      </c>
      <c r="X9" s="883">
        <v>498</v>
      </c>
      <c r="Y9" s="883">
        <v>209</v>
      </c>
      <c r="Z9" s="873">
        <v>942</v>
      </c>
      <c r="AA9" s="879">
        <f t="shared" si="24"/>
        <v>3306</v>
      </c>
      <c r="AB9" s="883"/>
      <c r="AC9" s="883">
        <v>58</v>
      </c>
      <c r="AD9" s="883">
        <v>341</v>
      </c>
      <c r="AE9" s="883">
        <v>133</v>
      </c>
      <c r="AF9" s="883">
        <v>222</v>
      </c>
      <c r="AG9" s="883">
        <v>569</v>
      </c>
      <c r="AH9" s="883">
        <v>773</v>
      </c>
      <c r="AI9" s="883">
        <v>812</v>
      </c>
      <c r="AJ9" s="883">
        <v>182</v>
      </c>
      <c r="AK9" s="883">
        <v>355</v>
      </c>
      <c r="AL9" s="883">
        <v>285</v>
      </c>
      <c r="AM9" s="873">
        <v>933</v>
      </c>
      <c r="AN9" s="879">
        <f t="shared" si="25"/>
        <v>4663</v>
      </c>
      <c r="AO9" s="883">
        <v>23</v>
      </c>
      <c r="AP9" s="883">
        <v>163</v>
      </c>
      <c r="AQ9" s="883">
        <v>292</v>
      </c>
      <c r="AR9" s="883">
        <v>166</v>
      </c>
      <c r="AS9" s="883">
        <v>316</v>
      </c>
      <c r="AT9" s="883">
        <v>215</v>
      </c>
      <c r="AU9" s="883">
        <v>286</v>
      </c>
      <c r="AV9" s="883">
        <v>466</v>
      </c>
      <c r="AW9" s="883">
        <v>416</v>
      </c>
      <c r="AX9" s="883">
        <v>1057</v>
      </c>
      <c r="AY9" s="883">
        <v>559</v>
      </c>
      <c r="AZ9" s="873">
        <v>1012</v>
      </c>
      <c r="BA9" s="879">
        <f t="shared" si="26"/>
        <v>4971</v>
      </c>
      <c r="BB9" s="883"/>
      <c r="BC9" s="883">
        <v>20</v>
      </c>
      <c r="BD9" s="883">
        <v>17</v>
      </c>
      <c r="BE9" s="883">
        <v>8</v>
      </c>
      <c r="BF9" s="883">
        <v>66</v>
      </c>
      <c r="BG9" s="883">
        <v>227</v>
      </c>
      <c r="BH9" s="883">
        <v>497</v>
      </c>
      <c r="BI9" s="883">
        <v>416</v>
      </c>
      <c r="BJ9" s="883">
        <v>437</v>
      </c>
      <c r="BK9" s="883">
        <v>360</v>
      </c>
      <c r="BL9" s="883">
        <v>349</v>
      </c>
      <c r="BM9" s="873">
        <v>841</v>
      </c>
      <c r="BN9" s="879">
        <f t="shared" si="27"/>
        <v>3238</v>
      </c>
      <c r="BO9" s="883">
        <v>45</v>
      </c>
      <c r="BP9" s="883">
        <v>560</v>
      </c>
      <c r="BQ9" s="883">
        <v>257</v>
      </c>
      <c r="BR9" s="883">
        <v>84</v>
      </c>
      <c r="BS9" s="883">
        <v>61</v>
      </c>
      <c r="BT9" s="883">
        <v>73</v>
      </c>
      <c r="BU9" s="883">
        <v>114</v>
      </c>
      <c r="BV9" s="883">
        <v>264</v>
      </c>
      <c r="BW9" s="883">
        <v>170</v>
      </c>
      <c r="BX9" s="883">
        <v>318</v>
      </c>
      <c r="BY9" s="883">
        <v>190</v>
      </c>
      <c r="BZ9" s="873">
        <v>819</v>
      </c>
      <c r="CA9" s="879">
        <f t="shared" si="28"/>
        <v>2955</v>
      </c>
      <c r="CB9" s="883"/>
      <c r="CC9" s="883">
        <v>502</v>
      </c>
      <c r="CD9" s="883">
        <v>671</v>
      </c>
      <c r="CE9" s="883">
        <v>347</v>
      </c>
      <c r="CF9" s="883">
        <v>386</v>
      </c>
      <c r="CG9" s="883">
        <v>101</v>
      </c>
      <c r="CH9" s="883">
        <v>177</v>
      </c>
      <c r="CI9" s="883">
        <v>238</v>
      </c>
      <c r="CJ9" s="883">
        <v>268</v>
      </c>
      <c r="CK9" s="883">
        <v>345</v>
      </c>
      <c r="CL9" s="883">
        <v>290</v>
      </c>
      <c r="CM9" s="873">
        <v>945</v>
      </c>
      <c r="CN9" s="879">
        <f t="shared" si="29"/>
        <v>4270</v>
      </c>
      <c r="CO9" s="883">
        <v>11</v>
      </c>
      <c r="CP9" s="883">
        <v>15</v>
      </c>
      <c r="CQ9" s="883">
        <v>691</v>
      </c>
      <c r="CR9" s="883">
        <v>170</v>
      </c>
      <c r="CS9" s="883">
        <v>277</v>
      </c>
      <c r="CT9" s="883">
        <v>89</v>
      </c>
      <c r="CU9" s="883">
        <v>143</v>
      </c>
      <c r="CV9" s="883">
        <v>180</v>
      </c>
      <c r="CW9" s="883">
        <v>77</v>
      </c>
      <c r="CX9" s="883">
        <v>190</v>
      </c>
      <c r="CY9" s="883">
        <v>705</v>
      </c>
      <c r="CZ9" s="873">
        <v>1725</v>
      </c>
      <c r="DA9" s="879">
        <f t="shared" si="30"/>
        <v>4273</v>
      </c>
      <c r="DB9" s="883"/>
      <c r="DC9" s="883">
        <v>12</v>
      </c>
      <c r="DD9" s="883">
        <v>43</v>
      </c>
      <c r="DE9" s="883">
        <v>20</v>
      </c>
      <c r="DF9" s="883">
        <v>380</v>
      </c>
      <c r="DG9" s="883">
        <v>89</v>
      </c>
      <c r="DH9" s="883">
        <v>164</v>
      </c>
      <c r="DI9" s="883">
        <v>117</v>
      </c>
      <c r="DJ9" s="883">
        <v>107</v>
      </c>
      <c r="DK9" s="883">
        <v>50</v>
      </c>
      <c r="DL9" s="883">
        <v>102</v>
      </c>
      <c r="DM9" s="873">
        <v>81</v>
      </c>
      <c r="DN9" s="879">
        <f t="shared" ref="DN9:DN32" si="39">SUM(DB9:DM9)</f>
        <v>1165</v>
      </c>
      <c r="DO9" s="883"/>
      <c r="DP9" s="883"/>
      <c r="DQ9" s="883">
        <v>6</v>
      </c>
      <c r="DR9" s="883">
        <v>41</v>
      </c>
      <c r="DS9" s="883">
        <v>260</v>
      </c>
      <c r="DT9" s="883">
        <v>182</v>
      </c>
      <c r="DU9" s="883">
        <v>388</v>
      </c>
      <c r="DV9" s="883">
        <v>151</v>
      </c>
      <c r="DW9" s="883">
        <v>129</v>
      </c>
      <c r="DX9" s="883">
        <v>252</v>
      </c>
      <c r="DY9" s="883">
        <v>404</v>
      </c>
      <c r="DZ9" s="873">
        <v>1227</v>
      </c>
      <c r="EA9" s="879">
        <f t="shared" si="31"/>
        <v>3040</v>
      </c>
      <c r="EB9" s="883">
        <v>0</v>
      </c>
      <c r="EC9" s="883">
        <v>392</v>
      </c>
      <c r="ED9" s="883">
        <v>875</v>
      </c>
      <c r="EE9" s="883">
        <v>282</v>
      </c>
      <c r="EF9" s="883">
        <v>630</v>
      </c>
      <c r="EG9" s="883">
        <v>140</v>
      </c>
      <c r="EH9" s="883">
        <v>510</v>
      </c>
      <c r="EI9" s="883">
        <v>1296</v>
      </c>
      <c r="EJ9" s="883">
        <v>806</v>
      </c>
      <c r="EK9" s="883">
        <v>631</v>
      </c>
      <c r="EL9" s="883">
        <v>503</v>
      </c>
      <c r="EM9" s="873">
        <v>2667</v>
      </c>
      <c r="EN9" s="879">
        <f t="shared" si="32"/>
        <v>8732</v>
      </c>
      <c r="EO9" s="883">
        <v>0</v>
      </c>
      <c r="EP9" s="883">
        <v>42</v>
      </c>
      <c r="EQ9" s="883">
        <v>270</v>
      </c>
      <c r="ER9" s="883">
        <v>409</v>
      </c>
      <c r="ES9" s="883">
        <v>206</v>
      </c>
      <c r="ET9" s="883">
        <v>329</v>
      </c>
      <c r="EU9" s="883">
        <v>611</v>
      </c>
      <c r="EV9" s="973">
        <v>254</v>
      </c>
      <c r="EW9" s="883"/>
      <c r="EX9" s="883"/>
      <c r="EY9" s="883"/>
      <c r="EZ9" s="873"/>
      <c r="FA9" s="879">
        <f t="shared" si="33"/>
        <v>2121</v>
      </c>
      <c r="FC9" s="843">
        <f t="shared" si="34"/>
        <v>-80.401234567901241</v>
      </c>
      <c r="FD9" s="844">
        <f t="shared" si="35"/>
        <v>-48.581818181818178</v>
      </c>
      <c r="FE9" s="845">
        <f t="shared" si="36"/>
        <v>4125</v>
      </c>
      <c r="FF9" s="846">
        <f t="shared" si="37"/>
        <v>2121</v>
      </c>
      <c r="FH9" s="127">
        <f t="shared" si="38"/>
        <v>-1042</v>
      </c>
    </row>
    <row r="10" spans="1:164" ht="15" customHeight="1" x14ac:dyDescent="0.25">
      <c r="A10" s="403" t="s">
        <v>661</v>
      </c>
      <c r="B10" s="883">
        <v>32</v>
      </c>
      <c r="C10" s="883">
        <v>194</v>
      </c>
      <c r="D10" s="883">
        <v>348</v>
      </c>
      <c r="E10" s="883">
        <v>141</v>
      </c>
      <c r="F10" s="883">
        <v>202</v>
      </c>
      <c r="G10" s="883">
        <v>236</v>
      </c>
      <c r="H10" s="883">
        <v>827</v>
      </c>
      <c r="I10" s="883">
        <v>-205</v>
      </c>
      <c r="J10" s="883">
        <v>402</v>
      </c>
      <c r="K10" s="883">
        <v>273</v>
      </c>
      <c r="L10" s="883">
        <v>379</v>
      </c>
      <c r="M10" s="873">
        <v>174</v>
      </c>
      <c r="N10" s="879">
        <f t="shared" si="23"/>
        <v>3003</v>
      </c>
      <c r="O10" s="883">
        <v>32</v>
      </c>
      <c r="P10" s="883">
        <v>154</v>
      </c>
      <c r="Q10" s="883">
        <v>277</v>
      </c>
      <c r="R10" s="883">
        <v>373</v>
      </c>
      <c r="S10" s="883">
        <v>171</v>
      </c>
      <c r="T10" s="883">
        <v>189</v>
      </c>
      <c r="U10" s="883">
        <v>893</v>
      </c>
      <c r="V10" s="883">
        <v>-35</v>
      </c>
      <c r="W10" s="883">
        <v>309</v>
      </c>
      <c r="X10" s="883">
        <v>347</v>
      </c>
      <c r="Y10" s="883">
        <v>-797</v>
      </c>
      <c r="Z10" s="873">
        <v>-467</v>
      </c>
      <c r="AA10" s="879">
        <f t="shared" si="24"/>
        <v>1446</v>
      </c>
      <c r="AB10" s="883">
        <v>71</v>
      </c>
      <c r="AC10" s="883">
        <v>15</v>
      </c>
      <c r="AD10" s="883">
        <v>211</v>
      </c>
      <c r="AE10" s="883">
        <v>133</v>
      </c>
      <c r="AF10" s="883">
        <v>201</v>
      </c>
      <c r="AG10" s="883">
        <v>56</v>
      </c>
      <c r="AH10" s="883">
        <v>164</v>
      </c>
      <c r="AI10" s="883">
        <v>72</v>
      </c>
      <c r="AJ10" s="883">
        <v>66</v>
      </c>
      <c r="AK10" s="883">
        <v>267</v>
      </c>
      <c r="AL10" s="883">
        <v>456</v>
      </c>
      <c r="AM10" s="873">
        <v>1400</v>
      </c>
      <c r="AN10" s="879">
        <f t="shared" si="25"/>
        <v>3112</v>
      </c>
      <c r="AO10" s="883">
        <v>22</v>
      </c>
      <c r="AP10" s="883">
        <v>94</v>
      </c>
      <c r="AQ10" s="883">
        <v>483</v>
      </c>
      <c r="AR10" s="883">
        <v>618</v>
      </c>
      <c r="AS10" s="883">
        <v>750</v>
      </c>
      <c r="AT10" s="883">
        <v>1187</v>
      </c>
      <c r="AU10" s="883">
        <v>723</v>
      </c>
      <c r="AV10" s="883">
        <v>105</v>
      </c>
      <c r="AW10" s="883">
        <v>90</v>
      </c>
      <c r="AX10" s="883">
        <v>477</v>
      </c>
      <c r="AY10" s="883">
        <v>178</v>
      </c>
      <c r="AZ10" s="873">
        <v>752</v>
      </c>
      <c r="BA10" s="879">
        <f t="shared" si="26"/>
        <v>5479</v>
      </c>
      <c r="BB10" s="883"/>
      <c r="BC10" s="883">
        <v>350</v>
      </c>
      <c r="BD10" s="883">
        <v>313</v>
      </c>
      <c r="BE10" s="883">
        <v>261</v>
      </c>
      <c r="BF10" s="883">
        <v>258</v>
      </c>
      <c r="BG10" s="883">
        <v>517</v>
      </c>
      <c r="BH10" s="883">
        <v>440</v>
      </c>
      <c r="BI10" s="883">
        <v>121</v>
      </c>
      <c r="BJ10" s="883">
        <v>148</v>
      </c>
      <c r="BK10" s="883">
        <v>130</v>
      </c>
      <c r="BL10" s="883">
        <v>104</v>
      </c>
      <c r="BM10" s="873">
        <v>128</v>
      </c>
      <c r="BN10" s="879">
        <f t="shared" si="27"/>
        <v>2770</v>
      </c>
      <c r="BO10" s="883"/>
      <c r="BP10" s="883">
        <v>53</v>
      </c>
      <c r="BQ10" s="883">
        <v>11</v>
      </c>
      <c r="BR10" s="883">
        <v>36</v>
      </c>
      <c r="BS10" s="883">
        <v>5</v>
      </c>
      <c r="BT10" s="883">
        <v>13</v>
      </c>
      <c r="BU10" s="883">
        <v>25</v>
      </c>
      <c r="BV10" s="883">
        <v>48</v>
      </c>
      <c r="BW10" s="883">
        <v>43</v>
      </c>
      <c r="BX10" s="883">
        <v>4</v>
      </c>
      <c r="BY10" s="883">
        <v>53</v>
      </c>
      <c r="BZ10" s="873">
        <v>355</v>
      </c>
      <c r="CA10" s="879">
        <f t="shared" si="28"/>
        <v>646</v>
      </c>
      <c r="CB10" s="883">
        <v>3</v>
      </c>
      <c r="CC10" s="883">
        <v>4</v>
      </c>
      <c r="CD10" s="883">
        <v>59</v>
      </c>
      <c r="CE10" s="883">
        <v>48</v>
      </c>
      <c r="CF10" s="883">
        <v>62</v>
      </c>
      <c r="CG10" s="883">
        <v>36</v>
      </c>
      <c r="CH10" s="883">
        <v>321</v>
      </c>
      <c r="CI10" s="883">
        <v>350</v>
      </c>
      <c r="CJ10" s="883">
        <v>266</v>
      </c>
      <c r="CK10" s="883">
        <v>147</v>
      </c>
      <c r="CL10" s="883">
        <v>56</v>
      </c>
      <c r="CM10" s="873">
        <v>245</v>
      </c>
      <c r="CN10" s="879">
        <f t="shared" si="29"/>
        <v>1597</v>
      </c>
      <c r="CO10" s="883">
        <v>74</v>
      </c>
      <c r="CP10" s="883">
        <v>9</v>
      </c>
      <c r="CQ10" s="883">
        <v>55</v>
      </c>
      <c r="CR10" s="883">
        <v>21</v>
      </c>
      <c r="CS10" s="883">
        <v>70</v>
      </c>
      <c r="CT10" s="883">
        <v>62</v>
      </c>
      <c r="CU10" s="883">
        <v>62</v>
      </c>
      <c r="CV10" s="883">
        <v>489</v>
      </c>
      <c r="CW10" s="883">
        <v>372</v>
      </c>
      <c r="CX10" s="883">
        <v>247</v>
      </c>
      <c r="CY10" s="883">
        <v>309</v>
      </c>
      <c r="CZ10" s="873">
        <v>454</v>
      </c>
      <c r="DA10" s="879">
        <f t="shared" si="30"/>
        <v>2224</v>
      </c>
      <c r="DB10" s="883"/>
      <c r="DC10" s="883"/>
      <c r="DD10" s="883"/>
      <c r="DE10" s="883">
        <v>18</v>
      </c>
      <c r="DF10" s="883">
        <v>97</v>
      </c>
      <c r="DG10" s="883">
        <v>48</v>
      </c>
      <c r="DH10" s="883">
        <v>131</v>
      </c>
      <c r="DI10" s="883">
        <v>369</v>
      </c>
      <c r="DJ10" s="883">
        <v>308</v>
      </c>
      <c r="DK10" s="883">
        <v>217</v>
      </c>
      <c r="DL10" s="883">
        <v>313</v>
      </c>
      <c r="DM10" s="873">
        <v>257</v>
      </c>
      <c r="DN10" s="879">
        <f t="shared" si="39"/>
        <v>1758</v>
      </c>
      <c r="DO10" s="883"/>
      <c r="DP10" s="883">
        <v>2</v>
      </c>
      <c r="DQ10" s="883">
        <v>72</v>
      </c>
      <c r="DR10" s="883">
        <v>66</v>
      </c>
      <c r="DS10" s="883">
        <v>208</v>
      </c>
      <c r="DT10" s="883">
        <v>320</v>
      </c>
      <c r="DU10" s="883">
        <v>386</v>
      </c>
      <c r="DV10" s="883">
        <v>295</v>
      </c>
      <c r="DW10" s="883">
        <v>227</v>
      </c>
      <c r="DX10" s="883">
        <v>157</v>
      </c>
      <c r="DY10" s="883">
        <v>220</v>
      </c>
      <c r="DZ10" s="873">
        <v>522</v>
      </c>
      <c r="EA10" s="879">
        <f t="shared" si="31"/>
        <v>2475</v>
      </c>
      <c r="EB10" s="883">
        <v>0</v>
      </c>
      <c r="EC10" s="883">
        <v>27</v>
      </c>
      <c r="ED10" s="883">
        <v>135</v>
      </c>
      <c r="EE10" s="883">
        <v>131</v>
      </c>
      <c r="EF10" s="883">
        <v>191</v>
      </c>
      <c r="EG10" s="883">
        <v>221</v>
      </c>
      <c r="EH10" s="883">
        <v>98</v>
      </c>
      <c r="EI10" s="883">
        <v>388</v>
      </c>
      <c r="EJ10" s="883">
        <v>416</v>
      </c>
      <c r="EK10" s="883">
        <v>382</v>
      </c>
      <c r="EL10" s="883">
        <v>399</v>
      </c>
      <c r="EM10" s="873">
        <v>520</v>
      </c>
      <c r="EN10" s="879">
        <f>SUM(EB10:EM10)</f>
        <v>2908</v>
      </c>
      <c r="EO10" s="883">
        <v>16</v>
      </c>
      <c r="EP10" s="883">
        <v>67</v>
      </c>
      <c r="EQ10" s="883">
        <v>115</v>
      </c>
      <c r="ER10" s="883">
        <v>206</v>
      </c>
      <c r="ES10" s="883">
        <v>409</v>
      </c>
      <c r="ET10" s="883">
        <v>362</v>
      </c>
      <c r="EU10" s="883">
        <v>370</v>
      </c>
      <c r="EV10" s="973">
        <v>282</v>
      </c>
      <c r="EW10" s="883"/>
      <c r="EX10" s="883"/>
      <c r="EY10" s="883"/>
      <c r="EZ10" s="873"/>
      <c r="FA10" s="879">
        <f>SUM(EO10:EZ10)</f>
        <v>1827</v>
      </c>
      <c r="FC10" s="843">
        <f t="shared" si="34"/>
        <v>-27.319587628865982</v>
      </c>
      <c r="FD10" s="844">
        <f t="shared" si="35"/>
        <v>53.400503778337537</v>
      </c>
      <c r="FE10" s="845">
        <f t="shared" si="36"/>
        <v>1191</v>
      </c>
      <c r="FF10" s="846">
        <f t="shared" si="37"/>
        <v>1827</v>
      </c>
      <c r="FH10" s="127">
        <f t="shared" si="38"/>
        <v>-106</v>
      </c>
    </row>
    <row r="11" spans="1:164" ht="15" customHeight="1" x14ac:dyDescent="0.25">
      <c r="A11" s="403" t="s">
        <v>395</v>
      </c>
      <c r="B11" s="883"/>
      <c r="C11" s="883"/>
      <c r="D11" s="883"/>
      <c r="E11" s="883">
        <v>28</v>
      </c>
      <c r="F11" s="883">
        <v>86</v>
      </c>
      <c r="G11" s="883"/>
      <c r="H11" s="883">
        <v>8</v>
      </c>
      <c r="I11" s="883">
        <v>-7</v>
      </c>
      <c r="J11" s="883"/>
      <c r="K11" s="883"/>
      <c r="L11" s="883"/>
      <c r="M11" s="873">
        <v>-15</v>
      </c>
      <c r="N11" s="879">
        <f t="shared" si="23"/>
        <v>100</v>
      </c>
      <c r="O11" s="883"/>
      <c r="P11" s="883"/>
      <c r="Q11" s="883">
        <v>107</v>
      </c>
      <c r="R11" s="883">
        <v>146</v>
      </c>
      <c r="S11" s="883">
        <v>263</v>
      </c>
      <c r="T11" s="883">
        <v>24</v>
      </c>
      <c r="U11" s="883">
        <v>164</v>
      </c>
      <c r="V11" s="883">
        <v>83</v>
      </c>
      <c r="W11" s="883">
        <v>33</v>
      </c>
      <c r="X11" s="883">
        <v>-33</v>
      </c>
      <c r="Y11" s="883"/>
      <c r="Z11" s="873"/>
      <c r="AA11" s="879">
        <f t="shared" si="24"/>
        <v>787</v>
      </c>
      <c r="AB11" s="883"/>
      <c r="AC11" s="883"/>
      <c r="AD11" s="883"/>
      <c r="AE11" s="883"/>
      <c r="AF11" s="883">
        <v>35</v>
      </c>
      <c r="AG11" s="883"/>
      <c r="AH11" s="883"/>
      <c r="AI11" s="883"/>
      <c r="AJ11" s="883"/>
      <c r="AK11" s="883"/>
      <c r="AL11" s="883"/>
      <c r="AM11" s="873"/>
      <c r="AN11" s="879">
        <f t="shared" si="25"/>
        <v>35</v>
      </c>
      <c r="AO11" s="883"/>
      <c r="AP11" s="883"/>
      <c r="AQ11" s="883"/>
      <c r="AR11" s="883"/>
      <c r="AS11" s="883"/>
      <c r="AT11" s="883"/>
      <c r="AU11" s="883"/>
      <c r="AV11" s="883"/>
      <c r="AW11" s="883"/>
      <c r="AX11" s="883"/>
      <c r="AY11" s="883"/>
      <c r="AZ11" s="873"/>
      <c r="BA11" s="879">
        <f t="shared" si="26"/>
        <v>0</v>
      </c>
      <c r="BB11" s="883"/>
      <c r="BC11" s="883"/>
      <c r="BD11" s="883"/>
      <c r="BE11" s="883"/>
      <c r="BF11" s="883">
        <v>12</v>
      </c>
      <c r="BG11" s="883"/>
      <c r="BH11" s="883"/>
      <c r="BI11" s="883"/>
      <c r="BJ11" s="883"/>
      <c r="BK11" s="883"/>
      <c r="BL11" s="883"/>
      <c r="BM11" s="873"/>
      <c r="BN11" s="879">
        <f t="shared" si="27"/>
        <v>12</v>
      </c>
      <c r="BO11" s="883"/>
      <c r="BP11" s="883"/>
      <c r="BQ11" s="883"/>
      <c r="BR11" s="883"/>
      <c r="BS11" s="883"/>
      <c r="BT11" s="883"/>
      <c r="BU11" s="883"/>
      <c r="BV11" s="883"/>
      <c r="BW11" s="883"/>
      <c r="BX11" s="883"/>
      <c r="BY11" s="883"/>
      <c r="BZ11" s="873"/>
      <c r="CA11" s="879">
        <f t="shared" si="28"/>
        <v>0</v>
      </c>
      <c r="CB11" s="883"/>
      <c r="CC11" s="883"/>
      <c r="CD11" s="883"/>
      <c r="CE11" s="883"/>
      <c r="CF11" s="883"/>
      <c r="CG11" s="883"/>
      <c r="CH11" s="883"/>
      <c r="CI11" s="883"/>
      <c r="CJ11" s="883"/>
      <c r="CK11" s="883"/>
      <c r="CL11" s="883"/>
      <c r="CM11" s="873"/>
      <c r="CN11" s="879">
        <f t="shared" si="29"/>
        <v>0</v>
      </c>
      <c r="CO11" s="883"/>
      <c r="CP11" s="883"/>
      <c r="CQ11" s="883"/>
      <c r="CR11" s="883"/>
      <c r="CS11" s="883"/>
      <c r="CT11" s="883"/>
      <c r="CU11" s="883">
        <v>2</v>
      </c>
      <c r="CV11" s="883"/>
      <c r="CW11" s="883"/>
      <c r="CX11" s="883"/>
      <c r="CY11" s="883"/>
      <c r="CZ11" s="873">
        <v>2</v>
      </c>
      <c r="DA11" s="879">
        <f t="shared" si="30"/>
        <v>4</v>
      </c>
      <c r="DB11" s="883"/>
      <c r="DC11" s="883"/>
      <c r="DD11" s="883"/>
      <c r="DE11" s="883"/>
      <c r="DF11" s="883">
        <v>13</v>
      </c>
      <c r="DG11" s="883"/>
      <c r="DH11" s="883"/>
      <c r="DI11" s="883"/>
      <c r="DJ11" s="883"/>
      <c r="DK11" s="883">
        <v>4</v>
      </c>
      <c r="DL11" s="883"/>
      <c r="DM11" s="873">
        <v>5</v>
      </c>
      <c r="DN11" s="879">
        <f t="shared" si="39"/>
        <v>22</v>
      </c>
      <c r="DO11" s="883"/>
      <c r="DP11" s="883"/>
      <c r="DQ11" s="883"/>
      <c r="DR11" s="883"/>
      <c r="DS11" s="883">
        <v>9</v>
      </c>
      <c r="DT11" s="883"/>
      <c r="DU11" s="883"/>
      <c r="DV11" s="883"/>
      <c r="DW11" s="883"/>
      <c r="DX11" s="883"/>
      <c r="DY11" s="883"/>
      <c r="DZ11" s="873"/>
      <c r="EA11" s="879">
        <f t="shared" si="31"/>
        <v>9</v>
      </c>
      <c r="EB11" s="883">
        <v>0</v>
      </c>
      <c r="EC11" s="883">
        <v>65</v>
      </c>
      <c r="ED11" s="883">
        <v>8</v>
      </c>
      <c r="EE11" s="883">
        <v>23</v>
      </c>
      <c r="EF11" s="883">
        <v>0</v>
      </c>
      <c r="EG11" s="883">
        <v>14</v>
      </c>
      <c r="EH11" s="883">
        <v>29</v>
      </c>
      <c r="EI11" s="883">
        <v>32</v>
      </c>
      <c r="EJ11" s="883">
        <v>0</v>
      </c>
      <c r="EK11" s="883">
        <v>0</v>
      </c>
      <c r="EL11" s="883">
        <v>20</v>
      </c>
      <c r="EM11" s="873">
        <v>0</v>
      </c>
      <c r="EN11" s="879">
        <f t="shared" si="32"/>
        <v>191</v>
      </c>
      <c r="EO11" s="883">
        <v>0</v>
      </c>
      <c r="EP11" s="883">
        <v>0</v>
      </c>
      <c r="EQ11" s="883">
        <v>0</v>
      </c>
      <c r="ER11" s="883">
        <v>19</v>
      </c>
      <c r="ES11" s="883">
        <v>57</v>
      </c>
      <c r="ET11" s="883">
        <v>10</v>
      </c>
      <c r="EU11" s="883">
        <v>26</v>
      </c>
      <c r="EV11" s="973">
        <v>0</v>
      </c>
      <c r="EW11" s="883"/>
      <c r="EX11" s="883"/>
      <c r="EY11" s="883"/>
      <c r="EZ11" s="873"/>
      <c r="FA11" s="879">
        <f t="shared" si="33"/>
        <v>112</v>
      </c>
      <c r="FC11" s="843">
        <f t="shared" si="34"/>
        <v>-100</v>
      </c>
      <c r="FD11" s="844">
        <f t="shared" si="35"/>
        <v>-34.502923976608187</v>
      </c>
      <c r="FE11" s="845">
        <f t="shared" si="36"/>
        <v>171</v>
      </c>
      <c r="FF11" s="846">
        <f t="shared" si="37"/>
        <v>112</v>
      </c>
      <c r="FH11" s="127">
        <f t="shared" si="38"/>
        <v>-32</v>
      </c>
    </row>
    <row r="12" spans="1:164" ht="15" customHeight="1" x14ac:dyDescent="0.25">
      <c r="A12" s="403" t="s">
        <v>407</v>
      </c>
      <c r="B12" s="883">
        <v>47</v>
      </c>
      <c r="C12" s="883">
        <v>93</v>
      </c>
      <c r="D12" s="883">
        <v>932</v>
      </c>
      <c r="E12" s="883">
        <v>146</v>
      </c>
      <c r="F12" s="883">
        <v>354</v>
      </c>
      <c r="G12" s="883">
        <v>378</v>
      </c>
      <c r="H12" s="883">
        <v>1800</v>
      </c>
      <c r="I12" s="883">
        <v>342</v>
      </c>
      <c r="J12" s="883">
        <v>489</v>
      </c>
      <c r="K12" s="883">
        <v>1036</v>
      </c>
      <c r="L12" s="883">
        <v>2469</v>
      </c>
      <c r="M12" s="873">
        <v>1059</v>
      </c>
      <c r="N12" s="879">
        <f t="shared" si="23"/>
        <v>9145</v>
      </c>
      <c r="O12" s="883">
        <v>22</v>
      </c>
      <c r="P12" s="883">
        <v>241</v>
      </c>
      <c r="Q12" s="883">
        <v>372</v>
      </c>
      <c r="R12" s="883">
        <v>292</v>
      </c>
      <c r="S12" s="883">
        <v>361</v>
      </c>
      <c r="T12" s="883">
        <v>739</v>
      </c>
      <c r="U12" s="883">
        <v>681</v>
      </c>
      <c r="V12" s="883">
        <v>774</v>
      </c>
      <c r="W12" s="883">
        <v>546</v>
      </c>
      <c r="X12" s="883">
        <v>369</v>
      </c>
      <c r="Y12" s="883">
        <v>581</v>
      </c>
      <c r="Z12" s="873">
        <v>190</v>
      </c>
      <c r="AA12" s="879">
        <f t="shared" si="24"/>
        <v>5168</v>
      </c>
      <c r="AB12" s="883">
        <v>9</v>
      </c>
      <c r="AC12" s="883">
        <v>257</v>
      </c>
      <c r="AD12" s="883">
        <v>1633</v>
      </c>
      <c r="AE12" s="883">
        <v>736</v>
      </c>
      <c r="AF12" s="883">
        <v>1067</v>
      </c>
      <c r="AG12" s="883">
        <v>495</v>
      </c>
      <c r="AH12" s="883">
        <v>324</v>
      </c>
      <c r="AI12" s="883">
        <v>307</v>
      </c>
      <c r="AJ12" s="883">
        <v>-326</v>
      </c>
      <c r="AK12" s="883">
        <v>315</v>
      </c>
      <c r="AL12" s="883">
        <v>344</v>
      </c>
      <c r="AM12" s="873">
        <v>3980</v>
      </c>
      <c r="AN12" s="879">
        <f t="shared" si="25"/>
        <v>9141</v>
      </c>
      <c r="AO12" s="883"/>
      <c r="AP12" s="883"/>
      <c r="AQ12" s="883"/>
      <c r="AR12" s="883">
        <v>1920</v>
      </c>
      <c r="AS12" s="883">
        <v>404</v>
      </c>
      <c r="AT12" s="883">
        <v>386</v>
      </c>
      <c r="AU12" s="883">
        <v>573</v>
      </c>
      <c r="AV12" s="883">
        <v>409</v>
      </c>
      <c r="AW12" s="883">
        <v>2622</v>
      </c>
      <c r="AX12" s="883">
        <v>459</v>
      </c>
      <c r="AY12" s="883">
        <v>690</v>
      </c>
      <c r="AZ12" s="873">
        <v>3315</v>
      </c>
      <c r="BA12" s="879">
        <f t="shared" si="26"/>
        <v>10778</v>
      </c>
      <c r="BB12" s="883"/>
      <c r="BC12" s="883">
        <v>134</v>
      </c>
      <c r="BD12" s="883">
        <v>47</v>
      </c>
      <c r="BE12" s="883">
        <v>38</v>
      </c>
      <c r="BF12" s="883">
        <v>35</v>
      </c>
      <c r="BG12" s="883">
        <v>159</v>
      </c>
      <c r="BH12" s="883">
        <v>63</v>
      </c>
      <c r="BI12" s="883">
        <v>43</v>
      </c>
      <c r="BJ12" s="883">
        <v>50</v>
      </c>
      <c r="BK12" s="883">
        <v>40</v>
      </c>
      <c r="BL12" s="883">
        <v>196</v>
      </c>
      <c r="BM12" s="873">
        <v>510</v>
      </c>
      <c r="BN12" s="879">
        <f t="shared" si="27"/>
        <v>1315</v>
      </c>
      <c r="BO12" s="883"/>
      <c r="BP12" s="883">
        <v>28</v>
      </c>
      <c r="BQ12" s="883">
        <v>11</v>
      </c>
      <c r="BR12" s="883">
        <v>91</v>
      </c>
      <c r="BS12" s="883">
        <v>45</v>
      </c>
      <c r="BT12" s="883">
        <v>111</v>
      </c>
      <c r="BU12" s="883">
        <v>184</v>
      </c>
      <c r="BV12" s="883">
        <v>314</v>
      </c>
      <c r="BW12" s="883">
        <v>1520</v>
      </c>
      <c r="BX12" s="883">
        <v>3346</v>
      </c>
      <c r="BY12" s="883">
        <v>373</v>
      </c>
      <c r="BZ12" s="873">
        <v>8445</v>
      </c>
      <c r="CA12" s="879">
        <f t="shared" si="28"/>
        <v>14468</v>
      </c>
      <c r="CB12" s="883">
        <v>165</v>
      </c>
      <c r="CC12" s="883">
        <v>307</v>
      </c>
      <c r="CD12" s="883">
        <v>537</v>
      </c>
      <c r="CE12" s="883">
        <v>40</v>
      </c>
      <c r="CF12" s="883">
        <v>84</v>
      </c>
      <c r="CG12" s="883">
        <v>188</v>
      </c>
      <c r="CH12" s="883">
        <v>22</v>
      </c>
      <c r="CI12" s="883">
        <v>313</v>
      </c>
      <c r="CJ12" s="883">
        <v>90</v>
      </c>
      <c r="CK12" s="883">
        <v>104</v>
      </c>
      <c r="CL12" s="883">
        <v>152</v>
      </c>
      <c r="CM12" s="873">
        <v>807</v>
      </c>
      <c r="CN12" s="879">
        <f t="shared" si="29"/>
        <v>2809</v>
      </c>
      <c r="CO12" s="883"/>
      <c r="CP12" s="883">
        <v>578</v>
      </c>
      <c r="CQ12" s="883">
        <v>821</v>
      </c>
      <c r="CR12" s="883">
        <v>1302</v>
      </c>
      <c r="CS12" s="883">
        <v>1159</v>
      </c>
      <c r="CT12" s="883">
        <v>582</v>
      </c>
      <c r="CU12" s="883">
        <v>1024</v>
      </c>
      <c r="CV12" s="883">
        <v>466</v>
      </c>
      <c r="CW12" s="883">
        <v>65</v>
      </c>
      <c r="CX12" s="883">
        <v>611</v>
      </c>
      <c r="CY12" s="883">
        <v>154</v>
      </c>
      <c r="CZ12" s="873">
        <v>878</v>
      </c>
      <c r="DA12" s="879">
        <f t="shared" si="30"/>
        <v>7640</v>
      </c>
      <c r="DB12" s="883"/>
      <c r="DC12" s="883">
        <v>357</v>
      </c>
      <c r="DD12" s="883">
        <v>-259</v>
      </c>
      <c r="DE12" s="883">
        <v>623</v>
      </c>
      <c r="DF12" s="883">
        <v>412</v>
      </c>
      <c r="DG12" s="883">
        <v>47</v>
      </c>
      <c r="DH12" s="883">
        <v>46</v>
      </c>
      <c r="DI12" s="883">
        <v>378</v>
      </c>
      <c r="DJ12" s="883">
        <v>940</v>
      </c>
      <c r="DK12" s="883">
        <v>2309</v>
      </c>
      <c r="DL12" s="883">
        <v>901</v>
      </c>
      <c r="DM12" s="873">
        <v>4267</v>
      </c>
      <c r="DN12" s="879">
        <f t="shared" si="39"/>
        <v>10021</v>
      </c>
      <c r="DO12" s="883"/>
      <c r="DP12" s="883"/>
      <c r="DQ12" s="883">
        <v>3</v>
      </c>
      <c r="DR12" s="883">
        <v>576</v>
      </c>
      <c r="DS12" s="883">
        <v>76</v>
      </c>
      <c r="DT12" s="883">
        <v>47</v>
      </c>
      <c r="DU12" s="883">
        <v>119</v>
      </c>
      <c r="DV12" s="883">
        <v>1437</v>
      </c>
      <c r="DW12" s="883">
        <v>304</v>
      </c>
      <c r="DX12" s="883">
        <v>834</v>
      </c>
      <c r="DY12" s="883">
        <v>1665</v>
      </c>
      <c r="DZ12" s="873">
        <v>1952</v>
      </c>
      <c r="EA12" s="879">
        <f t="shared" si="31"/>
        <v>7013</v>
      </c>
      <c r="EB12" s="883">
        <v>0</v>
      </c>
      <c r="EC12" s="883">
        <v>70</v>
      </c>
      <c r="ED12" s="883">
        <v>248</v>
      </c>
      <c r="EE12" s="883">
        <v>259</v>
      </c>
      <c r="EF12" s="883">
        <v>-16</v>
      </c>
      <c r="EG12" s="883">
        <v>206</v>
      </c>
      <c r="EH12" s="883">
        <v>221</v>
      </c>
      <c r="EI12" s="883">
        <v>131</v>
      </c>
      <c r="EJ12" s="883">
        <v>36</v>
      </c>
      <c r="EK12" s="883">
        <v>12538</v>
      </c>
      <c r="EL12" s="883">
        <v>803</v>
      </c>
      <c r="EM12" s="873">
        <v>664</v>
      </c>
      <c r="EN12" s="879">
        <f t="shared" si="32"/>
        <v>15160</v>
      </c>
      <c r="EO12" s="883">
        <v>126</v>
      </c>
      <c r="EP12" s="883">
        <v>7709</v>
      </c>
      <c r="EQ12" s="883">
        <v>3282</v>
      </c>
      <c r="ER12" s="883">
        <v>1260</v>
      </c>
      <c r="ES12" s="883">
        <v>1190</v>
      </c>
      <c r="ET12" s="883">
        <v>1478</v>
      </c>
      <c r="EU12" s="883">
        <v>271</v>
      </c>
      <c r="EV12" s="973">
        <v>370</v>
      </c>
      <c r="EW12" s="883"/>
      <c r="EX12" s="883"/>
      <c r="EY12" s="883"/>
      <c r="EZ12" s="873"/>
      <c r="FA12" s="879">
        <f t="shared" si="33"/>
        <v>15686</v>
      </c>
      <c r="FC12" s="843">
        <f t="shared" si="34"/>
        <v>182.44274809160305</v>
      </c>
      <c r="FD12" s="844">
        <f t="shared" si="35"/>
        <v>1301.787310098302</v>
      </c>
      <c r="FE12" s="845">
        <f t="shared" si="36"/>
        <v>1119</v>
      </c>
      <c r="FF12" s="846">
        <f t="shared" si="37"/>
        <v>15686</v>
      </c>
      <c r="FH12" s="127">
        <f t="shared" si="38"/>
        <v>239</v>
      </c>
    </row>
    <row r="13" spans="1:164" ht="15" customHeight="1" x14ac:dyDescent="0.25">
      <c r="A13" s="403" t="s">
        <v>397</v>
      </c>
      <c r="B13" s="883">
        <v>83</v>
      </c>
      <c r="C13" s="883">
        <v>219</v>
      </c>
      <c r="D13" s="883">
        <v>2218</v>
      </c>
      <c r="E13" s="883">
        <v>1237</v>
      </c>
      <c r="F13" s="883">
        <v>1995</v>
      </c>
      <c r="G13" s="883">
        <v>2373</v>
      </c>
      <c r="H13" s="883">
        <v>6678</v>
      </c>
      <c r="I13" s="883">
        <v>256</v>
      </c>
      <c r="J13" s="883">
        <v>-106</v>
      </c>
      <c r="K13" s="883">
        <v>2947</v>
      </c>
      <c r="L13" s="883">
        <v>1594</v>
      </c>
      <c r="M13" s="873">
        <v>6675</v>
      </c>
      <c r="N13" s="879">
        <f t="shared" si="23"/>
        <v>26169</v>
      </c>
      <c r="O13" s="883">
        <v>95</v>
      </c>
      <c r="P13" s="883">
        <v>948</v>
      </c>
      <c r="Q13" s="883">
        <v>940</v>
      </c>
      <c r="R13" s="883">
        <v>1558</v>
      </c>
      <c r="S13" s="883">
        <v>1556</v>
      </c>
      <c r="T13" s="883">
        <v>511</v>
      </c>
      <c r="U13" s="883">
        <v>1707</v>
      </c>
      <c r="V13" s="883">
        <v>1478</v>
      </c>
      <c r="W13" s="883">
        <v>1634</v>
      </c>
      <c r="X13" s="883">
        <v>825</v>
      </c>
      <c r="Y13" s="883">
        <v>2204</v>
      </c>
      <c r="Z13" s="873">
        <v>6218</v>
      </c>
      <c r="AA13" s="879">
        <f t="shared" si="24"/>
        <v>19674</v>
      </c>
      <c r="AB13" s="883">
        <v>118</v>
      </c>
      <c r="AC13" s="883">
        <v>74</v>
      </c>
      <c r="AD13" s="883">
        <v>526</v>
      </c>
      <c r="AE13" s="883">
        <v>1062</v>
      </c>
      <c r="AF13" s="883">
        <v>745</v>
      </c>
      <c r="AG13" s="883">
        <v>1494</v>
      </c>
      <c r="AH13" s="883">
        <v>4221</v>
      </c>
      <c r="AI13" s="883">
        <v>4944</v>
      </c>
      <c r="AJ13" s="883">
        <v>2304</v>
      </c>
      <c r="AK13" s="883">
        <v>3896</v>
      </c>
      <c r="AL13" s="883">
        <v>3632</v>
      </c>
      <c r="AM13" s="873">
        <v>6587</v>
      </c>
      <c r="AN13" s="879">
        <f t="shared" si="25"/>
        <v>29603</v>
      </c>
      <c r="AO13" s="883">
        <v>714</v>
      </c>
      <c r="AP13" s="883">
        <v>790</v>
      </c>
      <c r="AQ13" s="883">
        <v>2855</v>
      </c>
      <c r="AR13" s="883">
        <v>2260</v>
      </c>
      <c r="AS13" s="883">
        <v>1919</v>
      </c>
      <c r="AT13" s="883">
        <v>3110</v>
      </c>
      <c r="AU13" s="883">
        <v>1478</v>
      </c>
      <c r="AV13" s="883">
        <v>1509</v>
      </c>
      <c r="AW13" s="883">
        <v>2348</v>
      </c>
      <c r="AX13" s="883">
        <v>964</v>
      </c>
      <c r="AY13" s="883">
        <v>1963</v>
      </c>
      <c r="AZ13" s="873">
        <v>5397</v>
      </c>
      <c r="BA13" s="879">
        <f t="shared" si="26"/>
        <v>25307</v>
      </c>
      <c r="BB13" s="883">
        <v>130</v>
      </c>
      <c r="BC13" s="883">
        <v>1109</v>
      </c>
      <c r="BD13" s="883">
        <v>960</v>
      </c>
      <c r="BE13" s="883">
        <v>958</v>
      </c>
      <c r="BF13" s="883">
        <v>1017</v>
      </c>
      <c r="BG13" s="883">
        <v>3483</v>
      </c>
      <c r="BH13" s="883">
        <v>141</v>
      </c>
      <c r="BI13" s="883">
        <v>1545</v>
      </c>
      <c r="BJ13" s="883">
        <v>2541</v>
      </c>
      <c r="BK13" s="883">
        <v>610</v>
      </c>
      <c r="BL13" s="883">
        <v>828</v>
      </c>
      <c r="BM13" s="873">
        <v>1821</v>
      </c>
      <c r="BN13" s="879">
        <f t="shared" si="27"/>
        <v>15143</v>
      </c>
      <c r="BO13" s="883">
        <v>151</v>
      </c>
      <c r="BP13" s="883">
        <v>762</v>
      </c>
      <c r="BQ13" s="883">
        <v>551</v>
      </c>
      <c r="BR13" s="883">
        <v>216</v>
      </c>
      <c r="BS13" s="883">
        <v>253</v>
      </c>
      <c r="BT13" s="883">
        <v>18</v>
      </c>
      <c r="BU13" s="883">
        <v>152</v>
      </c>
      <c r="BV13" s="883">
        <v>478</v>
      </c>
      <c r="BW13" s="883">
        <v>196</v>
      </c>
      <c r="BX13" s="883">
        <v>536</v>
      </c>
      <c r="BY13" s="883">
        <v>886</v>
      </c>
      <c r="BZ13" s="873">
        <v>835</v>
      </c>
      <c r="CA13" s="879">
        <f t="shared" si="28"/>
        <v>5034</v>
      </c>
      <c r="CB13" s="883"/>
      <c r="CC13" s="883">
        <v>231</v>
      </c>
      <c r="CD13" s="883">
        <v>877</v>
      </c>
      <c r="CE13" s="883">
        <v>353</v>
      </c>
      <c r="CF13" s="883">
        <v>234</v>
      </c>
      <c r="CG13" s="883">
        <v>760</v>
      </c>
      <c r="CH13" s="883">
        <v>92</v>
      </c>
      <c r="CI13" s="883">
        <v>228</v>
      </c>
      <c r="CJ13" s="883">
        <v>35</v>
      </c>
      <c r="CK13" s="883">
        <v>159</v>
      </c>
      <c r="CL13" s="883">
        <v>178</v>
      </c>
      <c r="CM13" s="873">
        <v>768</v>
      </c>
      <c r="CN13" s="879">
        <f t="shared" si="29"/>
        <v>3915</v>
      </c>
      <c r="CO13" s="883">
        <v>79</v>
      </c>
      <c r="CP13" s="883">
        <v>774</v>
      </c>
      <c r="CQ13" s="883">
        <v>2915</v>
      </c>
      <c r="CR13" s="883">
        <v>387</v>
      </c>
      <c r="CS13" s="883">
        <v>358</v>
      </c>
      <c r="CT13" s="883">
        <v>631</v>
      </c>
      <c r="CU13" s="883">
        <v>695</v>
      </c>
      <c r="CV13" s="883">
        <v>164</v>
      </c>
      <c r="CW13" s="883">
        <v>1502</v>
      </c>
      <c r="CX13" s="883">
        <v>1237</v>
      </c>
      <c r="CY13" s="883">
        <v>4778</v>
      </c>
      <c r="CZ13" s="873">
        <v>2163</v>
      </c>
      <c r="DA13" s="879">
        <f t="shared" si="30"/>
        <v>15683</v>
      </c>
      <c r="DB13" s="883"/>
      <c r="DC13" s="883"/>
      <c r="DD13" s="883">
        <v>3503</v>
      </c>
      <c r="DE13" s="883">
        <v>1668</v>
      </c>
      <c r="DF13" s="883">
        <v>394</v>
      </c>
      <c r="DG13" s="883">
        <v>-1302</v>
      </c>
      <c r="DH13" s="883">
        <v>1053</v>
      </c>
      <c r="DI13" s="883">
        <v>725</v>
      </c>
      <c r="DJ13" s="883">
        <v>1249</v>
      </c>
      <c r="DK13" s="883">
        <v>4001</v>
      </c>
      <c r="DL13" s="883">
        <v>1239</v>
      </c>
      <c r="DM13" s="873">
        <v>2117</v>
      </c>
      <c r="DN13" s="879">
        <f t="shared" si="39"/>
        <v>14647</v>
      </c>
      <c r="DO13" s="883"/>
      <c r="DP13" s="883">
        <v>1669</v>
      </c>
      <c r="DQ13" s="883">
        <v>2137</v>
      </c>
      <c r="DR13" s="883">
        <v>985</v>
      </c>
      <c r="DS13" s="883">
        <v>1962</v>
      </c>
      <c r="DT13" s="883">
        <v>776</v>
      </c>
      <c r="DU13" s="883">
        <v>2013</v>
      </c>
      <c r="DV13" s="883">
        <v>937</v>
      </c>
      <c r="DW13" s="883">
        <v>1825</v>
      </c>
      <c r="DX13" s="883">
        <v>3276</v>
      </c>
      <c r="DY13" s="883">
        <v>3265</v>
      </c>
      <c r="DZ13" s="873">
        <v>5622</v>
      </c>
      <c r="EA13" s="879">
        <f t="shared" si="31"/>
        <v>24467</v>
      </c>
      <c r="EB13" s="883">
        <v>26</v>
      </c>
      <c r="EC13" s="883">
        <v>1131</v>
      </c>
      <c r="ED13" s="883">
        <v>1081</v>
      </c>
      <c r="EE13" s="883">
        <v>2067</v>
      </c>
      <c r="EF13" s="883">
        <v>1569</v>
      </c>
      <c r="EG13" s="883">
        <v>1287</v>
      </c>
      <c r="EH13" s="883">
        <v>2239</v>
      </c>
      <c r="EI13" s="883">
        <v>1456</v>
      </c>
      <c r="EJ13" s="883">
        <v>1928</v>
      </c>
      <c r="EK13" s="883">
        <v>1477</v>
      </c>
      <c r="EL13" s="883">
        <v>4276</v>
      </c>
      <c r="EM13" s="873">
        <v>4287</v>
      </c>
      <c r="EN13" s="879">
        <f t="shared" si="32"/>
        <v>22824</v>
      </c>
      <c r="EO13" s="883">
        <v>78</v>
      </c>
      <c r="EP13" s="883">
        <v>359</v>
      </c>
      <c r="EQ13" s="883">
        <v>3074</v>
      </c>
      <c r="ER13" s="883">
        <v>885</v>
      </c>
      <c r="ES13" s="883">
        <v>2906</v>
      </c>
      <c r="ET13" s="883">
        <v>1144</v>
      </c>
      <c r="EU13" s="883">
        <v>4747</v>
      </c>
      <c r="EV13" s="973">
        <v>1496</v>
      </c>
      <c r="EW13" s="883"/>
      <c r="EX13" s="883"/>
      <c r="EY13" s="883"/>
      <c r="EZ13" s="873"/>
      <c r="FA13" s="879">
        <f t="shared" si="33"/>
        <v>14689</v>
      </c>
      <c r="FC13" s="843">
        <f t="shared" si="34"/>
        <v>2.7472527472527375</v>
      </c>
      <c r="FD13" s="844">
        <f t="shared" si="35"/>
        <v>35.307663964627857</v>
      </c>
      <c r="FE13" s="845">
        <f t="shared" si="36"/>
        <v>10856</v>
      </c>
      <c r="FF13" s="846">
        <f t="shared" si="37"/>
        <v>14689</v>
      </c>
      <c r="FH13" s="127">
        <f t="shared" si="38"/>
        <v>40</v>
      </c>
    </row>
    <row r="14" spans="1:164" ht="15" customHeight="1" x14ac:dyDescent="0.25">
      <c r="A14" s="403" t="s">
        <v>663</v>
      </c>
      <c r="B14" s="883">
        <v>32</v>
      </c>
      <c r="C14" s="883">
        <v>263</v>
      </c>
      <c r="D14" s="883">
        <v>535</v>
      </c>
      <c r="E14" s="883">
        <v>828</v>
      </c>
      <c r="F14" s="883">
        <v>1006</v>
      </c>
      <c r="G14" s="883">
        <v>208</v>
      </c>
      <c r="H14" s="883">
        <v>440</v>
      </c>
      <c r="I14" s="883">
        <v>352</v>
      </c>
      <c r="J14" s="883">
        <v>366</v>
      </c>
      <c r="K14" s="883">
        <v>392</v>
      </c>
      <c r="L14" s="883">
        <v>347</v>
      </c>
      <c r="M14" s="873">
        <v>1700</v>
      </c>
      <c r="N14" s="879">
        <f t="shared" si="23"/>
        <v>6469</v>
      </c>
      <c r="O14" s="883">
        <v>551</v>
      </c>
      <c r="P14" s="883">
        <v>431</v>
      </c>
      <c r="Q14" s="883">
        <v>320</v>
      </c>
      <c r="R14" s="883">
        <v>695</v>
      </c>
      <c r="S14" s="883">
        <v>386</v>
      </c>
      <c r="T14" s="883">
        <v>363</v>
      </c>
      <c r="U14" s="883">
        <v>210</v>
      </c>
      <c r="V14" s="883">
        <v>31</v>
      </c>
      <c r="W14" s="883">
        <v>159</v>
      </c>
      <c r="X14" s="883">
        <v>246</v>
      </c>
      <c r="Y14" s="883">
        <v>1315</v>
      </c>
      <c r="Z14" s="873">
        <v>1283</v>
      </c>
      <c r="AA14" s="879">
        <f t="shared" si="24"/>
        <v>5990</v>
      </c>
      <c r="AB14" s="883">
        <v>73</v>
      </c>
      <c r="AC14" s="883">
        <v>647</v>
      </c>
      <c r="AD14" s="883">
        <v>540</v>
      </c>
      <c r="AE14" s="883">
        <v>507</v>
      </c>
      <c r="AF14" s="883">
        <v>244</v>
      </c>
      <c r="AG14" s="883">
        <v>255</v>
      </c>
      <c r="AH14" s="883">
        <v>840</v>
      </c>
      <c r="AI14" s="883">
        <v>406</v>
      </c>
      <c r="AJ14" s="883">
        <v>-9</v>
      </c>
      <c r="AK14" s="883">
        <v>333</v>
      </c>
      <c r="AL14" s="883">
        <v>200</v>
      </c>
      <c r="AM14" s="873">
        <v>445</v>
      </c>
      <c r="AN14" s="879">
        <f t="shared" si="25"/>
        <v>4481</v>
      </c>
      <c r="AO14" s="883">
        <v>539</v>
      </c>
      <c r="AP14" s="883">
        <v>87</v>
      </c>
      <c r="AQ14" s="883">
        <v>747</v>
      </c>
      <c r="AR14" s="883">
        <v>721</v>
      </c>
      <c r="AS14" s="883">
        <v>603</v>
      </c>
      <c r="AT14" s="883">
        <v>209</v>
      </c>
      <c r="AU14" s="883">
        <v>835</v>
      </c>
      <c r="AV14" s="883">
        <v>300</v>
      </c>
      <c r="AW14" s="883">
        <v>797</v>
      </c>
      <c r="AX14" s="883">
        <v>1158</v>
      </c>
      <c r="AY14" s="883">
        <v>1220</v>
      </c>
      <c r="AZ14" s="873">
        <v>630</v>
      </c>
      <c r="BA14" s="879">
        <f t="shared" si="26"/>
        <v>7846</v>
      </c>
      <c r="BB14" s="883"/>
      <c r="BC14" s="883">
        <v>13</v>
      </c>
      <c r="BD14" s="883">
        <v>52</v>
      </c>
      <c r="BE14" s="883">
        <v>299</v>
      </c>
      <c r="BF14" s="883">
        <v>419</v>
      </c>
      <c r="BG14" s="883">
        <v>1534</v>
      </c>
      <c r="BH14" s="883">
        <v>439</v>
      </c>
      <c r="BI14" s="883">
        <v>124</v>
      </c>
      <c r="BJ14" s="883">
        <v>55</v>
      </c>
      <c r="BK14" s="883">
        <v>214</v>
      </c>
      <c r="BL14" s="883">
        <v>325</v>
      </c>
      <c r="BM14" s="873">
        <v>-82</v>
      </c>
      <c r="BN14" s="879">
        <f t="shared" si="27"/>
        <v>3392</v>
      </c>
      <c r="BO14" s="883">
        <v>31</v>
      </c>
      <c r="BP14" s="883">
        <v>519</v>
      </c>
      <c r="BQ14" s="883">
        <v>5</v>
      </c>
      <c r="BR14" s="883">
        <v>14</v>
      </c>
      <c r="BS14" s="883">
        <v>12</v>
      </c>
      <c r="BT14" s="883">
        <v>23</v>
      </c>
      <c r="BU14" s="883">
        <v>21</v>
      </c>
      <c r="BV14" s="883">
        <v>201</v>
      </c>
      <c r="BW14" s="883">
        <v>166</v>
      </c>
      <c r="BX14" s="883">
        <v>327</v>
      </c>
      <c r="BY14" s="883">
        <v>121</v>
      </c>
      <c r="BZ14" s="873">
        <v>86</v>
      </c>
      <c r="CA14" s="879">
        <f t="shared" si="28"/>
        <v>1526</v>
      </c>
      <c r="CB14" s="883"/>
      <c r="CC14" s="883">
        <v>17</v>
      </c>
      <c r="CD14" s="883">
        <v>36</v>
      </c>
      <c r="CE14" s="883">
        <v>40</v>
      </c>
      <c r="CF14" s="883">
        <v>37</v>
      </c>
      <c r="CG14" s="883">
        <v>3</v>
      </c>
      <c r="CH14" s="883">
        <v>1</v>
      </c>
      <c r="CI14" s="883">
        <v>129</v>
      </c>
      <c r="CJ14" s="883">
        <v>225</v>
      </c>
      <c r="CK14" s="883">
        <v>357</v>
      </c>
      <c r="CL14" s="883">
        <v>439</v>
      </c>
      <c r="CM14" s="873">
        <v>608</v>
      </c>
      <c r="CN14" s="879">
        <f t="shared" si="29"/>
        <v>1892</v>
      </c>
      <c r="CO14" s="883"/>
      <c r="CP14" s="883">
        <v>739</v>
      </c>
      <c r="CQ14" s="883">
        <v>1026</v>
      </c>
      <c r="CR14" s="883">
        <v>321</v>
      </c>
      <c r="CS14" s="883">
        <v>598</v>
      </c>
      <c r="CT14" s="883">
        <v>683</v>
      </c>
      <c r="CU14" s="883">
        <v>298</v>
      </c>
      <c r="CV14" s="883">
        <v>960</v>
      </c>
      <c r="CW14" s="883">
        <v>1326</v>
      </c>
      <c r="CX14" s="883">
        <v>717</v>
      </c>
      <c r="CY14" s="883">
        <v>1380</v>
      </c>
      <c r="CZ14" s="873">
        <v>1999</v>
      </c>
      <c r="DA14" s="879">
        <f t="shared" si="30"/>
        <v>10047</v>
      </c>
      <c r="DB14" s="883"/>
      <c r="DC14" s="883"/>
      <c r="DD14" s="883">
        <v>338</v>
      </c>
      <c r="DE14" s="883">
        <v>250</v>
      </c>
      <c r="DF14" s="883">
        <v>826</v>
      </c>
      <c r="DG14" s="883">
        <v>227</v>
      </c>
      <c r="DH14" s="883">
        <v>1087</v>
      </c>
      <c r="DI14" s="883">
        <v>450</v>
      </c>
      <c r="DJ14" s="883">
        <v>1195</v>
      </c>
      <c r="DK14" s="883">
        <v>1288</v>
      </c>
      <c r="DL14" s="883">
        <v>1024</v>
      </c>
      <c r="DM14" s="873">
        <v>2097</v>
      </c>
      <c r="DN14" s="879">
        <f t="shared" si="39"/>
        <v>8782</v>
      </c>
      <c r="DO14" s="883">
        <v>128</v>
      </c>
      <c r="DP14" s="883">
        <v>843</v>
      </c>
      <c r="DQ14" s="883">
        <v>598</v>
      </c>
      <c r="DR14" s="883">
        <v>234</v>
      </c>
      <c r="DS14" s="883">
        <v>307</v>
      </c>
      <c r="DT14" s="883">
        <v>653</v>
      </c>
      <c r="DU14" s="883">
        <v>1262</v>
      </c>
      <c r="DV14" s="883">
        <v>1802</v>
      </c>
      <c r="DW14" s="883">
        <v>1735</v>
      </c>
      <c r="DX14" s="883">
        <v>1339</v>
      </c>
      <c r="DY14" s="883">
        <v>784</v>
      </c>
      <c r="DZ14" s="873">
        <v>2191</v>
      </c>
      <c r="EA14" s="879">
        <f t="shared" si="31"/>
        <v>11876</v>
      </c>
      <c r="EB14" s="883">
        <v>258</v>
      </c>
      <c r="EC14" s="883">
        <v>283</v>
      </c>
      <c r="ED14" s="883">
        <v>76</v>
      </c>
      <c r="EE14" s="883">
        <v>1928</v>
      </c>
      <c r="EF14" s="883">
        <v>3120</v>
      </c>
      <c r="EG14" s="883">
        <v>1471</v>
      </c>
      <c r="EH14" s="883">
        <v>2141</v>
      </c>
      <c r="EI14" s="883">
        <v>3086</v>
      </c>
      <c r="EJ14" s="883">
        <v>940</v>
      </c>
      <c r="EK14" s="883">
        <v>2576</v>
      </c>
      <c r="EL14" s="883">
        <v>1072</v>
      </c>
      <c r="EM14" s="873">
        <v>4895</v>
      </c>
      <c r="EN14" s="879">
        <f t="shared" si="32"/>
        <v>21846</v>
      </c>
      <c r="EO14" s="883">
        <v>253</v>
      </c>
      <c r="EP14" s="883">
        <v>1905</v>
      </c>
      <c r="EQ14" s="883">
        <v>1723</v>
      </c>
      <c r="ER14" s="883">
        <v>1708</v>
      </c>
      <c r="ES14" s="883">
        <v>833</v>
      </c>
      <c r="ET14" s="883">
        <v>3237</v>
      </c>
      <c r="EU14" s="883">
        <v>2012</v>
      </c>
      <c r="EV14" s="973">
        <v>1919</v>
      </c>
      <c r="EW14" s="883"/>
      <c r="EX14" s="883"/>
      <c r="EY14" s="883"/>
      <c r="EZ14" s="873"/>
      <c r="FA14" s="879">
        <f t="shared" si="33"/>
        <v>13590</v>
      </c>
      <c r="FC14" s="843">
        <f t="shared" si="34"/>
        <v>-37.815942968243675</v>
      </c>
      <c r="FD14" s="844">
        <f t="shared" si="35"/>
        <v>9.9247755399174853</v>
      </c>
      <c r="FE14" s="845">
        <f t="shared" si="36"/>
        <v>12363</v>
      </c>
      <c r="FF14" s="846">
        <f t="shared" si="37"/>
        <v>13590</v>
      </c>
      <c r="FH14" s="127">
        <f t="shared" si="38"/>
        <v>-1167</v>
      </c>
    </row>
    <row r="15" spans="1:164" ht="15" customHeight="1" x14ac:dyDescent="0.25">
      <c r="A15" s="403" t="s">
        <v>398</v>
      </c>
      <c r="B15" s="883">
        <v>69</v>
      </c>
      <c r="C15" s="883">
        <v>428</v>
      </c>
      <c r="D15" s="883">
        <v>1232</v>
      </c>
      <c r="E15" s="883">
        <v>81</v>
      </c>
      <c r="F15" s="883">
        <v>259</v>
      </c>
      <c r="G15" s="883">
        <v>249</v>
      </c>
      <c r="H15" s="883">
        <v>1032</v>
      </c>
      <c r="I15" s="883">
        <v>138</v>
      </c>
      <c r="J15" s="883">
        <v>45</v>
      </c>
      <c r="K15" s="883">
        <v>540</v>
      </c>
      <c r="L15" s="883">
        <v>664</v>
      </c>
      <c r="M15" s="873">
        <v>294</v>
      </c>
      <c r="N15" s="879">
        <f t="shared" si="23"/>
        <v>5031</v>
      </c>
      <c r="O15" s="883">
        <v>213</v>
      </c>
      <c r="P15" s="883">
        <v>127</v>
      </c>
      <c r="Q15" s="883">
        <v>181</v>
      </c>
      <c r="R15" s="883">
        <v>488</v>
      </c>
      <c r="S15" s="883">
        <v>1312</v>
      </c>
      <c r="T15" s="883">
        <v>1038</v>
      </c>
      <c r="U15" s="883">
        <v>268</v>
      </c>
      <c r="V15" s="883">
        <v>295</v>
      </c>
      <c r="W15" s="883">
        <v>486</v>
      </c>
      <c r="X15" s="883">
        <v>258</v>
      </c>
      <c r="Y15" s="883">
        <v>441</v>
      </c>
      <c r="Z15" s="873">
        <v>3901</v>
      </c>
      <c r="AA15" s="879">
        <f t="shared" si="24"/>
        <v>9008</v>
      </c>
      <c r="AB15" s="883">
        <v>84</v>
      </c>
      <c r="AC15" s="883">
        <v>118</v>
      </c>
      <c r="AD15" s="883">
        <v>543</v>
      </c>
      <c r="AE15" s="883">
        <v>247</v>
      </c>
      <c r="AF15" s="883">
        <v>530</v>
      </c>
      <c r="AG15" s="883">
        <v>338</v>
      </c>
      <c r="AH15" s="883">
        <v>317</v>
      </c>
      <c r="AI15" s="883">
        <v>1315</v>
      </c>
      <c r="AJ15" s="883">
        <v>1745</v>
      </c>
      <c r="AK15" s="883">
        <v>1237</v>
      </c>
      <c r="AL15" s="883">
        <v>252</v>
      </c>
      <c r="AM15" s="873">
        <v>1636</v>
      </c>
      <c r="AN15" s="879">
        <f t="shared" si="25"/>
        <v>8362</v>
      </c>
      <c r="AO15" s="883">
        <v>267</v>
      </c>
      <c r="AP15" s="883"/>
      <c r="AQ15" s="883">
        <v>727</v>
      </c>
      <c r="AR15" s="883">
        <v>435</v>
      </c>
      <c r="AS15" s="883">
        <v>1275</v>
      </c>
      <c r="AT15" s="883">
        <v>625</v>
      </c>
      <c r="AU15" s="883">
        <v>1556</v>
      </c>
      <c r="AV15" s="883">
        <v>493</v>
      </c>
      <c r="AW15" s="883">
        <v>2065</v>
      </c>
      <c r="AX15" s="883">
        <v>1560</v>
      </c>
      <c r="AY15" s="883">
        <v>1835</v>
      </c>
      <c r="AZ15" s="873">
        <v>883</v>
      </c>
      <c r="BA15" s="879">
        <f t="shared" si="26"/>
        <v>11721</v>
      </c>
      <c r="BB15" s="883"/>
      <c r="BC15" s="883">
        <v>467</v>
      </c>
      <c r="BD15" s="883">
        <v>65</v>
      </c>
      <c r="BE15" s="883">
        <v>287</v>
      </c>
      <c r="BF15" s="883">
        <v>338</v>
      </c>
      <c r="BG15" s="883">
        <v>175</v>
      </c>
      <c r="BH15" s="883">
        <v>81</v>
      </c>
      <c r="BI15" s="883">
        <v>81</v>
      </c>
      <c r="BJ15" s="883">
        <v>163</v>
      </c>
      <c r="BK15" s="883">
        <v>278</v>
      </c>
      <c r="BL15" s="883">
        <v>47</v>
      </c>
      <c r="BM15" s="873">
        <v>166</v>
      </c>
      <c r="BN15" s="879">
        <f t="shared" si="27"/>
        <v>2148</v>
      </c>
      <c r="BO15" s="883">
        <v>118</v>
      </c>
      <c r="BP15" s="883">
        <v>262</v>
      </c>
      <c r="BQ15" s="883">
        <v>71</v>
      </c>
      <c r="BR15" s="883">
        <v>4</v>
      </c>
      <c r="BS15" s="883">
        <v>351</v>
      </c>
      <c r="BT15" s="883">
        <v>40</v>
      </c>
      <c r="BU15" s="883">
        <v>196</v>
      </c>
      <c r="BV15" s="883">
        <v>156</v>
      </c>
      <c r="BW15" s="883">
        <v>188</v>
      </c>
      <c r="BX15" s="883">
        <v>145</v>
      </c>
      <c r="BY15" s="883">
        <v>221</v>
      </c>
      <c r="BZ15" s="873">
        <v>364</v>
      </c>
      <c r="CA15" s="879">
        <f t="shared" si="28"/>
        <v>2116</v>
      </c>
      <c r="CB15" s="883"/>
      <c r="CC15" s="883"/>
      <c r="CD15" s="883"/>
      <c r="CE15" s="883">
        <v>78</v>
      </c>
      <c r="CF15" s="883">
        <v>81</v>
      </c>
      <c r="CG15" s="883">
        <v>50</v>
      </c>
      <c r="CH15" s="883">
        <v>115</v>
      </c>
      <c r="CI15" s="883">
        <v>147</v>
      </c>
      <c r="CJ15" s="883">
        <v>21</v>
      </c>
      <c r="CK15" s="883">
        <v>23</v>
      </c>
      <c r="CL15" s="883">
        <v>283</v>
      </c>
      <c r="CM15" s="873">
        <v>161</v>
      </c>
      <c r="CN15" s="879">
        <f t="shared" si="29"/>
        <v>959</v>
      </c>
      <c r="CO15" s="883"/>
      <c r="CP15" s="883">
        <v>173</v>
      </c>
      <c r="CQ15" s="883">
        <v>61</v>
      </c>
      <c r="CR15" s="883">
        <v>171</v>
      </c>
      <c r="CS15" s="883">
        <v>58</v>
      </c>
      <c r="CT15" s="883">
        <v>38</v>
      </c>
      <c r="CU15" s="883">
        <v>151</v>
      </c>
      <c r="CV15" s="883">
        <v>117</v>
      </c>
      <c r="CW15" s="883">
        <v>6</v>
      </c>
      <c r="CX15" s="883">
        <v>11</v>
      </c>
      <c r="CY15" s="883">
        <v>250</v>
      </c>
      <c r="CZ15" s="873">
        <v>280</v>
      </c>
      <c r="DA15" s="879">
        <f t="shared" si="30"/>
        <v>1316</v>
      </c>
      <c r="DB15" s="883"/>
      <c r="DC15" s="883"/>
      <c r="DD15" s="883"/>
      <c r="DE15" s="883">
        <v>269</v>
      </c>
      <c r="DF15" s="883">
        <v>180</v>
      </c>
      <c r="DG15" s="883">
        <v>64</v>
      </c>
      <c r="DH15" s="883">
        <v>57</v>
      </c>
      <c r="DI15" s="883">
        <v>61</v>
      </c>
      <c r="DJ15" s="883"/>
      <c r="DK15" s="883">
        <v>527</v>
      </c>
      <c r="DL15" s="883">
        <v>742</v>
      </c>
      <c r="DM15" s="873">
        <v>770</v>
      </c>
      <c r="DN15" s="879">
        <f t="shared" si="39"/>
        <v>2670</v>
      </c>
      <c r="DO15" s="883">
        <v>59</v>
      </c>
      <c r="DP15" s="883">
        <v>118</v>
      </c>
      <c r="DQ15" s="883">
        <v>603</v>
      </c>
      <c r="DR15" s="883">
        <v>483</v>
      </c>
      <c r="DS15" s="883">
        <v>114</v>
      </c>
      <c r="DT15" s="883">
        <v>39</v>
      </c>
      <c r="DU15" s="883">
        <v>5</v>
      </c>
      <c r="DV15" s="883">
        <v>15</v>
      </c>
      <c r="DW15" s="883">
        <v>429</v>
      </c>
      <c r="DX15" s="883">
        <v>185</v>
      </c>
      <c r="DY15" s="883">
        <v>265</v>
      </c>
      <c r="DZ15" s="873">
        <v>366</v>
      </c>
      <c r="EA15" s="879">
        <f t="shared" si="31"/>
        <v>2681</v>
      </c>
      <c r="EB15" s="883">
        <v>111</v>
      </c>
      <c r="EC15" s="883">
        <v>677</v>
      </c>
      <c r="ED15" s="883">
        <v>819</v>
      </c>
      <c r="EE15" s="883">
        <v>442</v>
      </c>
      <c r="EF15" s="883">
        <v>609</v>
      </c>
      <c r="EG15" s="883">
        <v>253</v>
      </c>
      <c r="EH15" s="883">
        <v>859</v>
      </c>
      <c r="EI15" s="883">
        <v>332</v>
      </c>
      <c r="EJ15" s="883">
        <v>569</v>
      </c>
      <c r="EK15" s="883">
        <v>987</v>
      </c>
      <c r="EL15" s="883">
        <v>997</v>
      </c>
      <c r="EM15" s="873">
        <v>751</v>
      </c>
      <c r="EN15" s="879">
        <f t="shared" si="32"/>
        <v>7406</v>
      </c>
      <c r="EO15" s="883">
        <v>0</v>
      </c>
      <c r="EP15" s="883">
        <v>181</v>
      </c>
      <c r="EQ15" s="883">
        <v>48</v>
      </c>
      <c r="ER15" s="883">
        <v>0</v>
      </c>
      <c r="ES15" s="883">
        <v>110</v>
      </c>
      <c r="ET15" s="883">
        <v>35</v>
      </c>
      <c r="EU15" s="883">
        <v>0</v>
      </c>
      <c r="EV15" s="973">
        <v>973</v>
      </c>
      <c r="EW15" s="883"/>
      <c r="EX15" s="883"/>
      <c r="EY15" s="883"/>
      <c r="EZ15" s="873"/>
      <c r="FA15" s="879">
        <f t="shared" si="33"/>
        <v>1347</v>
      </c>
      <c r="FC15" s="843">
        <f>IFERROR(((
_xlfn.XLOOKUP((DATE(YEAR($FC$5),MONTH($FC$5),1)),$B$5:$FA$5,$B15:$FA15) /
_xlfn.XLOOKUP((DATE(YEAR($FC$5)-1,MONTH($FC$5),1)),$B$5:$FA$5,$B15:$FA15)
)-1)*100,"")</f>
        <v>193.07228915662651</v>
      </c>
      <c r="FD15" s="844">
        <f t="shared" si="35"/>
        <v>-67.162359824475871</v>
      </c>
      <c r="FE15" s="845">
        <f t="shared" si="36"/>
        <v>4102</v>
      </c>
      <c r="FF15" s="846">
        <f t="shared" si="37"/>
        <v>1347</v>
      </c>
      <c r="FH15" s="954">
        <f t="shared" si="38"/>
        <v>641</v>
      </c>
    </row>
    <row r="16" spans="1:164" ht="15" customHeight="1" x14ac:dyDescent="0.25">
      <c r="A16" s="403" t="s">
        <v>396</v>
      </c>
      <c r="B16" s="883"/>
      <c r="C16" s="883"/>
      <c r="D16" s="883"/>
      <c r="E16" s="883"/>
      <c r="F16" s="883"/>
      <c r="G16" s="883"/>
      <c r="H16" s="883"/>
      <c r="I16" s="883"/>
      <c r="J16" s="883"/>
      <c r="K16" s="883"/>
      <c r="L16" s="883"/>
      <c r="M16" s="873"/>
      <c r="N16" s="879">
        <f t="shared" si="23"/>
        <v>0</v>
      </c>
      <c r="O16" s="883"/>
      <c r="P16" s="883"/>
      <c r="Q16" s="883"/>
      <c r="R16" s="883"/>
      <c r="S16" s="883">
        <v>24</v>
      </c>
      <c r="T16" s="883">
        <v>41</v>
      </c>
      <c r="U16" s="883">
        <v>6</v>
      </c>
      <c r="V16" s="883">
        <v>9</v>
      </c>
      <c r="W16" s="883">
        <v>25</v>
      </c>
      <c r="X16" s="883">
        <v>27</v>
      </c>
      <c r="Y16" s="883">
        <v>17</v>
      </c>
      <c r="Z16" s="873">
        <v>-150</v>
      </c>
      <c r="AA16" s="879">
        <f t="shared" si="24"/>
        <v>-1</v>
      </c>
      <c r="AB16" s="883"/>
      <c r="AC16" s="883"/>
      <c r="AD16" s="883"/>
      <c r="AE16" s="883">
        <v>3</v>
      </c>
      <c r="AF16" s="883"/>
      <c r="AG16" s="883"/>
      <c r="AH16" s="883"/>
      <c r="AI16" s="883"/>
      <c r="AJ16" s="883"/>
      <c r="AK16" s="883"/>
      <c r="AL16" s="883"/>
      <c r="AM16" s="873"/>
      <c r="AN16" s="879">
        <f t="shared" si="25"/>
        <v>3</v>
      </c>
      <c r="AO16" s="883"/>
      <c r="AP16" s="883">
        <v>321</v>
      </c>
      <c r="AQ16" s="883"/>
      <c r="AR16" s="883"/>
      <c r="AS16" s="883"/>
      <c r="AT16" s="883"/>
      <c r="AU16" s="883"/>
      <c r="AV16" s="883"/>
      <c r="AW16" s="883"/>
      <c r="AX16" s="883"/>
      <c r="AY16" s="883"/>
      <c r="AZ16" s="873"/>
      <c r="BA16" s="879">
        <f t="shared" si="26"/>
        <v>321</v>
      </c>
      <c r="BB16" s="883"/>
      <c r="BC16" s="883"/>
      <c r="BD16" s="883"/>
      <c r="BE16" s="883"/>
      <c r="BF16" s="883"/>
      <c r="BG16" s="883"/>
      <c r="BH16" s="883"/>
      <c r="BI16" s="883"/>
      <c r="BJ16" s="883"/>
      <c r="BK16" s="883"/>
      <c r="BL16" s="883"/>
      <c r="BM16" s="873"/>
      <c r="BN16" s="879">
        <f t="shared" si="27"/>
        <v>0</v>
      </c>
      <c r="BO16" s="883"/>
      <c r="BP16" s="883">
        <v>20</v>
      </c>
      <c r="BQ16" s="883"/>
      <c r="BR16" s="883"/>
      <c r="BS16" s="883">
        <v>52</v>
      </c>
      <c r="BT16" s="883">
        <v>39</v>
      </c>
      <c r="BU16" s="883">
        <v>33</v>
      </c>
      <c r="BV16" s="883"/>
      <c r="BW16" s="883">
        <v>14</v>
      </c>
      <c r="BX16" s="883">
        <v>32</v>
      </c>
      <c r="BY16" s="883"/>
      <c r="BZ16" s="873">
        <v>88</v>
      </c>
      <c r="CA16" s="879">
        <f t="shared" si="28"/>
        <v>278</v>
      </c>
      <c r="CB16" s="883"/>
      <c r="CC16" s="883"/>
      <c r="CD16" s="883"/>
      <c r="CE16" s="883"/>
      <c r="CF16" s="883"/>
      <c r="CG16" s="883"/>
      <c r="CH16" s="883"/>
      <c r="CI16" s="883"/>
      <c r="CJ16" s="883"/>
      <c r="CK16" s="883"/>
      <c r="CL16" s="883"/>
      <c r="CM16" s="873"/>
      <c r="CN16" s="879">
        <f t="shared" si="29"/>
        <v>0</v>
      </c>
      <c r="CO16" s="883"/>
      <c r="CP16" s="883"/>
      <c r="CQ16" s="883"/>
      <c r="CR16" s="883"/>
      <c r="CS16" s="883"/>
      <c r="CT16" s="883"/>
      <c r="CU16" s="883"/>
      <c r="CV16" s="883">
        <v>4</v>
      </c>
      <c r="CW16" s="883"/>
      <c r="CX16" s="883"/>
      <c r="CY16" s="883"/>
      <c r="CZ16" s="873"/>
      <c r="DA16" s="879">
        <f t="shared" si="30"/>
        <v>4</v>
      </c>
      <c r="DB16" s="883"/>
      <c r="DC16" s="883"/>
      <c r="DD16" s="883"/>
      <c r="DE16" s="883"/>
      <c r="DF16" s="883"/>
      <c r="DG16" s="883"/>
      <c r="DH16" s="883"/>
      <c r="DI16" s="883"/>
      <c r="DJ16" s="883">
        <v>5</v>
      </c>
      <c r="DK16" s="883"/>
      <c r="DL16" s="883"/>
      <c r="DM16" s="873">
        <v>9</v>
      </c>
      <c r="DN16" s="879">
        <f t="shared" si="39"/>
        <v>14</v>
      </c>
      <c r="DO16" s="883"/>
      <c r="DP16" s="883"/>
      <c r="DQ16" s="883"/>
      <c r="DR16" s="883"/>
      <c r="DS16" s="883"/>
      <c r="DT16" s="883"/>
      <c r="DU16" s="883"/>
      <c r="DV16" s="883">
        <v>9</v>
      </c>
      <c r="DW16" s="883"/>
      <c r="DX16" s="883"/>
      <c r="DY16" s="883"/>
      <c r="DZ16" s="873">
        <v>119</v>
      </c>
      <c r="EA16" s="879">
        <f t="shared" si="31"/>
        <v>128</v>
      </c>
      <c r="EB16" s="883">
        <v>0</v>
      </c>
      <c r="EC16" s="883">
        <v>0</v>
      </c>
      <c r="ED16" s="883">
        <v>0</v>
      </c>
      <c r="EE16" s="883">
        <v>25</v>
      </c>
      <c r="EF16" s="883">
        <v>0</v>
      </c>
      <c r="EG16" s="883">
        <v>0</v>
      </c>
      <c r="EH16" s="883">
        <v>0</v>
      </c>
      <c r="EI16" s="883">
        <v>12</v>
      </c>
      <c r="EJ16" s="883">
        <v>6</v>
      </c>
      <c r="EK16" s="883">
        <v>0</v>
      </c>
      <c r="EL16" s="883">
        <v>205</v>
      </c>
      <c r="EM16" s="873">
        <v>114</v>
      </c>
      <c r="EN16" s="879">
        <f t="shared" si="32"/>
        <v>362</v>
      </c>
      <c r="EO16" s="883">
        <v>0</v>
      </c>
      <c r="EP16" s="883">
        <v>0</v>
      </c>
      <c r="EQ16" s="883">
        <v>0</v>
      </c>
      <c r="ER16" s="883">
        <v>0</v>
      </c>
      <c r="ES16" s="883">
        <v>0</v>
      </c>
      <c r="ET16" s="883">
        <v>0</v>
      </c>
      <c r="EU16" s="883">
        <v>0</v>
      </c>
      <c r="EV16" s="973">
        <v>0</v>
      </c>
      <c r="EW16" s="883"/>
      <c r="EX16" s="883"/>
      <c r="EY16" s="883"/>
      <c r="EZ16" s="873"/>
      <c r="FA16" s="879">
        <f t="shared" si="33"/>
        <v>0</v>
      </c>
      <c r="FC16" s="843">
        <f t="shared" si="34"/>
        <v>-100</v>
      </c>
      <c r="FD16" s="844">
        <f t="shared" si="35"/>
        <v>-100</v>
      </c>
      <c r="FE16" s="845">
        <f>SUMIFS($B16:$FA16,$B$5:$FA$5,"&gt;="&amp;DATE(YEAR($FC$5)-1,1,1),$B$5:$FA$5,"&lt;="&amp;DATE(YEAR($FC$5)-1,MONTH($FC$5),1))</f>
        <v>37</v>
      </c>
      <c r="FF16" s="846">
        <f t="shared" si="37"/>
        <v>0</v>
      </c>
      <c r="FH16" s="127">
        <f t="shared" si="38"/>
        <v>-12</v>
      </c>
    </row>
    <row r="17" spans="1:164" ht="15" customHeight="1" x14ac:dyDescent="0.25">
      <c r="A17" s="403" t="s">
        <v>399</v>
      </c>
      <c r="B17" s="883"/>
      <c r="C17" s="883">
        <v>387</v>
      </c>
      <c r="D17" s="883">
        <v>240</v>
      </c>
      <c r="E17" s="883">
        <v>4</v>
      </c>
      <c r="F17" s="883">
        <v>48</v>
      </c>
      <c r="G17" s="883">
        <v>2730</v>
      </c>
      <c r="H17" s="883">
        <v>-21</v>
      </c>
      <c r="I17" s="883">
        <v>360</v>
      </c>
      <c r="J17" s="883">
        <v>89</v>
      </c>
      <c r="K17" s="883">
        <v>313</v>
      </c>
      <c r="L17" s="883">
        <v>18</v>
      </c>
      <c r="M17" s="873">
        <v>368</v>
      </c>
      <c r="N17" s="879">
        <f t="shared" si="23"/>
        <v>4536</v>
      </c>
      <c r="O17" s="883"/>
      <c r="P17" s="883"/>
      <c r="Q17" s="883">
        <v>61</v>
      </c>
      <c r="R17" s="883">
        <v>7</v>
      </c>
      <c r="S17" s="883">
        <v>6</v>
      </c>
      <c r="T17" s="883">
        <v>22</v>
      </c>
      <c r="U17" s="883"/>
      <c r="V17" s="883"/>
      <c r="W17" s="883">
        <v>20</v>
      </c>
      <c r="X17" s="883"/>
      <c r="Y17" s="883">
        <v>28</v>
      </c>
      <c r="Z17" s="873">
        <v>4</v>
      </c>
      <c r="AA17" s="879">
        <f t="shared" si="24"/>
        <v>148</v>
      </c>
      <c r="AB17" s="883">
        <v>259</v>
      </c>
      <c r="AC17" s="883">
        <v>106</v>
      </c>
      <c r="AD17" s="883">
        <v>74</v>
      </c>
      <c r="AE17" s="883">
        <v>22</v>
      </c>
      <c r="AF17" s="883">
        <v>31</v>
      </c>
      <c r="AG17" s="883"/>
      <c r="AH17" s="883">
        <v>148</v>
      </c>
      <c r="AI17" s="883">
        <v>202</v>
      </c>
      <c r="AJ17" s="883">
        <v>134</v>
      </c>
      <c r="AK17" s="883">
        <v>165</v>
      </c>
      <c r="AL17" s="883">
        <v>987</v>
      </c>
      <c r="AM17" s="873">
        <v>1126</v>
      </c>
      <c r="AN17" s="879">
        <f t="shared" si="25"/>
        <v>3254</v>
      </c>
      <c r="AO17" s="883"/>
      <c r="AP17" s="883">
        <v>13</v>
      </c>
      <c r="AQ17" s="883">
        <v>412</v>
      </c>
      <c r="AR17" s="883">
        <v>262</v>
      </c>
      <c r="AS17" s="883">
        <v>466</v>
      </c>
      <c r="AT17" s="883">
        <v>1149</v>
      </c>
      <c r="AU17" s="883">
        <v>1867</v>
      </c>
      <c r="AV17" s="883">
        <v>72</v>
      </c>
      <c r="AW17" s="883">
        <v>483</v>
      </c>
      <c r="AX17" s="883">
        <v>266</v>
      </c>
      <c r="AY17" s="883">
        <v>796</v>
      </c>
      <c r="AZ17" s="873">
        <v>238</v>
      </c>
      <c r="BA17" s="879">
        <f t="shared" si="26"/>
        <v>6024</v>
      </c>
      <c r="BB17" s="883"/>
      <c r="BC17" s="883">
        <v>251</v>
      </c>
      <c r="BD17" s="883">
        <v>279</v>
      </c>
      <c r="BE17" s="883">
        <v>112</v>
      </c>
      <c r="BF17" s="883">
        <v>10</v>
      </c>
      <c r="BG17" s="883">
        <v>10</v>
      </c>
      <c r="BH17" s="883">
        <v>30</v>
      </c>
      <c r="BI17" s="883"/>
      <c r="BJ17" s="883">
        <v>19</v>
      </c>
      <c r="BK17" s="883">
        <v>9</v>
      </c>
      <c r="BL17" s="883">
        <v>10</v>
      </c>
      <c r="BM17" s="873">
        <v>36</v>
      </c>
      <c r="BN17" s="879">
        <f t="shared" si="27"/>
        <v>766</v>
      </c>
      <c r="BO17" s="883"/>
      <c r="BP17" s="883"/>
      <c r="BQ17" s="883"/>
      <c r="BR17" s="883"/>
      <c r="BS17" s="883">
        <v>3</v>
      </c>
      <c r="BT17" s="883">
        <v>1</v>
      </c>
      <c r="BU17" s="883">
        <v>67</v>
      </c>
      <c r="BV17" s="883">
        <v>12</v>
      </c>
      <c r="BW17" s="883">
        <v>39</v>
      </c>
      <c r="BX17" s="883">
        <v>9</v>
      </c>
      <c r="BY17" s="883">
        <v>2</v>
      </c>
      <c r="BZ17" s="873">
        <v>27</v>
      </c>
      <c r="CA17" s="879">
        <f t="shared" si="28"/>
        <v>160</v>
      </c>
      <c r="CB17" s="883">
        <v>7</v>
      </c>
      <c r="CC17" s="883"/>
      <c r="CD17" s="883">
        <v>1697</v>
      </c>
      <c r="CE17" s="883"/>
      <c r="CF17" s="883">
        <v>51</v>
      </c>
      <c r="CG17" s="883">
        <v>190</v>
      </c>
      <c r="CH17" s="883">
        <v>439</v>
      </c>
      <c r="CI17" s="883">
        <v>602</v>
      </c>
      <c r="CJ17" s="883">
        <v>294</v>
      </c>
      <c r="CK17" s="883">
        <v>452</v>
      </c>
      <c r="CL17" s="883">
        <v>190</v>
      </c>
      <c r="CM17" s="873">
        <v>208</v>
      </c>
      <c r="CN17" s="879">
        <f t="shared" si="29"/>
        <v>4130</v>
      </c>
      <c r="CO17" s="883"/>
      <c r="CP17" s="883">
        <v>259</v>
      </c>
      <c r="CQ17" s="883">
        <v>12</v>
      </c>
      <c r="CR17" s="883">
        <v>2</v>
      </c>
      <c r="CS17" s="883">
        <v>101</v>
      </c>
      <c r="CT17" s="883">
        <v>721</v>
      </c>
      <c r="CU17" s="883">
        <v>385</v>
      </c>
      <c r="CV17" s="883">
        <v>2041</v>
      </c>
      <c r="CW17" s="883">
        <v>848</v>
      </c>
      <c r="CX17" s="883">
        <v>284</v>
      </c>
      <c r="CY17" s="883">
        <v>1220</v>
      </c>
      <c r="CZ17" s="873">
        <v>2274</v>
      </c>
      <c r="DA17" s="879">
        <f t="shared" si="30"/>
        <v>8147</v>
      </c>
      <c r="DB17" s="883"/>
      <c r="DC17" s="883"/>
      <c r="DD17" s="883">
        <v>594</v>
      </c>
      <c r="DE17" s="883">
        <v>1</v>
      </c>
      <c r="DF17" s="883"/>
      <c r="DG17" s="883">
        <v>51</v>
      </c>
      <c r="DH17" s="883">
        <v>1114</v>
      </c>
      <c r="DI17" s="883">
        <v>242</v>
      </c>
      <c r="DJ17" s="883">
        <v>228</v>
      </c>
      <c r="DK17" s="883">
        <v>188</v>
      </c>
      <c r="DL17" s="883">
        <v>270</v>
      </c>
      <c r="DM17" s="873">
        <v>388</v>
      </c>
      <c r="DN17" s="879">
        <f t="shared" si="39"/>
        <v>3076</v>
      </c>
      <c r="DO17" s="883"/>
      <c r="DP17" s="883"/>
      <c r="DQ17" s="883">
        <v>35</v>
      </c>
      <c r="DR17" s="883">
        <v>765</v>
      </c>
      <c r="DS17" s="883"/>
      <c r="DT17" s="883">
        <v>367</v>
      </c>
      <c r="DU17" s="883">
        <v>78</v>
      </c>
      <c r="DV17" s="883">
        <v>230</v>
      </c>
      <c r="DW17" s="883">
        <v>126</v>
      </c>
      <c r="DX17" s="883">
        <v>98</v>
      </c>
      <c r="DY17" s="883">
        <v>140</v>
      </c>
      <c r="DZ17" s="873">
        <v>918</v>
      </c>
      <c r="EA17" s="879">
        <f t="shared" si="31"/>
        <v>2757</v>
      </c>
      <c r="EB17" s="883">
        <v>0</v>
      </c>
      <c r="EC17" s="883">
        <v>181</v>
      </c>
      <c r="ED17" s="883">
        <v>542</v>
      </c>
      <c r="EE17" s="883">
        <v>522</v>
      </c>
      <c r="EF17" s="883">
        <v>237</v>
      </c>
      <c r="EG17" s="883">
        <v>222</v>
      </c>
      <c r="EH17" s="883">
        <v>342</v>
      </c>
      <c r="EI17" s="883">
        <v>386</v>
      </c>
      <c r="EJ17" s="883">
        <v>229</v>
      </c>
      <c r="EK17" s="883">
        <v>94</v>
      </c>
      <c r="EL17" s="883">
        <v>838</v>
      </c>
      <c r="EM17" s="873">
        <v>677</v>
      </c>
      <c r="EN17" s="879">
        <f t="shared" si="32"/>
        <v>4270</v>
      </c>
      <c r="EO17" s="883">
        <v>0</v>
      </c>
      <c r="EP17" s="883">
        <v>0</v>
      </c>
      <c r="EQ17" s="883">
        <v>0</v>
      </c>
      <c r="ER17" s="883">
        <v>237</v>
      </c>
      <c r="ES17" s="883">
        <v>0</v>
      </c>
      <c r="ET17" s="883">
        <v>5</v>
      </c>
      <c r="EU17" s="883">
        <v>58</v>
      </c>
      <c r="EV17" s="973">
        <v>114</v>
      </c>
      <c r="EW17" s="883"/>
      <c r="EX17" s="883"/>
      <c r="EY17" s="883"/>
      <c r="EZ17" s="873"/>
      <c r="FA17" s="879">
        <f t="shared" si="33"/>
        <v>414</v>
      </c>
      <c r="FC17" s="843">
        <f t="shared" si="34"/>
        <v>-70.466321243523325</v>
      </c>
      <c r="FD17" s="844">
        <f t="shared" si="35"/>
        <v>-82.976973684210535</v>
      </c>
      <c r="FE17" s="845">
        <f t="shared" si="36"/>
        <v>2432</v>
      </c>
      <c r="FF17" s="846">
        <f t="shared" si="37"/>
        <v>414</v>
      </c>
      <c r="FH17" s="127">
        <f t="shared" si="38"/>
        <v>-272</v>
      </c>
    </row>
    <row r="18" spans="1:164" ht="15" customHeight="1" x14ac:dyDescent="0.25">
      <c r="A18" s="403" t="s">
        <v>400</v>
      </c>
      <c r="B18" s="883"/>
      <c r="C18" s="883"/>
      <c r="D18" s="883"/>
      <c r="E18" s="883"/>
      <c r="F18" s="883"/>
      <c r="G18" s="883"/>
      <c r="H18" s="883"/>
      <c r="I18" s="883"/>
      <c r="J18" s="883"/>
      <c r="K18" s="883"/>
      <c r="L18" s="883"/>
      <c r="M18" s="873">
        <v>3</v>
      </c>
      <c r="N18" s="879">
        <f t="shared" si="23"/>
        <v>3</v>
      </c>
      <c r="O18" s="883"/>
      <c r="P18" s="883">
        <v>4</v>
      </c>
      <c r="Q18" s="883"/>
      <c r="R18" s="883">
        <v>46</v>
      </c>
      <c r="S18" s="883">
        <v>4</v>
      </c>
      <c r="T18" s="883">
        <v>113</v>
      </c>
      <c r="U18" s="883">
        <v>59</v>
      </c>
      <c r="V18" s="883"/>
      <c r="W18" s="883"/>
      <c r="X18" s="883"/>
      <c r="Y18" s="883"/>
      <c r="Z18" s="873"/>
      <c r="AA18" s="879">
        <f t="shared" si="24"/>
        <v>226</v>
      </c>
      <c r="AB18" s="883"/>
      <c r="AC18" s="883"/>
      <c r="AD18" s="883"/>
      <c r="AE18" s="883"/>
      <c r="AF18" s="883"/>
      <c r="AG18" s="883"/>
      <c r="AH18" s="883"/>
      <c r="AI18" s="883"/>
      <c r="AJ18" s="883"/>
      <c r="AK18" s="883"/>
      <c r="AL18" s="883"/>
      <c r="AM18" s="873"/>
      <c r="AN18" s="879">
        <f t="shared" si="25"/>
        <v>0</v>
      </c>
      <c r="AO18" s="883"/>
      <c r="AP18" s="883"/>
      <c r="AQ18" s="883"/>
      <c r="AR18" s="883"/>
      <c r="AS18" s="883"/>
      <c r="AT18" s="883"/>
      <c r="AU18" s="883"/>
      <c r="AV18" s="883"/>
      <c r="AW18" s="883"/>
      <c r="AX18" s="883"/>
      <c r="AY18" s="883"/>
      <c r="AZ18" s="873"/>
      <c r="BA18" s="879">
        <f t="shared" si="26"/>
        <v>0</v>
      </c>
      <c r="BB18" s="883"/>
      <c r="BC18" s="883"/>
      <c r="BD18" s="883"/>
      <c r="BE18" s="883"/>
      <c r="BF18" s="883"/>
      <c r="BG18" s="883"/>
      <c r="BH18" s="883"/>
      <c r="BI18" s="883"/>
      <c r="BJ18" s="883"/>
      <c r="BK18" s="883"/>
      <c r="BL18" s="883"/>
      <c r="BM18" s="873"/>
      <c r="BN18" s="879">
        <f t="shared" si="27"/>
        <v>0</v>
      </c>
      <c r="BO18" s="883"/>
      <c r="BP18" s="883"/>
      <c r="BQ18" s="883"/>
      <c r="BR18" s="883"/>
      <c r="BS18" s="883"/>
      <c r="BT18" s="883"/>
      <c r="BU18" s="883"/>
      <c r="BV18" s="883">
        <v>30</v>
      </c>
      <c r="BW18" s="883"/>
      <c r="BX18" s="883"/>
      <c r="BY18" s="883"/>
      <c r="BZ18" s="873"/>
      <c r="CA18" s="879">
        <f t="shared" si="28"/>
        <v>30</v>
      </c>
      <c r="CB18" s="883"/>
      <c r="CC18" s="883"/>
      <c r="CD18" s="883">
        <v>52</v>
      </c>
      <c r="CE18" s="883">
        <v>19</v>
      </c>
      <c r="CF18" s="883">
        <v>5</v>
      </c>
      <c r="CG18" s="883">
        <v>40</v>
      </c>
      <c r="CH18" s="883">
        <v>21</v>
      </c>
      <c r="CI18" s="883">
        <v>17</v>
      </c>
      <c r="CJ18" s="883">
        <v>80</v>
      </c>
      <c r="CK18" s="883">
        <v>20</v>
      </c>
      <c r="CL18" s="883">
        <v>24</v>
      </c>
      <c r="CM18" s="873">
        <v>111</v>
      </c>
      <c r="CN18" s="879">
        <f t="shared" si="29"/>
        <v>389</v>
      </c>
      <c r="CO18" s="883"/>
      <c r="CP18" s="883">
        <v>16</v>
      </c>
      <c r="CQ18" s="883">
        <v>360</v>
      </c>
      <c r="CR18" s="883">
        <v>210</v>
      </c>
      <c r="CS18" s="883">
        <v>207</v>
      </c>
      <c r="CT18" s="883">
        <v>88</v>
      </c>
      <c r="CU18" s="883">
        <v>299</v>
      </c>
      <c r="CV18" s="883">
        <v>135</v>
      </c>
      <c r="CW18" s="883">
        <v>80</v>
      </c>
      <c r="CX18" s="883">
        <v>231</v>
      </c>
      <c r="CY18" s="883">
        <v>50</v>
      </c>
      <c r="CZ18" s="873">
        <v>311</v>
      </c>
      <c r="DA18" s="879">
        <f t="shared" si="30"/>
        <v>1987</v>
      </c>
      <c r="DB18" s="883"/>
      <c r="DC18" s="883"/>
      <c r="DD18" s="883"/>
      <c r="DE18" s="883">
        <v>92</v>
      </c>
      <c r="DF18" s="883">
        <v>38</v>
      </c>
      <c r="DG18" s="883">
        <v>47</v>
      </c>
      <c r="DH18" s="883">
        <v>82</v>
      </c>
      <c r="DI18" s="883">
        <v>73</v>
      </c>
      <c r="DJ18" s="883">
        <v>78</v>
      </c>
      <c r="DK18" s="883">
        <v>51</v>
      </c>
      <c r="DL18" s="883">
        <v>70</v>
      </c>
      <c r="DM18" s="873">
        <v>254</v>
      </c>
      <c r="DN18" s="879">
        <f t="shared" si="39"/>
        <v>785</v>
      </c>
      <c r="DO18" s="883"/>
      <c r="DP18" s="883"/>
      <c r="DQ18" s="883"/>
      <c r="DR18" s="883"/>
      <c r="DS18" s="883"/>
      <c r="DT18" s="883"/>
      <c r="DU18" s="883"/>
      <c r="DV18" s="883"/>
      <c r="DW18" s="883"/>
      <c r="DX18" s="883"/>
      <c r="DY18" s="883"/>
      <c r="DZ18" s="873"/>
      <c r="EA18" s="879">
        <f t="shared" si="31"/>
        <v>0</v>
      </c>
      <c r="EB18" s="883">
        <v>0</v>
      </c>
      <c r="EC18" s="883">
        <v>0</v>
      </c>
      <c r="ED18" s="883">
        <v>0</v>
      </c>
      <c r="EE18" s="883">
        <v>0</v>
      </c>
      <c r="EF18" s="883">
        <v>0</v>
      </c>
      <c r="EG18" s="883">
        <v>0</v>
      </c>
      <c r="EH18" s="883">
        <v>0</v>
      </c>
      <c r="EI18" s="883">
        <v>0</v>
      </c>
      <c r="EJ18" s="883">
        <v>0</v>
      </c>
      <c r="EK18" s="883">
        <v>0</v>
      </c>
      <c r="EL18" s="883">
        <v>0</v>
      </c>
      <c r="EM18" s="873">
        <v>0</v>
      </c>
      <c r="EN18" s="879">
        <f t="shared" si="32"/>
        <v>0</v>
      </c>
      <c r="EO18" s="883">
        <v>0</v>
      </c>
      <c r="EP18" s="883">
        <v>0</v>
      </c>
      <c r="EQ18" s="883">
        <v>192</v>
      </c>
      <c r="ER18" s="883">
        <v>0</v>
      </c>
      <c r="ES18" s="883">
        <v>0</v>
      </c>
      <c r="ET18" s="883">
        <v>0</v>
      </c>
      <c r="EU18" s="883">
        <v>0</v>
      </c>
      <c r="EV18" s="973">
        <v>0</v>
      </c>
      <c r="EW18" s="883"/>
      <c r="EX18" s="883"/>
      <c r="EY18" s="883"/>
      <c r="EZ18" s="873"/>
      <c r="FA18" s="879">
        <f t="shared" si="33"/>
        <v>192</v>
      </c>
      <c r="FC18" s="843" t="str">
        <f t="shared" si="34"/>
        <v/>
      </c>
      <c r="FD18" s="844" t="str">
        <f t="shared" si="35"/>
        <v/>
      </c>
      <c r="FE18" s="845">
        <f t="shared" si="36"/>
        <v>0</v>
      </c>
      <c r="FF18" s="846">
        <f t="shared" si="37"/>
        <v>192</v>
      </c>
      <c r="FH18" s="127">
        <f t="shared" si="38"/>
        <v>0</v>
      </c>
    </row>
    <row r="19" spans="1:164" ht="15" customHeight="1" x14ac:dyDescent="0.25">
      <c r="A19" s="403" t="s">
        <v>401</v>
      </c>
      <c r="B19" s="883">
        <v>160</v>
      </c>
      <c r="C19" s="883">
        <v>870</v>
      </c>
      <c r="D19" s="883">
        <v>670</v>
      </c>
      <c r="E19" s="883">
        <v>1328</v>
      </c>
      <c r="F19" s="883">
        <v>835</v>
      </c>
      <c r="G19" s="883">
        <v>608</v>
      </c>
      <c r="H19" s="883">
        <v>1711</v>
      </c>
      <c r="I19" s="883">
        <v>1360</v>
      </c>
      <c r="J19" s="883">
        <v>1260</v>
      </c>
      <c r="K19" s="883">
        <v>1305</v>
      </c>
      <c r="L19" s="883">
        <v>1397</v>
      </c>
      <c r="M19" s="873">
        <v>1937</v>
      </c>
      <c r="N19" s="879">
        <f t="shared" si="23"/>
        <v>13441</v>
      </c>
      <c r="O19" s="883">
        <v>130</v>
      </c>
      <c r="P19" s="883">
        <v>1086</v>
      </c>
      <c r="Q19" s="883">
        <v>599</v>
      </c>
      <c r="R19" s="883">
        <v>742</v>
      </c>
      <c r="S19" s="883">
        <v>917</v>
      </c>
      <c r="T19" s="883">
        <v>452</v>
      </c>
      <c r="U19" s="883">
        <v>1015</v>
      </c>
      <c r="V19" s="883">
        <v>1746</v>
      </c>
      <c r="W19" s="883">
        <v>1960</v>
      </c>
      <c r="X19" s="883">
        <v>1666</v>
      </c>
      <c r="Y19" s="883">
        <v>5271</v>
      </c>
      <c r="Z19" s="873">
        <v>9993</v>
      </c>
      <c r="AA19" s="879">
        <f t="shared" si="24"/>
        <v>25577</v>
      </c>
      <c r="AB19" s="883">
        <v>100</v>
      </c>
      <c r="AC19" s="883">
        <v>1510</v>
      </c>
      <c r="AD19" s="883">
        <v>1965</v>
      </c>
      <c r="AE19" s="883">
        <v>1090</v>
      </c>
      <c r="AF19" s="883">
        <v>1024</v>
      </c>
      <c r="AG19" s="883">
        <v>1073</v>
      </c>
      <c r="AH19" s="883">
        <v>3003</v>
      </c>
      <c r="AI19" s="883">
        <v>812</v>
      </c>
      <c r="AJ19" s="883">
        <v>1608</v>
      </c>
      <c r="AK19" s="883">
        <v>2925</v>
      </c>
      <c r="AL19" s="883">
        <v>4565</v>
      </c>
      <c r="AM19" s="873">
        <v>6276</v>
      </c>
      <c r="AN19" s="879">
        <f t="shared" si="25"/>
        <v>25951</v>
      </c>
      <c r="AO19" s="883">
        <v>91</v>
      </c>
      <c r="AP19" s="883">
        <v>1170</v>
      </c>
      <c r="AQ19" s="883">
        <v>1668</v>
      </c>
      <c r="AR19" s="883">
        <v>847</v>
      </c>
      <c r="AS19" s="883">
        <v>3417</v>
      </c>
      <c r="AT19" s="883">
        <v>2961</v>
      </c>
      <c r="AU19" s="883">
        <v>12768</v>
      </c>
      <c r="AV19" s="883">
        <v>12555</v>
      </c>
      <c r="AW19" s="883">
        <v>8698</v>
      </c>
      <c r="AX19" s="883">
        <v>3206</v>
      </c>
      <c r="AY19" s="883">
        <v>5097</v>
      </c>
      <c r="AZ19" s="873">
        <v>7359</v>
      </c>
      <c r="BA19" s="879">
        <f t="shared" si="26"/>
        <v>59837</v>
      </c>
      <c r="BB19" s="883"/>
      <c r="BC19" s="883">
        <v>1115</v>
      </c>
      <c r="BD19" s="883">
        <v>14799</v>
      </c>
      <c r="BE19" s="883">
        <v>17913</v>
      </c>
      <c r="BF19" s="883">
        <v>1102</v>
      </c>
      <c r="BG19" s="883">
        <v>15224</v>
      </c>
      <c r="BH19" s="883">
        <v>7174</v>
      </c>
      <c r="BI19" s="883">
        <v>22670</v>
      </c>
      <c r="BJ19" s="883">
        <v>13802</v>
      </c>
      <c r="BK19" s="883">
        <v>8889</v>
      </c>
      <c r="BL19" s="883">
        <v>12190</v>
      </c>
      <c r="BM19" s="873">
        <v>18839</v>
      </c>
      <c r="BN19" s="879">
        <f t="shared" si="27"/>
        <v>133717</v>
      </c>
      <c r="BO19" s="883">
        <v>1509</v>
      </c>
      <c r="BP19" s="883">
        <v>2955</v>
      </c>
      <c r="BQ19" s="883">
        <v>4295</v>
      </c>
      <c r="BR19" s="883">
        <v>2412</v>
      </c>
      <c r="BS19" s="883">
        <v>265</v>
      </c>
      <c r="BT19" s="883">
        <v>1310</v>
      </c>
      <c r="BU19" s="883">
        <v>10644</v>
      </c>
      <c r="BV19" s="883">
        <v>3142</v>
      </c>
      <c r="BW19" s="883">
        <v>4214</v>
      </c>
      <c r="BX19" s="883">
        <v>5210</v>
      </c>
      <c r="BY19" s="883">
        <v>5063</v>
      </c>
      <c r="BZ19" s="873">
        <v>18218</v>
      </c>
      <c r="CA19" s="879">
        <f t="shared" si="28"/>
        <v>59237</v>
      </c>
      <c r="CB19" s="883">
        <v>534</v>
      </c>
      <c r="CC19" s="883">
        <v>2925</v>
      </c>
      <c r="CD19" s="883">
        <v>7745</v>
      </c>
      <c r="CE19" s="883">
        <v>1890</v>
      </c>
      <c r="CF19" s="883">
        <v>3350</v>
      </c>
      <c r="CG19" s="883">
        <v>2478</v>
      </c>
      <c r="CH19" s="883">
        <v>3379</v>
      </c>
      <c r="CI19" s="883">
        <v>3430</v>
      </c>
      <c r="CJ19" s="883">
        <v>3850</v>
      </c>
      <c r="CK19" s="883">
        <v>6420</v>
      </c>
      <c r="CL19" s="883">
        <v>3504</v>
      </c>
      <c r="CM19" s="873">
        <v>6399</v>
      </c>
      <c r="CN19" s="879">
        <f t="shared" si="29"/>
        <v>45904</v>
      </c>
      <c r="CO19" s="883">
        <v>253</v>
      </c>
      <c r="CP19" s="883">
        <v>1165</v>
      </c>
      <c r="CQ19" s="883">
        <v>2057</v>
      </c>
      <c r="CR19" s="883">
        <v>2148</v>
      </c>
      <c r="CS19" s="883">
        <v>3537</v>
      </c>
      <c r="CT19" s="883">
        <v>4493</v>
      </c>
      <c r="CU19" s="883">
        <v>8204</v>
      </c>
      <c r="CV19" s="883">
        <v>9941</v>
      </c>
      <c r="CW19" s="883">
        <v>14999</v>
      </c>
      <c r="CX19" s="883">
        <v>10922</v>
      </c>
      <c r="CY19" s="883">
        <v>11373</v>
      </c>
      <c r="CZ19" s="873">
        <v>13116</v>
      </c>
      <c r="DA19" s="879">
        <f t="shared" si="30"/>
        <v>82208</v>
      </c>
      <c r="DB19" s="883"/>
      <c r="DC19" s="883">
        <v>2308</v>
      </c>
      <c r="DD19" s="883">
        <v>2376</v>
      </c>
      <c r="DE19" s="883">
        <v>4719</v>
      </c>
      <c r="DF19" s="883">
        <v>3265</v>
      </c>
      <c r="DG19" s="883">
        <v>5326</v>
      </c>
      <c r="DH19" s="883">
        <v>4598</v>
      </c>
      <c r="DI19" s="883">
        <v>5652</v>
      </c>
      <c r="DJ19" s="883">
        <v>3020</v>
      </c>
      <c r="DK19" s="883">
        <v>7655</v>
      </c>
      <c r="DL19" s="883">
        <v>8178</v>
      </c>
      <c r="DM19" s="873">
        <v>20307</v>
      </c>
      <c r="DN19" s="879">
        <f t="shared" si="39"/>
        <v>67404</v>
      </c>
      <c r="DO19" s="883"/>
      <c r="DP19" s="883">
        <v>1577</v>
      </c>
      <c r="DQ19" s="883">
        <v>11917</v>
      </c>
      <c r="DR19" s="883">
        <v>5919</v>
      </c>
      <c r="DS19" s="883">
        <v>7444</v>
      </c>
      <c r="DT19" s="883">
        <v>6917</v>
      </c>
      <c r="DU19" s="883">
        <v>7605</v>
      </c>
      <c r="DV19" s="883">
        <v>6470</v>
      </c>
      <c r="DW19" s="883">
        <v>3582</v>
      </c>
      <c r="DX19" s="883">
        <v>4089</v>
      </c>
      <c r="DY19" s="883">
        <v>5248</v>
      </c>
      <c r="DZ19" s="873">
        <v>8364</v>
      </c>
      <c r="EA19" s="879">
        <f t="shared" si="31"/>
        <v>69132</v>
      </c>
      <c r="EB19" s="883">
        <v>102</v>
      </c>
      <c r="EC19" s="883">
        <v>1495</v>
      </c>
      <c r="ED19" s="883">
        <v>1674</v>
      </c>
      <c r="EE19" s="883">
        <v>4585</v>
      </c>
      <c r="EF19" s="883">
        <v>4629</v>
      </c>
      <c r="EG19" s="883">
        <v>2901</v>
      </c>
      <c r="EH19" s="883">
        <v>2601</v>
      </c>
      <c r="EI19" s="883">
        <v>2091</v>
      </c>
      <c r="EJ19" s="883">
        <v>1098</v>
      </c>
      <c r="EK19" s="883">
        <v>1632</v>
      </c>
      <c r="EL19" s="883">
        <v>1342</v>
      </c>
      <c r="EM19" s="873">
        <v>6468</v>
      </c>
      <c r="EN19" s="879">
        <f t="shared" si="32"/>
        <v>30618</v>
      </c>
      <c r="EO19" s="883">
        <v>171</v>
      </c>
      <c r="EP19" s="883">
        <v>3650</v>
      </c>
      <c r="EQ19" s="883">
        <v>1583</v>
      </c>
      <c r="ER19" s="883">
        <v>969</v>
      </c>
      <c r="ES19" s="883">
        <v>1831</v>
      </c>
      <c r="ET19" s="883">
        <v>2193</v>
      </c>
      <c r="EU19" s="883">
        <v>4574</v>
      </c>
      <c r="EV19" s="973">
        <v>6031</v>
      </c>
      <c r="EW19" s="883"/>
      <c r="EX19" s="883"/>
      <c r="EY19" s="883"/>
      <c r="EZ19" s="873"/>
      <c r="FA19" s="879">
        <f t="shared" si="33"/>
        <v>21002</v>
      </c>
      <c r="FC19" s="843">
        <f t="shared" si="34"/>
        <v>188.42659014825443</v>
      </c>
      <c r="FD19" s="844">
        <f t="shared" si="35"/>
        <v>4.6020519972108875</v>
      </c>
      <c r="FE19" s="845">
        <f t="shared" si="36"/>
        <v>20078</v>
      </c>
      <c r="FF19" s="846">
        <f t="shared" si="37"/>
        <v>21002</v>
      </c>
      <c r="FH19" s="954">
        <f t="shared" si="38"/>
        <v>3940</v>
      </c>
    </row>
    <row r="20" spans="1:164" ht="15" customHeight="1" x14ac:dyDescent="0.25">
      <c r="A20" s="403" t="s">
        <v>402</v>
      </c>
      <c r="B20" s="883"/>
      <c r="C20" s="883">
        <v>31</v>
      </c>
      <c r="D20" s="883">
        <v>89</v>
      </c>
      <c r="E20" s="883">
        <v>33</v>
      </c>
      <c r="F20" s="883">
        <v>78</v>
      </c>
      <c r="G20" s="883">
        <v>103</v>
      </c>
      <c r="H20" s="883">
        <v>131</v>
      </c>
      <c r="I20" s="883">
        <v>217</v>
      </c>
      <c r="J20" s="883">
        <v>85</v>
      </c>
      <c r="K20" s="883">
        <v>171</v>
      </c>
      <c r="L20" s="883">
        <v>129</v>
      </c>
      <c r="M20" s="873">
        <v>1525</v>
      </c>
      <c r="N20" s="879">
        <f t="shared" si="23"/>
        <v>2592</v>
      </c>
      <c r="O20" s="883">
        <v>59</v>
      </c>
      <c r="P20" s="883">
        <v>12</v>
      </c>
      <c r="Q20" s="883">
        <v>32</v>
      </c>
      <c r="R20" s="883"/>
      <c r="S20" s="883"/>
      <c r="T20" s="883">
        <v>28</v>
      </c>
      <c r="U20" s="883">
        <v>202</v>
      </c>
      <c r="V20" s="883">
        <v>73</v>
      </c>
      <c r="W20" s="883">
        <v>342</v>
      </c>
      <c r="X20" s="883">
        <v>136</v>
      </c>
      <c r="Y20" s="883">
        <v>67</v>
      </c>
      <c r="Z20" s="873">
        <v>1361</v>
      </c>
      <c r="AA20" s="879">
        <f t="shared" si="24"/>
        <v>2312</v>
      </c>
      <c r="AB20" s="883"/>
      <c r="AC20" s="883">
        <v>26</v>
      </c>
      <c r="AD20" s="883">
        <v>416</v>
      </c>
      <c r="AE20" s="883">
        <v>41</v>
      </c>
      <c r="AF20" s="883">
        <v>438</v>
      </c>
      <c r="AG20" s="883">
        <v>33</v>
      </c>
      <c r="AH20" s="883">
        <v>110</v>
      </c>
      <c r="AI20" s="883">
        <v>117</v>
      </c>
      <c r="AJ20" s="883">
        <v>64</v>
      </c>
      <c r="AK20" s="883">
        <v>76</v>
      </c>
      <c r="AL20" s="883">
        <v>53</v>
      </c>
      <c r="AM20" s="873">
        <v>63</v>
      </c>
      <c r="AN20" s="879">
        <f t="shared" si="25"/>
        <v>1437</v>
      </c>
      <c r="AO20" s="883">
        <v>97</v>
      </c>
      <c r="AP20" s="883">
        <v>181</v>
      </c>
      <c r="AQ20" s="883">
        <v>42</v>
      </c>
      <c r="AR20" s="883">
        <v>27</v>
      </c>
      <c r="AS20" s="883">
        <v>2</v>
      </c>
      <c r="AT20" s="883">
        <v>10</v>
      </c>
      <c r="AU20" s="883">
        <v>2</v>
      </c>
      <c r="AV20" s="883">
        <v>13</v>
      </c>
      <c r="AW20" s="883">
        <v>8</v>
      </c>
      <c r="AX20" s="883">
        <v>22</v>
      </c>
      <c r="AY20" s="883">
        <v>277</v>
      </c>
      <c r="AZ20" s="873">
        <v>267</v>
      </c>
      <c r="BA20" s="879">
        <f t="shared" si="26"/>
        <v>948</v>
      </c>
      <c r="BB20" s="883">
        <v>2</v>
      </c>
      <c r="BC20" s="883">
        <v>165</v>
      </c>
      <c r="BD20" s="883">
        <v>6</v>
      </c>
      <c r="BE20" s="883">
        <v>10</v>
      </c>
      <c r="BF20" s="883"/>
      <c r="BG20" s="883">
        <v>3</v>
      </c>
      <c r="BH20" s="883">
        <v>44</v>
      </c>
      <c r="BI20" s="883"/>
      <c r="BJ20" s="883">
        <v>20</v>
      </c>
      <c r="BK20" s="883">
        <v>199</v>
      </c>
      <c r="BL20" s="883">
        <v>23</v>
      </c>
      <c r="BM20" s="873">
        <v>175</v>
      </c>
      <c r="BN20" s="879">
        <f t="shared" si="27"/>
        <v>647</v>
      </c>
      <c r="BO20" s="883"/>
      <c r="BP20" s="883">
        <v>12</v>
      </c>
      <c r="BQ20" s="883">
        <v>1</v>
      </c>
      <c r="BR20" s="883">
        <v>55</v>
      </c>
      <c r="BS20" s="883">
        <v>176</v>
      </c>
      <c r="BT20" s="883">
        <v>109</v>
      </c>
      <c r="BU20" s="883">
        <v>117</v>
      </c>
      <c r="BV20" s="883">
        <v>81</v>
      </c>
      <c r="BW20" s="883">
        <v>231</v>
      </c>
      <c r="BX20" s="883">
        <v>304</v>
      </c>
      <c r="BY20" s="883">
        <v>125</v>
      </c>
      <c r="BZ20" s="873">
        <v>256</v>
      </c>
      <c r="CA20" s="879">
        <f t="shared" si="28"/>
        <v>1467</v>
      </c>
      <c r="CB20" s="883">
        <v>30</v>
      </c>
      <c r="CC20" s="883">
        <v>208</v>
      </c>
      <c r="CD20" s="883">
        <v>496</v>
      </c>
      <c r="CE20" s="883">
        <v>183</v>
      </c>
      <c r="CF20" s="883">
        <v>282</v>
      </c>
      <c r="CG20" s="883">
        <v>502</v>
      </c>
      <c r="CH20" s="883">
        <v>369</v>
      </c>
      <c r="CI20" s="883">
        <v>998</v>
      </c>
      <c r="CJ20" s="883">
        <v>342</v>
      </c>
      <c r="CK20" s="883">
        <v>168</v>
      </c>
      <c r="CL20" s="883">
        <v>418</v>
      </c>
      <c r="CM20" s="873">
        <v>293</v>
      </c>
      <c r="CN20" s="879">
        <f t="shared" si="29"/>
        <v>4289</v>
      </c>
      <c r="CO20" s="883">
        <v>22</v>
      </c>
      <c r="CP20" s="883">
        <v>2</v>
      </c>
      <c r="CQ20" s="883">
        <v>81</v>
      </c>
      <c r="CR20" s="883">
        <v>37</v>
      </c>
      <c r="CS20" s="883">
        <v>167</v>
      </c>
      <c r="CT20" s="883">
        <v>21</v>
      </c>
      <c r="CU20" s="883">
        <v>50</v>
      </c>
      <c r="CV20" s="883">
        <v>139</v>
      </c>
      <c r="CW20" s="883">
        <v>84</v>
      </c>
      <c r="CX20" s="883">
        <v>221</v>
      </c>
      <c r="CY20" s="883">
        <v>105</v>
      </c>
      <c r="CZ20" s="873">
        <v>235</v>
      </c>
      <c r="DA20" s="879">
        <f t="shared" si="30"/>
        <v>1164</v>
      </c>
      <c r="DB20" s="883"/>
      <c r="DC20" s="883"/>
      <c r="DD20" s="883">
        <v>6</v>
      </c>
      <c r="DE20" s="883">
        <v>1</v>
      </c>
      <c r="DF20" s="883">
        <v>14</v>
      </c>
      <c r="DG20" s="883">
        <v>2</v>
      </c>
      <c r="DH20" s="883">
        <v>263</v>
      </c>
      <c r="DI20" s="883">
        <v>485</v>
      </c>
      <c r="DJ20" s="883">
        <v>160</v>
      </c>
      <c r="DK20" s="883">
        <v>67</v>
      </c>
      <c r="DL20" s="883">
        <v>17</v>
      </c>
      <c r="DM20" s="873">
        <v>87</v>
      </c>
      <c r="DN20" s="879">
        <f t="shared" si="39"/>
        <v>1102</v>
      </c>
      <c r="DO20" s="883"/>
      <c r="DP20" s="883">
        <v>765</v>
      </c>
      <c r="DQ20" s="883">
        <v>1678</v>
      </c>
      <c r="DR20" s="883">
        <v>979</v>
      </c>
      <c r="DS20" s="883">
        <v>923</v>
      </c>
      <c r="DT20" s="883">
        <v>680</v>
      </c>
      <c r="DU20" s="883">
        <v>840</v>
      </c>
      <c r="DV20" s="883">
        <v>188</v>
      </c>
      <c r="DW20" s="883">
        <v>121</v>
      </c>
      <c r="DX20" s="883">
        <v>154</v>
      </c>
      <c r="DY20" s="883">
        <v>203</v>
      </c>
      <c r="DZ20" s="873">
        <v>250</v>
      </c>
      <c r="EA20" s="879">
        <f t="shared" si="31"/>
        <v>6781</v>
      </c>
      <c r="EB20" s="883">
        <v>60</v>
      </c>
      <c r="EC20" s="883">
        <v>380</v>
      </c>
      <c r="ED20" s="883">
        <v>425</v>
      </c>
      <c r="EE20" s="883">
        <v>208</v>
      </c>
      <c r="EF20" s="883">
        <v>81</v>
      </c>
      <c r="EG20" s="883">
        <v>48</v>
      </c>
      <c r="EH20" s="883">
        <v>356</v>
      </c>
      <c r="EI20" s="883">
        <v>131</v>
      </c>
      <c r="EJ20" s="883">
        <v>33</v>
      </c>
      <c r="EK20" s="883">
        <v>247</v>
      </c>
      <c r="EL20" s="883">
        <v>264</v>
      </c>
      <c r="EM20" s="873">
        <v>-369</v>
      </c>
      <c r="EN20" s="879">
        <f>SUM(EB20:EM20)</f>
        <v>1864</v>
      </c>
      <c r="EO20" s="883">
        <v>0</v>
      </c>
      <c r="EP20" s="883">
        <v>112</v>
      </c>
      <c r="EQ20" s="883">
        <v>395</v>
      </c>
      <c r="ER20" s="883">
        <v>376</v>
      </c>
      <c r="ES20" s="883">
        <v>377</v>
      </c>
      <c r="ET20" s="883">
        <v>8</v>
      </c>
      <c r="EU20" s="883">
        <v>61</v>
      </c>
      <c r="EV20" s="973">
        <v>253</v>
      </c>
      <c r="EW20" s="883"/>
      <c r="EX20" s="883"/>
      <c r="EY20" s="883"/>
      <c r="EZ20" s="873"/>
      <c r="FA20" s="879">
        <f>SUM(EO20:EZ20)</f>
        <v>1582</v>
      </c>
      <c r="FC20" s="843">
        <f t="shared" si="34"/>
        <v>93.129770992366417</v>
      </c>
      <c r="FD20" s="844">
        <f t="shared" si="35"/>
        <v>-6.3351095322676132</v>
      </c>
      <c r="FE20" s="845">
        <f t="shared" si="36"/>
        <v>1689</v>
      </c>
      <c r="FF20" s="846">
        <f t="shared" si="37"/>
        <v>1582</v>
      </c>
      <c r="FH20" s="127">
        <f t="shared" si="38"/>
        <v>122</v>
      </c>
    </row>
    <row r="21" spans="1:164" ht="15" customHeight="1" x14ac:dyDescent="0.25">
      <c r="A21" s="403" t="s">
        <v>403</v>
      </c>
      <c r="B21" s="883"/>
      <c r="C21" s="883">
        <v>2043</v>
      </c>
      <c r="D21" s="883">
        <v>489</v>
      </c>
      <c r="E21" s="883">
        <v>237</v>
      </c>
      <c r="F21" s="883">
        <v>255</v>
      </c>
      <c r="G21" s="883">
        <v>251</v>
      </c>
      <c r="H21" s="883">
        <v>726</v>
      </c>
      <c r="I21" s="883">
        <v>-56</v>
      </c>
      <c r="J21" s="883">
        <v>267</v>
      </c>
      <c r="K21" s="883">
        <v>146</v>
      </c>
      <c r="L21" s="883">
        <v>177</v>
      </c>
      <c r="M21" s="873">
        <v>1005</v>
      </c>
      <c r="N21" s="879">
        <f t="shared" si="23"/>
        <v>5540</v>
      </c>
      <c r="O21" s="883"/>
      <c r="P21" s="883">
        <v>395</v>
      </c>
      <c r="Q21" s="883">
        <v>219</v>
      </c>
      <c r="R21" s="883">
        <v>1258</v>
      </c>
      <c r="S21" s="883">
        <v>241</v>
      </c>
      <c r="T21" s="883">
        <v>696</v>
      </c>
      <c r="U21" s="883">
        <v>100</v>
      </c>
      <c r="V21" s="883">
        <v>2233</v>
      </c>
      <c r="W21" s="883">
        <v>127</v>
      </c>
      <c r="X21" s="883">
        <v>1484</v>
      </c>
      <c r="Y21" s="883">
        <v>513</v>
      </c>
      <c r="Z21" s="873">
        <v>881</v>
      </c>
      <c r="AA21" s="879">
        <f t="shared" si="24"/>
        <v>8147</v>
      </c>
      <c r="AB21" s="883">
        <v>3</v>
      </c>
      <c r="AC21" s="883">
        <v>38</v>
      </c>
      <c r="AD21" s="883">
        <v>282</v>
      </c>
      <c r="AE21" s="883">
        <v>269</v>
      </c>
      <c r="AF21" s="883">
        <v>420</v>
      </c>
      <c r="AG21" s="883">
        <v>190</v>
      </c>
      <c r="AH21" s="883">
        <v>273</v>
      </c>
      <c r="AI21" s="883">
        <v>204</v>
      </c>
      <c r="AJ21" s="883">
        <v>154</v>
      </c>
      <c r="AK21" s="883">
        <v>113</v>
      </c>
      <c r="AL21" s="883">
        <v>515</v>
      </c>
      <c r="AM21" s="873">
        <v>445</v>
      </c>
      <c r="AN21" s="879">
        <f t="shared" si="25"/>
        <v>2906</v>
      </c>
      <c r="AO21" s="883">
        <v>32</v>
      </c>
      <c r="AP21" s="883">
        <v>312</v>
      </c>
      <c r="AQ21" s="883">
        <v>442</v>
      </c>
      <c r="AR21" s="883">
        <v>255</v>
      </c>
      <c r="AS21" s="883">
        <v>166</v>
      </c>
      <c r="AT21" s="883">
        <v>986</v>
      </c>
      <c r="AU21" s="883">
        <v>317</v>
      </c>
      <c r="AV21" s="883">
        <v>169</v>
      </c>
      <c r="AW21" s="883">
        <v>580</v>
      </c>
      <c r="AX21" s="883">
        <v>782</v>
      </c>
      <c r="AY21" s="883">
        <v>1302</v>
      </c>
      <c r="AZ21" s="873">
        <v>1982</v>
      </c>
      <c r="BA21" s="879">
        <f t="shared" si="26"/>
        <v>7325</v>
      </c>
      <c r="BB21" s="883"/>
      <c r="BC21" s="883">
        <v>32</v>
      </c>
      <c r="BD21" s="883">
        <v>34</v>
      </c>
      <c r="BE21" s="883">
        <v>40</v>
      </c>
      <c r="BF21" s="883">
        <v>67</v>
      </c>
      <c r="BG21" s="883">
        <v>202</v>
      </c>
      <c r="BH21" s="883">
        <v>228</v>
      </c>
      <c r="BI21" s="883">
        <v>301</v>
      </c>
      <c r="BJ21" s="883">
        <v>486</v>
      </c>
      <c r="BK21" s="883">
        <v>197</v>
      </c>
      <c r="BL21" s="883">
        <v>535</v>
      </c>
      <c r="BM21" s="873">
        <v>963</v>
      </c>
      <c r="BN21" s="879">
        <f t="shared" si="27"/>
        <v>3085</v>
      </c>
      <c r="BO21" s="883">
        <v>18</v>
      </c>
      <c r="BP21" s="883">
        <v>41</v>
      </c>
      <c r="BQ21" s="883">
        <v>53</v>
      </c>
      <c r="BR21" s="883">
        <v>20</v>
      </c>
      <c r="BS21" s="883">
        <v>46</v>
      </c>
      <c r="BT21" s="883">
        <v>33</v>
      </c>
      <c r="BU21" s="883">
        <v>38</v>
      </c>
      <c r="BV21" s="883">
        <v>79</v>
      </c>
      <c r="BW21" s="883">
        <v>236</v>
      </c>
      <c r="BX21" s="883">
        <v>311</v>
      </c>
      <c r="BY21" s="883">
        <v>2505</v>
      </c>
      <c r="BZ21" s="873">
        <v>689</v>
      </c>
      <c r="CA21" s="879">
        <f t="shared" si="28"/>
        <v>4069</v>
      </c>
      <c r="CB21" s="883">
        <v>34</v>
      </c>
      <c r="CC21" s="883">
        <v>3</v>
      </c>
      <c r="CD21" s="883">
        <v>201</v>
      </c>
      <c r="CE21" s="883">
        <v>66</v>
      </c>
      <c r="CF21" s="883">
        <v>1</v>
      </c>
      <c r="CG21" s="883">
        <v>89</v>
      </c>
      <c r="CH21" s="883">
        <v>42</v>
      </c>
      <c r="CI21" s="883">
        <v>13</v>
      </c>
      <c r="CJ21" s="883">
        <v>66</v>
      </c>
      <c r="CK21" s="883">
        <v>1539</v>
      </c>
      <c r="CL21" s="883">
        <v>67</v>
      </c>
      <c r="CM21" s="873">
        <v>1678</v>
      </c>
      <c r="CN21" s="879">
        <f t="shared" si="29"/>
        <v>3799</v>
      </c>
      <c r="CO21" s="883">
        <v>3</v>
      </c>
      <c r="CP21" s="883">
        <v>1204</v>
      </c>
      <c r="CQ21" s="883">
        <v>226</v>
      </c>
      <c r="CR21" s="883">
        <v>175</v>
      </c>
      <c r="CS21" s="883">
        <v>479</v>
      </c>
      <c r="CT21" s="883">
        <v>104</v>
      </c>
      <c r="CU21" s="883">
        <v>172</v>
      </c>
      <c r="CV21" s="883">
        <v>893</v>
      </c>
      <c r="CW21" s="883">
        <v>357</v>
      </c>
      <c r="CX21" s="883">
        <v>180</v>
      </c>
      <c r="CY21" s="883">
        <v>199</v>
      </c>
      <c r="CZ21" s="873">
        <v>1533</v>
      </c>
      <c r="DA21" s="879">
        <f t="shared" si="30"/>
        <v>5525</v>
      </c>
      <c r="DB21" s="883"/>
      <c r="DC21" s="883">
        <v>2</v>
      </c>
      <c r="DD21" s="883">
        <v>140</v>
      </c>
      <c r="DE21" s="883">
        <v>326</v>
      </c>
      <c r="DF21" s="883">
        <v>136</v>
      </c>
      <c r="DG21" s="883">
        <v>509</v>
      </c>
      <c r="DH21" s="883">
        <v>332</v>
      </c>
      <c r="DI21" s="883">
        <v>176</v>
      </c>
      <c r="DJ21" s="883">
        <v>3299</v>
      </c>
      <c r="DK21" s="883">
        <v>406</v>
      </c>
      <c r="DL21" s="883">
        <v>347</v>
      </c>
      <c r="DM21" s="873">
        <v>4719</v>
      </c>
      <c r="DN21" s="879">
        <f t="shared" si="39"/>
        <v>10392</v>
      </c>
      <c r="DO21" s="883">
        <v>82</v>
      </c>
      <c r="DP21" s="883">
        <v>1919</v>
      </c>
      <c r="DQ21" s="883">
        <v>659</v>
      </c>
      <c r="DR21" s="883">
        <v>616</v>
      </c>
      <c r="DS21" s="883">
        <v>240</v>
      </c>
      <c r="DT21" s="883">
        <v>416</v>
      </c>
      <c r="DU21" s="883">
        <v>540</v>
      </c>
      <c r="DV21" s="883">
        <v>1260</v>
      </c>
      <c r="DW21" s="883">
        <v>1145</v>
      </c>
      <c r="DX21" s="883">
        <v>1058</v>
      </c>
      <c r="DY21" s="883">
        <v>1071</v>
      </c>
      <c r="DZ21" s="873">
        <v>3305</v>
      </c>
      <c r="EA21" s="879">
        <f t="shared" si="31"/>
        <v>12311</v>
      </c>
      <c r="EB21" s="883">
        <v>179</v>
      </c>
      <c r="EC21" s="883">
        <v>76</v>
      </c>
      <c r="ED21" s="883">
        <v>496</v>
      </c>
      <c r="EE21" s="883">
        <v>133</v>
      </c>
      <c r="EF21" s="883">
        <v>1094</v>
      </c>
      <c r="EG21" s="883">
        <v>705</v>
      </c>
      <c r="EH21" s="883">
        <v>1678</v>
      </c>
      <c r="EI21" s="883">
        <v>1989</v>
      </c>
      <c r="EJ21" s="883">
        <v>1093</v>
      </c>
      <c r="EK21" s="883">
        <v>950</v>
      </c>
      <c r="EL21" s="883">
        <v>444</v>
      </c>
      <c r="EM21" s="873">
        <v>1321</v>
      </c>
      <c r="EN21" s="879">
        <f t="shared" si="32"/>
        <v>10158</v>
      </c>
      <c r="EO21" s="883">
        <v>9</v>
      </c>
      <c r="EP21" s="883">
        <v>300</v>
      </c>
      <c r="EQ21" s="883">
        <v>390</v>
      </c>
      <c r="ER21" s="883">
        <v>2511</v>
      </c>
      <c r="ES21" s="883">
        <v>1761</v>
      </c>
      <c r="ET21" s="883">
        <v>1198</v>
      </c>
      <c r="EU21" s="883">
        <v>982</v>
      </c>
      <c r="EV21" s="973">
        <v>1081</v>
      </c>
      <c r="EW21" s="883"/>
      <c r="EX21" s="883"/>
      <c r="EY21" s="883"/>
      <c r="EZ21" s="873"/>
      <c r="FA21" s="879">
        <f t="shared" si="33"/>
        <v>8232</v>
      </c>
      <c r="FC21" s="843">
        <f t="shared" si="34"/>
        <v>-45.651080945198593</v>
      </c>
      <c r="FD21" s="844">
        <f t="shared" si="35"/>
        <v>29.637795275590562</v>
      </c>
      <c r="FE21" s="845">
        <f t="shared" si="36"/>
        <v>6350</v>
      </c>
      <c r="FF21" s="846">
        <f t="shared" si="37"/>
        <v>8232</v>
      </c>
      <c r="FH21" s="127">
        <f t="shared" si="38"/>
        <v>-908</v>
      </c>
    </row>
    <row r="22" spans="1:164" ht="15" customHeight="1" x14ac:dyDescent="0.25">
      <c r="A22" s="403" t="s">
        <v>404</v>
      </c>
      <c r="B22" s="883">
        <v>352</v>
      </c>
      <c r="C22" s="883">
        <v>3607</v>
      </c>
      <c r="D22" s="883">
        <v>5988</v>
      </c>
      <c r="E22" s="883">
        <v>4351</v>
      </c>
      <c r="F22" s="883">
        <v>3057</v>
      </c>
      <c r="G22" s="883">
        <v>3833</v>
      </c>
      <c r="H22" s="883">
        <v>14363</v>
      </c>
      <c r="I22" s="883">
        <v>-2166</v>
      </c>
      <c r="J22" s="883">
        <v>7530</v>
      </c>
      <c r="K22" s="883">
        <v>2162</v>
      </c>
      <c r="L22" s="883">
        <v>10371</v>
      </c>
      <c r="M22" s="873">
        <v>21634</v>
      </c>
      <c r="N22" s="879">
        <f t="shared" si="23"/>
        <v>75082</v>
      </c>
      <c r="O22" s="883">
        <v>1908</v>
      </c>
      <c r="P22" s="883">
        <v>4822</v>
      </c>
      <c r="Q22" s="883">
        <v>5512</v>
      </c>
      <c r="R22" s="883">
        <v>3828</v>
      </c>
      <c r="S22" s="883">
        <v>5407</v>
      </c>
      <c r="T22" s="883">
        <v>6703</v>
      </c>
      <c r="U22" s="883">
        <v>5696</v>
      </c>
      <c r="V22" s="883">
        <v>10391</v>
      </c>
      <c r="W22" s="883">
        <v>6140</v>
      </c>
      <c r="X22" s="883">
        <v>5271</v>
      </c>
      <c r="Y22" s="883">
        <v>16467</v>
      </c>
      <c r="Z22" s="873">
        <v>15525</v>
      </c>
      <c r="AA22" s="879">
        <f t="shared" si="24"/>
        <v>87670</v>
      </c>
      <c r="AB22" s="883">
        <v>169</v>
      </c>
      <c r="AC22" s="883">
        <v>2984</v>
      </c>
      <c r="AD22" s="883">
        <v>8890</v>
      </c>
      <c r="AE22" s="883">
        <v>5098</v>
      </c>
      <c r="AF22" s="883">
        <v>5311</v>
      </c>
      <c r="AG22" s="883">
        <v>10422</v>
      </c>
      <c r="AH22" s="883">
        <v>12575</v>
      </c>
      <c r="AI22" s="883">
        <v>8180</v>
      </c>
      <c r="AJ22" s="883">
        <v>9480</v>
      </c>
      <c r="AK22" s="883">
        <v>6888</v>
      </c>
      <c r="AL22" s="883">
        <v>4981</v>
      </c>
      <c r="AM22" s="873">
        <v>11976</v>
      </c>
      <c r="AN22" s="879">
        <f t="shared" si="25"/>
        <v>86954</v>
      </c>
      <c r="AO22" s="883">
        <v>1019</v>
      </c>
      <c r="AP22" s="883">
        <v>2110</v>
      </c>
      <c r="AQ22" s="883">
        <v>4496</v>
      </c>
      <c r="AR22" s="883">
        <v>3109</v>
      </c>
      <c r="AS22" s="883">
        <v>4749</v>
      </c>
      <c r="AT22" s="883">
        <v>2419</v>
      </c>
      <c r="AU22" s="883">
        <v>5495</v>
      </c>
      <c r="AV22" s="883">
        <v>3991</v>
      </c>
      <c r="AW22" s="883">
        <v>6273</v>
      </c>
      <c r="AX22" s="883">
        <v>6711</v>
      </c>
      <c r="AY22" s="883">
        <v>5822</v>
      </c>
      <c r="AZ22" s="873">
        <v>9752</v>
      </c>
      <c r="BA22" s="879">
        <f t="shared" si="26"/>
        <v>55946</v>
      </c>
      <c r="BB22" s="883">
        <v>1439</v>
      </c>
      <c r="BC22" s="883">
        <v>1123</v>
      </c>
      <c r="BD22" s="883">
        <v>322</v>
      </c>
      <c r="BE22" s="883">
        <v>3853</v>
      </c>
      <c r="BF22" s="883">
        <v>85</v>
      </c>
      <c r="BG22" s="883">
        <v>3949</v>
      </c>
      <c r="BH22" s="883">
        <v>2753</v>
      </c>
      <c r="BI22" s="883">
        <v>2971</v>
      </c>
      <c r="BJ22" s="883">
        <v>3611</v>
      </c>
      <c r="BK22" s="883">
        <v>1521</v>
      </c>
      <c r="BL22" s="883">
        <v>1673</v>
      </c>
      <c r="BM22" s="873">
        <v>4771</v>
      </c>
      <c r="BN22" s="879">
        <f t="shared" si="27"/>
        <v>28071</v>
      </c>
      <c r="BO22" s="883">
        <v>239</v>
      </c>
      <c r="BP22" s="883">
        <v>1799</v>
      </c>
      <c r="BQ22" s="883">
        <v>1469</v>
      </c>
      <c r="BR22" s="883">
        <v>667</v>
      </c>
      <c r="BS22" s="883">
        <v>280</v>
      </c>
      <c r="BT22" s="883">
        <v>121</v>
      </c>
      <c r="BU22" s="883">
        <v>437</v>
      </c>
      <c r="BV22" s="883">
        <v>1019</v>
      </c>
      <c r="BW22" s="883">
        <v>2987</v>
      </c>
      <c r="BX22" s="883">
        <v>5499</v>
      </c>
      <c r="BY22" s="883">
        <v>4472</v>
      </c>
      <c r="BZ22" s="873">
        <v>4606</v>
      </c>
      <c r="CA22" s="879">
        <f t="shared" si="28"/>
        <v>23595</v>
      </c>
      <c r="CB22" s="883">
        <v>947</v>
      </c>
      <c r="CC22" s="883">
        <v>2006</v>
      </c>
      <c r="CD22" s="883">
        <v>3792</v>
      </c>
      <c r="CE22" s="883">
        <v>683</v>
      </c>
      <c r="CF22" s="883">
        <v>2498</v>
      </c>
      <c r="CG22" s="883">
        <v>4018</v>
      </c>
      <c r="CH22" s="883">
        <v>4218</v>
      </c>
      <c r="CI22" s="883">
        <v>5034</v>
      </c>
      <c r="CJ22" s="883">
        <v>7504</v>
      </c>
      <c r="CK22" s="883">
        <v>6033</v>
      </c>
      <c r="CL22" s="883">
        <v>4086</v>
      </c>
      <c r="CM22" s="873">
        <v>16584</v>
      </c>
      <c r="CN22" s="879">
        <f t="shared" si="29"/>
        <v>57403</v>
      </c>
      <c r="CO22" s="883">
        <v>1506</v>
      </c>
      <c r="CP22" s="883">
        <v>5246</v>
      </c>
      <c r="CQ22" s="883">
        <v>5442</v>
      </c>
      <c r="CR22" s="883">
        <v>6415</v>
      </c>
      <c r="CS22" s="883">
        <v>5347</v>
      </c>
      <c r="CT22" s="883">
        <v>11720</v>
      </c>
      <c r="CU22" s="883">
        <v>6681</v>
      </c>
      <c r="CV22" s="883">
        <v>7322</v>
      </c>
      <c r="CW22" s="883">
        <v>6029</v>
      </c>
      <c r="CX22" s="883">
        <v>10016</v>
      </c>
      <c r="CY22" s="883">
        <v>8830</v>
      </c>
      <c r="CZ22" s="873">
        <v>19332</v>
      </c>
      <c r="DA22" s="879">
        <f t="shared" si="30"/>
        <v>93886</v>
      </c>
      <c r="DB22" s="883">
        <v>577</v>
      </c>
      <c r="DC22" s="883">
        <v>3770</v>
      </c>
      <c r="DD22" s="883">
        <v>4842</v>
      </c>
      <c r="DE22" s="883">
        <v>3983</v>
      </c>
      <c r="DF22" s="883">
        <v>4585</v>
      </c>
      <c r="DG22" s="883">
        <v>3796</v>
      </c>
      <c r="DH22" s="883">
        <v>3780</v>
      </c>
      <c r="DI22" s="883">
        <v>6446</v>
      </c>
      <c r="DJ22" s="883">
        <v>6273</v>
      </c>
      <c r="DK22" s="883">
        <v>8018</v>
      </c>
      <c r="DL22" s="883">
        <v>6447</v>
      </c>
      <c r="DM22" s="873">
        <v>14918</v>
      </c>
      <c r="DN22" s="879">
        <f t="shared" si="39"/>
        <v>67435</v>
      </c>
      <c r="DO22" s="883">
        <v>1657</v>
      </c>
      <c r="DP22" s="883">
        <v>3460</v>
      </c>
      <c r="DQ22" s="883">
        <v>8855</v>
      </c>
      <c r="DR22" s="883">
        <v>5109</v>
      </c>
      <c r="DS22" s="883">
        <v>6102</v>
      </c>
      <c r="DT22" s="883">
        <v>4824</v>
      </c>
      <c r="DU22" s="883">
        <v>5614</v>
      </c>
      <c r="DV22" s="883">
        <v>4224</v>
      </c>
      <c r="DW22" s="883">
        <v>4116</v>
      </c>
      <c r="DX22" s="883">
        <v>4748</v>
      </c>
      <c r="DY22" s="883">
        <v>6246</v>
      </c>
      <c r="DZ22" s="873">
        <v>15133</v>
      </c>
      <c r="EA22" s="879">
        <f t="shared" si="31"/>
        <v>70088</v>
      </c>
      <c r="EB22" s="883">
        <v>150</v>
      </c>
      <c r="EC22" s="883">
        <v>2039</v>
      </c>
      <c r="ED22" s="883">
        <v>2363</v>
      </c>
      <c r="EE22" s="883">
        <v>3828</v>
      </c>
      <c r="EF22" s="883">
        <v>4727</v>
      </c>
      <c r="EG22" s="883">
        <v>6940</v>
      </c>
      <c r="EH22" s="883">
        <v>7471</v>
      </c>
      <c r="EI22" s="883">
        <v>9124</v>
      </c>
      <c r="EJ22" s="883">
        <v>8891</v>
      </c>
      <c r="EK22" s="883">
        <v>10916</v>
      </c>
      <c r="EL22" s="883">
        <v>15630</v>
      </c>
      <c r="EM22" s="873">
        <v>18664</v>
      </c>
      <c r="EN22" s="879">
        <f t="shared" si="32"/>
        <v>90743</v>
      </c>
      <c r="EO22" s="883">
        <v>295</v>
      </c>
      <c r="EP22" s="883">
        <v>3136</v>
      </c>
      <c r="EQ22" s="883">
        <v>5511</v>
      </c>
      <c r="ER22" s="883">
        <v>29649</v>
      </c>
      <c r="ES22" s="883">
        <v>5651</v>
      </c>
      <c r="ET22" s="883">
        <v>8800</v>
      </c>
      <c r="EU22" s="883">
        <v>10371</v>
      </c>
      <c r="EV22" s="973">
        <v>10506</v>
      </c>
      <c r="EW22" s="883"/>
      <c r="EX22" s="883"/>
      <c r="EY22" s="883"/>
      <c r="EZ22" s="873"/>
      <c r="FA22" s="879">
        <f t="shared" si="33"/>
        <v>73919</v>
      </c>
      <c r="FC22" s="843">
        <f t="shared" si="34"/>
        <v>15.146865409907928</v>
      </c>
      <c r="FD22" s="844">
        <f t="shared" si="35"/>
        <v>101.73298400742317</v>
      </c>
      <c r="FE22" s="845">
        <f t="shared" si="36"/>
        <v>36642</v>
      </c>
      <c r="FF22" s="846">
        <f t="shared" si="37"/>
        <v>73919</v>
      </c>
      <c r="FH22" s="954">
        <f t="shared" si="38"/>
        <v>1382</v>
      </c>
    </row>
    <row r="23" spans="1:164" ht="15" customHeight="1" x14ac:dyDescent="0.25">
      <c r="A23" s="403" t="s">
        <v>405</v>
      </c>
      <c r="B23" s="883">
        <v>18</v>
      </c>
      <c r="C23" s="883">
        <v>18</v>
      </c>
      <c r="D23" s="883">
        <v>33</v>
      </c>
      <c r="E23" s="883">
        <v>48</v>
      </c>
      <c r="F23" s="883">
        <v>97</v>
      </c>
      <c r="G23" s="883">
        <v>5</v>
      </c>
      <c r="H23" s="883">
        <v>210</v>
      </c>
      <c r="I23" s="883"/>
      <c r="J23" s="883">
        <v>76</v>
      </c>
      <c r="K23" s="883">
        <v>123</v>
      </c>
      <c r="L23" s="883">
        <v>124</v>
      </c>
      <c r="M23" s="873">
        <v>95</v>
      </c>
      <c r="N23" s="879">
        <f t="shared" si="23"/>
        <v>847</v>
      </c>
      <c r="O23" s="883">
        <v>60</v>
      </c>
      <c r="P23" s="883">
        <v>42</v>
      </c>
      <c r="Q23" s="883">
        <v>58</v>
      </c>
      <c r="R23" s="883">
        <v>66</v>
      </c>
      <c r="S23" s="883">
        <v>1</v>
      </c>
      <c r="T23" s="883">
        <v>53</v>
      </c>
      <c r="U23" s="883">
        <v>1165</v>
      </c>
      <c r="V23" s="883">
        <v>75</v>
      </c>
      <c r="W23" s="883">
        <v>510</v>
      </c>
      <c r="X23" s="883">
        <v>-413</v>
      </c>
      <c r="Y23" s="883">
        <v>237</v>
      </c>
      <c r="Z23" s="873">
        <v>436</v>
      </c>
      <c r="AA23" s="879">
        <f t="shared" si="24"/>
        <v>2290</v>
      </c>
      <c r="AB23" s="883"/>
      <c r="AC23" s="883">
        <v>57</v>
      </c>
      <c r="AD23" s="883">
        <v>161</v>
      </c>
      <c r="AE23" s="883">
        <v>42</v>
      </c>
      <c r="AF23" s="883"/>
      <c r="AG23" s="883"/>
      <c r="AH23" s="883"/>
      <c r="AI23" s="883"/>
      <c r="AJ23" s="883"/>
      <c r="AK23" s="883"/>
      <c r="AL23" s="883"/>
      <c r="AM23" s="873">
        <v>159</v>
      </c>
      <c r="AN23" s="879">
        <f t="shared" si="25"/>
        <v>419</v>
      </c>
      <c r="AO23" s="883"/>
      <c r="AP23" s="883"/>
      <c r="AQ23" s="883">
        <v>3</v>
      </c>
      <c r="AR23" s="883"/>
      <c r="AS23" s="883"/>
      <c r="AT23" s="883">
        <v>7</v>
      </c>
      <c r="AU23" s="883"/>
      <c r="AV23" s="883"/>
      <c r="AW23" s="883">
        <v>3</v>
      </c>
      <c r="AX23" s="883">
        <v>91</v>
      </c>
      <c r="AY23" s="883">
        <v>166</v>
      </c>
      <c r="AZ23" s="873">
        <v>441</v>
      </c>
      <c r="BA23" s="879">
        <f t="shared" si="26"/>
        <v>711</v>
      </c>
      <c r="BB23" s="883">
        <v>9</v>
      </c>
      <c r="BC23" s="883">
        <v>94</v>
      </c>
      <c r="BD23" s="883">
        <v>50</v>
      </c>
      <c r="BE23" s="883"/>
      <c r="BF23" s="883"/>
      <c r="BG23" s="883"/>
      <c r="BH23" s="883"/>
      <c r="BI23" s="883">
        <v>66</v>
      </c>
      <c r="BJ23" s="883">
        <v>115</v>
      </c>
      <c r="BK23" s="883"/>
      <c r="BL23" s="883"/>
      <c r="BM23" s="873"/>
      <c r="BN23" s="879">
        <f t="shared" si="27"/>
        <v>334</v>
      </c>
      <c r="BO23" s="883">
        <v>7</v>
      </c>
      <c r="BP23" s="883">
        <v>15</v>
      </c>
      <c r="BQ23" s="883">
        <v>85</v>
      </c>
      <c r="BR23" s="883"/>
      <c r="BS23" s="883"/>
      <c r="BT23" s="883"/>
      <c r="BU23" s="883"/>
      <c r="BV23" s="883">
        <v>4</v>
      </c>
      <c r="BW23" s="883">
        <v>47</v>
      </c>
      <c r="BX23" s="883">
        <v>75</v>
      </c>
      <c r="BY23" s="883">
        <v>48</v>
      </c>
      <c r="BZ23" s="873">
        <v>42</v>
      </c>
      <c r="CA23" s="879">
        <f t="shared" si="28"/>
        <v>323</v>
      </c>
      <c r="CB23" s="883"/>
      <c r="CC23" s="883">
        <v>3</v>
      </c>
      <c r="CD23" s="883">
        <v>4</v>
      </c>
      <c r="CE23" s="883"/>
      <c r="CF23" s="883"/>
      <c r="CG23" s="883"/>
      <c r="CH23" s="883"/>
      <c r="CI23" s="883">
        <v>176</v>
      </c>
      <c r="CJ23" s="883">
        <v>12</v>
      </c>
      <c r="CK23" s="883">
        <v>43</v>
      </c>
      <c r="CL23" s="883">
        <v>53</v>
      </c>
      <c r="CM23" s="873"/>
      <c r="CN23" s="879">
        <f t="shared" si="29"/>
        <v>291</v>
      </c>
      <c r="CO23" s="883"/>
      <c r="CP23" s="883"/>
      <c r="CQ23" s="883"/>
      <c r="CR23" s="883"/>
      <c r="CS23" s="883"/>
      <c r="CT23" s="883"/>
      <c r="CU23" s="883"/>
      <c r="CV23" s="883"/>
      <c r="CW23" s="883"/>
      <c r="CX23" s="883"/>
      <c r="CY23" s="883"/>
      <c r="CZ23" s="873"/>
      <c r="DA23" s="879">
        <f t="shared" si="30"/>
        <v>0</v>
      </c>
      <c r="DB23" s="883"/>
      <c r="DC23" s="883"/>
      <c r="DD23" s="883"/>
      <c r="DE23" s="883"/>
      <c r="DF23" s="883"/>
      <c r="DG23" s="883"/>
      <c r="DH23" s="883">
        <v>11</v>
      </c>
      <c r="DI23" s="883">
        <v>20</v>
      </c>
      <c r="DJ23" s="883">
        <v>15</v>
      </c>
      <c r="DK23" s="883">
        <v>2</v>
      </c>
      <c r="DL23" s="883">
        <v>14</v>
      </c>
      <c r="DM23" s="873">
        <v>9</v>
      </c>
      <c r="DN23" s="879">
        <f t="shared" si="39"/>
        <v>71</v>
      </c>
      <c r="DO23" s="883"/>
      <c r="DP23" s="883"/>
      <c r="DQ23" s="883"/>
      <c r="DR23" s="883"/>
      <c r="DS23" s="883">
        <v>10</v>
      </c>
      <c r="DT23" s="883">
        <v>3</v>
      </c>
      <c r="DU23" s="883">
        <v>3</v>
      </c>
      <c r="DV23" s="883"/>
      <c r="DW23" s="883"/>
      <c r="DX23" s="883"/>
      <c r="DY23" s="883">
        <v>9</v>
      </c>
      <c r="DZ23" s="873">
        <v>3</v>
      </c>
      <c r="EA23" s="879">
        <f t="shared" si="31"/>
        <v>28</v>
      </c>
      <c r="EB23" s="883">
        <v>0</v>
      </c>
      <c r="EC23" s="883">
        <v>22</v>
      </c>
      <c r="ED23" s="883">
        <v>21</v>
      </c>
      <c r="EE23" s="883">
        <v>5</v>
      </c>
      <c r="EF23" s="883">
        <v>0</v>
      </c>
      <c r="EG23" s="883">
        <v>0</v>
      </c>
      <c r="EH23" s="883">
        <v>0</v>
      </c>
      <c r="EI23" s="883">
        <v>0</v>
      </c>
      <c r="EJ23" s="883">
        <v>0</v>
      </c>
      <c r="EK23" s="883">
        <v>0</v>
      </c>
      <c r="EL23" s="883">
        <v>0</v>
      </c>
      <c r="EM23" s="873">
        <v>5</v>
      </c>
      <c r="EN23" s="879">
        <f t="shared" si="32"/>
        <v>53</v>
      </c>
      <c r="EO23" s="883">
        <v>0</v>
      </c>
      <c r="EP23" s="883">
        <v>0</v>
      </c>
      <c r="EQ23" s="883">
        <v>0</v>
      </c>
      <c r="ER23" s="883">
        <v>0</v>
      </c>
      <c r="ES23" s="883">
        <v>0</v>
      </c>
      <c r="ET23" s="883">
        <v>0</v>
      </c>
      <c r="EU23" s="883">
        <v>0</v>
      </c>
      <c r="EV23" s="973">
        <v>0</v>
      </c>
      <c r="EW23" s="883"/>
      <c r="EX23" s="883"/>
      <c r="EY23" s="883"/>
      <c r="EZ23" s="873"/>
      <c r="FA23" s="879">
        <f t="shared" si="33"/>
        <v>0</v>
      </c>
      <c r="FC23" s="843" t="str">
        <f t="shared" si="34"/>
        <v/>
      </c>
      <c r="FD23" s="844">
        <f t="shared" si="35"/>
        <v>-100</v>
      </c>
      <c r="FE23" s="845">
        <f t="shared" si="36"/>
        <v>48</v>
      </c>
      <c r="FF23" s="846">
        <f t="shared" si="37"/>
        <v>0</v>
      </c>
      <c r="FH23" s="127">
        <f t="shared" si="38"/>
        <v>0</v>
      </c>
    </row>
    <row r="24" spans="1:164" ht="15" customHeight="1" x14ac:dyDescent="0.25">
      <c r="A24" s="403" t="s">
        <v>406</v>
      </c>
      <c r="B24" s="883"/>
      <c r="C24" s="883"/>
      <c r="D24" s="883"/>
      <c r="E24" s="883"/>
      <c r="F24" s="883">
        <v>160</v>
      </c>
      <c r="G24" s="883">
        <v>10</v>
      </c>
      <c r="H24" s="883">
        <v>23</v>
      </c>
      <c r="I24" s="883">
        <v>19</v>
      </c>
      <c r="J24" s="883">
        <v>15</v>
      </c>
      <c r="K24" s="883">
        <v>28</v>
      </c>
      <c r="L24" s="883">
        <v>11</v>
      </c>
      <c r="M24" s="873">
        <v>20</v>
      </c>
      <c r="N24" s="879">
        <f t="shared" si="23"/>
        <v>286</v>
      </c>
      <c r="O24" s="883"/>
      <c r="P24" s="883">
        <v>32</v>
      </c>
      <c r="Q24" s="883">
        <v>47</v>
      </c>
      <c r="R24" s="883">
        <v>49</v>
      </c>
      <c r="S24" s="883">
        <v>62</v>
      </c>
      <c r="T24" s="883">
        <v>50</v>
      </c>
      <c r="U24" s="883">
        <v>20</v>
      </c>
      <c r="V24" s="883"/>
      <c r="W24" s="883"/>
      <c r="X24" s="883"/>
      <c r="Y24" s="883">
        <v>1</v>
      </c>
      <c r="Z24" s="873">
        <v>46</v>
      </c>
      <c r="AA24" s="879">
        <f t="shared" si="24"/>
        <v>307</v>
      </c>
      <c r="AB24" s="883"/>
      <c r="AC24" s="883"/>
      <c r="AD24" s="883"/>
      <c r="AE24" s="883"/>
      <c r="AF24" s="883"/>
      <c r="AG24" s="883">
        <v>56</v>
      </c>
      <c r="AH24" s="883">
        <v>90</v>
      </c>
      <c r="AI24" s="883">
        <v>15</v>
      </c>
      <c r="AJ24" s="883"/>
      <c r="AK24" s="883">
        <v>12</v>
      </c>
      <c r="AL24" s="883">
        <v>4</v>
      </c>
      <c r="AM24" s="873">
        <v>79</v>
      </c>
      <c r="AN24" s="879">
        <f t="shared" si="25"/>
        <v>256</v>
      </c>
      <c r="AO24" s="883"/>
      <c r="AP24" s="883">
        <v>79</v>
      </c>
      <c r="AQ24" s="883"/>
      <c r="AR24" s="883"/>
      <c r="AS24" s="883"/>
      <c r="AT24" s="883">
        <v>30</v>
      </c>
      <c r="AU24" s="883"/>
      <c r="AV24" s="883"/>
      <c r="AW24" s="883"/>
      <c r="AX24" s="883"/>
      <c r="AY24" s="883"/>
      <c r="AZ24" s="873"/>
      <c r="BA24" s="879">
        <f t="shared" si="26"/>
        <v>109</v>
      </c>
      <c r="BB24" s="883"/>
      <c r="BC24" s="883"/>
      <c r="BD24" s="883"/>
      <c r="BE24" s="883"/>
      <c r="BF24" s="883"/>
      <c r="BG24" s="883"/>
      <c r="BH24" s="883"/>
      <c r="BI24" s="883"/>
      <c r="BJ24" s="883"/>
      <c r="BK24" s="883"/>
      <c r="BL24" s="883"/>
      <c r="BM24" s="873">
        <v>26</v>
      </c>
      <c r="BN24" s="879">
        <f t="shared" si="27"/>
        <v>26</v>
      </c>
      <c r="BO24" s="883"/>
      <c r="BP24" s="883"/>
      <c r="BQ24" s="883"/>
      <c r="BR24" s="883"/>
      <c r="BS24" s="883"/>
      <c r="BT24" s="883"/>
      <c r="BU24" s="883">
        <v>101</v>
      </c>
      <c r="BV24" s="883"/>
      <c r="BW24" s="883"/>
      <c r="BX24" s="883"/>
      <c r="BY24" s="883"/>
      <c r="BZ24" s="873">
        <v>5</v>
      </c>
      <c r="CA24" s="879">
        <f t="shared" si="28"/>
        <v>106</v>
      </c>
      <c r="CB24" s="883"/>
      <c r="CC24" s="883">
        <v>81</v>
      </c>
      <c r="CD24" s="883">
        <v>34</v>
      </c>
      <c r="CE24" s="883"/>
      <c r="CF24" s="883">
        <v>1</v>
      </c>
      <c r="CG24" s="883"/>
      <c r="CH24" s="883"/>
      <c r="CI24" s="883"/>
      <c r="CJ24" s="883"/>
      <c r="CK24" s="883">
        <v>3</v>
      </c>
      <c r="CL24" s="883">
        <v>1</v>
      </c>
      <c r="CM24" s="873">
        <v>91</v>
      </c>
      <c r="CN24" s="879">
        <f t="shared" si="29"/>
        <v>211</v>
      </c>
      <c r="CO24" s="883"/>
      <c r="CP24" s="883"/>
      <c r="CQ24" s="883"/>
      <c r="CR24" s="883"/>
      <c r="CS24" s="883"/>
      <c r="CT24" s="883"/>
      <c r="CU24" s="883"/>
      <c r="CV24" s="883"/>
      <c r="CW24" s="883"/>
      <c r="CX24" s="883">
        <v>81</v>
      </c>
      <c r="CY24" s="883">
        <v>162</v>
      </c>
      <c r="CZ24" s="873">
        <v>79</v>
      </c>
      <c r="DA24" s="879">
        <f t="shared" si="30"/>
        <v>322</v>
      </c>
      <c r="DB24" s="883"/>
      <c r="DC24" s="883"/>
      <c r="DD24" s="883"/>
      <c r="DE24" s="883"/>
      <c r="DF24" s="883"/>
      <c r="DG24" s="883"/>
      <c r="DH24" s="883"/>
      <c r="DI24" s="883">
        <v>173</v>
      </c>
      <c r="DJ24" s="883">
        <v>17</v>
      </c>
      <c r="DK24" s="883">
        <v>33</v>
      </c>
      <c r="DL24" s="883">
        <v>61</v>
      </c>
      <c r="DM24" s="873"/>
      <c r="DN24" s="879">
        <f t="shared" si="39"/>
        <v>284</v>
      </c>
      <c r="DO24" s="883"/>
      <c r="DP24" s="883"/>
      <c r="DQ24" s="883"/>
      <c r="DR24" s="883"/>
      <c r="DS24" s="883">
        <v>6</v>
      </c>
      <c r="DT24" s="883"/>
      <c r="DU24" s="883">
        <v>17</v>
      </c>
      <c r="DV24" s="883">
        <v>2</v>
      </c>
      <c r="DW24" s="883"/>
      <c r="DX24" s="883"/>
      <c r="DY24" s="883"/>
      <c r="DZ24" s="873">
        <v>25</v>
      </c>
      <c r="EA24" s="879">
        <f t="shared" si="31"/>
        <v>50</v>
      </c>
      <c r="EB24" s="883">
        <v>0</v>
      </c>
      <c r="EC24" s="883">
        <v>0</v>
      </c>
      <c r="ED24" s="883">
        <v>0</v>
      </c>
      <c r="EE24" s="883">
        <v>29</v>
      </c>
      <c r="EF24" s="883">
        <v>6</v>
      </c>
      <c r="EG24" s="883">
        <v>0</v>
      </c>
      <c r="EH24" s="883">
        <v>0</v>
      </c>
      <c r="EI24" s="883">
        <v>0</v>
      </c>
      <c r="EJ24" s="883">
        <v>0</v>
      </c>
      <c r="EK24" s="883">
        <v>1</v>
      </c>
      <c r="EL24" s="883">
        <v>213</v>
      </c>
      <c r="EM24" s="873">
        <v>102</v>
      </c>
      <c r="EN24" s="879">
        <f t="shared" si="32"/>
        <v>351</v>
      </c>
      <c r="EO24" s="883">
        <v>0</v>
      </c>
      <c r="EP24" s="883">
        <v>3</v>
      </c>
      <c r="EQ24" s="883">
        <v>5</v>
      </c>
      <c r="ER24" s="883">
        <v>0</v>
      </c>
      <c r="ES24" s="883">
        <v>126</v>
      </c>
      <c r="ET24" s="883">
        <v>162</v>
      </c>
      <c r="EU24" s="883">
        <v>63</v>
      </c>
      <c r="EV24" s="973">
        <v>50</v>
      </c>
      <c r="EW24" s="883"/>
      <c r="EX24" s="883"/>
      <c r="EY24" s="883"/>
      <c r="EZ24" s="873"/>
      <c r="FA24" s="879">
        <f t="shared" si="33"/>
        <v>409</v>
      </c>
      <c r="FC24" s="843" t="str">
        <f t="shared" si="34"/>
        <v/>
      </c>
      <c r="FD24" s="844">
        <f t="shared" si="35"/>
        <v>1068.5714285714284</v>
      </c>
      <c r="FE24" s="845">
        <f t="shared" si="36"/>
        <v>35</v>
      </c>
      <c r="FF24" s="846">
        <f t="shared" si="37"/>
        <v>409</v>
      </c>
      <c r="FH24" s="127">
        <f t="shared" si="38"/>
        <v>50</v>
      </c>
    </row>
    <row r="25" spans="1:164" ht="15" customHeight="1" x14ac:dyDescent="0.25">
      <c r="A25" s="403" t="s">
        <v>664</v>
      </c>
      <c r="B25" s="883"/>
      <c r="C25" s="883"/>
      <c r="D25" s="883"/>
      <c r="E25" s="883">
        <v>484</v>
      </c>
      <c r="F25" s="883">
        <v>337</v>
      </c>
      <c r="G25" s="883">
        <v>210</v>
      </c>
      <c r="H25" s="883">
        <v>561</v>
      </c>
      <c r="I25" s="883">
        <v>918</v>
      </c>
      <c r="J25" s="883">
        <v>491</v>
      </c>
      <c r="K25" s="883">
        <v>197</v>
      </c>
      <c r="L25" s="883">
        <v>776</v>
      </c>
      <c r="M25" s="873">
        <v>2212</v>
      </c>
      <c r="N25" s="879">
        <f t="shared" si="23"/>
        <v>6186</v>
      </c>
      <c r="O25" s="883">
        <v>288</v>
      </c>
      <c r="P25" s="883">
        <v>224</v>
      </c>
      <c r="Q25" s="883">
        <v>508</v>
      </c>
      <c r="R25" s="883">
        <v>683</v>
      </c>
      <c r="S25" s="883">
        <v>481</v>
      </c>
      <c r="T25" s="883">
        <v>299</v>
      </c>
      <c r="U25" s="883">
        <v>392</v>
      </c>
      <c r="V25" s="883">
        <v>516</v>
      </c>
      <c r="W25" s="883">
        <v>1229</v>
      </c>
      <c r="X25" s="883">
        <v>975</v>
      </c>
      <c r="Y25" s="883">
        <v>1102</v>
      </c>
      <c r="Z25" s="873">
        <v>2124</v>
      </c>
      <c r="AA25" s="879">
        <f t="shared" si="24"/>
        <v>8821</v>
      </c>
      <c r="AB25" s="883">
        <v>67</v>
      </c>
      <c r="AC25" s="883">
        <v>264</v>
      </c>
      <c r="AD25" s="883">
        <v>472</v>
      </c>
      <c r="AE25" s="883">
        <v>261</v>
      </c>
      <c r="AF25" s="883">
        <v>36</v>
      </c>
      <c r="AG25" s="883">
        <v>1076</v>
      </c>
      <c r="AH25" s="883">
        <v>900</v>
      </c>
      <c r="AI25" s="883">
        <v>846</v>
      </c>
      <c r="AJ25" s="883">
        <v>1530</v>
      </c>
      <c r="AK25" s="883">
        <v>541</v>
      </c>
      <c r="AL25" s="883">
        <v>3579</v>
      </c>
      <c r="AM25" s="873">
        <v>-1033</v>
      </c>
      <c r="AN25" s="879">
        <f t="shared" si="25"/>
        <v>8539</v>
      </c>
      <c r="AO25" s="883">
        <v>23</v>
      </c>
      <c r="AP25" s="883">
        <v>1129</v>
      </c>
      <c r="AQ25" s="883">
        <v>4613</v>
      </c>
      <c r="AR25" s="883">
        <v>-4028</v>
      </c>
      <c r="AS25" s="883">
        <v>1899</v>
      </c>
      <c r="AT25" s="883">
        <v>1646</v>
      </c>
      <c r="AU25" s="883">
        <v>1760</v>
      </c>
      <c r="AV25" s="883">
        <v>1572</v>
      </c>
      <c r="AW25" s="883">
        <v>-355</v>
      </c>
      <c r="AX25" s="883">
        <v>383</v>
      </c>
      <c r="AY25" s="883">
        <v>272</v>
      </c>
      <c r="AZ25" s="873">
        <v>256</v>
      </c>
      <c r="BA25" s="879">
        <f t="shared" si="26"/>
        <v>9170</v>
      </c>
      <c r="BB25" s="883"/>
      <c r="BC25" s="883">
        <v>2</v>
      </c>
      <c r="BD25" s="883">
        <v>4</v>
      </c>
      <c r="BE25" s="883">
        <v>29</v>
      </c>
      <c r="BF25" s="883">
        <v>6</v>
      </c>
      <c r="BG25" s="883">
        <v>550</v>
      </c>
      <c r="BH25" s="883">
        <v>912</v>
      </c>
      <c r="BI25" s="883">
        <v>1171</v>
      </c>
      <c r="BJ25" s="883">
        <v>2029</v>
      </c>
      <c r="BK25" s="883">
        <v>1993</v>
      </c>
      <c r="BL25" s="883">
        <v>972</v>
      </c>
      <c r="BM25" s="873">
        <v>2048</v>
      </c>
      <c r="BN25" s="879">
        <f t="shared" si="27"/>
        <v>9716</v>
      </c>
      <c r="BO25" s="883">
        <v>119</v>
      </c>
      <c r="BP25" s="883">
        <v>1057</v>
      </c>
      <c r="BQ25" s="883">
        <v>413</v>
      </c>
      <c r="BR25" s="883">
        <v>316</v>
      </c>
      <c r="BS25" s="883">
        <v>14</v>
      </c>
      <c r="BT25" s="883">
        <v>99</v>
      </c>
      <c r="BU25" s="883">
        <v>321</v>
      </c>
      <c r="BV25" s="883">
        <v>958</v>
      </c>
      <c r="BW25" s="883">
        <v>2647</v>
      </c>
      <c r="BX25" s="883">
        <v>1496</v>
      </c>
      <c r="BY25" s="883">
        <v>3781</v>
      </c>
      <c r="BZ25" s="873">
        <v>8283</v>
      </c>
      <c r="CA25" s="879">
        <f t="shared" si="28"/>
        <v>19504</v>
      </c>
      <c r="CB25" s="883">
        <v>797</v>
      </c>
      <c r="CC25" s="883">
        <v>1333</v>
      </c>
      <c r="CD25" s="883">
        <v>1999</v>
      </c>
      <c r="CE25" s="883">
        <v>636</v>
      </c>
      <c r="CF25" s="883">
        <v>475</v>
      </c>
      <c r="CG25" s="883">
        <v>1389</v>
      </c>
      <c r="CH25" s="883">
        <v>908</v>
      </c>
      <c r="CI25" s="883">
        <v>1421</v>
      </c>
      <c r="CJ25" s="883">
        <v>341</v>
      </c>
      <c r="CK25" s="883">
        <v>1578</v>
      </c>
      <c r="CL25" s="883">
        <v>2845</v>
      </c>
      <c r="CM25" s="873">
        <v>3640</v>
      </c>
      <c r="CN25" s="879">
        <f t="shared" si="29"/>
        <v>17362</v>
      </c>
      <c r="CO25" s="883">
        <v>977</v>
      </c>
      <c r="CP25" s="883">
        <v>582</v>
      </c>
      <c r="CQ25" s="883">
        <v>1126</v>
      </c>
      <c r="CR25" s="883">
        <v>590</v>
      </c>
      <c r="CS25" s="883">
        <v>1372</v>
      </c>
      <c r="CT25" s="883">
        <v>15</v>
      </c>
      <c r="CU25" s="883">
        <v>2489</v>
      </c>
      <c r="CV25" s="883">
        <v>541</v>
      </c>
      <c r="CW25" s="883">
        <v>1395</v>
      </c>
      <c r="CX25" s="883">
        <v>2654</v>
      </c>
      <c r="CY25" s="883">
        <v>1154</v>
      </c>
      <c r="CZ25" s="873">
        <v>1934</v>
      </c>
      <c r="DA25" s="879">
        <f t="shared" si="30"/>
        <v>14829</v>
      </c>
      <c r="DB25" s="883"/>
      <c r="DC25" s="883">
        <v>180</v>
      </c>
      <c r="DD25" s="883">
        <v>363</v>
      </c>
      <c r="DE25" s="883">
        <v>730</v>
      </c>
      <c r="DF25" s="883">
        <v>175</v>
      </c>
      <c r="DG25" s="883">
        <v>613</v>
      </c>
      <c r="DH25" s="883">
        <v>531</v>
      </c>
      <c r="DI25" s="883">
        <v>751</v>
      </c>
      <c r="DJ25" s="883">
        <v>1433</v>
      </c>
      <c r="DK25" s="883">
        <v>2351</v>
      </c>
      <c r="DL25" s="883">
        <v>1943</v>
      </c>
      <c r="DM25" s="873">
        <v>4929</v>
      </c>
      <c r="DN25" s="879">
        <f t="shared" si="39"/>
        <v>13999</v>
      </c>
      <c r="DO25" s="883"/>
      <c r="DP25" s="883">
        <v>10</v>
      </c>
      <c r="DQ25" s="883">
        <v>101</v>
      </c>
      <c r="DR25" s="883">
        <v>1109</v>
      </c>
      <c r="DS25" s="883">
        <v>620</v>
      </c>
      <c r="DT25" s="883">
        <v>979</v>
      </c>
      <c r="DU25" s="883">
        <v>829</v>
      </c>
      <c r="DV25" s="883">
        <v>97</v>
      </c>
      <c r="DW25" s="883">
        <v>835</v>
      </c>
      <c r="DX25" s="883">
        <v>995</v>
      </c>
      <c r="DY25" s="883">
        <v>1424</v>
      </c>
      <c r="DZ25" s="873">
        <v>4509</v>
      </c>
      <c r="EA25" s="879">
        <f t="shared" si="31"/>
        <v>11508</v>
      </c>
      <c r="EB25" s="883">
        <v>284</v>
      </c>
      <c r="EC25" s="883">
        <v>1156</v>
      </c>
      <c r="ED25" s="883">
        <v>1211</v>
      </c>
      <c r="EE25" s="883">
        <v>1297</v>
      </c>
      <c r="EF25" s="883">
        <v>1168</v>
      </c>
      <c r="EG25" s="883">
        <v>947</v>
      </c>
      <c r="EH25" s="883">
        <v>758</v>
      </c>
      <c r="EI25" s="883">
        <v>1023</v>
      </c>
      <c r="EJ25" s="883">
        <v>913</v>
      </c>
      <c r="EK25" s="883">
        <v>989</v>
      </c>
      <c r="EL25" s="883">
        <v>839</v>
      </c>
      <c r="EM25" s="873">
        <v>4919</v>
      </c>
      <c r="EN25" s="879">
        <f t="shared" si="32"/>
        <v>15504</v>
      </c>
      <c r="EO25" s="883">
        <v>46</v>
      </c>
      <c r="EP25" s="883">
        <v>1512</v>
      </c>
      <c r="EQ25" s="883">
        <v>1496</v>
      </c>
      <c r="ER25" s="883">
        <v>1196</v>
      </c>
      <c r="ES25" s="883">
        <v>339</v>
      </c>
      <c r="ET25" s="883">
        <v>1865</v>
      </c>
      <c r="EU25" s="883">
        <v>1657</v>
      </c>
      <c r="EV25" s="973">
        <v>1787</v>
      </c>
      <c r="EW25" s="883"/>
      <c r="EX25" s="883"/>
      <c r="EY25" s="883"/>
      <c r="EZ25" s="873"/>
      <c r="FA25" s="879">
        <f t="shared" si="33"/>
        <v>9898</v>
      </c>
      <c r="FC25" s="843">
        <f t="shared" si="34"/>
        <v>74.682306940371461</v>
      </c>
      <c r="FD25" s="844">
        <f t="shared" si="35"/>
        <v>26.185619581845998</v>
      </c>
      <c r="FE25" s="845">
        <f t="shared" si="36"/>
        <v>7844</v>
      </c>
      <c r="FF25" s="846">
        <f t="shared" si="37"/>
        <v>9898</v>
      </c>
      <c r="FH25" s="127">
        <f t="shared" si="38"/>
        <v>764</v>
      </c>
    </row>
    <row r="26" spans="1:164" ht="15" customHeight="1" x14ac:dyDescent="0.25">
      <c r="A26" s="403"/>
      <c r="B26" s="883"/>
      <c r="C26" s="883"/>
      <c r="D26" s="883"/>
      <c r="E26" s="883"/>
      <c r="F26" s="883"/>
      <c r="G26" s="883"/>
      <c r="H26" s="883"/>
      <c r="I26" s="883"/>
      <c r="J26" s="883"/>
      <c r="K26" s="883"/>
      <c r="L26" s="883"/>
      <c r="M26" s="873"/>
      <c r="N26" s="879"/>
      <c r="O26" s="883"/>
      <c r="P26" s="883"/>
      <c r="Q26" s="883"/>
      <c r="R26" s="883"/>
      <c r="S26" s="883"/>
      <c r="T26" s="883"/>
      <c r="U26" s="883"/>
      <c r="V26" s="883"/>
      <c r="W26" s="883"/>
      <c r="X26" s="883"/>
      <c r="Y26" s="883"/>
      <c r="Z26" s="873"/>
      <c r="AA26" s="879"/>
      <c r="AB26" s="883"/>
      <c r="AC26" s="883"/>
      <c r="AD26" s="883"/>
      <c r="AE26" s="883"/>
      <c r="AF26" s="883"/>
      <c r="AG26" s="883"/>
      <c r="AH26" s="883"/>
      <c r="AI26" s="883"/>
      <c r="AJ26" s="883"/>
      <c r="AK26" s="883"/>
      <c r="AL26" s="883"/>
      <c r="AM26" s="873"/>
      <c r="AN26" s="879"/>
      <c r="AO26" s="883"/>
      <c r="AP26" s="883"/>
      <c r="AQ26" s="883"/>
      <c r="AR26" s="883"/>
      <c r="AS26" s="883"/>
      <c r="AT26" s="883"/>
      <c r="AU26" s="883"/>
      <c r="AV26" s="883"/>
      <c r="AW26" s="883"/>
      <c r="AX26" s="883"/>
      <c r="AY26" s="883"/>
      <c r="AZ26" s="873"/>
      <c r="BA26" s="879"/>
      <c r="BB26" s="883"/>
      <c r="BC26" s="883"/>
      <c r="BD26" s="883"/>
      <c r="BE26" s="883"/>
      <c r="BF26" s="883"/>
      <c r="BG26" s="883"/>
      <c r="BH26" s="883"/>
      <c r="BI26" s="883"/>
      <c r="BJ26" s="883"/>
      <c r="BK26" s="883"/>
      <c r="BL26" s="883"/>
      <c r="BM26" s="873"/>
      <c r="BN26" s="879"/>
      <c r="BO26" s="883"/>
      <c r="BP26" s="883"/>
      <c r="BQ26" s="883"/>
      <c r="BR26" s="883"/>
      <c r="BS26" s="883"/>
      <c r="BT26" s="883"/>
      <c r="BU26" s="883"/>
      <c r="BV26" s="883"/>
      <c r="BW26" s="883"/>
      <c r="BX26" s="883"/>
      <c r="BY26" s="883"/>
      <c r="BZ26" s="873"/>
      <c r="CA26" s="879"/>
      <c r="CB26" s="883"/>
      <c r="CC26" s="883"/>
      <c r="CD26" s="883"/>
      <c r="CE26" s="883"/>
      <c r="CF26" s="883"/>
      <c r="CG26" s="883"/>
      <c r="CH26" s="883"/>
      <c r="CI26" s="883"/>
      <c r="CJ26" s="883"/>
      <c r="CK26" s="883"/>
      <c r="CL26" s="883"/>
      <c r="CM26" s="873"/>
      <c r="CN26" s="879"/>
      <c r="CO26" s="883"/>
      <c r="CP26" s="883"/>
      <c r="CQ26" s="883"/>
      <c r="CR26" s="883"/>
      <c r="CS26" s="883"/>
      <c r="CT26" s="883"/>
      <c r="CU26" s="883"/>
      <c r="CV26" s="883"/>
      <c r="CW26" s="883"/>
      <c r="CX26" s="883"/>
      <c r="CY26" s="883"/>
      <c r="CZ26" s="873"/>
      <c r="DA26" s="879"/>
      <c r="DB26" s="883"/>
      <c r="DC26" s="883"/>
      <c r="DD26" s="883"/>
      <c r="DE26" s="883"/>
      <c r="DF26" s="883"/>
      <c r="DG26" s="883"/>
      <c r="DH26" s="883"/>
      <c r="DI26" s="883"/>
      <c r="DJ26" s="883"/>
      <c r="DK26" s="883"/>
      <c r="DL26" s="883"/>
      <c r="DM26" s="873"/>
      <c r="DN26" s="879"/>
      <c r="DO26" s="883"/>
      <c r="DP26" s="883"/>
      <c r="DQ26" s="883"/>
      <c r="DR26" s="883"/>
      <c r="DS26" s="883"/>
      <c r="DT26" s="883"/>
      <c r="DU26" s="883"/>
      <c r="DV26" s="883"/>
      <c r="DW26" s="883"/>
      <c r="DX26" s="883"/>
      <c r="DY26" s="883"/>
      <c r="DZ26" s="873"/>
      <c r="EA26" s="879"/>
      <c r="EB26" s="883"/>
      <c r="EC26" s="883"/>
      <c r="ED26" s="883"/>
      <c r="EE26" s="883"/>
      <c r="EF26" s="883"/>
      <c r="EG26" s="883"/>
      <c r="EH26" s="883"/>
      <c r="EI26" s="883"/>
      <c r="EJ26" s="883"/>
      <c r="EK26" s="883"/>
      <c r="EL26" s="883"/>
      <c r="EM26" s="873"/>
      <c r="EN26" s="879"/>
      <c r="EO26" s="883"/>
      <c r="EP26" s="883"/>
      <c r="EQ26" s="883"/>
      <c r="ER26" s="883"/>
      <c r="ES26" s="883"/>
      <c r="ET26" s="883"/>
      <c r="EU26" s="883"/>
      <c r="EV26" s="973"/>
      <c r="EW26" s="883"/>
      <c r="EX26" s="883"/>
      <c r="EY26" s="883"/>
      <c r="EZ26" s="873"/>
      <c r="FA26" s="879"/>
      <c r="FC26" s="843"/>
      <c r="FD26" s="844"/>
      <c r="FE26" s="845"/>
      <c r="FF26" s="846"/>
      <c r="FH26" s="127"/>
    </row>
    <row r="27" spans="1:164" ht="15" customHeight="1" x14ac:dyDescent="0.25">
      <c r="A27" s="822" t="s">
        <v>226</v>
      </c>
      <c r="B27" s="884">
        <f t="shared" ref="B27:M27" si="40">SUM(B28:B32)</f>
        <v>815</v>
      </c>
      <c r="C27" s="884">
        <f t="shared" si="40"/>
        <v>9284</v>
      </c>
      <c r="D27" s="884">
        <f t="shared" si="40"/>
        <v>13987</v>
      </c>
      <c r="E27" s="884">
        <f t="shared" si="40"/>
        <v>11247</v>
      </c>
      <c r="F27" s="884">
        <f t="shared" si="40"/>
        <v>10822</v>
      </c>
      <c r="G27" s="884">
        <f t="shared" si="40"/>
        <v>13546</v>
      </c>
      <c r="H27" s="884">
        <f t="shared" si="40"/>
        <v>30836</v>
      </c>
      <c r="I27" s="884">
        <f t="shared" si="40"/>
        <v>2919</v>
      </c>
      <c r="J27" s="884">
        <f t="shared" si="40"/>
        <v>13280</v>
      </c>
      <c r="K27" s="884">
        <f t="shared" si="40"/>
        <v>11870</v>
      </c>
      <c r="L27" s="884">
        <f t="shared" si="40"/>
        <v>20023</v>
      </c>
      <c r="M27" s="875">
        <f t="shared" si="40"/>
        <v>40942</v>
      </c>
      <c r="N27" s="876">
        <f t="shared" ref="N27:N32" si="41">SUM(B27:M27)</f>
        <v>179571</v>
      </c>
      <c r="O27" s="884">
        <f t="shared" ref="O27:Z27" si="42">SUM(O28:O32)</f>
        <v>3648</v>
      </c>
      <c r="P27" s="884">
        <f t="shared" si="42"/>
        <v>9849</v>
      </c>
      <c r="Q27" s="884">
        <f t="shared" si="42"/>
        <v>10498</v>
      </c>
      <c r="R27" s="884">
        <f t="shared" si="42"/>
        <v>11125</v>
      </c>
      <c r="S27" s="884">
        <f t="shared" si="42"/>
        <v>12328</v>
      </c>
      <c r="T27" s="884">
        <f t="shared" si="42"/>
        <v>12046</v>
      </c>
      <c r="U27" s="884">
        <f t="shared" si="42"/>
        <v>14149</v>
      </c>
      <c r="V27" s="884">
        <f t="shared" si="42"/>
        <v>18828</v>
      </c>
      <c r="W27" s="884">
        <f t="shared" si="42"/>
        <v>16006</v>
      </c>
      <c r="X27" s="884">
        <f t="shared" si="42"/>
        <v>14260</v>
      </c>
      <c r="Y27" s="884">
        <f t="shared" si="42"/>
        <v>28905</v>
      </c>
      <c r="Z27" s="875">
        <f t="shared" si="42"/>
        <v>45937</v>
      </c>
      <c r="AA27" s="876">
        <f t="shared" ref="AA27:AA32" si="43">SUM(O27:Z27)</f>
        <v>197579</v>
      </c>
      <c r="AB27" s="884">
        <f t="shared" ref="AB27:AM27" si="44">SUM(AB28:AB32)</f>
        <v>1618</v>
      </c>
      <c r="AC27" s="884">
        <f t="shared" si="44"/>
        <v>7228</v>
      </c>
      <c r="AD27" s="884">
        <f t="shared" si="44"/>
        <v>17371</v>
      </c>
      <c r="AE27" s="884">
        <f t="shared" si="44"/>
        <v>10638</v>
      </c>
      <c r="AF27" s="884">
        <f t="shared" si="44"/>
        <v>11490</v>
      </c>
      <c r="AG27" s="884">
        <f t="shared" si="44"/>
        <v>17134</v>
      </c>
      <c r="AH27" s="884">
        <f t="shared" si="44"/>
        <v>24706</v>
      </c>
      <c r="AI27" s="884">
        <f t="shared" si="44"/>
        <v>19070</v>
      </c>
      <c r="AJ27" s="884">
        <f t="shared" si="44"/>
        <v>18250</v>
      </c>
      <c r="AK27" s="884">
        <f t="shared" si="44"/>
        <v>17897</v>
      </c>
      <c r="AL27" s="884">
        <f t="shared" si="44"/>
        <v>20644</v>
      </c>
      <c r="AM27" s="875">
        <f t="shared" si="44"/>
        <v>36460</v>
      </c>
      <c r="AN27" s="876">
        <f t="shared" ref="AN27:AN32" si="45">SUM(AB27:AM27)</f>
        <v>202506</v>
      </c>
      <c r="AO27" s="884">
        <f t="shared" ref="AO27:AZ27" si="46">SUM(AO28:AO32)</f>
        <v>2992</v>
      </c>
      <c r="AP27" s="884">
        <f t="shared" si="46"/>
        <v>7118</v>
      </c>
      <c r="AQ27" s="884">
        <f t="shared" si="46"/>
        <v>17477</v>
      </c>
      <c r="AR27" s="884">
        <f t="shared" si="46"/>
        <v>7131</v>
      </c>
      <c r="AS27" s="884">
        <f t="shared" si="46"/>
        <v>16623</v>
      </c>
      <c r="AT27" s="884">
        <f t="shared" si="46"/>
        <v>15593</v>
      </c>
      <c r="AU27" s="884">
        <f t="shared" si="46"/>
        <v>28470</v>
      </c>
      <c r="AV27" s="884">
        <f t="shared" si="46"/>
        <v>22350</v>
      </c>
      <c r="AW27" s="884">
        <f t="shared" si="46"/>
        <v>24475</v>
      </c>
      <c r="AX27" s="884">
        <f t="shared" si="46"/>
        <v>18811</v>
      </c>
      <c r="AY27" s="884">
        <f t="shared" si="46"/>
        <v>21610</v>
      </c>
      <c r="AZ27" s="875">
        <f t="shared" si="46"/>
        <v>33783</v>
      </c>
      <c r="BA27" s="876">
        <f t="shared" ref="BA27:BA32" si="47">SUM(AO27:AZ27)</f>
        <v>216433</v>
      </c>
      <c r="BB27" s="884">
        <f>SUM(BB28:BB32)</f>
        <v>1653</v>
      </c>
      <c r="BC27" s="884">
        <f t="shared" ref="BC27:BM27" si="48">SUM(BC28:BC32)</f>
        <v>5726</v>
      </c>
      <c r="BD27" s="884">
        <f t="shared" si="48"/>
        <v>17832</v>
      </c>
      <c r="BE27" s="884">
        <f t="shared" si="48"/>
        <v>28532</v>
      </c>
      <c r="BF27" s="884">
        <f t="shared" si="48"/>
        <v>4519</v>
      </c>
      <c r="BG27" s="884">
        <f t="shared" si="48"/>
        <v>29139</v>
      </c>
      <c r="BH27" s="884">
        <f t="shared" si="48"/>
        <v>16394</v>
      </c>
      <c r="BI27" s="884">
        <f t="shared" si="48"/>
        <v>30351</v>
      </c>
      <c r="BJ27" s="884">
        <f t="shared" si="48"/>
        <v>26908</v>
      </c>
      <c r="BK27" s="884">
        <f t="shared" si="48"/>
        <v>16635</v>
      </c>
      <c r="BL27" s="884">
        <f t="shared" si="48"/>
        <v>20382</v>
      </c>
      <c r="BM27" s="875">
        <f t="shared" si="48"/>
        <v>35007</v>
      </c>
      <c r="BN27" s="876">
        <f t="shared" ref="BN27:BN32" si="49">SUM(BB27:BM27)</f>
        <v>233078</v>
      </c>
      <c r="BO27" s="884">
        <f t="shared" ref="BO27:BZ27" si="50">SUM(BO28:BO32)</f>
        <v>2957</v>
      </c>
      <c r="BP27" s="884">
        <f t="shared" si="50"/>
        <v>9299</v>
      </c>
      <c r="BQ27" s="884">
        <f t="shared" si="50"/>
        <v>8127</v>
      </c>
      <c r="BR27" s="884">
        <f t="shared" si="50"/>
        <v>4797</v>
      </c>
      <c r="BS27" s="884">
        <f t="shared" si="50"/>
        <v>2580</v>
      </c>
      <c r="BT27" s="884">
        <f t="shared" si="50"/>
        <v>2858</v>
      </c>
      <c r="BU27" s="884">
        <f t="shared" si="50"/>
        <v>13610</v>
      </c>
      <c r="BV27" s="884">
        <f t="shared" si="50"/>
        <v>7969</v>
      </c>
      <c r="BW27" s="884">
        <f t="shared" si="50"/>
        <v>15408</v>
      </c>
      <c r="BX27" s="884">
        <f t="shared" si="50"/>
        <v>19679</v>
      </c>
      <c r="BY27" s="884">
        <f t="shared" si="50"/>
        <v>23733</v>
      </c>
      <c r="BZ27" s="875">
        <f t="shared" si="50"/>
        <v>46292</v>
      </c>
      <c r="CA27" s="876">
        <f t="shared" ref="CA27:CA32" si="51">SUM(BO27:BZ27)</f>
        <v>157309</v>
      </c>
      <c r="CB27" s="884">
        <f t="shared" ref="CB27:CM27" si="52">SUM(CB28:CB32)</f>
        <v>2728</v>
      </c>
      <c r="CC27" s="884">
        <f t="shared" si="52"/>
        <v>8879</v>
      </c>
      <c r="CD27" s="884">
        <f t="shared" si="52"/>
        <v>21628</v>
      </c>
      <c r="CE27" s="884">
        <f t="shared" si="52"/>
        <v>5975</v>
      </c>
      <c r="CF27" s="884">
        <f t="shared" si="52"/>
        <v>10127</v>
      </c>
      <c r="CG27" s="884">
        <f t="shared" si="52"/>
        <v>12781</v>
      </c>
      <c r="CH27" s="884">
        <f t="shared" si="52"/>
        <v>14285</v>
      </c>
      <c r="CI27" s="884">
        <f t="shared" si="52"/>
        <v>15002</v>
      </c>
      <c r="CJ27" s="884">
        <f t="shared" si="52"/>
        <v>15541</v>
      </c>
      <c r="CK27" s="884">
        <f t="shared" si="52"/>
        <v>19234</v>
      </c>
      <c r="CL27" s="884">
        <f t="shared" si="52"/>
        <v>15370</v>
      </c>
      <c r="CM27" s="875">
        <f t="shared" si="52"/>
        <v>38905</v>
      </c>
      <c r="CN27" s="876">
        <f t="shared" si="29"/>
        <v>180455</v>
      </c>
      <c r="CO27" s="884">
        <f t="shared" ref="CO27:CZ27" si="53">SUM(CO28:CO32)</f>
        <v>3429</v>
      </c>
      <c r="CP27" s="884">
        <f t="shared" si="53"/>
        <v>12460</v>
      </c>
      <c r="CQ27" s="884">
        <f t="shared" si="53"/>
        <v>18028</v>
      </c>
      <c r="CR27" s="884">
        <f t="shared" si="53"/>
        <v>12986</v>
      </c>
      <c r="CS27" s="884">
        <f t="shared" si="53"/>
        <v>15089</v>
      </c>
      <c r="CT27" s="884">
        <f t="shared" si="53"/>
        <v>22006</v>
      </c>
      <c r="CU27" s="884">
        <f t="shared" si="53"/>
        <v>24386</v>
      </c>
      <c r="CV27" s="884">
        <f t="shared" si="53"/>
        <v>26845</v>
      </c>
      <c r="CW27" s="884">
        <f t="shared" si="53"/>
        <v>32837</v>
      </c>
      <c r="CX27" s="884">
        <f t="shared" si="53"/>
        <v>30793</v>
      </c>
      <c r="CY27" s="884">
        <f t="shared" si="53"/>
        <v>34747</v>
      </c>
      <c r="CZ27" s="875">
        <f t="shared" si="53"/>
        <v>54793</v>
      </c>
      <c r="DA27" s="876">
        <f t="shared" si="30"/>
        <v>288399</v>
      </c>
      <c r="DB27" s="884">
        <f t="shared" ref="DB27:DM27" si="54">SUM(DB28:DB32)</f>
        <v>577</v>
      </c>
      <c r="DC27" s="884">
        <f t="shared" si="54"/>
        <v>7137</v>
      </c>
      <c r="DD27" s="884">
        <f t="shared" si="54"/>
        <v>13401</v>
      </c>
      <c r="DE27" s="884">
        <f t="shared" si="54"/>
        <v>14173</v>
      </c>
      <c r="DF27" s="884">
        <f t="shared" si="54"/>
        <v>12817</v>
      </c>
      <c r="DG27" s="884">
        <f t="shared" si="54"/>
        <v>13823</v>
      </c>
      <c r="DH27" s="884">
        <f t="shared" si="54"/>
        <v>17738</v>
      </c>
      <c r="DI27" s="884">
        <f t="shared" si="54"/>
        <v>25043</v>
      </c>
      <c r="DJ27" s="884">
        <f t="shared" si="54"/>
        <v>23169</v>
      </c>
      <c r="DK27" s="884">
        <f t="shared" si="54"/>
        <v>31001</v>
      </c>
      <c r="DL27" s="884">
        <f t="shared" si="54"/>
        <v>28901</v>
      </c>
      <c r="DM27" s="875">
        <f t="shared" si="54"/>
        <v>62683</v>
      </c>
      <c r="DN27" s="876">
        <f t="shared" si="39"/>
        <v>250463</v>
      </c>
      <c r="DO27" s="884">
        <f t="shared" ref="DO27:DZ27" si="55">SUM(DO28:DO32)</f>
        <v>2118</v>
      </c>
      <c r="DP27" s="884">
        <f t="shared" si="55"/>
        <v>11624</v>
      </c>
      <c r="DQ27" s="884">
        <f t="shared" si="55"/>
        <v>31405</v>
      </c>
      <c r="DR27" s="884">
        <f t="shared" si="55"/>
        <v>19261</v>
      </c>
      <c r="DS27" s="884">
        <f t="shared" si="55"/>
        <v>21141</v>
      </c>
      <c r="DT27" s="884">
        <f t="shared" si="55"/>
        <v>18649</v>
      </c>
      <c r="DU27" s="884">
        <f t="shared" si="55"/>
        <v>22575</v>
      </c>
      <c r="DV27" s="884">
        <f t="shared" si="55"/>
        <v>20230</v>
      </c>
      <c r="DW27" s="884">
        <f t="shared" si="55"/>
        <v>17651</v>
      </c>
      <c r="DX27" s="884">
        <f t="shared" si="55"/>
        <v>19853</v>
      </c>
      <c r="DY27" s="884">
        <f t="shared" si="55"/>
        <v>22995</v>
      </c>
      <c r="DZ27" s="875">
        <f t="shared" si="55"/>
        <v>48982</v>
      </c>
      <c r="EA27" s="876">
        <f t="shared" si="31"/>
        <v>256484</v>
      </c>
      <c r="EB27" s="884">
        <f t="shared" ref="EB27:EM27" si="56">SUM(EB28:EB32)</f>
        <v>1372</v>
      </c>
      <c r="EC27" s="884">
        <f t="shared" si="56"/>
        <v>8295</v>
      </c>
      <c r="ED27" s="884">
        <f t="shared" si="56"/>
        <v>11353</v>
      </c>
      <c r="EE27" s="884">
        <f t="shared" si="56"/>
        <v>18788</v>
      </c>
      <c r="EF27" s="884">
        <f t="shared" si="56"/>
        <v>19888</v>
      </c>
      <c r="EG27" s="884">
        <f t="shared" si="56"/>
        <v>17814</v>
      </c>
      <c r="EH27" s="884">
        <f t="shared" si="56"/>
        <v>21197</v>
      </c>
      <c r="EI27" s="884">
        <f t="shared" si="56"/>
        <v>23196</v>
      </c>
      <c r="EJ27" s="884">
        <f t="shared" si="56"/>
        <v>18642</v>
      </c>
      <c r="EK27" s="884">
        <f t="shared" si="56"/>
        <v>34871</v>
      </c>
      <c r="EL27" s="884">
        <f t="shared" si="56"/>
        <v>31080</v>
      </c>
      <c r="EM27" s="875">
        <f t="shared" si="56"/>
        <v>47901</v>
      </c>
      <c r="EN27" s="876">
        <f t="shared" si="32"/>
        <v>254397</v>
      </c>
      <c r="EO27" s="884">
        <f t="shared" ref="EO27:EV27" si="57">SUM(EO28:EO32)</f>
        <v>1194</v>
      </c>
      <c r="EP27" s="884">
        <f t="shared" si="57"/>
        <v>19630</v>
      </c>
      <c r="EQ27" s="884">
        <f t="shared" si="57"/>
        <v>19701</v>
      </c>
      <c r="ER27" s="884">
        <f t="shared" si="57"/>
        <v>40574</v>
      </c>
      <c r="ES27" s="884">
        <f t="shared" si="57"/>
        <v>16964</v>
      </c>
      <c r="ET27" s="884">
        <f t="shared" si="57"/>
        <v>22749</v>
      </c>
      <c r="EU27" s="884">
        <f t="shared" si="57"/>
        <v>27569</v>
      </c>
      <c r="EV27" s="971">
        <f t="shared" si="57"/>
        <v>26871</v>
      </c>
      <c r="EW27" s="884"/>
      <c r="EX27" s="884"/>
      <c r="EY27" s="884"/>
      <c r="EZ27" s="875"/>
      <c r="FA27" s="876">
        <f t="shared" si="33"/>
        <v>175252</v>
      </c>
      <c r="FB27" s="757"/>
      <c r="FC27" s="841">
        <f t="shared" si="34"/>
        <v>15.843248836006207</v>
      </c>
      <c r="FD27" s="842">
        <f t="shared" si="35"/>
        <v>43.763484081605867</v>
      </c>
      <c r="FE27" s="702">
        <f t="shared" si="36"/>
        <v>121903</v>
      </c>
      <c r="FF27" s="703">
        <f t="shared" si="37"/>
        <v>175252</v>
      </c>
      <c r="FG27" s="757"/>
      <c r="FH27" s="838"/>
    </row>
    <row r="28" spans="1:164" ht="15" customHeight="1" x14ac:dyDescent="0.25">
      <c r="A28" s="403" t="s">
        <v>384</v>
      </c>
      <c r="B28" s="883"/>
      <c r="C28" s="883">
        <v>1132</v>
      </c>
      <c r="D28" s="883">
        <v>3727</v>
      </c>
      <c r="E28" s="883">
        <v>1155</v>
      </c>
      <c r="F28" s="883">
        <v>2461</v>
      </c>
      <c r="G28" s="883">
        <v>1093</v>
      </c>
      <c r="H28" s="883">
        <v>4807</v>
      </c>
      <c r="I28" s="883">
        <v>-1107</v>
      </c>
      <c r="J28" s="883">
        <v>-1503</v>
      </c>
      <c r="K28" s="883">
        <v>1969</v>
      </c>
      <c r="L28" s="883">
        <v>6894</v>
      </c>
      <c r="M28" s="873">
        <v>19048</v>
      </c>
      <c r="N28" s="879">
        <f t="shared" si="41"/>
        <v>39676</v>
      </c>
      <c r="O28" s="883"/>
      <c r="P28" s="883"/>
      <c r="Q28" s="883">
        <v>2580</v>
      </c>
      <c r="R28" s="883">
        <v>1485</v>
      </c>
      <c r="S28" s="883">
        <v>1180</v>
      </c>
      <c r="T28" s="883">
        <v>1248</v>
      </c>
      <c r="U28" s="883">
        <v>2410</v>
      </c>
      <c r="V28" s="883">
        <v>1782</v>
      </c>
      <c r="W28" s="883">
        <v>3398</v>
      </c>
      <c r="X28" s="883">
        <v>1423</v>
      </c>
      <c r="Y28" s="883">
        <v>9473</v>
      </c>
      <c r="Z28" s="873">
        <v>20276</v>
      </c>
      <c r="AA28" s="879">
        <f t="shared" si="43"/>
        <v>45255</v>
      </c>
      <c r="AB28" s="883"/>
      <c r="AC28" s="883">
        <v>743</v>
      </c>
      <c r="AD28" s="883">
        <v>1894</v>
      </c>
      <c r="AE28" s="883">
        <v>3617</v>
      </c>
      <c r="AF28" s="883">
        <v>1238</v>
      </c>
      <c r="AG28" s="883">
        <v>6579</v>
      </c>
      <c r="AH28" s="883">
        <v>6485</v>
      </c>
      <c r="AI28" s="883">
        <v>6877</v>
      </c>
      <c r="AJ28" s="883">
        <v>4213</v>
      </c>
      <c r="AK28" s="883">
        <v>3735</v>
      </c>
      <c r="AL28" s="883">
        <v>3207</v>
      </c>
      <c r="AM28" s="873">
        <v>8044</v>
      </c>
      <c r="AN28" s="879">
        <f t="shared" si="45"/>
        <v>46632</v>
      </c>
      <c r="AO28" s="883"/>
      <c r="AP28" s="883"/>
      <c r="AQ28" s="883">
        <v>945</v>
      </c>
      <c r="AR28" s="883">
        <v>911</v>
      </c>
      <c r="AS28" s="883">
        <v>1341</v>
      </c>
      <c r="AT28" s="883">
        <v>2074</v>
      </c>
      <c r="AU28" s="883">
        <v>694</v>
      </c>
      <c r="AV28" s="883">
        <v>1049</v>
      </c>
      <c r="AW28" s="883">
        <v>3889</v>
      </c>
      <c r="AX28" s="883">
        <v>2474</v>
      </c>
      <c r="AY28" s="883">
        <v>1159</v>
      </c>
      <c r="AZ28" s="873">
        <v>5674</v>
      </c>
      <c r="BA28" s="879">
        <f t="shared" si="47"/>
        <v>20210</v>
      </c>
      <c r="BB28" s="883">
        <v>1439</v>
      </c>
      <c r="BC28" s="883">
        <v>510</v>
      </c>
      <c r="BD28" s="883">
        <v>4349</v>
      </c>
      <c r="BE28" s="883">
        <v>12322</v>
      </c>
      <c r="BF28" s="883">
        <v>-1367</v>
      </c>
      <c r="BG28" s="883">
        <v>11246</v>
      </c>
      <c r="BH28" s="883">
        <v>6604</v>
      </c>
      <c r="BI28" s="883">
        <v>12959</v>
      </c>
      <c r="BJ28" s="883">
        <v>6639</v>
      </c>
      <c r="BK28" s="883">
        <v>3021</v>
      </c>
      <c r="BL28" s="883">
        <v>4201</v>
      </c>
      <c r="BM28" s="873">
        <v>15612</v>
      </c>
      <c r="BN28" s="879">
        <f t="shared" si="49"/>
        <v>77535</v>
      </c>
      <c r="BO28" s="883">
        <v>312</v>
      </c>
      <c r="BP28" s="883">
        <v>1137</v>
      </c>
      <c r="BQ28" s="883">
        <v>552</v>
      </c>
      <c r="BR28" s="883">
        <v>416</v>
      </c>
      <c r="BS28" s="883">
        <v>73</v>
      </c>
      <c r="BT28" s="883">
        <v>258</v>
      </c>
      <c r="BU28" s="883">
        <v>3820</v>
      </c>
      <c r="BV28" s="883">
        <v>1719</v>
      </c>
      <c r="BW28" s="883">
        <v>3917</v>
      </c>
      <c r="BX28" s="883">
        <v>5152</v>
      </c>
      <c r="BY28" s="883">
        <v>3756</v>
      </c>
      <c r="BZ28" s="873">
        <v>8625</v>
      </c>
      <c r="CA28" s="879">
        <f t="shared" si="51"/>
        <v>29737</v>
      </c>
      <c r="CB28" s="883"/>
      <c r="CC28" s="883">
        <v>188</v>
      </c>
      <c r="CD28" s="883">
        <v>3508</v>
      </c>
      <c r="CE28" s="883">
        <v>22</v>
      </c>
      <c r="CF28" s="883">
        <v>637</v>
      </c>
      <c r="CG28" s="883">
        <v>278</v>
      </c>
      <c r="CH28" s="883">
        <v>1127</v>
      </c>
      <c r="CI28" s="883">
        <v>1331</v>
      </c>
      <c r="CJ28" s="883">
        <v>952</v>
      </c>
      <c r="CK28" s="883">
        <v>4630</v>
      </c>
      <c r="CL28" s="883">
        <v>1235</v>
      </c>
      <c r="CM28" s="873">
        <v>1101</v>
      </c>
      <c r="CN28" s="879">
        <f t="shared" si="29"/>
        <v>15009</v>
      </c>
      <c r="CO28" s="883">
        <v>1633</v>
      </c>
      <c r="CP28" s="883">
        <v>905</v>
      </c>
      <c r="CQ28" s="883">
        <v>400</v>
      </c>
      <c r="CR28" s="883">
        <v>493</v>
      </c>
      <c r="CS28" s="883">
        <v>562</v>
      </c>
      <c r="CT28" s="883">
        <v>2882</v>
      </c>
      <c r="CU28" s="883">
        <v>1740</v>
      </c>
      <c r="CV28" s="883">
        <v>2014</v>
      </c>
      <c r="CW28" s="883">
        <v>7026</v>
      </c>
      <c r="CX28" s="883">
        <v>8349</v>
      </c>
      <c r="CY28" s="883">
        <v>6537</v>
      </c>
      <c r="CZ28" s="873">
        <v>11951</v>
      </c>
      <c r="DA28" s="879">
        <f t="shared" si="30"/>
        <v>44492</v>
      </c>
      <c r="DB28" s="883"/>
      <c r="DC28" s="883">
        <v>1092</v>
      </c>
      <c r="DD28" s="883">
        <v>1261</v>
      </c>
      <c r="DE28" s="883">
        <v>2217</v>
      </c>
      <c r="DF28" s="883">
        <v>2943</v>
      </c>
      <c r="DG28" s="883">
        <v>3936</v>
      </c>
      <c r="DH28" s="883">
        <v>5287</v>
      </c>
      <c r="DI28" s="883">
        <v>7675</v>
      </c>
      <c r="DJ28" s="883">
        <v>6928</v>
      </c>
      <c r="DK28" s="883">
        <v>12456</v>
      </c>
      <c r="DL28" s="883">
        <v>12321</v>
      </c>
      <c r="DM28" s="873">
        <v>29721</v>
      </c>
      <c r="DN28" s="879">
        <f t="shared" si="39"/>
        <v>85837</v>
      </c>
      <c r="DO28" s="883">
        <v>241</v>
      </c>
      <c r="DP28" s="883">
        <v>814</v>
      </c>
      <c r="DQ28" s="883">
        <v>13770</v>
      </c>
      <c r="DR28" s="883">
        <v>6481</v>
      </c>
      <c r="DS28" s="883">
        <v>8587</v>
      </c>
      <c r="DT28" s="883">
        <v>4604</v>
      </c>
      <c r="DU28" s="883">
        <v>6107</v>
      </c>
      <c r="DV28" s="883">
        <v>4973</v>
      </c>
      <c r="DW28" s="883">
        <v>2703</v>
      </c>
      <c r="DX28" s="883">
        <v>3263</v>
      </c>
      <c r="DY28" s="883">
        <v>6731</v>
      </c>
      <c r="DZ28" s="873">
        <v>15235</v>
      </c>
      <c r="EA28" s="879">
        <f t="shared" si="31"/>
        <v>73509</v>
      </c>
      <c r="EB28" s="883">
        <v>114</v>
      </c>
      <c r="EC28" s="883">
        <v>1069</v>
      </c>
      <c r="ED28" s="883">
        <v>2566</v>
      </c>
      <c r="EE28" s="883">
        <v>5984</v>
      </c>
      <c r="EF28" s="883">
        <v>4663</v>
      </c>
      <c r="EG28" s="883">
        <v>5349</v>
      </c>
      <c r="EH28" s="883">
        <v>5034</v>
      </c>
      <c r="EI28" s="883">
        <v>6494</v>
      </c>
      <c r="EJ28" s="883">
        <v>6386</v>
      </c>
      <c r="EK28" s="883">
        <v>6635</v>
      </c>
      <c r="EL28" s="883">
        <v>14136</v>
      </c>
      <c r="EM28" s="873">
        <v>15364</v>
      </c>
      <c r="EN28" s="879">
        <f t="shared" si="32"/>
        <v>73794</v>
      </c>
      <c r="EO28" s="883">
        <v>544</v>
      </c>
      <c r="EP28" s="883">
        <v>2938</v>
      </c>
      <c r="EQ28" s="883">
        <v>2176</v>
      </c>
      <c r="ER28" s="883">
        <v>1590</v>
      </c>
      <c r="ES28" s="883">
        <v>1909</v>
      </c>
      <c r="ET28" s="883">
        <v>1914</v>
      </c>
      <c r="EU28" s="883">
        <v>1588</v>
      </c>
      <c r="EV28" s="973">
        <v>2777</v>
      </c>
      <c r="EW28" s="883"/>
      <c r="EX28" s="883"/>
      <c r="EY28" s="883"/>
      <c r="EZ28" s="873"/>
      <c r="FA28" s="879">
        <f t="shared" si="33"/>
        <v>15436</v>
      </c>
      <c r="FC28" s="843">
        <f t="shared" si="34"/>
        <v>-57.237449953803512</v>
      </c>
      <c r="FD28" s="844">
        <f t="shared" si="35"/>
        <v>-50.641128129696547</v>
      </c>
      <c r="FE28" s="845">
        <f t="shared" si="36"/>
        <v>31273</v>
      </c>
      <c r="FF28" s="846">
        <f t="shared" si="37"/>
        <v>15436</v>
      </c>
      <c r="FH28" s="127"/>
    </row>
    <row r="29" spans="1:164" ht="15" customHeight="1" x14ac:dyDescent="0.25">
      <c r="A29" s="403" t="s">
        <v>385</v>
      </c>
      <c r="B29" s="883"/>
      <c r="C29" s="883">
        <v>184</v>
      </c>
      <c r="D29" s="883">
        <v>130</v>
      </c>
      <c r="E29" s="883">
        <v>300</v>
      </c>
      <c r="F29" s="883">
        <v>31</v>
      </c>
      <c r="G29" s="883">
        <v>15</v>
      </c>
      <c r="H29" s="883"/>
      <c r="I29" s="883"/>
      <c r="J29" s="883">
        <v>11</v>
      </c>
      <c r="K29" s="883">
        <v>7</v>
      </c>
      <c r="L29" s="883">
        <v>1</v>
      </c>
      <c r="M29" s="873">
        <v>7</v>
      </c>
      <c r="N29" s="879">
        <f t="shared" si="41"/>
        <v>686</v>
      </c>
      <c r="O29" s="883"/>
      <c r="P29" s="883">
        <v>1</v>
      </c>
      <c r="Q29" s="883">
        <v>2</v>
      </c>
      <c r="R29" s="883"/>
      <c r="S29" s="883">
        <v>5</v>
      </c>
      <c r="T29" s="883"/>
      <c r="U29" s="883">
        <v>1</v>
      </c>
      <c r="V29" s="883"/>
      <c r="W29" s="883"/>
      <c r="X29" s="883">
        <v>1</v>
      </c>
      <c r="Y29" s="883"/>
      <c r="Z29" s="873"/>
      <c r="AA29" s="879">
        <f t="shared" si="43"/>
        <v>10</v>
      </c>
      <c r="AB29" s="883"/>
      <c r="AC29" s="883"/>
      <c r="AD29" s="883">
        <v>1</v>
      </c>
      <c r="AE29" s="883">
        <v>11</v>
      </c>
      <c r="AF29" s="883">
        <v>1</v>
      </c>
      <c r="AG29" s="883">
        <v>1</v>
      </c>
      <c r="AH29" s="883"/>
      <c r="AI29" s="883">
        <v>28</v>
      </c>
      <c r="AJ29" s="883">
        <v>9</v>
      </c>
      <c r="AK29" s="883">
        <v>123</v>
      </c>
      <c r="AL29" s="883">
        <v>13</v>
      </c>
      <c r="AM29" s="873">
        <v>49</v>
      </c>
      <c r="AN29" s="879">
        <f t="shared" si="45"/>
        <v>236</v>
      </c>
      <c r="AO29" s="883">
        <v>40</v>
      </c>
      <c r="AP29" s="883">
        <v>81</v>
      </c>
      <c r="AQ29" s="883">
        <v>5</v>
      </c>
      <c r="AR29" s="883">
        <v>25</v>
      </c>
      <c r="AS29" s="883">
        <v>63</v>
      </c>
      <c r="AT29" s="883">
        <v>28</v>
      </c>
      <c r="AU29" s="883">
        <v>66</v>
      </c>
      <c r="AV29" s="883">
        <v>23</v>
      </c>
      <c r="AW29" s="883">
        <v>4</v>
      </c>
      <c r="AX29" s="883">
        <v>62</v>
      </c>
      <c r="AY29" s="883">
        <v>-2</v>
      </c>
      <c r="AZ29" s="873">
        <v>-22</v>
      </c>
      <c r="BA29" s="879">
        <f t="shared" si="47"/>
        <v>373</v>
      </c>
      <c r="BB29" s="883"/>
      <c r="BC29" s="883"/>
      <c r="BD29" s="883">
        <v>22</v>
      </c>
      <c r="BE29" s="883">
        <v>11</v>
      </c>
      <c r="BF29" s="883">
        <v>6</v>
      </c>
      <c r="BG29" s="883">
        <v>5</v>
      </c>
      <c r="BH29" s="883">
        <v>55</v>
      </c>
      <c r="BI29" s="883">
        <v>1</v>
      </c>
      <c r="BJ29" s="883">
        <v>18</v>
      </c>
      <c r="BK29" s="883">
        <v>1</v>
      </c>
      <c r="BL29" s="883">
        <v>12</v>
      </c>
      <c r="BM29" s="873">
        <v>95</v>
      </c>
      <c r="BN29" s="879">
        <f t="shared" si="49"/>
        <v>226</v>
      </c>
      <c r="BO29" s="883"/>
      <c r="BP29" s="883">
        <v>97</v>
      </c>
      <c r="BQ29" s="883">
        <v>4</v>
      </c>
      <c r="BR29" s="883"/>
      <c r="BS29" s="883">
        <v>103</v>
      </c>
      <c r="BT29" s="883">
        <v>33</v>
      </c>
      <c r="BU29" s="883"/>
      <c r="BV29" s="883">
        <v>3</v>
      </c>
      <c r="BW29" s="883">
        <v>157</v>
      </c>
      <c r="BX29" s="883">
        <v>90</v>
      </c>
      <c r="BY29" s="883">
        <v>114</v>
      </c>
      <c r="BZ29" s="873">
        <v>81</v>
      </c>
      <c r="CA29" s="879">
        <f t="shared" si="51"/>
        <v>682</v>
      </c>
      <c r="CB29" s="883"/>
      <c r="CC29" s="883"/>
      <c r="CD29" s="883"/>
      <c r="CE29" s="883"/>
      <c r="CF29" s="883">
        <v>55</v>
      </c>
      <c r="CG29" s="883">
        <v>186</v>
      </c>
      <c r="CH29" s="883">
        <v>292</v>
      </c>
      <c r="CI29" s="883">
        <v>10</v>
      </c>
      <c r="CJ29" s="883">
        <v>242</v>
      </c>
      <c r="CK29" s="883">
        <v>379</v>
      </c>
      <c r="CL29" s="883">
        <v>450</v>
      </c>
      <c r="CM29" s="873">
        <v>1141</v>
      </c>
      <c r="CN29" s="879">
        <f t="shared" si="29"/>
        <v>2755</v>
      </c>
      <c r="CO29" s="883">
        <v>3</v>
      </c>
      <c r="CP29" s="883">
        <v>30</v>
      </c>
      <c r="CQ29" s="883">
        <v>212</v>
      </c>
      <c r="CR29" s="883">
        <v>44</v>
      </c>
      <c r="CS29" s="883">
        <v>135</v>
      </c>
      <c r="CT29" s="883">
        <v>208</v>
      </c>
      <c r="CU29" s="883">
        <v>225</v>
      </c>
      <c r="CV29" s="883">
        <v>1631</v>
      </c>
      <c r="CW29" s="883">
        <v>1118</v>
      </c>
      <c r="CX29" s="883">
        <v>726</v>
      </c>
      <c r="CY29" s="883">
        <v>39</v>
      </c>
      <c r="CZ29" s="873">
        <v>1085</v>
      </c>
      <c r="DA29" s="879">
        <f t="shared" si="30"/>
        <v>5456</v>
      </c>
      <c r="DB29" s="883"/>
      <c r="DC29" s="883">
        <v>456</v>
      </c>
      <c r="DD29" s="883">
        <v>464</v>
      </c>
      <c r="DE29" s="883">
        <v>17</v>
      </c>
      <c r="DF29" s="883">
        <v>102</v>
      </c>
      <c r="DG29" s="883">
        <v>50</v>
      </c>
      <c r="DH29" s="883">
        <v>42</v>
      </c>
      <c r="DI29" s="883">
        <v>68</v>
      </c>
      <c r="DJ29" s="883">
        <v>228</v>
      </c>
      <c r="DK29" s="883">
        <v>83</v>
      </c>
      <c r="DL29" s="883">
        <v>101</v>
      </c>
      <c r="DM29" s="873">
        <v>176</v>
      </c>
      <c r="DN29" s="879">
        <f t="shared" si="39"/>
        <v>1787</v>
      </c>
      <c r="DO29" s="883"/>
      <c r="DP29" s="883"/>
      <c r="DQ29" s="883"/>
      <c r="DR29" s="883">
        <v>50</v>
      </c>
      <c r="DS29" s="883">
        <v>8</v>
      </c>
      <c r="DT29" s="883">
        <v>9</v>
      </c>
      <c r="DU29" s="883">
        <v>33</v>
      </c>
      <c r="DV29" s="883">
        <v>23</v>
      </c>
      <c r="DW29" s="883">
        <v>7</v>
      </c>
      <c r="DX29" s="883">
        <v>8</v>
      </c>
      <c r="DY29" s="883">
        <v>195</v>
      </c>
      <c r="DZ29" s="873">
        <v>152</v>
      </c>
      <c r="EA29" s="879">
        <f t="shared" si="31"/>
        <v>485</v>
      </c>
      <c r="EB29" s="883">
        <v>0</v>
      </c>
      <c r="EC29" s="883">
        <v>8</v>
      </c>
      <c r="ED29" s="883">
        <v>117</v>
      </c>
      <c r="EE29" s="883">
        <v>108</v>
      </c>
      <c r="EF29" s="883">
        <v>32</v>
      </c>
      <c r="EG29" s="883">
        <v>42</v>
      </c>
      <c r="EH29" s="883">
        <v>30</v>
      </c>
      <c r="EI29" s="883">
        <v>27</v>
      </c>
      <c r="EJ29" s="883">
        <v>32</v>
      </c>
      <c r="EK29" s="883">
        <v>6</v>
      </c>
      <c r="EL29" s="883">
        <v>98</v>
      </c>
      <c r="EM29" s="873">
        <v>58</v>
      </c>
      <c r="EN29" s="879">
        <f t="shared" si="32"/>
        <v>558</v>
      </c>
      <c r="EO29" s="883">
        <v>0</v>
      </c>
      <c r="EP29" s="883">
        <v>0</v>
      </c>
      <c r="EQ29" s="883">
        <v>259</v>
      </c>
      <c r="ER29" s="883">
        <v>36</v>
      </c>
      <c r="ES29" s="883">
        <v>179</v>
      </c>
      <c r="ET29" s="883">
        <v>33</v>
      </c>
      <c r="EU29" s="883">
        <v>7</v>
      </c>
      <c r="EV29" s="973">
        <v>0</v>
      </c>
      <c r="EW29" s="883"/>
      <c r="EX29" s="883"/>
      <c r="EY29" s="883"/>
      <c r="EZ29" s="873"/>
      <c r="FA29" s="879">
        <f t="shared" si="33"/>
        <v>514</v>
      </c>
      <c r="FC29" s="843">
        <f t="shared" si="34"/>
        <v>-100</v>
      </c>
      <c r="FD29" s="844">
        <f t="shared" si="35"/>
        <v>41.208791208791219</v>
      </c>
      <c r="FE29" s="845">
        <f t="shared" si="36"/>
        <v>364</v>
      </c>
      <c r="FF29" s="846">
        <f t="shared" si="37"/>
        <v>514</v>
      </c>
      <c r="FH29" s="127"/>
    </row>
    <row r="30" spans="1:164" ht="15" customHeight="1" x14ac:dyDescent="0.25">
      <c r="A30" s="403" t="s">
        <v>428</v>
      </c>
      <c r="B30" s="883"/>
      <c r="C30" s="883"/>
      <c r="D30" s="883">
        <v>513</v>
      </c>
      <c r="E30" s="883"/>
      <c r="F30" s="883">
        <v>-463</v>
      </c>
      <c r="G30" s="883">
        <v>253</v>
      </c>
      <c r="H30" s="883">
        <v>876</v>
      </c>
      <c r="I30" s="883">
        <v>598</v>
      </c>
      <c r="J30" s="883">
        <v>286</v>
      </c>
      <c r="K30" s="883">
        <v>291</v>
      </c>
      <c r="L30" s="883">
        <v>2925</v>
      </c>
      <c r="M30" s="873">
        <v>1153</v>
      </c>
      <c r="N30" s="879">
        <f t="shared" si="41"/>
        <v>6432</v>
      </c>
      <c r="O30" s="883"/>
      <c r="P30" s="883">
        <v>224</v>
      </c>
      <c r="Q30" s="883">
        <v>430</v>
      </c>
      <c r="R30" s="883">
        <v>480</v>
      </c>
      <c r="S30" s="883">
        <v>390</v>
      </c>
      <c r="T30" s="883">
        <v>2497</v>
      </c>
      <c r="U30" s="883">
        <v>2311</v>
      </c>
      <c r="V30" s="883">
        <v>6893</v>
      </c>
      <c r="W30" s="883">
        <v>3032</v>
      </c>
      <c r="X30" s="883">
        <v>4991</v>
      </c>
      <c r="Y30" s="883">
        <v>13362</v>
      </c>
      <c r="Z30" s="873">
        <v>13583</v>
      </c>
      <c r="AA30" s="879">
        <f t="shared" si="43"/>
        <v>48193</v>
      </c>
      <c r="AB30" s="883">
        <v>148</v>
      </c>
      <c r="AC30" s="883">
        <v>2069</v>
      </c>
      <c r="AD30" s="883">
        <v>7562</v>
      </c>
      <c r="AE30" s="883">
        <v>2852</v>
      </c>
      <c r="AF30" s="883">
        <v>5086</v>
      </c>
      <c r="AG30" s="883">
        <v>3785</v>
      </c>
      <c r="AH30" s="883">
        <v>10281</v>
      </c>
      <c r="AI30" s="883">
        <v>4561</v>
      </c>
      <c r="AJ30" s="883">
        <v>8041</v>
      </c>
      <c r="AK30" s="883">
        <v>6905</v>
      </c>
      <c r="AL30" s="883">
        <v>10103</v>
      </c>
      <c r="AM30" s="873">
        <v>12466</v>
      </c>
      <c r="AN30" s="879">
        <f t="shared" si="45"/>
        <v>73859</v>
      </c>
      <c r="AO30" s="883">
        <v>1086</v>
      </c>
      <c r="AP30" s="883">
        <v>1841</v>
      </c>
      <c r="AQ30" s="883">
        <v>8639</v>
      </c>
      <c r="AR30" s="883">
        <v>250</v>
      </c>
      <c r="AS30" s="883">
        <v>7014</v>
      </c>
      <c r="AT30" s="883">
        <v>5184</v>
      </c>
      <c r="AU30" s="883">
        <v>16207</v>
      </c>
      <c r="AV30" s="883">
        <v>13311</v>
      </c>
      <c r="AW30" s="883">
        <v>13650</v>
      </c>
      <c r="AX30" s="883">
        <v>4642</v>
      </c>
      <c r="AY30" s="883">
        <v>7206</v>
      </c>
      <c r="AZ30" s="873">
        <v>9967</v>
      </c>
      <c r="BA30" s="879">
        <f t="shared" si="47"/>
        <v>88997</v>
      </c>
      <c r="BB30" s="883">
        <v>9</v>
      </c>
      <c r="BC30" s="883">
        <v>1106</v>
      </c>
      <c r="BD30" s="883">
        <v>10542</v>
      </c>
      <c r="BE30" s="883">
        <v>8768</v>
      </c>
      <c r="BF30" s="883">
        <v>319</v>
      </c>
      <c r="BG30" s="883">
        <v>7905</v>
      </c>
      <c r="BH30" s="883">
        <v>1536</v>
      </c>
      <c r="BI30" s="883">
        <v>10984</v>
      </c>
      <c r="BJ30" s="883">
        <v>9040</v>
      </c>
      <c r="BK30" s="883">
        <v>5189</v>
      </c>
      <c r="BL30" s="883">
        <v>8460</v>
      </c>
      <c r="BM30" s="873">
        <v>6261</v>
      </c>
      <c r="BN30" s="879">
        <f t="shared" si="49"/>
        <v>70119</v>
      </c>
      <c r="BO30" s="883">
        <v>947</v>
      </c>
      <c r="BP30" s="883">
        <v>2127</v>
      </c>
      <c r="BQ30" s="883">
        <v>4001</v>
      </c>
      <c r="BR30" s="883">
        <v>1389</v>
      </c>
      <c r="BS30" s="883">
        <v>64</v>
      </c>
      <c r="BT30" s="883">
        <v>790</v>
      </c>
      <c r="BU30" s="883">
        <v>6949</v>
      </c>
      <c r="BV30" s="883">
        <v>1098</v>
      </c>
      <c r="BW30" s="883">
        <v>4636</v>
      </c>
      <c r="BX30" s="883">
        <v>4378</v>
      </c>
      <c r="BY30" s="883">
        <v>3413</v>
      </c>
      <c r="BZ30" s="873">
        <v>22594</v>
      </c>
      <c r="CA30" s="879">
        <f t="shared" si="51"/>
        <v>52386</v>
      </c>
      <c r="CB30" s="883">
        <v>724</v>
      </c>
      <c r="CC30" s="883">
        <v>1904</v>
      </c>
      <c r="CD30" s="883">
        <v>5586</v>
      </c>
      <c r="CE30" s="883">
        <v>1959</v>
      </c>
      <c r="CF30" s="883">
        <v>3869</v>
      </c>
      <c r="CG30" s="883">
        <v>4810</v>
      </c>
      <c r="CH30" s="883">
        <v>6680</v>
      </c>
      <c r="CI30" s="883">
        <v>5516</v>
      </c>
      <c r="CJ30" s="883">
        <v>5465</v>
      </c>
      <c r="CK30" s="883">
        <v>4260</v>
      </c>
      <c r="CL30" s="883">
        <v>4612</v>
      </c>
      <c r="CM30" s="873">
        <v>7351</v>
      </c>
      <c r="CN30" s="879">
        <f t="shared" si="29"/>
        <v>52736</v>
      </c>
      <c r="CO30" s="883"/>
      <c r="CP30" s="883">
        <v>122</v>
      </c>
      <c r="CQ30" s="883">
        <v>1327</v>
      </c>
      <c r="CR30" s="883">
        <v>577</v>
      </c>
      <c r="CS30" s="883">
        <v>105</v>
      </c>
      <c r="CT30" s="883">
        <v>108</v>
      </c>
      <c r="CU30" s="883">
        <v>226</v>
      </c>
      <c r="CV30" s="883">
        <v>447</v>
      </c>
      <c r="CW30" s="883">
        <v>117</v>
      </c>
      <c r="CX30" s="883">
        <v>32</v>
      </c>
      <c r="CY30" s="883">
        <v>2968</v>
      </c>
      <c r="CZ30" s="873">
        <v>1688</v>
      </c>
      <c r="DA30" s="879">
        <f t="shared" si="30"/>
        <v>7717</v>
      </c>
      <c r="DB30" s="883"/>
      <c r="DC30" s="883"/>
      <c r="DD30" s="883">
        <v>1420</v>
      </c>
      <c r="DE30" s="883">
        <v>2040</v>
      </c>
      <c r="DF30" s="883"/>
      <c r="DG30" s="883">
        <v>139</v>
      </c>
      <c r="DH30" s="883">
        <v>233</v>
      </c>
      <c r="DI30" s="883">
        <v>721</v>
      </c>
      <c r="DJ30" s="883">
        <v>334</v>
      </c>
      <c r="DK30" s="883">
        <v>64</v>
      </c>
      <c r="DL30" s="883">
        <v>17</v>
      </c>
      <c r="DM30" s="873">
        <v>47</v>
      </c>
      <c r="DN30" s="879">
        <f t="shared" si="39"/>
        <v>5015</v>
      </c>
      <c r="DO30" s="883"/>
      <c r="DP30" s="883"/>
      <c r="DQ30" s="883"/>
      <c r="DR30" s="883"/>
      <c r="DS30" s="883"/>
      <c r="DT30" s="883">
        <v>70</v>
      </c>
      <c r="DU30" s="883">
        <v>182</v>
      </c>
      <c r="DV30" s="883">
        <v>393</v>
      </c>
      <c r="DW30" s="883">
        <v>666</v>
      </c>
      <c r="DX30" s="883">
        <v>193</v>
      </c>
      <c r="DY30" s="883"/>
      <c r="DZ30" s="873">
        <v>200</v>
      </c>
      <c r="EA30" s="879">
        <f t="shared" si="31"/>
        <v>1704</v>
      </c>
      <c r="EB30" s="883">
        <v>0</v>
      </c>
      <c r="EC30" s="883">
        <v>73</v>
      </c>
      <c r="ED30" s="883">
        <v>30</v>
      </c>
      <c r="EE30" s="883">
        <v>0</v>
      </c>
      <c r="EF30" s="883">
        <v>70</v>
      </c>
      <c r="EG30" s="883">
        <v>0</v>
      </c>
      <c r="EH30" s="883">
        <v>309</v>
      </c>
      <c r="EI30" s="883">
        <v>837</v>
      </c>
      <c r="EJ30" s="883">
        <v>197</v>
      </c>
      <c r="EK30" s="883">
        <v>12632</v>
      </c>
      <c r="EL30" s="883">
        <v>691</v>
      </c>
      <c r="EM30" s="873">
        <v>2713</v>
      </c>
      <c r="EN30" s="879">
        <f t="shared" si="32"/>
        <v>17552</v>
      </c>
      <c r="EO30" s="883">
        <v>0</v>
      </c>
      <c r="EP30" s="883">
        <v>7224</v>
      </c>
      <c r="EQ30" s="883">
        <v>2741</v>
      </c>
      <c r="ER30" s="883">
        <v>25941</v>
      </c>
      <c r="ES30" s="883">
        <v>1742</v>
      </c>
      <c r="ET30" s="883">
        <v>2397</v>
      </c>
      <c r="EU30" s="883">
        <v>3086</v>
      </c>
      <c r="EV30" s="973">
        <v>1162</v>
      </c>
      <c r="EW30" s="883"/>
      <c r="EX30" s="883"/>
      <c r="EY30" s="883"/>
      <c r="EZ30" s="873"/>
      <c r="FA30" s="879">
        <f t="shared" si="33"/>
        <v>44293</v>
      </c>
      <c r="FC30" s="843">
        <f t="shared" si="34"/>
        <v>38.829151732377532</v>
      </c>
      <c r="FD30" s="844">
        <f t="shared" si="35"/>
        <v>3258.0742987111448</v>
      </c>
      <c r="FE30" s="845">
        <f t="shared" si="36"/>
        <v>1319</v>
      </c>
      <c r="FF30" s="846">
        <f t="shared" si="37"/>
        <v>44293</v>
      </c>
      <c r="FH30" s="127"/>
    </row>
    <row r="31" spans="1:164" ht="15" customHeight="1" x14ac:dyDescent="0.25">
      <c r="A31" s="403" t="s">
        <v>299</v>
      </c>
      <c r="B31" s="883">
        <v>19</v>
      </c>
      <c r="C31" s="883">
        <v>768</v>
      </c>
      <c r="D31" s="883">
        <v>29</v>
      </c>
      <c r="E31" s="883">
        <v>331</v>
      </c>
      <c r="F31" s="883">
        <v>604</v>
      </c>
      <c r="G31" s="883">
        <v>3982</v>
      </c>
      <c r="H31" s="883">
        <v>9253</v>
      </c>
      <c r="I31" s="883">
        <v>-3566</v>
      </c>
      <c r="J31" s="883">
        <v>3096</v>
      </c>
      <c r="K31" s="883">
        <v>-1227</v>
      </c>
      <c r="L31" s="883">
        <v>2027</v>
      </c>
      <c r="M31" s="873">
        <v>1793</v>
      </c>
      <c r="N31" s="879">
        <f t="shared" si="41"/>
        <v>17109</v>
      </c>
      <c r="O31" s="883">
        <v>534</v>
      </c>
      <c r="P31" s="883">
        <v>1400</v>
      </c>
      <c r="Q31" s="883">
        <v>-164</v>
      </c>
      <c r="R31" s="883">
        <v>617</v>
      </c>
      <c r="S31" s="883">
        <v>936</v>
      </c>
      <c r="T31" s="883">
        <v>287</v>
      </c>
      <c r="U31" s="883">
        <v>875</v>
      </c>
      <c r="V31" s="883">
        <v>1594</v>
      </c>
      <c r="W31" s="883">
        <v>1572</v>
      </c>
      <c r="X31" s="883">
        <v>885</v>
      </c>
      <c r="Y31" s="883">
        <v>226</v>
      </c>
      <c r="Z31" s="873">
        <v>1481</v>
      </c>
      <c r="AA31" s="879">
        <f t="shared" si="43"/>
        <v>10243</v>
      </c>
      <c r="AB31" s="883">
        <v>9</v>
      </c>
      <c r="AC31" s="883">
        <v>127</v>
      </c>
      <c r="AD31" s="883">
        <v>346</v>
      </c>
      <c r="AE31" s="883">
        <v>239</v>
      </c>
      <c r="AF31" s="883">
        <v>435</v>
      </c>
      <c r="AG31" s="883">
        <v>838</v>
      </c>
      <c r="AH31" s="883">
        <v>1019</v>
      </c>
      <c r="AI31" s="883">
        <v>1473</v>
      </c>
      <c r="AJ31" s="883">
        <v>478</v>
      </c>
      <c r="AK31" s="883">
        <v>279</v>
      </c>
      <c r="AL31" s="883">
        <v>294</v>
      </c>
      <c r="AM31" s="873">
        <v>784</v>
      </c>
      <c r="AN31" s="879">
        <f t="shared" si="45"/>
        <v>6321</v>
      </c>
      <c r="AO31" s="883">
        <v>523</v>
      </c>
      <c r="AP31" s="883">
        <v>187</v>
      </c>
      <c r="AQ31" s="883">
        <v>387</v>
      </c>
      <c r="AR31" s="883">
        <v>303</v>
      </c>
      <c r="AS31" s="883">
        <v>548</v>
      </c>
      <c r="AT31" s="883">
        <v>1181</v>
      </c>
      <c r="AU31" s="883">
        <v>1541</v>
      </c>
      <c r="AV31" s="883">
        <v>618</v>
      </c>
      <c r="AW31" s="883">
        <v>371</v>
      </c>
      <c r="AX31" s="883">
        <v>882</v>
      </c>
      <c r="AY31" s="883">
        <v>330</v>
      </c>
      <c r="AZ31" s="873">
        <v>800</v>
      </c>
      <c r="BA31" s="879">
        <f t="shared" si="47"/>
        <v>7671</v>
      </c>
      <c r="BB31" s="883"/>
      <c r="BC31" s="883"/>
      <c r="BD31" s="883">
        <v>71</v>
      </c>
      <c r="BE31" s="883">
        <v>-1</v>
      </c>
      <c r="BF31" s="883">
        <v>4</v>
      </c>
      <c r="BG31" s="883">
        <v>105</v>
      </c>
      <c r="BH31" s="883">
        <v>766</v>
      </c>
      <c r="BI31" s="883">
        <v>521</v>
      </c>
      <c r="BJ31" s="883">
        <v>191</v>
      </c>
      <c r="BK31" s="883">
        <v>386</v>
      </c>
      <c r="BL31" s="883">
        <v>415</v>
      </c>
      <c r="BM31" s="873">
        <v>437</v>
      </c>
      <c r="BN31" s="879">
        <f t="shared" si="49"/>
        <v>2895</v>
      </c>
      <c r="BO31" s="883">
        <v>3</v>
      </c>
      <c r="BP31" s="883">
        <v>85</v>
      </c>
      <c r="BQ31" s="883">
        <v>9</v>
      </c>
      <c r="BR31" s="883">
        <v>85</v>
      </c>
      <c r="BS31" s="883">
        <v>14</v>
      </c>
      <c r="BT31" s="883">
        <v>106</v>
      </c>
      <c r="BU31" s="883">
        <v>195</v>
      </c>
      <c r="BV31" s="883">
        <v>532</v>
      </c>
      <c r="BW31" s="883">
        <v>801</v>
      </c>
      <c r="BX31" s="883">
        <v>1111</v>
      </c>
      <c r="BY31" s="883">
        <v>386</v>
      </c>
      <c r="BZ31" s="873">
        <v>856</v>
      </c>
      <c r="CA31" s="879">
        <f t="shared" si="51"/>
        <v>4183</v>
      </c>
      <c r="CB31" s="883">
        <v>6</v>
      </c>
      <c r="CC31" s="883">
        <v>251</v>
      </c>
      <c r="CD31" s="883">
        <v>457</v>
      </c>
      <c r="CE31" s="883">
        <v>297</v>
      </c>
      <c r="CF31" s="883">
        <v>100</v>
      </c>
      <c r="CG31" s="883">
        <v>77</v>
      </c>
      <c r="CH31" s="883">
        <v>133</v>
      </c>
      <c r="CI31" s="883">
        <v>377</v>
      </c>
      <c r="CJ31" s="883">
        <v>224</v>
      </c>
      <c r="CK31" s="883">
        <v>315</v>
      </c>
      <c r="CL31" s="883">
        <v>343</v>
      </c>
      <c r="CM31" s="873">
        <v>776</v>
      </c>
      <c r="CN31" s="879">
        <f t="shared" si="29"/>
        <v>3356</v>
      </c>
      <c r="CO31" s="883">
        <v>53</v>
      </c>
      <c r="CP31" s="883">
        <v>83</v>
      </c>
      <c r="CQ31" s="883">
        <v>369</v>
      </c>
      <c r="CR31" s="883">
        <v>58</v>
      </c>
      <c r="CS31" s="883">
        <v>159</v>
      </c>
      <c r="CT31" s="883">
        <v>145</v>
      </c>
      <c r="CU31" s="883">
        <v>521</v>
      </c>
      <c r="CV31" s="883">
        <v>650</v>
      </c>
      <c r="CW31" s="883">
        <v>508</v>
      </c>
      <c r="CX31" s="883">
        <v>341</v>
      </c>
      <c r="CY31" s="883">
        <v>211</v>
      </c>
      <c r="CZ31" s="873">
        <v>196</v>
      </c>
      <c r="DA31" s="879">
        <f t="shared" si="30"/>
        <v>3294</v>
      </c>
      <c r="DB31" s="883"/>
      <c r="DC31" s="883">
        <v>12</v>
      </c>
      <c r="DD31" s="883">
        <v>60</v>
      </c>
      <c r="DE31" s="883">
        <v>65</v>
      </c>
      <c r="DF31" s="883">
        <v>613</v>
      </c>
      <c r="DG31" s="883">
        <v>42</v>
      </c>
      <c r="DH31" s="883">
        <v>417</v>
      </c>
      <c r="DI31" s="883">
        <v>104</v>
      </c>
      <c r="DJ31" s="883">
        <v>457</v>
      </c>
      <c r="DK31" s="883">
        <v>1554</v>
      </c>
      <c r="DL31" s="883">
        <v>1126</v>
      </c>
      <c r="DM31" s="873">
        <v>1718</v>
      </c>
      <c r="DN31" s="879">
        <f t="shared" si="39"/>
        <v>6168</v>
      </c>
      <c r="DO31" s="883"/>
      <c r="DP31" s="883">
        <v>893</v>
      </c>
      <c r="DQ31" s="883">
        <v>733</v>
      </c>
      <c r="DR31" s="883">
        <v>98</v>
      </c>
      <c r="DS31" s="883">
        <v>1178</v>
      </c>
      <c r="DT31" s="883">
        <v>236</v>
      </c>
      <c r="DU31" s="883">
        <v>1435</v>
      </c>
      <c r="DV31" s="883">
        <v>83</v>
      </c>
      <c r="DW31" s="883">
        <v>34</v>
      </c>
      <c r="DX31" s="883">
        <v>234</v>
      </c>
      <c r="DY31" s="883">
        <v>857</v>
      </c>
      <c r="DZ31" s="873">
        <v>933</v>
      </c>
      <c r="EA31" s="879">
        <f t="shared" si="31"/>
        <v>6714</v>
      </c>
      <c r="EB31" s="883">
        <v>0</v>
      </c>
      <c r="EC31" s="883">
        <v>363</v>
      </c>
      <c r="ED31" s="883">
        <v>831</v>
      </c>
      <c r="EE31" s="883">
        <v>461</v>
      </c>
      <c r="EF31" s="883">
        <v>221</v>
      </c>
      <c r="EG31" s="883">
        <v>337</v>
      </c>
      <c r="EH31" s="883">
        <v>670</v>
      </c>
      <c r="EI31" s="883">
        <v>1529</v>
      </c>
      <c r="EJ31" s="883">
        <v>1015</v>
      </c>
      <c r="EK31" s="883">
        <v>1107</v>
      </c>
      <c r="EL31" s="883">
        <v>388</v>
      </c>
      <c r="EM31" s="873">
        <v>2702</v>
      </c>
      <c r="EN31" s="879">
        <f>SUM(EB31:EM31)</f>
        <v>9624</v>
      </c>
      <c r="EO31" s="883">
        <v>4</v>
      </c>
      <c r="EP31" s="883">
        <v>1703</v>
      </c>
      <c r="EQ31" s="883">
        <v>1425</v>
      </c>
      <c r="ER31" s="883">
        <v>753</v>
      </c>
      <c r="ES31" s="883">
        <v>1264</v>
      </c>
      <c r="ET31" s="883">
        <v>2461</v>
      </c>
      <c r="EU31" s="883">
        <v>3285</v>
      </c>
      <c r="EV31" s="973">
        <v>1896</v>
      </c>
      <c r="EW31" s="883"/>
      <c r="EX31" s="883"/>
      <c r="EY31" s="883"/>
      <c r="EZ31" s="873"/>
      <c r="FA31" s="879">
        <f>SUM(EO31:EZ31)</f>
        <v>12791</v>
      </c>
      <c r="FC31" s="843">
        <f t="shared" si="34"/>
        <v>24.002616088947025</v>
      </c>
      <c r="FD31" s="844">
        <f t="shared" si="35"/>
        <v>189.91387126019944</v>
      </c>
      <c r="FE31" s="845">
        <f t="shared" si="36"/>
        <v>4412</v>
      </c>
      <c r="FF31" s="846">
        <f t="shared" si="37"/>
        <v>12791</v>
      </c>
      <c r="FH31" s="127"/>
    </row>
    <row r="32" spans="1:164" ht="15" customHeight="1" x14ac:dyDescent="0.25">
      <c r="A32" s="403" t="s">
        <v>387</v>
      </c>
      <c r="B32" s="883">
        <v>796</v>
      </c>
      <c r="C32" s="883">
        <v>7200</v>
      </c>
      <c r="D32" s="883">
        <v>9588</v>
      </c>
      <c r="E32" s="883">
        <v>9461</v>
      </c>
      <c r="F32" s="883">
        <v>8189</v>
      </c>
      <c r="G32" s="883">
        <v>8203</v>
      </c>
      <c r="H32" s="883">
        <v>15900</v>
      </c>
      <c r="I32" s="883">
        <v>6994</v>
      </c>
      <c r="J32" s="883">
        <v>11390</v>
      </c>
      <c r="K32" s="883">
        <v>10830</v>
      </c>
      <c r="L32" s="883">
        <v>8176</v>
      </c>
      <c r="M32" s="873">
        <v>18941</v>
      </c>
      <c r="N32" s="879">
        <f t="shared" si="41"/>
        <v>115668</v>
      </c>
      <c r="O32" s="883">
        <v>3114</v>
      </c>
      <c r="P32" s="883">
        <v>8224</v>
      </c>
      <c r="Q32" s="883">
        <v>7650</v>
      </c>
      <c r="R32" s="883">
        <v>8543</v>
      </c>
      <c r="S32" s="883">
        <v>9817</v>
      </c>
      <c r="T32" s="883">
        <v>8014</v>
      </c>
      <c r="U32" s="883">
        <v>8552</v>
      </c>
      <c r="V32" s="883">
        <v>8559</v>
      </c>
      <c r="W32" s="883">
        <v>8004</v>
      </c>
      <c r="X32" s="883">
        <v>6960</v>
      </c>
      <c r="Y32" s="883">
        <v>5844</v>
      </c>
      <c r="Z32" s="873">
        <v>10597</v>
      </c>
      <c r="AA32" s="879">
        <f t="shared" si="43"/>
        <v>93878</v>
      </c>
      <c r="AB32" s="883">
        <v>1461</v>
      </c>
      <c r="AC32" s="883">
        <v>4289</v>
      </c>
      <c r="AD32" s="883">
        <v>7568</v>
      </c>
      <c r="AE32" s="883">
        <v>3919</v>
      </c>
      <c r="AF32" s="883">
        <v>4730</v>
      </c>
      <c r="AG32" s="883">
        <v>5931</v>
      </c>
      <c r="AH32" s="883">
        <v>6921</v>
      </c>
      <c r="AI32" s="883">
        <v>6131</v>
      </c>
      <c r="AJ32" s="883">
        <v>5509</v>
      </c>
      <c r="AK32" s="883">
        <v>6855</v>
      </c>
      <c r="AL32" s="883">
        <v>7027</v>
      </c>
      <c r="AM32" s="873">
        <v>15117</v>
      </c>
      <c r="AN32" s="879">
        <f t="shared" si="45"/>
        <v>75458</v>
      </c>
      <c r="AO32" s="883">
        <v>1343</v>
      </c>
      <c r="AP32" s="883">
        <v>5009</v>
      </c>
      <c r="AQ32" s="883">
        <v>7501</v>
      </c>
      <c r="AR32" s="883">
        <v>5642</v>
      </c>
      <c r="AS32" s="883">
        <v>7657</v>
      </c>
      <c r="AT32" s="883">
        <v>7126</v>
      </c>
      <c r="AU32" s="883">
        <v>9962</v>
      </c>
      <c r="AV32" s="883">
        <v>7349</v>
      </c>
      <c r="AW32" s="883">
        <v>6561</v>
      </c>
      <c r="AX32" s="883">
        <v>10751</v>
      </c>
      <c r="AY32" s="883">
        <v>12917</v>
      </c>
      <c r="AZ32" s="873">
        <v>17364</v>
      </c>
      <c r="BA32" s="879">
        <f t="shared" si="47"/>
        <v>99182</v>
      </c>
      <c r="BB32" s="883">
        <v>205</v>
      </c>
      <c r="BC32" s="883">
        <v>4110</v>
      </c>
      <c r="BD32" s="883">
        <v>2848</v>
      </c>
      <c r="BE32" s="883">
        <v>7432</v>
      </c>
      <c r="BF32" s="883">
        <v>5557</v>
      </c>
      <c r="BG32" s="883">
        <v>9878</v>
      </c>
      <c r="BH32" s="883">
        <v>7433</v>
      </c>
      <c r="BI32" s="883">
        <v>5886</v>
      </c>
      <c r="BJ32" s="883">
        <v>11020</v>
      </c>
      <c r="BK32" s="883">
        <v>8038</v>
      </c>
      <c r="BL32" s="883">
        <v>7294</v>
      </c>
      <c r="BM32" s="873">
        <v>12602</v>
      </c>
      <c r="BN32" s="879">
        <f t="shared" si="49"/>
        <v>82303</v>
      </c>
      <c r="BO32" s="883">
        <v>1695</v>
      </c>
      <c r="BP32" s="883">
        <v>5853</v>
      </c>
      <c r="BQ32" s="883">
        <v>3561</v>
      </c>
      <c r="BR32" s="883">
        <v>2907</v>
      </c>
      <c r="BS32" s="883">
        <v>2326</v>
      </c>
      <c r="BT32" s="883">
        <v>1671</v>
      </c>
      <c r="BU32" s="883">
        <v>2646</v>
      </c>
      <c r="BV32" s="883">
        <v>4617</v>
      </c>
      <c r="BW32" s="883">
        <v>5897</v>
      </c>
      <c r="BX32" s="883">
        <v>8948</v>
      </c>
      <c r="BY32" s="883">
        <v>16064</v>
      </c>
      <c r="BZ32" s="873">
        <v>14136</v>
      </c>
      <c r="CA32" s="879">
        <f t="shared" si="51"/>
        <v>70321</v>
      </c>
      <c r="CB32" s="883">
        <v>1998</v>
      </c>
      <c r="CC32" s="883">
        <v>6536</v>
      </c>
      <c r="CD32" s="883">
        <v>12077</v>
      </c>
      <c r="CE32" s="883">
        <v>3697</v>
      </c>
      <c r="CF32" s="883">
        <v>5466</v>
      </c>
      <c r="CG32" s="883">
        <v>7430</v>
      </c>
      <c r="CH32" s="883">
        <v>6053</v>
      </c>
      <c r="CI32" s="883">
        <v>7768</v>
      </c>
      <c r="CJ32" s="883">
        <v>8658</v>
      </c>
      <c r="CK32" s="883">
        <v>9650</v>
      </c>
      <c r="CL32" s="883">
        <v>8730</v>
      </c>
      <c r="CM32" s="873">
        <v>28536</v>
      </c>
      <c r="CN32" s="879">
        <f t="shared" si="29"/>
        <v>106599</v>
      </c>
      <c r="CO32" s="883">
        <v>1740</v>
      </c>
      <c r="CP32" s="883">
        <v>11320</v>
      </c>
      <c r="CQ32" s="883">
        <v>15720</v>
      </c>
      <c r="CR32" s="883">
        <v>11814</v>
      </c>
      <c r="CS32" s="883">
        <v>14128</v>
      </c>
      <c r="CT32" s="883">
        <v>18663</v>
      </c>
      <c r="CU32" s="883">
        <v>21674</v>
      </c>
      <c r="CV32" s="883">
        <v>22103</v>
      </c>
      <c r="CW32" s="883">
        <v>24068</v>
      </c>
      <c r="CX32" s="883">
        <v>21345</v>
      </c>
      <c r="CY32" s="883">
        <v>24992</v>
      </c>
      <c r="CZ32" s="873">
        <v>39873</v>
      </c>
      <c r="DA32" s="879">
        <f>SUM(CO32:CZ32)</f>
        <v>227440</v>
      </c>
      <c r="DB32" s="883">
        <v>577</v>
      </c>
      <c r="DC32" s="883">
        <v>5577</v>
      </c>
      <c r="DD32" s="883">
        <v>10196</v>
      </c>
      <c r="DE32" s="883">
        <v>9834</v>
      </c>
      <c r="DF32" s="883">
        <v>9159</v>
      </c>
      <c r="DG32" s="883">
        <v>9656</v>
      </c>
      <c r="DH32" s="883">
        <v>11759</v>
      </c>
      <c r="DI32" s="883">
        <v>16475</v>
      </c>
      <c r="DJ32" s="883">
        <v>15222</v>
      </c>
      <c r="DK32" s="883">
        <v>16844</v>
      </c>
      <c r="DL32" s="883">
        <v>15336</v>
      </c>
      <c r="DM32" s="873">
        <v>31021</v>
      </c>
      <c r="DN32" s="879">
        <f t="shared" si="39"/>
        <v>151656</v>
      </c>
      <c r="DO32" s="883">
        <v>1877</v>
      </c>
      <c r="DP32" s="883">
        <v>9917</v>
      </c>
      <c r="DQ32" s="883">
        <v>16902</v>
      </c>
      <c r="DR32" s="883">
        <v>12632</v>
      </c>
      <c r="DS32" s="883">
        <v>11368</v>
      </c>
      <c r="DT32" s="883">
        <v>13730</v>
      </c>
      <c r="DU32" s="883">
        <v>14818</v>
      </c>
      <c r="DV32" s="883">
        <v>14758</v>
      </c>
      <c r="DW32" s="883">
        <v>14241</v>
      </c>
      <c r="DX32" s="883">
        <v>16155</v>
      </c>
      <c r="DY32" s="883">
        <v>15212</v>
      </c>
      <c r="DZ32" s="873">
        <v>32462</v>
      </c>
      <c r="EA32" s="879">
        <f t="shared" si="31"/>
        <v>174072</v>
      </c>
      <c r="EB32" s="883">
        <v>1258</v>
      </c>
      <c r="EC32" s="883">
        <v>6782</v>
      </c>
      <c r="ED32" s="883">
        <v>7809</v>
      </c>
      <c r="EE32" s="883">
        <v>12235</v>
      </c>
      <c r="EF32" s="883">
        <v>14902</v>
      </c>
      <c r="EG32" s="883">
        <v>12086</v>
      </c>
      <c r="EH32" s="883">
        <v>15154</v>
      </c>
      <c r="EI32" s="883">
        <v>14309</v>
      </c>
      <c r="EJ32" s="883">
        <v>11012</v>
      </c>
      <c r="EK32" s="883">
        <v>14491</v>
      </c>
      <c r="EL32" s="883">
        <v>15767</v>
      </c>
      <c r="EM32" s="873">
        <v>27064</v>
      </c>
      <c r="EN32" s="879">
        <f>SUM(EB32:EM32)</f>
        <v>152869</v>
      </c>
      <c r="EO32" s="883">
        <v>646</v>
      </c>
      <c r="EP32" s="883">
        <v>7765</v>
      </c>
      <c r="EQ32" s="883">
        <v>13100</v>
      </c>
      <c r="ER32" s="883">
        <v>12254</v>
      </c>
      <c r="ES32" s="883">
        <v>11870</v>
      </c>
      <c r="ET32" s="883">
        <v>15944</v>
      </c>
      <c r="EU32" s="883">
        <v>19603</v>
      </c>
      <c r="EV32" s="973">
        <v>21036</v>
      </c>
      <c r="EW32" s="883"/>
      <c r="EX32" s="883"/>
      <c r="EY32" s="883"/>
      <c r="EZ32" s="873"/>
      <c r="FA32" s="879">
        <f>SUM(EO32:EZ32)</f>
        <v>102218</v>
      </c>
      <c r="FC32" s="843">
        <f t="shared" si="34"/>
        <v>47.012369837165416</v>
      </c>
      <c r="FD32" s="844">
        <f t="shared" si="35"/>
        <v>20.917962973916126</v>
      </c>
      <c r="FE32" s="845">
        <f t="shared" si="36"/>
        <v>84535</v>
      </c>
      <c r="FF32" s="846">
        <f t="shared" si="37"/>
        <v>102218</v>
      </c>
      <c r="FH32" s="127"/>
    </row>
    <row r="33" spans="1:164" ht="15" customHeight="1" x14ac:dyDescent="0.25">
      <c r="A33" s="133"/>
      <c r="B33" s="880"/>
      <c r="C33" s="880"/>
      <c r="D33" s="880"/>
      <c r="E33" s="880"/>
      <c r="F33" s="880"/>
      <c r="G33" s="880"/>
      <c r="H33" s="880"/>
      <c r="I33" s="880"/>
      <c r="J33" s="880"/>
      <c r="K33" s="880"/>
      <c r="L33" s="880"/>
      <c r="M33" s="881"/>
      <c r="N33" s="882"/>
      <c r="O33" s="880"/>
      <c r="P33" s="880"/>
      <c r="Q33" s="880"/>
      <c r="R33" s="880"/>
      <c r="S33" s="880"/>
      <c r="T33" s="880"/>
      <c r="U33" s="880"/>
      <c r="V33" s="880"/>
      <c r="W33" s="880"/>
      <c r="X33" s="880"/>
      <c r="Y33" s="880"/>
      <c r="Z33" s="881"/>
      <c r="AA33" s="882"/>
      <c r="AB33" s="880"/>
      <c r="AC33" s="880"/>
      <c r="AD33" s="880"/>
      <c r="AE33" s="880"/>
      <c r="AF33" s="880"/>
      <c r="AG33" s="880"/>
      <c r="AH33" s="880"/>
      <c r="AI33" s="880"/>
      <c r="AJ33" s="880"/>
      <c r="AK33" s="880"/>
      <c r="AL33" s="880"/>
      <c r="AM33" s="881"/>
      <c r="AN33" s="882"/>
      <c r="AO33" s="880"/>
      <c r="AP33" s="880"/>
      <c r="AQ33" s="880"/>
      <c r="AR33" s="880"/>
      <c r="AS33" s="880"/>
      <c r="AT33" s="880"/>
      <c r="AU33" s="880"/>
      <c r="AV33" s="880"/>
      <c r="AW33" s="880"/>
      <c r="AX33" s="880"/>
      <c r="AY33" s="880"/>
      <c r="AZ33" s="881"/>
      <c r="BA33" s="882"/>
      <c r="BB33" s="880"/>
      <c r="BC33" s="880"/>
      <c r="BD33" s="880"/>
      <c r="BE33" s="880"/>
      <c r="BF33" s="880"/>
      <c r="BG33" s="880"/>
      <c r="BH33" s="880"/>
      <c r="BI33" s="880"/>
      <c r="BJ33" s="880"/>
      <c r="BK33" s="880"/>
      <c r="BL33" s="880"/>
      <c r="BM33" s="881"/>
      <c r="BN33" s="882"/>
      <c r="BO33" s="880"/>
      <c r="BP33" s="880"/>
      <c r="BQ33" s="880"/>
      <c r="BR33" s="880"/>
      <c r="BS33" s="880"/>
      <c r="BT33" s="880"/>
      <c r="BU33" s="880"/>
      <c r="BV33" s="880"/>
      <c r="BW33" s="880"/>
      <c r="BX33" s="880"/>
      <c r="BY33" s="880"/>
      <c r="BZ33" s="881"/>
      <c r="CA33" s="882"/>
      <c r="CB33" s="880"/>
      <c r="CC33" s="880"/>
      <c r="CD33" s="880"/>
      <c r="CE33" s="880"/>
      <c r="CF33" s="880"/>
      <c r="CG33" s="880"/>
      <c r="CH33" s="880"/>
      <c r="CI33" s="880"/>
      <c r="CJ33" s="880"/>
      <c r="CK33" s="880"/>
      <c r="CL33" s="880"/>
      <c r="CM33" s="881"/>
      <c r="CN33" s="882"/>
      <c r="CO33" s="880"/>
      <c r="CP33" s="880"/>
      <c r="CQ33" s="880"/>
      <c r="CR33" s="880"/>
      <c r="CS33" s="880"/>
      <c r="CT33" s="880"/>
      <c r="CU33" s="880"/>
      <c r="CV33" s="880"/>
      <c r="CW33" s="880"/>
      <c r="CX33" s="880"/>
      <c r="CY33" s="880"/>
      <c r="CZ33" s="881"/>
      <c r="DA33" s="882"/>
      <c r="DB33" s="880"/>
      <c r="DC33" s="880"/>
      <c r="DD33" s="880"/>
      <c r="DE33" s="880"/>
      <c r="DF33" s="880"/>
      <c r="DG33" s="880"/>
      <c r="DH33" s="880"/>
      <c r="DI33" s="880"/>
      <c r="DJ33" s="880"/>
      <c r="DK33" s="880"/>
      <c r="DL33" s="880"/>
      <c r="DM33" s="881"/>
      <c r="DN33" s="882"/>
      <c r="DO33" s="880"/>
      <c r="DP33" s="880"/>
      <c r="DQ33" s="880"/>
      <c r="DR33" s="880"/>
      <c r="DS33" s="880"/>
      <c r="DT33" s="880"/>
      <c r="DU33" s="880"/>
      <c r="DV33" s="880"/>
      <c r="DW33" s="880"/>
      <c r="DX33" s="880"/>
      <c r="DY33" s="880"/>
      <c r="DZ33" s="881"/>
      <c r="EA33" s="882"/>
      <c r="EB33" s="880"/>
      <c r="EC33" s="880"/>
      <c r="ED33" s="880"/>
      <c r="EE33" s="880"/>
      <c r="EF33" s="880"/>
      <c r="EG33" s="880"/>
      <c r="EH33" s="880"/>
      <c r="EI33" s="880"/>
      <c r="EJ33" s="880"/>
      <c r="EK33" s="880"/>
      <c r="EL33" s="880"/>
      <c r="EM33" s="881"/>
      <c r="EN33" s="882"/>
      <c r="EO33" s="880"/>
      <c r="EP33" s="880"/>
      <c r="EQ33" s="880"/>
      <c r="ER33" s="880"/>
      <c r="ES33" s="880"/>
      <c r="ET33" s="880"/>
      <c r="EU33" s="880"/>
      <c r="EV33" s="978"/>
      <c r="EW33" s="880"/>
      <c r="EX33" s="880"/>
      <c r="EY33" s="880"/>
      <c r="EZ33" s="881"/>
      <c r="FA33" s="882"/>
      <c r="FC33" s="340"/>
      <c r="FD33" s="228"/>
      <c r="FE33" s="305"/>
      <c r="FF33" s="218"/>
    </row>
    <row r="34" spans="1:164" ht="15" customHeight="1" x14ac:dyDescent="0.25">
      <c r="A34" s="131" t="s">
        <v>244</v>
      </c>
      <c r="FC34" s="205"/>
      <c r="FD34" s="205"/>
    </row>
    <row r="35" spans="1:164" ht="15" customHeight="1" x14ac:dyDescent="0.25">
      <c r="A35" s="175" t="s">
        <v>145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FC35" s="205"/>
      <c r="FD35" s="205"/>
    </row>
    <row r="36" spans="1:164" ht="15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 s="961"/>
      <c r="EW36"/>
      <c r="EX36"/>
      <c r="EY36"/>
      <c r="EZ36"/>
      <c r="FA36"/>
      <c r="FC36"/>
      <c r="FD36"/>
      <c r="FE36"/>
      <c r="FF36"/>
      <c r="FH36"/>
    </row>
    <row r="37" spans="1:164" ht="15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 s="961"/>
      <c r="EW37"/>
      <c r="EX37"/>
      <c r="EY37"/>
      <c r="EZ37"/>
      <c r="FA37"/>
      <c r="FC37"/>
      <c r="FD37"/>
      <c r="FE37"/>
      <c r="FF37"/>
      <c r="FH37"/>
    </row>
    <row r="38" spans="1:164" ht="15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 s="961"/>
      <c r="EW38"/>
      <c r="EX38"/>
      <c r="EY38"/>
      <c r="EZ38"/>
      <c r="FA38"/>
      <c r="FC38"/>
      <c r="FD38"/>
      <c r="FE38"/>
      <c r="FF38"/>
      <c r="FH38"/>
    </row>
    <row r="39" spans="1:164" ht="15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 s="961"/>
      <c r="EW39"/>
      <c r="EX39"/>
      <c r="EY39"/>
      <c r="EZ39"/>
      <c r="FA39"/>
      <c r="FC39"/>
      <c r="FD39"/>
      <c r="FE39"/>
      <c r="FF39"/>
      <c r="FH39"/>
    </row>
    <row r="40" spans="1:164" ht="15" customHeigh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 s="961"/>
      <c r="EW40"/>
      <c r="EX40"/>
      <c r="EY40"/>
      <c r="EZ40"/>
      <c r="FA40"/>
      <c r="FC40"/>
      <c r="FD40"/>
      <c r="FE40"/>
      <c r="FF40"/>
      <c r="FH40"/>
    </row>
    <row r="41" spans="1:164" ht="15" customHeigh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 s="961"/>
      <c r="EW41"/>
      <c r="EX41"/>
      <c r="EY41"/>
      <c r="EZ41"/>
      <c r="FA41"/>
      <c r="FC41"/>
      <c r="FD41"/>
      <c r="FE41"/>
      <c r="FF41"/>
      <c r="FH41"/>
    </row>
    <row r="42" spans="1:164" ht="15" customHeigh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 s="961"/>
      <c r="EW42"/>
      <c r="EX42"/>
      <c r="EY42"/>
      <c r="EZ42"/>
      <c r="FA42"/>
      <c r="FC42"/>
      <c r="FD42"/>
      <c r="FE42"/>
      <c r="FF42"/>
      <c r="FH42"/>
    </row>
    <row r="43" spans="1:164" ht="15" customHeigh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 s="961"/>
      <c r="EW43"/>
      <c r="EX43"/>
      <c r="EY43"/>
      <c r="EZ43"/>
      <c r="FA43"/>
      <c r="FC43"/>
      <c r="FD43"/>
      <c r="FE43"/>
      <c r="FF43"/>
      <c r="FH43"/>
    </row>
    <row r="44" spans="1:164" ht="15" customHeigh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 s="961"/>
      <c r="EW44"/>
      <c r="EX44"/>
      <c r="EY44"/>
      <c r="EZ44"/>
      <c r="FA44"/>
      <c r="FC44"/>
      <c r="FD44"/>
      <c r="FE44"/>
      <c r="FF44"/>
      <c r="FH44"/>
    </row>
    <row r="45" spans="1:164" ht="1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 s="961"/>
      <c r="EW45"/>
      <c r="EX45"/>
      <c r="EY45"/>
      <c r="EZ45"/>
      <c r="FA45"/>
      <c r="FC45"/>
      <c r="FD45"/>
      <c r="FE45"/>
      <c r="FF45"/>
      <c r="FH45"/>
    </row>
    <row r="46" spans="1:164" ht="1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 s="961"/>
      <c r="EW46"/>
      <c r="EX46"/>
      <c r="EY46"/>
      <c r="EZ46"/>
      <c r="FA46"/>
      <c r="FC46"/>
      <c r="FD46"/>
      <c r="FE46"/>
      <c r="FF46"/>
      <c r="FH46"/>
    </row>
    <row r="47" spans="1:164" ht="1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 s="961"/>
      <c r="EW47"/>
      <c r="EX47"/>
      <c r="EY47"/>
      <c r="EZ47"/>
      <c r="FA47"/>
      <c r="FC47"/>
      <c r="FD47"/>
      <c r="FE47"/>
      <c r="FF47"/>
      <c r="FH47"/>
    </row>
    <row r="48" spans="1:164" ht="1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 s="961"/>
      <c r="EW48"/>
      <c r="EX48"/>
      <c r="EY48"/>
      <c r="EZ48"/>
      <c r="FA48"/>
      <c r="FC48"/>
      <c r="FD48"/>
      <c r="FE48"/>
      <c r="FF48"/>
      <c r="FH48"/>
    </row>
    <row r="49" spans="152:152" customFormat="1" ht="15" customHeight="1" x14ac:dyDescent="0.25">
      <c r="EV49" s="961"/>
    </row>
    <row r="50" spans="152:152" customFormat="1" ht="15" customHeight="1" x14ac:dyDescent="0.25">
      <c r="EV50" s="961"/>
    </row>
    <row r="51" spans="152:152" customFormat="1" ht="15" customHeight="1" x14ac:dyDescent="0.25">
      <c r="EV51" s="961"/>
    </row>
    <row r="52" spans="152:152" customFormat="1" ht="15" customHeight="1" x14ac:dyDescent="0.25">
      <c r="EV52" s="961"/>
    </row>
    <row r="53" spans="152:152" customFormat="1" ht="15" customHeight="1" x14ac:dyDescent="0.25">
      <c r="EV53" s="961"/>
    </row>
    <row r="54" spans="152:152" customFormat="1" ht="15" customHeight="1" x14ac:dyDescent="0.25">
      <c r="EV54" s="961"/>
    </row>
    <row r="55" spans="152:152" customFormat="1" ht="15" customHeight="1" x14ac:dyDescent="0.25">
      <c r="EV55" s="961"/>
    </row>
    <row r="56" spans="152:152" customFormat="1" ht="15" customHeight="1" x14ac:dyDescent="0.25">
      <c r="EV56" s="961"/>
    </row>
    <row r="57" spans="152:152" customFormat="1" ht="15" customHeight="1" x14ac:dyDescent="0.25">
      <c r="EV57" s="961"/>
    </row>
    <row r="58" spans="152:152" customFormat="1" ht="15" customHeight="1" x14ac:dyDescent="0.25">
      <c r="EV58" s="961"/>
    </row>
    <row r="59" spans="152:152" customFormat="1" ht="15" customHeight="1" x14ac:dyDescent="0.25">
      <c r="EV59" s="961"/>
    </row>
    <row r="60" spans="152:152" customFormat="1" ht="15" customHeight="1" x14ac:dyDescent="0.25">
      <c r="EV60" s="961"/>
    </row>
    <row r="61" spans="152:152" customFormat="1" ht="15" customHeight="1" x14ac:dyDescent="0.25">
      <c r="EV61" s="961"/>
    </row>
    <row r="62" spans="152:152" customFormat="1" ht="15" customHeight="1" x14ac:dyDescent="0.25">
      <c r="EV62" s="961"/>
    </row>
    <row r="63" spans="152:152" customFormat="1" ht="15" customHeight="1" x14ac:dyDescent="0.25">
      <c r="EV63" s="961"/>
    </row>
    <row r="64" spans="152:152" customFormat="1" ht="15" customHeight="1" x14ac:dyDescent="0.25">
      <c r="EV64" s="961"/>
    </row>
    <row r="65" spans="152:152" customFormat="1" ht="15" customHeight="1" x14ac:dyDescent="0.25">
      <c r="EV65" s="961"/>
    </row>
    <row r="66" spans="152:152" customFormat="1" ht="15" customHeight="1" x14ac:dyDescent="0.25">
      <c r="EV66" s="961"/>
    </row>
    <row r="67" spans="152:152" customFormat="1" ht="15" customHeight="1" x14ac:dyDescent="0.25">
      <c r="EV67" s="961"/>
    </row>
    <row r="68" spans="152:152" customFormat="1" ht="15" customHeight="1" x14ac:dyDescent="0.25">
      <c r="EV68" s="961"/>
    </row>
    <row r="69" spans="152:152" customFormat="1" ht="15" customHeight="1" x14ac:dyDescent="0.25">
      <c r="EV69" s="961"/>
    </row>
    <row r="70" spans="152:152" customFormat="1" ht="15" customHeight="1" x14ac:dyDescent="0.25">
      <c r="EV70" s="961"/>
    </row>
    <row r="71" spans="152:152" customFormat="1" ht="15" customHeight="1" x14ac:dyDescent="0.25">
      <c r="EV71" s="961"/>
    </row>
    <row r="72" spans="152:152" customFormat="1" ht="15" customHeight="1" x14ac:dyDescent="0.25">
      <c r="EV72" s="961"/>
    </row>
    <row r="73" spans="152:152" customFormat="1" ht="15" customHeight="1" x14ac:dyDescent="0.25">
      <c r="EV73" s="961"/>
    </row>
    <row r="74" spans="152:152" customFormat="1" ht="15" customHeight="1" x14ac:dyDescent="0.25">
      <c r="EV74" s="961"/>
    </row>
    <row r="75" spans="152:152" customFormat="1" ht="15" customHeight="1" x14ac:dyDescent="0.25">
      <c r="EV75" s="961"/>
    </row>
    <row r="76" spans="152:152" customFormat="1" ht="15" customHeight="1" x14ac:dyDescent="0.25">
      <c r="EV76" s="961"/>
    </row>
    <row r="77" spans="152:152" customFormat="1" ht="15" customHeight="1" x14ac:dyDescent="0.25">
      <c r="EV77" s="961"/>
    </row>
    <row r="78" spans="152:152" customFormat="1" ht="15" customHeight="1" x14ac:dyDescent="0.25">
      <c r="EV78" s="961"/>
    </row>
    <row r="79" spans="152:152" customFormat="1" ht="15" customHeight="1" x14ac:dyDescent="0.25">
      <c r="EV79" s="961"/>
    </row>
    <row r="80" spans="152:152" customFormat="1" ht="15" customHeight="1" x14ac:dyDescent="0.25">
      <c r="EV80" s="961"/>
    </row>
    <row r="81" spans="152:152" customFormat="1" ht="15" customHeight="1" x14ac:dyDescent="0.25">
      <c r="EV81" s="961"/>
    </row>
    <row r="82" spans="152:152" customFormat="1" ht="15" customHeight="1" x14ac:dyDescent="0.25">
      <c r="EV82" s="961"/>
    </row>
    <row r="83" spans="152:152" customFormat="1" ht="15" customHeight="1" x14ac:dyDescent="0.25">
      <c r="EV83" s="961"/>
    </row>
    <row r="84" spans="152:152" customFormat="1" ht="15" customHeight="1" x14ac:dyDescent="0.25">
      <c r="EV84" s="961"/>
    </row>
    <row r="85" spans="152:152" customFormat="1" ht="15" customHeight="1" x14ac:dyDescent="0.25">
      <c r="EV85" s="961"/>
    </row>
    <row r="86" spans="152:152" customFormat="1" ht="15" customHeight="1" x14ac:dyDescent="0.25">
      <c r="EV86" s="961"/>
    </row>
    <row r="87" spans="152:152" customFormat="1" ht="15" customHeight="1" x14ac:dyDescent="0.25">
      <c r="EV87" s="961"/>
    </row>
    <row r="88" spans="152:152" customFormat="1" ht="15" customHeight="1" x14ac:dyDescent="0.25">
      <c r="EV88" s="961"/>
    </row>
    <row r="89" spans="152:152" customFormat="1" ht="15" customHeight="1" x14ac:dyDescent="0.25">
      <c r="EV89" s="961"/>
    </row>
    <row r="90" spans="152:152" customFormat="1" ht="15" customHeight="1" x14ac:dyDescent="0.25">
      <c r="EV90" s="961"/>
    </row>
    <row r="91" spans="152:152" customFormat="1" ht="15" customHeight="1" x14ac:dyDescent="0.25">
      <c r="EV91" s="961"/>
    </row>
    <row r="92" spans="152:152" customFormat="1" ht="15" customHeight="1" x14ac:dyDescent="0.25">
      <c r="EV92" s="961"/>
    </row>
    <row r="93" spans="152:152" customFormat="1" ht="15" customHeight="1" x14ac:dyDescent="0.25">
      <c r="EV93" s="961"/>
    </row>
  </sheetData>
  <mergeCells count="1">
    <mergeCell ref="FC4:FD4"/>
  </mergeCells>
  <printOptions horizontalCentered="1" verticalCentered="1"/>
  <pageMargins left="0.74803149606299213" right="0.74803149606299213" top="0.15748031496062992" bottom="0.15748031496062992" header="0" footer="0"/>
  <pageSetup paperSize="9" scale="1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A38"/>
  <sheetViews>
    <sheetView showGridLines="0" view="pageBreakPreview" zoomScaleNormal="85" zoomScaleSheetLayoutView="100" workbookViewId="0">
      <pane xSplit="1" topLeftCell="BL1" activePane="topRight" state="frozen"/>
      <selection activeCell="DO55" sqref="DO55:EP55"/>
      <selection pane="topRight"/>
    </sheetView>
  </sheetViews>
  <sheetFormatPr baseColWidth="10" defaultColWidth="9.7109375" defaultRowHeight="15" customHeight="1" x14ac:dyDescent="0.25"/>
  <cols>
    <col min="1" max="1" width="30.7109375" style="126" customWidth="1"/>
    <col min="2" max="73" width="9.7109375" style="126"/>
    <col min="74" max="74" width="5.85546875" customWidth="1"/>
    <col min="75" max="79" width="9.7109375" style="126"/>
    <col min="80" max="80" width="27.28515625" style="126" bestFit="1" customWidth="1"/>
    <col min="81" max="83" width="9.7109375" style="126"/>
    <col min="158" max="16384" width="9.7109375" style="126"/>
  </cols>
  <sheetData>
    <row r="1" spans="1:157" ht="15" customHeight="1" x14ac:dyDescent="0.25">
      <c r="A1" s="125" t="s">
        <v>241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W1" s="169"/>
      <c r="BX1" s="169"/>
    </row>
    <row r="2" spans="1:157" ht="15" customHeight="1" x14ac:dyDescent="0.25">
      <c r="A2" s="125" t="s">
        <v>486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W2" s="169"/>
      <c r="BX2" s="169"/>
    </row>
    <row r="3" spans="1:157" ht="15" customHeight="1" x14ac:dyDescent="0.25">
      <c r="A3" s="128" t="s">
        <v>583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W3" s="169"/>
      <c r="BX3" s="169"/>
    </row>
    <row r="4" spans="1:157" ht="15" customHeight="1" x14ac:dyDescent="0.25">
      <c r="A4" s="129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377"/>
      <c r="N4" s="102">
        <v>2016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377"/>
      <c r="Z4" s="102">
        <v>2017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377"/>
      <c r="AL4" s="102">
        <v>2018</v>
      </c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377"/>
      <c r="AX4" s="102">
        <v>2019</v>
      </c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377"/>
      <c r="BJ4" s="102">
        <v>2020</v>
      </c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377"/>
      <c r="BW4" s="428" t="s">
        <v>613</v>
      </c>
      <c r="BX4" s="428"/>
      <c r="CB4" s="446" t="s">
        <v>563</v>
      </c>
    </row>
    <row r="5" spans="1:157" ht="15" customHeight="1" x14ac:dyDescent="0.25">
      <c r="A5" s="133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378">
        <v>42339</v>
      </c>
      <c r="N5" s="106">
        <v>42370</v>
      </c>
      <c r="O5" s="107">
        <v>42401</v>
      </c>
      <c r="P5" s="107">
        <v>42430</v>
      </c>
      <c r="Q5" s="107">
        <v>42461</v>
      </c>
      <c r="R5" s="107">
        <v>42491</v>
      </c>
      <c r="S5" s="107">
        <v>42522</v>
      </c>
      <c r="T5" s="107">
        <v>42552</v>
      </c>
      <c r="U5" s="107">
        <v>42583</v>
      </c>
      <c r="V5" s="107">
        <v>42614</v>
      </c>
      <c r="W5" s="107">
        <v>42644</v>
      </c>
      <c r="X5" s="107">
        <v>42675</v>
      </c>
      <c r="Y5" s="378">
        <v>42705</v>
      </c>
      <c r="Z5" s="106">
        <v>42736</v>
      </c>
      <c r="AA5" s="107">
        <v>42767</v>
      </c>
      <c r="AB5" s="107">
        <v>42795</v>
      </c>
      <c r="AC5" s="107">
        <v>42826</v>
      </c>
      <c r="AD5" s="107">
        <v>42856</v>
      </c>
      <c r="AE5" s="107">
        <v>42887</v>
      </c>
      <c r="AF5" s="107">
        <v>42917</v>
      </c>
      <c r="AG5" s="107">
        <v>42948</v>
      </c>
      <c r="AH5" s="107">
        <v>42979</v>
      </c>
      <c r="AI5" s="107">
        <v>43009</v>
      </c>
      <c r="AJ5" s="107">
        <v>43040</v>
      </c>
      <c r="AK5" s="378">
        <v>43070</v>
      </c>
      <c r="AL5" s="106">
        <v>43101</v>
      </c>
      <c r="AM5" s="107">
        <v>43132</v>
      </c>
      <c r="AN5" s="107">
        <v>43160</v>
      </c>
      <c r="AO5" s="107">
        <v>43191</v>
      </c>
      <c r="AP5" s="107">
        <v>43221</v>
      </c>
      <c r="AQ5" s="107">
        <v>43252</v>
      </c>
      <c r="AR5" s="107">
        <v>43282</v>
      </c>
      <c r="AS5" s="107">
        <v>43313</v>
      </c>
      <c r="AT5" s="107">
        <v>43344</v>
      </c>
      <c r="AU5" s="107">
        <v>43374</v>
      </c>
      <c r="AV5" s="107">
        <v>43405</v>
      </c>
      <c r="AW5" s="378">
        <v>43435</v>
      </c>
      <c r="AX5" s="106">
        <v>43466</v>
      </c>
      <c r="AY5" s="107">
        <v>43497</v>
      </c>
      <c r="AZ5" s="107">
        <v>43525</v>
      </c>
      <c r="BA5" s="107">
        <v>43556</v>
      </c>
      <c r="BB5" s="107">
        <v>43586</v>
      </c>
      <c r="BC5" s="107">
        <v>43617</v>
      </c>
      <c r="BD5" s="107">
        <v>43647</v>
      </c>
      <c r="BE5" s="107">
        <v>43678</v>
      </c>
      <c r="BF5" s="107">
        <v>43709</v>
      </c>
      <c r="BG5" s="107">
        <v>43739</v>
      </c>
      <c r="BH5" s="107">
        <v>43770</v>
      </c>
      <c r="BI5" s="378">
        <v>43800</v>
      </c>
      <c r="BJ5" s="106">
        <v>43831</v>
      </c>
      <c r="BK5" s="107">
        <v>43862</v>
      </c>
      <c r="BL5" s="107">
        <v>43891</v>
      </c>
      <c r="BM5" s="107">
        <v>43922</v>
      </c>
      <c r="BN5" s="107">
        <v>43952</v>
      </c>
      <c r="BO5" s="107">
        <v>43983</v>
      </c>
      <c r="BP5" s="107">
        <v>44013</v>
      </c>
      <c r="BQ5" s="107">
        <v>44044</v>
      </c>
      <c r="BR5" s="107">
        <v>44075</v>
      </c>
      <c r="BS5" s="107">
        <v>44105</v>
      </c>
      <c r="BT5" s="107">
        <v>44136</v>
      </c>
      <c r="BU5" s="378">
        <v>44166</v>
      </c>
      <c r="BW5" s="321" t="s">
        <v>96</v>
      </c>
      <c r="BX5" s="321" t="s">
        <v>97</v>
      </c>
      <c r="CB5" s="138"/>
    </row>
    <row r="6" spans="1:157" ht="15" customHeight="1" x14ac:dyDescent="0.25">
      <c r="A6" s="129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2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64"/>
      <c r="AM6" s="160"/>
      <c r="AN6" s="160"/>
      <c r="AO6" s="160"/>
      <c r="AP6" s="151"/>
      <c r="AQ6" s="151"/>
      <c r="AR6" s="151"/>
      <c r="AS6" s="151"/>
      <c r="AT6" s="151"/>
      <c r="AU6" s="151"/>
      <c r="AV6" s="151"/>
      <c r="AW6" s="163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63"/>
      <c r="BJ6" s="164"/>
      <c r="BK6" s="160"/>
      <c r="BL6" s="160"/>
      <c r="BM6" s="160"/>
      <c r="BN6" s="160"/>
      <c r="BO6" s="151"/>
      <c r="BP6" s="151"/>
      <c r="BQ6" s="151"/>
      <c r="BR6" s="151"/>
      <c r="BS6" s="160"/>
      <c r="BT6" s="160"/>
      <c r="BU6" s="163"/>
      <c r="BV6" s="115"/>
      <c r="BW6" s="184"/>
      <c r="BX6" s="184"/>
      <c r="CB6" s="138"/>
    </row>
    <row r="7" spans="1:157" s="423" customFormat="1" ht="15" customHeight="1" x14ac:dyDescent="0.25">
      <c r="A7" s="420" t="s">
        <v>80</v>
      </c>
      <c r="B7" s="381">
        <f t="shared" ref="B7:AG7" si="0">B9+B21+B34</f>
        <v>583045.57504999998</v>
      </c>
      <c r="C7" s="382">
        <f t="shared" si="0"/>
        <v>591496.69368000003</v>
      </c>
      <c r="D7" s="382">
        <f t="shared" si="0"/>
        <v>658021.27731000003</v>
      </c>
      <c r="E7" s="382">
        <f t="shared" si="0"/>
        <v>632442.26212999993</v>
      </c>
      <c r="F7" s="382">
        <f t="shared" si="0"/>
        <v>639449.61332999996</v>
      </c>
      <c r="G7" s="382">
        <f t="shared" si="0"/>
        <v>616101.27479000005</v>
      </c>
      <c r="H7" s="382">
        <f t="shared" si="0"/>
        <v>634836.11985000002</v>
      </c>
      <c r="I7" s="382">
        <f t="shared" si="0"/>
        <v>618946.12922999996</v>
      </c>
      <c r="J7" s="382">
        <f t="shared" si="0"/>
        <v>633976.50350999995</v>
      </c>
      <c r="K7" s="382">
        <f t="shared" si="0"/>
        <v>638733.55444000009</v>
      </c>
      <c r="L7" s="382">
        <f t="shared" si="0"/>
        <v>667800.96282999997</v>
      </c>
      <c r="M7" s="424">
        <f t="shared" si="0"/>
        <v>668901.74524999992</v>
      </c>
      <c r="N7" s="382">
        <f t="shared" si="0"/>
        <v>675911.92611999996</v>
      </c>
      <c r="O7" s="382">
        <f t="shared" si="0"/>
        <v>664006.49557000003</v>
      </c>
      <c r="P7" s="382">
        <f t="shared" si="0"/>
        <v>643290.71406000003</v>
      </c>
      <c r="Q7" s="382">
        <f t="shared" si="0"/>
        <v>682851.75054000015</v>
      </c>
      <c r="R7" s="382">
        <f t="shared" si="0"/>
        <v>670420.48010000004</v>
      </c>
      <c r="S7" s="382">
        <f t="shared" si="0"/>
        <v>659649.44102000003</v>
      </c>
      <c r="T7" s="382">
        <f t="shared" si="0"/>
        <v>667721.13208999997</v>
      </c>
      <c r="U7" s="382">
        <f t="shared" si="0"/>
        <v>651539.36076000007</v>
      </c>
      <c r="V7" s="382">
        <f t="shared" si="0"/>
        <v>672127.0284999999</v>
      </c>
      <c r="W7" s="382">
        <f t="shared" si="0"/>
        <v>655459.18514999992</v>
      </c>
      <c r="X7" s="382">
        <f t="shared" si="0"/>
        <v>671821.89497999987</v>
      </c>
      <c r="Y7" s="382">
        <f t="shared" si="0"/>
        <v>684816.91616999998</v>
      </c>
      <c r="Z7" s="381">
        <f t="shared" si="0"/>
        <v>659832.38014000002</v>
      </c>
      <c r="AA7" s="382">
        <f t="shared" si="0"/>
        <v>661026.97395999997</v>
      </c>
      <c r="AB7" s="382">
        <f t="shared" si="0"/>
        <v>690647.55176000006</v>
      </c>
      <c r="AC7" s="382">
        <f t="shared" si="0"/>
        <v>683734.94013</v>
      </c>
      <c r="AD7" s="382">
        <f t="shared" si="0"/>
        <v>673503.42257000005</v>
      </c>
      <c r="AE7" s="382">
        <f t="shared" si="0"/>
        <v>706075.75633999985</v>
      </c>
      <c r="AF7" s="382">
        <f t="shared" si="0"/>
        <v>721070.27203999995</v>
      </c>
      <c r="AG7" s="382">
        <f t="shared" si="0"/>
        <v>695929.55529000005</v>
      </c>
      <c r="AH7" s="382">
        <f t="shared" ref="AH7:BM7" si="1">AH9+AH21+AH34</f>
        <v>690144.94775000005</v>
      </c>
      <c r="AI7" s="382">
        <f t="shared" si="1"/>
        <v>688699.80174999998</v>
      </c>
      <c r="AJ7" s="382">
        <f t="shared" si="1"/>
        <v>703845.36741000006</v>
      </c>
      <c r="AK7" s="382">
        <f t="shared" si="1"/>
        <v>704754.15498999995</v>
      </c>
      <c r="AL7" s="381">
        <f t="shared" si="1"/>
        <v>718706.94874000014</v>
      </c>
      <c r="AM7" s="382">
        <f t="shared" si="1"/>
        <v>707911.67400999996</v>
      </c>
      <c r="AN7" s="382">
        <f t="shared" si="1"/>
        <v>719348.20272000006</v>
      </c>
      <c r="AO7" s="382">
        <f t="shared" si="1"/>
        <v>753070.99046</v>
      </c>
      <c r="AP7" s="382">
        <f t="shared" si="1"/>
        <v>770800.55799999996</v>
      </c>
      <c r="AQ7" s="382">
        <f t="shared" si="1"/>
        <v>777686.29706000001</v>
      </c>
      <c r="AR7" s="382">
        <f t="shared" si="1"/>
        <v>800227.38225000002</v>
      </c>
      <c r="AS7" s="382">
        <f t="shared" si="1"/>
        <v>784634.49407000002</v>
      </c>
      <c r="AT7" s="382">
        <f t="shared" si="1"/>
        <v>792780.35519000003</v>
      </c>
      <c r="AU7" s="382">
        <f t="shared" si="1"/>
        <v>783696.74287999992</v>
      </c>
      <c r="AV7" s="382">
        <f t="shared" si="1"/>
        <v>770019.32573999988</v>
      </c>
      <c r="AW7" s="424">
        <f t="shared" si="1"/>
        <v>772585.179</v>
      </c>
      <c r="AX7" s="382">
        <f t="shared" si="1"/>
        <v>802764.88426999992</v>
      </c>
      <c r="AY7" s="382">
        <f t="shared" si="1"/>
        <v>870159.74018999992</v>
      </c>
      <c r="AZ7" s="382">
        <f t="shared" si="1"/>
        <v>920720.18508000008</v>
      </c>
      <c r="BA7" s="382">
        <f t="shared" si="1"/>
        <v>914149.31071999995</v>
      </c>
      <c r="BB7" s="382">
        <f t="shared" si="1"/>
        <v>887703.61212000006</v>
      </c>
      <c r="BC7" s="382">
        <f t="shared" si="1"/>
        <v>894722.57441999996</v>
      </c>
      <c r="BD7" s="382">
        <f t="shared" si="1"/>
        <v>853442.26634999982</v>
      </c>
      <c r="BE7" s="382">
        <f t="shared" si="1"/>
        <v>871845.38056999992</v>
      </c>
      <c r="BF7" s="382">
        <f t="shared" si="1"/>
        <v>884926.22344999993</v>
      </c>
      <c r="BG7" s="382">
        <f t="shared" si="1"/>
        <v>842364.18200999987</v>
      </c>
      <c r="BH7" s="382">
        <f t="shared" si="1"/>
        <v>865265.51608999993</v>
      </c>
      <c r="BI7" s="424">
        <f t="shared" si="1"/>
        <v>846436.73522999999</v>
      </c>
      <c r="BJ7" s="381">
        <f t="shared" si="1"/>
        <v>824936.33380000014</v>
      </c>
      <c r="BK7" s="382">
        <f t="shared" si="1"/>
        <v>831127.8</v>
      </c>
      <c r="BL7" s="382">
        <f t="shared" si="1"/>
        <v>848829</v>
      </c>
      <c r="BM7" s="382">
        <f t="shared" si="1"/>
        <v>842293.1</v>
      </c>
      <c r="BN7" s="382">
        <f t="shared" ref="BN7:BU7" si="2">BN9+BN21+BN34</f>
        <v>982236</v>
      </c>
      <c r="BO7" s="382">
        <f t="shared" si="2"/>
        <v>1083321</v>
      </c>
      <c r="BP7" s="382">
        <f t="shared" si="2"/>
        <v>1163388.6000000001</v>
      </c>
      <c r="BQ7" s="382">
        <f t="shared" si="2"/>
        <v>1190865.2061600001</v>
      </c>
      <c r="BR7" s="382">
        <f t="shared" si="2"/>
        <v>1218206</v>
      </c>
      <c r="BS7" s="382">
        <f t="shared" si="2"/>
        <v>1285190.6000000001</v>
      </c>
      <c r="BT7" s="382">
        <f t="shared" si="2"/>
        <v>1304414.3</v>
      </c>
      <c r="BU7" s="424">
        <f t="shared" si="2"/>
        <v>1324629.5</v>
      </c>
      <c r="BV7" s="425"/>
      <c r="BW7" s="394">
        <f>IFERROR(((BU7/BT7)-1)*100,"")</f>
        <v>1.5497530194202858</v>
      </c>
      <c r="BX7" s="394">
        <f>IFERROR(((BU7/BI7)-1)*100,"")</f>
        <v>56.494802844309675</v>
      </c>
      <c r="BY7" s="421"/>
      <c r="BZ7" s="422">
        <f>IFERROR(+BJ7/$BJ$7,"")</f>
        <v>1</v>
      </c>
      <c r="CB7" s="420" t="s">
        <v>0</v>
      </c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</row>
    <row r="8" spans="1:157" ht="15" customHeight="1" x14ac:dyDescent="0.25">
      <c r="A8" s="138"/>
      <c r="B8" s="162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24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62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62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24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241"/>
      <c r="BJ8" s="162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241"/>
      <c r="BV8" s="115"/>
      <c r="BW8" s="184"/>
      <c r="BX8" s="184"/>
      <c r="BY8" s="175"/>
      <c r="BZ8" s="208"/>
      <c r="CB8" s="138"/>
    </row>
    <row r="9" spans="1:157" s="215" customFormat="1" ht="15" customHeight="1" x14ac:dyDescent="0.25">
      <c r="A9" s="141" t="s">
        <v>270</v>
      </c>
      <c r="B9" s="272">
        <f t="shared" ref="B9:AH9" si="3">SUM(B10:B20)</f>
        <v>429422.80256000004</v>
      </c>
      <c r="C9" s="147">
        <f t="shared" si="3"/>
        <v>438682.32407999999</v>
      </c>
      <c r="D9" s="147">
        <f t="shared" si="3"/>
        <v>491297.43778000004</v>
      </c>
      <c r="E9" s="147">
        <f t="shared" si="3"/>
        <v>462080.212</v>
      </c>
      <c r="F9" s="147">
        <f t="shared" si="3"/>
        <v>460688.33685999998</v>
      </c>
      <c r="G9" s="147">
        <f t="shared" si="3"/>
        <v>440340.28188000002</v>
      </c>
      <c r="H9" s="147">
        <f t="shared" si="3"/>
        <v>459228.59323000006</v>
      </c>
      <c r="I9" s="147">
        <f t="shared" si="3"/>
        <v>451144.99272999994</v>
      </c>
      <c r="J9" s="147">
        <f t="shared" si="3"/>
        <v>464062.11821999995</v>
      </c>
      <c r="K9" s="147">
        <f t="shared" si="3"/>
        <v>473083.09399000002</v>
      </c>
      <c r="L9" s="147">
        <f t="shared" si="3"/>
        <v>502853.87865999999</v>
      </c>
      <c r="M9" s="323">
        <f t="shared" si="3"/>
        <v>505334.36658999993</v>
      </c>
      <c r="N9" s="147">
        <f t="shared" si="3"/>
        <v>504072.23179999995</v>
      </c>
      <c r="O9" s="147">
        <f t="shared" si="3"/>
        <v>492531.55508999998</v>
      </c>
      <c r="P9" s="147">
        <f t="shared" si="3"/>
        <v>471025.95142999996</v>
      </c>
      <c r="Q9" s="147">
        <f t="shared" si="3"/>
        <v>499603.22262000007</v>
      </c>
      <c r="R9" s="147">
        <f t="shared" si="3"/>
        <v>496808.50263999996</v>
      </c>
      <c r="S9" s="147">
        <f t="shared" si="3"/>
        <v>482838.59483000002</v>
      </c>
      <c r="T9" s="147">
        <f t="shared" si="3"/>
        <v>487850.71876999992</v>
      </c>
      <c r="U9" s="147">
        <f t="shared" si="3"/>
        <v>472128.2341200001</v>
      </c>
      <c r="V9" s="147">
        <f t="shared" si="3"/>
        <v>489830.25024999987</v>
      </c>
      <c r="W9" s="147">
        <f t="shared" si="3"/>
        <v>474049.01944999996</v>
      </c>
      <c r="X9" s="147">
        <f t="shared" si="3"/>
        <v>484635.80297999992</v>
      </c>
      <c r="Y9" s="147">
        <f t="shared" si="3"/>
        <v>494655.85197000002</v>
      </c>
      <c r="Z9" s="272">
        <f t="shared" si="3"/>
        <v>468411.86861999996</v>
      </c>
      <c r="AA9" s="147">
        <f t="shared" si="3"/>
        <v>479645.55651999998</v>
      </c>
      <c r="AB9" s="147">
        <f t="shared" si="3"/>
        <v>511751.17107000004</v>
      </c>
      <c r="AC9" s="147">
        <f t="shared" si="3"/>
        <v>498233.88927000004</v>
      </c>
      <c r="AD9" s="147">
        <f t="shared" si="3"/>
        <v>492774.35726000002</v>
      </c>
      <c r="AE9" s="147">
        <f t="shared" si="3"/>
        <v>521310.10211999994</v>
      </c>
      <c r="AF9" s="147">
        <f t="shared" si="3"/>
        <v>522856.18687999994</v>
      </c>
      <c r="AG9" s="147">
        <f t="shared" si="3"/>
        <v>499458.1433</v>
      </c>
      <c r="AH9" s="147">
        <f t="shared" si="3"/>
        <v>492875.24198000005</v>
      </c>
      <c r="AI9" s="147">
        <f t="shared" ref="AI9:BF9" si="4">SUM(AI10:AI20)</f>
        <v>491366.02422000002</v>
      </c>
      <c r="AJ9" s="147">
        <f t="shared" si="4"/>
        <v>508705.91181000002</v>
      </c>
      <c r="AK9" s="147">
        <f t="shared" si="4"/>
        <v>503885.49709000002</v>
      </c>
      <c r="AL9" s="272">
        <f t="shared" si="4"/>
        <v>513448.05738000001</v>
      </c>
      <c r="AM9" s="147">
        <f t="shared" si="4"/>
        <v>496605.50258000003</v>
      </c>
      <c r="AN9" s="147">
        <f t="shared" si="4"/>
        <v>519162.90088000003</v>
      </c>
      <c r="AO9" s="147">
        <f t="shared" si="4"/>
        <v>551859.21812000009</v>
      </c>
      <c r="AP9" s="147">
        <f t="shared" si="4"/>
        <v>566184.62205000001</v>
      </c>
      <c r="AQ9" s="147">
        <f t="shared" si="4"/>
        <v>571187.78162999998</v>
      </c>
      <c r="AR9" s="147">
        <f t="shared" si="4"/>
        <v>585764.64740000002</v>
      </c>
      <c r="AS9" s="147">
        <f t="shared" si="4"/>
        <v>564461.51733000006</v>
      </c>
      <c r="AT9" s="147">
        <f t="shared" si="4"/>
        <v>570476.31018000003</v>
      </c>
      <c r="AU9" s="147">
        <f t="shared" si="4"/>
        <v>562404.16914000001</v>
      </c>
      <c r="AV9" s="147">
        <f t="shared" si="4"/>
        <v>538994.80305999995</v>
      </c>
      <c r="AW9" s="323">
        <f t="shared" si="4"/>
        <v>536612.59736999997</v>
      </c>
      <c r="AX9" s="147">
        <f t="shared" si="4"/>
        <v>576495.88729999994</v>
      </c>
      <c r="AY9" s="147">
        <f t="shared" si="4"/>
        <v>638210.53056999994</v>
      </c>
      <c r="AZ9" s="147">
        <f t="shared" si="4"/>
        <v>698276.9665000001</v>
      </c>
      <c r="BA9" s="147">
        <f t="shared" si="4"/>
        <v>694811.14382999996</v>
      </c>
      <c r="BB9" s="147">
        <f t="shared" si="4"/>
        <v>665180.70080000011</v>
      </c>
      <c r="BC9" s="147">
        <f t="shared" si="4"/>
        <v>661153.6317599999</v>
      </c>
      <c r="BD9" s="147">
        <f t="shared" si="4"/>
        <v>614809.2083099999</v>
      </c>
      <c r="BE9" s="147">
        <f t="shared" si="4"/>
        <v>635784.00994999998</v>
      </c>
      <c r="BF9" s="147">
        <f t="shared" si="4"/>
        <v>651249.41975</v>
      </c>
      <c r="BG9" s="147">
        <f>SUM(BG10:BG20)</f>
        <v>603554.75617999991</v>
      </c>
      <c r="BH9" s="147">
        <f>SUM(BH10:BH20)</f>
        <v>628736.15540999989</v>
      </c>
      <c r="BI9" s="323">
        <f>SUM(BI10:BI20)</f>
        <v>599937.89726999996</v>
      </c>
      <c r="BJ9" s="272">
        <f>SUM(BJ10:BJ20)</f>
        <v>575966.84908000007</v>
      </c>
      <c r="BK9" s="147">
        <f t="shared" ref="BK9:BR9" si="5">SUM(BK10:BK20)</f>
        <v>592830.4</v>
      </c>
      <c r="BL9" s="147">
        <f t="shared" si="5"/>
        <v>603285</v>
      </c>
      <c r="BM9" s="147">
        <f t="shared" si="5"/>
        <v>583935</v>
      </c>
      <c r="BN9" s="147">
        <f t="shared" si="5"/>
        <v>711307.5</v>
      </c>
      <c r="BO9" s="147">
        <f t="shared" si="5"/>
        <v>802071</v>
      </c>
      <c r="BP9" s="147">
        <f t="shared" si="5"/>
        <v>878242</v>
      </c>
      <c r="BQ9" s="147">
        <f t="shared" si="5"/>
        <v>903031.83131999988</v>
      </c>
      <c r="BR9" s="147">
        <f t="shared" si="5"/>
        <v>925861</v>
      </c>
      <c r="BS9" s="147">
        <f>SUM(BS10:BS20)</f>
        <v>975117.60000000009</v>
      </c>
      <c r="BT9" s="147">
        <f>SUM(BT10:BT20)</f>
        <v>993113.8</v>
      </c>
      <c r="BU9" s="323">
        <f>SUM(BU10:BU20)</f>
        <v>991536.5</v>
      </c>
      <c r="BV9" s="426"/>
      <c r="BW9" s="179">
        <f t="shared" ref="BW9:BW34" si="6">IFERROR(((BU9/BT9)-1)*100,"")</f>
        <v>-0.15882369170583388</v>
      </c>
      <c r="BX9" s="179">
        <f t="shared" ref="BX9:BX34" si="7">IFERROR(((BU9/BI9)-1)*100,"")</f>
        <v>65.273189860476919</v>
      </c>
      <c r="BZ9" s="419">
        <f t="shared" ref="BZ9:BZ34" si="8">IFERROR(+BJ9/$BJ$7,"")</f>
        <v>0.69819551580042183</v>
      </c>
      <c r="CB9" s="141" t="s">
        <v>270</v>
      </c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</row>
    <row r="10" spans="1:157" ht="15" customHeight="1" x14ac:dyDescent="0.25">
      <c r="A10" s="402" t="s">
        <v>487</v>
      </c>
      <c r="B10" s="162">
        <v>175616.67083000002</v>
      </c>
      <c r="C10" s="151">
        <v>180258.03422</v>
      </c>
      <c r="D10" s="151">
        <v>241439.31627000001</v>
      </c>
      <c r="E10" s="151">
        <v>212823.00225000002</v>
      </c>
      <c r="F10" s="151">
        <v>206288.71806000001</v>
      </c>
      <c r="G10" s="151">
        <v>195349.74980000002</v>
      </c>
      <c r="H10" s="151">
        <v>200853.42439000003</v>
      </c>
      <c r="I10" s="151">
        <v>188508.97973999998</v>
      </c>
      <c r="J10" s="151">
        <v>190972.73051000002</v>
      </c>
      <c r="K10" s="151">
        <v>169807.46407000002</v>
      </c>
      <c r="L10" s="151">
        <v>185812.40777000002</v>
      </c>
      <c r="M10" s="163">
        <v>183316.29211999997</v>
      </c>
      <c r="N10" s="151">
        <v>189791.84490999996</v>
      </c>
      <c r="O10" s="151">
        <v>198791.88733</v>
      </c>
      <c r="P10" s="151">
        <v>185345.90255</v>
      </c>
      <c r="Q10" s="151">
        <v>224105.53362</v>
      </c>
      <c r="R10" s="151">
        <v>213685.64124</v>
      </c>
      <c r="S10" s="151">
        <v>201498.46428000001</v>
      </c>
      <c r="T10" s="151">
        <v>200717.86324999999</v>
      </c>
      <c r="U10" s="151">
        <v>179849.18770000004</v>
      </c>
      <c r="V10" s="151">
        <v>194366.61856000003</v>
      </c>
      <c r="W10" s="151">
        <v>174360.50305</v>
      </c>
      <c r="X10" s="151">
        <v>193325.40762000001</v>
      </c>
      <c r="Y10" s="151">
        <v>203336.71783000001</v>
      </c>
      <c r="Z10" s="162">
        <v>186742.50378</v>
      </c>
      <c r="AA10" s="151">
        <v>185866.44787999999</v>
      </c>
      <c r="AB10" s="151">
        <v>225505.59103000001</v>
      </c>
      <c r="AC10" s="151">
        <v>212869.36241999999</v>
      </c>
      <c r="AD10" s="151">
        <v>202811.94836999997</v>
      </c>
      <c r="AE10" s="151">
        <v>192867.49283999996</v>
      </c>
      <c r="AF10" s="151">
        <v>200410.05192</v>
      </c>
      <c r="AG10" s="151">
        <v>195612.23188000001</v>
      </c>
      <c r="AH10" s="151">
        <v>192374.72294000001</v>
      </c>
      <c r="AI10" s="151">
        <v>171853.89564</v>
      </c>
      <c r="AJ10" s="151">
        <v>169518.95840999999</v>
      </c>
      <c r="AK10" s="151">
        <v>196093.19018999999</v>
      </c>
      <c r="AL10" s="162">
        <v>194995.12432999999</v>
      </c>
      <c r="AM10" s="151">
        <v>189686.49848000001</v>
      </c>
      <c r="AN10" s="151">
        <v>220266.83744999999</v>
      </c>
      <c r="AO10" s="151">
        <v>241466.63728</v>
      </c>
      <c r="AP10" s="151">
        <v>241364.68563000002</v>
      </c>
      <c r="AQ10" s="151">
        <v>237161.23704000001</v>
      </c>
      <c r="AR10" s="151">
        <v>239087.01281000001</v>
      </c>
      <c r="AS10" s="151">
        <v>213702.00957000002</v>
      </c>
      <c r="AT10" s="151">
        <v>212077.98273999998</v>
      </c>
      <c r="AU10" s="151">
        <v>206297.53323</v>
      </c>
      <c r="AV10" s="151">
        <v>204817.0472</v>
      </c>
      <c r="AW10" s="163">
        <v>211743.17999</v>
      </c>
      <c r="AX10" s="151">
        <v>217031.52512999999</v>
      </c>
      <c r="AY10" s="151">
        <v>329053.96030999999</v>
      </c>
      <c r="AZ10" s="151">
        <v>331901.41224999999</v>
      </c>
      <c r="BA10" s="151">
        <v>322180.02073999995</v>
      </c>
      <c r="BB10" s="151">
        <v>315849.29986999999</v>
      </c>
      <c r="BC10" s="151">
        <v>289728.46110999997</v>
      </c>
      <c r="BD10" s="151">
        <v>259113.69138999999</v>
      </c>
      <c r="BE10" s="151">
        <v>250184.55214000004</v>
      </c>
      <c r="BF10" s="151">
        <v>231033.50485</v>
      </c>
      <c r="BG10" s="151">
        <v>222385.94209999999</v>
      </c>
      <c r="BH10" s="151">
        <v>233281.67546999999</v>
      </c>
      <c r="BI10" s="163">
        <v>229485.45142999999</v>
      </c>
      <c r="BJ10" s="162">
        <v>205502.18638999999</v>
      </c>
      <c r="BK10" s="151">
        <v>204360.4</v>
      </c>
      <c r="BL10" s="151">
        <v>225083</v>
      </c>
      <c r="BM10" s="151">
        <v>230550.5</v>
      </c>
      <c r="BN10" s="151">
        <v>245459.4</v>
      </c>
      <c r="BO10" s="151">
        <v>275057</v>
      </c>
      <c r="BP10" s="151">
        <v>327084.5</v>
      </c>
      <c r="BQ10" s="151">
        <v>334412</v>
      </c>
      <c r="BR10" s="151">
        <v>336510.5</v>
      </c>
      <c r="BS10" s="151">
        <v>345710.4</v>
      </c>
      <c r="BT10" s="151">
        <v>349074.4</v>
      </c>
      <c r="BU10" s="163">
        <v>367103.4</v>
      </c>
      <c r="BV10" s="115"/>
      <c r="BW10" s="184">
        <f t="shared" si="6"/>
        <v>5.1648015437396833</v>
      </c>
      <c r="BX10" s="184">
        <f t="shared" si="7"/>
        <v>59.9680492651961</v>
      </c>
      <c r="BZ10" s="208">
        <f t="shared" si="8"/>
        <v>0.24911278358097208</v>
      </c>
      <c r="CB10" s="138"/>
      <c r="CD10" s="138" t="s">
        <v>615</v>
      </c>
      <c r="CE10" s="208">
        <f>BZ10</f>
        <v>0.24911278358097208</v>
      </c>
    </row>
    <row r="11" spans="1:157" ht="15" customHeight="1" x14ac:dyDescent="0.25">
      <c r="A11" s="402" t="s">
        <v>488</v>
      </c>
      <c r="B11" s="162">
        <v>150823.69875000001</v>
      </c>
      <c r="C11" s="151">
        <v>152232.49963000001</v>
      </c>
      <c r="D11" s="151">
        <v>150721.77163999999</v>
      </c>
      <c r="E11" s="151">
        <v>152426.17663</v>
      </c>
      <c r="F11" s="151">
        <v>156717.43298000001</v>
      </c>
      <c r="G11" s="151">
        <v>154606.58716</v>
      </c>
      <c r="H11" s="151">
        <v>157538.90513</v>
      </c>
      <c r="I11" s="151">
        <v>164153.06918000002</v>
      </c>
      <c r="J11" s="151">
        <v>159236.49841999999</v>
      </c>
      <c r="K11" s="151">
        <v>176438.35341000001</v>
      </c>
      <c r="L11" s="151">
        <v>194552.57855000001</v>
      </c>
      <c r="M11" s="163">
        <v>171561.34349999999</v>
      </c>
      <c r="N11" s="151">
        <v>168023.54773999998</v>
      </c>
      <c r="O11" s="151">
        <v>170824.47923999999</v>
      </c>
      <c r="P11" s="151">
        <v>165285.89996999997</v>
      </c>
      <c r="Q11" s="151">
        <v>159659.53061000002</v>
      </c>
      <c r="R11" s="151">
        <v>161598.69962</v>
      </c>
      <c r="S11" s="151">
        <v>166597.20983000001</v>
      </c>
      <c r="T11" s="151">
        <v>160549.86916</v>
      </c>
      <c r="U11" s="151">
        <v>163890.83428000004</v>
      </c>
      <c r="V11" s="151">
        <v>162306.53005999999</v>
      </c>
      <c r="W11" s="151">
        <v>156777.84798999998</v>
      </c>
      <c r="X11" s="151">
        <v>163691.19344999999</v>
      </c>
      <c r="Y11" s="151">
        <v>160737.38246999998</v>
      </c>
      <c r="Z11" s="162">
        <v>160918.79902000001</v>
      </c>
      <c r="AA11" s="151">
        <v>159803.14140999998</v>
      </c>
      <c r="AB11" s="151">
        <v>160256.64825999999</v>
      </c>
      <c r="AC11" s="151">
        <v>162859.96930000003</v>
      </c>
      <c r="AD11" s="151">
        <v>161484.85185000001</v>
      </c>
      <c r="AE11" s="151">
        <v>190356.05131000001</v>
      </c>
      <c r="AF11" s="151">
        <v>184311.87336</v>
      </c>
      <c r="AG11" s="151">
        <v>163615.13100999998</v>
      </c>
      <c r="AH11" s="151">
        <v>174124.36238999999</v>
      </c>
      <c r="AI11" s="151">
        <v>185150.94769999999</v>
      </c>
      <c r="AJ11" s="151">
        <v>202584.44238000002</v>
      </c>
      <c r="AK11" s="151">
        <v>165010.63902999999</v>
      </c>
      <c r="AL11" s="162">
        <v>175062.42728</v>
      </c>
      <c r="AM11" s="151">
        <v>162928.92076999997</v>
      </c>
      <c r="AN11" s="151">
        <v>155847.66107</v>
      </c>
      <c r="AO11" s="151">
        <v>160580.36292000001</v>
      </c>
      <c r="AP11" s="151">
        <v>176128.11249</v>
      </c>
      <c r="AQ11" s="151">
        <v>191849.64575999998</v>
      </c>
      <c r="AR11" s="151">
        <v>204418.11069000003</v>
      </c>
      <c r="AS11" s="151">
        <v>204418.11069000003</v>
      </c>
      <c r="AT11" s="151">
        <v>215497.53813</v>
      </c>
      <c r="AU11" s="151">
        <v>217584.94383999999</v>
      </c>
      <c r="AV11" s="151">
        <v>188763.44219999999</v>
      </c>
      <c r="AW11" s="163">
        <v>184030.35524</v>
      </c>
      <c r="AX11" s="151">
        <v>212590.12913000002</v>
      </c>
      <c r="AY11" s="151">
        <v>169310.55048999999</v>
      </c>
      <c r="AZ11" s="151">
        <v>217787.60808999999</v>
      </c>
      <c r="BA11" s="151">
        <v>236150.25516999999</v>
      </c>
      <c r="BB11" s="151">
        <v>212224.56992000001</v>
      </c>
      <c r="BC11" s="151">
        <v>227276.04946000001</v>
      </c>
      <c r="BD11" s="151">
        <v>195580.39875000002</v>
      </c>
      <c r="BE11" s="151">
        <v>220881.47752000001</v>
      </c>
      <c r="BF11" s="151">
        <v>242185.73598000003</v>
      </c>
      <c r="BG11" s="151">
        <v>218732.89734999998</v>
      </c>
      <c r="BH11" s="151">
        <v>219108.60081999999</v>
      </c>
      <c r="BI11" s="163">
        <v>192355.16263000001</v>
      </c>
      <c r="BJ11" s="162">
        <v>190459.66456999996</v>
      </c>
      <c r="BK11" s="151">
        <v>209433</v>
      </c>
      <c r="BL11" s="151">
        <v>208846</v>
      </c>
      <c r="BM11" s="151">
        <v>184288.5</v>
      </c>
      <c r="BN11" s="151">
        <v>267775.09999999998</v>
      </c>
      <c r="BO11" s="151">
        <v>315748</v>
      </c>
      <c r="BP11" s="151">
        <v>324286.5</v>
      </c>
      <c r="BQ11" s="151">
        <v>343964.10162999999</v>
      </c>
      <c r="BR11" s="151">
        <v>362670</v>
      </c>
      <c r="BS11" s="151">
        <v>396782.4</v>
      </c>
      <c r="BT11" s="151">
        <v>415517.4</v>
      </c>
      <c r="BU11" s="163">
        <v>388180.1</v>
      </c>
      <c r="BV11" s="115"/>
      <c r="BW11" s="184">
        <f t="shared" si="6"/>
        <v>-6.579098733290123</v>
      </c>
      <c r="BX11" s="184">
        <f t="shared" si="7"/>
        <v>101.80383759528939</v>
      </c>
      <c r="BZ11" s="208">
        <f t="shared" si="8"/>
        <v>0.23087801660118845</v>
      </c>
      <c r="CB11" s="138"/>
      <c r="CD11" s="138" t="s">
        <v>616</v>
      </c>
      <c r="CE11" s="208">
        <f>BZ11</f>
        <v>0.23087801660118845</v>
      </c>
    </row>
    <row r="12" spans="1:157" ht="15" customHeight="1" x14ac:dyDescent="0.25">
      <c r="A12" s="402" t="s">
        <v>321</v>
      </c>
      <c r="B12" s="162">
        <v>40250.370589999999</v>
      </c>
      <c r="C12" s="151">
        <v>38417.930029999996</v>
      </c>
      <c r="D12" s="151">
        <v>40727.056950000006</v>
      </c>
      <c r="E12" s="151">
        <v>38382.472800000003</v>
      </c>
      <c r="F12" s="151">
        <v>37213.944329999998</v>
      </c>
      <c r="G12" s="151">
        <v>35935.421340000001</v>
      </c>
      <c r="H12" s="151">
        <v>35553.70923</v>
      </c>
      <c r="I12" s="151">
        <v>31308.425069999998</v>
      </c>
      <c r="J12" s="151">
        <v>31106.201280000001</v>
      </c>
      <c r="K12" s="151">
        <v>35985.468200000003</v>
      </c>
      <c r="L12" s="151">
        <v>37341.289390000005</v>
      </c>
      <c r="M12" s="163">
        <v>45723.856809999997</v>
      </c>
      <c r="N12" s="151">
        <v>47689.376409999997</v>
      </c>
      <c r="O12" s="151">
        <v>38913.678119999997</v>
      </c>
      <c r="P12" s="151">
        <v>36914.317849999999</v>
      </c>
      <c r="Q12" s="151">
        <v>31800.420099999999</v>
      </c>
      <c r="R12" s="151">
        <v>33400.799249999996</v>
      </c>
      <c r="S12" s="151">
        <v>34510.669820000003</v>
      </c>
      <c r="T12" s="151">
        <v>36299.867329999994</v>
      </c>
      <c r="U12" s="151">
        <v>35874.360329999996</v>
      </c>
      <c r="V12" s="151">
        <v>45150.019729999993</v>
      </c>
      <c r="W12" s="151">
        <v>41108.599300000002</v>
      </c>
      <c r="X12" s="151">
        <v>42016.732400000008</v>
      </c>
      <c r="Y12" s="151">
        <v>49188.000810000005</v>
      </c>
      <c r="Z12" s="162">
        <v>38318.540670000002</v>
      </c>
      <c r="AA12" s="151">
        <v>45131.281809999993</v>
      </c>
      <c r="AB12" s="151">
        <v>40420.831400000003</v>
      </c>
      <c r="AC12" s="151">
        <v>40364.991280000002</v>
      </c>
      <c r="AD12" s="151">
        <v>42247.436179999997</v>
      </c>
      <c r="AE12" s="151">
        <v>40313.929230000002</v>
      </c>
      <c r="AF12" s="151">
        <v>45423.535900000003</v>
      </c>
      <c r="AG12" s="151">
        <v>51908.40365</v>
      </c>
      <c r="AH12" s="151">
        <v>47058.772660000002</v>
      </c>
      <c r="AI12" s="151">
        <v>46054.726649999997</v>
      </c>
      <c r="AJ12" s="151">
        <v>49826.060429999998</v>
      </c>
      <c r="AK12" s="151">
        <v>55413.704060000004</v>
      </c>
      <c r="AL12" s="162">
        <v>63415.093359999999</v>
      </c>
      <c r="AM12" s="151">
        <v>62636.497799999997</v>
      </c>
      <c r="AN12" s="151">
        <v>59646.069289999999</v>
      </c>
      <c r="AO12" s="151">
        <v>61496.979030000002</v>
      </c>
      <c r="AP12" s="151">
        <v>56358.997860000003</v>
      </c>
      <c r="AQ12" s="151">
        <v>54514.438860000002</v>
      </c>
      <c r="AR12" s="151">
        <v>57167.063860000002</v>
      </c>
      <c r="AS12" s="151">
        <v>59608.612290000005</v>
      </c>
      <c r="AT12" s="151">
        <v>51253.413710000001</v>
      </c>
      <c r="AU12" s="151">
        <v>49719.319210000001</v>
      </c>
      <c r="AV12" s="151">
        <v>52593.290289999997</v>
      </c>
      <c r="AW12" s="163">
        <v>49650.450580000004</v>
      </c>
      <c r="AX12" s="151">
        <v>49085.630109999998</v>
      </c>
      <c r="AY12" s="151">
        <v>46461.443039999998</v>
      </c>
      <c r="AZ12" s="151">
        <v>52407.540379999999</v>
      </c>
      <c r="BA12" s="151">
        <v>49117.392580000007</v>
      </c>
      <c r="BB12" s="151">
        <v>46367.244899999998</v>
      </c>
      <c r="BC12" s="151">
        <v>46475.536359999998</v>
      </c>
      <c r="BD12" s="151">
        <v>55471.323049999999</v>
      </c>
      <c r="BE12" s="151">
        <v>57965.459400000007</v>
      </c>
      <c r="BF12" s="151">
        <v>48866.767099999997</v>
      </c>
      <c r="BG12" s="151">
        <v>49474.489410000002</v>
      </c>
      <c r="BH12" s="151">
        <v>60017.253410000005</v>
      </c>
      <c r="BI12" s="163">
        <v>59860.242079999996</v>
      </c>
      <c r="BJ12" s="162">
        <v>61978.044990000002</v>
      </c>
      <c r="BK12" s="151">
        <v>60281</v>
      </c>
      <c r="BL12" s="151">
        <v>55965</v>
      </c>
      <c r="BM12" s="151">
        <v>57022</v>
      </c>
      <c r="BN12" s="151">
        <v>64119</v>
      </c>
      <c r="BO12" s="151">
        <v>72097</v>
      </c>
      <c r="BP12" s="151">
        <v>74492</v>
      </c>
      <c r="BQ12" s="151">
        <v>75996.486439999993</v>
      </c>
      <c r="BR12" s="151">
        <v>75742</v>
      </c>
      <c r="BS12" s="151">
        <v>80526.399999999994</v>
      </c>
      <c r="BT12" s="151">
        <v>78886</v>
      </c>
      <c r="BU12" s="163">
        <v>88437</v>
      </c>
      <c r="BV12" s="115"/>
      <c r="BW12" s="184">
        <f t="shared" si="6"/>
        <v>12.107344776005879</v>
      </c>
      <c r="BX12" s="184">
        <f t="shared" si="7"/>
        <v>47.739128555158025</v>
      </c>
      <c r="BZ12" s="208">
        <f t="shared" si="8"/>
        <v>7.5130700940887557E-2</v>
      </c>
      <c r="CB12" s="138"/>
      <c r="CD12" s="138" t="s">
        <v>307</v>
      </c>
      <c r="CE12" s="208">
        <f>BZ34</f>
        <v>0.17458338035201232</v>
      </c>
    </row>
    <row r="13" spans="1:157" ht="15" customHeight="1" x14ac:dyDescent="0.25">
      <c r="A13" s="402" t="s">
        <v>489</v>
      </c>
      <c r="B13" s="162">
        <v>36854.764889999999</v>
      </c>
      <c r="C13" s="151">
        <v>39240.913059999999</v>
      </c>
      <c r="D13" s="151">
        <v>31703.201730000001</v>
      </c>
      <c r="E13" s="151">
        <v>32210.30486</v>
      </c>
      <c r="F13" s="151">
        <v>34130.252590000004</v>
      </c>
      <c r="G13" s="151">
        <v>27071.817469999998</v>
      </c>
      <c r="H13" s="151">
        <v>37727.820110000001</v>
      </c>
      <c r="I13" s="151">
        <v>35837.607950000005</v>
      </c>
      <c r="J13" s="151">
        <v>52938.108979999997</v>
      </c>
      <c r="K13" s="151">
        <v>57796.014289999999</v>
      </c>
      <c r="L13" s="151">
        <v>50872.24667</v>
      </c>
      <c r="M13" s="163">
        <v>71194.860050000003</v>
      </c>
      <c r="N13" s="151">
        <v>65007.340409999997</v>
      </c>
      <c r="O13" s="151">
        <v>53044.957020000002</v>
      </c>
      <c r="P13" s="151">
        <v>54285.708259999999</v>
      </c>
      <c r="Q13" s="151">
        <v>52673.26483</v>
      </c>
      <c r="R13" s="151">
        <v>55610.690840000003</v>
      </c>
      <c r="S13" s="151">
        <v>47847.981749999999</v>
      </c>
      <c r="T13" s="151">
        <v>57204.170979999995</v>
      </c>
      <c r="U13" s="151">
        <v>53713.674859999999</v>
      </c>
      <c r="V13" s="151">
        <v>49236.407670000001</v>
      </c>
      <c r="W13" s="151">
        <v>63958.453240000003</v>
      </c>
      <c r="X13" s="151">
        <v>57135.960749999998</v>
      </c>
      <c r="Y13" s="151">
        <v>52923.024640000003</v>
      </c>
      <c r="Z13" s="162">
        <v>54227.470430000001</v>
      </c>
      <c r="AA13" s="151">
        <v>60802.538119999997</v>
      </c>
      <c r="AB13" s="151">
        <v>57633.342680000002</v>
      </c>
      <c r="AC13" s="151">
        <v>54653.536890000003</v>
      </c>
      <c r="AD13" s="151">
        <v>58597.808619999996</v>
      </c>
      <c r="AE13" s="151">
        <v>70322.352549999996</v>
      </c>
      <c r="AF13" s="151">
        <v>64273.256299999994</v>
      </c>
      <c r="AG13" s="151">
        <v>61086.737409999994</v>
      </c>
      <c r="AH13" s="151">
        <v>51858.731549999997</v>
      </c>
      <c r="AI13" s="151">
        <v>61413.565430000002</v>
      </c>
      <c r="AJ13" s="151">
        <v>59069.136189999997</v>
      </c>
      <c r="AK13" s="151">
        <v>59454.88222</v>
      </c>
      <c r="AL13" s="162">
        <v>52509.776090000007</v>
      </c>
      <c r="AM13" s="151">
        <v>54809.697289999996</v>
      </c>
      <c r="AN13" s="151">
        <v>56134.591690000001</v>
      </c>
      <c r="AO13" s="151">
        <v>60268.547829999996</v>
      </c>
      <c r="AP13" s="151">
        <v>64104.71387</v>
      </c>
      <c r="AQ13" s="151">
        <v>58959.499459999999</v>
      </c>
      <c r="AR13" s="151">
        <v>56765.348090000007</v>
      </c>
      <c r="AS13" s="151">
        <v>54849.596749999997</v>
      </c>
      <c r="AT13" s="151">
        <v>59382.484850000001</v>
      </c>
      <c r="AU13" s="151">
        <v>55734.363270000002</v>
      </c>
      <c r="AV13" s="151">
        <v>59908.224999999999</v>
      </c>
      <c r="AW13" s="163">
        <v>57766.799909999994</v>
      </c>
      <c r="AX13" s="151">
        <v>64656.266920000002</v>
      </c>
      <c r="AY13" s="151">
        <v>60713.111079999995</v>
      </c>
      <c r="AZ13" s="151">
        <v>60969.287020000003</v>
      </c>
      <c r="BA13" s="151">
        <v>52665.65137</v>
      </c>
      <c r="BB13" s="151">
        <v>61455.188979999999</v>
      </c>
      <c r="BC13" s="151">
        <v>57057.211779999998</v>
      </c>
      <c r="BD13" s="151">
        <v>64721.77867</v>
      </c>
      <c r="BE13" s="151">
        <v>65542.839569999996</v>
      </c>
      <c r="BF13" s="151">
        <v>88628.49126000001</v>
      </c>
      <c r="BG13" s="151">
        <v>74509.779810000007</v>
      </c>
      <c r="BH13" s="151">
        <v>74204.23315</v>
      </c>
      <c r="BI13" s="163">
        <v>77338.05737000001</v>
      </c>
      <c r="BJ13" s="162">
        <v>75919.299440000003</v>
      </c>
      <c r="BK13" s="151">
        <v>77022</v>
      </c>
      <c r="BL13" s="151">
        <v>73155</v>
      </c>
      <c r="BM13" s="151">
        <v>72324</v>
      </c>
      <c r="BN13" s="151">
        <v>92101</v>
      </c>
      <c r="BO13" s="151">
        <v>97748</v>
      </c>
      <c r="BP13" s="151">
        <v>100039</v>
      </c>
      <c r="BQ13" s="151">
        <v>95335.847139999998</v>
      </c>
      <c r="BR13" s="151">
        <v>97670</v>
      </c>
      <c r="BS13" s="151">
        <v>97247.4</v>
      </c>
      <c r="BT13" s="151">
        <v>91293</v>
      </c>
      <c r="BU13" s="163">
        <v>91345</v>
      </c>
      <c r="BV13" s="115"/>
      <c r="BW13" s="184">
        <f t="shared" si="6"/>
        <v>5.6959460199568213E-2</v>
      </c>
      <c r="BX13" s="184">
        <f t="shared" si="7"/>
        <v>18.111319454260546</v>
      </c>
      <c r="BZ13" s="208">
        <f t="shared" si="8"/>
        <v>9.2030495359907483E-2</v>
      </c>
      <c r="CB13" s="138"/>
      <c r="CD13" s="138" t="s">
        <v>321</v>
      </c>
      <c r="CE13" s="208">
        <f>BZ12</f>
        <v>7.5130700940887557E-2</v>
      </c>
    </row>
    <row r="14" spans="1:157" ht="15" customHeight="1" x14ac:dyDescent="0.25">
      <c r="A14" s="402" t="s">
        <v>490</v>
      </c>
      <c r="B14" s="162">
        <v>11478.835849999999</v>
      </c>
      <c r="C14" s="151">
        <v>11573.512130000001</v>
      </c>
      <c r="D14" s="151">
        <v>11319.751109999999</v>
      </c>
      <c r="E14" s="151">
        <v>11202.51022</v>
      </c>
      <c r="F14" s="151">
        <v>10704.926160000001</v>
      </c>
      <c r="G14" s="151">
        <v>10783.871290000001</v>
      </c>
      <c r="H14" s="151">
        <v>11631.936769999998</v>
      </c>
      <c r="I14" s="151">
        <v>11095.3333</v>
      </c>
      <c r="J14" s="151">
        <v>10338.994619999999</v>
      </c>
      <c r="K14" s="151">
        <v>10891.931399999999</v>
      </c>
      <c r="L14" s="151">
        <v>11108.593419999999</v>
      </c>
      <c r="M14" s="163">
        <v>10805.96161</v>
      </c>
      <c r="N14" s="151">
        <v>11426.318389999999</v>
      </c>
      <c r="O14" s="151">
        <v>10866.445819999999</v>
      </c>
      <c r="P14" s="151">
        <v>9874.7063799999996</v>
      </c>
      <c r="Q14" s="151">
        <v>11581.37335</v>
      </c>
      <c r="R14" s="151">
        <v>12499.453890000001</v>
      </c>
      <c r="S14" s="151">
        <v>12620.954009999999</v>
      </c>
      <c r="T14" s="151">
        <v>13194.238790000001</v>
      </c>
      <c r="U14" s="151">
        <v>10427.65698</v>
      </c>
      <c r="V14" s="151">
        <v>10047.530769999999</v>
      </c>
      <c r="W14" s="151">
        <v>9793.2886599999983</v>
      </c>
      <c r="X14" s="151">
        <v>10326.242920000001</v>
      </c>
      <c r="Y14" s="151">
        <v>9915.7390599999999</v>
      </c>
      <c r="Z14" s="162">
        <v>10687.94859</v>
      </c>
      <c r="AA14" s="151">
        <v>10022.71695</v>
      </c>
      <c r="AB14" s="151">
        <v>10220.62334</v>
      </c>
      <c r="AC14" s="151">
        <v>9962.5777500000004</v>
      </c>
      <c r="AD14" s="151">
        <v>10212.0203</v>
      </c>
      <c r="AE14" s="151">
        <v>10468.320540000001</v>
      </c>
      <c r="AF14" s="151">
        <v>10965.55543</v>
      </c>
      <c r="AG14" s="151">
        <v>10851.363890000001</v>
      </c>
      <c r="AH14" s="151">
        <v>10572.667399999998</v>
      </c>
      <c r="AI14" s="151">
        <v>10486.336370000001</v>
      </c>
      <c r="AJ14" s="151">
        <v>10944.8773</v>
      </c>
      <c r="AK14" s="151">
        <v>10966.948340000001</v>
      </c>
      <c r="AL14" s="162">
        <v>11161.75484</v>
      </c>
      <c r="AM14" s="151">
        <v>10655.360649999999</v>
      </c>
      <c r="AN14" s="151">
        <v>10798.15113</v>
      </c>
      <c r="AO14" s="151">
        <v>11066.69721</v>
      </c>
      <c r="AP14" s="151">
        <v>11734.374319999999</v>
      </c>
      <c r="AQ14" s="151">
        <v>11517.802299999999</v>
      </c>
      <c r="AR14" s="151">
        <v>11889.51125</v>
      </c>
      <c r="AS14" s="151">
        <v>12253.92476</v>
      </c>
      <c r="AT14" s="151">
        <v>11932.085350000001</v>
      </c>
      <c r="AU14" s="151">
        <v>12687.884730000002</v>
      </c>
      <c r="AV14" s="151">
        <v>11889.798409999999</v>
      </c>
      <c r="AW14" s="163">
        <v>11728.41941</v>
      </c>
      <c r="AX14" s="151">
        <v>12291.323270000001</v>
      </c>
      <c r="AY14" s="151">
        <v>11705.7068</v>
      </c>
      <c r="AZ14" s="151">
        <v>11966.970789999999</v>
      </c>
      <c r="BA14" s="151">
        <v>11778.03052</v>
      </c>
      <c r="BB14" s="151">
        <v>10315.5535</v>
      </c>
      <c r="BC14" s="151">
        <v>10427.233270000001</v>
      </c>
      <c r="BD14" s="151">
        <v>10663.659090000001</v>
      </c>
      <c r="BE14" s="151">
        <v>10707.654729999998</v>
      </c>
      <c r="BF14" s="151">
        <v>11002.98475</v>
      </c>
      <c r="BG14" s="151">
        <v>10711.613939999999</v>
      </c>
      <c r="BH14" s="151">
        <v>10596.423369999999</v>
      </c>
      <c r="BI14" s="163">
        <v>11039.66582</v>
      </c>
      <c r="BJ14" s="162">
        <v>11844.032859999999</v>
      </c>
      <c r="BK14" s="151">
        <v>11640</v>
      </c>
      <c r="BL14" s="151">
        <v>10974</v>
      </c>
      <c r="BM14" s="151">
        <v>10596</v>
      </c>
      <c r="BN14" s="151">
        <v>11542</v>
      </c>
      <c r="BO14" s="151">
        <v>11716</v>
      </c>
      <c r="BP14" s="151">
        <v>12582</v>
      </c>
      <c r="BQ14" s="151">
        <v>13211.671179999999</v>
      </c>
      <c r="BR14" s="151">
        <v>13784</v>
      </c>
      <c r="BS14" s="151">
        <v>13949</v>
      </c>
      <c r="BT14" s="151">
        <v>14560</v>
      </c>
      <c r="BU14" s="163">
        <v>14430</v>
      </c>
      <c r="BV14" s="115"/>
      <c r="BW14" s="184">
        <f t="shared" si="6"/>
        <v>-0.89285714285713969</v>
      </c>
      <c r="BX14" s="184">
        <f t="shared" si="7"/>
        <v>30.710478335837887</v>
      </c>
      <c r="BZ14" s="208">
        <f t="shared" si="8"/>
        <v>1.4357511452358335E-2</v>
      </c>
      <c r="CB14" s="138"/>
      <c r="CD14" s="138" t="s">
        <v>617</v>
      </c>
      <c r="CE14" s="208">
        <f>BZ13</f>
        <v>9.2030495359907483E-2</v>
      </c>
    </row>
    <row r="15" spans="1:157" ht="15" customHeight="1" x14ac:dyDescent="0.25">
      <c r="A15" s="402" t="s">
        <v>491</v>
      </c>
      <c r="B15" s="162">
        <v>1688.8567599999999</v>
      </c>
      <c r="C15" s="151">
        <v>1695.80629</v>
      </c>
      <c r="D15" s="151">
        <v>1627.8613399999999</v>
      </c>
      <c r="E15" s="151">
        <v>1579.69964</v>
      </c>
      <c r="F15" s="151">
        <v>1613.5672799999998</v>
      </c>
      <c r="G15" s="151">
        <v>1621.3897100000002</v>
      </c>
      <c r="H15" s="151">
        <v>1581.77639</v>
      </c>
      <c r="I15" s="151">
        <v>1436.0657799999999</v>
      </c>
      <c r="J15" s="151">
        <v>1379.6675</v>
      </c>
      <c r="K15" s="151">
        <v>1326.2039500000001</v>
      </c>
      <c r="L15" s="151">
        <v>1394.8802800000001</v>
      </c>
      <c r="M15" s="163">
        <v>1430.0375300000001</v>
      </c>
      <c r="N15" s="151">
        <v>1321.34719</v>
      </c>
      <c r="O15" s="151">
        <v>1257.68094</v>
      </c>
      <c r="P15" s="151">
        <v>1230.1324300000001</v>
      </c>
      <c r="Q15" s="151">
        <v>1193.82257</v>
      </c>
      <c r="R15" s="151">
        <v>1253.0948100000001</v>
      </c>
      <c r="S15" s="151">
        <v>1224.6982700000001</v>
      </c>
      <c r="T15" s="151">
        <v>1223.0395200000003</v>
      </c>
      <c r="U15" s="151">
        <v>1047.1335799999999</v>
      </c>
      <c r="V15" s="151">
        <v>1001.7407700000001</v>
      </c>
      <c r="W15" s="151">
        <v>1030.7951700000001</v>
      </c>
      <c r="X15" s="151">
        <v>1060.74189</v>
      </c>
      <c r="Y15" s="151">
        <v>1043.2589599999999</v>
      </c>
      <c r="Z15" s="162">
        <v>966.34303</v>
      </c>
      <c r="AA15" s="151">
        <v>978.94921999999997</v>
      </c>
      <c r="AB15" s="151">
        <v>949.64076999999997</v>
      </c>
      <c r="AC15" s="151">
        <v>901.36412999999993</v>
      </c>
      <c r="AD15" s="151">
        <v>892.14541999999994</v>
      </c>
      <c r="AE15" s="151">
        <v>878.28335000000004</v>
      </c>
      <c r="AF15" s="151">
        <v>856.41179</v>
      </c>
      <c r="AG15" s="151">
        <v>834.60460000000012</v>
      </c>
      <c r="AH15" s="151">
        <v>806.97924999999998</v>
      </c>
      <c r="AI15" s="151">
        <v>801.64134999999999</v>
      </c>
      <c r="AJ15" s="151">
        <v>868.29413999999997</v>
      </c>
      <c r="AK15" s="151">
        <v>868.43024000000003</v>
      </c>
      <c r="AL15" s="162">
        <v>922.04843000000005</v>
      </c>
      <c r="AM15" s="151">
        <v>987.40067999999997</v>
      </c>
      <c r="AN15" s="151">
        <v>936.22695999999996</v>
      </c>
      <c r="AO15" s="151">
        <v>1083.25827</v>
      </c>
      <c r="AP15" s="151">
        <v>1022.05303</v>
      </c>
      <c r="AQ15" s="151">
        <v>1047.2907299999999</v>
      </c>
      <c r="AR15" s="151">
        <v>1041.4650799999999</v>
      </c>
      <c r="AS15" s="151">
        <v>1038.5663200000001</v>
      </c>
      <c r="AT15" s="151">
        <v>1043.45207</v>
      </c>
      <c r="AU15" s="151">
        <v>1019.72257</v>
      </c>
      <c r="AV15" s="151">
        <v>1013.5707199999999</v>
      </c>
      <c r="AW15" s="163">
        <v>1019.6013799999999</v>
      </c>
      <c r="AX15" s="151">
        <v>985.53629000000001</v>
      </c>
      <c r="AY15" s="151">
        <v>918.68040999999994</v>
      </c>
      <c r="AZ15" s="151">
        <v>932.50873999999999</v>
      </c>
      <c r="BA15" s="151">
        <v>908.91269</v>
      </c>
      <c r="BB15" s="151">
        <v>953.75095999999985</v>
      </c>
      <c r="BC15" s="151">
        <v>1028.8915999999999</v>
      </c>
      <c r="BD15" s="151">
        <v>1015.0687399999999</v>
      </c>
      <c r="BE15" s="151">
        <v>990.55737999999997</v>
      </c>
      <c r="BF15" s="151">
        <v>940.66178000000002</v>
      </c>
      <c r="BG15" s="151">
        <v>987.53885000000002</v>
      </c>
      <c r="BH15" s="151">
        <v>1191.1528700000001</v>
      </c>
      <c r="BI15" s="163">
        <v>1191.1528700000001</v>
      </c>
      <c r="BJ15" s="162">
        <v>1184.89878</v>
      </c>
      <c r="BK15" s="151">
        <v>1189</v>
      </c>
      <c r="BL15" s="151">
        <v>1171</v>
      </c>
      <c r="BM15" s="151">
        <v>1116</v>
      </c>
      <c r="BN15" s="151">
        <v>1162</v>
      </c>
      <c r="BO15" s="151">
        <v>1155</v>
      </c>
      <c r="BP15" s="151">
        <v>1194</v>
      </c>
      <c r="BQ15" s="151">
        <v>1373.52127</v>
      </c>
      <c r="BR15" s="151">
        <v>1801</v>
      </c>
      <c r="BS15" s="151">
        <v>1162</v>
      </c>
      <c r="BT15" s="151">
        <v>1182</v>
      </c>
      <c r="BU15" s="163">
        <v>1172</v>
      </c>
      <c r="BV15" s="115"/>
      <c r="BW15" s="184">
        <f t="shared" si="6"/>
        <v>-0.84602368866327771</v>
      </c>
      <c r="BX15" s="184">
        <f t="shared" si="7"/>
        <v>-1.6079271168611742</v>
      </c>
      <c r="BZ15" s="208">
        <f t="shared" si="8"/>
        <v>1.4363517903761894E-3</v>
      </c>
      <c r="CB15" s="138"/>
      <c r="CD15" s="138"/>
      <c r="CE15" s="208">
        <f>SUM(CE10:CE14)</f>
        <v>0.821735376834968</v>
      </c>
    </row>
    <row r="16" spans="1:157" ht="15" customHeight="1" x14ac:dyDescent="0.25">
      <c r="A16" s="402" t="s">
        <v>492</v>
      </c>
      <c r="B16" s="162">
        <v>701.62688000000003</v>
      </c>
      <c r="C16" s="151">
        <v>533.61374000000001</v>
      </c>
      <c r="D16" s="151">
        <v>552.08114</v>
      </c>
      <c r="E16" s="151">
        <v>427.68864000000002</v>
      </c>
      <c r="F16" s="151">
        <v>617.70641000000001</v>
      </c>
      <c r="G16" s="151">
        <v>553.27092000000005</v>
      </c>
      <c r="H16" s="151">
        <v>526.13758999999993</v>
      </c>
      <c r="I16" s="151">
        <v>567.77556000000004</v>
      </c>
      <c r="J16" s="151">
        <v>557.66449</v>
      </c>
      <c r="K16" s="151">
        <v>551.75198999999998</v>
      </c>
      <c r="L16" s="151">
        <v>657.10099000000002</v>
      </c>
      <c r="M16" s="163">
        <v>693.78496999999993</v>
      </c>
      <c r="N16" s="151">
        <v>988.30219</v>
      </c>
      <c r="O16" s="151">
        <v>875.49956999999995</v>
      </c>
      <c r="P16" s="151">
        <v>807.50843999999995</v>
      </c>
      <c r="Q16" s="151">
        <v>930.87533999999994</v>
      </c>
      <c r="R16" s="151">
        <v>881.11788999999999</v>
      </c>
      <c r="S16" s="151">
        <v>977.42901000000006</v>
      </c>
      <c r="T16" s="151">
        <v>1097.9804099999999</v>
      </c>
      <c r="U16" s="151">
        <v>1005.17499</v>
      </c>
      <c r="V16" s="151">
        <v>1406.54204</v>
      </c>
      <c r="W16" s="151">
        <v>1426.0758600000001</v>
      </c>
      <c r="X16" s="151">
        <v>919.41345999999999</v>
      </c>
      <c r="Y16" s="151">
        <v>969.54919999999993</v>
      </c>
      <c r="Z16" s="162">
        <v>878.64000999999996</v>
      </c>
      <c r="AA16" s="151">
        <v>1432.7456100000002</v>
      </c>
      <c r="AB16" s="151">
        <v>909.29481999999996</v>
      </c>
      <c r="AC16" s="151">
        <v>1462.54143</v>
      </c>
      <c r="AD16" s="151">
        <v>1007.1570300000001</v>
      </c>
      <c r="AE16" s="151">
        <v>707.44443999999999</v>
      </c>
      <c r="AF16" s="151">
        <v>826.72491000000002</v>
      </c>
      <c r="AG16" s="151">
        <v>773.46392000000003</v>
      </c>
      <c r="AH16" s="151">
        <v>952.71322999999995</v>
      </c>
      <c r="AI16" s="151">
        <v>1221.2778899999998</v>
      </c>
      <c r="AJ16" s="151">
        <v>921.86408999999992</v>
      </c>
      <c r="AK16" s="151">
        <v>966.21511999999996</v>
      </c>
      <c r="AL16" s="162">
        <v>883.42345</v>
      </c>
      <c r="AM16" s="151">
        <v>1134.26325</v>
      </c>
      <c r="AN16" s="151">
        <v>1288.50017</v>
      </c>
      <c r="AO16" s="151">
        <v>1268.5852299999999</v>
      </c>
      <c r="AP16" s="151">
        <v>1246.22678</v>
      </c>
      <c r="AQ16" s="151">
        <v>1153.09519</v>
      </c>
      <c r="AR16" s="151">
        <v>1487.4074699999999</v>
      </c>
      <c r="AS16" s="151">
        <v>1253.71009</v>
      </c>
      <c r="AT16" s="151">
        <v>1603.49935</v>
      </c>
      <c r="AU16" s="151">
        <v>1288.24558</v>
      </c>
      <c r="AV16" s="151">
        <v>1277.4816000000001</v>
      </c>
      <c r="AW16" s="163">
        <v>1382.0475300000001</v>
      </c>
      <c r="AX16" s="151">
        <v>1256.2576100000001</v>
      </c>
      <c r="AY16" s="151">
        <v>1120.6290100000001</v>
      </c>
      <c r="AZ16" s="151">
        <v>1200.99368</v>
      </c>
      <c r="BA16" s="151">
        <v>1222.48938</v>
      </c>
      <c r="BB16" s="151">
        <v>1483.58727</v>
      </c>
      <c r="BC16" s="151">
        <v>1587.9265500000001</v>
      </c>
      <c r="BD16" s="151">
        <v>1220.7168200000001</v>
      </c>
      <c r="BE16" s="151">
        <v>973.73595</v>
      </c>
      <c r="BF16" s="151">
        <v>1120.36742</v>
      </c>
      <c r="BG16" s="151">
        <v>1586.9321699999998</v>
      </c>
      <c r="BH16" s="151">
        <v>2034.7375200000001</v>
      </c>
      <c r="BI16" s="163">
        <v>1980.5330300000001</v>
      </c>
      <c r="BJ16" s="162">
        <v>1815.3803400000002</v>
      </c>
      <c r="BK16" s="151">
        <v>1713</v>
      </c>
      <c r="BL16" s="151">
        <v>1284</v>
      </c>
      <c r="BM16" s="151">
        <v>1311</v>
      </c>
      <c r="BN16" s="151">
        <v>1391</v>
      </c>
      <c r="BO16" s="151">
        <v>1550</v>
      </c>
      <c r="BP16" s="151">
        <v>1622</v>
      </c>
      <c r="BQ16" s="151">
        <v>1882.6125</v>
      </c>
      <c r="BR16" s="151">
        <v>1978</v>
      </c>
      <c r="BS16" s="151">
        <v>2342</v>
      </c>
      <c r="BT16" s="151">
        <v>2072</v>
      </c>
      <c r="BU16" s="163">
        <v>2018</v>
      </c>
      <c r="BV16" s="115"/>
      <c r="BW16" s="184">
        <f t="shared" si="6"/>
        <v>-2.6061776061776065</v>
      </c>
      <c r="BX16" s="184">
        <f t="shared" si="7"/>
        <v>1.891761936431835</v>
      </c>
      <c r="BZ16" s="208">
        <f t="shared" si="8"/>
        <v>2.2006308433980626E-3</v>
      </c>
      <c r="CB16" s="138"/>
      <c r="CD16" s="138"/>
      <c r="CE16" s="208"/>
    </row>
    <row r="17" spans="1:157" ht="15" customHeight="1" x14ac:dyDescent="0.25">
      <c r="A17" s="402" t="s">
        <v>493</v>
      </c>
      <c r="B17" s="162">
        <v>10503.923480000001</v>
      </c>
      <c r="C17" s="151">
        <v>13084.372449999999</v>
      </c>
      <c r="D17" s="151">
        <v>11630.814550000001</v>
      </c>
      <c r="E17" s="151">
        <v>11487.11974</v>
      </c>
      <c r="F17" s="151">
        <v>11467.096750000001</v>
      </c>
      <c r="G17" s="151">
        <v>12389.667589999999</v>
      </c>
      <c r="H17" s="151">
        <v>11563.058710000001</v>
      </c>
      <c r="I17" s="151">
        <v>15852.09261</v>
      </c>
      <c r="J17" s="151">
        <v>15078.37068</v>
      </c>
      <c r="K17" s="151">
        <v>17653.516469999999</v>
      </c>
      <c r="L17" s="151">
        <v>18037.823100000001</v>
      </c>
      <c r="M17" s="163">
        <v>17495.59906</v>
      </c>
      <c r="N17" s="151">
        <v>16835.272820000002</v>
      </c>
      <c r="O17" s="151">
        <v>15004.63473</v>
      </c>
      <c r="P17" s="151">
        <v>14330.27893</v>
      </c>
      <c r="Q17" s="151">
        <v>14789.555039999999</v>
      </c>
      <c r="R17" s="151">
        <v>14556.31925</v>
      </c>
      <c r="S17" s="151">
        <v>14225.14659</v>
      </c>
      <c r="T17" s="151">
        <v>13900.221869999999</v>
      </c>
      <c r="U17" s="151">
        <v>22584.113079999999</v>
      </c>
      <c r="V17" s="151">
        <v>22474.912209999999</v>
      </c>
      <c r="W17" s="151">
        <v>21925.516599999999</v>
      </c>
      <c r="X17" s="151">
        <v>12019.29875</v>
      </c>
      <c r="Y17" s="151">
        <v>12194.35698</v>
      </c>
      <c r="Z17" s="162">
        <v>11537.626609999999</v>
      </c>
      <c r="AA17" s="151">
        <v>11403.343369999999</v>
      </c>
      <c r="AB17" s="151">
        <v>11805.54232</v>
      </c>
      <c r="AC17" s="151">
        <v>11039.993349999999</v>
      </c>
      <c r="AD17" s="151">
        <v>11844.264650000001</v>
      </c>
      <c r="AE17" s="151">
        <v>11820.419699999999</v>
      </c>
      <c r="AF17" s="151">
        <v>12029.75986</v>
      </c>
      <c r="AG17" s="151">
        <v>11029.582199999999</v>
      </c>
      <c r="AH17" s="151">
        <v>11643.84024</v>
      </c>
      <c r="AI17" s="151">
        <v>10849.044599999999</v>
      </c>
      <c r="AJ17" s="151">
        <v>11077.590910000001</v>
      </c>
      <c r="AK17" s="151">
        <v>11132.028109999999</v>
      </c>
      <c r="AL17" s="162">
        <v>10590.679470000001</v>
      </c>
      <c r="AM17" s="151">
        <v>9868.4678499999991</v>
      </c>
      <c r="AN17" s="151">
        <v>10305.821960000001</v>
      </c>
      <c r="AO17" s="151">
        <v>11342.730680000001</v>
      </c>
      <c r="AP17" s="151">
        <v>10382.349029999999</v>
      </c>
      <c r="AQ17" s="151">
        <v>11144.8536</v>
      </c>
      <c r="AR17" s="151">
        <v>9810.5316600000006</v>
      </c>
      <c r="AS17" s="151">
        <v>13269.154710000001</v>
      </c>
      <c r="AT17" s="151">
        <v>13558.69975</v>
      </c>
      <c r="AU17" s="151">
        <v>14048.436019999999</v>
      </c>
      <c r="AV17" s="151">
        <v>14334.369339999999</v>
      </c>
      <c r="AW17" s="163">
        <v>15006.797210000001</v>
      </c>
      <c r="AX17" s="151">
        <v>14352.22257</v>
      </c>
      <c r="AY17" s="151">
        <v>14806.171859999999</v>
      </c>
      <c r="AZ17" s="151">
        <v>17132.262420000003</v>
      </c>
      <c r="BA17" s="151">
        <v>16909.273390000002</v>
      </c>
      <c r="BB17" s="151">
        <v>12419.830820000001</v>
      </c>
      <c r="BC17" s="151">
        <v>23555.302299999999</v>
      </c>
      <c r="BD17" s="151">
        <v>22806.14071</v>
      </c>
      <c r="BE17" s="151">
        <v>24445.040440000001</v>
      </c>
      <c r="BF17" s="151">
        <v>23581.154449999998</v>
      </c>
      <c r="BG17" s="151">
        <v>21373.28557</v>
      </c>
      <c r="BH17" s="151">
        <v>24106.489739999997</v>
      </c>
      <c r="BI17" s="163">
        <v>21970.070489999998</v>
      </c>
      <c r="BJ17" s="162">
        <v>22442.501629999999</v>
      </c>
      <c r="BK17" s="151">
        <v>22356</v>
      </c>
      <c r="BL17" s="151">
        <v>21980</v>
      </c>
      <c r="BM17" s="151">
        <v>21960</v>
      </c>
      <c r="BN17" s="151">
        <v>22880</v>
      </c>
      <c r="BO17" s="151">
        <v>22359</v>
      </c>
      <c r="BP17" s="151">
        <v>32135</v>
      </c>
      <c r="BQ17" s="151">
        <v>32014.966710000001</v>
      </c>
      <c r="BR17" s="151">
        <v>32075.5</v>
      </c>
      <c r="BS17" s="151">
        <v>33567</v>
      </c>
      <c r="BT17" s="151">
        <v>36723</v>
      </c>
      <c r="BU17" s="163">
        <v>35450</v>
      </c>
      <c r="BV17" s="115"/>
      <c r="BW17" s="184">
        <f t="shared" si="6"/>
        <v>-3.4664923889660471</v>
      </c>
      <c r="BX17" s="184">
        <f t="shared" si="7"/>
        <v>61.355877379344733</v>
      </c>
      <c r="BZ17" s="208">
        <f t="shared" si="8"/>
        <v>2.7205131730130609E-2</v>
      </c>
      <c r="CB17" s="138"/>
      <c r="CD17" s="138"/>
      <c r="CE17" s="208"/>
    </row>
    <row r="18" spans="1:157" ht="15" customHeight="1" x14ac:dyDescent="0.25">
      <c r="A18" s="402" t="s">
        <v>494</v>
      </c>
      <c r="B18" s="162">
        <v>1484.0545300000001</v>
      </c>
      <c r="C18" s="151">
        <v>1625.6425300000001</v>
      </c>
      <c r="D18" s="151">
        <v>1555.58305</v>
      </c>
      <c r="E18" s="151">
        <v>1541.23722</v>
      </c>
      <c r="F18" s="151">
        <v>1894.3929800000001</v>
      </c>
      <c r="G18" s="151">
        <v>1985.2055800000001</v>
      </c>
      <c r="H18" s="151">
        <v>2196.0221300000003</v>
      </c>
      <c r="I18" s="151">
        <v>2342.1537200000002</v>
      </c>
      <c r="J18" s="151">
        <v>2409.5235000000002</v>
      </c>
      <c r="K18" s="151">
        <v>2571.2832199999998</v>
      </c>
      <c r="L18" s="151">
        <v>3015.6141899999998</v>
      </c>
      <c r="M18" s="163">
        <v>3034.2412900000004</v>
      </c>
      <c r="N18" s="151">
        <v>2910.3425200000001</v>
      </c>
      <c r="O18" s="151">
        <v>2870.7145699999996</v>
      </c>
      <c r="P18" s="151">
        <v>2869.8152400000004</v>
      </c>
      <c r="Q18" s="151">
        <v>2790.0908899999999</v>
      </c>
      <c r="R18" s="151">
        <v>3229.42607</v>
      </c>
      <c r="S18" s="151">
        <v>3239.70147</v>
      </c>
      <c r="T18" s="151">
        <v>3544.9633799999997</v>
      </c>
      <c r="U18" s="151">
        <v>3610.3751099999999</v>
      </c>
      <c r="V18" s="151">
        <v>3581.5410699999998</v>
      </c>
      <c r="W18" s="151">
        <v>3429.49611</v>
      </c>
      <c r="X18" s="151">
        <v>3801.1996899999999</v>
      </c>
      <c r="Y18" s="151">
        <v>4037.3185800000001</v>
      </c>
      <c r="Z18" s="162">
        <v>3764.3262</v>
      </c>
      <c r="AA18" s="151">
        <v>3764.3262</v>
      </c>
      <c r="AB18" s="151">
        <v>3582.1528499999999</v>
      </c>
      <c r="AC18" s="151">
        <v>3582.1528499999999</v>
      </c>
      <c r="AD18" s="151">
        <v>3154.9677200000001</v>
      </c>
      <c r="AE18" s="151">
        <v>3012.48929</v>
      </c>
      <c r="AF18" s="151">
        <v>3077.22712</v>
      </c>
      <c r="AG18" s="151">
        <v>3383.6557599999996</v>
      </c>
      <c r="AH18" s="151">
        <v>2872.2470600000001</v>
      </c>
      <c r="AI18" s="151">
        <v>2730.1080099999999</v>
      </c>
      <c r="AJ18" s="151">
        <v>3043.3739399999999</v>
      </c>
      <c r="AK18" s="151">
        <v>3092.4828199999997</v>
      </c>
      <c r="AL18" s="162">
        <v>3005.5308399999999</v>
      </c>
      <c r="AM18" s="151">
        <v>2997.3959</v>
      </c>
      <c r="AN18" s="151">
        <v>2981.7721900000001</v>
      </c>
      <c r="AO18" s="151">
        <v>2295.8140800000001</v>
      </c>
      <c r="AP18" s="151">
        <v>2705.1493799999998</v>
      </c>
      <c r="AQ18" s="151">
        <v>2669.5626200000002</v>
      </c>
      <c r="AR18" s="151">
        <v>2807.7451000000001</v>
      </c>
      <c r="AS18" s="151">
        <v>2798.72219</v>
      </c>
      <c r="AT18" s="151">
        <v>2849.3226400000003</v>
      </c>
      <c r="AU18" s="151">
        <v>2654.6395200000002</v>
      </c>
      <c r="AV18" s="151">
        <v>2998.6358100000002</v>
      </c>
      <c r="AW18" s="163">
        <v>2961.11402</v>
      </c>
      <c r="AX18" s="151">
        <v>2833.6170299999999</v>
      </c>
      <c r="AY18" s="151">
        <v>2778.3281499999998</v>
      </c>
      <c r="AZ18" s="151">
        <v>2790.3325099999997</v>
      </c>
      <c r="BA18" s="151">
        <v>2604.1487099999999</v>
      </c>
      <c r="BB18" s="151">
        <v>2779.4038700000001</v>
      </c>
      <c r="BC18" s="151">
        <v>2728.0690499999996</v>
      </c>
      <c r="BD18" s="151">
        <v>2780.1495199999999</v>
      </c>
      <c r="BE18" s="151">
        <v>2759.6710600000001</v>
      </c>
      <c r="BF18" s="151">
        <v>2571.2092699999998</v>
      </c>
      <c r="BG18" s="151">
        <v>2476.48531</v>
      </c>
      <c r="BH18" s="151">
        <v>2817.3456000000001</v>
      </c>
      <c r="BI18" s="163">
        <v>2968.1702400000004</v>
      </c>
      <c r="BJ18" s="162">
        <v>3025.00252</v>
      </c>
      <c r="BK18" s="151">
        <v>3023</v>
      </c>
      <c r="BL18" s="151">
        <v>3018</v>
      </c>
      <c r="BM18" s="151">
        <v>2962</v>
      </c>
      <c r="BN18" s="151">
        <v>3038</v>
      </c>
      <c r="BO18" s="151">
        <v>3125</v>
      </c>
      <c r="BP18" s="151">
        <v>3214</v>
      </c>
      <c r="BQ18" s="151">
        <v>3202.83601</v>
      </c>
      <c r="BR18" s="151">
        <v>2231</v>
      </c>
      <c r="BS18" s="151">
        <v>2398</v>
      </c>
      <c r="BT18" s="151">
        <v>2461</v>
      </c>
      <c r="BU18" s="163">
        <v>2252</v>
      </c>
      <c r="BV18" s="115"/>
      <c r="BW18" s="184">
        <f t="shared" si="6"/>
        <v>-8.4924827305973167</v>
      </c>
      <c r="BX18" s="184">
        <f t="shared" si="7"/>
        <v>-24.128341102159968</v>
      </c>
      <c r="BZ18" s="208">
        <f t="shared" si="8"/>
        <v>3.6669527041748532E-3</v>
      </c>
      <c r="CB18" s="138"/>
      <c r="CD18" s="138"/>
      <c r="CE18" s="208"/>
    </row>
    <row r="19" spans="1:157" ht="15" customHeight="1" x14ac:dyDescent="0.25">
      <c r="A19" s="402" t="s">
        <v>495</v>
      </c>
      <c r="B19" s="162">
        <v>20</v>
      </c>
      <c r="C19" s="151">
        <v>20</v>
      </c>
      <c r="D19" s="151">
        <v>20</v>
      </c>
      <c r="E19" s="151"/>
      <c r="F19" s="151">
        <v>40.299320000000002</v>
      </c>
      <c r="G19" s="151">
        <v>43.301019999999994</v>
      </c>
      <c r="H19" s="151">
        <v>55.802779999999998</v>
      </c>
      <c r="I19" s="151">
        <v>43.489820000000002</v>
      </c>
      <c r="J19" s="151">
        <v>44.358239999999995</v>
      </c>
      <c r="K19" s="151">
        <v>61.106989999999996</v>
      </c>
      <c r="L19" s="151">
        <v>61.344300000000004</v>
      </c>
      <c r="M19" s="163">
        <v>78.389649999999989</v>
      </c>
      <c r="N19" s="151">
        <v>78.53922</v>
      </c>
      <c r="O19" s="151">
        <v>81.577749999999995</v>
      </c>
      <c r="P19" s="151">
        <v>81.681380000000004</v>
      </c>
      <c r="Q19" s="151">
        <v>78.756270000000001</v>
      </c>
      <c r="R19" s="151">
        <v>93.259779999999992</v>
      </c>
      <c r="S19" s="151">
        <v>96.339799999999997</v>
      </c>
      <c r="T19" s="151">
        <v>118.50408</v>
      </c>
      <c r="U19" s="151">
        <v>125.72321000000001</v>
      </c>
      <c r="V19" s="151">
        <v>258.40737000000001</v>
      </c>
      <c r="W19" s="151">
        <v>238.44346999999999</v>
      </c>
      <c r="X19" s="151">
        <v>339.61205000000001</v>
      </c>
      <c r="Y19" s="151">
        <v>310.50344000000001</v>
      </c>
      <c r="Z19" s="162">
        <v>369.67028000000005</v>
      </c>
      <c r="AA19" s="151">
        <v>440.06594999999999</v>
      </c>
      <c r="AB19" s="151">
        <v>467.50359999999995</v>
      </c>
      <c r="AC19" s="151">
        <v>537.39986999999996</v>
      </c>
      <c r="AD19" s="151">
        <v>521.75711999999999</v>
      </c>
      <c r="AE19" s="151">
        <v>563.31886999999995</v>
      </c>
      <c r="AF19" s="151">
        <v>681.79029000000003</v>
      </c>
      <c r="AG19" s="151">
        <v>362.96897999999999</v>
      </c>
      <c r="AH19" s="151">
        <v>610.20525999999995</v>
      </c>
      <c r="AI19" s="151">
        <v>804.48057999999992</v>
      </c>
      <c r="AJ19" s="151">
        <v>851.31402000000003</v>
      </c>
      <c r="AK19" s="151">
        <v>886.97695999999996</v>
      </c>
      <c r="AL19" s="162">
        <v>902.19929000000002</v>
      </c>
      <c r="AM19" s="151">
        <v>900.99991</v>
      </c>
      <c r="AN19" s="151">
        <v>957.26896999999997</v>
      </c>
      <c r="AO19" s="151">
        <v>989.60559000000001</v>
      </c>
      <c r="AP19" s="151">
        <v>1137.95966</v>
      </c>
      <c r="AQ19" s="151">
        <v>1170.35607</v>
      </c>
      <c r="AR19" s="151">
        <v>1290.4513899999999</v>
      </c>
      <c r="AS19" s="151">
        <v>1269.10996</v>
      </c>
      <c r="AT19" s="151">
        <v>1277.83159</v>
      </c>
      <c r="AU19" s="151">
        <v>1369.0811699999999</v>
      </c>
      <c r="AV19" s="151">
        <v>1398.9424899999999</v>
      </c>
      <c r="AW19" s="163">
        <v>1323.8321000000001</v>
      </c>
      <c r="AX19" s="151">
        <v>1413.37924</v>
      </c>
      <c r="AY19" s="151">
        <v>1341.9494199999999</v>
      </c>
      <c r="AZ19" s="151">
        <v>1188.0506200000002</v>
      </c>
      <c r="BA19" s="151">
        <v>1274.96928</v>
      </c>
      <c r="BB19" s="151">
        <v>1332.27071</v>
      </c>
      <c r="BC19" s="151">
        <v>1288.95028</v>
      </c>
      <c r="BD19" s="151">
        <v>1436.2815700000001</v>
      </c>
      <c r="BE19" s="151">
        <v>1333.0217600000001</v>
      </c>
      <c r="BF19" s="151">
        <v>1318.5428899999999</v>
      </c>
      <c r="BG19" s="151">
        <v>1315.7916699999998</v>
      </c>
      <c r="BH19" s="151">
        <v>1378.2434599999999</v>
      </c>
      <c r="BI19" s="163">
        <v>1749.39131</v>
      </c>
      <c r="BJ19" s="162">
        <v>1795.8375600000002</v>
      </c>
      <c r="BK19" s="151">
        <v>1813</v>
      </c>
      <c r="BL19" s="151">
        <v>1809</v>
      </c>
      <c r="BM19" s="151">
        <v>1805</v>
      </c>
      <c r="BN19" s="151">
        <v>1840</v>
      </c>
      <c r="BO19" s="151">
        <v>1516</v>
      </c>
      <c r="BP19" s="151">
        <v>1593</v>
      </c>
      <c r="BQ19" s="151">
        <v>1637.78844</v>
      </c>
      <c r="BR19" s="151">
        <v>1399</v>
      </c>
      <c r="BS19" s="151">
        <v>1433</v>
      </c>
      <c r="BT19" s="151">
        <v>1345</v>
      </c>
      <c r="BU19" s="163">
        <v>1149</v>
      </c>
      <c r="BV19" s="115"/>
      <c r="BW19" s="184">
        <f t="shared" si="6"/>
        <v>-14.572490706319707</v>
      </c>
      <c r="BX19" s="184">
        <f t="shared" si="7"/>
        <v>-34.320012141823199</v>
      </c>
      <c r="BZ19" s="208">
        <f t="shared" si="8"/>
        <v>2.1769407970280868E-3</v>
      </c>
      <c r="CB19" s="138"/>
      <c r="CD19" s="138"/>
      <c r="CE19" s="208"/>
    </row>
    <row r="20" spans="1:157" ht="15" customHeight="1" x14ac:dyDescent="0.25">
      <c r="A20" s="402" t="s">
        <v>496</v>
      </c>
      <c r="B20" s="162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63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62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62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63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63"/>
      <c r="BJ20" s="162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63"/>
      <c r="BV20" s="115"/>
      <c r="BW20" s="184" t="str">
        <f t="shared" si="6"/>
        <v/>
      </c>
      <c r="BX20" s="184" t="str">
        <f t="shared" si="7"/>
        <v/>
      </c>
      <c r="BZ20" s="208">
        <f t="shared" si="8"/>
        <v>0</v>
      </c>
      <c r="CB20" s="138"/>
      <c r="CD20" s="138"/>
      <c r="CE20" s="208"/>
    </row>
    <row r="21" spans="1:157" s="215" customFormat="1" ht="15" customHeight="1" x14ac:dyDescent="0.25">
      <c r="A21" s="141" t="s">
        <v>269</v>
      </c>
      <c r="B21" s="272">
        <f t="shared" ref="B21:AG21" si="9">B22+B27</f>
        <v>60967.635399999999</v>
      </c>
      <c r="C21" s="147">
        <f t="shared" si="9"/>
        <v>59947.972910000004</v>
      </c>
      <c r="D21" s="147">
        <f t="shared" si="9"/>
        <v>60119.41446</v>
      </c>
      <c r="E21" s="147">
        <f t="shared" si="9"/>
        <v>60403.586570000007</v>
      </c>
      <c r="F21" s="147">
        <f t="shared" si="9"/>
        <v>61982.953220000003</v>
      </c>
      <c r="G21" s="147">
        <f t="shared" si="9"/>
        <v>61993.294480000011</v>
      </c>
      <c r="H21" s="147">
        <f t="shared" si="9"/>
        <v>59962.010739999998</v>
      </c>
      <c r="I21" s="147">
        <f t="shared" si="9"/>
        <v>58618.41618</v>
      </c>
      <c r="J21" s="147">
        <f t="shared" si="9"/>
        <v>59416.288389999987</v>
      </c>
      <c r="K21" s="147">
        <f t="shared" si="9"/>
        <v>60732.896769999999</v>
      </c>
      <c r="L21" s="147">
        <f t="shared" si="9"/>
        <v>62063.517040000006</v>
      </c>
      <c r="M21" s="323">
        <f t="shared" si="9"/>
        <v>62770.997430000003</v>
      </c>
      <c r="N21" s="147">
        <f t="shared" si="9"/>
        <v>63014.810769999996</v>
      </c>
      <c r="O21" s="147">
        <f t="shared" si="9"/>
        <v>62205.068700000003</v>
      </c>
      <c r="P21" s="147">
        <f t="shared" si="9"/>
        <v>61750.468030000004</v>
      </c>
      <c r="Q21" s="147">
        <f t="shared" si="9"/>
        <v>60916.689620000005</v>
      </c>
      <c r="R21" s="147">
        <f t="shared" si="9"/>
        <v>62174.287339999995</v>
      </c>
      <c r="S21" s="147">
        <f t="shared" si="9"/>
        <v>61907.359939999995</v>
      </c>
      <c r="T21" s="147">
        <f t="shared" si="9"/>
        <v>63706.096570000002</v>
      </c>
      <c r="U21" s="147">
        <f t="shared" si="9"/>
        <v>64627.509549999995</v>
      </c>
      <c r="V21" s="147">
        <f t="shared" si="9"/>
        <v>67608.992870000002</v>
      </c>
      <c r="W21" s="147">
        <f t="shared" si="9"/>
        <v>69798.061650000003</v>
      </c>
      <c r="X21" s="147">
        <f t="shared" si="9"/>
        <v>73108.46127</v>
      </c>
      <c r="Y21" s="147">
        <f t="shared" si="9"/>
        <v>75377.065789999993</v>
      </c>
      <c r="Z21" s="272">
        <f t="shared" si="9"/>
        <v>75110.646390000009</v>
      </c>
      <c r="AA21" s="147">
        <f t="shared" si="9"/>
        <v>73418.422460000002</v>
      </c>
      <c r="AB21" s="147">
        <f t="shared" si="9"/>
        <v>73201.080950000003</v>
      </c>
      <c r="AC21" s="147">
        <f t="shared" si="9"/>
        <v>75907.284749999992</v>
      </c>
      <c r="AD21" s="147">
        <f t="shared" si="9"/>
        <v>76565.000499999995</v>
      </c>
      <c r="AE21" s="147">
        <f t="shared" si="9"/>
        <v>77172.920830000003</v>
      </c>
      <c r="AF21" s="147">
        <f t="shared" si="9"/>
        <v>77834.649699999994</v>
      </c>
      <c r="AG21" s="147">
        <f t="shared" si="9"/>
        <v>76618.307540000009</v>
      </c>
      <c r="AH21" s="147">
        <f t="shared" ref="AH21:BM21" si="10">AH22+AH27</f>
        <v>80319.149340000004</v>
      </c>
      <c r="AI21" s="147">
        <f t="shared" si="10"/>
        <v>79072.314549999996</v>
      </c>
      <c r="AJ21" s="147">
        <f t="shared" si="10"/>
        <v>79988.584940000001</v>
      </c>
      <c r="AK21" s="147">
        <f t="shared" si="10"/>
        <v>79513.368430000002</v>
      </c>
      <c r="AL21" s="272">
        <f t="shared" si="10"/>
        <v>81423.864200000011</v>
      </c>
      <c r="AM21" s="147">
        <f t="shared" si="10"/>
        <v>84540.71372</v>
      </c>
      <c r="AN21" s="147">
        <f t="shared" si="10"/>
        <v>80816.393599999981</v>
      </c>
      <c r="AO21" s="147">
        <f t="shared" si="10"/>
        <v>81527.881450000001</v>
      </c>
      <c r="AP21" s="147">
        <f t="shared" si="10"/>
        <v>84046.492049999986</v>
      </c>
      <c r="AQ21" s="147">
        <f t="shared" si="10"/>
        <v>85178.393660000002</v>
      </c>
      <c r="AR21" s="147">
        <f t="shared" si="10"/>
        <v>90346.591130000001</v>
      </c>
      <c r="AS21" s="147">
        <f t="shared" si="10"/>
        <v>94400.865959999996</v>
      </c>
      <c r="AT21" s="147">
        <f t="shared" si="10"/>
        <v>95339.768550000008</v>
      </c>
      <c r="AU21" s="147">
        <f t="shared" si="10"/>
        <v>95313.263429999992</v>
      </c>
      <c r="AV21" s="147">
        <f t="shared" si="10"/>
        <v>98394.298250000007</v>
      </c>
      <c r="AW21" s="323">
        <f t="shared" si="10"/>
        <v>98562.780010000002</v>
      </c>
      <c r="AX21" s="147">
        <f t="shared" si="10"/>
        <v>92741.71768999999</v>
      </c>
      <c r="AY21" s="147">
        <f t="shared" si="10"/>
        <v>92805.223229999989</v>
      </c>
      <c r="AZ21" s="147">
        <f t="shared" si="10"/>
        <v>90771.91376000001</v>
      </c>
      <c r="BA21" s="147">
        <f t="shared" si="10"/>
        <v>88139.108079999991</v>
      </c>
      <c r="BB21" s="147">
        <f t="shared" si="10"/>
        <v>91423.452419999987</v>
      </c>
      <c r="BC21" s="147">
        <f t="shared" si="10"/>
        <v>91435.120390000026</v>
      </c>
      <c r="BD21" s="147">
        <f t="shared" si="10"/>
        <v>95665.229319999984</v>
      </c>
      <c r="BE21" s="147">
        <f t="shared" si="10"/>
        <v>100646.25396999999</v>
      </c>
      <c r="BF21" s="147">
        <f t="shared" si="10"/>
        <v>98251.059709999987</v>
      </c>
      <c r="BG21" s="147">
        <f t="shared" si="10"/>
        <v>100807.39994</v>
      </c>
      <c r="BH21" s="147">
        <f t="shared" si="10"/>
        <v>101079.87271</v>
      </c>
      <c r="BI21" s="323">
        <f t="shared" si="10"/>
        <v>103212.75921</v>
      </c>
      <c r="BJ21" s="272">
        <f t="shared" si="10"/>
        <v>104949.31099</v>
      </c>
      <c r="BK21" s="147">
        <f t="shared" si="10"/>
        <v>101300</v>
      </c>
      <c r="BL21" s="147">
        <f t="shared" si="10"/>
        <v>98368</v>
      </c>
      <c r="BM21" s="147">
        <f t="shared" si="10"/>
        <v>95355.6</v>
      </c>
      <c r="BN21" s="147">
        <f t="shared" ref="BN21:BU21" si="11">BN22+BN27</f>
        <v>99239.5</v>
      </c>
      <c r="BO21" s="147">
        <f t="shared" si="11"/>
        <v>110189.5</v>
      </c>
      <c r="BP21" s="147">
        <f t="shared" si="11"/>
        <v>114364.6</v>
      </c>
      <c r="BQ21" s="147">
        <f t="shared" si="11"/>
        <v>115997.74449999999</v>
      </c>
      <c r="BR21" s="147">
        <f t="shared" si="11"/>
        <v>122047.5</v>
      </c>
      <c r="BS21" s="147">
        <f t="shared" si="11"/>
        <v>125008</v>
      </c>
      <c r="BT21" s="147">
        <f t="shared" si="11"/>
        <v>132144</v>
      </c>
      <c r="BU21" s="323">
        <f t="shared" si="11"/>
        <v>135073</v>
      </c>
      <c r="BV21" s="426"/>
      <c r="BW21" s="179">
        <f t="shared" si="6"/>
        <v>2.216521370625979</v>
      </c>
      <c r="BX21" s="179">
        <f t="shared" si="7"/>
        <v>30.868509895347461</v>
      </c>
      <c r="BZ21" s="419">
        <f t="shared" si="8"/>
        <v>0.12722110384756577</v>
      </c>
      <c r="CB21" s="14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</row>
    <row r="22" spans="1:157" s="125" customFormat="1" ht="15" customHeight="1" x14ac:dyDescent="0.25">
      <c r="A22" s="401" t="s">
        <v>497</v>
      </c>
      <c r="B22" s="267">
        <f t="shared" ref="B22:AR22" si="12">SUM(B23:B26)</f>
        <v>7165.7861300000004</v>
      </c>
      <c r="C22" s="229">
        <f t="shared" si="12"/>
        <v>6737.3440099999989</v>
      </c>
      <c r="D22" s="229">
        <f t="shared" si="12"/>
        <v>7436.8384499999993</v>
      </c>
      <c r="E22" s="229">
        <f t="shared" si="12"/>
        <v>7409.7805800000006</v>
      </c>
      <c r="F22" s="229">
        <f t="shared" si="12"/>
        <v>7413.16266</v>
      </c>
      <c r="G22" s="229">
        <f t="shared" si="12"/>
        <v>7487.7323999999999</v>
      </c>
      <c r="H22" s="229">
        <f t="shared" si="12"/>
        <v>7753.5769999999993</v>
      </c>
      <c r="I22" s="229">
        <f t="shared" si="12"/>
        <v>7557.5558900000005</v>
      </c>
      <c r="J22" s="229">
        <f t="shared" si="12"/>
        <v>7566.1249900000003</v>
      </c>
      <c r="K22" s="229">
        <f t="shared" si="12"/>
        <v>7607.4670900000001</v>
      </c>
      <c r="L22" s="229">
        <f t="shared" si="12"/>
        <v>7427.5477200000005</v>
      </c>
      <c r="M22" s="322">
        <f t="shared" si="12"/>
        <v>7603.9205300000003</v>
      </c>
      <c r="N22" s="229">
        <f t="shared" si="12"/>
        <v>7725.9934099999991</v>
      </c>
      <c r="O22" s="229">
        <f t="shared" si="12"/>
        <v>7867.7144499999995</v>
      </c>
      <c r="P22" s="229">
        <f t="shared" si="12"/>
        <v>7312.3270000000011</v>
      </c>
      <c r="Q22" s="229">
        <f t="shared" si="12"/>
        <v>7598.7928099999999</v>
      </c>
      <c r="R22" s="229">
        <f t="shared" si="12"/>
        <v>7519.81333</v>
      </c>
      <c r="S22" s="229">
        <f t="shared" si="12"/>
        <v>7506.0890999999992</v>
      </c>
      <c r="T22" s="229">
        <f t="shared" si="12"/>
        <v>7478.7359299999998</v>
      </c>
      <c r="U22" s="229">
        <f t="shared" si="12"/>
        <v>7624.5406999999996</v>
      </c>
      <c r="V22" s="229">
        <f t="shared" si="12"/>
        <v>7772.9820600000003</v>
      </c>
      <c r="W22" s="229">
        <f t="shared" si="12"/>
        <v>7682.1836000000003</v>
      </c>
      <c r="X22" s="229">
        <f t="shared" si="12"/>
        <v>7993.6403699999992</v>
      </c>
      <c r="Y22" s="229">
        <f t="shared" si="12"/>
        <v>8362.8864199999989</v>
      </c>
      <c r="Z22" s="267">
        <f t="shared" si="12"/>
        <v>8648.4066999999995</v>
      </c>
      <c r="AA22" s="229">
        <f t="shared" si="12"/>
        <v>8346.715400000001</v>
      </c>
      <c r="AB22" s="229">
        <f t="shared" si="12"/>
        <v>8301.5343300000004</v>
      </c>
      <c r="AC22" s="229">
        <f t="shared" si="12"/>
        <v>8279.3011699999988</v>
      </c>
      <c r="AD22" s="229">
        <f t="shared" si="12"/>
        <v>8640.2808799999984</v>
      </c>
      <c r="AE22" s="229">
        <f t="shared" si="12"/>
        <v>8442.1179100000008</v>
      </c>
      <c r="AF22" s="229">
        <f t="shared" si="12"/>
        <v>8492.5476199999994</v>
      </c>
      <c r="AG22" s="229">
        <f t="shared" si="12"/>
        <v>8576.313180000001</v>
      </c>
      <c r="AH22" s="229">
        <f t="shared" si="12"/>
        <v>9031.3247699999993</v>
      </c>
      <c r="AI22" s="229">
        <f t="shared" si="12"/>
        <v>9516.5150799999992</v>
      </c>
      <c r="AJ22" s="229">
        <f t="shared" si="12"/>
        <v>9670.1579199999996</v>
      </c>
      <c r="AK22" s="229">
        <f t="shared" si="12"/>
        <v>9278.5139100000015</v>
      </c>
      <c r="AL22" s="267">
        <f t="shared" si="12"/>
        <v>9304.2070800000001</v>
      </c>
      <c r="AM22" s="229">
        <f t="shared" si="12"/>
        <v>9613.1849900000016</v>
      </c>
      <c r="AN22" s="229">
        <f t="shared" si="12"/>
        <v>9436.658010000001</v>
      </c>
      <c r="AO22" s="229">
        <f t="shared" si="12"/>
        <v>9656.3076799999999</v>
      </c>
      <c r="AP22" s="229">
        <f t="shared" si="12"/>
        <v>10230.841130000001</v>
      </c>
      <c r="AQ22" s="229">
        <f t="shared" si="12"/>
        <v>10280.688030000001</v>
      </c>
      <c r="AR22" s="229">
        <f t="shared" si="12"/>
        <v>10757.589449999999</v>
      </c>
      <c r="AS22" s="229">
        <f t="shared" ref="AS22:BF22" si="13">SUM(AS23:AS26)</f>
        <v>11366.818520000001</v>
      </c>
      <c r="AT22" s="229">
        <f t="shared" si="13"/>
        <v>11186.794119999999</v>
      </c>
      <c r="AU22" s="229">
        <f t="shared" si="13"/>
        <v>11616.00158</v>
      </c>
      <c r="AV22" s="229">
        <f t="shared" si="13"/>
        <v>11962.874110000001</v>
      </c>
      <c r="AW22" s="322">
        <f t="shared" si="13"/>
        <v>12044.773730000001</v>
      </c>
      <c r="AX22" s="229">
        <f t="shared" si="13"/>
        <v>12145.40473</v>
      </c>
      <c r="AY22" s="229">
        <f t="shared" si="13"/>
        <v>12280.010100000001</v>
      </c>
      <c r="AZ22" s="229">
        <f t="shared" si="13"/>
        <v>11882.990450000001</v>
      </c>
      <c r="BA22" s="229">
        <f t="shared" si="13"/>
        <v>12103.191150000001</v>
      </c>
      <c r="BB22" s="229">
        <f t="shared" si="13"/>
        <v>12212.991460000001</v>
      </c>
      <c r="BC22" s="229">
        <f t="shared" si="13"/>
        <v>12880.879209999999</v>
      </c>
      <c r="BD22" s="229">
        <f t="shared" si="13"/>
        <v>13790.13061</v>
      </c>
      <c r="BE22" s="229">
        <f t="shared" si="13"/>
        <v>14483.540299999999</v>
      </c>
      <c r="BF22" s="229">
        <f t="shared" si="13"/>
        <v>14095.543579999998</v>
      </c>
      <c r="BG22" s="229">
        <f>SUM(BG23:BG26)</f>
        <v>14195.185709999998</v>
      </c>
      <c r="BH22" s="229">
        <f>SUM(BH23:BH26)</f>
        <v>13610.029660000002</v>
      </c>
      <c r="BI22" s="322">
        <f>SUM(BI23:BI26)</f>
        <v>13964.816430000001</v>
      </c>
      <c r="BJ22" s="267">
        <f>SUM(BJ23:BJ26)</f>
        <v>14903.76425</v>
      </c>
      <c r="BK22" s="229">
        <f t="shared" ref="BK22:BR22" si="14">SUM(BK23:BK26)</f>
        <v>15330</v>
      </c>
      <c r="BL22" s="229">
        <f t="shared" si="14"/>
        <v>14928</v>
      </c>
      <c r="BM22" s="229">
        <f t="shared" si="14"/>
        <v>14226.599999999999</v>
      </c>
      <c r="BN22" s="229">
        <f t="shared" si="14"/>
        <v>14260.5</v>
      </c>
      <c r="BO22" s="229">
        <f t="shared" si="14"/>
        <v>15090.5</v>
      </c>
      <c r="BP22" s="229">
        <f t="shared" si="14"/>
        <v>16253.8</v>
      </c>
      <c r="BQ22" s="229">
        <f t="shared" si="14"/>
        <v>17121.539560000001</v>
      </c>
      <c r="BR22" s="229">
        <f t="shared" si="14"/>
        <v>17125.5</v>
      </c>
      <c r="BS22" s="229">
        <f>SUM(BS23:BS26)</f>
        <v>17766</v>
      </c>
      <c r="BT22" s="229">
        <f>SUM(BT23:BT26)</f>
        <v>18680</v>
      </c>
      <c r="BU22" s="322">
        <f>SUM(BU23:BU26)</f>
        <v>18755</v>
      </c>
      <c r="BV22" s="427"/>
      <c r="BW22" s="379">
        <f t="shared" si="6"/>
        <v>0.40149892933618592</v>
      </c>
      <c r="BX22" s="379">
        <f t="shared" si="7"/>
        <v>34.301801201693259</v>
      </c>
      <c r="BZ22" s="418">
        <f t="shared" si="8"/>
        <v>1.8066563005349829E-2</v>
      </c>
      <c r="CB22" s="138" t="s">
        <v>233</v>
      </c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</row>
    <row r="23" spans="1:157" ht="15" customHeight="1" x14ac:dyDescent="0.25">
      <c r="A23" s="403" t="s">
        <v>498</v>
      </c>
      <c r="B23" s="162">
        <v>2717.8726000000001</v>
      </c>
      <c r="C23" s="151">
        <v>2556.4158899999998</v>
      </c>
      <c r="D23" s="151">
        <v>2567.9654899999996</v>
      </c>
      <c r="E23" s="151">
        <v>2686.0139400000003</v>
      </c>
      <c r="F23" s="151">
        <v>2658.8884400000002</v>
      </c>
      <c r="G23" s="151">
        <v>2709.8499499999998</v>
      </c>
      <c r="H23" s="151">
        <v>2791.58709</v>
      </c>
      <c r="I23" s="151">
        <v>2764.7732100000003</v>
      </c>
      <c r="J23" s="151">
        <v>2673.7572700000001</v>
      </c>
      <c r="K23" s="151">
        <v>2773.6543200000001</v>
      </c>
      <c r="L23" s="151">
        <v>2612.1673900000001</v>
      </c>
      <c r="M23" s="163">
        <v>2642.9115499999998</v>
      </c>
      <c r="N23" s="151">
        <v>2691.4155900000001</v>
      </c>
      <c r="O23" s="151">
        <v>2800.4559800000002</v>
      </c>
      <c r="P23" s="151">
        <v>2608.8098000000005</v>
      </c>
      <c r="Q23" s="151">
        <v>2876.75155</v>
      </c>
      <c r="R23" s="151">
        <v>2826.4473699999999</v>
      </c>
      <c r="S23" s="151">
        <v>2771.3649399999995</v>
      </c>
      <c r="T23" s="151">
        <v>2755.1285399999997</v>
      </c>
      <c r="U23" s="151">
        <v>2940.2356099999997</v>
      </c>
      <c r="V23" s="151">
        <v>2515.54657</v>
      </c>
      <c r="W23" s="151">
        <v>2174.7586999999999</v>
      </c>
      <c r="X23" s="151">
        <v>2542.3815799999998</v>
      </c>
      <c r="Y23" s="151">
        <v>2776.23245</v>
      </c>
      <c r="Z23" s="162">
        <v>2935.3819100000001</v>
      </c>
      <c r="AA23" s="151">
        <v>3243.58959</v>
      </c>
      <c r="AB23" s="151">
        <v>3137.7762700000003</v>
      </c>
      <c r="AC23" s="151">
        <v>3211.3986999999997</v>
      </c>
      <c r="AD23" s="151">
        <v>3414.2990599999994</v>
      </c>
      <c r="AE23" s="151">
        <v>3379.0876200000002</v>
      </c>
      <c r="AF23" s="151">
        <v>3406.4929599999996</v>
      </c>
      <c r="AG23" s="151">
        <v>3134.2652799999996</v>
      </c>
      <c r="AH23" s="151">
        <v>3217.9070700000002</v>
      </c>
      <c r="AI23" s="151">
        <v>3603.4210600000001</v>
      </c>
      <c r="AJ23" s="151">
        <v>3533.04349</v>
      </c>
      <c r="AK23" s="151">
        <v>3299.3270000000002</v>
      </c>
      <c r="AL23" s="162">
        <v>3464.65191</v>
      </c>
      <c r="AM23" s="151">
        <v>3983.7981799999998</v>
      </c>
      <c r="AN23" s="151">
        <v>3732.89471</v>
      </c>
      <c r="AO23" s="151">
        <v>3870.27871</v>
      </c>
      <c r="AP23" s="151">
        <v>4135.4896900000003</v>
      </c>
      <c r="AQ23" s="151">
        <v>4285.11643</v>
      </c>
      <c r="AR23" s="151">
        <v>4604.3734999999997</v>
      </c>
      <c r="AS23" s="151">
        <v>4704.6462299999994</v>
      </c>
      <c r="AT23" s="151">
        <v>4453.0720499999998</v>
      </c>
      <c r="AU23" s="151">
        <v>4766.6021799999999</v>
      </c>
      <c r="AV23" s="151">
        <v>5098.0510500000009</v>
      </c>
      <c r="AW23" s="163">
        <v>5200.0451700000003</v>
      </c>
      <c r="AX23" s="151">
        <v>5281.4053300000005</v>
      </c>
      <c r="AY23" s="151">
        <v>5549.554610000001</v>
      </c>
      <c r="AZ23" s="151">
        <v>4896.2652200000011</v>
      </c>
      <c r="BA23" s="151">
        <v>5063.1842900000001</v>
      </c>
      <c r="BB23" s="151">
        <v>4926.8826700000009</v>
      </c>
      <c r="BC23" s="151">
        <v>5424.3675800000001</v>
      </c>
      <c r="BD23" s="151">
        <v>5505.0711700000002</v>
      </c>
      <c r="BE23" s="151">
        <v>6074.6897100000006</v>
      </c>
      <c r="BF23" s="151">
        <v>5679.2916099999993</v>
      </c>
      <c r="BG23" s="151">
        <v>5833.7541200000005</v>
      </c>
      <c r="BH23" s="151">
        <v>5450.0271499999999</v>
      </c>
      <c r="BI23" s="163">
        <v>5488.7581</v>
      </c>
      <c r="BJ23" s="162">
        <v>5910.2848300000014</v>
      </c>
      <c r="BK23" s="151">
        <v>5155</v>
      </c>
      <c r="BL23" s="151">
        <v>4816</v>
      </c>
      <c r="BM23" s="151">
        <v>4373.3999999999996</v>
      </c>
      <c r="BN23" s="151">
        <v>4191.3999999999996</v>
      </c>
      <c r="BO23" s="151">
        <v>4002.5</v>
      </c>
      <c r="BP23" s="151">
        <v>4153</v>
      </c>
      <c r="BQ23" s="151">
        <v>4153.6176400000004</v>
      </c>
      <c r="BR23" s="151">
        <v>4094</v>
      </c>
      <c r="BS23" s="151">
        <v>4105</v>
      </c>
      <c r="BT23" s="151">
        <v>4157</v>
      </c>
      <c r="BU23" s="163">
        <v>4163</v>
      </c>
      <c r="BV23" s="115"/>
      <c r="BW23" s="184">
        <f t="shared" si="6"/>
        <v>0.14433485686793368</v>
      </c>
      <c r="BX23" s="184">
        <f t="shared" si="7"/>
        <v>-24.154063193275</v>
      </c>
      <c r="BZ23" s="208">
        <f t="shared" si="8"/>
        <v>7.164534507499226E-3</v>
      </c>
      <c r="CB23" s="138"/>
    </row>
    <row r="24" spans="1:157" ht="15" customHeight="1" x14ac:dyDescent="0.25">
      <c r="A24" s="403" t="s">
        <v>499</v>
      </c>
      <c r="B24" s="162">
        <v>4446.9125800000002</v>
      </c>
      <c r="C24" s="151">
        <v>4179.9271699999999</v>
      </c>
      <c r="D24" s="151">
        <v>4868.8729599999997</v>
      </c>
      <c r="E24" s="151">
        <v>4723.7666399999998</v>
      </c>
      <c r="F24" s="151">
        <v>4754.2742200000002</v>
      </c>
      <c r="G24" s="151">
        <v>4777.8824500000001</v>
      </c>
      <c r="H24" s="151">
        <v>4961.9899099999993</v>
      </c>
      <c r="I24" s="151">
        <v>4792.7826800000003</v>
      </c>
      <c r="J24" s="151">
        <v>4892.3677200000002</v>
      </c>
      <c r="K24" s="151">
        <v>4833.8127700000005</v>
      </c>
      <c r="L24" s="151">
        <v>4815.38033</v>
      </c>
      <c r="M24" s="163">
        <v>4961.0089800000005</v>
      </c>
      <c r="N24" s="151">
        <v>5034.5778199999995</v>
      </c>
      <c r="O24" s="151">
        <v>5067.2584699999998</v>
      </c>
      <c r="P24" s="151">
        <v>4703.5172000000002</v>
      </c>
      <c r="Q24" s="151">
        <v>4722.04126</v>
      </c>
      <c r="R24" s="151">
        <v>4693.3659600000001</v>
      </c>
      <c r="S24" s="151">
        <v>4734.7241599999998</v>
      </c>
      <c r="T24" s="151">
        <v>4723.6073900000001</v>
      </c>
      <c r="U24" s="151">
        <v>4684.3050899999998</v>
      </c>
      <c r="V24" s="151">
        <v>5257.4354899999998</v>
      </c>
      <c r="W24" s="151">
        <v>5507.4249</v>
      </c>
      <c r="X24" s="151">
        <v>5451.2587899999999</v>
      </c>
      <c r="Y24" s="151">
        <v>5586.6539699999994</v>
      </c>
      <c r="Z24" s="162">
        <v>5713.0247899999995</v>
      </c>
      <c r="AA24" s="151">
        <v>5103.1258100000005</v>
      </c>
      <c r="AB24" s="151">
        <v>5163.7580600000001</v>
      </c>
      <c r="AC24" s="151">
        <v>5067.9024699999991</v>
      </c>
      <c r="AD24" s="151">
        <v>5225.9818199999991</v>
      </c>
      <c r="AE24" s="151">
        <v>5063.0302899999997</v>
      </c>
      <c r="AF24" s="151">
        <v>5086.0546599999998</v>
      </c>
      <c r="AG24" s="151">
        <v>5442.0479000000005</v>
      </c>
      <c r="AH24" s="151">
        <v>5813.4177</v>
      </c>
      <c r="AI24" s="151">
        <v>5913.0940199999995</v>
      </c>
      <c r="AJ24" s="151">
        <v>6137.1144299999996</v>
      </c>
      <c r="AK24" s="151">
        <v>5979.1869100000004</v>
      </c>
      <c r="AL24" s="162">
        <v>5839.5551699999996</v>
      </c>
      <c r="AM24" s="151">
        <v>5629.3868100000009</v>
      </c>
      <c r="AN24" s="151">
        <v>5703.7633000000005</v>
      </c>
      <c r="AO24" s="151">
        <v>5786.0289699999994</v>
      </c>
      <c r="AP24" s="151">
        <v>6095.3514399999995</v>
      </c>
      <c r="AQ24" s="151">
        <v>5995.5716000000002</v>
      </c>
      <c r="AR24" s="151">
        <v>6153.2159499999998</v>
      </c>
      <c r="AS24" s="151">
        <v>6662.1722900000004</v>
      </c>
      <c r="AT24" s="151">
        <v>6733.7220699999998</v>
      </c>
      <c r="AU24" s="151">
        <v>6849.3994000000002</v>
      </c>
      <c r="AV24" s="151">
        <v>6864.8230600000006</v>
      </c>
      <c r="AW24" s="163">
        <v>6844.7285599999996</v>
      </c>
      <c r="AX24" s="151">
        <v>6863.9993999999997</v>
      </c>
      <c r="AY24" s="151">
        <v>6730.4554900000003</v>
      </c>
      <c r="AZ24" s="151">
        <v>6986.7252299999991</v>
      </c>
      <c r="BA24" s="151">
        <v>7040.0068600000004</v>
      </c>
      <c r="BB24" s="151">
        <v>7286.1087900000002</v>
      </c>
      <c r="BC24" s="151">
        <v>7456.51163</v>
      </c>
      <c r="BD24" s="151">
        <v>8285.0594400000009</v>
      </c>
      <c r="BE24" s="151">
        <v>8408.8505899999982</v>
      </c>
      <c r="BF24" s="151">
        <v>8416.2519699999993</v>
      </c>
      <c r="BG24" s="151">
        <v>8358.9302799999987</v>
      </c>
      <c r="BH24" s="151">
        <v>7986.2037800000016</v>
      </c>
      <c r="BI24" s="163">
        <v>7979.0418200000004</v>
      </c>
      <c r="BJ24" s="162">
        <v>8005.053609999999</v>
      </c>
      <c r="BK24" s="151">
        <v>8405</v>
      </c>
      <c r="BL24" s="151">
        <v>8056</v>
      </c>
      <c r="BM24" s="151">
        <v>7794.2</v>
      </c>
      <c r="BN24" s="151">
        <v>8073.1</v>
      </c>
      <c r="BO24" s="151">
        <v>9017.5</v>
      </c>
      <c r="BP24" s="151">
        <v>9834.4</v>
      </c>
      <c r="BQ24" s="151">
        <v>10468.26549</v>
      </c>
      <c r="BR24" s="151">
        <v>10377.5</v>
      </c>
      <c r="BS24" s="151">
        <v>10629</v>
      </c>
      <c r="BT24" s="151">
        <v>11126</v>
      </c>
      <c r="BU24" s="163">
        <v>10931</v>
      </c>
      <c r="BV24" s="115"/>
      <c r="BW24" s="184">
        <f t="shared" si="6"/>
        <v>-1.7526514470609378</v>
      </c>
      <c r="BX24" s="184">
        <f t="shared" si="7"/>
        <v>36.996399399746458</v>
      </c>
      <c r="BZ24" s="208">
        <f t="shared" si="8"/>
        <v>9.7038441416750186E-3</v>
      </c>
      <c r="CB24" s="138"/>
    </row>
    <row r="25" spans="1:157" ht="15" customHeight="1" x14ac:dyDescent="0.25">
      <c r="A25" s="403" t="s">
        <v>500</v>
      </c>
      <c r="B25" s="162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63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62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62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63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>
        <v>2.5013100000000001</v>
      </c>
      <c r="BH25" s="151">
        <v>173.79873000000001</v>
      </c>
      <c r="BI25" s="163">
        <v>497.01650999999998</v>
      </c>
      <c r="BJ25" s="162">
        <v>988.42581000000007</v>
      </c>
      <c r="BK25" s="151">
        <v>1770</v>
      </c>
      <c r="BL25" s="151">
        <v>2056</v>
      </c>
      <c r="BM25" s="151">
        <v>2059</v>
      </c>
      <c r="BN25" s="151">
        <v>1996</v>
      </c>
      <c r="BO25" s="151">
        <v>2070.5</v>
      </c>
      <c r="BP25" s="151">
        <v>2266.4</v>
      </c>
      <c r="BQ25" s="151">
        <v>2499.65643</v>
      </c>
      <c r="BR25" s="151">
        <v>2654</v>
      </c>
      <c r="BS25" s="151">
        <v>3032</v>
      </c>
      <c r="BT25" s="151">
        <v>3397</v>
      </c>
      <c r="BU25" s="163">
        <v>3661</v>
      </c>
      <c r="BV25" s="115"/>
      <c r="BW25" s="184">
        <f t="shared" si="6"/>
        <v>7.771563143950555</v>
      </c>
      <c r="BX25" s="184">
        <f t="shared" si="7"/>
        <v>636.5952491195917</v>
      </c>
      <c r="BZ25" s="208">
        <f t="shared" si="8"/>
        <v>1.1981843561755844E-3</v>
      </c>
      <c r="CB25" s="138"/>
    </row>
    <row r="26" spans="1:157" ht="15" customHeight="1" x14ac:dyDescent="0.25">
      <c r="A26" s="403" t="s">
        <v>501</v>
      </c>
      <c r="B26" s="162">
        <v>1.00095</v>
      </c>
      <c r="C26" s="151">
        <v>1.00095</v>
      </c>
      <c r="D26" s="151"/>
      <c r="E26" s="151"/>
      <c r="F26" s="151"/>
      <c r="G26" s="151"/>
      <c r="H26" s="151"/>
      <c r="I26" s="151"/>
      <c r="J26" s="151"/>
      <c r="K26" s="151"/>
      <c r="L26" s="151"/>
      <c r="M26" s="163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62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62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63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63"/>
      <c r="BJ26" s="162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63"/>
      <c r="BV26" s="115"/>
      <c r="BW26" s="184" t="str">
        <f t="shared" si="6"/>
        <v/>
      </c>
      <c r="BX26" s="184" t="str">
        <f t="shared" si="7"/>
        <v/>
      </c>
      <c r="BZ26" s="208">
        <f t="shared" si="8"/>
        <v>0</v>
      </c>
      <c r="CB26" s="138"/>
    </row>
    <row r="27" spans="1:157" s="125" customFormat="1" ht="15" customHeight="1" x14ac:dyDescent="0.25">
      <c r="A27" s="401" t="s">
        <v>502</v>
      </c>
      <c r="B27" s="267">
        <f t="shared" ref="B27:Y27" si="15">SUM(B28:B32)</f>
        <v>53801.849269999999</v>
      </c>
      <c r="C27" s="229">
        <f t="shared" si="15"/>
        <v>53210.628900000003</v>
      </c>
      <c r="D27" s="229">
        <f t="shared" si="15"/>
        <v>52682.576009999997</v>
      </c>
      <c r="E27" s="229">
        <f t="shared" si="15"/>
        <v>52993.805990000008</v>
      </c>
      <c r="F27" s="229">
        <f t="shared" si="15"/>
        <v>54569.790560000001</v>
      </c>
      <c r="G27" s="229">
        <f t="shared" si="15"/>
        <v>54505.562080000011</v>
      </c>
      <c r="H27" s="229">
        <f t="shared" si="15"/>
        <v>52208.43374</v>
      </c>
      <c r="I27" s="229">
        <f t="shared" si="15"/>
        <v>51060.860289999997</v>
      </c>
      <c r="J27" s="229">
        <f t="shared" si="15"/>
        <v>51850.16339999999</v>
      </c>
      <c r="K27" s="229">
        <f t="shared" si="15"/>
        <v>53125.429680000001</v>
      </c>
      <c r="L27" s="229">
        <f t="shared" si="15"/>
        <v>54635.969320000004</v>
      </c>
      <c r="M27" s="322">
        <f t="shared" si="15"/>
        <v>55167.0769</v>
      </c>
      <c r="N27" s="229">
        <f t="shared" si="15"/>
        <v>55288.817360000001</v>
      </c>
      <c r="O27" s="229">
        <f t="shared" si="15"/>
        <v>54337.354250000004</v>
      </c>
      <c r="P27" s="229">
        <f t="shared" si="15"/>
        <v>54438.141029999999</v>
      </c>
      <c r="Q27" s="229">
        <f t="shared" si="15"/>
        <v>53317.896810000006</v>
      </c>
      <c r="R27" s="229">
        <f t="shared" si="15"/>
        <v>54654.474009999998</v>
      </c>
      <c r="S27" s="229">
        <f t="shared" si="15"/>
        <v>54401.270839999997</v>
      </c>
      <c r="T27" s="229">
        <f t="shared" si="15"/>
        <v>56227.360639999999</v>
      </c>
      <c r="U27" s="229">
        <f t="shared" si="15"/>
        <v>57002.968849999997</v>
      </c>
      <c r="V27" s="229">
        <f t="shared" si="15"/>
        <v>59836.01081</v>
      </c>
      <c r="W27" s="229">
        <f t="shared" si="15"/>
        <v>62115.878049999999</v>
      </c>
      <c r="X27" s="229">
        <f t="shared" si="15"/>
        <v>65114.820900000006</v>
      </c>
      <c r="Y27" s="229">
        <f t="shared" si="15"/>
        <v>67014.179369999998</v>
      </c>
      <c r="Z27" s="267">
        <f>SUM(Z28:Z33)</f>
        <v>66462.239690000002</v>
      </c>
      <c r="AA27" s="229">
        <f>SUM(AA28:AA33)</f>
        <v>65071.707060000001</v>
      </c>
      <c r="AB27" s="229">
        <f t="shared" ref="AB27:BU27" si="16">SUM(AB28:AB33)</f>
        <v>64899.546620000001</v>
      </c>
      <c r="AC27" s="229">
        <f t="shared" si="16"/>
        <v>67627.98358</v>
      </c>
      <c r="AD27" s="229">
        <f t="shared" si="16"/>
        <v>67924.719620000003</v>
      </c>
      <c r="AE27" s="229">
        <f t="shared" si="16"/>
        <v>68730.802920000002</v>
      </c>
      <c r="AF27" s="229">
        <f t="shared" si="16"/>
        <v>69342.102079999997</v>
      </c>
      <c r="AG27" s="229">
        <f t="shared" si="16"/>
        <v>68041.994360000012</v>
      </c>
      <c r="AH27" s="229">
        <f t="shared" si="16"/>
        <v>71287.824569999997</v>
      </c>
      <c r="AI27" s="229">
        <f t="shared" si="16"/>
        <v>69555.799469999998</v>
      </c>
      <c r="AJ27" s="229">
        <f t="shared" si="16"/>
        <v>70318.427020000003</v>
      </c>
      <c r="AK27" s="229">
        <f t="shared" si="16"/>
        <v>70234.854519999993</v>
      </c>
      <c r="AL27" s="267">
        <f t="shared" si="16"/>
        <v>72119.657120000018</v>
      </c>
      <c r="AM27" s="229">
        <f t="shared" si="16"/>
        <v>74927.528729999991</v>
      </c>
      <c r="AN27" s="229">
        <f t="shared" si="16"/>
        <v>71379.735589999982</v>
      </c>
      <c r="AO27" s="229">
        <f t="shared" si="16"/>
        <v>71871.573770000003</v>
      </c>
      <c r="AP27" s="229">
        <f t="shared" si="16"/>
        <v>73815.650919999985</v>
      </c>
      <c r="AQ27" s="229">
        <f t="shared" si="16"/>
        <v>74897.705629999997</v>
      </c>
      <c r="AR27" s="229">
        <f t="shared" si="16"/>
        <v>79589.001680000001</v>
      </c>
      <c r="AS27" s="229">
        <f t="shared" si="16"/>
        <v>83034.047439999995</v>
      </c>
      <c r="AT27" s="229">
        <f t="shared" si="16"/>
        <v>84152.974430000002</v>
      </c>
      <c r="AU27" s="229">
        <f t="shared" si="16"/>
        <v>83697.261849999995</v>
      </c>
      <c r="AV27" s="229">
        <f t="shared" si="16"/>
        <v>86431.424140000003</v>
      </c>
      <c r="AW27" s="322">
        <f t="shared" si="16"/>
        <v>86518.006280000001</v>
      </c>
      <c r="AX27" s="229">
        <f t="shared" si="16"/>
        <v>80596.312959999996</v>
      </c>
      <c r="AY27" s="229">
        <f t="shared" si="16"/>
        <v>80525.213129999989</v>
      </c>
      <c r="AZ27" s="229">
        <f t="shared" si="16"/>
        <v>78888.923310000013</v>
      </c>
      <c r="BA27" s="229">
        <f t="shared" si="16"/>
        <v>76035.916929999992</v>
      </c>
      <c r="BB27" s="229">
        <f t="shared" si="16"/>
        <v>79210.460959999982</v>
      </c>
      <c r="BC27" s="229">
        <f t="shared" si="16"/>
        <v>78554.241180000026</v>
      </c>
      <c r="BD27" s="229">
        <f t="shared" si="16"/>
        <v>81875.098709999991</v>
      </c>
      <c r="BE27" s="229">
        <f t="shared" si="16"/>
        <v>86162.713669999997</v>
      </c>
      <c r="BF27" s="229">
        <f t="shared" si="16"/>
        <v>84155.516129999989</v>
      </c>
      <c r="BG27" s="229">
        <f t="shared" si="16"/>
        <v>86612.214229999998</v>
      </c>
      <c r="BH27" s="229">
        <f t="shared" si="16"/>
        <v>87469.843049999996</v>
      </c>
      <c r="BI27" s="322">
        <f t="shared" si="16"/>
        <v>89247.942779999998</v>
      </c>
      <c r="BJ27" s="267">
        <f t="shared" si="16"/>
        <v>90045.546740000005</v>
      </c>
      <c r="BK27" s="229">
        <f t="shared" si="16"/>
        <v>85970</v>
      </c>
      <c r="BL27" s="229">
        <f t="shared" si="16"/>
        <v>83440</v>
      </c>
      <c r="BM27" s="229">
        <f t="shared" si="16"/>
        <v>81129</v>
      </c>
      <c r="BN27" s="229">
        <f t="shared" si="16"/>
        <v>84979</v>
      </c>
      <c r="BO27" s="229">
        <f t="shared" si="16"/>
        <v>95099</v>
      </c>
      <c r="BP27" s="229">
        <f t="shared" si="16"/>
        <v>98110.8</v>
      </c>
      <c r="BQ27" s="229">
        <f t="shared" si="16"/>
        <v>98876.204939999981</v>
      </c>
      <c r="BR27" s="229">
        <f t="shared" si="16"/>
        <v>104922</v>
      </c>
      <c r="BS27" s="229">
        <f t="shared" si="16"/>
        <v>107242</v>
      </c>
      <c r="BT27" s="229">
        <f t="shared" si="16"/>
        <v>113464</v>
      </c>
      <c r="BU27" s="322">
        <f t="shared" si="16"/>
        <v>116318</v>
      </c>
      <c r="BV27" s="427"/>
      <c r="BW27" s="379">
        <f t="shared" si="6"/>
        <v>2.515335260523166</v>
      </c>
      <c r="BX27" s="379">
        <f t="shared" si="7"/>
        <v>30.331295463839258</v>
      </c>
      <c r="BZ27" s="418">
        <f t="shared" si="8"/>
        <v>0.10915454084221594</v>
      </c>
      <c r="CB27" s="138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</row>
    <row r="28" spans="1:157" ht="15" customHeight="1" x14ac:dyDescent="0.25">
      <c r="A28" s="403" t="s">
        <v>503</v>
      </c>
      <c r="B28" s="162">
        <v>23443.377100000002</v>
      </c>
      <c r="C28" s="151">
        <v>22865.795270000002</v>
      </c>
      <c r="D28" s="151">
        <v>22650.86044</v>
      </c>
      <c r="E28" s="151">
        <v>22793.143180000003</v>
      </c>
      <c r="F28" s="151">
        <v>23092.822460000003</v>
      </c>
      <c r="G28" s="151">
        <v>23091.7382</v>
      </c>
      <c r="H28" s="151">
        <v>23095.75993</v>
      </c>
      <c r="I28" s="151">
        <v>22295.277110000003</v>
      </c>
      <c r="J28" s="151">
        <v>21959.860230000002</v>
      </c>
      <c r="K28" s="151">
        <v>21588.346389999999</v>
      </c>
      <c r="L28" s="151">
        <v>22301.061430000002</v>
      </c>
      <c r="M28" s="163">
        <v>21996.65265</v>
      </c>
      <c r="N28" s="151">
        <v>22760.69442</v>
      </c>
      <c r="O28" s="151">
        <v>21667.395380000002</v>
      </c>
      <c r="P28" s="151">
        <v>21935.568670000001</v>
      </c>
      <c r="Q28" s="151">
        <v>20994.697110000001</v>
      </c>
      <c r="R28" s="151">
        <v>21120.24785</v>
      </c>
      <c r="S28" s="151">
        <v>20927.92124</v>
      </c>
      <c r="T28" s="151">
        <v>21092.978669999997</v>
      </c>
      <c r="U28" s="151">
        <v>20905.00978</v>
      </c>
      <c r="V28" s="151">
        <v>21875.58842</v>
      </c>
      <c r="W28" s="151">
        <v>21908.193310000002</v>
      </c>
      <c r="X28" s="151">
        <v>22245.455969999999</v>
      </c>
      <c r="Y28" s="151">
        <v>22921.417810000003</v>
      </c>
      <c r="Z28" s="162">
        <v>22512.963970000001</v>
      </c>
      <c r="AA28" s="151">
        <v>22473.229810000001</v>
      </c>
      <c r="AB28" s="151">
        <v>22384.155549999996</v>
      </c>
      <c r="AC28" s="151">
        <v>22306.186449999997</v>
      </c>
      <c r="AD28" s="151">
        <v>23477.7592</v>
      </c>
      <c r="AE28" s="151">
        <v>23213.654689999999</v>
      </c>
      <c r="AF28" s="151">
        <v>22370.339110000001</v>
      </c>
      <c r="AG28" s="151">
        <v>21867.642960000001</v>
      </c>
      <c r="AH28" s="151">
        <v>21443.965059999999</v>
      </c>
      <c r="AI28" s="151">
        <v>21030.79176</v>
      </c>
      <c r="AJ28" s="151">
        <v>21122.724129999999</v>
      </c>
      <c r="AK28" s="151">
        <v>21075.484419999997</v>
      </c>
      <c r="AL28" s="162">
        <v>21947.943720000003</v>
      </c>
      <c r="AM28" s="151">
        <v>21634.886740000002</v>
      </c>
      <c r="AN28" s="151">
        <v>20909.570370000001</v>
      </c>
      <c r="AO28" s="151">
        <v>21479.871530000004</v>
      </c>
      <c r="AP28" s="151">
        <v>21603.741709999998</v>
      </c>
      <c r="AQ28" s="151">
        <v>20842.82648</v>
      </c>
      <c r="AR28" s="151">
        <v>21762.387470000001</v>
      </c>
      <c r="AS28" s="151">
        <v>22021.639790000001</v>
      </c>
      <c r="AT28" s="151">
        <v>21688.935290000001</v>
      </c>
      <c r="AU28" s="151">
        <v>22302.072660000005</v>
      </c>
      <c r="AV28" s="151">
        <v>22354.495790000001</v>
      </c>
      <c r="AW28" s="163">
        <v>20429.738640000003</v>
      </c>
      <c r="AX28" s="151">
        <v>20722.015480000002</v>
      </c>
      <c r="AY28" s="151">
        <v>20436.9463</v>
      </c>
      <c r="AZ28" s="151">
        <v>20963.554199999999</v>
      </c>
      <c r="BA28" s="151">
        <v>20170.332029999998</v>
      </c>
      <c r="BB28" s="151">
        <v>21306.242459999998</v>
      </c>
      <c r="BC28" s="151">
        <v>21713.074929999999</v>
      </c>
      <c r="BD28" s="151">
        <v>21771.213339999998</v>
      </c>
      <c r="BE28" s="151">
        <v>21759.322050000002</v>
      </c>
      <c r="BF28" s="151">
        <v>21787.824789999999</v>
      </c>
      <c r="BG28" s="151">
        <v>21810.366190000001</v>
      </c>
      <c r="BH28" s="151">
        <v>21816.896049999996</v>
      </c>
      <c r="BI28" s="163">
        <v>22014.228610000002</v>
      </c>
      <c r="BJ28" s="162">
        <v>21549.876539999997</v>
      </c>
      <c r="BK28" s="151">
        <v>21557</v>
      </c>
      <c r="BL28" s="151">
        <v>20531</v>
      </c>
      <c r="BM28" s="151">
        <v>20448.5</v>
      </c>
      <c r="BN28" s="151">
        <v>21283</v>
      </c>
      <c r="BO28" s="151">
        <v>23823</v>
      </c>
      <c r="BP28" s="151">
        <v>22744.400000000001</v>
      </c>
      <c r="BQ28" s="151">
        <v>21976.85383</v>
      </c>
      <c r="BR28" s="151">
        <v>21912</v>
      </c>
      <c r="BS28" s="151">
        <v>22538</v>
      </c>
      <c r="BT28" s="151">
        <v>23572.5</v>
      </c>
      <c r="BU28" s="163">
        <v>24251</v>
      </c>
      <c r="BV28" s="115"/>
      <c r="BW28" s="184">
        <f t="shared" si="6"/>
        <v>2.8783540142114816</v>
      </c>
      <c r="BX28" s="184">
        <f t="shared" si="7"/>
        <v>10.160571281538978</v>
      </c>
      <c r="BZ28" s="208">
        <f t="shared" si="8"/>
        <v>2.6123078420770118E-2</v>
      </c>
      <c r="CB28" s="138" t="s">
        <v>579</v>
      </c>
    </row>
    <row r="29" spans="1:157" ht="15" customHeight="1" x14ac:dyDescent="0.25">
      <c r="A29" s="403" t="s">
        <v>504</v>
      </c>
      <c r="B29" s="162">
        <v>10892.164360000001</v>
      </c>
      <c r="C29" s="151">
        <v>10437.941349999999</v>
      </c>
      <c r="D29" s="151">
        <v>10231.58916</v>
      </c>
      <c r="E29" s="151">
        <v>10170.97214</v>
      </c>
      <c r="F29" s="151">
        <v>10834.60044</v>
      </c>
      <c r="G29" s="151">
        <v>11165.324100000002</v>
      </c>
      <c r="H29" s="151">
        <v>10916.110089999998</v>
      </c>
      <c r="I29" s="151">
        <v>11300.627479999999</v>
      </c>
      <c r="J29" s="151">
        <v>11717.70463</v>
      </c>
      <c r="K29" s="151">
        <v>13236.69126</v>
      </c>
      <c r="L29" s="151">
        <v>13294.904189999999</v>
      </c>
      <c r="M29" s="163">
        <v>13227.378140000001</v>
      </c>
      <c r="N29" s="151">
        <v>12558.788990000001</v>
      </c>
      <c r="O29" s="151">
        <v>12435.781730000001</v>
      </c>
      <c r="P29" s="151">
        <v>11359.001459999999</v>
      </c>
      <c r="Q29" s="151">
        <v>11836.53284</v>
      </c>
      <c r="R29" s="151">
        <v>12317.500949999998</v>
      </c>
      <c r="S29" s="151">
        <v>12471.51636</v>
      </c>
      <c r="T29" s="151">
        <v>13321.71277</v>
      </c>
      <c r="U29" s="151">
        <v>13762.404119999999</v>
      </c>
      <c r="V29" s="151">
        <v>13898.458780000001</v>
      </c>
      <c r="W29" s="151">
        <v>14394.13291</v>
      </c>
      <c r="X29" s="151">
        <v>15366.073700000001</v>
      </c>
      <c r="Y29" s="151">
        <v>15448.709089999998</v>
      </c>
      <c r="Z29" s="162">
        <v>14831.221299999997</v>
      </c>
      <c r="AA29" s="151">
        <v>14573.486500000001</v>
      </c>
      <c r="AB29" s="151">
        <v>15097.87335</v>
      </c>
      <c r="AC29" s="151">
        <v>15465.492890000001</v>
      </c>
      <c r="AD29" s="151">
        <v>15627.546869999998</v>
      </c>
      <c r="AE29" s="151">
        <v>16122.278679999999</v>
      </c>
      <c r="AF29" s="151">
        <v>17008.089620000002</v>
      </c>
      <c r="AG29" s="151">
        <v>16064.78506</v>
      </c>
      <c r="AH29" s="151">
        <v>17216.800879999999</v>
      </c>
      <c r="AI29" s="151">
        <v>16429.646990000001</v>
      </c>
      <c r="AJ29" s="151">
        <v>16680.982510000002</v>
      </c>
      <c r="AK29" s="151">
        <v>17390.97525</v>
      </c>
      <c r="AL29" s="162">
        <v>17530.088810000001</v>
      </c>
      <c r="AM29" s="151">
        <v>16902.04638</v>
      </c>
      <c r="AN29" s="151">
        <v>16959.266149999999</v>
      </c>
      <c r="AO29" s="151">
        <v>17161.939170000001</v>
      </c>
      <c r="AP29" s="151">
        <v>17865.554920000002</v>
      </c>
      <c r="AQ29" s="151">
        <v>18388.8933</v>
      </c>
      <c r="AR29" s="151">
        <v>18851.307919999999</v>
      </c>
      <c r="AS29" s="151">
        <v>19909.869319999998</v>
      </c>
      <c r="AT29" s="151">
        <v>20332.25289</v>
      </c>
      <c r="AU29" s="151">
        <v>20516.004850000001</v>
      </c>
      <c r="AV29" s="151">
        <v>21616.801310000003</v>
      </c>
      <c r="AW29" s="163">
        <v>23750.613680000002</v>
      </c>
      <c r="AX29" s="151">
        <v>22677.068459999999</v>
      </c>
      <c r="AY29" s="151">
        <v>22280.677219999998</v>
      </c>
      <c r="AZ29" s="151">
        <v>22281.46876</v>
      </c>
      <c r="BA29" s="151">
        <v>21738.78645</v>
      </c>
      <c r="BB29" s="151">
        <v>22543.53628</v>
      </c>
      <c r="BC29" s="151">
        <v>22618.435570000001</v>
      </c>
      <c r="BD29" s="151">
        <v>23516.233789999998</v>
      </c>
      <c r="BE29" s="151">
        <v>24746.387009999999</v>
      </c>
      <c r="BF29" s="151">
        <v>24569.802800000001</v>
      </c>
      <c r="BG29" s="151">
        <v>25783.081539999999</v>
      </c>
      <c r="BH29" s="151">
        <v>27279.971850000002</v>
      </c>
      <c r="BI29" s="163">
        <v>27290.205950000003</v>
      </c>
      <c r="BJ29" s="162">
        <v>28002.82978</v>
      </c>
      <c r="BK29" s="151">
        <v>27448</v>
      </c>
      <c r="BL29" s="151">
        <v>26991</v>
      </c>
      <c r="BM29" s="151">
        <v>25993</v>
      </c>
      <c r="BN29" s="151">
        <v>26506</v>
      </c>
      <c r="BO29" s="151">
        <v>27257</v>
      </c>
      <c r="BP29" s="151">
        <v>29068.400000000001</v>
      </c>
      <c r="BQ29" s="151">
        <v>30507.695209999998</v>
      </c>
      <c r="BR29" s="151">
        <v>32658</v>
      </c>
      <c r="BS29" s="151">
        <v>33770</v>
      </c>
      <c r="BT29" s="151">
        <v>36790.5</v>
      </c>
      <c r="BU29" s="163">
        <v>39177</v>
      </c>
      <c r="BV29" s="115"/>
      <c r="BW29" s="184">
        <f t="shared" si="6"/>
        <v>6.4867289109960424</v>
      </c>
      <c r="BX29" s="184">
        <f t="shared" si="7"/>
        <v>43.556996498225374</v>
      </c>
      <c r="BZ29" s="208">
        <f t="shared" si="8"/>
        <v>3.3945443584727696E-2</v>
      </c>
      <c r="CB29" s="138" t="s">
        <v>579</v>
      </c>
    </row>
    <row r="30" spans="1:157" ht="15" customHeight="1" x14ac:dyDescent="0.25">
      <c r="A30" s="403" t="s">
        <v>505</v>
      </c>
      <c r="B30" s="162">
        <v>15391.16173</v>
      </c>
      <c r="C30" s="151">
        <v>15766.090099999999</v>
      </c>
      <c r="D30" s="151">
        <v>15544.696819999999</v>
      </c>
      <c r="E30" s="151">
        <v>15566.543829999999</v>
      </c>
      <c r="F30" s="151">
        <v>16024.51388</v>
      </c>
      <c r="G30" s="151">
        <v>15584.732450000001</v>
      </c>
      <c r="H30" s="151">
        <v>13495.528480000001</v>
      </c>
      <c r="I30" s="151">
        <v>13162.452659999997</v>
      </c>
      <c r="J30" s="151">
        <v>13504.072029999999</v>
      </c>
      <c r="K30" s="151">
        <v>13546.65655</v>
      </c>
      <c r="L30" s="151">
        <v>14346.01871</v>
      </c>
      <c r="M30" s="163">
        <v>15312.220659999999</v>
      </c>
      <c r="N30" s="151">
        <v>15179.35578</v>
      </c>
      <c r="O30" s="151">
        <v>15438.366319999999</v>
      </c>
      <c r="P30" s="151">
        <v>16239.537549999999</v>
      </c>
      <c r="Q30" s="151">
        <v>15567.647920000001</v>
      </c>
      <c r="R30" s="151">
        <v>16064.53501</v>
      </c>
      <c r="S30" s="151">
        <v>15717.624890000001</v>
      </c>
      <c r="T30" s="151">
        <v>16555.070820000001</v>
      </c>
      <c r="U30" s="151">
        <v>16672.191559999999</v>
      </c>
      <c r="V30" s="151">
        <v>18685.90036</v>
      </c>
      <c r="W30" s="151">
        <v>19984.765510000001</v>
      </c>
      <c r="X30" s="151">
        <v>21670.56162</v>
      </c>
      <c r="Y30" s="151">
        <v>22523.922999999999</v>
      </c>
      <c r="Z30" s="162">
        <v>23017.507970000002</v>
      </c>
      <c r="AA30" s="151">
        <v>22276.257119999998</v>
      </c>
      <c r="AB30" s="151">
        <v>21749.158150000003</v>
      </c>
      <c r="AC30" s="151">
        <v>23884.391810000001</v>
      </c>
      <c r="AD30" s="151">
        <v>23180.932390000002</v>
      </c>
      <c r="AE30" s="151">
        <v>23217.112580000001</v>
      </c>
      <c r="AF30" s="151">
        <v>23800.300059999998</v>
      </c>
      <c r="AG30" s="151">
        <v>23944.918880000001</v>
      </c>
      <c r="AH30" s="151">
        <v>26234.662989999997</v>
      </c>
      <c r="AI30" s="151">
        <v>26271.410809999998</v>
      </c>
      <c r="AJ30" s="151">
        <v>26457.366679999999</v>
      </c>
      <c r="AK30" s="151">
        <v>25771.496810000001</v>
      </c>
      <c r="AL30" s="162">
        <v>26656.643909999999</v>
      </c>
      <c r="AM30" s="151">
        <v>30839.310809999995</v>
      </c>
      <c r="AN30" s="151">
        <v>27744.292719999998</v>
      </c>
      <c r="AO30" s="151">
        <v>27766.248169999999</v>
      </c>
      <c r="AP30" s="151">
        <v>28848.095659999999</v>
      </c>
      <c r="AQ30" s="151">
        <v>30114.769090000002</v>
      </c>
      <c r="AR30" s="151">
        <v>32861.262229999993</v>
      </c>
      <c r="AS30" s="151">
        <v>34519.765870000003</v>
      </c>
      <c r="AT30" s="151">
        <v>35914.957250000007</v>
      </c>
      <c r="AU30" s="151">
        <v>34436.294609999997</v>
      </c>
      <c r="AV30" s="151">
        <v>36495.749369999998</v>
      </c>
      <c r="AW30" s="163">
        <v>36335.870999999999</v>
      </c>
      <c r="AX30" s="151">
        <v>31059.707889999998</v>
      </c>
      <c r="AY30" s="151">
        <v>31854.122350000005</v>
      </c>
      <c r="AZ30" s="151">
        <v>29950.445079999998</v>
      </c>
      <c r="BA30" s="151">
        <v>28628.091390000001</v>
      </c>
      <c r="BB30" s="151">
        <v>29480.503669999998</v>
      </c>
      <c r="BC30" s="151">
        <v>28182.273550000005</v>
      </c>
      <c r="BD30" s="151">
        <v>30467.50344</v>
      </c>
      <c r="BE30" s="151">
        <v>33140.561020000001</v>
      </c>
      <c r="BF30" s="151">
        <v>31391.10324</v>
      </c>
      <c r="BG30" s="151">
        <v>32436.636309999998</v>
      </c>
      <c r="BH30" s="151">
        <v>32192.537160000003</v>
      </c>
      <c r="BI30" s="163">
        <v>33606.044129999995</v>
      </c>
      <c r="BJ30" s="162">
        <v>34047.981289999996</v>
      </c>
      <c r="BK30" s="151">
        <v>30941</v>
      </c>
      <c r="BL30" s="151">
        <v>29858</v>
      </c>
      <c r="BM30" s="151">
        <v>28892.5</v>
      </c>
      <c r="BN30" s="151">
        <v>31230</v>
      </c>
      <c r="BO30" s="151">
        <v>36950</v>
      </c>
      <c r="BP30" s="151">
        <v>38716</v>
      </c>
      <c r="BQ30" s="151">
        <v>38887.905699999988</v>
      </c>
      <c r="BR30" s="151">
        <v>41662</v>
      </c>
      <c r="BS30" s="151">
        <v>42353</v>
      </c>
      <c r="BT30" s="151">
        <v>44636</v>
      </c>
      <c r="BU30" s="163">
        <v>44043</v>
      </c>
      <c r="BV30" s="115"/>
      <c r="BW30" s="184">
        <f t="shared" si="6"/>
        <v>-1.3285240612958105</v>
      </c>
      <c r="BX30" s="184">
        <f t="shared" si="7"/>
        <v>31.056782017027018</v>
      </c>
      <c r="BZ30" s="208">
        <f t="shared" si="8"/>
        <v>4.1273465472372664E-2</v>
      </c>
      <c r="CB30" s="138" t="s">
        <v>579</v>
      </c>
    </row>
    <row r="31" spans="1:157" ht="15" customHeight="1" x14ac:dyDescent="0.25">
      <c r="A31" s="403" t="s">
        <v>506</v>
      </c>
      <c r="B31" s="162">
        <v>4075.14608</v>
      </c>
      <c r="C31" s="151">
        <v>4140.8021799999997</v>
      </c>
      <c r="D31" s="151">
        <v>4255.4295899999997</v>
      </c>
      <c r="E31" s="151">
        <v>4463.1468399999994</v>
      </c>
      <c r="F31" s="151">
        <v>4617.8537800000004</v>
      </c>
      <c r="G31" s="151">
        <v>4663.7673299999997</v>
      </c>
      <c r="H31" s="151">
        <v>4701.0352400000002</v>
      </c>
      <c r="I31" s="151">
        <v>4302.5030399999996</v>
      </c>
      <c r="J31" s="151">
        <v>4668.5265099999997</v>
      </c>
      <c r="K31" s="151">
        <v>4753.7354799999994</v>
      </c>
      <c r="L31" s="151">
        <v>4693.9849899999999</v>
      </c>
      <c r="M31" s="163">
        <v>4630.8254499999994</v>
      </c>
      <c r="N31" s="151">
        <v>4789.9781700000003</v>
      </c>
      <c r="O31" s="151">
        <v>4795.8108200000006</v>
      </c>
      <c r="P31" s="151">
        <v>4904.0333499999997</v>
      </c>
      <c r="Q31" s="151">
        <v>4919.0189400000008</v>
      </c>
      <c r="R31" s="151">
        <v>5152.1902</v>
      </c>
      <c r="S31" s="151">
        <v>5284.2083499999999</v>
      </c>
      <c r="T31" s="151">
        <v>5257.5983800000004</v>
      </c>
      <c r="U31" s="151">
        <v>5663.3633899999995</v>
      </c>
      <c r="V31" s="151">
        <v>5376.0632500000002</v>
      </c>
      <c r="W31" s="151">
        <v>5828.7863200000011</v>
      </c>
      <c r="X31" s="151">
        <v>5832.7296100000003</v>
      </c>
      <c r="Y31" s="151">
        <v>6120.1294699999999</v>
      </c>
      <c r="Z31" s="162">
        <v>6100.5464499999998</v>
      </c>
      <c r="AA31" s="151">
        <v>5748.7336299999997</v>
      </c>
      <c r="AB31" s="151">
        <v>5668.3595699999996</v>
      </c>
      <c r="AC31" s="151">
        <v>5971.9124299999994</v>
      </c>
      <c r="AD31" s="151">
        <v>5638.4811600000003</v>
      </c>
      <c r="AE31" s="151">
        <v>6175.6463800000001</v>
      </c>
      <c r="AF31" s="151">
        <v>6161.2555599999996</v>
      </c>
      <c r="AG31" s="151">
        <v>6158.2280099999998</v>
      </c>
      <c r="AH31" s="151">
        <v>6374.7405999999992</v>
      </c>
      <c r="AI31" s="151">
        <v>5806.4857199999997</v>
      </c>
      <c r="AJ31" s="151">
        <v>6007.2845499999994</v>
      </c>
      <c r="AK31" s="151">
        <v>5934.1842900000001</v>
      </c>
      <c r="AL31" s="162">
        <v>5912.4679400000005</v>
      </c>
      <c r="AM31" s="151">
        <v>5487.4462700000004</v>
      </c>
      <c r="AN31" s="151">
        <v>5401.6661199999999</v>
      </c>
      <c r="AO31" s="151">
        <v>5296.4861000000001</v>
      </c>
      <c r="AP31" s="151">
        <v>5435.8069399999995</v>
      </c>
      <c r="AQ31" s="151">
        <v>5471.6466300000011</v>
      </c>
      <c r="AR31" s="151">
        <v>6021.5280699999994</v>
      </c>
      <c r="AS31" s="151">
        <v>6482.8678199999995</v>
      </c>
      <c r="AT31" s="151">
        <v>6073.0250799999994</v>
      </c>
      <c r="AU31" s="151">
        <v>6263.0910899999999</v>
      </c>
      <c r="AV31" s="151">
        <v>5824.8806000000004</v>
      </c>
      <c r="AW31" s="163">
        <v>5850.1487099999995</v>
      </c>
      <c r="AX31" s="151">
        <v>6039.4212000000007</v>
      </c>
      <c r="AY31" s="151">
        <v>5836.3591699999997</v>
      </c>
      <c r="AZ31" s="151">
        <v>5566.0313000000006</v>
      </c>
      <c r="BA31" s="151">
        <v>5381.7097200000007</v>
      </c>
      <c r="BB31" s="151">
        <v>5716.9833600000002</v>
      </c>
      <c r="BC31" s="151">
        <v>5857.3159100000003</v>
      </c>
      <c r="BD31" s="151">
        <v>5951.90121</v>
      </c>
      <c r="BE31" s="151">
        <v>6300.4874900000004</v>
      </c>
      <c r="BF31" s="151">
        <v>6226.1536100000003</v>
      </c>
      <c r="BG31" s="151">
        <v>6394.1806100000003</v>
      </c>
      <c r="BH31" s="151">
        <v>5994.8392599999997</v>
      </c>
      <c r="BI31" s="163">
        <v>5982.1180599999998</v>
      </c>
      <c r="BJ31" s="162">
        <v>6160.8389999999999</v>
      </c>
      <c r="BK31" s="151">
        <v>5844</v>
      </c>
      <c r="BL31" s="151">
        <v>5889</v>
      </c>
      <c r="BM31" s="151">
        <v>5605</v>
      </c>
      <c r="BN31" s="151">
        <v>5777</v>
      </c>
      <c r="BO31" s="151">
        <v>6907</v>
      </c>
      <c r="BP31" s="151">
        <v>7444</v>
      </c>
      <c r="BQ31" s="151">
        <v>7345.7502000000004</v>
      </c>
      <c r="BR31" s="151">
        <v>8505</v>
      </c>
      <c r="BS31" s="151">
        <v>8340</v>
      </c>
      <c r="BT31" s="151">
        <v>8116</v>
      </c>
      <c r="BU31" s="163">
        <v>8634</v>
      </c>
      <c r="BV31" s="115"/>
      <c r="BW31" s="184">
        <f t="shared" si="6"/>
        <v>6.3824544110399284</v>
      </c>
      <c r="BX31" s="184">
        <f t="shared" si="7"/>
        <v>44.330150515284217</v>
      </c>
      <c r="BZ31" s="208">
        <f t="shared" si="8"/>
        <v>7.46825997058538E-3</v>
      </c>
      <c r="CB31" s="138" t="s">
        <v>579</v>
      </c>
    </row>
    <row r="32" spans="1:157" ht="15" customHeight="1" x14ac:dyDescent="0.25">
      <c r="A32" s="403" t="s">
        <v>507</v>
      </c>
      <c r="B32" s="162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63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62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62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63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63"/>
      <c r="BJ32" s="162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63"/>
      <c r="BV32" s="115"/>
      <c r="BW32" s="184" t="str">
        <f t="shared" si="6"/>
        <v/>
      </c>
      <c r="BX32" s="184" t="str">
        <f t="shared" si="7"/>
        <v/>
      </c>
      <c r="BZ32" s="208">
        <f t="shared" si="8"/>
        <v>0</v>
      </c>
      <c r="CB32" s="138" t="s">
        <v>580</v>
      </c>
    </row>
    <row r="33" spans="1:157" ht="15" customHeight="1" x14ac:dyDescent="0.25">
      <c r="A33" s="403" t="s">
        <v>582</v>
      </c>
      <c r="B33" s="162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63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62"/>
      <c r="AA33" s="151"/>
      <c r="AB33" s="151"/>
      <c r="AC33" s="151"/>
      <c r="AD33" s="151"/>
      <c r="AE33" s="151">
        <v>2.1105900000000002</v>
      </c>
      <c r="AF33" s="151">
        <v>2.1177299999999999</v>
      </c>
      <c r="AG33" s="151">
        <v>6.4194499999999994</v>
      </c>
      <c r="AH33" s="151">
        <v>17.65504</v>
      </c>
      <c r="AI33" s="151">
        <v>17.464189999999999</v>
      </c>
      <c r="AJ33" s="151">
        <v>50.06915</v>
      </c>
      <c r="AK33" s="151">
        <v>62.713749999999997</v>
      </c>
      <c r="AL33" s="162">
        <v>72.512740000000008</v>
      </c>
      <c r="AM33" s="151">
        <v>63.838529999999999</v>
      </c>
      <c r="AN33" s="151">
        <v>364.94022999999999</v>
      </c>
      <c r="AO33" s="151">
        <v>167.02879999999999</v>
      </c>
      <c r="AP33" s="151">
        <v>62.451689999999999</v>
      </c>
      <c r="AQ33" s="151">
        <v>79.570130000000006</v>
      </c>
      <c r="AR33" s="151">
        <v>92.515990000000002</v>
      </c>
      <c r="AS33" s="151">
        <v>99.904640000000001</v>
      </c>
      <c r="AT33" s="151">
        <v>143.80392000000001</v>
      </c>
      <c r="AU33" s="151">
        <v>179.79864000000001</v>
      </c>
      <c r="AV33" s="151">
        <v>139.49707000000001</v>
      </c>
      <c r="AW33" s="163">
        <v>151.63425000000001</v>
      </c>
      <c r="AX33" s="151">
        <v>98.099929999999986</v>
      </c>
      <c r="AY33" s="151">
        <v>117.10808999999999</v>
      </c>
      <c r="AZ33" s="151">
        <v>127.42397</v>
      </c>
      <c r="BA33" s="151">
        <v>116.99733999999999</v>
      </c>
      <c r="BB33" s="151">
        <v>163.19519</v>
      </c>
      <c r="BC33" s="151">
        <v>183.14122</v>
      </c>
      <c r="BD33" s="151">
        <v>168.24692999999999</v>
      </c>
      <c r="BE33" s="151">
        <v>215.95609999999999</v>
      </c>
      <c r="BF33" s="151">
        <v>180.63168999999999</v>
      </c>
      <c r="BG33" s="151">
        <v>187.94958</v>
      </c>
      <c r="BH33" s="151">
        <v>185.59873000000002</v>
      </c>
      <c r="BI33" s="163">
        <v>355.34603000000004</v>
      </c>
      <c r="BJ33" s="162">
        <v>284.02012999999999</v>
      </c>
      <c r="BK33" s="151">
        <v>180</v>
      </c>
      <c r="BL33" s="151">
        <v>171</v>
      </c>
      <c r="BM33" s="151">
        <v>190</v>
      </c>
      <c r="BN33" s="151">
        <v>183</v>
      </c>
      <c r="BO33" s="151">
        <v>162</v>
      </c>
      <c r="BP33" s="151">
        <v>138</v>
      </c>
      <c r="BQ33" s="151">
        <v>158</v>
      </c>
      <c r="BR33" s="151">
        <v>185</v>
      </c>
      <c r="BS33" s="151">
        <v>241</v>
      </c>
      <c r="BT33" s="151">
        <v>349</v>
      </c>
      <c r="BU33" s="163">
        <v>213</v>
      </c>
      <c r="BV33" s="115"/>
      <c r="BW33" s="184">
        <f t="shared" si="6"/>
        <v>-38.968481375358166</v>
      </c>
      <c r="BX33" s="184">
        <f t="shared" si="7"/>
        <v>-40.058426992979214</v>
      </c>
      <c r="BZ33" s="208">
        <f t="shared" si="8"/>
        <v>3.4429339376007968E-4</v>
      </c>
      <c r="CB33" s="138" t="s">
        <v>580</v>
      </c>
    </row>
    <row r="34" spans="1:157" s="215" customFormat="1" ht="15" customHeight="1" x14ac:dyDescent="0.25">
      <c r="A34" s="141" t="s">
        <v>271</v>
      </c>
      <c r="B34" s="147">
        <v>92655.137089999989</v>
      </c>
      <c r="C34" s="147">
        <v>92866.396690000009</v>
      </c>
      <c r="D34" s="147">
        <v>106604.42507</v>
      </c>
      <c r="E34" s="147">
        <v>109958.46356</v>
      </c>
      <c r="F34" s="147">
        <v>116778.32325</v>
      </c>
      <c r="G34" s="147">
        <v>113767.69843</v>
      </c>
      <c r="H34" s="147">
        <v>115645.51587999998</v>
      </c>
      <c r="I34" s="147">
        <v>109182.72032000002</v>
      </c>
      <c r="J34" s="147">
        <v>110498.09689999999</v>
      </c>
      <c r="K34" s="147">
        <v>104917.56368000001</v>
      </c>
      <c r="L34" s="147">
        <v>102883.56712999998</v>
      </c>
      <c r="M34" s="323">
        <v>100796.38123</v>
      </c>
      <c r="N34" s="147">
        <v>108824.88355</v>
      </c>
      <c r="O34" s="147">
        <v>109269.87178</v>
      </c>
      <c r="P34" s="147">
        <v>110514.29460000001</v>
      </c>
      <c r="Q34" s="147">
        <v>122331.8383</v>
      </c>
      <c r="R34" s="147">
        <v>111437.69012</v>
      </c>
      <c r="S34" s="147">
        <v>114903.48625000002</v>
      </c>
      <c r="T34" s="147">
        <v>116164.31674999998</v>
      </c>
      <c r="U34" s="147">
        <v>114783.61709</v>
      </c>
      <c r="V34" s="147">
        <v>114687.78538</v>
      </c>
      <c r="W34" s="147">
        <v>111612.10404999998</v>
      </c>
      <c r="X34" s="147">
        <v>114077.63072999999</v>
      </c>
      <c r="Y34" s="147">
        <v>114783.99841000003</v>
      </c>
      <c r="Z34" s="272">
        <v>116309.86513000001</v>
      </c>
      <c r="AA34" s="147">
        <v>107962.99498</v>
      </c>
      <c r="AB34" s="147">
        <v>105695.29974</v>
      </c>
      <c r="AC34" s="147">
        <v>109593.76611000001</v>
      </c>
      <c r="AD34" s="147">
        <v>104164.06481000003</v>
      </c>
      <c r="AE34" s="147">
        <v>107592.73339000001</v>
      </c>
      <c r="AF34" s="147">
        <v>120379.43546000002</v>
      </c>
      <c r="AG34" s="147">
        <v>119853.10445</v>
      </c>
      <c r="AH34" s="147">
        <v>116950.55643000001</v>
      </c>
      <c r="AI34" s="147">
        <v>118261.46297999998</v>
      </c>
      <c r="AJ34" s="147">
        <v>115150.87066000002</v>
      </c>
      <c r="AK34" s="147">
        <v>121355.28947</v>
      </c>
      <c r="AL34" s="272">
        <v>123835.02716000001</v>
      </c>
      <c r="AM34" s="147">
        <v>126765.45770999997</v>
      </c>
      <c r="AN34" s="147">
        <v>119368.90824</v>
      </c>
      <c r="AO34" s="147">
        <v>119683.89088999998</v>
      </c>
      <c r="AP34" s="147">
        <v>120569.4439</v>
      </c>
      <c r="AQ34" s="147">
        <v>121320.12177000003</v>
      </c>
      <c r="AR34" s="147">
        <v>124116.14372000001</v>
      </c>
      <c r="AS34" s="147">
        <v>125772.11078</v>
      </c>
      <c r="AT34" s="147">
        <v>126964.27645999998</v>
      </c>
      <c r="AU34" s="147">
        <v>125979.31030999999</v>
      </c>
      <c r="AV34" s="147">
        <v>132630.22442999997</v>
      </c>
      <c r="AW34" s="323">
        <v>137409.80161999998</v>
      </c>
      <c r="AX34" s="147">
        <v>133527.27928000002</v>
      </c>
      <c r="AY34" s="147">
        <v>139143.98638999998</v>
      </c>
      <c r="AZ34" s="147">
        <v>131671.30481999999</v>
      </c>
      <c r="BA34" s="147">
        <v>131199.05880999999</v>
      </c>
      <c r="BB34" s="147">
        <v>131099.4589</v>
      </c>
      <c r="BC34" s="147">
        <v>142133.82227</v>
      </c>
      <c r="BD34" s="147">
        <v>142967.82871999999</v>
      </c>
      <c r="BE34" s="147">
        <v>135415.11665000001</v>
      </c>
      <c r="BF34" s="147">
        <v>135425.74399000002</v>
      </c>
      <c r="BG34" s="147">
        <v>138002.02588999999</v>
      </c>
      <c r="BH34" s="147">
        <v>135449.48796999999</v>
      </c>
      <c r="BI34" s="323">
        <v>143286.07875000002</v>
      </c>
      <c r="BJ34" s="272">
        <v>144020.17373000001</v>
      </c>
      <c r="BK34" s="147">
        <v>136997.4</v>
      </c>
      <c r="BL34" s="147">
        <v>147176</v>
      </c>
      <c r="BM34" s="147">
        <v>163002.5</v>
      </c>
      <c r="BN34" s="147">
        <v>171689</v>
      </c>
      <c r="BO34" s="147">
        <v>171060.5</v>
      </c>
      <c r="BP34" s="147">
        <v>170782</v>
      </c>
      <c r="BQ34" s="147">
        <v>171835.63034000003</v>
      </c>
      <c r="BR34" s="147">
        <v>170297.5</v>
      </c>
      <c r="BS34" s="147">
        <v>185065</v>
      </c>
      <c r="BT34" s="147">
        <v>179156.5</v>
      </c>
      <c r="BU34" s="323">
        <v>198020</v>
      </c>
      <c r="BV34" s="426"/>
      <c r="BW34" s="179">
        <f t="shared" si="6"/>
        <v>10.529062579364968</v>
      </c>
      <c r="BX34" s="179">
        <f t="shared" si="7"/>
        <v>38.199050268866387</v>
      </c>
      <c r="BZ34" s="419">
        <f t="shared" si="8"/>
        <v>0.17458338035201232</v>
      </c>
      <c r="CB34" s="141" t="s">
        <v>581</v>
      </c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</row>
    <row r="35" spans="1:157" ht="15" customHeight="1" x14ac:dyDescent="0.25">
      <c r="A35" s="133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199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3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3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199"/>
      <c r="AX35" s="230"/>
      <c r="AY35" s="230"/>
      <c r="AZ35" s="230"/>
      <c r="BA35" s="230"/>
      <c r="BB35" s="230"/>
      <c r="BC35" s="230"/>
      <c r="BD35" s="230"/>
      <c r="BE35" s="230"/>
      <c r="BF35" s="230"/>
      <c r="BG35" s="230"/>
      <c r="BH35" s="230"/>
      <c r="BI35" s="199"/>
      <c r="BJ35" s="233"/>
      <c r="BK35" s="230"/>
      <c r="BL35" s="230"/>
      <c r="BM35" s="230"/>
      <c r="BN35" s="230"/>
      <c r="BO35" s="230"/>
      <c r="BP35" s="230"/>
      <c r="BQ35" s="230"/>
      <c r="BR35" s="230"/>
      <c r="BS35" s="230"/>
      <c r="BT35" s="230"/>
      <c r="BU35" s="199"/>
      <c r="BV35" s="115"/>
      <c r="BW35" s="177"/>
      <c r="BX35" s="177"/>
      <c r="BZ35" s="127"/>
      <c r="CB35" s="133"/>
    </row>
    <row r="36" spans="1:157" ht="15" customHeight="1" x14ac:dyDescent="0.25">
      <c r="A36" s="126" t="s">
        <v>155</v>
      </c>
      <c r="B36" s="250">
        <v>1.2724457879714952</v>
      </c>
      <c r="C36" s="250">
        <v>1.2762631253354098</v>
      </c>
      <c r="D36" s="250">
        <v>1.2859627250879588</v>
      </c>
      <c r="E36" s="250">
        <v>1.2909779797158021</v>
      </c>
      <c r="F36" s="250">
        <v>1.2982074564022108</v>
      </c>
      <c r="G36" s="250">
        <v>1.302491541008338</v>
      </c>
      <c r="H36" s="250">
        <v>1.3083527529428765</v>
      </c>
      <c r="I36" s="250">
        <v>1.3133244934040593</v>
      </c>
      <c r="J36" s="250">
        <v>1.3137184907520796</v>
      </c>
      <c r="K36" s="250">
        <v>1.3155576966391334</v>
      </c>
      <c r="L36" s="250">
        <v>1.3200305928077065</v>
      </c>
      <c r="M36" s="250">
        <v>1.3259707304753412</v>
      </c>
      <c r="N36" s="250">
        <v>1.3308768221781</v>
      </c>
      <c r="O36" s="250">
        <v>1.3331393127758029</v>
      </c>
      <c r="P36" s="250">
        <v>1.3411381486524576</v>
      </c>
      <c r="Q36" s="250">
        <v>1.3412722624673228</v>
      </c>
      <c r="R36" s="250">
        <v>1.3440889342185038</v>
      </c>
      <c r="S36" s="250">
        <v>1.3459706587264098</v>
      </c>
      <c r="T36" s="250">
        <v>1.3470474352533908</v>
      </c>
      <c r="U36" s="250">
        <v>1.3518968060203032</v>
      </c>
      <c r="V36" s="250">
        <v>1.3547357893129455</v>
      </c>
      <c r="W36" s="250">
        <v>1.3602902060491286</v>
      </c>
      <c r="X36" s="250">
        <v>1.3642350476466711</v>
      </c>
      <c r="Y36" s="250">
        <v>1.3687370233039053</v>
      </c>
      <c r="Z36" s="250">
        <v>1.3720219921598344</v>
      </c>
      <c r="AA36" s="250">
        <v>1.376412462534746</v>
      </c>
      <c r="AB36" s="250">
        <v>1.3943058245476976</v>
      </c>
      <c r="AC36" s="250">
        <v>1.3906806294038736</v>
      </c>
      <c r="AD36" s="250">
        <v>1.3848397707603775</v>
      </c>
      <c r="AE36" s="250">
        <v>1.382624027127161</v>
      </c>
      <c r="AF36" s="250">
        <v>1.3853892751814154</v>
      </c>
      <c r="AG36" s="250">
        <v>1.394671383325131</v>
      </c>
      <c r="AH36" s="250">
        <v>1.3943924490484658</v>
      </c>
      <c r="AI36" s="250">
        <v>1.3878388045379382</v>
      </c>
      <c r="AJ36" s="250">
        <v>1.385063126928862</v>
      </c>
      <c r="AK36" s="250">
        <v>1.3872792279319484</v>
      </c>
      <c r="AL36" s="250">
        <v>1.3890826909282596</v>
      </c>
      <c r="AM36" s="250">
        <v>1.3925553976555805</v>
      </c>
      <c r="AN36" s="250">
        <v>1.3993789191040926</v>
      </c>
      <c r="AO36" s="250">
        <v>1.3974197886173472</v>
      </c>
      <c r="AP36" s="250">
        <v>1.3976992725750705</v>
      </c>
      <c r="AQ36" s="250">
        <v>1.4023116801745681</v>
      </c>
      <c r="AR36" s="250">
        <v>1.4076404645592313</v>
      </c>
      <c r="AS36" s="250">
        <v>1.4094703971631584</v>
      </c>
      <c r="AT36" s="250">
        <v>1.4121483909177683</v>
      </c>
      <c r="AU36" s="250">
        <v>1.4132781096305025</v>
      </c>
      <c r="AV36" s="250">
        <v>1.414974043362059</v>
      </c>
      <c r="AW36" s="250">
        <v>1.4175209966401108</v>
      </c>
      <c r="AX36" s="250">
        <v>1.4185132613377587</v>
      </c>
      <c r="AY36" s="250">
        <v>1.4203573285774977</v>
      </c>
      <c r="AZ36" s="250">
        <v>1.4307259370761134</v>
      </c>
      <c r="BA36" s="250">
        <v>1.4335873889502657</v>
      </c>
      <c r="BB36" s="250">
        <v>1.4357377700336911</v>
      </c>
      <c r="BC36" s="250">
        <v>1.4344456060406607</v>
      </c>
      <c r="BD36" s="250">
        <v>1.4373144972527421</v>
      </c>
      <c r="BE36" s="250">
        <v>1.4381768859510939</v>
      </c>
      <c r="BF36" s="250">
        <v>1.438320703639689</v>
      </c>
      <c r="BG36" s="250">
        <v>1.4399028564136926</v>
      </c>
      <c r="BH36" s="250">
        <v>1.4414867495557475</v>
      </c>
      <c r="BI36" s="250">
        <v>1.4445138717298147</v>
      </c>
      <c r="BJ36" s="250">
        <v>1.4452361286656796</v>
      </c>
      <c r="BK36" s="250"/>
      <c r="BL36" s="250"/>
      <c r="BM36" s="250"/>
      <c r="BN36" s="250"/>
      <c r="BO36" s="250"/>
      <c r="BP36" s="250"/>
      <c r="BQ36" s="250"/>
      <c r="BR36" s="250"/>
      <c r="BS36" s="250"/>
      <c r="BT36" s="250"/>
      <c r="BU36" s="250"/>
    </row>
    <row r="37" spans="1:157" ht="15" customHeight="1" x14ac:dyDescent="0.25">
      <c r="A37" s="126" t="s">
        <v>322</v>
      </c>
    </row>
    <row r="38" spans="1:157" ht="15" customHeight="1" x14ac:dyDescent="0.25">
      <c r="A38" s="126" t="s">
        <v>325</v>
      </c>
    </row>
  </sheetData>
  <printOptions horizontalCentered="1" verticalCentered="1"/>
  <pageMargins left="0.75" right="0.75" top="1" bottom="1" header="0" footer="0"/>
  <pageSetup paperSize="9" scale="18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Y34"/>
  <sheetViews>
    <sheetView showGridLines="0" view="pageBreakPreview" zoomScaleNormal="70" zoomScaleSheetLayoutView="100" workbookViewId="0">
      <pane xSplit="1" topLeftCell="AZ1" activePane="topRight" state="frozen"/>
      <selection activeCell="DO55" sqref="DO55:EP55"/>
      <selection pane="topRight"/>
    </sheetView>
  </sheetViews>
  <sheetFormatPr baseColWidth="10" defaultColWidth="9.7109375" defaultRowHeight="15" customHeight="1" x14ac:dyDescent="0.25"/>
  <cols>
    <col min="1" max="1" width="30.7109375" style="126" customWidth="1"/>
    <col min="2" max="73" width="9.7109375" style="126"/>
    <col min="74" max="74" width="1.7109375" customWidth="1"/>
    <col min="75" max="77" width="9.7109375" style="126"/>
  </cols>
  <sheetData>
    <row r="1" spans="1:77" ht="15" customHeight="1" x14ac:dyDescent="0.25">
      <c r="A1" s="125" t="s">
        <v>302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W1" s="169"/>
      <c r="BX1" s="169"/>
    </row>
    <row r="2" spans="1:77" ht="15" customHeight="1" x14ac:dyDescent="0.25">
      <c r="A2" s="125" t="s">
        <v>213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W2" s="169"/>
      <c r="BX2" s="169"/>
    </row>
    <row r="3" spans="1:77" ht="15" customHeight="1" x14ac:dyDescent="0.25">
      <c r="A3" s="128" t="s">
        <v>200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W3" s="169"/>
      <c r="BX3" s="169"/>
    </row>
    <row r="4" spans="1:77" ht="15" customHeight="1" x14ac:dyDescent="0.25">
      <c r="A4" s="129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377"/>
      <c r="N4" s="102">
        <v>2016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377"/>
      <c r="Z4" s="102">
        <v>2017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377"/>
      <c r="AL4" s="102">
        <v>2018</v>
      </c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377"/>
      <c r="AX4" s="102">
        <v>2019</v>
      </c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377"/>
      <c r="BJ4" s="102">
        <v>2020</v>
      </c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377"/>
      <c r="BW4" s="428" t="s">
        <v>613</v>
      </c>
      <c r="BX4" s="428"/>
    </row>
    <row r="5" spans="1:77" ht="15" customHeight="1" x14ac:dyDescent="0.25">
      <c r="A5" s="133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378">
        <v>42339</v>
      </c>
      <c r="N5" s="106">
        <v>42370</v>
      </c>
      <c r="O5" s="107">
        <v>42401</v>
      </c>
      <c r="P5" s="107">
        <v>42430</v>
      </c>
      <c r="Q5" s="107">
        <v>42461</v>
      </c>
      <c r="R5" s="107">
        <v>42491</v>
      </c>
      <c r="S5" s="107">
        <v>42522</v>
      </c>
      <c r="T5" s="107">
        <v>42552</v>
      </c>
      <c r="U5" s="107">
        <v>42583</v>
      </c>
      <c r="V5" s="107">
        <v>42614</v>
      </c>
      <c r="W5" s="107">
        <v>42644</v>
      </c>
      <c r="X5" s="107">
        <v>42675</v>
      </c>
      <c r="Y5" s="378">
        <v>42705</v>
      </c>
      <c r="Z5" s="106">
        <v>42736</v>
      </c>
      <c r="AA5" s="107">
        <v>42767</v>
      </c>
      <c r="AB5" s="107">
        <v>42795</v>
      </c>
      <c r="AC5" s="107">
        <v>42826</v>
      </c>
      <c r="AD5" s="107">
        <v>42856</v>
      </c>
      <c r="AE5" s="107">
        <v>42887</v>
      </c>
      <c r="AF5" s="107">
        <v>42917</v>
      </c>
      <c r="AG5" s="107">
        <v>42948</v>
      </c>
      <c r="AH5" s="107">
        <v>42979</v>
      </c>
      <c r="AI5" s="107">
        <v>43009</v>
      </c>
      <c r="AJ5" s="107">
        <v>43040</v>
      </c>
      <c r="AK5" s="378">
        <v>43070</v>
      </c>
      <c r="AL5" s="106">
        <v>43101</v>
      </c>
      <c r="AM5" s="107">
        <v>43132</v>
      </c>
      <c r="AN5" s="107">
        <v>43160</v>
      </c>
      <c r="AO5" s="107">
        <v>43191</v>
      </c>
      <c r="AP5" s="107">
        <v>43221</v>
      </c>
      <c r="AQ5" s="107">
        <v>43252</v>
      </c>
      <c r="AR5" s="107">
        <v>43282</v>
      </c>
      <c r="AS5" s="107">
        <v>43313</v>
      </c>
      <c r="AT5" s="107">
        <v>43344</v>
      </c>
      <c r="AU5" s="107">
        <v>43374</v>
      </c>
      <c r="AV5" s="107">
        <v>43405</v>
      </c>
      <c r="AW5" s="378">
        <v>43435</v>
      </c>
      <c r="AX5" s="106">
        <v>43466</v>
      </c>
      <c r="AY5" s="107">
        <v>43497</v>
      </c>
      <c r="AZ5" s="107">
        <v>43525</v>
      </c>
      <c r="BA5" s="107">
        <v>43556</v>
      </c>
      <c r="BB5" s="107">
        <v>43586</v>
      </c>
      <c r="BC5" s="107">
        <v>43617</v>
      </c>
      <c r="BD5" s="107">
        <v>43647</v>
      </c>
      <c r="BE5" s="107">
        <v>43678</v>
      </c>
      <c r="BF5" s="107">
        <v>43709</v>
      </c>
      <c r="BG5" s="107">
        <v>43739</v>
      </c>
      <c r="BH5" s="107">
        <v>43770</v>
      </c>
      <c r="BI5" s="378">
        <v>43800</v>
      </c>
      <c r="BJ5" s="106">
        <v>43831</v>
      </c>
      <c r="BK5" s="107">
        <v>43862</v>
      </c>
      <c r="BL5" s="107">
        <v>43891</v>
      </c>
      <c r="BM5" s="107">
        <v>43922</v>
      </c>
      <c r="BN5" s="107">
        <v>43952</v>
      </c>
      <c r="BO5" s="107">
        <v>43983</v>
      </c>
      <c r="BP5" s="107">
        <v>44013</v>
      </c>
      <c r="BQ5" s="107">
        <v>44044</v>
      </c>
      <c r="BR5" s="107">
        <v>44075</v>
      </c>
      <c r="BS5" s="107">
        <v>44105</v>
      </c>
      <c r="BT5" s="107">
        <v>44136</v>
      </c>
      <c r="BU5" s="378">
        <v>44166</v>
      </c>
      <c r="BW5" s="321" t="s">
        <v>96</v>
      </c>
      <c r="BX5" s="321" t="s">
        <v>97</v>
      </c>
    </row>
    <row r="6" spans="1:77" ht="15" customHeight="1" x14ac:dyDescent="0.25">
      <c r="A6" s="129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  <c r="N6" s="164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6"/>
      <c r="Z6" s="164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6"/>
      <c r="AL6" s="164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6"/>
      <c r="AX6" s="164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6"/>
      <c r="BJ6" s="164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6"/>
      <c r="BW6" s="176"/>
      <c r="BX6" s="176"/>
    </row>
    <row r="7" spans="1:77" ht="15" customHeight="1" x14ac:dyDescent="0.25">
      <c r="A7" s="141" t="s">
        <v>193</v>
      </c>
      <c r="B7" s="272">
        <f t="shared" ref="B7:BH7" si="0">SUM(B9,B15,B21)</f>
        <v>583045.57504999998</v>
      </c>
      <c r="C7" s="147">
        <f t="shared" si="0"/>
        <v>591496.69368000003</v>
      </c>
      <c r="D7" s="147">
        <f t="shared" si="0"/>
        <v>658021.27730999992</v>
      </c>
      <c r="E7" s="147">
        <f t="shared" si="0"/>
        <v>632442.26212999993</v>
      </c>
      <c r="F7" s="147">
        <f t="shared" si="0"/>
        <v>639449.61333000008</v>
      </c>
      <c r="G7" s="147">
        <f t="shared" si="0"/>
        <v>616101.27479000005</v>
      </c>
      <c r="H7" s="147">
        <f t="shared" si="0"/>
        <v>634836.11985000002</v>
      </c>
      <c r="I7" s="147">
        <f t="shared" si="0"/>
        <v>618946.12922999985</v>
      </c>
      <c r="J7" s="147">
        <f t="shared" si="0"/>
        <v>633976.50350999995</v>
      </c>
      <c r="K7" s="147">
        <f t="shared" si="0"/>
        <v>638733.55443999998</v>
      </c>
      <c r="L7" s="147">
        <f t="shared" si="0"/>
        <v>667800.96283000009</v>
      </c>
      <c r="M7" s="273">
        <f t="shared" si="0"/>
        <v>668901.74524999992</v>
      </c>
      <c r="N7" s="272">
        <f t="shared" si="0"/>
        <v>675911.92612000008</v>
      </c>
      <c r="O7" s="147">
        <f t="shared" si="0"/>
        <v>664006.49556999991</v>
      </c>
      <c r="P7" s="147">
        <f t="shared" si="0"/>
        <v>643290.71406000003</v>
      </c>
      <c r="Q7" s="147">
        <f t="shared" si="0"/>
        <v>682851.75054000004</v>
      </c>
      <c r="R7" s="147">
        <f t="shared" si="0"/>
        <v>670420.48010000016</v>
      </c>
      <c r="S7" s="147">
        <f t="shared" si="0"/>
        <v>659649.44102000003</v>
      </c>
      <c r="T7" s="147">
        <f t="shared" si="0"/>
        <v>667721.13208999985</v>
      </c>
      <c r="U7" s="147">
        <f t="shared" si="0"/>
        <v>651539.36076000007</v>
      </c>
      <c r="V7" s="147">
        <f t="shared" si="0"/>
        <v>672127.02850000001</v>
      </c>
      <c r="W7" s="147">
        <f t="shared" si="0"/>
        <v>655459.18515000003</v>
      </c>
      <c r="X7" s="147">
        <f t="shared" si="0"/>
        <v>671821.89497999998</v>
      </c>
      <c r="Y7" s="273">
        <f t="shared" si="0"/>
        <v>684816.91616999998</v>
      </c>
      <c r="Z7" s="272">
        <f t="shared" si="0"/>
        <v>659832.38014000002</v>
      </c>
      <c r="AA7" s="147">
        <f t="shared" si="0"/>
        <v>661026.97395999986</v>
      </c>
      <c r="AB7" s="147">
        <f t="shared" si="0"/>
        <v>690647.55176000006</v>
      </c>
      <c r="AC7" s="147">
        <f t="shared" si="0"/>
        <v>683734.94013</v>
      </c>
      <c r="AD7" s="147">
        <f t="shared" si="0"/>
        <v>673503.42256999994</v>
      </c>
      <c r="AE7" s="147">
        <f t="shared" si="0"/>
        <v>706075.75634000008</v>
      </c>
      <c r="AF7" s="147">
        <f t="shared" si="0"/>
        <v>721070.27203999995</v>
      </c>
      <c r="AG7" s="147">
        <f t="shared" si="0"/>
        <v>695929.55529000005</v>
      </c>
      <c r="AH7" s="147">
        <f t="shared" si="0"/>
        <v>690144.94775000005</v>
      </c>
      <c r="AI7" s="147">
        <f t="shared" si="0"/>
        <v>688699.8017500001</v>
      </c>
      <c r="AJ7" s="147">
        <f t="shared" si="0"/>
        <v>703845.36740999995</v>
      </c>
      <c r="AK7" s="273">
        <f t="shared" si="0"/>
        <v>704754.15498999995</v>
      </c>
      <c r="AL7" s="272">
        <f t="shared" si="0"/>
        <v>718706.94874000002</v>
      </c>
      <c r="AM7" s="147">
        <f t="shared" si="0"/>
        <v>707911.67400999996</v>
      </c>
      <c r="AN7" s="147">
        <f t="shared" si="0"/>
        <v>719348.20271999994</v>
      </c>
      <c r="AO7" s="147">
        <f t="shared" si="0"/>
        <v>753070.99046</v>
      </c>
      <c r="AP7" s="147">
        <f t="shared" si="0"/>
        <v>770800.55800000008</v>
      </c>
      <c r="AQ7" s="147">
        <f t="shared" si="0"/>
        <v>777686.29706000013</v>
      </c>
      <c r="AR7" s="147">
        <f t="shared" si="0"/>
        <v>800227.38225000014</v>
      </c>
      <c r="AS7" s="147">
        <f t="shared" si="0"/>
        <v>784634.49407000002</v>
      </c>
      <c r="AT7" s="147">
        <f t="shared" si="0"/>
        <v>792780.35519000003</v>
      </c>
      <c r="AU7" s="147">
        <f t="shared" si="0"/>
        <v>783696.74288000003</v>
      </c>
      <c r="AV7" s="147">
        <f t="shared" si="0"/>
        <v>770019.32574</v>
      </c>
      <c r="AW7" s="273">
        <f t="shared" si="0"/>
        <v>772585.17899999989</v>
      </c>
      <c r="AX7" s="272">
        <f t="shared" si="0"/>
        <v>802764.88426999992</v>
      </c>
      <c r="AY7" s="147">
        <f t="shared" si="0"/>
        <v>870159.74019000004</v>
      </c>
      <c r="AZ7" s="147">
        <f t="shared" si="0"/>
        <v>920720.18507999997</v>
      </c>
      <c r="BA7" s="147">
        <f t="shared" si="0"/>
        <v>914149.31072000018</v>
      </c>
      <c r="BB7" s="147">
        <f t="shared" si="0"/>
        <v>887703.61211999995</v>
      </c>
      <c r="BC7" s="147">
        <f t="shared" si="0"/>
        <v>894722.57442000008</v>
      </c>
      <c r="BD7" s="147">
        <f t="shared" si="0"/>
        <v>853442.26635000017</v>
      </c>
      <c r="BE7" s="147">
        <f t="shared" si="0"/>
        <v>871845.38057000015</v>
      </c>
      <c r="BF7" s="147">
        <f t="shared" si="0"/>
        <v>884926.22344999993</v>
      </c>
      <c r="BG7" s="147">
        <f t="shared" si="0"/>
        <v>842364.18200999999</v>
      </c>
      <c r="BH7" s="147">
        <f t="shared" si="0"/>
        <v>865265.51609000005</v>
      </c>
      <c r="BI7" s="273">
        <f t="shared" ref="BI7:BU7" si="1">SUM(BI9,BI15,BI21)</f>
        <v>846436.73523000011</v>
      </c>
      <c r="BJ7" s="272">
        <f t="shared" si="1"/>
        <v>824936.33379999991</v>
      </c>
      <c r="BK7" s="147">
        <f t="shared" si="1"/>
        <v>831127.8</v>
      </c>
      <c r="BL7" s="147">
        <f t="shared" si="1"/>
        <v>848828.6</v>
      </c>
      <c r="BM7" s="147">
        <f t="shared" si="1"/>
        <v>842292.70000000007</v>
      </c>
      <c r="BN7" s="147">
        <f t="shared" si="1"/>
        <v>982236</v>
      </c>
      <c r="BO7" s="147">
        <f t="shared" si="1"/>
        <v>1083320.8999999999</v>
      </c>
      <c r="BP7" s="147">
        <f t="shared" si="1"/>
        <v>1163388.8</v>
      </c>
      <c r="BQ7" s="147">
        <f t="shared" si="1"/>
        <v>1190864.8</v>
      </c>
      <c r="BR7" s="147">
        <f t="shared" si="1"/>
        <v>838513.1</v>
      </c>
      <c r="BS7" s="147">
        <f t="shared" si="1"/>
        <v>1285190.8</v>
      </c>
      <c r="BT7" s="147">
        <f t="shared" si="1"/>
        <v>1304414</v>
      </c>
      <c r="BU7" s="273">
        <f t="shared" si="1"/>
        <v>1324629.6000000001</v>
      </c>
      <c r="BV7" s="111"/>
      <c r="BW7" s="179">
        <f>IFERROR(((BU7/BT7)-1)*100,"-")</f>
        <v>1.5497840409563368</v>
      </c>
      <c r="BX7" s="179">
        <f>IFERROR(((BU7/BI7)-1)*100,"-")</f>
        <v>56.494814658541713</v>
      </c>
      <c r="BY7" s="432"/>
    </row>
    <row r="8" spans="1:77" ht="15" customHeight="1" x14ac:dyDescent="0.25">
      <c r="A8" s="138"/>
      <c r="B8" s="162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241"/>
      <c r="N8" s="162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241"/>
      <c r="Z8" s="162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241"/>
      <c r="AL8" s="162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241"/>
      <c r="AX8" s="162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241"/>
      <c r="BJ8" s="162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241"/>
      <c r="BW8" s="184"/>
      <c r="BX8" s="184"/>
      <c r="BY8" s="175"/>
    </row>
    <row r="9" spans="1:77" ht="15" customHeight="1" x14ac:dyDescent="0.25">
      <c r="A9" s="433" t="s">
        <v>102</v>
      </c>
      <c r="B9" s="267">
        <f t="shared" ref="B9:AH9" si="2">SUM(B10:B13)</f>
        <v>229490.63738999999</v>
      </c>
      <c r="C9" s="229">
        <f t="shared" si="2"/>
        <v>237613.76188000001</v>
      </c>
      <c r="D9" s="229">
        <f t="shared" si="2"/>
        <v>306044.84236000001</v>
      </c>
      <c r="E9" s="229">
        <f t="shared" si="2"/>
        <v>281168.42179999995</v>
      </c>
      <c r="F9" s="229">
        <f t="shared" si="2"/>
        <v>286560.57803999999</v>
      </c>
      <c r="G9" s="229">
        <f t="shared" si="2"/>
        <v>252941.35360000003</v>
      </c>
      <c r="H9" s="229">
        <f t="shared" si="2"/>
        <v>269536.55786</v>
      </c>
      <c r="I9" s="229">
        <f t="shared" si="2"/>
        <v>244450.05589999995</v>
      </c>
      <c r="J9" s="229">
        <f t="shared" si="2"/>
        <v>267314.85508000001</v>
      </c>
      <c r="K9" s="229">
        <f t="shared" si="2"/>
        <v>265430.15764000005</v>
      </c>
      <c r="L9" s="229">
        <f t="shared" si="2"/>
        <v>277311.98732000001</v>
      </c>
      <c r="M9" s="268">
        <f t="shared" si="2"/>
        <v>271618.67958</v>
      </c>
      <c r="N9" s="267">
        <f t="shared" si="2"/>
        <v>265467.64977000002</v>
      </c>
      <c r="O9" s="229">
        <f t="shared" si="2"/>
        <v>273928.36410999997</v>
      </c>
      <c r="P9" s="229">
        <f t="shared" si="2"/>
        <v>262769.23790000001</v>
      </c>
      <c r="Q9" s="229">
        <f t="shared" si="2"/>
        <v>289399.32985000004</v>
      </c>
      <c r="R9" s="229">
        <f t="shared" si="2"/>
        <v>275271.91554000007</v>
      </c>
      <c r="S9" s="229">
        <f t="shared" si="2"/>
        <v>261084.92717999997</v>
      </c>
      <c r="T9" s="229">
        <f t="shared" si="2"/>
        <v>266981.76571999997</v>
      </c>
      <c r="U9" s="229">
        <f t="shared" si="2"/>
        <v>251441.63225000002</v>
      </c>
      <c r="V9" s="229">
        <f t="shared" si="2"/>
        <v>263552.75573999999</v>
      </c>
      <c r="W9" s="229">
        <f t="shared" si="2"/>
        <v>249529.19625000004</v>
      </c>
      <c r="X9" s="229">
        <f t="shared" si="2"/>
        <v>263037.58693000005</v>
      </c>
      <c r="Y9" s="268">
        <f t="shared" si="2"/>
        <v>253201.84903999997</v>
      </c>
      <c r="Z9" s="267">
        <f t="shared" si="2"/>
        <v>236450.45147999999</v>
      </c>
      <c r="AA9" s="229">
        <f t="shared" si="2"/>
        <v>263049.74367</v>
      </c>
      <c r="AB9" s="229">
        <f t="shared" si="2"/>
        <v>296326.64800999995</v>
      </c>
      <c r="AC9" s="229">
        <f t="shared" si="2"/>
        <v>286411.58980999998</v>
      </c>
      <c r="AD9" s="229">
        <f t="shared" si="2"/>
        <v>274263.64705999999</v>
      </c>
      <c r="AE9" s="229">
        <f t="shared" si="2"/>
        <v>303274.72949</v>
      </c>
      <c r="AF9" s="229">
        <f t="shared" si="2"/>
        <v>309356.40339999995</v>
      </c>
      <c r="AG9" s="229">
        <f t="shared" si="2"/>
        <v>282551.89918000001</v>
      </c>
      <c r="AH9" s="229">
        <f t="shared" si="2"/>
        <v>272604.48669000005</v>
      </c>
      <c r="AI9" s="229">
        <f t="shared" ref="AI9:BI9" si="3">SUM(AI10:AI13)</f>
        <v>278753.72310000006</v>
      </c>
      <c r="AJ9" s="229">
        <f t="shared" si="3"/>
        <v>283541.95393999998</v>
      </c>
      <c r="AK9" s="268">
        <f t="shared" si="3"/>
        <v>264475.97117999999</v>
      </c>
      <c r="AL9" s="267">
        <f t="shared" si="3"/>
        <v>279071.52294</v>
      </c>
      <c r="AM9" s="229">
        <f t="shared" si="3"/>
        <v>266939.18182999996</v>
      </c>
      <c r="AN9" s="229">
        <f t="shared" si="3"/>
        <v>279867.17181000003</v>
      </c>
      <c r="AO9" s="229">
        <f t="shared" si="3"/>
        <v>312986.24831</v>
      </c>
      <c r="AP9" s="229">
        <f t="shared" si="3"/>
        <v>326073.29430000007</v>
      </c>
      <c r="AQ9" s="229">
        <f t="shared" si="3"/>
        <v>320069.12104</v>
      </c>
      <c r="AR9" s="229">
        <f t="shared" si="3"/>
        <v>322768.07823000004</v>
      </c>
      <c r="AS9" s="229">
        <f t="shared" si="3"/>
        <v>304544.77529999998</v>
      </c>
      <c r="AT9" s="229">
        <f t="shared" si="3"/>
        <v>311945.96232999995</v>
      </c>
      <c r="AU9" s="229">
        <f t="shared" si="3"/>
        <v>295174.99947999994</v>
      </c>
      <c r="AV9" s="229">
        <f t="shared" si="3"/>
        <v>276263.71707000001</v>
      </c>
      <c r="AW9" s="268">
        <f t="shared" si="3"/>
        <v>267919.19516</v>
      </c>
      <c r="AX9" s="267">
        <f t="shared" si="3"/>
        <v>285692.93533999997</v>
      </c>
      <c r="AY9" s="229">
        <f t="shared" si="3"/>
        <v>359056.64587000001</v>
      </c>
      <c r="AZ9" s="229">
        <f t="shared" si="3"/>
        <v>411535.11880999996</v>
      </c>
      <c r="BA9" s="229">
        <f t="shared" si="3"/>
        <v>408039.66851000005</v>
      </c>
      <c r="BB9" s="229">
        <f t="shared" si="3"/>
        <v>360926.79339999997</v>
      </c>
      <c r="BC9" s="229">
        <f t="shared" si="3"/>
        <v>375364.61677999998</v>
      </c>
      <c r="BD9" s="229">
        <f t="shared" si="3"/>
        <v>323925.53248000011</v>
      </c>
      <c r="BE9" s="229">
        <f t="shared" si="3"/>
        <v>341420.72019000008</v>
      </c>
      <c r="BF9" s="229">
        <f t="shared" si="3"/>
        <v>344127.49371999991</v>
      </c>
      <c r="BG9" s="229">
        <f t="shared" si="3"/>
        <v>295516.21600999997</v>
      </c>
      <c r="BH9" s="229">
        <f t="shared" si="3"/>
        <v>312125.24287000002</v>
      </c>
      <c r="BI9" s="268">
        <f t="shared" si="3"/>
        <v>280431.98842000001</v>
      </c>
      <c r="BJ9" s="267">
        <f t="shared" ref="BJ9:BU9" si="4">SUM(BJ10:BJ13)</f>
        <v>255157.67930000002</v>
      </c>
      <c r="BK9" s="229">
        <f t="shared" si="4"/>
        <v>272702.40000000002</v>
      </c>
      <c r="BL9" s="229">
        <f t="shared" si="4"/>
        <v>285507</v>
      </c>
      <c r="BM9" s="229">
        <f t="shared" si="4"/>
        <v>255834</v>
      </c>
      <c r="BN9" s="229">
        <f t="shared" si="4"/>
        <v>374450</v>
      </c>
      <c r="BO9" s="229">
        <f t="shared" si="4"/>
        <v>435507.5</v>
      </c>
      <c r="BP9" s="229">
        <f t="shared" si="4"/>
        <v>484178.4</v>
      </c>
      <c r="BQ9" s="229">
        <f t="shared" si="4"/>
        <v>492594.80000000005</v>
      </c>
      <c r="BR9" s="229">
        <f t="shared" si="4"/>
        <v>515315</v>
      </c>
      <c r="BS9" s="229">
        <f t="shared" si="4"/>
        <v>538767.4</v>
      </c>
      <c r="BT9" s="229">
        <f t="shared" si="4"/>
        <v>542736</v>
      </c>
      <c r="BU9" s="268">
        <f t="shared" si="4"/>
        <v>524990.4</v>
      </c>
      <c r="BV9" s="110"/>
      <c r="BW9" s="379">
        <f t="shared" ref="BW9:BW25" si="5">IFERROR(((BU9/BT9)-1)*100,"-")</f>
        <v>-3.2696559653312085</v>
      </c>
      <c r="BX9" s="379">
        <f t="shared" ref="BX9:BX25" si="6">IFERROR(((BU9/BI9)-1)*100,"-")</f>
        <v>87.207744365356589</v>
      </c>
      <c r="BY9" s="125"/>
    </row>
    <row r="10" spans="1:77" ht="15" customHeight="1" x14ac:dyDescent="0.25">
      <c r="A10" s="402" t="s">
        <v>509</v>
      </c>
      <c r="B10" s="162">
        <v>192027.64184999999</v>
      </c>
      <c r="C10" s="151">
        <v>199725.95139999999</v>
      </c>
      <c r="D10" s="151">
        <v>251011.77595999997</v>
      </c>
      <c r="E10" s="151">
        <v>224838.03847999996</v>
      </c>
      <c r="F10" s="151">
        <v>220612.81874999998</v>
      </c>
      <c r="G10" s="151">
        <v>193261.36035000003</v>
      </c>
      <c r="H10" s="151">
        <v>210271.98978999999</v>
      </c>
      <c r="I10" s="151">
        <v>189661.94134999995</v>
      </c>
      <c r="J10" s="151">
        <v>212255.14983000001</v>
      </c>
      <c r="K10" s="151">
        <v>218080.12461000003</v>
      </c>
      <c r="L10" s="151">
        <v>232033.61803000004</v>
      </c>
      <c r="M10" s="241">
        <v>233193.75279000003</v>
      </c>
      <c r="N10" s="162">
        <v>218728.67994</v>
      </c>
      <c r="O10" s="151">
        <v>225801.97602999999</v>
      </c>
      <c r="P10" s="151">
        <v>209918.25372000001</v>
      </c>
      <c r="Q10" s="151">
        <v>231016.32699000003</v>
      </c>
      <c r="R10" s="151">
        <v>224876.51198000004</v>
      </c>
      <c r="S10" s="151">
        <v>209380.82152999999</v>
      </c>
      <c r="T10" s="151">
        <v>215485.16657</v>
      </c>
      <c r="U10" s="151">
        <v>200858.55589000002</v>
      </c>
      <c r="V10" s="151">
        <v>213976.62276999999</v>
      </c>
      <c r="W10" s="151">
        <v>205095.85944000003</v>
      </c>
      <c r="X10" s="151">
        <v>215483.87615000003</v>
      </c>
      <c r="Y10" s="241">
        <v>210142.87025999997</v>
      </c>
      <c r="Z10" s="162">
        <v>188709.77015999999</v>
      </c>
      <c r="AA10" s="151">
        <v>219646.79542000001</v>
      </c>
      <c r="AB10" s="151">
        <v>252751.41562999997</v>
      </c>
      <c r="AC10" s="151">
        <v>242376.78425</v>
      </c>
      <c r="AD10" s="151">
        <v>233002.11810999998</v>
      </c>
      <c r="AE10" s="151">
        <v>262946.33679999999</v>
      </c>
      <c r="AF10" s="151">
        <v>256627.58304999999</v>
      </c>
      <c r="AG10" s="151">
        <v>231062.06551000001</v>
      </c>
      <c r="AH10" s="151">
        <v>221385.02245000005</v>
      </c>
      <c r="AI10" s="151">
        <v>228739.65270000004</v>
      </c>
      <c r="AJ10" s="151">
        <v>238281.92801</v>
      </c>
      <c r="AK10" s="241">
        <v>218335.15677</v>
      </c>
      <c r="AL10" s="162">
        <v>230419.81242</v>
      </c>
      <c r="AM10" s="151">
        <v>214914.96651999996</v>
      </c>
      <c r="AN10" s="151">
        <v>231916.69804000002</v>
      </c>
      <c r="AO10" s="151">
        <v>265849.51373000001</v>
      </c>
      <c r="AP10" s="151">
        <v>278314.38927000004</v>
      </c>
      <c r="AQ10" s="151">
        <v>273853.02354999998</v>
      </c>
      <c r="AR10" s="151">
        <v>282235.94570000004</v>
      </c>
      <c r="AS10" s="151">
        <v>260599.99056000001</v>
      </c>
      <c r="AT10" s="151">
        <v>267178.76296999998</v>
      </c>
      <c r="AU10" s="151">
        <v>251799.74211999995</v>
      </c>
      <c r="AV10" s="151">
        <v>228320.34146000003</v>
      </c>
      <c r="AW10" s="241">
        <v>218993.12024999998</v>
      </c>
      <c r="AX10" s="162">
        <v>239902.48258999997</v>
      </c>
      <c r="AY10" s="151">
        <v>305212.93905999995</v>
      </c>
      <c r="AZ10" s="151">
        <v>360845.82770999998</v>
      </c>
      <c r="BA10" s="151">
        <v>359286.36010000005</v>
      </c>
      <c r="BB10" s="151">
        <v>312811.59479999996</v>
      </c>
      <c r="BC10" s="151">
        <v>323958.78228999994</v>
      </c>
      <c r="BD10" s="151">
        <v>273257.16690000007</v>
      </c>
      <c r="BE10" s="151">
        <v>295842.10052000004</v>
      </c>
      <c r="BF10" s="151">
        <v>298500.98911999993</v>
      </c>
      <c r="BG10" s="151">
        <v>248665.99230999997</v>
      </c>
      <c r="BH10" s="151">
        <v>269025.65599</v>
      </c>
      <c r="BI10" s="241">
        <v>235881.62561000002</v>
      </c>
      <c r="BJ10" s="162">
        <v>212159.05391000002</v>
      </c>
      <c r="BK10" s="151">
        <v>232221.4</v>
      </c>
      <c r="BL10" s="151">
        <v>242703</v>
      </c>
      <c r="BM10" s="151">
        <v>213079</v>
      </c>
      <c r="BN10" s="151">
        <v>329741</v>
      </c>
      <c r="BO10" s="151">
        <v>392065.4</v>
      </c>
      <c r="BP10" s="151">
        <v>442003.4</v>
      </c>
      <c r="BQ10" s="151">
        <v>450977.4</v>
      </c>
      <c r="BR10" s="151">
        <v>472245</v>
      </c>
      <c r="BS10" s="151">
        <v>493463.4</v>
      </c>
      <c r="BT10" s="151">
        <v>494966</v>
      </c>
      <c r="BU10" s="241">
        <v>470900.4</v>
      </c>
      <c r="BW10" s="316">
        <f t="shared" si="5"/>
        <v>-4.8620713341926418</v>
      </c>
      <c r="BX10" s="184">
        <f t="shared" si="6"/>
        <v>99.634201596767596</v>
      </c>
      <c r="BY10" s="212"/>
    </row>
    <row r="11" spans="1:77" ht="15" customHeight="1" x14ac:dyDescent="0.25">
      <c r="A11" s="402" t="s">
        <v>510</v>
      </c>
      <c r="B11" s="162">
        <v>1.7454600000000002</v>
      </c>
      <c r="C11" s="151">
        <v>1.7454099999999999</v>
      </c>
      <c r="D11" s="151">
        <v>1.74593</v>
      </c>
      <c r="E11" s="151">
        <v>1.74594</v>
      </c>
      <c r="F11" s="151">
        <v>1.7055899999999999</v>
      </c>
      <c r="G11" s="151">
        <v>1.70566</v>
      </c>
      <c r="H11" s="151">
        <v>19.852630000000001</v>
      </c>
      <c r="I11" s="151">
        <v>1.7064000000000001</v>
      </c>
      <c r="J11" s="151">
        <v>1.7064000000000001</v>
      </c>
      <c r="K11" s="151">
        <v>1.7064000000000001</v>
      </c>
      <c r="L11" s="151">
        <v>1.706</v>
      </c>
      <c r="M11" s="241">
        <v>1.7056</v>
      </c>
      <c r="N11" s="162">
        <v>1.7055799999999999</v>
      </c>
      <c r="O11" s="151">
        <v>1.70553</v>
      </c>
      <c r="P11" s="151">
        <v>1.70553</v>
      </c>
      <c r="Q11" s="151">
        <v>1.6969799999999997</v>
      </c>
      <c r="R11" s="151">
        <v>1.6969499999999997</v>
      </c>
      <c r="S11" s="151">
        <v>1.6960599999999999</v>
      </c>
      <c r="T11" s="151">
        <v>1.6960599999999999</v>
      </c>
      <c r="U11" s="151">
        <v>1.6960599999999999</v>
      </c>
      <c r="V11" s="151">
        <v>2.2963299999999998</v>
      </c>
      <c r="W11" s="151">
        <v>2.29623</v>
      </c>
      <c r="X11" s="151">
        <v>2.2432499999999997</v>
      </c>
      <c r="Y11" s="241">
        <v>1.63225</v>
      </c>
      <c r="Z11" s="162">
        <v>1.6325799999999999</v>
      </c>
      <c r="AA11" s="151">
        <v>1.63218</v>
      </c>
      <c r="AB11" s="151">
        <v>1.6832799999999999</v>
      </c>
      <c r="AC11" s="151">
        <v>1.6969399999999999</v>
      </c>
      <c r="AD11" s="151">
        <v>1.7909899999999999</v>
      </c>
      <c r="AE11" s="151">
        <v>1.79599</v>
      </c>
      <c r="AF11" s="151">
        <v>1.7962999999999998</v>
      </c>
      <c r="AG11" s="151">
        <v>1.7962999999999998</v>
      </c>
      <c r="AH11" s="151">
        <v>1.7758099999999999</v>
      </c>
      <c r="AI11" s="151">
        <v>1.7572399999999999</v>
      </c>
      <c r="AJ11" s="151">
        <v>111.73193999999999</v>
      </c>
      <c r="AK11" s="241">
        <v>1.72265</v>
      </c>
      <c r="AL11" s="162">
        <v>16.358599999999999</v>
      </c>
      <c r="AM11" s="151">
        <v>1.7444500000000001</v>
      </c>
      <c r="AN11" s="151">
        <v>1.74447</v>
      </c>
      <c r="AO11" s="151">
        <v>1.6853500000000001</v>
      </c>
      <c r="AP11" s="151">
        <v>1.6851</v>
      </c>
      <c r="AQ11" s="151">
        <v>1.6848000000000001</v>
      </c>
      <c r="AR11" s="151">
        <v>1.6848000000000001</v>
      </c>
      <c r="AS11" s="151">
        <v>1.6848000000000001</v>
      </c>
      <c r="AT11" s="151">
        <v>1.6846400000000001</v>
      </c>
      <c r="AU11" s="151">
        <v>1.6846400000000001</v>
      </c>
      <c r="AV11" s="151">
        <v>3.68424</v>
      </c>
      <c r="AW11" s="241">
        <v>1.6843399999999999</v>
      </c>
      <c r="AX11" s="162">
        <v>12.683759999999999</v>
      </c>
      <c r="AY11" s="151">
        <v>1.8829000000000002</v>
      </c>
      <c r="AZ11" s="151">
        <v>31.880029999999998</v>
      </c>
      <c r="BA11" s="151">
        <v>1.6543399999999999</v>
      </c>
      <c r="BB11" s="151">
        <v>1.6543399999999999</v>
      </c>
      <c r="BC11" s="151">
        <v>1.5915900000000001</v>
      </c>
      <c r="BD11" s="151">
        <v>1.5915900000000001</v>
      </c>
      <c r="BE11" s="151">
        <v>1.5915900000000001</v>
      </c>
      <c r="BF11" s="151">
        <v>3.5914900000000003</v>
      </c>
      <c r="BG11" s="151">
        <v>1.5913200000000001</v>
      </c>
      <c r="BH11" s="151">
        <v>1.5913200000000001</v>
      </c>
      <c r="BI11" s="241">
        <v>1.3835499999999998</v>
      </c>
      <c r="BJ11" s="162">
        <v>1.4335499999999999</v>
      </c>
      <c r="BK11" s="151">
        <v>1</v>
      </c>
      <c r="BL11" s="151">
        <v>1</v>
      </c>
      <c r="BM11" s="151">
        <v>1</v>
      </c>
      <c r="BN11" s="151">
        <v>1</v>
      </c>
      <c r="BO11" s="151">
        <v>1</v>
      </c>
      <c r="BP11" s="151">
        <v>1</v>
      </c>
      <c r="BQ11" s="151">
        <v>1</v>
      </c>
      <c r="BR11" s="151">
        <v>1</v>
      </c>
      <c r="BS11" s="151">
        <v>1</v>
      </c>
      <c r="BT11" s="151">
        <v>1</v>
      </c>
      <c r="BU11" s="241">
        <v>1</v>
      </c>
      <c r="BW11" s="316">
        <f t="shared" si="5"/>
        <v>0</v>
      </c>
      <c r="BX11" s="184">
        <f t="shared" si="6"/>
        <v>-27.722163998409876</v>
      </c>
      <c r="BY11" s="212"/>
    </row>
    <row r="12" spans="1:77" ht="15" customHeight="1" x14ac:dyDescent="0.25">
      <c r="A12" s="402" t="s">
        <v>511</v>
      </c>
      <c r="B12" s="162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241"/>
      <c r="N12" s="162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241"/>
      <c r="Z12" s="162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241"/>
      <c r="AL12" s="162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241"/>
      <c r="AX12" s="162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241"/>
      <c r="BJ12" s="162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241"/>
      <c r="BW12" s="316" t="str">
        <f t="shared" si="5"/>
        <v>-</v>
      </c>
      <c r="BX12" s="184" t="str">
        <f t="shared" si="6"/>
        <v>-</v>
      </c>
      <c r="BY12" s="127"/>
    </row>
    <row r="13" spans="1:77" ht="15" customHeight="1" x14ac:dyDescent="0.25">
      <c r="A13" s="402" t="s">
        <v>512</v>
      </c>
      <c r="B13" s="162">
        <v>37461.250079999998</v>
      </c>
      <c r="C13" s="151">
        <v>37886.065070000004</v>
      </c>
      <c r="D13" s="151">
        <v>55031.320470000013</v>
      </c>
      <c r="E13" s="151">
        <v>56328.63738</v>
      </c>
      <c r="F13" s="151">
        <v>65946.053700000004</v>
      </c>
      <c r="G13" s="151">
        <v>59678.287589999993</v>
      </c>
      <c r="H13" s="151">
        <v>59244.71544</v>
      </c>
      <c r="I13" s="151">
        <v>54786.40815000001</v>
      </c>
      <c r="J13" s="151">
        <v>55057.998849999996</v>
      </c>
      <c r="K13" s="151">
        <v>47348.32663000001</v>
      </c>
      <c r="L13" s="151">
        <v>45276.66328999999</v>
      </c>
      <c r="M13" s="241">
        <v>38423.221189999997</v>
      </c>
      <c r="N13" s="162">
        <v>46737.264249999993</v>
      </c>
      <c r="O13" s="151">
        <v>48124.682549999998</v>
      </c>
      <c r="P13" s="151">
        <v>52849.278649999993</v>
      </c>
      <c r="Q13" s="151">
        <v>58381.305879999993</v>
      </c>
      <c r="R13" s="151">
        <v>50393.706610000001</v>
      </c>
      <c r="S13" s="151">
        <v>51702.409589999996</v>
      </c>
      <c r="T13" s="151">
        <v>51494.903089999993</v>
      </c>
      <c r="U13" s="151">
        <v>50581.380300000004</v>
      </c>
      <c r="V13" s="151">
        <v>49573.836640000001</v>
      </c>
      <c r="W13" s="151">
        <v>44431.040579999993</v>
      </c>
      <c r="X13" s="151">
        <v>47551.467530000002</v>
      </c>
      <c r="Y13" s="241">
        <v>43057.346530000003</v>
      </c>
      <c r="Z13" s="162">
        <v>47739.048740000006</v>
      </c>
      <c r="AA13" s="151">
        <v>43401.316070000008</v>
      </c>
      <c r="AB13" s="151">
        <v>43573.549099999989</v>
      </c>
      <c r="AC13" s="151">
        <v>44033.108619999992</v>
      </c>
      <c r="AD13" s="151">
        <v>41259.737959999999</v>
      </c>
      <c r="AE13" s="151">
        <v>40326.596699999995</v>
      </c>
      <c r="AF13" s="151">
        <v>52727.024049999993</v>
      </c>
      <c r="AG13" s="151">
        <v>51488.037369999998</v>
      </c>
      <c r="AH13" s="151">
        <v>51217.688430000002</v>
      </c>
      <c r="AI13" s="151">
        <v>50012.313159999991</v>
      </c>
      <c r="AJ13" s="151">
        <v>45148.293989999998</v>
      </c>
      <c r="AK13" s="241">
        <v>46139.091760000003</v>
      </c>
      <c r="AL13" s="162">
        <v>48635.351920000001</v>
      </c>
      <c r="AM13" s="151">
        <v>52022.470860000001</v>
      </c>
      <c r="AN13" s="151">
        <v>47948.729299999999</v>
      </c>
      <c r="AO13" s="151">
        <v>47135.04922999999</v>
      </c>
      <c r="AP13" s="151">
        <v>47757.219929999992</v>
      </c>
      <c r="AQ13" s="151">
        <v>46214.412690000005</v>
      </c>
      <c r="AR13" s="151">
        <v>40530.44773</v>
      </c>
      <c r="AS13" s="151">
        <v>43943.09994</v>
      </c>
      <c r="AT13" s="151">
        <v>44765.514719999999</v>
      </c>
      <c r="AU13" s="151">
        <v>43373.572720000004</v>
      </c>
      <c r="AV13" s="151">
        <v>47939.691370000008</v>
      </c>
      <c r="AW13" s="241">
        <v>48924.390570000003</v>
      </c>
      <c r="AX13" s="162">
        <v>45777.768989999997</v>
      </c>
      <c r="AY13" s="151">
        <v>53841.823910000006</v>
      </c>
      <c r="AZ13" s="151">
        <v>50657.411069999995</v>
      </c>
      <c r="BA13" s="151">
        <v>48751.654069999997</v>
      </c>
      <c r="BB13" s="151">
        <v>48113.544259999995</v>
      </c>
      <c r="BC13" s="151">
        <v>51404.242899999997</v>
      </c>
      <c r="BD13" s="151">
        <v>50666.773990000009</v>
      </c>
      <c r="BE13" s="151">
        <v>45577.028079999996</v>
      </c>
      <c r="BF13" s="151">
        <v>45622.913109999987</v>
      </c>
      <c r="BG13" s="151">
        <v>46848.632379999995</v>
      </c>
      <c r="BH13" s="151">
        <v>43097.995559999996</v>
      </c>
      <c r="BI13" s="241">
        <v>44548.979259999993</v>
      </c>
      <c r="BJ13" s="162">
        <v>42997.19184</v>
      </c>
      <c r="BK13" s="151">
        <v>40480</v>
      </c>
      <c r="BL13" s="151">
        <v>42803</v>
      </c>
      <c r="BM13" s="151">
        <v>42754</v>
      </c>
      <c r="BN13" s="151">
        <v>44708</v>
      </c>
      <c r="BO13" s="151">
        <v>43441.1</v>
      </c>
      <c r="BP13" s="151">
        <v>42174</v>
      </c>
      <c r="BQ13" s="151">
        <v>41616.400000000001</v>
      </c>
      <c r="BR13" s="151">
        <v>43069</v>
      </c>
      <c r="BS13" s="151">
        <v>45303</v>
      </c>
      <c r="BT13" s="151">
        <v>47769</v>
      </c>
      <c r="BU13" s="241">
        <v>54089</v>
      </c>
      <c r="BW13" s="316">
        <f t="shared" si="5"/>
        <v>13.230337666687596</v>
      </c>
      <c r="BX13" s="184">
        <f t="shared" si="6"/>
        <v>21.41467862669051</v>
      </c>
      <c r="BY13" s="212"/>
    </row>
    <row r="14" spans="1:77" ht="15" customHeight="1" x14ac:dyDescent="0.25">
      <c r="A14" s="434"/>
      <c r="B14" s="162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241"/>
      <c r="N14" s="162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241"/>
      <c r="Z14" s="162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241"/>
      <c r="AL14" s="162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241"/>
      <c r="AX14" s="162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241"/>
      <c r="BJ14" s="162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241"/>
      <c r="BW14" s="316"/>
      <c r="BX14" s="184"/>
      <c r="BY14" s="212"/>
    </row>
    <row r="15" spans="1:77" ht="15" customHeight="1" x14ac:dyDescent="0.25">
      <c r="A15" s="433" t="s">
        <v>103</v>
      </c>
      <c r="B15" s="267">
        <f t="shared" ref="B15:Q15" si="7">SUM(B16:B19)</f>
        <v>236656.81734000004</v>
      </c>
      <c r="C15" s="229">
        <f t="shared" si="7"/>
        <v>238402.49444000004</v>
      </c>
      <c r="D15" s="229">
        <f t="shared" si="7"/>
        <v>238213.91794999994</v>
      </c>
      <c r="E15" s="229">
        <f t="shared" si="7"/>
        <v>238354.05940999999</v>
      </c>
      <c r="F15" s="229">
        <f t="shared" si="7"/>
        <v>232201.66517000002</v>
      </c>
      <c r="G15" s="229">
        <f t="shared" si="7"/>
        <v>233303.52049000002</v>
      </c>
      <c r="H15" s="229">
        <f t="shared" si="7"/>
        <v>249216.07785999999</v>
      </c>
      <c r="I15" s="229">
        <f t="shared" si="7"/>
        <v>244499.83415999997</v>
      </c>
      <c r="J15" s="229">
        <f t="shared" si="7"/>
        <v>247537.45249</v>
      </c>
      <c r="K15" s="229">
        <f t="shared" si="7"/>
        <v>252768.61701999998</v>
      </c>
      <c r="L15" s="229">
        <f t="shared" si="7"/>
        <v>261426.43640000004</v>
      </c>
      <c r="M15" s="268">
        <f t="shared" si="7"/>
        <v>266501.93866999994</v>
      </c>
      <c r="N15" s="267">
        <f t="shared" si="7"/>
        <v>270458.81559000001</v>
      </c>
      <c r="O15" s="229">
        <f t="shared" si="7"/>
        <v>260637.99882000001</v>
      </c>
      <c r="P15" s="229">
        <f t="shared" si="7"/>
        <v>254118.86736</v>
      </c>
      <c r="Q15" s="229">
        <f t="shared" si="7"/>
        <v>252552.40204999998</v>
      </c>
      <c r="R15" s="229">
        <f t="shared" ref="R15:BU15" si="8">SUM(R16:R19)</f>
        <v>247271.95404000004</v>
      </c>
      <c r="S15" s="229">
        <f t="shared" si="8"/>
        <v>253605.02567999999</v>
      </c>
      <c r="T15" s="229">
        <f t="shared" si="8"/>
        <v>265664.30232999998</v>
      </c>
      <c r="U15" s="229">
        <f t="shared" si="8"/>
        <v>258090.02127999996</v>
      </c>
      <c r="V15" s="229">
        <f t="shared" si="8"/>
        <v>263605.84252000001</v>
      </c>
      <c r="W15" s="229">
        <f t="shared" si="8"/>
        <v>264041.3002</v>
      </c>
      <c r="X15" s="229">
        <f t="shared" si="8"/>
        <v>269710.50708999997</v>
      </c>
      <c r="Y15" s="268">
        <f t="shared" si="8"/>
        <v>283126.84242</v>
      </c>
      <c r="Z15" s="267">
        <f t="shared" si="8"/>
        <v>280410.87969999999</v>
      </c>
      <c r="AA15" s="229">
        <f t="shared" si="8"/>
        <v>266554.60923999996</v>
      </c>
      <c r="AB15" s="229">
        <f t="shared" si="8"/>
        <v>263906.87979000004</v>
      </c>
      <c r="AC15" s="229">
        <f t="shared" si="8"/>
        <v>269065.66979000001</v>
      </c>
      <c r="AD15" s="229">
        <f t="shared" si="8"/>
        <v>263246.46418000001</v>
      </c>
      <c r="AE15" s="229">
        <f t="shared" si="8"/>
        <v>270093.02547000005</v>
      </c>
      <c r="AF15" s="229">
        <f t="shared" si="8"/>
        <v>276801.67252000002</v>
      </c>
      <c r="AG15" s="229">
        <f t="shared" si="8"/>
        <v>277896.62067000003</v>
      </c>
      <c r="AH15" s="229">
        <f t="shared" si="8"/>
        <v>276264.12312</v>
      </c>
      <c r="AI15" s="229">
        <f t="shared" si="8"/>
        <v>273652.76424000005</v>
      </c>
      <c r="AJ15" s="229">
        <f t="shared" si="8"/>
        <v>279708.27386000002</v>
      </c>
      <c r="AK15" s="268">
        <f t="shared" si="8"/>
        <v>300451.55265999993</v>
      </c>
      <c r="AL15" s="267">
        <f t="shared" si="8"/>
        <v>302976.34859000001</v>
      </c>
      <c r="AM15" s="229">
        <f t="shared" si="8"/>
        <v>304911.07816999999</v>
      </c>
      <c r="AN15" s="229">
        <f t="shared" si="8"/>
        <v>305742.14133000001</v>
      </c>
      <c r="AO15" s="229">
        <f t="shared" si="8"/>
        <v>303062.18772000005</v>
      </c>
      <c r="AP15" s="229">
        <f t="shared" si="8"/>
        <v>304745.28379000002</v>
      </c>
      <c r="AQ15" s="229">
        <f t="shared" si="8"/>
        <v>317396.60604000004</v>
      </c>
      <c r="AR15" s="229">
        <f t="shared" si="8"/>
        <v>338292.89977000002</v>
      </c>
      <c r="AS15" s="229">
        <f t="shared" si="8"/>
        <v>340400.41394</v>
      </c>
      <c r="AT15" s="229">
        <f t="shared" si="8"/>
        <v>339231.77272000001</v>
      </c>
      <c r="AU15" s="229">
        <f t="shared" si="8"/>
        <v>345249.8677</v>
      </c>
      <c r="AV15" s="229">
        <f t="shared" si="8"/>
        <v>342449.10008000006</v>
      </c>
      <c r="AW15" s="268">
        <f t="shared" si="8"/>
        <v>353422.09701999993</v>
      </c>
      <c r="AX15" s="267">
        <f t="shared" si="8"/>
        <v>341124.80028000002</v>
      </c>
      <c r="AY15" s="229">
        <f t="shared" si="8"/>
        <v>336375.50489000004</v>
      </c>
      <c r="AZ15" s="229">
        <f t="shared" si="8"/>
        <v>334271.66045000002</v>
      </c>
      <c r="BA15" s="229">
        <f t="shared" si="8"/>
        <v>329857.91055000003</v>
      </c>
      <c r="BB15" s="229">
        <f t="shared" si="8"/>
        <v>341955.05903000006</v>
      </c>
      <c r="BC15" s="229">
        <f t="shared" si="8"/>
        <v>353826.97823000001</v>
      </c>
      <c r="BD15" s="229">
        <f t="shared" si="8"/>
        <v>364274.72859000013</v>
      </c>
      <c r="BE15" s="229">
        <f t="shared" si="8"/>
        <v>364778.22181999998</v>
      </c>
      <c r="BF15" s="229">
        <f t="shared" si="8"/>
        <v>376043.61387999996</v>
      </c>
      <c r="BG15" s="229">
        <f t="shared" si="8"/>
        <v>383243.62403999997</v>
      </c>
      <c r="BH15" s="229">
        <f t="shared" si="8"/>
        <v>393857.71067</v>
      </c>
      <c r="BI15" s="268">
        <f t="shared" si="8"/>
        <v>409303.05551000003</v>
      </c>
      <c r="BJ15" s="267">
        <f t="shared" si="8"/>
        <v>415844.52417999995</v>
      </c>
      <c r="BK15" s="229">
        <f t="shared" si="8"/>
        <v>406015</v>
      </c>
      <c r="BL15" s="229">
        <f t="shared" si="8"/>
        <v>416123.2</v>
      </c>
      <c r="BM15" s="229">
        <f t="shared" si="8"/>
        <v>443516.3</v>
      </c>
      <c r="BN15" s="229">
        <f t="shared" si="8"/>
        <v>464623</v>
      </c>
      <c r="BO15" s="229">
        <f t="shared" si="8"/>
        <v>502176</v>
      </c>
      <c r="BP15" s="229">
        <f t="shared" si="8"/>
        <v>535313.4</v>
      </c>
      <c r="BQ15" s="229">
        <f t="shared" si="8"/>
        <v>555547</v>
      </c>
      <c r="BR15" s="229">
        <f t="shared" si="8"/>
        <v>181314.1</v>
      </c>
      <c r="BS15" s="229">
        <f t="shared" si="8"/>
        <v>604320.4</v>
      </c>
      <c r="BT15" s="229">
        <f t="shared" si="8"/>
        <v>615522</v>
      </c>
      <c r="BU15" s="268">
        <f t="shared" si="8"/>
        <v>658930.80000000005</v>
      </c>
      <c r="BV15" s="110"/>
      <c r="BW15" s="317">
        <f t="shared" si="5"/>
        <v>7.0523555616208711</v>
      </c>
      <c r="BX15" s="379">
        <f t="shared" si="6"/>
        <v>60.988487901454505</v>
      </c>
      <c r="BY15" s="237"/>
    </row>
    <row r="16" spans="1:77" ht="15" customHeight="1" x14ac:dyDescent="0.25">
      <c r="A16" s="402" t="s">
        <v>509</v>
      </c>
      <c r="B16" s="162">
        <v>163744.18746000004</v>
      </c>
      <c r="C16" s="151">
        <v>166423.73547000004</v>
      </c>
      <c r="D16" s="151">
        <v>169380.53144999995</v>
      </c>
      <c r="E16" s="151">
        <v>167565.71532999998</v>
      </c>
      <c r="F16" s="151">
        <v>164050.80778000003</v>
      </c>
      <c r="G16" s="151">
        <v>161298.26792000001</v>
      </c>
      <c r="H16" s="151">
        <v>174997.06904999999</v>
      </c>
      <c r="I16" s="151">
        <v>174138.69486999998</v>
      </c>
      <c r="J16" s="151">
        <v>174477.81823999999</v>
      </c>
      <c r="K16" s="151">
        <v>176234.66441</v>
      </c>
      <c r="L16" s="151">
        <v>184685.09609000001</v>
      </c>
      <c r="M16" s="241">
        <v>184032.02891999998</v>
      </c>
      <c r="N16" s="162">
        <v>188221.83288999999</v>
      </c>
      <c r="O16" s="151">
        <v>180872.78647999998</v>
      </c>
      <c r="P16" s="151">
        <v>178090.6243</v>
      </c>
      <c r="Q16" s="151">
        <v>173710.62426999997</v>
      </c>
      <c r="R16" s="151">
        <v>170882.02996000001</v>
      </c>
      <c r="S16" s="151">
        <v>175798.65194000001</v>
      </c>
      <c r="T16" s="151">
        <v>185027.49017999999</v>
      </c>
      <c r="U16" s="151">
        <v>177850.33644999997</v>
      </c>
      <c r="V16" s="151">
        <v>180058.80787000002</v>
      </c>
      <c r="W16" s="151">
        <v>177167.4393</v>
      </c>
      <c r="X16" s="151">
        <v>182461.59100999997</v>
      </c>
      <c r="Y16" s="241">
        <v>189124.86147999996</v>
      </c>
      <c r="Z16" s="162">
        <v>187390.86851999999</v>
      </c>
      <c r="AA16" s="151">
        <v>179189.47766999999</v>
      </c>
      <c r="AB16" s="151">
        <v>179293.67396000001</v>
      </c>
      <c r="AC16" s="151">
        <v>178290.84858000002</v>
      </c>
      <c r="AD16" s="151">
        <v>175994.96942000001</v>
      </c>
      <c r="AE16" s="151">
        <v>178246.01111000005</v>
      </c>
      <c r="AF16" s="151">
        <v>183913.65508</v>
      </c>
      <c r="AG16" s="151">
        <v>184846.29592</v>
      </c>
      <c r="AH16" s="151">
        <v>183963.67929</v>
      </c>
      <c r="AI16" s="151">
        <v>179748.35142000002</v>
      </c>
      <c r="AJ16" s="151">
        <v>184606.69365</v>
      </c>
      <c r="AK16" s="241">
        <v>200648.02079999994</v>
      </c>
      <c r="AL16" s="162">
        <v>200908.72275000004</v>
      </c>
      <c r="AM16" s="151">
        <v>201263.43705000001</v>
      </c>
      <c r="AN16" s="151">
        <v>208613.91005999999</v>
      </c>
      <c r="AO16" s="151">
        <v>205401.22163000001</v>
      </c>
      <c r="AP16" s="151">
        <v>205756.77486</v>
      </c>
      <c r="AQ16" s="151">
        <v>215225.08261000001</v>
      </c>
      <c r="AR16" s="151">
        <v>223693.08877000006</v>
      </c>
      <c r="AS16" s="151">
        <v>223936.26908999996</v>
      </c>
      <c r="AT16" s="151">
        <v>223621.44297999999</v>
      </c>
      <c r="AU16" s="151">
        <v>230164.13560999997</v>
      </c>
      <c r="AV16" s="151">
        <v>223665.68102000005</v>
      </c>
      <c r="AW16" s="241">
        <v>230479.02005999998</v>
      </c>
      <c r="AX16" s="162">
        <v>224842.66845000003</v>
      </c>
      <c r="AY16" s="151">
        <v>222366.90977</v>
      </c>
      <c r="AZ16" s="151">
        <v>226385.50785000002</v>
      </c>
      <c r="BA16" s="151">
        <v>220602.23751000004</v>
      </c>
      <c r="BB16" s="151">
        <v>232626.46155000004</v>
      </c>
      <c r="BC16" s="151">
        <v>235325.13093000001</v>
      </c>
      <c r="BD16" s="151">
        <v>240475.51971000008</v>
      </c>
      <c r="BE16" s="151">
        <v>240260.35288000002</v>
      </c>
      <c r="BF16" s="151">
        <v>253800.77666999999</v>
      </c>
      <c r="BG16" s="151">
        <v>256932.11805999998</v>
      </c>
      <c r="BH16" s="151">
        <v>268323.63761999999</v>
      </c>
      <c r="BI16" s="241">
        <v>275048.70566000004</v>
      </c>
      <c r="BJ16" s="162">
        <v>276018.52081999998</v>
      </c>
      <c r="BK16" s="151">
        <v>274271</v>
      </c>
      <c r="BL16" s="151">
        <v>279168.7</v>
      </c>
      <c r="BM16" s="151">
        <v>292643.5</v>
      </c>
      <c r="BN16" s="151">
        <v>304677</v>
      </c>
      <c r="BO16" s="151">
        <v>330231.5</v>
      </c>
      <c r="BP16" s="151">
        <v>358711.4</v>
      </c>
      <c r="BQ16" s="151">
        <v>376491</v>
      </c>
      <c r="BR16" s="151" t="s">
        <v>557</v>
      </c>
      <c r="BS16" s="151">
        <v>408825.5</v>
      </c>
      <c r="BT16" s="151">
        <v>422825</v>
      </c>
      <c r="BU16" s="241">
        <v>448244.4</v>
      </c>
      <c r="BW16" s="316">
        <f t="shared" si="5"/>
        <v>6.0118015727546936</v>
      </c>
      <c r="BX16" s="184">
        <f t="shared" si="6"/>
        <v>62.969099936101827</v>
      </c>
      <c r="BY16" s="212"/>
    </row>
    <row r="17" spans="1:77" ht="15" customHeight="1" x14ac:dyDescent="0.25">
      <c r="A17" s="402" t="s">
        <v>510</v>
      </c>
      <c r="B17" s="162">
        <v>4269.0169000000005</v>
      </c>
      <c r="C17" s="151">
        <v>3883.3410100000001</v>
      </c>
      <c r="D17" s="151">
        <v>4462.4808999999996</v>
      </c>
      <c r="E17" s="151">
        <v>4412.7640499999998</v>
      </c>
      <c r="F17" s="151">
        <v>4295.8415599999998</v>
      </c>
      <c r="G17" s="151">
        <v>4394.9137099999998</v>
      </c>
      <c r="H17" s="151">
        <v>4783.7086399999998</v>
      </c>
      <c r="I17" s="151">
        <v>4608.4349999999995</v>
      </c>
      <c r="J17" s="151">
        <v>4628.5524800000003</v>
      </c>
      <c r="K17" s="151">
        <v>4644.1177099999995</v>
      </c>
      <c r="L17" s="151">
        <v>4380.1978899999995</v>
      </c>
      <c r="M17" s="241">
        <v>4666.8481699999993</v>
      </c>
      <c r="N17" s="162">
        <v>4784.4746300000006</v>
      </c>
      <c r="O17" s="151">
        <v>4865.2797799999998</v>
      </c>
      <c r="P17" s="151">
        <v>4325.9168600000003</v>
      </c>
      <c r="Q17" s="151">
        <v>4575.4154099999996</v>
      </c>
      <c r="R17" s="151">
        <v>4372.3589700000002</v>
      </c>
      <c r="S17" s="151">
        <v>4382.2269399999996</v>
      </c>
      <c r="T17" s="151">
        <v>4363.1970499999998</v>
      </c>
      <c r="U17" s="151">
        <v>4552.8039800000006</v>
      </c>
      <c r="V17" s="151">
        <v>5196.5341200000003</v>
      </c>
      <c r="W17" s="151">
        <v>4956.2725300000002</v>
      </c>
      <c r="X17" s="151">
        <v>5209.8153700000003</v>
      </c>
      <c r="Y17" s="241">
        <v>5548.0277599999999</v>
      </c>
      <c r="Z17" s="162">
        <v>5893.1285399999997</v>
      </c>
      <c r="AA17" s="151">
        <v>5592.0566099999996</v>
      </c>
      <c r="AB17" s="151">
        <v>5529.6380799999997</v>
      </c>
      <c r="AC17" s="151">
        <v>5474.5623900000001</v>
      </c>
      <c r="AD17" s="151">
        <v>5694.3086899999998</v>
      </c>
      <c r="AE17" s="151">
        <v>5571.4899100000002</v>
      </c>
      <c r="AF17" s="151">
        <v>5560.34674</v>
      </c>
      <c r="AG17" s="151">
        <v>5530.0912099999996</v>
      </c>
      <c r="AH17" s="151">
        <v>6032.8567000000003</v>
      </c>
      <c r="AI17" s="151">
        <v>6576.2593299999999</v>
      </c>
      <c r="AJ17" s="151">
        <v>6218.3939</v>
      </c>
      <c r="AK17" s="241">
        <v>5943.4230399999997</v>
      </c>
      <c r="AL17" s="162">
        <v>5809.4500700000008</v>
      </c>
      <c r="AM17" s="151">
        <v>5983.0579099999995</v>
      </c>
      <c r="AN17" s="151">
        <v>5678.7621599999993</v>
      </c>
      <c r="AO17" s="151">
        <v>5817.1425099999997</v>
      </c>
      <c r="AP17" s="151">
        <v>6056.4682699999994</v>
      </c>
      <c r="AQ17" s="151">
        <v>6002.4467300000006</v>
      </c>
      <c r="AR17" s="151">
        <v>6329.2225900000003</v>
      </c>
      <c r="AS17" s="151">
        <v>6902.6857499999996</v>
      </c>
      <c r="AT17" s="151">
        <v>6760.5062699999999</v>
      </c>
      <c r="AU17" s="151">
        <v>6984.8854800000008</v>
      </c>
      <c r="AV17" s="151">
        <v>7081.4234500000002</v>
      </c>
      <c r="AW17" s="241">
        <v>7081.1808000000001</v>
      </c>
      <c r="AX17" s="162">
        <v>7025.3642300000001</v>
      </c>
      <c r="AY17" s="151">
        <v>7216.5448500000002</v>
      </c>
      <c r="AZ17" s="151">
        <v>6737.7411099999999</v>
      </c>
      <c r="BA17" s="151">
        <v>6636.0962</v>
      </c>
      <c r="BB17" s="151">
        <v>6576.2116500000011</v>
      </c>
      <c r="BC17" s="151">
        <v>7208.7483000000002</v>
      </c>
      <c r="BD17" s="151">
        <v>8122.9449199999999</v>
      </c>
      <c r="BE17" s="151">
        <v>8589.94535</v>
      </c>
      <c r="BF17" s="151">
        <v>8163.40542</v>
      </c>
      <c r="BG17" s="151">
        <v>8363.532369999999</v>
      </c>
      <c r="BH17" s="151">
        <v>7984.2701799999995</v>
      </c>
      <c r="BI17" s="241">
        <v>8288.1259999999984</v>
      </c>
      <c r="BJ17" s="162">
        <v>9409.7762900000016</v>
      </c>
      <c r="BK17" s="151">
        <v>9403</v>
      </c>
      <c r="BL17" s="151">
        <v>9073</v>
      </c>
      <c r="BM17" s="151">
        <v>8578</v>
      </c>
      <c r="BN17" s="151">
        <v>8501</v>
      </c>
      <c r="BO17" s="151">
        <v>9248</v>
      </c>
      <c r="BP17" s="151">
        <v>9936</v>
      </c>
      <c r="BQ17" s="151">
        <v>10610</v>
      </c>
      <c r="BR17" s="151">
        <v>10494.1</v>
      </c>
      <c r="BS17" s="151">
        <v>10932.4</v>
      </c>
      <c r="BT17" s="151">
        <v>11735</v>
      </c>
      <c r="BU17" s="241">
        <v>11834.4</v>
      </c>
      <c r="BW17" s="316">
        <f t="shared" si="5"/>
        <v>0.84703877290157603</v>
      </c>
      <c r="BX17" s="184">
        <f t="shared" si="6"/>
        <v>42.787404535114469</v>
      </c>
      <c r="BY17" s="212"/>
    </row>
    <row r="18" spans="1:77" ht="15" customHeight="1" x14ac:dyDescent="0.25">
      <c r="A18" s="402" t="s">
        <v>511</v>
      </c>
      <c r="B18" s="162">
        <v>20333.138910000001</v>
      </c>
      <c r="C18" s="151">
        <v>20246.049769999998</v>
      </c>
      <c r="D18" s="151">
        <v>19918.999479999999</v>
      </c>
      <c r="E18" s="151">
        <v>19931.84924</v>
      </c>
      <c r="F18" s="151">
        <v>20390.66965</v>
      </c>
      <c r="G18" s="151">
        <v>20819.011770000001</v>
      </c>
      <c r="H18" s="151">
        <v>21209.192709999999</v>
      </c>
      <c r="I18" s="151">
        <v>19717.385249999999</v>
      </c>
      <c r="J18" s="151">
        <v>20777.515879999999</v>
      </c>
      <c r="K18" s="151">
        <v>22343.553339999999</v>
      </c>
      <c r="L18" s="151">
        <v>23136.491990000002</v>
      </c>
      <c r="M18" s="241">
        <v>23254.3177</v>
      </c>
      <c r="N18" s="162">
        <v>23449.304550000001</v>
      </c>
      <c r="O18" s="151">
        <v>22619.343090000002</v>
      </c>
      <c r="P18" s="151">
        <v>22818.94758</v>
      </c>
      <c r="Q18" s="151">
        <v>22135.311799999999</v>
      </c>
      <c r="R18" s="151">
        <v>22445.786189999999</v>
      </c>
      <c r="S18" s="151">
        <v>21528.857779999998</v>
      </c>
      <c r="T18" s="151">
        <v>23347.758160000001</v>
      </c>
      <c r="U18" s="151">
        <v>23461.13421</v>
      </c>
      <c r="V18" s="151">
        <v>25427.544549999999</v>
      </c>
      <c r="W18" s="151">
        <v>26942.992480000001</v>
      </c>
      <c r="X18" s="151">
        <v>28373.338060000002</v>
      </c>
      <c r="Y18" s="241">
        <v>29647.395629999999</v>
      </c>
      <c r="Z18" s="162">
        <v>28513.068440000003</v>
      </c>
      <c r="AA18" s="151">
        <v>27313.903859999999</v>
      </c>
      <c r="AB18" s="151">
        <v>26821.708089999996</v>
      </c>
      <c r="AC18" s="151">
        <v>29568.884019999998</v>
      </c>
      <c r="AD18" s="151">
        <v>28556.857629999999</v>
      </c>
      <c r="AE18" s="151">
        <v>29165.132290000001</v>
      </c>
      <c r="AF18" s="151">
        <v>29486.422170000002</v>
      </c>
      <c r="AG18" s="151">
        <v>28707.433080000003</v>
      </c>
      <c r="AH18" s="151">
        <v>30171.794279999998</v>
      </c>
      <c r="AI18" s="151">
        <v>29017.955709999998</v>
      </c>
      <c r="AJ18" s="151">
        <v>28730.186669999999</v>
      </c>
      <c r="AK18" s="241">
        <v>28691.894660000002</v>
      </c>
      <c r="AL18" s="162">
        <v>30654.760999999999</v>
      </c>
      <c r="AM18" s="151">
        <v>32763.13797</v>
      </c>
      <c r="AN18" s="151">
        <v>29698.335209999997</v>
      </c>
      <c r="AO18" s="151">
        <v>29466.578549999998</v>
      </c>
      <c r="AP18" s="151">
        <v>30279.999830000004</v>
      </c>
      <c r="AQ18" s="151">
        <v>31463.078020000001</v>
      </c>
      <c r="AR18" s="151">
        <v>35191.624019999996</v>
      </c>
      <c r="AS18" s="151">
        <v>38822.688000000002</v>
      </c>
      <c r="AT18" s="151">
        <v>39629.369609999994</v>
      </c>
      <c r="AU18" s="151">
        <v>38719.423669999996</v>
      </c>
      <c r="AV18" s="151">
        <v>40749.641319999995</v>
      </c>
      <c r="AW18" s="241">
        <v>41265.674439999995</v>
      </c>
      <c r="AX18" s="162">
        <v>35746.453859999994</v>
      </c>
      <c r="AY18" s="151">
        <v>35798.407870000003</v>
      </c>
      <c r="AZ18" s="151">
        <v>34337.35772</v>
      </c>
      <c r="BA18" s="151">
        <v>34634.918290000001</v>
      </c>
      <c r="BB18" s="151">
        <v>35808.783739999999</v>
      </c>
      <c r="BC18" s="151">
        <v>35302.41732</v>
      </c>
      <c r="BD18" s="151">
        <v>38074.394469999999</v>
      </c>
      <c r="BE18" s="151">
        <v>41269.509660000003</v>
      </c>
      <c r="BF18" s="151">
        <v>39302.130009999993</v>
      </c>
      <c r="BG18" s="151">
        <v>41675.422010000002</v>
      </c>
      <c r="BH18" s="151">
        <v>40524.679159999992</v>
      </c>
      <c r="BI18" s="241">
        <v>42927.774530000002</v>
      </c>
      <c r="BJ18" s="162">
        <v>43930.33602000001</v>
      </c>
      <c r="BK18" s="151">
        <v>40951</v>
      </c>
      <c r="BL18" s="151">
        <v>38773</v>
      </c>
      <c r="BM18" s="151">
        <v>37306</v>
      </c>
      <c r="BN18" s="151">
        <v>39861</v>
      </c>
      <c r="BO18" s="151">
        <v>50617</v>
      </c>
      <c r="BP18" s="151">
        <v>53696</v>
      </c>
      <c r="BQ18" s="151">
        <v>53950</v>
      </c>
      <c r="BR18" s="151">
        <v>59569</v>
      </c>
      <c r="BS18" s="151">
        <v>61155</v>
      </c>
      <c r="BT18" s="151">
        <v>65965</v>
      </c>
      <c r="BU18" s="241">
        <v>69024</v>
      </c>
      <c r="BW18" s="316">
        <f t="shared" si="5"/>
        <v>4.6373076631547105</v>
      </c>
      <c r="BX18" s="184">
        <f t="shared" si="6"/>
        <v>60.791004788199984</v>
      </c>
      <c r="BY18" s="212"/>
    </row>
    <row r="19" spans="1:77" ht="15" customHeight="1" x14ac:dyDescent="0.25">
      <c r="A19" s="402" t="s">
        <v>512</v>
      </c>
      <c r="B19" s="162">
        <v>48310.474069999997</v>
      </c>
      <c r="C19" s="151">
        <v>47849.368190000001</v>
      </c>
      <c r="D19" s="151">
        <v>44451.90612</v>
      </c>
      <c r="E19" s="151">
        <v>46443.730789999994</v>
      </c>
      <c r="F19" s="151">
        <v>43464.346179999993</v>
      </c>
      <c r="G19" s="151">
        <v>46791.327089999992</v>
      </c>
      <c r="H19" s="151">
        <v>48226.107459999999</v>
      </c>
      <c r="I19" s="151">
        <v>46035.319039999995</v>
      </c>
      <c r="J19" s="151">
        <v>47653.565889999991</v>
      </c>
      <c r="K19" s="151">
        <v>49546.281559999996</v>
      </c>
      <c r="L19" s="151">
        <v>49224.650430000002</v>
      </c>
      <c r="M19" s="241">
        <v>54548.743879999995</v>
      </c>
      <c r="N19" s="162">
        <v>54003.203520000003</v>
      </c>
      <c r="O19" s="151">
        <v>52280.589469999999</v>
      </c>
      <c r="P19" s="151">
        <v>48883.378619999996</v>
      </c>
      <c r="Q19" s="151">
        <v>52131.050570000007</v>
      </c>
      <c r="R19" s="151">
        <v>49571.778920000004</v>
      </c>
      <c r="S19" s="151">
        <v>51895.289020000004</v>
      </c>
      <c r="T19" s="151">
        <v>52925.856940000012</v>
      </c>
      <c r="U19" s="151">
        <v>52225.746639999998</v>
      </c>
      <c r="V19" s="151">
        <v>52922.955979999999</v>
      </c>
      <c r="W19" s="151">
        <v>54974.595890000004</v>
      </c>
      <c r="X19" s="151">
        <v>53665.762649999997</v>
      </c>
      <c r="Y19" s="241">
        <v>58806.557549999998</v>
      </c>
      <c r="Z19" s="162">
        <v>58613.814199999993</v>
      </c>
      <c r="AA19" s="151">
        <v>54459.171099999992</v>
      </c>
      <c r="AB19" s="151">
        <v>52261.859660000002</v>
      </c>
      <c r="AC19" s="151">
        <v>55731.374799999998</v>
      </c>
      <c r="AD19" s="151">
        <v>53000.328440000005</v>
      </c>
      <c r="AE19" s="151">
        <v>57110.392160000003</v>
      </c>
      <c r="AF19" s="151">
        <v>57841.248530000004</v>
      </c>
      <c r="AG19" s="151">
        <v>58812.800459999999</v>
      </c>
      <c r="AH19" s="151">
        <v>56095.792850000005</v>
      </c>
      <c r="AI19" s="151">
        <v>58310.197780000002</v>
      </c>
      <c r="AJ19" s="151">
        <v>60152.999640000002</v>
      </c>
      <c r="AK19" s="241">
        <v>65168.214159999996</v>
      </c>
      <c r="AL19" s="162">
        <v>65603.414769999988</v>
      </c>
      <c r="AM19" s="151">
        <v>64901.445239999994</v>
      </c>
      <c r="AN19" s="151">
        <v>61751.133899999993</v>
      </c>
      <c r="AO19" s="151">
        <v>62377.245029999998</v>
      </c>
      <c r="AP19" s="151">
        <v>62652.040829999998</v>
      </c>
      <c r="AQ19" s="151">
        <v>64705.998680000004</v>
      </c>
      <c r="AR19" s="151">
        <v>73078.964390000008</v>
      </c>
      <c r="AS19" s="151">
        <v>70738.771099999998</v>
      </c>
      <c r="AT19" s="151">
        <v>69220.453859999994</v>
      </c>
      <c r="AU19" s="151">
        <v>69381.422940000004</v>
      </c>
      <c r="AV19" s="151">
        <v>70952.354290000003</v>
      </c>
      <c r="AW19" s="241">
        <v>74596.221719999972</v>
      </c>
      <c r="AX19" s="162">
        <v>73510.313740000012</v>
      </c>
      <c r="AY19" s="151">
        <v>70993.642400000012</v>
      </c>
      <c r="AZ19" s="151">
        <v>66811.053769999999</v>
      </c>
      <c r="BA19" s="151">
        <v>67984.658550000007</v>
      </c>
      <c r="BB19" s="151">
        <v>66943.60209</v>
      </c>
      <c r="BC19" s="151">
        <v>75990.681680000009</v>
      </c>
      <c r="BD19" s="151">
        <v>77601.869489999997</v>
      </c>
      <c r="BE19" s="151">
        <v>74658.41393000001</v>
      </c>
      <c r="BF19" s="151">
        <v>74777.301779999994</v>
      </c>
      <c r="BG19" s="151">
        <v>76272.551600000006</v>
      </c>
      <c r="BH19" s="151">
        <v>77025.12371</v>
      </c>
      <c r="BI19" s="241">
        <v>83038.449320000014</v>
      </c>
      <c r="BJ19" s="162">
        <v>86485.891050000006</v>
      </c>
      <c r="BK19" s="151">
        <v>81390</v>
      </c>
      <c r="BL19" s="151">
        <v>89108.5</v>
      </c>
      <c r="BM19" s="151">
        <v>104988.8</v>
      </c>
      <c r="BN19" s="151">
        <v>111584</v>
      </c>
      <c r="BO19" s="151">
        <v>112079.5</v>
      </c>
      <c r="BP19" s="151">
        <v>112970</v>
      </c>
      <c r="BQ19" s="151">
        <v>114496</v>
      </c>
      <c r="BR19" s="151">
        <v>111251</v>
      </c>
      <c r="BS19" s="151">
        <v>123407.5</v>
      </c>
      <c r="BT19" s="151">
        <v>114997</v>
      </c>
      <c r="BU19" s="241">
        <v>129828</v>
      </c>
      <c r="BW19" s="316">
        <f t="shared" si="5"/>
        <v>12.896858178909021</v>
      </c>
      <c r="BX19" s="184">
        <f t="shared" si="6"/>
        <v>56.346850240049704</v>
      </c>
      <c r="BY19" s="212"/>
    </row>
    <row r="20" spans="1:77" ht="15" customHeight="1" x14ac:dyDescent="0.25">
      <c r="A20" s="434"/>
      <c r="B20" s="162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241"/>
      <c r="N20" s="162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241"/>
      <c r="Z20" s="162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241"/>
      <c r="AL20" s="162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241"/>
      <c r="AX20" s="162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241"/>
      <c r="BJ20" s="162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241"/>
      <c r="BW20" s="316"/>
      <c r="BX20" s="184"/>
      <c r="BY20" s="212"/>
    </row>
    <row r="21" spans="1:77" ht="15" customHeight="1" x14ac:dyDescent="0.25">
      <c r="A21" s="433" t="s">
        <v>104</v>
      </c>
      <c r="B21" s="267">
        <f t="shared" ref="B21:Q21" si="9">SUM(B22:B25)</f>
        <v>116898.12031999997</v>
      </c>
      <c r="C21" s="229">
        <f t="shared" si="9"/>
        <v>115480.43736</v>
      </c>
      <c r="D21" s="229">
        <f t="shared" si="9"/>
        <v>113762.51699999999</v>
      </c>
      <c r="E21" s="229">
        <f t="shared" si="9"/>
        <v>112919.78091999999</v>
      </c>
      <c r="F21" s="229">
        <f t="shared" si="9"/>
        <v>120687.37012000004</v>
      </c>
      <c r="G21" s="229">
        <f t="shared" si="9"/>
        <v>129856.40070000001</v>
      </c>
      <c r="H21" s="229">
        <f t="shared" si="9"/>
        <v>116083.48413</v>
      </c>
      <c r="I21" s="229">
        <f t="shared" si="9"/>
        <v>129996.23917</v>
      </c>
      <c r="J21" s="229">
        <f t="shared" si="9"/>
        <v>119124.19594000001</v>
      </c>
      <c r="K21" s="229">
        <f t="shared" si="9"/>
        <v>120534.77977999998</v>
      </c>
      <c r="L21" s="229">
        <f t="shared" si="9"/>
        <v>129062.53911000001</v>
      </c>
      <c r="M21" s="268">
        <f t="shared" si="9"/>
        <v>130781.12700000001</v>
      </c>
      <c r="N21" s="267">
        <f t="shared" si="9"/>
        <v>139985.46076000002</v>
      </c>
      <c r="O21" s="229">
        <f t="shared" si="9"/>
        <v>129440.13264000001</v>
      </c>
      <c r="P21" s="229">
        <f t="shared" si="9"/>
        <v>126402.6088</v>
      </c>
      <c r="Q21" s="229">
        <f t="shared" si="9"/>
        <v>140900.01864000002</v>
      </c>
      <c r="R21" s="229">
        <f t="shared" ref="R21:BU21" si="10">SUM(R22:R25)</f>
        <v>147876.61052000002</v>
      </c>
      <c r="S21" s="229">
        <f t="shared" si="10"/>
        <v>144959.48816000001</v>
      </c>
      <c r="T21" s="229">
        <f t="shared" si="10"/>
        <v>135075.06404</v>
      </c>
      <c r="U21" s="229">
        <f t="shared" si="10"/>
        <v>142007.70723000003</v>
      </c>
      <c r="V21" s="229">
        <f t="shared" si="10"/>
        <v>144968.43024000002</v>
      </c>
      <c r="W21" s="229">
        <f t="shared" si="10"/>
        <v>141888.6887</v>
      </c>
      <c r="X21" s="229">
        <f t="shared" si="10"/>
        <v>139073.80095999999</v>
      </c>
      <c r="Y21" s="268">
        <f t="shared" si="10"/>
        <v>148488.22470999998</v>
      </c>
      <c r="Z21" s="267">
        <f t="shared" si="10"/>
        <v>142971.04896000001</v>
      </c>
      <c r="AA21" s="229">
        <f t="shared" si="10"/>
        <v>131422.62104999999</v>
      </c>
      <c r="AB21" s="229">
        <f t="shared" si="10"/>
        <v>130414.02396000001</v>
      </c>
      <c r="AC21" s="229">
        <f t="shared" si="10"/>
        <v>128257.68053000003</v>
      </c>
      <c r="AD21" s="229">
        <f t="shared" si="10"/>
        <v>135993.31133</v>
      </c>
      <c r="AE21" s="229">
        <f t="shared" si="10"/>
        <v>132708.00138</v>
      </c>
      <c r="AF21" s="229">
        <f t="shared" si="10"/>
        <v>134912.19611999998</v>
      </c>
      <c r="AG21" s="229">
        <f t="shared" si="10"/>
        <v>135481.03544000001</v>
      </c>
      <c r="AH21" s="229">
        <f t="shared" si="10"/>
        <v>141276.33794</v>
      </c>
      <c r="AI21" s="229">
        <f t="shared" si="10"/>
        <v>136293.31440999999</v>
      </c>
      <c r="AJ21" s="229">
        <f t="shared" si="10"/>
        <v>140595.13960999998</v>
      </c>
      <c r="AK21" s="268">
        <f t="shared" si="10"/>
        <v>139826.63115</v>
      </c>
      <c r="AL21" s="267">
        <f t="shared" si="10"/>
        <v>136659.07721000002</v>
      </c>
      <c r="AM21" s="229">
        <f t="shared" si="10"/>
        <v>136061.41400999998</v>
      </c>
      <c r="AN21" s="229">
        <f t="shared" si="10"/>
        <v>133738.88957999999</v>
      </c>
      <c r="AO21" s="229">
        <f t="shared" si="10"/>
        <v>137022.55442999999</v>
      </c>
      <c r="AP21" s="229">
        <f t="shared" si="10"/>
        <v>139981.97990999999</v>
      </c>
      <c r="AQ21" s="229">
        <f t="shared" si="10"/>
        <v>140220.56998000003</v>
      </c>
      <c r="AR21" s="229">
        <f t="shared" si="10"/>
        <v>139166.40424999999</v>
      </c>
      <c r="AS21" s="229">
        <f t="shared" si="10"/>
        <v>139689.30482999998</v>
      </c>
      <c r="AT21" s="229">
        <f t="shared" si="10"/>
        <v>141602.62014000001</v>
      </c>
      <c r="AU21" s="229">
        <f t="shared" si="10"/>
        <v>143271.87570000003</v>
      </c>
      <c r="AV21" s="229">
        <f t="shared" si="10"/>
        <v>151306.50858999998</v>
      </c>
      <c r="AW21" s="268">
        <f t="shared" si="10"/>
        <v>151243.88681999999</v>
      </c>
      <c r="AX21" s="267">
        <f t="shared" si="10"/>
        <v>175947.14865000002</v>
      </c>
      <c r="AY21" s="229">
        <f t="shared" si="10"/>
        <v>174727.58942999999</v>
      </c>
      <c r="AZ21" s="229">
        <f t="shared" si="10"/>
        <v>174913.40581999999</v>
      </c>
      <c r="BA21" s="229">
        <f t="shared" si="10"/>
        <v>176251.73166000002</v>
      </c>
      <c r="BB21" s="229">
        <f t="shared" si="10"/>
        <v>184821.75969000001</v>
      </c>
      <c r="BC21" s="229">
        <f t="shared" si="10"/>
        <v>165530.97941000003</v>
      </c>
      <c r="BD21" s="229">
        <f t="shared" si="10"/>
        <v>165242.00527999998</v>
      </c>
      <c r="BE21" s="229">
        <f t="shared" si="10"/>
        <v>165646.43856000004</v>
      </c>
      <c r="BF21" s="229">
        <f t="shared" si="10"/>
        <v>164755.11585</v>
      </c>
      <c r="BG21" s="229">
        <f t="shared" si="10"/>
        <v>163604.34195999999</v>
      </c>
      <c r="BH21" s="229">
        <f t="shared" si="10"/>
        <v>159282.56255</v>
      </c>
      <c r="BI21" s="268">
        <f t="shared" si="10"/>
        <v>156701.69130000003</v>
      </c>
      <c r="BJ21" s="267">
        <f t="shared" si="10"/>
        <v>153934.13031999997</v>
      </c>
      <c r="BK21" s="229">
        <f t="shared" si="10"/>
        <v>152410.4</v>
      </c>
      <c r="BL21" s="229">
        <f t="shared" si="10"/>
        <v>147198.39999999999</v>
      </c>
      <c r="BM21" s="229">
        <f t="shared" si="10"/>
        <v>142942.39999999999</v>
      </c>
      <c r="BN21" s="229">
        <f t="shared" si="10"/>
        <v>143163</v>
      </c>
      <c r="BO21" s="229">
        <f t="shared" si="10"/>
        <v>145637.4</v>
      </c>
      <c r="BP21" s="229">
        <f t="shared" si="10"/>
        <v>143897</v>
      </c>
      <c r="BQ21" s="229">
        <f t="shared" si="10"/>
        <v>142723</v>
      </c>
      <c r="BR21" s="229">
        <f t="shared" si="10"/>
        <v>141884</v>
      </c>
      <c r="BS21" s="229">
        <f t="shared" si="10"/>
        <v>142103</v>
      </c>
      <c r="BT21" s="229">
        <f t="shared" si="10"/>
        <v>146156</v>
      </c>
      <c r="BU21" s="268">
        <f t="shared" si="10"/>
        <v>140708.4</v>
      </c>
      <c r="BV21" s="110"/>
      <c r="BW21" s="317">
        <f t="shared" si="5"/>
        <v>-3.7272503352582254</v>
      </c>
      <c r="BX21" s="379">
        <f t="shared" si="6"/>
        <v>-10.206202094769633</v>
      </c>
      <c r="BY21" s="339"/>
    </row>
    <row r="22" spans="1:77" ht="15" customHeight="1" x14ac:dyDescent="0.25">
      <c r="A22" s="402" t="s">
        <v>509</v>
      </c>
      <c r="B22" s="162">
        <v>73650.973249999981</v>
      </c>
      <c r="C22" s="151">
        <v>72532.637210000001</v>
      </c>
      <c r="D22" s="151">
        <v>70905.130369999999</v>
      </c>
      <c r="E22" s="151">
        <v>69676.45818999999</v>
      </c>
      <c r="F22" s="151">
        <v>76024.710330000016</v>
      </c>
      <c r="G22" s="151">
        <v>85780.653610000008</v>
      </c>
      <c r="H22" s="151">
        <v>73959.534390000001</v>
      </c>
      <c r="I22" s="151">
        <v>87344.356509999998</v>
      </c>
      <c r="J22" s="151">
        <v>77329.150150000001</v>
      </c>
      <c r="K22" s="151">
        <v>78768.304969999983</v>
      </c>
      <c r="L22" s="151">
        <v>86135.164539999998</v>
      </c>
      <c r="M22" s="241">
        <v>88108.584879999995</v>
      </c>
      <c r="N22" s="162">
        <v>97121.718970000002</v>
      </c>
      <c r="O22" s="151">
        <v>85856.792580000008</v>
      </c>
      <c r="P22" s="151">
        <v>83017.073409999997</v>
      </c>
      <c r="Q22" s="151">
        <v>94876.271360000013</v>
      </c>
      <c r="R22" s="151">
        <v>101049.96070000001</v>
      </c>
      <c r="S22" s="151">
        <v>97659.12135999999</v>
      </c>
      <c r="T22" s="151">
        <v>87338.062019999998</v>
      </c>
      <c r="U22" s="151">
        <v>93419.341780000017</v>
      </c>
      <c r="V22" s="151">
        <v>95794.819610000006</v>
      </c>
      <c r="W22" s="151">
        <v>91785.720709999994</v>
      </c>
      <c r="X22" s="151">
        <v>86690.335820000008</v>
      </c>
      <c r="Y22" s="241">
        <v>95388.12023</v>
      </c>
      <c r="Z22" s="162">
        <v>92311.229940000019</v>
      </c>
      <c r="AA22" s="151">
        <v>80809.283429999996</v>
      </c>
      <c r="AB22" s="151">
        <v>79706.081480000008</v>
      </c>
      <c r="AC22" s="151">
        <v>77566.256440000012</v>
      </c>
      <c r="AD22" s="151">
        <v>83777.269729999985</v>
      </c>
      <c r="AE22" s="151">
        <v>80117.754210000014</v>
      </c>
      <c r="AF22" s="151">
        <v>82314.948749999996</v>
      </c>
      <c r="AG22" s="151">
        <v>83549.781870000006</v>
      </c>
      <c r="AH22" s="151">
        <v>87526.540240000017</v>
      </c>
      <c r="AI22" s="151">
        <v>82878.020099999994</v>
      </c>
      <c r="AJ22" s="151">
        <v>85817.290150000001</v>
      </c>
      <c r="AK22" s="241">
        <v>84902.319520000005</v>
      </c>
      <c r="AL22" s="162">
        <v>82119.52221000001</v>
      </c>
      <c r="AM22" s="151">
        <v>80427.099009999991</v>
      </c>
      <c r="AN22" s="151">
        <v>78632.292779999989</v>
      </c>
      <c r="AO22" s="151">
        <v>80608.482759999999</v>
      </c>
      <c r="AP22" s="151">
        <v>82113.457919999986</v>
      </c>
      <c r="AQ22" s="151">
        <v>82109.675470000002</v>
      </c>
      <c r="AR22" s="151">
        <v>79835.612929999988</v>
      </c>
      <c r="AS22" s="151">
        <v>79925.257679999995</v>
      </c>
      <c r="AT22" s="151">
        <v>79676.104230000012</v>
      </c>
      <c r="AU22" s="151">
        <v>80440.29141000002</v>
      </c>
      <c r="AV22" s="151">
        <v>87008.780579999991</v>
      </c>
      <c r="AW22" s="241">
        <v>87140.457060000001</v>
      </c>
      <c r="AX22" s="162">
        <v>111750.73626000002</v>
      </c>
      <c r="AY22" s="151">
        <v>110630.68174</v>
      </c>
      <c r="AZ22" s="151">
        <v>111045.63093999999</v>
      </c>
      <c r="BA22" s="151">
        <v>114922.54622</v>
      </c>
      <c r="BB22" s="151">
        <v>119742.64444999999</v>
      </c>
      <c r="BC22" s="151">
        <v>101869.71854000002</v>
      </c>
      <c r="BD22" s="151">
        <v>101076.5217</v>
      </c>
      <c r="BE22" s="151">
        <v>99681.556550000023</v>
      </c>
      <c r="BF22" s="151">
        <v>98947.653960000011</v>
      </c>
      <c r="BG22" s="151">
        <v>97956.645810000016</v>
      </c>
      <c r="BH22" s="151">
        <v>91386.861800000013</v>
      </c>
      <c r="BI22" s="241">
        <v>89007.566000000021</v>
      </c>
      <c r="BJ22" s="162">
        <v>87789.274349999992</v>
      </c>
      <c r="BK22" s="151">
        <v>86338.4</v>
      </c>
      <c r="BL22" s="151">
        <v>81413.5</v>
      </c>
      <c r="BM22" s="151">
        <v>78212.399999999994</v>
      </c>
      <c r="BN22" s="151">
        <v>76890</v>
      </c>
      <c r="BO22" s="151">
        <v>79773.399999999994</v>
      </c>
      <c r="BP22" s="151">
        <v>77527</v>
      </c>
      <c r="BQ22" s="151">
        <v>75563.5</v>
      </c>
      <c r="BR22" s="151">
        <v>73924</v>
      </c>
      <c r="BS22" s="151">
        <v>72828.5</v>
      </c>
      <c r="BT22" s="151">
        <v>75322.5</v>
      </c>
      <c r="BU22" s="241">
        <v>72392.399999999994</v>
      </c>
      <c r="BW22" s="316">
        <f t="shared" si="5"/>
        <v>-3.8900726874440017</v>
      </c>
      <c r="BX22" s="184">
        <f t="shared" si="6"/>
        <v>-18.667138926144801</v>
      </c>
      <c r="BY22" s="212"/>
    </row>
    <row r="23" spans="1:77" ht="15" customHeight="1" x14ac:dyDescent="0.25">
      <c r="A23" s="402" t="s">
        <v>510</v>
      </c>
      <c r="B23" s="162">
        <v>2895.0237699999998</v>
      </c>
      <c r="C23" s="151">
        <v>2852.2575900000002</v>
      </c>
      <c r="D23" s="151">
        <v>2972.6116199999997</v>
      </c>
      <c r="E23" s="151">
        <v>2995.2705900000001</v>
      </c>
      <c r="F23" s="151">
        <v>3115.6155100000001</v>
      </c>
      <c r="G23" s="151">
        <v>3091.1130299999995</v>
      </c>
      <c r="H23" s="151">
        <v>2950.0157300000001</v>
      </c>
      <c r="I23" s="151">
        <v>2947.4144900000001</v>
      </c>
      <c r="J23" s="151">
        <v>2935.8661099999999</v>
      </c>
      <c r="K23" s="151">
        <v>2961.6429800000001</v>
      </c>
      <c r="L23" s="151">
        <v>3045.64383</v>
      </c>
      <c r="M23" s="241">
        <v>2935.3667599999999</v>
      </c>
      <c r="N23" s="162">
        <v>2939.8132000000005</v>
      </c>
      <c r="O23" s="151">
        <v>3000.7291400000004</v>
      </c>
      <c r="P23" s="151">
        <v>2984.7046099999998</v>
      </c>
      <c r="Q23" s="151">
        <v>3021.6804199999997</v>
      </c>
      <c r="R23" s="151">
        <v>3145.7574100000002</v>
      </c>
      <c r="S23" s="151">
        <v>3122.1660999999999</v>
      </c>
      <c r="T23" s="151">
        <v>3113.8428199999998</v>
      </c>
      <c r="U23" s="151">
        <v>3070.0406600000001</v>
      </c>
      <c r="V23" s="151">
        <v>2574.1516099999999</v>
      </c>
      <c r="W23" s="151">
        <v>2723.6148400000002</v>
      </c>
      <c r="X23" s="151">
        <v>2781.5817499999998</v>
      </c>
      <c r="Y23" s="241">
        <v>2813.2264100000002</v>
      </c>
      <c r="Z23" s="162">
        <v>2753.6455800000003</v>
      </c>
      <c r="AA23" s="151">
        <v>2753.0266100000003</v>
      </c>
      <c r="AB23" s="151">
        <v>2770.2129700000005</v>
      </c>
      <c r="AC23" s="151">
        <v>2803.0418400000003</v>
      </c>
      <c r="AD23" s="151">
        <v>2944.1812</v>
      </c>
      <c r="AE23" s="151">
        <v>2868.8320100000001</v>
      </c>
      <c r="AF23" s="151">
        <v>2930.4045799999999</v>
      </c>
      <c r="AG23" s="151">
        <v>3044.4256700000001</v>
      </c>
      <c r="AH23" s="151">
        <v>2996.6922599999998</v>
      </c>
      <c r="AI23" s="151">
        <v>2938.4985100000004</v>
      </c>
      <c r="AJ23" s="151">
        <v>3340.03208</v>
      </c>
      <c r="AK23" s="241">
        <v>3333.3682200000003</v>
      </c>
      <c r="AL23" s="162">
        <v>3478.3984099999998</v>
      </c>
      <c r="AM23" s="151">
        <v>3628.3826300000001</v>
      </c>
      <c r="AN23" s="151">
        <v>3756.1513799999998</v>
      </c>
      <c r="AO23" s="151">
        <v>3837.4798199999996</v>
      </c>
      <c r="AP23" s="151">
        <v>4172.6877599999998</v>
      </c>
      <c r="AQ23" s="151">
        <v>4276.5564999999997</v>
      </c>
      <c r="AR23" s="151">
        <v>4426.6820600000001</v>
      </c>
      <c r="AS23" s="151">
        <v>4462.4479700000002</v>
      </c>
      <c r="AT23" s="151">
        <v>4424.6032099999993</v>
      </c>
      <c r="AU23" s="151">
        <v>4629.4314599999998</v>
      </c>
      <c r="AV23" s="151">
        <v>4877.7664199999999</v>
      </c>
      <c r="AW23" s="241">
        <v>4961.90859</v>
      </c>
      <c r="AX23" s="162">
        <v>5107.3567399999993</v>
      </c>
      <c r="AY23" s="151">
        <v>5061.5823500000006</v>
      </c>
      <c r="AZ23" s="151">
        <v>5113.36931</v>
      </c>
      <c r="BA23" s="151">
        <v>5465.4406100000006</v>
      </c>
      <c r="BB23" s="151">
        <v>5635.125469999999</v>
      </c>
      <c r="BC23" s="151">
        <v>5670.5393199999999</v>
      </c>
      <c r="BD23" s="151">
        <v>5665.5941000000003</v>
      </c>
      <c r="BE23" s="151">
        <v>5892.0033599999997</v>
      </c>
      <c r="BF23" s="151">
        <v>5928.5466699999997</v>
      </c>
      <c r="BG23" s="151">
        <v>5830.0620199999994</v>
      </c>
      <c r="BH23" s="151">
        <v>5624.1681600000002</v>
      </c>
      <c r="BI23" s="241">
        <v>5675.3068800000001</v>
      </c>
      <c r="BJ23" s="162">
        <v>5492.5544100000006</v>
      </c>
      <c r="BK23" s="151">
        <v>5925</v>
      </c>
      <c r="BL23" s="151">
        <v>5854</v>
      </c>
      <c r="BM23" s="151">
        <v>5647</v>
      </c>
      <c r="BN23" s="151">
        <v>5759</v>
      </c>
      <c r="BO23" s="151">
        <v>5842</v>
      </c>
      <c r="BP23" s="151">
        <v>6316</v>
      </c>
      <c r="BQ23" s="151">
        <v>6510</v>
      </c>
      <c r="BR23" s="151">
        <v>6630</v>
      </c>
      <c r="BS23" s="151">
        <v>6831.5</v>
      </c>
      <c r="BT23" s="151">
        <v>6944</v>
      </c>
      <c r="BU23" s="241">
        <v>6919</v>
      </c>
      <c r="BW23" s="316">
        <f t="shared" si="5"/>
        <v>-0.36002304147465525</v>
      </c>
      <c r="BX23" s="184">
        <f t="shared" si="6"/>
        <v>21.914112246208607</v>
      </c>
      <c r="BY23" s="212"/>
    </row>
    <row r="24" spans="1:77" ht="15" customHeight="1" x14ac:dyDescent="0.25">
      <c r="A24" s="402" t="s">
        <v>511</v>
      </c>
      <c r="B24" s="162">
        <v>33468.710359999997</v>
      </c>
      <c r="C24" s="151">
        <v>32964.579129999998</v>
      </c>
      <c r="D24" s="151">
        <v>32763.576529999998</v>
      </c>
      <c r="E24" s="151">
        <v>33061.956749999998</v>
      </c>
      <c r="F24" s="151">
        <v>34179.120910000005</v>
      </c>
      <c r="G24" s="151">
        <v>33686.550309999999</v>
      </c>
      <c r="H24" s="151">
        <v>30999.241029999997</v>
      </c>
      <c r="I24" s="151">
        <v>31343.475039999998</v>
      </c>
      <c r="J24" s="151">
        <v>31072.647520000002</v>
      </c>
      <c r="K24" s="151">
        <v>30781.876340000003</v>
      </c>
      <c r="L24" s="151">
        <v>31499.477330000002</v>
      </c>
      <c r="M24" s="241">
        <v>31912.7592</v>
      </c>
      <c r="N24" s="162">
        <v>31839.51281</v>
      </c>
      <c r="O24" s="151">
        <v>31718.011160000002</v>
      </c>
      <c r="P24" s="151">
        <v>31619.193450000002</v>
      </c>
      <c r="Q24" s="151">
        <v>31182.585010000003</v>
      </c>
      <c r="R24" s="151">
        <v>32208.687819999999</v>
      </c>
      <c r="S24" s="151">
        <v>32872.413060000006</v>
      </c>
      <c r="T24" s="151">
        <v>32879.602480000001</v>
      </c>
      <c r="U24" s="151">
        <v>33541.834640000001</v>
      </c>
      <c r="V24" s="151">
        <v>34408.466260000001</v>
      </c>
      <c r="W24" s="151">
        <v>35172.885569999999</v>
      </c>
      <c r="X24" s="151">
        <v>36741.482839999997</v>
      </c>
      <c r="Y24" s="241">
        <v>37366.783739999999</v>
      </c>
      <c r="Z24" s="162">
        <v>37949.171249999999</v>
      </c>
      <c r="AA24" s="151">
        <v>37757.803199999995</v>
      </c>
      <c r="AB24" s="151">
        <v>38077.838529999994</v>
      </c>
      <c r="AC24" s="151">
        <v>38059.099560000002</v>
      </c>
      <c r="AD24" s="151">
        <v>39367.861989999998</v>
      </c>
      <c r="AE24" s="151">
        <v>39565.670630000001</v>
      </c>
      <c r="AF24" s="151">
        <v>39855.679909999999</v>
      </c>
      <c r="AG24" s="151">
        <v>39334.561280000002</v>
      </c>
      <c r="AH24" s="151">
        <v>41116.030290000002</v>
      </c>
      <c r="AI24" s="151">
        <v>40537.843760000003</v>
      </c>
      <c r="AJ24" s="151">
        <v>41588.24035</v>
      </c>
      <c r="AK24" s="241">
        <v>41542.959860000003</v>
      </c>
      <c r="AL24" s="162">
        <v>41464.896119999998</v>
      </c>
      <c r="AM24" s="151">
        <v>42164.390759999995</v>
      </c>
      <c r="AN24" s="151">
        <v>41681.400379999999</v>
      </c>
      <c r="AO24" s="151">
        <v>42404.995219999997</v>
      </c>
      <c r="AP24" s="151">
        <v>43535.651089999999</v>
      </c>
      <c r="AQ24" s="151">
        <v>43434.627610000003</v>
      </c>
      <c r="AR24" s="151">
        <v>44397.377659999998</v>
      </c>
      <c r="AS24" s="151">
        <v>44211.35944</v>
      </c>
      <c r="AT24" s="151">
        <v>44523.60482</v>
      </c>
      <c r="AU24" s="151">
        <v>44977.838179999999</v>
      </c>
      <c r="AV24" s="151">
        <v>45681.78282</v>
      </c>
      <c r="AW24" s="241">
        <v>45252.331839999999</v>
      </c>
      <c r="AX24" s="162">
        <v>44849.859099999994</v>
      </c>
      <c r="AY24" s="151">
        <v>44726.805259999994</v>
      </c>
      <c r="AZ24" s="151">
        <v>44551.565589999998</v>
      </c>
      <c r="BA24" s="151">
        <v>41400.998639999998</v>
      </c>
      <c r="BB24" s="151">
        <v>43401.677220000012</v>
      </c>
      <c r="BC24" s="151">
        <v>43251.823859999997</v>
      </c>
      <c r="BD24" s="151">
        <v>43800.704239999999</v>
      </c>
      <c r="BE24" s="151">
        <v>44893.204010000001</v>
      </c>
      <c r="BF24" s="151">
        <v>44853.386120000003</v>
      </c>
      <c r="BG24" s="151">
        <v>44936.792219999996</v>
      </c>
      <c r="BH24" s="151">
        <v>46945.163890000003</v>
      </c>
      <c r="BI24" s="241">
        <v>46320.16825000001</v>
      </c>
      <c r="BJ24" s="162">
        <v>46115.210719999995</v>
      </c>
      <c r="BK24" s="151">
        <v>45020</v>
      </c>
      <c r="BL24" s="151">
        <v>44667.4</v>
      </c>
      <c r="BM24" s="151">
        <v>43823</v>
      </c>
      <c r="BN24" s="151">
        <v>45117</v>
      </c>
      <c r="BO24" s="151">
        <v>44482</v>
      </c>
      <c r="BP24" s="151">
        <v>44415</v>
      </c>
      <c r="BQ24" s="151">
        <v>44925.5</v>
      </c>
      <c r="BR24" s="151">
        <v>45353</v>
      </c>
      <c r="BS24" s="151">
        <v>46088</v>
      </c>
      <c r="BT24" s="151">
        <v>47498.5</v>
      </c>
      <c r="BU24" s="241">
        <v>47294</v>
      </c>
      <c r="BW24" s="316">
        <f t="shared" si="5"/>
        <v>-0.43053991178668705</v>
      </c>
      <c r="BX24" s="184">
        <f t="shared" si="6"/>
        <v>2.1023925145176703</v>
      </c>
      <c r="BY24" s="212"/>
    </row>
    <row r="25" spans="1:77" ht="15" customHeight="1" x14ac:dyDescent="0.25">
      <c r="A25" s="402" t="s">
        <v>512</v>
      </c>
      <c r="B25" s="162">
        <v>6883.4129400000002</v>
      </c>
      <c r="C25" s="151">
        <v>7130.9634300000007</v>
      </c>
      <c r="D25" s="151">
        <v>7121.1984799999991</v>
      </c>
      <c r="E25" s="151">
        <v>7186.0953900000004</v>
      </c>
      <c r="F25" s="151">
        <v>7367.9233700000004</v>
      </c>
      <c r="G25" s="151">
        <v>7298.0837500000016</v>
      </c>
      <c r="H25" s="151">
        <v>8174.6929799999998</v>
      </c>
      <c r="I25" s="151">
        <v>8360.9931299999989</v>
      </c>
      <c r="J25" s="151">
        <v>7786.5321600000016</v>
      </c>
      <c r="K25" s="151">
        <v>8022.9554900000003</v>
      </c>
      <c r="L25" s="151">
        <v>8382.253410000003</v>
      </c>
      <c r="M25" s="241">
        <v>7824.4161600000007</v>
      </c>
      <c r="N25" s="162">
        <v>8084.4157800000003</v>
      </c>
      <c r="O25" s="151">
        <v>8864.5997599999992</v>
      </c>
      <c r="P25" s="151">
        <v>8781.6373299999996</v>
      </c>
      <c r="Q25" s="151">
        <v>11819.481849999998</v>
      </c>
      <c r="R25" s="151">
        <v>11472.204589999999</v>
      </c>
      <c r="S25" s="151">
        <v>11305.787639999999</v>
      </c>
      <c r="T25" s="151">
        <v>11743.55672</v>
      </c>
      <c r="U25" s="151">
        <v>11976.49015</v>
      </c>
      <c r="V25" s="151">
        <v>12190.992759999999</v>
      </c>
      <c r="W25" s="151">
        <v>12206.46758</v>
      </c>
      <c r="X25" s="151">
        <v>12860.40055</v>
      </c>
      <c r="Y25" s="241">
        <v>12920.094329999998</v>
      </c>
      <c r="Z25" s="162">
        <v>9957.0021899999992</v>
      </c>
      <c r="AA25" s="151">
        <v>10102.507810000001</v>
      </c>
      <c r="AB25" s="151">
        <v>9859.8909800000001</v>
      </c>
      <c r="AC25" s="151">
        <v>9829.2826900000018</v>
      </c>
      <c r="AD25" s="151">
        <v>9903.9984100000001</v>
      </c>
      <c r="AE25" s="151">
        <v>10155.744530000002</v>
      </c>
      <c r="AF25" s="151">
        <v>9811.1628800000017</v>
      </c>
      <c r="AG25" s="151">
        <v>9552.2666200000003</v>
      </c>
      <c r="AH25" s="151">
        <v>9637.0751500000024</v>
      </c>
      <c r="AI25" s="151">
        <v>9938.9520400000038</v>
      </c>
      <c r="AJ25" s="151">
        <v>9849.5770299999986</v>
      </c>
      <c r="AK25" s="241">
        <v>10047.983550000001</v>
      </c>
      <c r="AL25" s="162">
        <v>9596.2604699999993</v>
      </c>
      <c r="AM25" s="151">
        <v>9841.5416100000039</v>
      </c>
      <c r="AN25" s="151">
        <v>9669.0450399999972</v>
      </c>
      <c r="AO25" s="151">
        <v>10171.59663</v>
      </c>
      <c r="AP25" s="151">
        <v>10160.183140000003</v>
      </c>
      <c r="AQ25" s="151">
        <v>10399.710399999998</v>
      </c>
      <c r="AR25" s="151">
        <v>10506.731599999999</v>
      </c>
      <c r="AS25" s="151">
        <v>11090.239739999999</v>
      </c>
      <c r="AT25" s="151">
        <v>12978.30788</v>
      </c>
      <c r="AU25" s="151">
        <v>13224.31465</v>
      </c>
      <c r="AV25" s="151">
        <v>13738.17877</v>
      </c>
      <c r="AW25" s="241">
        <v>13889.189330000003</v>
      </c>
      <c r="AX25" s="162">
        <v>14239.196550000001</v>
      </c>
      <c r="AY25" s="151">
        <v>14308.52008</v>
      </c>
      <c r="AZ25" s="151">
        <v>14202.839979999999</v>
      </c>
      <c r="BA25" s="151">
        <v>14462.746189999998</v>
      </c>
      <c r="BB25" s="151">
        <v>16042.312550000001</v>
      </c>
      <c r="BC25" s="151">
        <v>14738.897689999998</v>
      </c>
      <c r="BD25" s="151">
        <v>14699.185239999999</v>
      </c>
      <c r="BE25" s="151">
        <v>15179.674639999999</v>
      </c>
      <c r="BF25" s="151">
        <v>15025.5291</v>
      </c>
      <c r="BG25" s="151">
        <v>14880.841909999999</v>
      </c>
      <c r="BH25" s="151">
        <v>15326.368699999999</v>
      </c>
      <c r="BI25" s="241">
        <v>15698.650169999997</v>
      </c>
      <c r="BJ25" s="162">
        <v>14537.090840000001</v>
      </c>
      <c r="BK25" s="151">
        <v>15127</v>
      </c>
      <c r="BL25" s="151">
        <v>15263.5</v>
      </c>
      <c r="BM25" s="151">
        <v>15260</v>
      </c>
      <c r="BN25" s="151">
        <v>15397</v>
      </c>
      <c r="BO25" s="151">
        <v>15540</v>
      </c>
      <c r="BP25" s="151">
        <v>15639</v>
      </c>
      <c r="BQ25" s="151">
        <v>15724</v>
      </c>
      <c r="BR25" s="151">
        <v>15977</v>
      </c>
      <c r="BS25" s="151">
        <v>16355</v>
      </c>
      <c r="BT25" s="151">
        <v>16391</v>
      </c>
      <c r="BU25" s="241">
        <v>14103</v>
      </c>
      <c r="BW25" s="316">
        <f t="shared" si="5"/>
        <v>-13.958879873101093</v>
      </c>
      <c r="BX25" s="184">
        <f t="shared" si="6"/>
        <v>-10.164250765006999</v>
      </c>
    </row>
    <row r="26" spans="1:77" ht="15" customHeight="1" x14ac:dyDescent="0.25">
      <c r="A26" s="133"/>
      <c r="B26" s="233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199"/>
      <c r="N26" s="233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199"/>
      <c r="Z26" s="233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199"/>
      <c r="AL26" s="233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199"/>
      <c r="AX26" s="233"/>
      <c r="AY26" s="230"/>
      <c r="AZ26" s="230"/>
      <c r="BA26" s="230"/>
      <c r="BB26" s="230"/>
      <c r="BC26" s="230"/>
      <c r="BD26" s="230"/>
      <c r="BE26" s="230"/>
      <c r="BF26" s="230"/>
      <c r="BG26" s="230"/>
      <c r="BH26" s="230"/>
      <c r="BI26" s="199"/>
      <c r="BJ26" s="233"/>
      <c r="BK26" s="230"/>
      <c r="BL26" s="230"/>
      <c r="BM26" s="230"/>
      <c r="BN26" s="230"/>
      <c r="BO26" s="230"/>
      <c r="BP26" s="230"/>
      <c r="BQ26" s="230"/>
      <c r="BR26" s="230"/>
      <c r="BS26" s="230"/>
      <c r="BT26" s="230"/>
      <c r="BU26" s="199"/>
      <c r="BW26" s="307"/>
      <c r="BX26" s="177"/>
    </row>
    <row r="27" spans="1:77" ht="15" customHeight="1" x14ac:dyDescent="0.25">
      <c r="A27" s="126" t="s">
        <v>155</v>
      </c>
    </row>
    <row r="30" spans="1:77" ht="15" customHeight="1" x14ac:dyDescent="0.25"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>
        <v>2.2204460492503131E-14</v>
      </c>
      <c r="AR30" s="127"/>
      <c r="AS30" s="127"/>
      <c r="AT30" s="127"/>
      <c r="AU30" s="127"/>
      <c r="AV30" s="127"/>
      <c r="AW30" s="127"/>
      <c r="AX30" s="127">
        <f>AX7-'20.XLS'!AX7</f>
        <v>0</v>
      </c>
      <c r="AY30" s="127">
        <f>AY7-'20.XLS'!AY7</f>
        <v>0</v>
      </c>
      <c r="AZ30" s="127">
        <f>AZ7-'20.XLS'!AZ7</f>
        <v>0</v>
      </c>
      <c r="BA30" s="127">
        <f>BA7-'20.XLS'!BA7</f>
        <v>0</v>
      </c>
      <c r="BB30" s="127">
        <f>BB7-'20.XLS'!BB7</f>
        <v>0</v>
      </c>
      <c r="BC30" s="127">
        <f>BC7-'20.XLS'!BC7</f>
        <v>0</v>
      </c>
      <c r="BD30" s="127">
        <f>BD7-'20.XLS'!BD7</f>
        <v>0</v>
      </c>
      <c r="BE30" s="127">
        <f>BE7-'20.XLS'!BE7</f>
        <v>0</v>
      </c>
      <c r="BF30" s="127">
        <f>BF7-'20.XLS'!BF7</f>
        <v>0</v>
      </c>
      <c r="BG30" s="127">
        <f>BG7-'20.XLS'!BG7</f>
        <v>0</v>
      </c>
      <c r="BH30" s="127">
        <f>BH7-'20.XLS'!BH7</f>
        <v>0</v>
      </c>
      <c r="BI30" s="127">
        <f>BI7-'20.XLS'!BI7</f>
        <v>0</v>
      </c>
      <c r="BJ30" s="127">
        <f>BJ7-'20.XLS'!BJ7</f>
        <v>0</v>
      </c>
      <c r="BK30" s="127">
        <f>BK7-'20.XLS'!BK7</f>
        <v>0</v>
      </c>
      <c r="BL30" s="127">
        <f>BL7-'20.XLS'!BL7</f>
        <v>-0.40000000002328306</v>
      </c>
      <c r="BM30" s="127">
        <f>BM7-'20.XLS'!BM7</f>
        <v>-0.39999999990686774</v>
      </c>
      <c r="BN30" s="127">
        <f>BN7-'20.XLS'!BN7</f>
        <v>0</v>
      </c>
      <c r="BO30" s="127">
        <f>BO7-'20.XLS'!BO7</f>
        <v>-0.10000000009313226</v>
      </c>
      <c r="BP30" s="127">
        <f>BP7-'20.XLS'!BP7</f>
        <v>0.19999999995343387</v>
      </c>
      <c r="BQ30" s="127">
        <f>BQ7-'20.XLS'!BQ7</f>
        <v>-0.40616000001318753</v>
      </c>
      <c r="BR30" s="127">
        <f>BR7-'20.XLS'!BR7</f>
        <v>-379692.9</v>
      </c>
      <c r="BS30" s="127">
        <f>BS7-'20.XLS'!BS7</f>
        <v>0.19999999995343387</v>
      </c>
      <c r="BT30" s="127">
        <f>BT7-'20.XLS'!BT7</f>
        <v>-0.30000000004656613</v>
      </c>
      <c r="BU30" s="127">
        <f>BU7-'20.XLS'!BU7</f>
        <v>0.10000000009313226</v>
      </c>
      <c r="BW30" s="127"/>
    </row>
    <row r="31" spans="1:77" ht="15" customHeight="1" x14ac:dyDescent="0.25"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</row>
    <row r="34" spans="2:73" ht="15" customHeight="1" x14ac:dyDescent="0.25"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</row>
  </sheetData>
  <printOptions horizontalCentered="1" verticalCentered="1"/>
  <pageMargins left="0.75" right="0.75" top="1" bottom="1" header="0" footer="0"/>
  <pageSetup paperSize="9" scale="18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Z61"/>
  <sheetViews>
    <sheetView showGridLines="0" view="pageBreakPreview" zoomScale="82" zoomScaleSheetLayoutView="100" workbookViewId="0">
      <pane xSplit="1" topLeftCell="BK1" activePane="topRight" state="frozen"/>
      <selection activeCell="DO55" sqref="DO55:EP55"/>
      <selection pane="topRight" activeCell="DO55" sqref="DO55:EP55"/>
    </sheetView>
  </sheetViews>
  <sheetFormatPr baseColWidth="10" defaultColWidth="9.7109375" defaultRowHeight="15" customHeight="1" x14ac:dyDescent="0.25"/>
  <cols>
    <col min="1" max="1" width="30.7109375" style="126" customWidth="1"/>
    <col min="2" max="73" width="9.7109375" style="126"/>
    <col min="74" max="74" width="1.7109375" customWidth="1"/>
    <col min="75" max="16384" width="9.7109375" style="126"/>
  </cols>
  <sheetData>
    <row r="1" spans="1:78" ht="15" customHeight="1" x14ac:dyDescent="0.25">
      <c r="A1" s="125" t="s">
        <v>303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W1" s="169"/>
      <c r="BX1" s="169"/>
    </row>
    <row r="2" spans="1:78" ht="15" customHeight="1" x14ac:dyDescent="0.25">
      <c r="A2" s="125" t="s">
        <v>214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W2" s="169"/>
      <c r="BX2" s="169"/>
    </row>
    <row r="3" spans="1:78" ht="15" customHeight="1" x14ac:dyDescent="0.25">
      <c r="A3" s="128" t="s">
        <v>200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W3" s="169"/>
      <c r="BX3" s="169"/>
    </row>
    <row r="4" spans="1:78" ht="15" customHeight="1" x14ac:dyDescent="0.25">
      <c r="A4" s="129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377"/>
      <c r="N4" s="102">
        <v>2016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377"/>
      <c r="Z4" s="102">
        <v>2017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377"/>
      <c r="AL4" s="102">
        <v>2018</v>
      </c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377"/>
      <c r="AX4" s="102">
        <v>2019</v>
      </c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377"/>
      <c r="BJ4" s="102">
        <v>2020</v>
      </c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377"/>
      <c r="BW4" s="428" t="s">
        <v>613</v>
      </c>
      <c r="BX4" s="428"/>
    </row>
    <row r="5" spans="1:78" ht="15" customHeight="1" x14ac:dyDescent="0.25">
      <c r="A5" s="133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378">
        <v>42339</v>
      </c>
      <c r="N5" s="106">
        <v>42370</v>
      </c>
      <c r="O5" s="107">
        <v>42401</v>
      </c>
      <c r="P5" s="107">
        <v>42430</v>
      </c>
      <c r="Q5" s="107">
        <v>42461</v>
      </c>
      <c r="R5" s="107">
        <v>42491</v>
      </c>
      <c r="S5" s="107">
        <v>42522</v>
      </c>
      <c r="T5" s="107">
        <v>42552</v>
      </c>
      <c r="U5" s="107">
        <v>42583</v>
      </c>
      <c r="V5" s="107">
        <v>42614</v>
      </c>
      <c r="W5" s="107">
        <v>42644</v>
      </c>
      <c r="X5" s="107">
        <v>42675</v>
      </c>
      <c r="Y5" s="378">
        <v>42705</v>
      </c>
      <c r="Z5" s="106">
        <v>42736</v>
      </c>
      <c r="AA5" s="107">
        <v>42767</v>
      </c>
      <c r="AB5" s="107">
        <v>42795</v>
      </c>
      <c r="AC5" s="107">
        <v>42826</v>
      </c>
      <c r="AD5" s="107">
        <v>42856</v>
      </c>
      <c r="AE5" s="107">
        <v>42887</v>
      </c>
      <c r="AF5" s="107">
        <v>42917</v>
      </c>
      <c r="AG5" s="107">
        <v>42948</v>
      </c>
      <c r="AH5" s="107">
        <v>42979</v>
      </c>
      <c r="AI5" s="107">
        <v>43009</v>
      </c>
      <c r="AJ5" s="107">
        <v>43040</v>
      </c>
      <c r="AK5" s="378">
        <v>43070</v>
      </c>
      <c r="AL5" s="106">
        <v>43101</v>
      </c>
      <c r="AM5" s="107">
        <v>43132</v>
      </c>
      <c r="AN5" s="107">
        <v>43160</v>
      </c>
      <c r="AO5" s="107">
        <v>43191</v>
      </c>
      <c r="AP5" s="107">
        <v>43221</v>
      </c>
      <c r="AQ5" s="107">
        <v>43252</v>
      </c>
      <c r="AR5" s="107">
        <v>43282</v>
      </c>
      <c r="AS5" s="107">
        <v>43313</v>
      </c>
      <c r="AT5" s="107">
        <v>43344</v>
      </c>
      <c r="AU5" s="107">
        <v>43374</v>
      </c>
      <c r="AV5" s="107">
        <v>43405</v>
      </c>
      <c r="AW5" s="378">
        <v>43435</v>
      </c>
      <c r="AX5" s="106">
        <v>43466</v>
      </c>
      <c r="AY5" s="107">
        <v>43497</v>
      </c>
      <c r="AZ5" s="107">
        <v>43525</v>
      </c>
      <c r="BA5" s="107">
        <v>43556</v>
      </c>
      <c r="BB5" s="107">
        <v>43586</v>
      </c>
      <c r="BC5" s="107">
        <v>43617</v>
      </c>
      <c r="BD5" s="107">
        <v>43647</v>
      </c>
      <c r="BE5" s="107">
        <v>43678</v>
      </c>
      <c r="BF5" s="107">
        <v>43709</v>
      </c>
      <c r="BG5" s="107">
        <v>43739</v>
      </c>
      <c r="BH5" s="107">
        <v>43770</v>
      </c>
      <c r="BI5" s="378">
        <v>43800</v>
      </c>
      <c r="BJ5" s="106">
        <v>43831</v>
      </c>
      <c r="BK5" s="107">
        <v>43862</v>
      </c>
      <c r="BL5" s="107">
        <v>43891</v>
      </c>
      <c r="BM5" s="107">
        <v>43922</v>
      </c>
      <c r="BN5" s="107">
        <v>43952</v>
      </c>
      <c r="BO5" s="107">
        <v>43983</v>
      </c>
      <c r="BP5" s="107">
        <v>44013</v>
      </c>
      <c r="BQ5" s="107">
        <v>44044</v>
      </c>
      <c r="BR5" s="107">
        <v>44075</v>
      </c>
      <c r="BS5" s="107">
        <v>44105</v>
      </c>
      <c r="BT5" s="107">
        <v>44136</v>
      </c>
      <c r="BU5" s="378">
        <v>44166</v>
      </c>
      <c r="BW5" s="321" t="s">
        <v>96</v>
      </c>
      <c r="BX5" s="321" t="s">
        <v>97</v>
      </c>
    </row>
    <row r="6" spans="1:78" ht="15" customHeight="1" x14ac:dyDescent="0.25">
      <c r="A6" s="129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  <c r="N6" s="164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6"/>
      <c r="Z6" s="164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6"/>
      <c r="AL6" s="164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6"/>
      <c r="AX6" s="164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6"/>
      <c r="BJ6" s="164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6"/>
      <c r="BW6" s="176"/>
      <c r="BX6" s="176"/>
    </row>
    <row r="7" spans="1:78" s="215" customFormat="1" ht="15" customHeight="1" x14ac:dyDescent="0.25">
      <c r="A7" s="141" t="s">
        <v>105</v>
      </c>
      <c r="B7" s="272">
        <f t="shared" ref="B7:BH7" si="0">SUM(B9,B14)</f>
        <v>583045.5750500001</v>
      </c>
      <c r="C7" s="147">
        <f t="shared" si="0"/>
        <v>591496.69367999991</v>
      </c>
      <c r="D7" s="147">
        <f t="shared" si="0"/>
        <v>658021.27731000003</v>
      </c>
      <c r="E7" s="147">
        <f t="shared" si="0"/>
        <v>632442.26212999993</v>
      </c>
      <c r="F7" s="147">
        <f t="shared" si="0"/>
        <v>639449.61333000008</v>
      </c>
      <c r="G7" s="147">
        <f t="shared" si="0"/>
        <v>616101.27478999994</v>
      </c>
      <c r="H7" s="147">
        <f t="shared" si="0"/>
        <v>634836.1198499999</v>
      </c>
      <c r="I7" s="147">
        <f t="shared" si="0"/>
        <v>618946.12923000008</v>
      </c>
      <c r="J7" s="147">
        <f t="shared" si="0"/>
        <v>633976.50351000007</v>
      </c>
      <c r="K7" s="147">
        <f t="shared" si="0"/>
        <v>638733.55444000009</v>
      </c>
      <c r="L7" s="147">
        <f t="shared" si="0"/>
        <v>667800.96282999997</v>
      </c>
      <c r="M7" s="273">
        <f t="shared" si="0"/>
        <v>668901.74524999992</v>
      </c>
      <c r="N7" s="272">
        <f t="shared" si="0"/>
        <v>675911.92611999996</v>
      </c>
      <c r="O7" s="147">
        <f t="shared" si="0"/>
        <v>664006.49556999991</v>
      </c>
      <c r="P7" s="147">
        <f t="shared" si="0"/>
        <v>643290.71406000003</v>
      </c>
      <c r="Q7" s="147">
        <f t="shared" si="0"/>
        <v>682851.75054000004</v>
      </c>
      <c r="R7" s="147">
        <f t="shared" si="0"/>
        <v>670420.48010000004</v>
      </c>
      <c r="S7" s="147">
        <f t="shared" si="0"/>
        <v>659649.44101999991</v>
      </c>
      <c r="T7" s="147">
        <f t="shared" si="0"/>
        <v>667721.13209000009</v>
      </c>
      <c r="U7" s="147">
        <f t="shared" si="0"/>
        <v>651539.36076000007</v>
      </c>
      <c r="V7" s="147">
        <f t="shared" si="0"/>
        <v>672127.0284999999</v>
      </c>
      <c r="W7" s="147">
        <f t="shared" si="0"/>
        <v>655459.18514999992</v>
      </c>
      <c r="X7" s="147">
        <f t="shared" si="0"/>
        <v>671821.8949800001</v>
      </c>
      <c r="Y7" s="273">
        <f t="shared" si="0"/>
        <v>684816.91616999998</v>
      </c>
      <c r="Z7" s="272">
        <f t="shared" si="0"/>
        <v>659832.38013999991</v>
      </c>
      <c r="AA7" s="147">
        <f t="shared" si="0"/>
        <v>661026.97395999997</v>
      </c>
      <c r="AB7" s="147">
        <f t="shared" si="0"/>
        <v>690647.55176000006</v>
      </c>
      <c r="AC7" s="147">
        <f t="shared" si="0"/>
        <v>683734.94013</v>
      </c>
      <c r="AD7" s="147">
        <f t="shared" si="0"/>
        <v>673503.42256999994</v>
      </c>
      <c r="AE7" s="147">
        <f t="shared" si="0"/>
        <v>706075.75634000008</v>
      </c>
      <c r="AF7" s="147">
        <f t="shared" si="0"/>
        <v>721070.27203999995</v>
      </c>
      <c r="AG7" s="147">
        <f t="shared" si="0"/>
        <v>695929.55528999993</v>
      </c>
      <c r="AH7" s="147">
        <f t="shared" si="0"/>
        <v>690144.94774999993</v>
      </c>
      <c r="AI7" s="147">
        <f t="shared" si="0"/>
        <v>688699.8017500001</v>
      </c>
      <c r="AJ7" s="147">
        <f t="shared" si="0"/>
        <v>703845.36741000006</v>
      </c>
      <c r="AK7" s="273">
        <f t="shared" si="0"/>
        <v>704754.15499000007</v>
      </c>
      <c r="AL7" s="272">
        <f t="shared" si="0"/>
        <v>718706.94874000002</v>
      </c>
      <c r="AM7" s="147">
        <f t="shared" si="0"/>
        <v>707911.67401000008</v>
      </c>
      <c r="AN7" s="147">
        <f t="shared" si="0"/>
        <v>719348.20272000006</v>
      </c>
      <c r="AO7" s="147">
        <f t="shared" si="0"/>
        <v>753070.99045999988</v>
      </c>
      <c r="AP7" s="147">
        <f t="shared" si="0"/>
        <v>770800.55800000008</v>
      </c>
      <c r="AQ7" s="147">
        <f t="shared" si="0"/>
        <v>777686.29706000013</v>
      </c>
      <c r="AR7" s="147">
        <f t="shared" si="0"/>
        <v>800227.38225000002</v>
      </c>
      <c r="AS7" s="147">
        <f t="shared" si="0"/>
        <v>784634.4940699999</v>
      </c>
      <c r="AT7" s="147">
        <f t="shared" si="0"/>
        <v>792780.35519000003</v>
      </c>
      <c r="AU7" s="147">
        <f t="shared" si="0"/>
        <v>783696.74287999992</v>
      </c>
      <c r="AV7" s="147">
        <f t="shared" si="0"/>
        <v>770019.32574000012</v>
      </c>
      <c r="AW7" s="273">
        <f t="shared" si="0"/>
        <v>772585.179</v>
      </c>
      <c r="AX7" s="272">
        <f t="shared" si="0"/>
        <v>802764.88427000004</v>
      </c>
      <c r="AY7" s="147">
        <f t="shared" si="0"/>
        <v>870159.74018999992</v>
      </c>
      <c r="AZ7" s="147">
        <f t="shared" si="0"/>
        <v>920720.18507999985</v>
      </c>
      <c r="BA7" s="147">
        <f t="shared" si="0"/>
        <v>914149.31071999995</v>
      </c>
      <c r="BB7" s="147">
        <f t="shared" si="0"/>
        <v>887703.61212000018</v>
      </c>
      <c r="BC7" s="147">
        <f t="shared" si="0"/>
        <v>894722.57441999996</v>
      </c>
      <c r="BD7" s="147">
        <f t="shared" si="0"/>
        <v>853442.26635000005</v>
      </c>
      <c r="BE7" s="147">
        <f t="shared" si="0"/>
        <v>871845.38056999992</v>
      </c>
      <c r="BF7" s="147">
        <f t="shared" si="0"/>
        <v>884926.22344999982</v>
      </c>
      <c r="BG7" s="147">
        <f t="shared" si="0"/>
        <v>842364.18200999999</v>
      </c>
      <c r="BH7" s="147">
        <f t="shared" si="0"/>
        <v>865265.51609000005</v>
      </c>
      <c r="BI7" s="273">
        <f t="shared" ref="BI7:BR7" si="1">SUM(BI9,BI14)</f>
        <v>846436.73523000011</v>
      </c>
      <c r="BJ7" s="272">
        <f t="shared" si="1"/>
        <v>824936.33380000002</v>
      </c>
      <c r="BK7" s="147">
        <f t="shared" si="1"/>
        <v>831127.8</v>
      </c>
      <c r="BL7" s="147">
        <f t="shared" si="1"/>
        <v>848829</v>
      </c>
      <c r="BM7" s="147">
        <f t="shared" si="1"/>
        <v>842293</v>
      </c>
      <c r="BN7" s="147">
        <f t="shared" si="1"/>
        <v>982236</v>
      </c>
      <c r="BO7" s="147">
        <f t="shared" si="1"/>
        <v>1083321</v>
      </c>
      <c r="BP7" s="147">
        <f t="shared" si="1"/>
        <v>1163388.8</v>
      </c>
      <c r="BQ7" s="147">
        <f t="shared" si="1"/>
        <v>1190865</v>
      </c>
      <c r="BR7" s="147">
        <f t="shared" si="1"/>
        <v>1218205.5</v>
      </c>
      <c r="BS7" s="147">
        <f>SUM(BS9,BS14)</f>
        <v>1285191</v>
      </c>
      <c r="BT7" s="147">
        <f>SUM(BT9,BT14)</f>
        <v>1304413.7999999998</v>
      </c>
      <c r="BU7" s="273">
        <f>SUM(BU9,BU14)</f>
        <v>1324630</v>
      </c>
      <c r="BV7" s="111"/>
      <c r="BW7" s="179">
        <f>IFERROR(((BU7/BT7)-1)*100,"-")</f>
        <v>1.5498302762513072</v>
      </c>
      <c r="BX7" s="179">
        <f>IFERROR(((BU7/BI7)-1)*100,"-")</f>
        <v>56.494861915469862</v>
      </c>
      <c r="BY7" s="432"/>
      <c r="BZ7" s="419"/>
    </row>
    <row r="8" spans="1:78" ht="15" customHeight="1" x14ac:dyDescent="0.25">
      <c r="A8" s="138"/>
      <c r="B8" s="162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241"/>
      <c r="N8" s="162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241"/>
      <c r="Z8" s="162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241"/>
      <c r="AL8" s="162"/>
      <c r="AM8" s="151"/>
      <c r="AN8" s="151"/>
      <c r="AO8" s="151"/>
      <c r="AP8" s="151"/>
      <c r="AQ8" s="151"/>
      <c r="AR8" s="151"/>
      <c r="AS8" s="151"/>
      <c r="AT8" s="151"/>
      <c r="AU8" s="151"/>
      <c r="AV8" s="151"/>
      <c r="AW8" s="241"/>
      <c r="AX8" s="162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241"/>
      <c r="BJ8" s="162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241"/>
      <c r="BW8" s="184"/>
      <c r="BX8" s="184"/>
      <c r="BY8" s="175"/>
      <c r="BZ8" s="208"/>
    </row>
    <row r="9" spans="1:78" s="125" customFormat="1" ht="15" customHeight="1" x14ac:dyDescent="0.25">
      <c r="A9" s="433" t="s">
        <v>81</v>
      </c>
      <c r="B9" s="267">
        <f t="shared" ref="B9:M9" si="2">SUM(B10:B12)</f>
        <v>501240.94292000006</v>
      </c>
      <c r="C9" s="229">
        <f t="shared" si="2"/>
        <v>503939.62837999989</v>
      </c>
      <c r="D9" s="229">
        <f t="shared" si="2"/>
        <v>567919.99950999999</v>
      </c>
      <c r="E9" s="229">
        <f t="shared" si="2"/>
        <v>542039.59303999995</v>
      </c>
      <c r="F9" s="229">
        <f t="shared" si="2"/>
        <v>547138.02974000003</v>
      </c>
      <c r="G9" s="229">
        <f t="shared" si="2"/>
        <v>527691.01497999998</v>
      </c>
      <c r="H9" s="229">
        <f t="shared" si="2"/>
        <v>544973.56716999994</v>
      </c>
      <c r="I9" s="229">
        <f t="shared" si="2"/>
        <v>515779.36979000003</v>
      </c>
      <c r="J9" s="229">
        <f t="shared" si="2"/>
        <v>540387.27485000005</v>
      </c>
      <c r="K9" s="229">
        <f t="shared" si="2"/>
        <v>547743.26404000004</v>
      </c>
      <c r="L9" s="229">
        <f t="shared" si="2"/>
        <v>574105.06024000002</v>
      </c>
      <c r="M9" s="268">
        <f t="shared" si="2"/>
        <v>575448.46620999998</v>
      </c>
      <c r="N9" s="267">
        <f t="shared" ref="N9:BR9" si="3">SUM(N10:N12)</f>
        <v>569997.90561000002</v>
      </c>
      <c r="O9" s="229">
        <f t="shared" si="3"/>
        <v>560176.31077999994</v>
      </c>
      <c r="P9" s="229">
        <f t="shared" si="3"/>
        <v>539425.15656000003</v>
      </c>
      <c r="Q9" s="229">
        <f t="shared" si="3"/>
        <v>585650.94776000001</v>
      </c>
      <c r="R9" s="229">
        <f t="shared" si="3"/>
        <v>572548.60623000003</v>
      </c>
      <c r="S9" s="229">
        <f t="shared" si="3"/>
        <v>557247.77478999994</v>
      </c>
      <c r="T9" s="229">
        <f t="shared" si="3"/>
        <v>565953.8144700001</v>
      </c>
      <c r="U9" s="229">
        <f t="shared" si="3"/>
        <v>549901.51976000005</v>
      </c>
      <c r="V9" s="229">
        <f t="shared" si="3"/>
        <v>565955.35428999993</v>
      </c>
      <c r="W9" s="229">
        <f t="shared" si="3"/>
        <v>544287.52796999994</v>
      </c>
      <c r="X9" s="229">
        <f t="shared" si="3"/>
        <v>564818.10117000004</v>
      </c>
      <c r="Y9" s="268">
        <f t="shared" si="3"/>
        <v>586889.43548999995</v>
      </c>
      <c r="Z9" s="267">
        <f t="shared" si="3"/>
        <v>559447.0671799999</v>
      </c>
      <c r="AA9" s="229">
        <f t="shared" si="3"/>
        <v>563409.47227999999</v>
      </c>
      <c r="AB9" s="229">
        <f t="shared" si="3"/>
        <v>591571.18854</v>
      </c>
      <c r="AC9" s="229">
        <f t="shared" si="3"/>
        <v>587098.87760000001</v>
      </c>
      <c r="AD9" s="229">
        <f t="shared" si="3"/>
        <v>577850.60826999997</v>
      </c>
      <c r="AE9" s="229">
        <f t="shared" si="3"/>
        <v>599732.40081000002</v>
      </c>
      <c r="AF9" s="229">
        <f t="shared" si="3"/>
        <v>617865.18464999995</v>
      </c>
      <c r="AG9" s="229">
        <f t="shared" si="3"/>
        <v>593692.95479999995</v>
      </c>
      <c r="AH9" s="229">
        <f t="shared" si="3"/>
        <v>593880.87864999997</v>
      </c>
      <c r="AI9" s="229">
        <f t="shared" si="3"/>
        <v>602540.61155000003</v>
      </c>
      <c r="AJ9" s="229">
        <f t="shared" si="3"/>
        <v>614928.60048000002</v>
      </c>
      <c r="AK9" s="268">
        <f t="shared" si="3"/>
        <v>622344.17824000004</v>
      </c>
      <c r="AL9" s="267">
        <f t="shared" si="3"/>
        <v>633887.47177000006</v>
      </c>
      <c r="AM9" s="229">
        <f t="shared" si="3"/>
        <v>622862.27548000007</v>
      </c>
      <c r="AN9" s="229">
        <f t="shared" si="3"/>
        <v>635197.2117300001</v>
      </c>
      <c r="AO9" s="229">
        <f t="shared" si="3"/>
        <v>665468.18383999984</v>
      </c>
      <c r="AP9" s="229">
        <f t="shared" si="3"/>
        <v>685536.84401000012</v>
      </c>
      <c r="AQ9" s="229">
        <f t="shared" si="3"/>
        <v>683451.67455000011</v>
      </c>
      <c r="AR9" s="229">
        <f t="shared" si="3"/>
        <v>699104.45603999996</v>
      </c>
      <c r="AS9" s="229">
        <f t="shared" si="3"/>
        <v>688698.06485999993</v>
      </c>
      <c r="AT9" s="229">
        <f t="shared" si="3"/>
        <v>694686.76540999999</v>
      </c>
      <c r="AU9" s="229">
        <f t="shared" si="3"/>
        <v>685259.70121999993</v>
      </c>
      <c r="AV9" s="229">
        <f t="shared" si="3"/>
        <v>671110.70455000014</v>
      </c>
      <c r="AW9" s="268">
        <f t="shared" si="3"/>
        <v>682120.12577000004</v>
      </c>
      <c r="AX9" s="267">
        <f t="shared" si="3"/>
        <v>709123.69683999999</v>
      </c>
      <c r="AY9" s="229">
        <f t="shared" si="3"/>
        <v>775555.62896999996</v>
      </c>
      <c r="AZ9" s="229">
        <f t="shared" si="3"/>
        <v>821237.6177699999</v>
      </c>
      <c r="BA9" s="229">
        <f t="shared" si="3"/>
        <v>813988.32906999998</v>
      </c>
      <c r="BB9" s="229">
        <f t="shared" si="3"/>
        <v>788354.54958000011</v>
      </c>
      <c r="BC9" s="229">
        <f t="shared" si="3"/>
        <v>785599.45994999993</v>
      </c>
      <c r="BD9" s="229">
        <f t="shared" si="3"/>
        <v>754452.64387999999</v>
      </c>
      <c r="BE9" s="229">
        <f t="shared" si="3"/>
        <v>771715.53010999993</v>
      </c>
      <c r="BF9" s="229">
        <f t="shared" si="3"/>
        <v>772699.66047999985</v>
      </c>
      <c r="BG9" s="229">
        <f t="shared" si="3"/>
        <v>749629.37239999999</v>
      </c>
      <c r="BH9" s="229">
        <f t="shared" si="3"/>
        <v>766001.07894000004</v>
      </c>
      <c r="BI9" s="268">
        <f t="shared" si="3"/>
        <v>748372.25571000006</v>
      </c>
      <c r="BJ9" s="267">
        <f t="shared" si="3"/>
        <v>726245.33097000001</v>
      </c>
      <c r="BK9" s="229">
        <f t="shared" si="3"/>
        <v>730076.4</v>
      </c>
      <c r="BL9" s="229">
        <f t="shared" si="3"/>
        <v>748702</v>
      </c>
      <c r="BM9" s="229">
        <f t="shared" si="3"/>
        <v>746380</v>
      </c>
      <c r="BN9" s="229">
        <f t="shared" si="3"/>
        <v>886740</v>
      </c>
      <c r="BO9" s="229">
        <f t="shared" si="3"/>
        <v>972568.5</v>
      </c>
      <c r="BP9" s="229">
        <f t="shared" si="3"/>
        <v>1043036.4</v>
      </c>
      <c r="BQ9" s="229">
        <f t="shared" si="3"/>
        <v>1070830</v>
      </c>
      <c r="BR9" s="229">
        <f t="shared" si="3"/>
        <v>1089875</v>
      </c>
      <c r="BS9" s="229">
        <f>SUM(BS10:BS12)</f>
        <v>1160369</v>
      </c>
      <c r="BT9" s="229">
        <f>SUM(BT10:BT12)</f>
        <v>1162125.3999999999</v>
      </c>
      <c r="BU9" s="268">
        <f>SUM(BU10:BU12)</f>
        <v>1185838</v>
      </c>
      <c r="BV9" s="110"/>
      <c r="BW9" s="379">
        <f t="shared" ref="BW9:BW17" si="4">IFERROR(((BU9/BT9)-1)*100,"-")</f>
        <v>2.040451056314585</v>
      </c>
      <c r="BX9" s="379">
        <f t="shared" ref="BX9:BX17" si="5">IFERROR(((BU9/BI9)-1)*100,"-")</f>
        <v>58.455633670567451</v>
      </c>
      <c r="BZ9" s="418"/>
    </row>
    <row r="10" spans="1:78" ht="15" customHeight="1" x14ac:dyDescent="0.25">
      <c r="A10" s="402" t="s">
        <v>513</v>
      </c>
      <c r="B10" s="162">
        <v>203398.96886000002</v>
      </c>
      <c r="C10" s="151">
        <v>206534.50850999996</v>
      </c>
      <c r="D10" s="151">
        <v>273902.97045000002</v>
      </c>
      <c r="E10" s="151">
        <v>248232.59883</v>
      </c>
      <c r="F10" s="151">
        <v>252791.36155</v>
      </c>
      <c r="G10" s="151">
        <v>225485.15042000002</v>
      </c>
      <c r="H10" s="151">
        <v>241431.05987</v>
      </c>
      <c r="I10" s="151">
        <v>208564.76830999998</v>
      </c>
      <c r="J10" s="151">
        <v>238709.21035999997</v>
      </c>
      <c r="K10" s="151">
        <v>239236.98251999996</v>
      </c>
      <c r="L10" s="151">
        <v>254080.50150999997</v>
      </c>
      <c r="M10" s="241">
        <v>246764.55967000002</v>
      </c>
      <c r="N10" s="162">
        <v>228748.89916999999</v>
      </c>
      <c r="O10" s="151">
        <v>239345.00952999998</v>
      </c>
      <c r="P10" s="151">
        <v>227357.59547000003</v>
      </c>
      <c r="Q10" s="151">
        <v>257112.34628</v>
      </c>
      <c r="R10" s="151">
        <v>244534.60416000002</v>
      </c>
      <c r="S10" s="151">
        <v>224859.41493999999</v>
      </c>
      <c r="T10" s="151">
        <v>231229.25067000004</v>
      </c>
      <c r="U10" s="151">
        <v>213560.54994000003</v>
      </c>
      <c r="V10" s="151">
        <v>221083.34206999998</v>
      </c>
      <c r="W10" s="151">
        <v>200046.27613999997</v>
      </c>
      <c r="X10" s="151">
        <v>219370.90723000001</v>
      </c>
      <c r="Y10" s="241">
        <v>219070.58327</v>
      </c>
      <c r="Z10" s="162">
        <v>199276.25501999995</v>
      </c>
      <c r="AA10" s="151">
        <v>226512.52966999999</v>
      </c>
      <c r="AB10" s="151">
        <v>257271.45035000003</v>
      </c>
      <c r="AC10" s="151">
        <v>250213.64243000001</v>
      </c>
      <c r="AD10" s="151">
        <v>240084.89832000004</v>
      </c>
      <c r="AE10" s="151">
        <v>259059.06247000003</v>
      </c>
      <c r="AF10" s="151">
        <v>271032.11935999995</v>
      </c>
      <c r="AG10" s="151">
        <v>243143.34764999998</v>
      </c>
      <c r="AH10" s="151">
        <v>238923.99459999998</v>
      </c>
      <c r="AI10" s="151">
        <v>251771.6208</v>
      </c>
      <c r="AJ10" s="151">
        <v>254076.27431000001</v>
      </c>
      <c r="AK10" s="241">
        <v>241407.63440000001</v>
      </c>
      <c r="AL10" s="162">
        <v>251205.35957000006</v>
      </c>
      <c r="AM10" s="151">
        <v>241348.01475999999</v>
      </c>
      <c r="AN10" s="151">
        <v>253712.50617000004</v>
      </c>
      <c r="AO10" s="151">
        <v>285520.07247999997</v>
      </c>
      <c r="AP10" s="151">
        <v>301152.53287</v>
      </c>
      <c r="AQ10" s="151">
        <v>287882.15016999998</v>
      </c>
      <c r="AR10" s="151">
        <v>282255.23557000002</v>
      </c>
      <c r="AS10" s="151">
        <v>273141.82978999999</v>
      </c>
      <c r="AT10" s="151">
        <v>277923.91907</v>
      </c>
      <c r="AU10" s="151">
        <v>270767.97714999999</v>
      </c>
      <c r="AV10" s="151">
        <v>246186.71627999999</v>
      </c>
      <c r="AW10" s="241">
        <v>245306.62027000001</v>
      </c>
      <c r="AX10" s="162">
        <v>259086.78096999996</v>
      </c>
      <c r="AY10" s="151">
        <v>333707.17838000006</v>
      </c>
      <c r="AZ10" s="151">
        <v>380443.23914999992</v>
      </c>
      <c r="BA10" s="151">
        <v>374526.43281999999</v>
      </c>
      <c r="BB10" s="151">
        <v>330295.58326000004</v>
      </c>
      <c r="BC10" s="151">
        <v>330821.00954</v>
      </c>
      <c r="BD10" s="151">
        <v>291030.92535999999</v>
      </c>
      <c r="BE10" s="151">
        <v>308102.28569000005</v>
      </c>
      <c r="BF10" s="151">
        <v>298851.68532999995</v>
      </c>
      <c r="BG10" s="151">
        <v>270510.57510999998</v>
      </c>
      <c r="BH10" s="151">
        <v>284875.84733999998</v>
      </c>
      <c r="BI10" s="241">
        <v>253065.32906000002</v>
      </c>
      <c r="BJ10" s="162">
        <v>228366.95957999997</v>
      </c>
      <c r="BK10" s="151">
        <v>244202.4</v>
      </c>
      <c r="BL10" s="151">
        <v>256694</v>
      </c>
      <c r="BM10" s="151">
        <v>229417</v>
      </c>
      <c r="BN10" s="151">
        <v>346172</v>
      </c>
      <c r="BO10" s="151">
        <v>402753.5</v>
      </c>
      <c r="BP10" s="151">
        <v>438038.4</v>
      </c>
      <c r="BQ10" s="151">
        <v>446861</v>
      </c>
      <c r="BR10" s="151">
        <v>464638.5</v>
      </c>
      <c r="BS10" s="151">
        <v>496589.5</v>
      </c>
      <c r="BT10" s="151">
        <v>486452.4</v>
      </c>
      <c r="BU10" s="241">
        <v>472961</v>
      </c>
      <c r="BW10" s="316">
        <f t="shared" si="4"/>
        <v>-2.7734265469756214</v>
      </c>
      <c r="BX10" s="184">
        <f t="shared" si="5"/>
        <v>86.892847691460844</v>
      </c>
      <c r="BY10" s="212"/>
    </row>
    <row r="11" spans="1:78" ht="15" customHeight="1" x14ac:dyDescent="0.25">
      <c r="A11" s="402" t="s">
        <v>514</v>
      </c>
      <c r="B11" s="162">
        <v>206342.77364000003</v>
      </c>
      <c r="C11" s="151">
        <v>207657.68222999998</v>
      </c>
      <c r="D11" s="151">
        <v>205920.18958999997</v>
      </c>
      <c r="E11" s="151">
        <v>206946.72949999999</v>
      </c>
      <c r="F11" s="151">
        <v>201071.41343000002</v>
      </c>
      <c r="G11" s="151">
        <v>199418.85658999998</v>
      </c>
      <c r="H11" s="151">
        <v>212899.66863999999</v>
      </c>
      <c r="I11" s="151">
        <v>207066.94005000003</v>
      </c>
      <c r="J11" s="151">
        <v>211020.87633000003</v>
      </c>
      <c r="K11" s="151">
        <v>217059.56153000001</v>
      </c>
      <c r="L11" s="151">
        <v>221713.50338000004</v>
      </c>
      <c r="M11" s="241">
        <v>229192.22112</v>
      </c>
      <c r="N11" s="162">
        <v>232242.09298999998</v>
      </c>
      <c r="O11" s="151">
        <v>221851.43540000002</v>
      </c>
      <c r="P11" s="151">
        <v>214657.85389999999</v>
      </c>
      <c r="Q11" s="151">
        <v>216055.71562999999</v>
      </c>
      <c r="R11" s="151">
        <v>209900.20505000002</v>
      </c>
      <c r="S11" s="151">
        <v>216137.73688999997</v>
      </c>
      <c r="T11" s="151">
        <v>228501.78591999997</v>
      </c>
      <c r="U11" s="151">
        <v>221091.44120999996</v>
      </c>
      <c r="V11" s="151">
        <v>226160.27516999995</v>
      </c>
      <c r="W11" s="151">
        <v>228103.18750999996</v>
      </c>
      <c r="X11" s="151">
        <v>232835.60543</v>
      </c>
      <c r="Y11" s="241">
        <v>245407.80436999997</v>
      </c>
      <c r="Z11" s="162">
        <v>241171.85475999999</v>
      </c>
      <c r="AA11" s="151">
        <v>229041.19125999996</v>
      </c>
      <c r="AB11" s="151">
        <v>227208.84834999999</v>
      </c>
      <c r="AC11" s="151">
        <v>232247.00737000004</v>
      </c>
      <c r="AD11" s="151">
        <v>226152.399</v>
      </c>
      <c r="AE11" s="151">
        <v>232301.71345000004</v>
      </c>
      <c r="AF11" s="151">
        <v>236022.26266000001</v>
      </c>
      <c r="AG11" s="151">
        <v>238251.18832999998</v>
      </c>
      <c r="AH11" s="151">
        <v>238219.77425000005</v>
      </c>
      <c r="AI11" s="151">
        <v>238438.33010999998</v>
      </c>
      <c r="AJ11" s="151">
        <v>243206.44433999999</v>
      </c>
      <c r="AK11" s="241">
        <v>263874.65817999997</v>
      </c>
      <c r="AL11" s="162">
        <v>267271.25592999998</v>
      </c>
      <c r="AM11" s="151">
        <v>267108.62942000001</v>
      </c>
      <c r="AN11" s="151">
        <v>268854.20858000003</v>
      </c>
      <c r="AO11" s="151">
        <v>263974.55017999996</v>
      </c>
      <c r="AP11" s="151">
        <v>265956.43641000002</v>
      </c>
      <c r="AQ11" s="151">
        <v>276657.37005000003</v>
      </c>
      <c r="AR11" s="151">
        <v>298291.10096999991</v>
      </c>
      <c r="AS11" s="151">
        <v>296638.97479999997</v>
      </c>
      <c r="AT11" s="151">
        <v>298782.16227000003</v>
      </c>
      <c r="AU11" s="151">
        <v>295989.61713999999</v>
      </c>
      <c r="AV11" s="151">
        <v>299052.61929000006</v>
      </c>
      <c r="AW11" s="241">
        <v>310241.41548999998</v>
      </c>
      <c r="AX11" s="162">
        <v>298440.55793999997</v>
      </c>
      <c r="AY11" s="151">
        <v>290970.38649999996</v>
      </c>
      <c r="AZ11" s="151">
        <v>289925.14254999999</v>
      </c>
      <c r="BA11" s="151">
        <v>286365.90613999998</v>
      </c>
      <c r="BB11" s="151">
        <v>298033.17142999999</v>
      </c>
      <c r="BC11" s="151">
        <v>311820.75316999998</v>
      </c>
      <c r="BD11" s="151">
        <v>321530.549</v>
      </c>
      <c r="BE11" s="151">
        <v>322789.43837999995</v>
      </c>
      <c r="BF11" s="151">
        <v>332954.00337999995</v>
      </c>
      <c r="BG11" s="151">
        <v>339192.03847999999</v>
      </c>
      <c r="BH11" s="151">
        <v>346191.50467000005</v>
      </c>
      <c r="BI11" s="241">
        <v>362248.72883000004</v>
      </c>
      <c r="BJ11" s="162">
        <v>366387.41911000002</v>
      </c>
      <c r="BK11" s="151">
        <v>355539</v>
      </c>
      <c r="BL11" s="151">
        <v>366705</v>
      </c>
      <c r="BM11" s="151">
        <v>395288</v>
      </c>
      <c r="BN11" s="151">
        <v>415068</v>
      </c>
      <c r="BO11" s="151">
        <v>446755</v>
      </c>
      <c r="BP11" s="151">
        <v>483284</v>
      </c>
      <c r="BQ11" s="151">
        <v>503624</v>
      </c>
      <c r="BR11" s="151">
        <v>505692.5</v>
      </c>
      <c r="BS11" s="151">
        <v>544060.5</v>
      </c>
      <c r="BT11" s="151">
        <v>551829</v>
      </c>
      <c r="BU11" s="241">
        <v>594612</v>
      </c>
      <c r="BW11" s="316">
        <f t="shared" si="4"/>
        <v>7.7529452058518133</v>
      </c>
      <c r="BX11" s="184">
        <f t="shared" si="5"/>
        <v>64.144675378293982</v>
      </c>
      <c r="BY11" s="212"/>
    </row>
    <row r="12" spans="1:78" ht="15" customHeight="1" x14ac:dyDescent="0.25">
      <c r="A12" s="402" t="s">
        <v>515</v>
      </c>
      <c r="B12" s="162">
        <v>91499.200419999994</v>
      </c>
      <c r="C12" s="151">
        <v>89747.437639999989</v>
      </c>
      <c r="D12" s="151">
        <v>88096.839469999992</v>
      </c>
      <c r="E12" s="151">
        <v>86860.264709999989</v>
      </c>
      <c r="F12" s="151">
        <v>93275.254759999996</v>
      </c>
      <c r="G12" s="151">
        <v>102787.00797000001</v>
      </c>
      <c r="H12" s="151">
        <v>90642.838660000009</v>
      </c>
      <c r="I12" s="151">
        <v>100147.66142999999</v>
      </c>
      <c r="J12" s="151">
        <v>90657.188160000005</v>
      </c>
      <c r="K12" s="151">
        <v>91446.719990000012</v>
      </c>
      <c r="L12" s="151">
        <v>98311.055349999981</v>
      </c>
      <c r="M12" s="241">
        <v>99491.685419999994</v>
      </c>
      <c r="N12" s="162">
        <v>109006.91345000002</v>
      </c>
      <c r="O12" s="151">
        <v>98979.865849999973</v>
      </c>
      <c r="P12" s="151">
        <v>97409.707190000001</v>
      </c>
      <c r="Q12" s="151">
        <v>112482.88584999999</v>
      </c>
      <c r="R12" s="151">
        <v>118113.79701999997</v>
      </c>
      <c r="S12" s="151">
        <v>116250.62295999999</v>
      </c>
      <c r="T12" s="151">
        <v>106222.77788000001</v>
      </c>
      <c r="U12" s="151">
        <v>115249.52861000001</v>
      </c>
      <c r="V12" s="151">
        <v>118711.73705000001</v>
      </c>
      <c r="W12" s="151">
        <v>116138.06432000002</v>
      </c>
      <c r="X12" s="151">
        <v>112611.58850999999</v>
      </c>
      <c r="Y12" s="241">
        <v>122411.04784999999</v>
      </c>
      <c r="Z12" s="162">
        <v>118998.95739999998</v>
      </c>
      <c r="AA12" s="151">
        <v>107855.75134999999</v>
      </c>
      <c r="AB12" s="151">
        <v>107090.88983999999</v>
      </c>
      <c r="AC12" s="151">
        <v>104638.22779999999</v>
      </c>
      <c r="AD12" s="151">
        <v>111613.31095</v>
      </c>
      <c r="AE12" s="151">
        <v>108371.62488999998</v>
      </c>
      <c r="AF12" s="151">
        <v>110810.80262999999</v>
      </c>
      <c r="AG12" s="151">
        <v>112298.41881999999</v>
      </c>
      <c r="AH12" s="151">
        <v>116737.10980000002</v>
      </c>
      <c r="AI12" s="151">
        <v>112330.66064</v>
      </c>
      <c r="AJ12" s="151">
        <v>117645.88183000003</v>
      </c>
      <c r="AK12" s="241">
        <v>117061.88566</v>
      </c>
      <c r="AL12" s="162">
        <v>115410.85627</v>
      </c>
      <c r="AM12" s="151">
        <v>114405.63130000001</v>
      </c>
      <c r="AN12" s="151">
        <v>112630.49698</v>
      </c>
      <c r="AO12" s="151">
        <v>115973.56118</v>
      </c>
      <c r="AP12" s="151">
        <v>118427.87472999998</v>
      </c>
      <c r="AQ12" s="151">
        <v>118912.15432999999</v>
      </c>
      <c r="AR12" s="151">
        <v>118558.1195</v>
      </c>
      <c r="AS12" s="151">
        <v>118917.26027000001</v>
      </c>
      <c r="AT12" s="151">
        <v>117980.68407</v>
      </c>
      <c r="AU12" s="151">
        <v>118502.10693000001</v>
      </c>
      <c r="AV12" s="151">
        <v>125871.36897999998</v>
      </c>
      <c r="AW12" s="241">
        <v>126572.09001</v>
      </c>
      <c r="AX12" s="162">
        <v>151596.35793000003</v>
      </c>
      <c r="AY12" s="151">
        <v>150878.06409</v>
      </c>
      <c r="AZ12" s="151">
        <v>150869.23606999998</v>
      </c>
      <c r="BA12" s="151">
        <v>153095.99010999998</v>
      </c>
      <c r="BB12" s="151">
        <v>160025.79489000002</v>
      </c>
      <c r="BC12" s="151">
        <v>142957.69723999998</v>
      </c>
      <c r="BD12" s="151">
        <v>141891.16952</v>
      </c>
      <c r="BE12" s="151">
        <v>140823.80604</v>
      </c>
      <c r="BF12" s="151">
        <v>140893.97177</v>
      </c>
      <c r="BG12" s="151">
        <v>139926.75881</v>
      </c>
      <c r="BH12" s="151">
        <v>134933.72693</v>
      </c>
      <c r="BI12" s="241">
        <v>133058.19782</v>
      </c>
      <c r="BJ12" s="162">
        <v>131490.95228000003</v>
      </c>
      <c r="BK12" s="151">
        <v>130335</v>
      </c>
      <c r="BL12" s="151">
        <v>125303</v>
      </c>
      <c r="BM12" s="151">
        <v>121675</v>
      </c>
      <c r="BN12" s="151">
        <v>125500</v>
      </c>
      <c r="BO12" s="151">
        <v>123060</v>
      </c>
      <c r="BP12" s="151">
        <v>121714</v>
      </c>
      <c r="BQ12" s="151">
        <v>120345</v>
      </c>
      <c r="BR12" s="151">
        <v>119544</v>
      </c>
      <c r="BS12" s="151">
        <v>119719</v>
      </c>
      <c r="BT12" s="151">
        <v>123844</v>
      </c>
      <c r="BU12" s="241">
        <v>118265</v>
      </c>
      <c r="BW12" s="316">
        <f t="shared" si="4"/>
        <v>-4.5048609541035507</v>
      </c>
      <c r="BX12" s="184">
        <f t="shared" si="5"/>
        <v>-11.117840210050122</v>
      </c>
      <c r="BY12" s="127"/>
    </row>
    <row r="13" spans="1:78" ht="15" customHeight="1" x14ac:dyDescent="0.25">
      <c r="A13" s="402"/>
      <c r="B13" s="162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241"/>
      <c r="N13" s="162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241"/>
      <c r="Z13" s="162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241"/>
      <c r="AL13" s="162"/>
      <c r="AM13" s="151"/>
      <c r="AN13" s="151"/>
      <c r="AO13" s="151"/>
      <c r="AP13" s="151"/>
      <c r="AQ13" s="151"/>
      <c r="AR13" s="151"/>
      <c r="AS13" s="151"/>
      <c r="AT13" s="151"/>
      <c r="AU13" s="151"/>
      <c r="AV13" s="151"/>
      <c r="AW13" s="241"/>
      <c r="AX13" s="162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241"/>
      <c r="BJ13" s="162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241"/>
      <c r="BW13" s="316"/>
      <c r="BX13" s="184"/>
      <c r="BY13" s="212"/>
    </row>
    <row r="14" spans="1:78" s="125" customFormat="1" ht="15" customHeight="1" x14ac:dyDescent="0.25">
      <c r="A14" s="433" t="s">
        <v>516</v>
      </c>
      <c r="B14" s="267">
        <f t="shared" ref="B14:M14" si="6">SUM(B15:B17)</f>
        <v>81804.632129999998</v>
      </c>
      <c r="C14" s="229">
        <f t="shared" si="6"/>
        <v>87557.065300000002</v>
      </c>
      <c r="D14" s="229">
        <f t="shared" si="6"/>
        <v>90101.277799999996</v>
      </c>
      <c r="E14" s="229">
        <f t="shared" si="6"/>
        <v>90402.669089999981</v>
      </c>
      <c r="F14" s="229">
        <f t="shared" si="6"/>
        <v>92311.583590000009</v>
      </c>
      <c r="G14" s="229">
        <f t="shared" si="6"/>
        <v>88410.259810000003</v>
      </c>
      <c r="H14" s="229">
        <f t="shared" si="6"/>
        <v>89862.552679999993</v>
      </c>
      <c r="I14" s="229">
        <f t="shared" si="6"/>
        <v>103166.75943999999</v>
      </c>
      <c r="J14" s="229">
        <f t="shared" si="6"/>
        <v>93589.228659999993</v>
      </c>
      <c r="K14" s="229">
        <f t="shared" si="6"/>
        <v>90990.290399999998</v>
      </c>
      <c r="L14" s="229">
        <f t="shared" si="6"/>
        <v>93695.902589999998</v>
      </c>
      <c r="M14" s="268">
        <f t="shared" si="6"/>
        <v>93453.279039999979</v>
      </c>
      <c r="N14" s="267">
        <f t="shared" ref="N14:BU14" si="7">SUM(N15:N17)</f>
        <v>105914.02051</v>
      </c>
      <c r="O14" s="229">
        <f t="shared" si="7"/>
        <v>103830.18479</v>
      </c>
      <c r="P14" s="229">
        <f t="shared" si="7"/>
        <v>103865.5575</v>
      </c>
      <c r="Q14" s="229">
        <f t="shared" si="7"/>
        <v>97200.802779999998</v>
      </c>
      <c r="R14" s="229">
        <f t="shared" si="7"/>
        <v>97871.87387000001</v>
      </c>
      <c r="S14" s="229">
        <f t="shared" si="7"/>
        <v>102401.66623</v>
      </c>
      <c r="T14" s="229">
        <f t="shared" si="7"/>
        <v>101767.31761999999</v>
      </c>
      <c r="U14" s="229">
        <f t="shared" si="7"/>
        <v>101637.841</v>
      </c>
      <c r="V14" s="229">
        <f t="shared" si="7"/>
        <v>106171.67421</v>
      </c>
      <c r="W14" s="229">
        <f t="shared" si="7"/>
        <v>111171.65718000001</v>
      </c>
      <c r="X14" s="229">
        <f t="shared" si="7"/>
        <v>107003.79381000002</v>
      </c>
      <c r="Y14" s="268">
        <f t="shared" si="7"/>
        <v>97927.480679999993</v>
      </c>
      <c r="Z14" s="267">
        <f t="shared" si="7"/>
        <v>100385.31295999998</v>
      </c>
      <c r="AA14" s="229">
        <f t="shared" si="7"/>
        <v>97617.501680000001</v>
      </c>
      <c r="AB14" s="229">
        <f t="shared" si="7"/>
        <v>99076.363220000028</v>
      </c>
      <c r="AC14" s="229">
        <f t="shared" si="7"/>
        <v>96636.06253000001</v>
      </c>
      <c r="AD14" s="229">
        <f t="shared" si="7"/>
        <v>95652.814300000013</v>
      </c>
      <c r="AE14" s="229">
        <f t="shared" si="7"/>
        <v>106343.35553</v>
      </c>
      <c r="AF14" s="229">
        <f t="shared" si="7"/>
        <v>103205.08739</v>
      </c>
      <c r="AG14" s="229">
        <f t="shared" si="7"/>
        <v>102236.60049</v>
      </c>
      <c r="AH14" s="229">
        <f t="shared" si="7"/>
        <v>96264.069099999993</v>
      </c>
      <c r="AI14" s="229">
        <f t="shared" si="7"/>
        <v>86159.190200000012</v>
      </c>
      <c r="AJ14" s="229">
        <f t="shared" si="7"/>
        <v>88916.766929999998</v>
      </c>
      <c r="AK14" s="268">
        <f t="shared" si="7"/>
        <v>82409.976750000002</v>
      </c>
      <c r="AL14" s="267">
        <f t="shared" si="7"/>
        <v>84819.476970000003</v>
      </c>
      <c r="AM14" s="229">
        <f t="shared" si="7"/>
        <v>85049.398530000006</v>
      </c>
      <c r="AN14" s="229">
        <f t="shared" si="7"/>
        <v>84150.990989999991</v>
      </c>
      <c r="AO14" s="229">
        <f t="shared" si="7"/>
        <v>87602.806620000003</v>
      </c>
      <c r="AP14" s="229">
        <f t="shared" si="7"/>
        <v>85263.713990000004</v>
      </c>
      <c r="AQ14" s="229">
        <f t="shared" si="7"/>
        <v>94234.622510000001</v>
      </c>
      <c r="AR14" s="229">
        <f t="shared" si="7"/>
        <v>101122.92621000001</v>
      </c>
      <c r="AS14" s="229">
        <f t="shared" si="7"/>
        <v>95936.429210000002</v>
      </c>
      <c r="AT14" s="229">
        <f t="shared" si="7"/>
        <v>98093.589780000009</v>
      </c>
      <c r="AU14" s="229">
        <f t="shared" si="7"/>
        <v>98437.041659999988</v>
      </c>
      <c r="AV14" s="229">
        <f t="shared" si="7"/>
        <v>98908.621189999991</v>
      </c>
      <c r="AW14" s="268">
        <f t="shared" si="7"/>
        <v>90465.053230000005</v>
      </c>
      <c r="AX14" s="267">
        <f t="shared" si="7"/>
        <v>93641.187429999991</v>
      </c>
      <c r="AY14" s="229">
        <f t="shared" si="7"/>
        <v>94604.111220000006</v>
      </c>
      <c r="AZ14" s="229">
        <f t="shared" si="7"/>
        <v>99482.567309999999</v>
      </c>
      <c r="BA14" s="229">
        <f t="shared" si="7"/>
        <v>100160.98165</v>
      </c>
      <c r="BB14" s="229">
        <f t="shared" si="7"/>
        <v>99349.062540000014</v>
      </c>
      <c r="BC14" s="229">
        <f t="shared" si="7"/>
        <v>109123.11447000001</v>
      </c>
      <c r="BD14" s="229">
        <f t="shared" si="7"/>
        <v>98989.622470000017</v>
      </c>
      <c r="BE14" s="229">
        <f t="shared" si="7"/>
        <v>100129.85046</v>
      </c>
      <c r="BF14" s="229">
        <f t="shared" si="7"/>
        <v>112226.56297</v>
      </c>
      <c r="BG14" s="229">
        <f t="shared" si="7"/>
        <v>92734.809610000011</v>
      </c>
      <c r="BH14" s="229">
        <f t="shared" si="7"/>
        <v>99264.437149999998</v>
      </c>
      <c r="BI14" s="268">
        <f t="shared" si="7"/>
        <v>98064.479520000008</v>
      </c>
      <c r="BJ14" s="267">
        <f t="shared" si="7"/>
        <v>98691.002830000012</v>
      </c>
      <c r="BK14" s="229">
        <f t="shared" si="7"/>
        <v>101051.4</v>
      </c>
      <c r="BL14" s="229">
        <f t="shared" si="7"/>
        <v>100127</v>
      </c>
      <c r="BM14" s="229">
        <f t="shared" si="7"/>
        <v>95913</v>
      </c>
      <c r="BN14" s="229">
        <f t="shared" si="7"/>
        <v>95496</v>
      </c>
      <c r="BO14" s="229">
        <f t="shared" si="7"/>
        <v>110752.5</v>
      </c>
      <c r="BP14" s="229">
        <f t="shared" si="7"/>
        <v>120352.4</v>
      </c>
      <c r="BQ14" s="229">
        <f t="shared" si="7"/>
        <v>120035</v>
      </c>
      <c r="BR14" s="229">
        <f t="shared" si="7"/>
        <v>128330.5</v>
      </c>
      <c r="BS14" s="229">
        <f t="shared" si="7"/>
        <v>124822</v>
      </c>
      <c r="BT14" s="229">
        <f t="shared" si="7"/>
        <v>142288.4</v>
      </c>
      <c r="BU14" s="268">
        <f t="shared" si="7"/>
        <v>138792</v>
      </c>
      <c r="BV14" s="110"/>
      <c r="BW14" s="317">
        <f t="shared" si="4"/>
        <v>-2.4572628548778397</v>
      </c>
      <c r="BX14" s="379">
        <f t="shared" si="5"/>
        <v>41.53136862536828</v>
      </c>
      <c r="BY14" s="339"/>
    </row>
    <row r="15" spans="1:78" ht="15" customHeight="1" x14ac:dyDescent="0.25">
      <c r="A15" s="402" t="s">
        <v>513</v>
      </c>
      <c r="B15" s="162">
        <v>26091.668530000006</v>
      </c>
      <c r="C15" s="151">
        <v>31079.253369999999</v>
      </c>
      <c r="D15" s="151">
        <v>32141.871909999998</v>
      </c>
      <c r="E15" s="151">
        <v>32935.822969999994</v>
      </c>
      <c r="F15" s="151">
        <v>33769.216490000006</v>
      </c>
      <c r="G15" s="151">
        <v>27456.203180000004</v>
      </c>
      <c r="H15" s="151">
        <v>28105.497989999996</v>
      </c>
      <c r="I15" s="151">
        <v>35885.287589999993</v>
      </c>
      <c r="J15" s="151">
        <v>28605.644719999997</v>
      </c>
      <c r="K15" s="151">
        <v>26193.17512</v>
      </c>
      <c r="L15" s="151">
        <v>23231.485810000002</v>
      </c>
      <c r="M15" s="241">
        <v>24854.119910000005</v>
      </c>
      <c r="N15" s="162">
        <v>36718.750599999999</v>
      </c>
      <c r="O15" s="151">
        <v>34583.354580000007</v>
      </c>
      <c r="P15" s="151">
        <v>35411.64243</v>
      </c>
      <c r="Q15" s="151">
        <v>32286.98357</v>
      </c>
      <c r="R15" s="151">
        <v>30737.311379999999</v>
      </c>
      <c r="S15" s="151">
        <v>36225.512240000011</v>
      </c>
      <c r="T15" s="151">
        <v>35752.515050000009</v>
      </c>
      <c r="U15" s="151">
        <v>37881.082309999998</v>
      </c>
      <c r="V15" s="151">
        <v>42469.413669999987</v>
      </c>
      <c r="W15" s="151">
        <v>49482.920110000006</v>
      </c>
      <c r="X15" s="151">
        <v>43666.679700000001</v>
      </c>
      <c r="Y15" s="241">
        <v>34131.265769999998</v>
      </c>
      <c r="Z15" s="162">
        <v>37174.196459999992</v>
      </c>
      <c r="AA15" s="151">
        <v>36537.214000000007</v>
      </c>
      <c r="AB15" s="151">
        <v>39055.197660000013</v>
      </c>
      <c r="AC15" s="151">
        <v>36197.947379999998</v>
      </c>
      <c r="AD15" s="151">
        <v>34178.748740000003</v>
      </c>
      <c r="AE15" s="151">
        <v>44215.667020000001</v>
      </c>
      <c r="AF15" s="151">
        <v>38324.284040000006</v>
      </c>
      <c r="AG15" s="151">
        <v>39408.551529999997</v>
      </c>
      <c r="AH15" s="151">
        <v>33680.492090000007</v>
      </c>
      <c r="AI15" s="151">
        <v>26982.102299999999</v>
      </c>
      <c r="AJ15" s="151">
        <v>29465.679629999999</v>
      </c>
      <c r="AK15" s="241">
        <v>23068.336780000001</v>
      </c>
      <c r="AL15" s="162">
        <v>27866.163370000002</v>
      </c>
      <c r="AM15" s="151">
        <v>25591.167069999996</v>
      </c>
      <c r="AN15" s="151">
        <v>26154.665639999999</v>
      </c>
      <c r="AO15" s="151">
        <v>27466.175829999996</v>
      </c>
      <c r="AP15" s="151">
        <v>24920.761429999999</v>
      </c>
      <c r="AQ15" s="151">
        <v>32186.970870000001</v>
      </c>
      <c r="AR15" s="151">
        <v>40512.842660000002</v>
      </c>
      <c r="AS15" s="151">
        <v>31402.945509999998</v>
      </c>
      <c r="AT15" s="151">
        <v>34022.043259999999</v>
      </c>
      <c r="AU15" s="151">
        <v>24407.02233</v>
      </c>
      <c r="AV15" s="151">
        <v>30077.000789999998</v>
      </c>
      <c r="AW15" s="241">
        <v>22612.57489</v>
      </c>
      <c r="AX15" s="162">
        <v>26606.15437</v>
      </c>
      <c r="AY15" s="151">
        <v>25349.467489999999</v>
      </c>
      <c r="AZ15" s="151">
        <v>31091.879659999999</v>
      </c>
      <c r="BA15" s="151">
        <v>33513.235690000001</v>
      </c>
      <c r="BB15" s="151">
        <v>30631.210139999999</v>
      </c>
      <c r="BC15" s="151">
        <v>44543.607240000005</v>
      </c>
      <c r="BD15" s="151">
        <v>32894.607120000001</v>
      </c>
      <c r="BE15" s="151">
        <v>33318.434500000003</v>
      </c>
      <c r="BF15" s="151">
        <v>45275.808389999998</v>
      </c>
      <c r="BG15" s="151">
        <v>25005.640900000002</v>
      </c>
      <c r="BH15" s="151">
        <v>27249.395529999998</v>
      </c>
      <c r="BI15" s="241">
        <v>27366.659359999998</v>
      </c>
      <c r="BJ15" s="162">
        <v>26790.719720000005</v>
      </c>
      <c r="BK15" s="151">
        <v>28500</v>
      </c>
      <c r="BL15" s="151">
        <v>28814</v>
      </c>
      <c r="BM15" s="151">
        <v>26418</v>
      </c>
      <c r="BN15" s="151">
        <v>28278</v>
      </c>
      <c r="BO15" s="151">
        <v>32753.5</v>
      </c>
      <c r="BP15" s="151">
        <v>46140.4</v>
      </c>
      <c r="BQ15" s="151">
        <v>45734</v>
      </c>
      <c r="BR15" s="151">
        <v>50675.5</v>
      </c>
      <c r="BS15" s="151">
        <v>42178</v>
      </c>
      <c r="BT15" s="151">
        <v>56284.4</v>
      </c>
      <c r="BU15" s="241">
        <v>52030</v>
      </c>
      <c r="BW15" s="316">
        <f t="shared" si="4"/>
        <v>-7.558755179054943</v>
      </c>
      <c r="BX15" s="184">
        <f t="shared" si="5"/>
        <v>90.121853440572821</v>
      </c>
      <c r="BY15" s="152"/>
    </row>
    <row r="16" spans="1:78" ht="15" customHeight="1" x14ac:dyDescent="0.25">
      <c r="A16" s="402" t="s">
        <v>514</v>
      </c>
      <c r="B16" s="162">
        <v>30314.043700000002</v>
      </c>
      <c r="C16" s="151">
        <v>30744.812210000004</v>
      </c>
      <c r="D16" s="151">
        <v>32293.728359999997</v>
      </c>
      <c r="E16" s="151">
        <v>31407.329909999993</v>
      </c>
      <c r="F16" s="151">
        <v>31130.25174</v>
      </c>
      <c r="G16" s="151">
        <v>33884.6639</v>
      </c>
      <c r="H16" s="151">
        <v>36316.409220000001</v>
      </c>
      <c r="I16" s="151">
        <v>37432.894109999994</v>
      </c>
      <c r="J16" s="151">
        <v>36516.576160000004</v>
      </c>
      <c r="K16" s="151">
        <v>35709.055489999999</v>
      </c>
      <c r="L16" s="151">
        <v>39712.933019999997</v>
      </c>
      <c r="M16" s="241">
        <v>37309.717549999979</v>
      </c>
      <c r="N16" s="162">
        <v>38216.722600000001</v>
      </c>
      <c r="O16" s="151">
        <v>38786.563419999999</v>
      </c>
      <c r="P16" s="151">
        <v>39461.013460000002</v>
      </c>
      <c r="Q16" s="151">
        <v>36496.686419999998</v>
      </c>
      <c r="R16" s="151">
        <v>37371.748990000007</v>
      </c>
      <c r="S16" s="151">
        <v>37467.288789999991</v>
      </c>
      <c r="T16" s="151">
        <v>37162.516409999997</v>
      </c>
      <c r="U16" s="151">
        <v>36998.580069999996</v>
      </c>
      <c r="V16" s="151">
        <v>37445.567350000005</v>
      </c>
      <c r="W16" s="151">
        <v>35938.112690000009</v>
      </c>
      <c r="X16" s="151">
        <v>36874.90166000001</v>
      </c>
      <c r="Y16" s="241">
        <v>37719.038049999988</v>
      </c>
      <c r="Z16" s="162">
        <v>39239.024939999996</v>
      </c>
      <c r="AA16" s="151">
        <v>37513.417979999998</v>
      </c>
      <c r="AB16" s="151">
        <v>36698.031440000013</v>
      </c>
      <c r="AC16" s="151">
        <v>36818.662420000015</v>
      </c>
      <c r="AD16" s="151">
        <v>37094.065180000005</v>
      </c>
      <c r="AE16" s="151">
        <v>37791.312020000005</v>
      </c>
      <c r="AF16" s="151">
        <v>40779.409859999992</v>
      </c>
      <c r="AG16" s="151">
        <v>39645.432339999992</v>
      </c>
      <c r="AH16" s="151">
        <v>38044.348870000002</v>
      </c>
      <c r="AI16" s="151">
        <v>35214.434130000001</v>
      </c>
      <c r="AJ16" s="151">
        <v>36501.829520000007</v>
      </c>
      <c r="AK16" s="241">
        <v>36576.894479999995</v>
      </c>
      <c r="AL16" s="162">
        <v>35705.092660000002</v>
      </c>
      <c r="AM16" s="151">
        <v>37802.44875000001</v>
      </c>
      <c r="AN16" s="151">
        <v>36887.93275</v>
      </c>
      <c r="AO16" s="151">
        <v>39087.637540000003</v>
      </c>
      <c r="AP16" s="151">
        <v>38788.847380000007</v>
      </c>
      <c r="AQ16" s="151">
        <v>40739.235990000001</v>
      </c>
      <c r="AR16" s="151">
        <v>40001.798800000004</v>
      </c>
      <c r="AS16" s="151">
        <v>43761.43914000001</v>
      </c>
      <c r="AT16" s="151">
        <v>40449.61045</v>
      </c>
      <c r="AU16" s="151">
        <v>49260.250559999993</v>
      </c>
      <c r="AV16" s="151">
        <v>43396.480789999994</v>
      </c>
      <c r="AW16" s="241">
        <v>43180.681530000002</v>
      </c>
      <c r="AX16" s="162">
        <v>42684.242339999997</v>
      </c>
      <c r="AY16" s="151">
        <v>45405.118389999996</v>
      </c>
      <c r="AZ16" s="151">
        <v>44346.517899999999</v>
      </c>
      <c r="BA16" s="151">
        <v>43492.004409999994</v>
      </c>
      <c r="BB16" s="151">
        <v>43921.887600000009</v>
      </c>
      <c r="BC16" s="151">
        <v>42006.225059999997</v>
      </c>
      <c r="BD16" s="151">
        <v>42744.179590000007</v>
      </c>
      <c r="BE16" s="151">
        <v>41988.783440000007</v>
      </c>
      <c r="BF16" s="151">
        <v>43089.610500000003</v>
      </c>
      <c r="BG16" s="151">
        <v>44051.585560000007</v>
      </c>
      <c r="BH16" s="151">
        <v>47666.206000000006</v>
      </c>
      <c r="BI16" s="241">
        <v>47054.326680000006</v>
      </c>
      <c r="BJ16" s="162">
        <v>49457.105070000012</v>
      </c>
      <c r="BK16" s="151">
        <v>50476.4</v>
      </c>
      <c r="BL16" s="151">
        <v>49418</v>
      </c>
      <c r="BM16" s="151">
        <v>48228</v>
      </c>
      <c r="BN16" s="151">
        <v>49555</v>
      </c>
      <c r="BO16" s="151">
        <v>55421</v>
      </c>
      <c r="BP16" s="151">
        <v>52029</v>
      </c>
      <c r="BQ16" s="151">
        <v>51923</v>
      </c>
      <c r="BR16" s="151">
        <v>55314</v>
      </c>
      <c r="BS16" s="151">
        <v>60259</v>
      </c>
      <c r="BT16" s="151">
        <v>63692</v>
      </c>
      <c r="BU16" s="241">
        <v>64319</v>
      </c>
      <c r="BW16" s="316">
        <f t="shared" si="4"/>
        <v>0.9844250455316228</v>
      </c>
      <c r="BX16" s="184">
        <f t="shared" si="5"/>
        <v>36.690936919384676</v>
      </c>
      <c r="BY16" s="212"/>
    </row>
    <row r="17" spans="1:77" ht="15" customHeight="1" x14ac:dyDescent="0.25">
      <c r="A17" s="402" t="s">
        <v>515</v>
      </c>
      <c r="B17" s="162">
        <v>25398.919899999994</v>
      </c>
      <c r="C17" s="151">
        <v>25732.99972</v>
      </c>
      <c r="D17" s="151">
        <v>25665.677530000001</v>
      </c>
      <c r="E17" s="151">
        <v>26059.516209999998</v>
      </c>
      <c r="F17" s="151">
        <v>27412.115360000007</v>
      </c>
      <c r="G17" s="151">
        <v>27069.392730000003</v>
      </c>
      <c r="H17" s="151">
        <v>25440.645470000003</v>
      </c>
      <c r="I17" s="151">
        <v>29848.577740000004</v>
      </c>
      <c r="J17" s="151">
        <v>28467.007779999996</v>
      </c>
      <c r="K17" s="151">
        <v>29088.059790000003</v>
      </c>
      <c r="L17" s="151">
        <v>30751.483760000003</v>
      </c>
      <c r="M17" s="241">
        <v>31289.441579999999</v>
      </c>
      <c r="N17" s="162">
        <v>30978.547310000002</v>
      </c>
      <c r="O17" s="151">
        <v>30460.266790000001</v>
      </c>
      <c r="P17" s="151">
        <v>28992.901610000001</v>
      </c>
      <c r="Q17" s="151">
        <v>28417.132790000003</v>
      </c>
      <c r="R17" s="151">
        <v>29762.813499999997</v>
      </c>
      <c r="S17" s="151">
        <v>28708.865200000004</v>
      </c>
      <c r="T17" s="151">
        <v>28852.286159999996</v>
      </c>
      <c r="U17" s="151">
        <v>26758.178620000006</v>
      </c>
      <c r="V17" s="151">
        <v>26256.693189999998</v>
      </c>
      <c r="W17" s="151">
        <v>25750.624379999997</v>
      </c>
      <c r="X17" s="151">
        <v>26462.212450000003</v>
      </c>
      <c r="Y17" s="241">
        <v>26077.176860000003</v>
      </c>
      <c r="Z17" s="162">
        <v>23972.091559999993</v>
      </c>
      <c r="AA17" s="151">
        <v>23566.869699999996</v>
      </c>
      <c r="AB17" s="151">
        <v>23323.134120000002</v>
      </c>
      <c r="AC17" s="151">
        <v>23619.452730000001</v>
      </c>
      <c r="AD17" s="151">
        <v>24380.000379999998</v>
      </c>
      <c r="AE17" s="151">
        <v>24336.376489999999</v>
      </c>
      <c r="AF17" s="151">
        <v>24101.393489999999</v>
      </c>
      <c r="AG17" s="151">
        <v>23182.616619999997</v>
      </c>
      <c r="AH17" s="151">
        <v>24539.228139999999</v>
      </c>
      <c r="AI17" s="151">
        <v>23962.653770000004</v>
      </c>
      <c r="AJ17" s="151">
        <v>22949.257779999996</v>
      </c>
      <c r="AK17" s="241">
        <v>22764.745489999998</v>
      </c>
      <c r="AL17" s="162">
        <v>21248.220939999996</v>
      </c>
      <c r="AM17" s="151">
        <v>21655.782709999999</v>
      </c>
      <c r="AN17" s="151">
        <v>21108.392599999999</v>
      </c>
      <c r="AO17" s="151">
        <v>21048.99325</v>
      </c>
      <c r="AP17" s="151">
        <v>21554.105179999995</v>
      </c>
      <c r="AQ17" s="151">
        <v>21308.415649999999</v>
      </c>
      <c r="AR17" s="151">
        <v>20608.284749999999</v>
      </c>
      <c r="AS17" s="151">
        <v>20772.044560000002</v>
      </c>
      <c r="AT17" s="151">
        <v>23621.936070000003</v>
      </c>
      <c r="AU17" s="151">
        <v>24769.768769999999</v>
      </c>
      <c r="AV17" s="151">
        <v>25435.139609999998</v>
      </c>
      <c r="AW17" s="241">
        <v>24671.79681</v>
      </c>
      <c r="AX17" s="162">
        <v>24350.790719999997</v>
      </c>
      <c r="AY17" s="151">
        <v>23849.525340000007</v>
      </c>
      <c r="AZ17" s="151">
        <v>24044.169749999997</v>
      </c>
      <c r="BA17" s="151">
        <v>23155.741549999999</v>
      </c>
      <c r="BB17" s="151">
        <v>24795.964800000002</v>
      </c>
      <c r="BC17" s="151">
        <v>22573.282170000002</v>
      </c>
      <c r="BD17" s="151">
        <v>23350.835759999998</v>
      </c>
      <c r="BE17" s="151">
        <v>24822.632519999999</v>
      </c>
      <c r="BF17" s="151">
        <v>23861.144080000005</v>
      </c>
      <c r="BG17" s="151">
        <v>23677.583150000006</v>
      </c>
      <c r="BH17" s="151">
        <v>24348.835620000002</v>
      </c>
      <c r="BI17" s="241">
        <v>23643.493480000005</v>
      </c>
      <c r="BJ17" s="162">
        <v>22443.178040000003</v>
      </c>
      <c r="BK17" s="151">
        <v>22075</v>
      </c>
      <c r="BL17" s="151">
        <v>21895</v>
      </c>
      <c r="BM17" s="151">
        <v>21267</v>
      </c>
      <c r="BN17" s="151">
        <v>17663</v>
      </c>
      <c r="BO17" s="151">
        <v>22578</v>
      </c>
      <c r="BP17" s="151">
        <v>22183</v>
      </c>
      <c r="BQ17" s="151">
        <v>22378</v>
      </c>
      <c r="BR17" s="151">
        <v>22341</v>
      </c>
      <c r="BS17" s="151">
        <v>22385</v>
      </c>
      <c r="BT17" s="151">
        <v>22312</v>
      </c>
      <c r="BU17" s="241">
        <v>22443</v>
      </c>
      <c r="BW17" s="316">
        <f t="shared" si="4"/>
        <v>0.58712800286842004</v>
      </c>
      <c r="BX17" s="184">
        <f t="shared" si="5"/>
        <v>-5.0774792693622057</v>
      </c>
      <c r="BY17" s="212"/>
    </row>
    <row r="18" spans="1:77" ht="15" customHeight="1" x14ac:dyDescent="0.25">
      <c r="A18" s="133"/>
      <c r="B18" s="233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199"/>
      <c r="N18" s="233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199"/>
      <c r="Z18" s="233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199"/>
      <c r="AL18" s="233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199"/>
      <c r="AX18" s="233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199"/>
      <c r="BJ18" s="233"/>
      <c r="BK18" s="230"/>
      <c r="BL18" s="230"/>
      <c r="BM18" s="230"/>
      <c r="BN18" s="230"/>
      <c r="BO18" s="230"/>
      <c r="BP18" s="230"/>
      <c r="BQ18" s="230"/>
      <c r="BR18" s="230"/>
      <c r="BS18" s="230"/>
      <c r="BT18" s="230"/>
      <c r="BU18" s="199"/>
      <c r="BW18" s="307"/>
      <c r="BX18" s="177"/>
    </row>
    <row r="19" spans="1:77" ht="15" customHeight="1" x14ac:dyDescent="0.25">
      <c r="A19" s="126" t="s">
        <v>155</v>
      </c>
    </row>
    <row r="20" spans="1:77" ht="15" customHeight="1" x14ac:dyDescent="0.25"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>
        <f>AX7-'21.XLS'!AX7</f>
        <v>0</v>
      </c>
      <c r="AY20" s="127">
        <f>AY7-'21.XLS'!AY7</f>
        <v>0</v>
      </c>
      <c r="AZ20" s="127">
        <f>AZ7-'21.XLS'!AZ7</f>
        <v>0</v>
      </c>
      <c r="BA20" s="127">
        <f>BA7-'21.XLS'!BA7</f>
        <v>0</v>
      </c>
      <c r="BB20" s="127">
        <f>BB7-'21.XLS'!BB7</f>
        <v>0</v>
      </c>
      <c r="BC20" s="127">
        <f>BC7-'21.XLS'!BC7</f>
        <v>0</v>
      </c>
      <c r="BD20" s="127">
        <f>BD7-'21.XLS'!BD7</f>
        <v>0</v>
      </c>
      <c r="BE20" s="127">
        <f>BE7-'21.XLS'!BE7</f>
        <v>0</v>
      </c>
      <c r="BF20" s="127">
        <f>BF7-'21.XLS'!BF7</f>
        <v>0</v>
      </c>
      <c r="BG20" s="127">
        <f>BG7-'21.XLS'!BG7</f>
        <v>0</v>
      </c>
      <c r="BH20" s="127">
        <f>BH7-'21.XLS'!BH7</f>
        <v>0</v>
      </c>
      <c r="BI20" s="127">
        <f>BI7-'21.XLS'!BI7</f>
        <v>0</v>
      </c>
      <c r="BJ20" s="127">
        <f>BJ7-'21.XLS'!BJ7</f>
        <v>0</v>
      </c>
      <c r="BK20" s="127">
        <f>BK7-'21.XLS'!BK7</f>
        <v>0</v>
      </c>
      <c r="BL20" s="127">
        <f>BL7-'21.XLS'!BL7</f>
        <v>0.40000000002328306</v>
      </c>
      <c r="BM20" s="127">
        <f>BM7-'21.XLS'!BM7</f>
        <v>0.29999999993015081</v>
      </c>
      <c r="BN20" s="127">
        <f>BN7-'21.XLS'!BN7</f>
        <v>0</v>
      </c>
      <c r="BO20" s="127">
        <f>BO7-'21.XLS'!BO7</f>
        <v>0.10000000009313226</v>
      </c>
      <c r="BP20" s="127">
        <f>BP7-'21.XLS'!BP7</f>
        <v>0</v>
      </c>
      <c r="BQ20" s="127">
        <f>BQ7-'21.XLS'!BQ7</f>
        <v>0.19999999995343387</v>
      </c>
      <c r="BR20" s="127">
        <f>BR7-'21.XLS'!BR7</f>
        <v>379692.4</v>
      </c>
      <c r="BS20" s="127">
        <f>BS7-'21.XLS'!BS7</f>
        <v>0.19999999995343387</v>
      </c>
      <c r="BT20" s="127">
        <f>BT7-'21.XLS'!BT7</f>
        <v>-0.20000000018626451</v>
      </c>
      <c r="BU20" s="127">
        <f>BU7-'21.XLS'!BU7</f>
        <v>0.39999999990686774</v>
      </c>
      <c r="BW20" s="127"/>
    </row>
    <row r="21" spans="1:77" ht="15" customHeight="1" x14ac:dyDescent="0.25"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</row>
    <row r="22" spans="1:77" ht="15" customHeight="1" x14ac:dyDescent="0.25"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</row>
    <row r="23" spans="1:77" ht="15" customHeight="1" x14ac:dyDescent="0.25">
      <c r="A23" s="324" t="s">
        <v>214</v>
      </c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325"/>
      <c r="AU23" s="325"/>
      <c r="AV23" s="325"/>
      <c r="AW23" s="325"/>
      <c r="AX23" s="325"/>
      <c r="AY23" s="325"/>
      <c r="AZ23" s="325"/>
      <c r="BA23" s="325"/>
      <c r="BB23" s="325"/>
      <c r="BC23" s="325"/>
      <c r="BD23" s="325"/>
      <c r="BE23" s="325"/>
      <c r="BF23" s="325"/>
      <c r="BG23" s="325"/>
      <c r="BH23" s="325"/>
      <c r="BI23" s="325"/>
      <c r="BJ23" s="325"/>
      <c r="BK23" s="325"/>
      <c r="BL23" s="325"/>
      <c r="BM23" s="325"/>
      <c r="BN23" s="325"/>
      <c r="BO23" s="325"/>
      <c r="BP23" s="325"/>
      <c r="BQ23" s="325"/>
      <c r="BR23" s="325"/>
      <c r="BS23" s="325"/>
      <c r="BT23" s="325"/>
      <c r="BU23" s="325"/>
    </row>
    <row r="24" spans="1:77" ht="15" customHeight="1" x14ac:dyDescent="0.25">
      <c r="A24" s="125" t="s">
        <v>256</v>
      </c>
      <c r="B24" s="250">
        <v>1.2724457879714952</v>
      </c>
      <c r="C24" s="250">
        <v>1.2762631253354098</v>
      </c>
      <c r="D24" s="250">
        <v>1.2859627250879588</v>
      </c>
      <c r="E24" s="250">
        <v>1.2909779797158021</v>
      </c>
      <c r="F24" s="250">
        <v>1.2982074564022108</v>
      </c>
      <c r="G24" s="250">
        <v>1.302491541008338</v>
      </c>
      <c r="H24" s="250">
        <v>1.3083527529428765</v>
      </c>
      <c r="I24" s="250">
        <v>1.3133244934040593</v>
      </c>
      <c r="J24" s="250">
        <v>1.3137184907520796</v>
      </c>
      <c r="K24" s="250">
        <v>1.3155576966391334</v>
      </c>
      <c r="L24" s="250">
        <v>1.3200305928077065</v>
      </c>
      <c r="M24" s="250">
        <v>1.3259707304753412</v>
      </c>
      <c r="N24" s="250">
        <v>1.3308768221781</v>
      </c>
      <c r="O24" s="250">
        <v>1.3331393127758029</v>
      </c>
      <c r="P24" s="250">
        <v>1.3411381486524576</v>
      </c>
      <c r="Q24" s="250">
        <v>1.3412722624673228</v>
      </c>
      <c r="R24" s="250">
        <v>1.3440889342185038</v>
      </c>
      <c r="S24" s="250">
        <v>1.3459706587264098</v>
      </c>
      <c r="T24" s="250">
        <v>1.3470474352533908</v>
      </c>
      <c r="U24" s="250">
        <v>1.3518968060203032</v>
      </c>
      <c r="V24" s="250">
        <v>1.3547357893129455</v>
      </c>
      <c r="W24" s="250">
        <v>1.3602902060491286</v>
      </c>
      <c r="X24" s="250">
        <v>1.3642350476466711</v>
      </c>
      <c r="Y24" s="250">
        <v>1.3687370233039053</v>
      </c>
      <c r="Z24" s="250">
        <v>1.3720219921598344</v>
      </c>
      <c r="AA24" s="250">
        <v>1.376412462534746</v>
      </c>
      <c r="AB24" s="250">
        <v>1.3943058245476976</v>
      </c>
      <c r="AC24" s="250">
        <v>1.3906806294038736</v>
      </c>
      <c r="AD24" s="250">
        <v>1.3848397707603775</v>
      </c>
      <c r="AE24" s="250">
        <v>1.382624027127161</v>
      </c>
      <c r="AF24" s="250">
        <v>1.3853892751814154</v>
      </c>
      <c r="AG24" s="250">
        <v>1.394671383325131</v>
      </c>
      <c r="AH24" s="250">
        <v>1.3943924490484658</v>
      </c>
      <c r="AI24" s="250">
        <v>1.3878388045379382</v>
      </c>
      <c r="AJ24" s="251">
        <v>1.385063126928862</v>
      </c>
      <c r="AK24" s="250">
        <v>1.3872792279319484</v>
      </c>
      <c r="AL24" s="250">
        <v>1.3890826909282596</v>
      </c>
      <c r="AM24" s="250">
        <v>1.3925553976555805</v>
      </c>
      <c r="AN24" s="250">
        <v>1.3993789191040926</v>
      </c>
      <c r="AO24" s="250">
        <v>1.3974197886173472</v>
      </c>
      <c r="AP24" s="250">
        <v>1.3976992725750705</v>
      </c>
      <c r="AQ24" s="250">
        <v>1.4023116801745681</v>
      </c>
      <c r="AR24" s="250">
        <v>1.4076404645592313</v>
      </c>
      <c r="AS24" s="250">
        <v>1.4094703971631584</v>
      </c>
      <c r="AT24" s="250">
        <v>1.4121483909177683</v>
      </c>
      <c r="AU24" s="250">
        <v>1.4132781096305025</v>
      </c>
      <c r="AV24" s="250">
        <v>1.414974043362059</v>
      </c>
      <c r="AW24" s="250">
        <v>1.4175209966401108</v>
      </c>
      <c r="AX24" s="250">
        <v>1.4185132613377587</v>
      </c>
      <c r="AY24" s="250">
        <v>1.4203573285774977</v>
      </c>
      <c r="AZ24" s="250">
        <v>1.4307259370761134</v>
      </c>
      <c r="BA24" s="250">
        <v>1.4335873889502657</v>
      </c>
      <c r="BB24" s="250">
        <v>1.4357377700336911</v>
      </c>
      <c r="BC24" s="250">
        <v>1.4344456060406607</v>
      </c>
      <c r="BD24" s="250">
        <v>1.4373144972527421</v>
      </c>
      <c r="BE24" s="250">
        <v>1.4381768859510939</v>
      </c>
      <c r="BF24" s="250">
        <v>1.438320703639689</v>
      </c>
      <c r="BG24" s="250">
        <v>1.4399028564136926</v>
      </c>
      <c r="BH24" s="250">
        <v>1.4414867495557475</v>
      </c>
      <c r="BI24" s="250">
        <v>1.4445138717298147</v>
      </c>
      <c r="BJ24" s="250">
        <v>1.4452361286656796</v>
      </c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  <c r="BU24" s="250"/>
    </row>
    <row r="25" spans="1:77" ht="15" customHeight="1" x14ac:dyDescent="0.25">
      <c r="A25" s="129"/>
      <c r="B25" s="102">
        <v>2015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377"/>
      <c r="N25" s="102">
        <v>2016</v>
      </c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377"/>
      <c r="Z25" s="102">
        <v>2017</v>
      </c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377"/>
      <c r="AL25" s="102">
        <v>2018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377"/>
      <c r="AX25" s="102">
        <v>2019</v>
      </c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377"/>
      <c r="BJ25" s="102">
        <v>2020</v>
      </c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377"/>
    </row>
    <row r="26" spans="1:77" ht="15" customHeight="1" x14ac:dyDescent="0.25">
      <c r="A26" s="133"/>
      <c r="B26" s="106">
        <v>42005</v>
      </c>
      <c r="C26" s="107">
        <v>42036</v>
      </c>
      <c r="D26" s="107">
        <v>42064</v>
      </c>
      <c r="E26" s="107">
        <v>42095</v>
      </c>
      <c r="F26" s="107">
        <v>42125</v>
      </c>
      <c r="G26" s="107">
        <v>42156</v>
      </c>
      <c r="H26" s="107">
        <v>42186</v>
      </c>
      <c r="I26" s="107">
        <v>42217</v>
      </c>
      <c r="J26" s="107">
        <v>42248</v>
      </c>
      <c r="K26" s="107">
        <v>42278</v>
      </c>
      <c r="L26" s="107">
        <v>42309</v>
      </c>
      <c r="M26" s="378">
        <v>42339</v>
      </c>
      <c r="N26" s="106">
        <v>42370</v>
      </c>
      <c r="O26" s="107">
        <v>42401</v>
      </c>
      <c r="P26" s="107">
        <v>42430</v>
      </c>
      <c r="Q26" s="107">
        <v>42461</v>
      </c>
      <c r="R26" s="107">
        <v>42491</v>
      </c>
      <c r="S26" s="107">
        <v>42522</v>
      </c>
      <c r="T26" s="107">
        <v>42552</v>
      </c>
      <c r="U26" s="107">
        <v>42583</v>
      </c>
      <c r="V26" s="107">
        <v>42614</v>
      </c>
      <c r="W26" s="107">
        <v>42644</v>
      </c>
      <c r="X26" s="107">
        <v>42675</v>
      </c>
      <c r="Y26" s="378">
        <v>42705</v>
      </c>
      <c r="Z26" s="106">
        <v>42736</v>
      </c>
      <c r="AA26" s="107">
        <v>42767</v>
      </c>
      <c r="AB26" s="107">
        <v>42795</v>
      </c>
      <c r="AC26" s="107">
        <v>42826</v>
      </c>
      <c r="AD26" s="107">
        <v>42856</v>
      </c>
      <c r="AE26" s="107">
        <v>42887</v>
      </c>
      <c r="AF26" s="107">
        <v>42917</v>
      </c>
      <c r="AG26" s="107">
        <v>42948</v>
      </c>
      <c r="AH26" s="107">
        <v>42979</v>
      </c>
      <c r="AI26" s="107">
        <v>43009</v>
      </c>
      <c r="AJ26" s="107">
        <v>43040</v>
      </c>
      <c r="AK26" s="378">
        <v>43070</v>
      </c>
      <c r="AL26" s="106">
        <v>43101</v>
      </c>
      <c r="AM26" s="107">
        <v>43132</v>
      </c>
      <c r="AN26" s="107">
        <v>43160</v>
      </c>
      <c r="AO26" s="107">
        <v>43191</v>
      </c>
      <c r="AP26" s="107">
        <v>43221</v>
      </c>
      <c r="AQ26" s="107">
        <v>43252</v>
      </c>
      <c r="AR26" s="107">
        <v>43282</v>
      </c>
      <c r="AS26" s="107">
        <v>43313</v>
      </c>
      <c r="AT26" s="107">
        <v>43344</v>
      </c>
      <c r="AU26" s="107">
        <v>43374</v>
      </c>
      <c r="AV26" s="107">
        <v>43405</v>
      </c>
      <c r="AW26" s="378">
        <v>43435</v>
      </c>
      <c r="AX26" s="106">
        <v>43466</v>
      </c>
      <c r="AY26" s="107">
        <v>43497</v>
      </c>
      <c r="AZ26" s="107">
        <v>43525</v>
      </c>
      <c r="BA26" s="107">
        <v>43556</v>
      </c>
      <c r="BB26" s="107">
        <v>43586</v>
      </c>
      <c r="BC26" s="107">
        <v>43617</v>
      </c>
      <c r="BD26" s="107">
        <v>43647</v>
      </c>
      <c r="BE26" s="107">
        <v>43678</v>
      </c>
      <c r="BF26" s="107">
        <v>43709</v>
      </c>
      <c r="BG26" s="107">
        <v>43739</v>
      </c>
      <c r="BH26" s="107">
        <v>43770</v>
      </c>
      <c r="BI26" s="378">
        <v>43800</v>
      </c>
      <c r="BJ26" s="106">
        <v>43831</v>
      </c>
      <c r="BK26" s="107">
        <v>43862</v>
      </c>
      <c r="BL26" s="107">
        <v>43891</v>
      </c>
      <c r="BM26" s="107">
        <v>43922</v>
      </c>
      <c r="BN26" s="107">
        <v>43952</v>
      </c>
      <c r="BO26" s="107">
        <v>43983</v>
      </c>
      <c r="BP26" s="107">
        <v>44013</v>
      </c>
      <c r="BQ26" s="107">
        <v>44044</v>
      </c>
      <c r="BR26" s="107">
        <v>44075</v>
      </c>
      <c r="BS26" s="107">
        <v>44105</v>
      </c>
      <c r="BT26" s="107">
        <v>44136</v>
      </c>
      <c r="BU26" s="378">
        <v>44166</v>
      </c>
      <c r="BW26" s="151"/>
    </row>
    <row r="27" spans="1:77" ht="15" customHeight="1" x14ac:dyDescent="0.25">
      <c r="A27" s="138"/>
      <c r="B27" s="164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6"/>
      <c r="N27" s="164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6"/>
      <c r="Z27" s="164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6"/>
      <c r="AL27" s="164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6"/>
      <c r="AX27" s="164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6"/>
      <c r="BJ27" s="164"/>
      <c r="BK27" s="160"/>
      <c r="BL27" s="160"/>
      <c r="BM27" s="160"/>
      <c r="BN27" s="160"/>
      <c r="BO27" s="160"/>
      <c r="BP27" s="160"/>
      <c r="BQ27" s="160"/>
      <c r="BR27" s="160"/>
      <c r="BS27" s="160"/>
      <c r="BT27" s="160"/>
      <c r="BU27" s="166"/>
    </row>
    <row r="28" spans="1:77" s="215" customFormat="1" ht="15" customHeight="1" x14ac:dyDescent="0.25">
      <c r="A28" s="141" t="s">
        <v>105</v>
      </c>
      <c r="B28" s="272">
        <f t="shared" ref="B28:AG28" si="8">B7/B24</f>
        <v>458208.57796973683</v>
      </c>
      <c r="C28" s="147">
        <f t="shared" si="8"/>
        <v>463459.83201900544</v>
      </c>
      <c r="D28" s="147">
        <f t="shared" si="8"/>
        <v>511695.45156527916</v>
      </c>
      <c r="E28" s="147">
        <f t="shared" si="8"/>
        <v>489893.91923573072</v>
      </c>
      <c r="F28" s="147">
        <f t="shared" si="8"/>
        <v>492563.50375781982</v>
      </c>
      <c r="G28" s="147">
        <f t="shared" si="8"/>
        <v>473017.48640381836</v>
      </c>
      <c r="H28" s="147">
        <f t="shared" si="8"/>
        <v>485217.85766267061</v>
      </c>
      <c r="I28" s="147">
        <f t="shared" si="8"/>
        <v>471281.95075820776</v>
      </c>
      <c r="J28" s="147">
        <f t="shared" si="8"/>
        <v>482581.70070138865</v>
      </c>
      <c r="K28" s="147">
        <f t="shared" si="8"/>
        <v>485523.0265246277</v>
      </c>
      <c r="L28" s="147">
        <f t="shared" si="8"/>
        <v>505898.09544458101</v>
      </c>
      <c r="M28" s="273">
        <f t="shared" si="8"/>
        <v>504461.92353748891</v>
      </c>
      <c r="N28" s="272">
        <f t="shared" si="8"/>
        <v>507869.63515812764</v>
      </c>
      <c r="O28" s="147">
        <f t="shared" si="8"/>
        <v>498077.34961129859</v>
      </c>
      <c r="P28" s="147">
        <f t="shared" si="8"/>
        <v>479660.2905572126</v>
      </c>
      <c r="Q28" s="147">
        <f t="shared" si="8"/>
        <v>509107.48671106307</v>
      </c>
      <c r="R28" s="147">
        <f t="shared" si="8"/>
        <v>498791.75628345151</v>
      </c>
      <c r="S28" s="147">
        <f t="shared" si="8"/>
        <v>490091.99178544967</v>
      </c>
      <c r="T28" s="147">
        <f t="shared" si="8"/>
        <v>495692.36733255518</v>
      </c>
      <c r="U28" s="147">
        <f t="shared" si="8"/>
        <v>481944.59655392892</v>
      </c>
      <c r="V28" s="147">
        <f t="shared" si="8"/>
        <v>496131.44777172327</v>
      </c>
      <c r="W28" s="147">
        <f t="shared" si="8"/>
        <v>481852.46224313928</v>
      </c>
      <c r="X28" s="147">
        <f t="shared" si="8"/>
        <v>492453.18549681333</v>
      </c>
      <c r="Y28" s="273">
        <f t="shared" si="8"/>
        <v>500327.60458029032</v>
      </c>
      <c r="Z28" s="272">
        <f t="shared" si="8"/>
        <v>480919.68198067509</v>
      </c>
      <c r="AA28" s="147">
        <f t="shared" si="8"/>
        <v>480253.55186241138</v>
      </c>
      <c r="AB28" s="147">
        <f t="shared" si="8"/>
        <v>495334.33741771895</v>
      </c>
      <c r="AC28" s="147">
        <f t="shared" si="8"/>
        <v>491654.89593616361</v>
      </c>
      <c r="AD28" s="147">
        <f t="shared" si="8"/>
        <v>486340.32383414125</v>
      </c>
      <c r="AE28" s="147">
        <f t="shared" si="8"/>
        <v>510678.0603307581</v>
      </c>
      <c r="AF28" s="147">
        <f t="shared" si="8"/>
        <v>520482.06591290125</v>
      </c>
      <c r="AG28" s="147">
        <f t="shared" si="8"/>
        <v>498991.77943322167</v>
      </c>
      <c r="AH28" s="147">
        <f t="shared" ref="AH28:BJ28" si="9">AH7/AH24</f>
        <v>494943.11893395236</v>
      </c>
      <c r="AI28" s="147">
        <f t="shared" si="9"/>
        <v>496239.04411528056</v>
      </c>
      <c r="AJ28" s="147">
        <f t="shared" si="9"/>
        <v>508168.43920367403</v>
      </c>
      <c r="AK28" s="273">
        <f t="shared" si="9"/>
        <v>508011.75480771426</v>
      </c>
      <c r="AL28" s="272">
        <f t="shared" si="9"/>
        <v>517396.80685224105</v>
      </c>
      <c r="AM28" s="147">
        <f t="shared" si="9"/>
        <v>508354.40744533116</v>
      </c>
      <c r="AN28" s="147">
        <f t="shared" si="9"/>
        <v>514048.19159383909</v>
      </c>
      <c r="AO28" s="147">
        <f t="shared" si="9"/>
        <v>538901.04934402916</v>
      </c>
      <c r="AP28" s="147">
        <f t="shared" si="9"/>
        <v>551478.11344274727</v>
      </c>
      <c r="AQ28" s="147">
        <f t="shared" si="9"/>
        <v>554574.49870430306</v>
      </c>
      <c r="AR28" s="147">
        <f t="shared" si="9"/>
        <v>568488.47585563827</v>
      </c>
      <c r="AS28" s="147">
        <f t="shared" si="9"/>
        <v>556687.45909756888</v>
      </c>
      <c r="AT28" s="147">
        <f t="shared" si="9"/>
        <v>561400.17599337758</v>
      </c>
      <c r="AU28" s="147">
        <f t="shared" si="9"/>
        <v>554524.07954220357</v>
      </c>
      <c r="AV28" s="147">
        <f t="shared" si="9"/>
        <v>544193.2517082718</v>
      </c>
      <c r="AW28" s="273">
        <f t="shared" si="9"/>
        <v>545025.56281792338</v>
      </c>
      <c r="AX28" s="272">
        <f t="shared" si="9"/>
        <v>565919.9008918223</v>
      </c>
      <c r="AY28" s="147">
        <f t="shared" si="9"/>
        <v>612634.38620862656</v>
      </c>
      <c r="AZ28" s="147">
        <f t="shared" si="9"/>
        <v>643533.58055535017</v>
      </c>
      <c r="BA28" s="147">
        <f t="shared" si="9"/>
        <v>637665.56386170455</v>
      </c>
      <c r="BB28" s="147">
        <f t="shared" si="9"/>
        <v>618290.90983597189</v>
      </c>
      <c r="BC28" s="147">
        <f t="shared" si="9"/>
        <v>623741.02625585243</v>
      </c>
      <c r="BD28" s="147">
        <f t="shared" si="9"/>
        <v>593775.59189812304</v>
      </c>
      <c r="BE28" s="147">
        <f t="shared" si="9"/>
        <v>606215.68117709795</v>
      </c>
      <c r="BF28" s="147">
        <f t="shared" si="9"/>
        <v>615249.59017184598</v>
      </c>
      <c r="BG28" s="147">
        <f t="shared" si="9"/>
        <v>585014.59196215647</v>
      </c>
      <c r="BH28" s="147">
        <f t="shared" si="9"/>
        <v>600259.08414119424</v>
      </c>
      <c r="BI28" s="273">
        <f t="shared" si="9"/>
        <v>585966.49834617833</v>
      </c>
      <c r="BJ28" s="272">
        <f t="shared" si="9"/>
        <v>570796.92199614877</v>
      </c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273"/>
      <c r="BV28" s="111"/>
      <c r="BW28" s="142"/>
    </row>
    <row r="29" spans="1:77" ht="15" customHeight="1" x14ac:dyDescent="0.25">
      <c r="A29" s="138" t="s">
        <v>81</v>
      </c>
      <c r="B29" s="162">
        <f t="shared" ref="B29:AG29" si="10">B9/B24</f>
        <v>393919.2912250252</v>
      </c>
      <c r="C29" s="151">
        <f t="shared" si="10"/>
        <v>394855.58924031554</v>
      </c>
      <c r="D29" s="151">
        <f t="shared" si="10"/>
        <v>441630.21869172354</v>
      </c>
      <c r="E29" s="151">
        <f t="shared" si="10"/>
        <v>419867.41955066141</v>
      </c>
      <c r="F29" s="151">
        <f t="shared" si="10"/>
        <v>421456.54536318243</v>
      </c>
      <c r="G29" s="151">
        <f t="shared" si="10"/>
        <v>405139.68679710751</v>
      </c>
      <c r="H29" s="151">
        <f t="shared" si="10"/>
        <v>416534.12349551101</v>
      </c>
      <c r="I29" s="151">
        <f t="shared" si="10"/>
        <v>392728.05188695632</v>
      </c>
      <c r="J29" s="151">
        <f t="shared" si="10"/>
        <v>411341.75902528275</v>
      </c>
      <c r="K29" s="151">
        <f t="shared" si="10"/>
        <v>416358.22240204632</v>
      </c>
      <c r="L29" s="151">
        <f t="shared" si="10"/>
        <v>434917.99611922476</v>
      </c>
      <c r="M29" s="241">
        <f t="shared" si="10"/>
        <v>433982.78180975391</v>
      </c>
      <c r="N29" s="162">
        <f t="shared" si="10"/>
        <v>428287.49897165317</v>
      </c>
      <c r="O29" s="151">
        <f t="shared" si="10"/>
        <v>420193.37770005892</v>
      </c>
      <c r="P29" s="151">
        <f t="shared" si="10"/>
        <v>402214.46023439203</v>
      </c>
      <c r="Q29" s="151">
        <f t="shared" si="10"/>
        <v>436638.37995327823</v>
      </c>
      <c r="R29" s="151">
        <f t="shared" si="10"/>
        <v>425975.2399218271</v>
      </c>
      <c r="S29" s="151">
        <f t="shared" si="10"/>
        <v>414011.8294386011</v>
      </c>
      <c r="T29" s="151">
        <f t="shared" si="10"/>
        <v>420143.9382597091</v>
      </c>
      <c r="U29" s="151">
        <f t="shared" si="10"/>
        <v>406762.9402711537</v>
      </c>
      <c r="V29" s="151">
        <f t="shared" si="10"/>
        <v>417760.6871794716</v>
      </c>
      <c r="W29" s="151">
        <f t="shared" si="10"/>
        <v>400126.03601024696</v>
      </c>
      <c r="X29" s="151">
        <f t="shared" si="10"/>
        <v>414018.1724141459</v>
      </c>
      <c r="Y29" s="241">
        <f t="shared" si="10"/>
        <v>428781.73491160903</v>
      </c>
      <c r="Z29" s="162">
        <f t="shared" si="10"/>
        <v>407753.71705180861</v>
      </c>
      <c r="AA29" s="151">
        <f t="shared" si="10"/>
        <v>409331.85917428246</v>
      </c>
      <c r="AB29" s="151">
        <f t="shared" si="10"/>
        <v>424276.49524586997</v>
      </c>
      <c r="AC29" s="151">
        <f t="shared" si="10"/>
        <v>422166.57454390853</v>
      </c>
      <c r="AD29" s="151">
        <f t="shared" si="10"/>
        <v>417268.92920811923</v>
      </c>
      <c r="AE29" s="151">
        <f t="shared" si="10"/>
        <v>433763.90764460666</v>
      </c>
      <c r="AF29" s="151">
        <f t="shared" si="10"/>
        <v>445986.69537779631</v>
      </c>
      <c r="AG29" s="151">
        <f t="shared" si="10"/>
        <v>425686.62546480028</v>
      </c>
      <c r="AH29" s="151">
        <f t="shared" ref="AH29:BJ29" si="11">AH9/AH24</f>
        <v>425906.55095361755</v>
      </c>
      <c r="AI29" s="151">
        <f t="shared" si="11"/>
        <v>434157.48974579771</v>
      </c>
      <c r="AJ29" s="151">
        <f t="shared" si="11"/>
        <v>443971.5335166693</v>
      </c>
      <c r="AK29" s="241">
        <f t="shared" si="11"/>
        <v>448607.72489741951</v>
      </c>
      <c r="AL29" s="162">
        <f t="shared" si="11"/>
        <v>456335.30380139028</v>
      </c>
      <c r="AM29" s="151">
        <f t="shared" si="11"/>
        <v>447280.0698116658</v>
      </c>
      <c r="AN29" s="151">
        <f t="shared" si="11"/>
        <v>453913.66345340165</v>
      </c>
      <c r="AO29" s="151">
        <f t="shared" si="11"/>
        <v>476212.07976340153</v>
      </c>
      <c r="AP29" s="151">
        <f t="shared" si="11"/>
        <v>490475.20984037709</v>
      </c>
      <c r="AQ29" s="151">
        <f t="shared" si="11"/>
        <v>487375.01385207032</v>
      </c>
      <c r="AR29" s="151">
        <f t="shared" si="11"/>
        <v>496649.87164098589</v>
      </c>
      <c r="AS29" s="151">
        <f t="shared" si="11"/>
        <v>488621.87261693669</v>
      </c>
      <c r="AT29" s="151">
        <f t="shared" si="11"/>
        <v>491936.09529839607</v>
      </c>
      <c r="AU29" s="151">
        <f t="shared" si="11"/>
        <v>484872.50778911385</v>
      </c>
      <c r="AV29" s="151">
        <f t="shared" si="11"/>
        <v>474291.88379696553</v>
      </c>
      <c r="AW29" s="241">
        <f t="shared" si="11"/>
        <v>481206.36476411996</v>
      </c>
      <c r="AX29" s="162">
        <f t="shared" si="11"/>
        <v>499906.28650961362</v>
      </c>
      <c r="AY29" s="151">
        <f t="shared" si="11"/>
        <v>546028.53335978964</v>
      </c>
      <c r="AZ29" s="151">
        <f t="shared" si="11"/>
        <v>574000.64994160424</v>
      </c>
      <c r="BA29" s="151">
        <f t="shared" si="11"/>
        <v>567798.19308123039</v>
      </c>
      <c r="BB29" s="151">
        <f t="shared" si="11"/>
        <v>549093.68969341845</v>
      </c>
      <c r="BC29" s="151">
        <f t="shared" si="11"/>
        <v>547667.65406908805</v>
      </c>
      <c r="BD29" s="151">
        <f t="shared" si="11"/>
        <v>524904.3583168803</v>
      </c>
      <c r="BE29" s="151">
        <f t="shared" si="11"/>
        <v>536592.91680219828</v>
      </c>
      <c r="BF29" s="151">
        <f t="shared" si="11"/>
        <v>537223.48466838687</v>
      </c>
      <c r="BG29" s="151">
        <f t="shared" si="11"/>
        <v>520611.07390749356</v>
      </c>
      <c r="BH29" s="151">
        <f t="shared" si="11"/>
        <v>531396.54539042711</v>
      </c>
      <c r="BI29" s="241">
        <f t="shared" si="11"/>
        <v>518078.96784945333</v>
      </c>
      <c r="BJ29" s="162">
        <f t="shared" si="11"/>
        <v>502509.80899606284</v>
      </c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241"/>
      <c r="BW29" s="127"/>
    </row>
    <row r="30" spans="1:77" ht="15" customHeight="1" x14ac:dyDescent="0.25">
      <c r="A30" s="138" t="s">
        <v>516</v>
      </c>
      <c r="B30" s="162">
        <f t="shared" ref="B30:AG30" si="12">B14/B24</f>
        <v>64289.286744711637</v>
      </c>
      <c r="C30" s="151">
        <f t="shared" si="12"/>
        <v>68604.242778689906</v>
      </c>
      <c r="D30" s="151">
        <f t="shared" si="12"/>
        <v>70065.232873555593</v>
      </c>
      <c r="E30" s="151">
        <f t="shared" si="12"/>
        <v>70026.49968506927</v>
      </c>
      <c r="F30" s="151">
        <f t="shared" si="12"/>
        <v>71106.958394637375</v>
      </c>
      <c r="G30" s="151">
        <f t="shared" si="12"/>
        <v>67877.799606710876</v>
      </c>
      <c r="H30" s="151">
        <f t="shared" si="12"/>
        <v>68683.734167159622</v>
      </c>
      <c r="I30" s="151">
        <f t="shared" si="12"/>
        <v>78553.898871251426</v>
      </c>
      <c r="J30" s="151">
        <f t="shared" si="12"/>
        <v>71239.941676105882</v>
      </c>
      <c r="K30" s="151">
        <f t="shared" si="12"/>
        <v>69164.804122581379</v>
      </c>
      <c r="L30" s="151">
        <f t="shared" si="12"/>
        <v>70980.099325356321</v>
      </c>
      <c r="M30" s="241">
        <f t="shared" si="12"/>
        <v>70479.14172773507</v>
      </c>
      <c r="N30" s="162">
        <f t="shared" si="12"/>
        <v>79582.136186474527</v>
      </c>
      <c r="O30" s="151">
        <f t="shared" si="12"/>
        <v>77883.971911239671</v>
      </c>
      <c r="P30" s="151">
        <f t="shared" si="12"/>
        <v>77445.830322820606</v>
      </c>
      <c r="Q30" s="151">
        <f t="shared" si="12"/>
        <v>72469.106757784815</v>
      </c>
      <c r="R30" s="151">
        <f t="shared" si="12"/>
        <v>72816.516361624424</v>
      </c>
      <c r="S30" s="151">
        <f t="shared" si="12"/>
        <v>76080.162346848592</v>
      </c>
      <c r="T30" s="151">
        <f t="shared" si="12"/>
        <v>75548.429072846062</v>
      </c>
      <c r="U30" s="151">
        <f t="shared" si="12"/>
        <v>75181.656282775162</v>
      </c>
      <c r="V30" s="151">
        <f t="shared" si="12"/>
        <v>78370.76059225171</v>
      </c>
      <c r="W30" s="151">
        <f t="shared" si="12"/>
        <v>81726.426232892321</v>
      </c>
      <c r="X30" s="151">
        <f t="shared" si="12"/>
        <v>78435.013082667385</v>
      </c>
      <c r="Y30" s="241">
        <f t="shared" si="12"/>
        <v>71545.869668681291</v>
      </c>
      <c r="Z30" s="162">
        <f t="shared" si="12"/>
        <v>73165.964928866495</v>
      </c>
      <c r="AA30" s="151">
        <f t="shared" si="12"/>
        <v>70921.692688128911</v>
      </c>
      <c r="AB30" s="151">
        <f t="shared" si="12"/>
        <v>71057.84217184897</v>
      </c>
      <c r="AC30" s="151">
        <f t="shared" si="12"/>
        <v>69488.321392255122</v>
      </c>
      <c r="AD30" s="151">
        <f t="shared" si="12"/>
        <v>69071.394626022098</v>
      </c>
      <c r="AE30" s="151">
        <f t="shared" si="12"/>
        <v>76914.152686151399</v>
      </c>
      <c r="AF30" s="151">
        <f t="shared" si="12"/>
        <v>74495.370535104943</v>
      </c>
      <c r="AG30" s="151">
        <f t="shared" si="12"/>
        <v>73305.153968421408</v>
      </c>
      <c r="AH30" s="151">
        <f t="shared" ref="AH30:BJ30" si="13">AH14/AH24</f>
        <v>69036.567980334832</v>
      </c>
      <c r="AI30" s="151">
        <f t="shared" si="13"/>
        <v>62081.554369482794</v>
      </c>
      <c r="AJ30" s="151">
        <f t="shared" si="13"/>
        <v>64196.905687004713</v>
      </c>
      <c r="AK30" s="241">
        <f t="shared" si="13"/>
        <v>59404.029910294703</v>
      </c>
      <c r="AL30" s="162">
        <f t="shared" si="13"/>
        <v>61061.503050850828</v>
      </c>
      <c r="AM30" s="151">
        <f t="shared" si="13"/>
        <v>61074.337633665331</v>
      </c>
      <c r="AN30" s="151">
        <f t="shared" si="13"/>
        <v>60134.528140437447</v>
      </c>
      <c r="AO30" s="151">
        <f t="shared" si="13"/>
        <v>62688.96958062765</v>
      </c>
      <c r="AP30" s="151">
        <f t="shared" si="13"/>
        <v>61002.903602370221</v>
      </c>
      <c r="AQ30" s="151">
        <f t="shared" si="13"/>
        <v>67199.484852232796</v>
      </c>
      <c r="AR30" s="151">
        <f t="shared" si="13"/>
        <v>71838.604214652369</v>
      </c>
      <c r="AS30" s="151">
        <f t="shared" si="13"/>
        <v>68065.586480632221</v>
      </c>
      <c r="AT30" s="151">
        <f t="shared" si="13"/>
        <v>69464.080694981414</v>
      </c>
      <c r="AU30" s="151">
        <f t="shared" si="13"/>
        <v>69651.571753089753</v>
      </c>
      <c r="AV30" s="151">
        <f t="shared" si="13"/>
        <v>69901.367911306326</v>
      </c>
      <c r="AW30" s="241">
        <f t="shared" si="13"/>
        <v>63819.198053803397</v>
      </c>
      <c r="AX30" s="162">
        <f t="shared" si="13"/>
        <v>66013.614382208674</v>
      </c>
      <c r="AY30" s="151">
        <f t="shared" si="13"/>
        <v>66605.852848836978</v>
      </c>
      <c r="AZ30" s="151">
        <f t="shared" si="13"/>
        <v>69532.930613745921</v>
      </c>
      <c r="BA30" s="151">
        <f t="shared" si="13"/>
        <v>69867.370780474128</v>
      </c>
      <c r="BB30" s="151">
        <f t="shared" si="13"/>
        <v>69197.220142553386</v>
      </c>
      <c r="BC30" s="151">
        <f t="shared" si="13"/>
        <v>76073.372186764405</v>
      </c>
      <c r="BD30" s="151">
        <f t="shared" si="13"/>
        <v>68871.233581242705</v>
      </c>
      <c r="BE30" s="151">
        <f t="shared" si="13"/>
        <v>69622.764374899692</v>
      </c>
      <c r="BF30" s="151">
        <f t="shared" si="13"/>
        <v>78026.10550345917</v>
      </c>
      <c r="BG30" s="151">
        <f t="shared" si="13"/>
        <v>64403.518054662949</v>
      </c>
      <c r="BH30" s="151">
        <f t="shared" si="13"/>
        <v>68862.538750767111</v>
      </c>
      <c r="BI30" s="241">
        <f t="shared" si="13"/>
        <v>67887.530496724939</v>
      </c>
      <c r="BJ30" s="162">
        <f t="shared" si="13"/>
        <v>68287.113000085941</v>
      </c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241"/>
      <c r="BW30" s="127"/>
    </row>
    <row r="31" spans="1:77" ht="15" customHeight="1" x14ac:dyDescent="0.25">
      <c r="A31" s="133"/>
      <c r="B31" s="233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199"/>
      <c r="N31" s="233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199"/>
      <c r="Z31" s="233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199"/>
      <c r="AL31" s="233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199"/>
      <c r="AX31" s="233"/>
      <c r="AY31" s="230"/>
      <c r="AZ31" s="230"/>
      <c r="BA31" s="230"/>
      <c r="BB31" s="230"/>
      <c r="BC31" s="230"/>
      <c r="BD31" s="230"/>
      <c r="BE31" s="230"/>
      <c r="BF31" s="230"/>
      <c r="BG31" s="230"/>
      <c r="BH31" s="230"/>
      <c r="BI31" s="199"/>
      <c r="BJ31" s="233"/>
      <c r="BK31" s="230"/>
      <c r="BL31" s="230"/>
      <c r="BM31" s="230"/>
      <c r="BN31" s="230"/>
      <c r="BO31" s="230"/>
      <c r="BP31" s="230"/>
      <c r="BQ31" s="230"/>
      <c r="BR31" s="230"/>
      <c r="BS31" s="230"/>
      <c r="BT31" s="230"/>
      <c r="BU31" s="199"/>
      <c r="BW31" s="127"/>
    </row>
    <row r="33" spans="1:74" ht="15" customHeight="1" x14ac:dyDescent="0.25">
      <c r="A33" s="324" t="s">
        <v>214</v>
      </c>
    </row>
    <row r="34" spans="1:74" ht="15" customHeight="1" x14ac:dyDescent="0.25">
      <c r="A34" s="125" t="s">
        <v>258</v>
      </c>
    </row>
    <row r="35" spans="1:74" ht="15" customHeight="1" x14ac:dyDescent="0.25">
      <c r="A35" s="129"/>
      <c r="B35" s="102">
        <v>2015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377"/>
      <c r="N35" s="102">
        <v>2016</v>
      </c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377"/>
      <c r="Z35" s="102">
        <v>2017</v>
      </c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377"/>
      <c r="AL35" s="102">
        <v>2018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377"/>
      <c r="AX35" s="102">
        <v>2019</v>
      </c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377"/>
      <c r="BJ35" s="102">
        <v>2020</v>
      </c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377"/>
    </row>
    <row r="36" spans="1:74" ht="15" customHeight="1" x14ac:dyDescent="0.25">
      <c r="A36" s="133"/>
      <c r="B36" s="106">
        <v>42005</v>
      </c>
      <c r="C36" s="107">
        <v>42036</v>
      </c>
      <c r="D36" s="107">
        <v>42064</v>
      </c>
      <c r="E36" s="107">
        <v>42095</v>
      </c>
      <c r="F36" s="107">
        <v>42125</v>
      </c>
      <c r="G36" s="107">
        <v>42156</v>
      </c>
      <c r="H36" s="107">
        <v>42186</v>
      </c>
      <c r="I36" s="107">
        <v>42217</v>
      </c>
      <c r="J36" s="107">
        <v>42248</v>
      </c>
      <c r="K36" s="107">
        <v>42278</v>
      </c>
      <c r="L36" s="107">
        <v>42309</v>
      </c>
      <c r="M36" s="378">
        <v>42339</v>
      </c>
      <c r="N36" s="106">
        <v>42370</v>
      </c>
      <c r="O36" s="107">
        <v>42401</v>
      </c>
      <c r="P36" s="107">
        <v>42430</v>
      </c>
      <c r="Q36" s="107">
        <v>42461</v>
      </c>
      <c r="R36" s="107">
        <v>42491</v>
      </c>
      <c r="S36" s="107">
        <v>42522</v>
      </c>
      <c r="T36" s="107">
        <v>42552</v>
      </c>
      <c r="U36" s="107">
        <v>42583</v>
      </c>
      <c r="V36" s="107">
        <v>42614</v>
      </c>
      <c r="W36" s="107">
        <v>42644</v>
      </c>
      <c r="X36" s="107">
        <v>42675</v>
      </c>
      <c r="Y36" s="378">
        <v>42705</v>
      </c>
      <c r="Z36" s="106">
        <v>42736</v>
      </c>
      <c r="AA36" s="107">
        <v>42767</v>
      </c>
      <c r="AB36" s="107">
        <v>42795</v>
      </c>
      <c r="AC36" s="107">
        <v>42826</v>
      </c>
      <c r="AD36" s="107">
        <v>42856</v>
      </c>
      <c r="AE36" s="107">
        <v>42887</v>
      </c>
      <c r="AF36" s="107">
        <v>42917</v>
      </c>
      <c r="AG36" s="107">
        <v>42948</v>
      </c>
      <c r="AH36" s="107">
        <v>42979</v>
      </c>
      <c r="AI36" s="107">
        <v>43009</v>
      </c>
      <c r="AJ36" s="107">
        <v>43040</v>
      </c>
      <c r="AK36" s="378">
        <v>43070</v>
      </c>
      <c r="AL36" s="106">
        <v>43101</v>
      </c>
      <c r="AM36" s="107">
        <v>43132</v>
      </c>
      <c r="AN36" s="107">
        <v>43160</v>
      </c>
      <c r="AO36" s="107">
        <v>43191</v>
      </c>
      <c r="AP36" s="107">
        <v>43221</v>
      </c>
      <c r="AQ36" s="107">
        <v>43252</v>
      </c>
      <c r="AR36" s="107">
        <v>43282</v>
      </c>
      <c r="AS36" s="107">
        <v>43313</v>
      </c>
      <c r="AT36" s="107">
        <v>43344</v>
      </c>
      <c r="AU36" s="107">
        <v>43374</v>
      </c>
      <c r="AV36" s="107">
        <v>43405</v>
      </c>
      <c r="AW36" s="378">
        <v>43435</v>
      </c>
      <c r="AX36" s="106">
        <v>43466</v>
      </c>
      <c r="AY36" s="107">
        <v>43497</v>
      </c>
      <c r="AZ36" s="107">
        <v>43525</v>
      </c>
      <c r="BA36" s="107">
        <v>43556</v>
      </c>
      <c r="BB36" s="107">
        <v>43586</v>
      </c>
      <c r="BC36" s="107">
        <v>43617</v>
      </c>
      <c r="BD36" s="107">
        <v>43647</v>
      </c>
      <c r="BE36" s="107">
        <v>43678</v>
      </c>
      <c r="BF36" s="107">
        <v>43709</v>
      </c>
      <c r="BG36" s="107">
        <v>43739</v>
      </c>
      <c r="BH36" s="107">
        <v>43770</v>
      </c>
      <c r="BI36" s="378">
        <v>43800</v>
      </c>
      <c r="BJ36" s="106">
        <v>43831</v>
      </c>
      <c r="BK36" s="107">
        <v>43862</v>
      </c>
      <c r="BL36" s="107">
        <v>43891</v>
      </c>
      <c r="BM36" s="107">
        <v>43922</v>
      </c>
      <c r="BN36" s="107">
        <v>43952</v>
      </c>
      <c r="BO36" s="107">
        <v>43983</v>
      </c>
      <c r="BP36" s="107">
        <v>44013</v>
      </c>
      <c r="BQ36" s="107">
        <v>44044</v>
      </c>
      <c r="BR36" s="107">
        <v>44075</v>
      </c>
      <c r="BS36" s="107">
        <v>44105</v>
      </c>
      <c r="BT36" s="107">
        <v>44136</v>
      </c>
      <c r="BU36" s="378">
        <v>44166</v>
      </c>
    </row>
    <row r="37" spans="1:74" ht="15" customHeight="1" x14ac:dyDescent="0.25">
      <c r="A37" s="138"/>
      <c r="B37" s="164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6"/>
      <c r="N37" s="164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6"/>
      <c r="Z37" s="164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6"/>
      <c r="AL37" s="164"/>
      <c r="AM37" s="160"/>
      <c r="AN37" s="160"/>
      <c r="AO37" s="160"/>
      <c r="AP37" s="160"/>
      <c r="AQ37" s="160"/>
      <c r="AR37" s="160"/>
      <c r="AS37" s="160"/>
      <c r="AT37" s="160"/>
      <c r="AU37" s="160"/>
      <c r="AV37" s="160"/>
      <c r="AW37" s="166"/>
      <c r="AX37" s="164"/>
      <c r="AY37" s="160"/>
      <c r="AZ37" s="160"/>
      <c r="BA37" s="160"/>
      <c r="BB37" s="160"/>
      <c r="BC37" s="160"/>
      <c r="BD37" s="160"/>
      <c r="BE37" s="160"/>
      <c r="BF37" s="160"/>
      <c r="BG37" s="160"/>
      <c r="BH37" s="160"/>
      <c r="BI37" s="166"/>
      <c r="BJ37" s="164"/>
      <c r="BK37" s="160"/>
      <c r="BL37" s="160"/>
      <c r="BM37" s="160"/>
      <c r="BN37" s="160"/>
      <c r="BO37" s="160"/>
      <c r="BP37" s="160"/>
      <c r="BQ37" s="160"/>
      <c r="BR37" s="160"/>
      <c r="BS37" s="160"/>
      <c r="BT37" s="160"/>
      <c r="BU37" s="166"/>
    </row>
    <row r="38" spans="1:74" ht="15" customHeight="1" x14ac:dyDescent="0.25">
      <c r="A38" s="429" t="s">
        <v>254</v>
      </c>
      <c r="B38" s="430" t="e">
        <f>((B29/#REF!)-1)*100</f>
        <v>#REF!</v>
      </c>
      <c r="C38" s="391" t="e">
        <f>((C29/#REF!)-1)*100</f>
        <v>#REF!</v>
      </c>
      <c r="D38" s="391" t="e">
        <f>((D29/#REF!)-1)*100</f>
        <v>#REF!</v>
      </c>
      <c r="E38" s="391" t="e">
        <f>((E29/#REF!)-1)*100</f>
        <v>#REF!</v>
      </c>
      <c r="F38" s="391" t="e">
        <f>((F29/#REF!)-1)*100</f>
        <v>#REF!</v>
      </c>
      <c r="G38" s="391" t="e">
        <f>((G29/#REF!)-1)*100</f>
        <v>#REF!</v>
      </c>
      <c r="H38" s="391" t="e">
        <f>((H29/#REF!)-1)*100</f>
        <v>#REF!</v>
      </c>
      <c r="I38" s="391" t="e">
        <f>((I29/#REF!)-1)*100</f>
        <v>#REF!</v>
      </c>
      <c r="J38" s="391" t="e">
        <f>((J29/#REF!)-1)*100</f>
        <v>#REF!</v>
      </c>
      <c r="K38" s="391" t="e">
        <f>((K29/#REF!)-1)*100</f>
        <v>#REF!</v>
      </c>
      <c r="L38" s="391" t="e">
        <f>((L29/#REF!)-1)*100</f>
        <v>#REF!</v>
      </c>
      <c r="M38" s="431" t="e">
        <f>((M29/#REF!)-1)*100</f>
        <v>#REF!</v>
      </c>
      <c r="N38" s="430">
        <f t="shared" ref="N38:AS38" si="14">((N29/B29)-1)*100</f>
        <v>8.7246825713329201</v>
      </c>
      <c r="O38" s="391">
        <f t="shared" si="14"/>
        <v>6.4169760160903699</v>
      </c>
      <c r="P38" s="391">
        <f t="shared" si="14"/>
        <v>-8.9250591986426926</v>
      </c>
      <c r="Q38" s="391">
        <f t="shared" si="14"/>
        <v>3.9943466965274288</v>
      </c>
      <c r="R38" s="391">
        <f t="shared" si="14"/>
        <v>1.0721614383164324</v>
      </c>
      <c r="S38" s="391">
        <f t="shared" si="14"/>
        <v>2.1898971961087366</v>
      </c>
      <c r="T38" s="391">
        <f t="shared" si="14"/>
        <v>0.86663122192844888</v>
      </c>
      <c r="U38" s="391">
        <f t="shared" si="14"/>
        <v>3.5736913410598925</v>
      </c>
      <c r="V38" s="391">
        <f t="shared" si="14"/>
        <v>1.5604854147070135</v>
      </c>
      <c r="W38" s="391">
        <f t="shared" si="14"/>
        <v>-3.8986107439293316</v>
      </c>
      <c r="X38" s="391">
        <f t="shared" si="14"/>
        <v>-4.8054630738594621</v>
      </c>
      <c r="Y38" s="431">
        <f t="shared" si="14"/>
        <v>-1.1984454490235663</v>
      </c>
      <c r="Z38" s="430">
        <f t="shared" si="14"/>
        <v>-4.7943920775524678</v>
      </c>
      <c r="AA38" s="391">
        <f t="shared" si="14"/>
        <v>-2.5848856983961332</v>
      </c>
      <c r="AB38" s="391">
        <f t="shared" si="14"/>
        <v>5.4851421797767363</v>
      </c>
      <c r="AC38" s="391">
        <f t="shared" si="14"/>
        <v>-3.314368611141838</v>
      </c>
      <c r="AD38" s="391">
        <f t="shared" si="14"/>
        <v>-2.0438537026953973</v>
      </c>
      <c r="AE38" s="391">
        <f t="shared" si="14"/>
        <v>4.7708970617552859</v>
      </c>
      <c r="AF38" s="391">
        <f t="shared" si="14"/>
        <v>6.1509294231713252</v>
      </c>
      <c r="AG38" s="391">
        <f t="shared" si="14"/>
        <v>4.6522638421857776</v>
      </c>
      <c r="AH38" s="391">
        <f t="shared" si="14"/>
        <v>1.949887584957577</v>
      </c>
      <c r="AI38" s="391">
        <f t="shared" si="14"/>
        <v>8.5051835353896479</v>
      </c>
      <c r="AJ38" s="391">
        <f t="shared" si="14"/>
        <v>7.2347938081714913</v>
      </c>
      <c r="AK38" s="431">
        <f t="shared" si="14"/>
        <v>4.6237953652334296</v>
      </c>
      <c r="AL38" s="430">
        <f t="shared" si="14"/>
        <v>11.914443625638116</v>
      </c>
      <c r="AM38" s="391">
        <f t="shared" si="14"/>
        <v>9.2707688851617185</v>
      </c>
      <c r="AN38" s="391">
        <f t="shared" si="14"/>
        <v>6.9853429401873557</v>
      </c>
      <c r="AO38" s="391">
        <f t="shared" si="14"/>
        <v>12.801938494984256</v>
      </c>
      <c r="AP38" s="391">
        <f t="shared" si="14"/>
        <v>17.544148511413638</v>
      </c>
      <c r="AQ38" s="391">
        <f t="shared" si="14"/>
        <v>12.35951291996118</v>
      </c>
      <c r="AR38" s="391">
        <f t="shared" si="14"/>
        <v>11.359795435214215</v>
      </c>
      <c r="AS38" s="391">
        <f t="shared" si="14"/>
        <v>14.784407915897857</v>
      </c>
      <c r="AT38" s="391">
        <f t="shared" ref="AT38:BJ38" si="15">((AT29/AH29)-1)*100</f>
        <v>15.503293902602898</v>
      </c>
      <c r="AU38" s="391">
        <f t="shared" si="15"/>
        <v>11.68124914141413</v>
      </c>
      <c r="AV38" s="391">
        <f t="shared" si="15"/>
        <v>6.8293455754090182</v>
      </c>
      <c r="AW38" s="431">
        <f t="shared" si="15"/>
        <v>7.2666247274619788</v>
      </c>
      <c r="AX38" s="430">
        <f t="shared" si="15"/>
        <v>9.5480192624295857</v>
      </c>
      <c r="AY38" s="391">
        <f t="shared" si="15"/>
        <v>22.077546086438282</v>
      </c>
      <c r="AZ38" s="391">
        <f t="shared" si="15"/>
        <v>26.455909164437518</v>
      </c>
      <c r="BA38" s="391">
        <f t="shared" si="15"/>
        <v>19.232211279338387</v>
      </c>
      <c r="BB38" s="391">
        <f t="shared" si="15"/>
        <v>11.951364447576962</v>
      </c>
      <c r="BC38" s="391">
        <f t="shared" si="15"/>
        <v>12.370892742424822</v>
      </c>
      <c r="BD38" s="391">
        <f t="shared" si="15"/>
        <v>5.6890151974747338</v>
      </c>
      <c r="BE38" s="391">
        <f t="shared" si="15"/>
        <v>9.8176211245601053</v>
      </c>
      <c r="BF38" s="391">
        <f t="shared" si="15"/>
        <v>9.2059496757440851</v>
      </c>
      <c r="BG38" s="391">
        <f t="shared" si="15"/>
        <v>7.3707140628240131</v>
      </c>
      <c r="BH38" s="391">
        <f t="shared" si="15"/>
        <v>12.039982876432042</v>
      </c>
      <c r="BI38" s="431">
        <f t="shared" si="15"/>
        <v>7.6625343688892622</v>
      </c>
      <c r="BJ38" s="430">
        <f t="shared" si="15"/>
        <v>0.52080210965683715</v>
      </c>
      <c r="BK38" s="391"/>
      <c r="BL38" s="391"/>
      <c r="BM38" s="391"/>
      <c r="BN38" s="391"/>
      <c r="BO38" s="391"/>
      <c r="BP38" s="391"/>
      <c r="BQ38" s="391"/>
      <c r="BR38" s="391"/>
      <c r="BS38" s="391"/>
      <c r="BT38" s="391"/>
      <c r="BU38" s="431"/>
    </row>
    <row r="39" spans="1:74" ht="15" customHeight="1" x14ac:dyDescent="0.25">
      <c r="A39" s="138" t="s">
        <v>517</v>
      </c>
      <c r="B39" s="162" t="e">
        <f>((B30/#REF!)-1)*100</f>
        <v>#REF!</v>
      </c>
      <c r="C39" s="151" t="e">
        <f>((C30/#REF!)-1)*100</f>
        <v>#REF!</v>
      </c>
      <c r="D39" s="151" t="e">
        <f>((D30/#REF!)-1)*100</f>
        <v>#REF!</v>
      </c>
      <c r="E39" s="151" t="e">
        <f>((E30/#REF!)-1)*100</f>
        <v>#REF!</v>
      </c>
      <c r="F39" s="151" t="e">
        <f>((F30/#REF!)-1)*100</f>
        <v>#REF!</v>
      </c>
      <c r="G39" s="151" t="e">
        <f>((G30/#REF!)-1)*100</f>
        <v>#REF!</v>
      </c>
      <c r="H39" s="151" t="e">
        <f>((H30/#REF!)-1)*100</f>
        <v>#REF!</v>
      </c>
      <c r="I39" s="151" t="e">
        <f>((I30/#REF!)-1)*100</f>
        <v>#REF!</v>
      </c>
      <c r="J39" s="151" t="e">
        <f>((J30/#REF!)-1)*100</f>
        <v>#REF!</v>
      </c>
      <c r="K39" s="151" t="e">
        <f>((K30/#REF!)-1)*100</f>
        <v>#REF!</v>
      </c>
      <c r="L39" s="151" t="e">
        <f>((L30/#REF!)-1)*100</f>
        <v>#REF!</v>
      </c>
      <c r="M39" s="241" t="e">
        <f>((M30/#REF!)-1)*100</f>
        <v>#REF!</v>
      </c>
      <c r="N39" s="162">
        <f t="shared" ref="N39:BG39" si="16">((N30/B30)-1)*100</f>
        <v>23.787554997288662</v>
      </c>
      <c r="O39" s="151">
        <f t="shared" si="16"/>
        <v>13.526465356501639</v>
      </c>
      <c r="P39" s="151">
        <f t="shared" si="16"/>
        <v>10.533894124900044</v>
      </c>
      <c r="Q39" s="151">
        <f t="shared" si="16"/>
        <v>3.4881181891151192</v>
      </c>
      <c r="R39" s="151">
        <f t="shared" si="16"/>
        <v>2.4042062908937067</v>
      </c>
      <c r="S39" s="151">
        <f t="shared" si="16"/>
        <v>12.084013900955593</v>
      </c>
      <c r="T39" s="151">
        <f t="shared" si="16"/>
        <v>9.9946442762989918</v>
      </c>
      <c r="U39" s="151">
        <f t="shared" si="16"/>
        <v>-4.2929028818840864</v>
      </c>
      <c r="V39" s="151">
        <f t="shared" si="16"/>
        <v>10.009579946831337</v>
      </c>
      <c r="W39" s="151">
        <f t="shared" si="16"/>
        <v>18.161870433476345</v>
      </c>
      <c r="X39" s="151">
        <f t="shared" si="16"/>
        <v>10.502822380030018</v>
      </c>
      <c r="Y39" s="241">
        <f t="shared" si="16"/>
        <v>1.5135370760714695</v>
      </c>
      <c r="Z39" s="162">
        <f t="shared" si="16"/>
        <v>-8.0623260006163271</v>
      </c>
      <c r="AA39" s="151">
        <f t="shared" si="16"/>
        <v>-8.9392965616151514</v>
      </c>
      <c r="AB39" s="151">
        <f t="shared" si="16"/>
        <v>-8.2483306387759363</v>
      </c>
      <c r="AC39" s="151">
        <f t="shared" si="16"/>
        <v>-4.1131807730050323</v>
      </c>
      <c r="AD39" s="151">
        <f t="shared" si="16"/>
        <v>-5.1432311276787051</v>
      </c>
      <c r="AE39" s="151">
        <f t="shared" si="16"/>
        <v>1.0961994737874736</v>
      </c>
      <c r="AF39" s="151">
        <f t="shared" si="16"/>
        <v>-1.3938854198089601</v>
      </c>
      <c r="AG39" s="151">
        <f t="shared" si="16"/>
        <v>-2.4959576672477168</v>
      </c>
      <c r="AH39" s="151">
        <f t="shared" si="16"/>
        <v>-11.910299889114162</v>
      </c>
      <c r="AI39" s="151">
        <f t="shared" si="16"/>
        <v>-24.037355808791116</v>
      </c>
      <c r="AJ39" s="151">
        <f t="shared" si="16"/>
        <v>-18.152744337093786</v>
      </c>
      <c r="AK39" s="241">
        <f t="shared" si="16"/>
        <v>-16.970706785190693</v>
      </c>
      <c r="AL39" s="162">
        <f t="shared" si="16"/>
        <v>-16.543842331313307</v>
      </c>
      <c r="AM39" s="151">
        <f t="shared" si="16"/>
        <v>-13.884828014139972</v>
      </c>
      <c r="AN39" s="151">
        <f t="shared" si="16"/>
        <v>-15.372425755617748</v>
      </c>
      <c r="AO39" s="151">
        <f t="shared" si="16"/>
        <v>-9.7848842444268609</v>
      </c>
      <c r="AP39" s="151">
        <f t="shared" si="16"/>
        <v>-11.681378474168147</v>
      </c>
      <c r="AQ39" s="151">
        <f t="shared" si="16"/>
        <v>-12.630533516450937</v>
      </c>
      <c r="AR39" s="151">
        <f t="shared" si="16"/>
        <v>-3.5663509039136954</v>
      </c>
      <c r="AS39" s="151">
        <f t="shared" si="16"/>
        <v>-7.1476113262735952</v>
      </c>
      <c r="AT39" s="151">
        <f t="shared" si="16"/>
        <v>0.61925545714895947</v>
      </c>
      <c r="AU39" s="151">
        <f t="shared" si="16"/>
        <v>12.193665993852964</v>
      </c>
      <c r="AV39" s="151">
        <f t="shared" si="16"/>
        <v>8.8858834600440204</v>
      </c>
      <c r="AW39" s="241">
        <f t="shared" si="16"/>
        <v>7.432438759080795</v>
      </c>
      <c r="AX39" s="162">
        <f t="shared" si="16"/>
        <v>8.1100383775909002</v>
      </c>
      <c r="AY39" s="151">
        <f t="shared" si="16"/>
        <v>9.0570203943113547</v>
      </c>
      <c r="AZ39" s="151">
        <f t="shared" si="16"/>
        <v>15.628961869226865</v>
      </c>
      <c r="BA39" s="151">
        <f t="shared" si="16"/>
        <v>11.450820212659508</v>
      </c>
      <c r="BB39" s="151">
        <f t="shared" si="16"/>
        <v>13.432666408135985</v>
      </c>
      <c r="BC39" s="151">
        <f t="shared" si="16"/>
        <v>13.205290716208173</v>
      </c>
      <c r="BD39" s="151">
        <f t="shared" si="16"/>
        <v>-4.1306073048736014</v>
      </c>
      <c r="BE39" s="151">
        <f t="shared" si="16"/>
        <v>2.2877609299826629</v>
      </c>
      <c r="BF39" s="151">
        <f t="shared" si="16"/>
        <v>12.325830447643614</v>
      </c>
      <c r="BG39" s="151">
        <f t="shared" si="16"/>
        <v>-7.534724007421989</v>
      </c>
      <c r="BH39" s="151">
        <f>((BH30/AV30)-1)*100</f>
        <v>-1.4861356674125803</v>
      </c>
      <c r="BI39" s="241">
        <f>((BI30/AW30)-1)*100</f>
        <v>6.3747783848548067</v>
      </c>
      <c r="BJ39" s="162">
        <f>((BJ30/AX30)-1)*100</f>
        <v>3.4439844555610222</v>
      </c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241"/>
    </row>
    <row r="40" spans="1:74" s="215" customFormat="1" ht="15" customHeight="1" x14ac:dyDescent="0.25">
      <c r="A40" s="141" t="s">
        <v>105</v>
      </c>
      <c r="B40" s="272" t="e">
        <f>((B28/#REF!)-1)*100</f>
        <v>#REF!</v>
      </c>
      <c r="C40" s="147" t="e">
        <f>((C28/#REF!)-1)*100</f>
        <v>#REF!</v>
      </c>
      <c r="D40" s="147" t="e">
        <f>((D28/#REF!)-1)*100</f>
        <v>#REF!</v>
      </c>
      <c r="E40" s="147" t="e">
        <f>((E28/#REF!)-1)*100</f>
        <v>#REF!</v>
      </c>
      <c r="F40" s="147" t="e">
        <f>((F28/#REF!)-1)*100</f>
        <v>#REF!</v>
      </c>
      <c r="G40" s="147" t="e">
        <f>((G28/#REF!)-1)*100</f>
        <v>#REF!</v>
      </c>
      <c r="H40" s="147" t="e">
        <f>((H28/#REF!)-1)*100</f>
        <v>#REF!</v>
      </c>
      <c r="I40" s="147" t="e">
        <f>((I28/#REF!)-1)*100</f>
        <v>#REF!</v>
      </c>
      <c r="J40" s="147" t="e">
        <f>((J28/#REF!)-1)*100</f>
        <v>#REF!</v>
      </c>
      <c r="K40" s="147" t="e">
        <f>((K28/#REF!)-1)*100</f>
        <v>#REF!</v>
      </c>
      <c r="L40" s="147" t="e">
        <f>((L28/#REF!)-1)*100</f>
        <v>#REF!</v>
      </c>
      <c r="M40" s="273" t="e">
        <f>((M28/#REF!)-1)*100</f>
        <v>#REF!</v>
      </c>
      <c r="N40" s="272">
        <f t="shared" ref="N40:BG40" si="17">((N28/B28)-1)*100</f>
        <v>10.838089808015505</v>
      </c>
      <c r="O40" s="147">
        <f t="shared" si="17"/>
        <v>7.4693673972750174</v>
      </c>
      <c r="P40" s="147">
        <f t="shared" si="17"/>
        <v>-6.2605913165870053</v>
      </c>
      <c r="Q40" s="147">
        <f t="shared" si="17"/>
        <v>3.9219852953690237</v>
      </c>
      <c r="R40" s="147">
        <f t="shared" si="17"/>
        <v>1.2644567610299307</v>
      </c>
      <c r="S40" s="147">
        <f t="shared" si="17"/>
        <v>3.6096985571173246</v>
      </c>
      <c r="T40" s="147">
        <f t="shared" si="17"/>
        <v>2.1587230363575349</v>
      </c>
      <c r="U40" s="147">
        <f t="shared" si="17"/>
        <v>2.2624770115992954</v>
      </c>
      <c r="V40" s="147">
        <f t="shared" si="17"/>
        <v>2.807762302350314</v>
      </c>
      <c r="W40" s="147">
        <f t="shared" si="17"/>
        <v>-0.75600210102542142</v>
      </c>
      <c r="X40" s="147">
        <f t="shared" si="17"/>
        <v>-2.6576320545252052</v>
      </c>
      <c r="Y40" s="273">
        <f t="shared" si="17"/>
        <v>-0.81955025033546569</v>
      </c>
      <c r="Z40" s="272">
        <f t="shared" si="17"/>
        <v>-5.3064706593576094</v>
      </c>
      <c r="AA40" s="147">
        <f t="shared" si="17"/>
        <v>-3.5785200356524882</v>
      </c>
      <c r="AB40" s="147">
        <f t="shared" si="17"/>
        <v>3.2677390997487121</v>
      </c>
      <c r="AC40" s="147">
        <f t="shared" si="17"/>
        <v>-3.4280758445818016</v>
      </c>
      <c r="AD40" s="147">
        <f t="shared" si="17"/>
        <v>-2.4963188129024316</v>
      </c>
      <c r="AE40" s="147">
        <f t="shared" si="17"/>
        <v>4.2004498931540457</v>
      </c>
      <c r="AF40" s="147">
        <f t="shared" si="17"/>
        <v>5.0010248722903716</v>
      </c>
      <c r="AG40" s="147">
        <f t="shared" si="17"/>
        <v>3.5371665127456708</v>
      </c>
      <c r="AH40" s="147">
        <f t="shared" si="17"/>
        <v>-0.23951895069503903</v>
      </c>
      <c r="AI40" s="147">
        <f t="shared" si="17"/>
        <v>2.9856819253694988</v>
      </c>
      <c r="AJ40" s="147">
        <f t="shared" si="17"/>
        <v>3.1912177989073864</v>
      </c>
      <c r="AK40" s="273">
        <f t="shared" si="17"/>
        <v>1.5358237596883928</v>
      </c>
      <c r="AL40" s="272">
        <f t="shared" si="17"/>
        <v>7.5848683758032776</v>
      </c>
      <c r="AM40" s="147">
        <f t="shared" si="17"/>
        <v>5.8512540873347785</v>
      </c>
      <c r="AN40" s="147">
        <f t="shared" si="17"/>
        <v>3.7780248132361249</v>
      </c>
      <c r="AO40" s="147">
        <f t="shared" si="17"/>
        <v>9.60961719254394</v>
      </c>
      <c r="AP40" s="147">
        <f t="shared" si="17"/>
        <v>13.393458534361669</v>
      </c>
      <c r="AQ40" s="147">
        <f t="shared" si="17"/>
        <v>8.5957165156290252</v>
      </c>
      <c r="AR40" s="147">
        <f t="shared" si="17"/>
        <v>9.2234513130699405</v>
      </c>
      <c r="AS40" s="147">
        <f t="shared" si="17"/>
        <v>11.562450934538582</v>
      </c>
      <c r="AT40" s="147">
        <f t="shared" si="17"/>
        <v>13.42721103034339</v>
      </c>
      <c r="AU40" s="147">
        <f t="shared" si="17"/>
        <v>11.745354606434976</v>
      </c>
      <c r="AV40" s="147">
        <f t="shared" si="17"/>
        <v>7.08914795280291</v>
      </c>
      <c r="AW40" s="273">
        <f>((AW28/AK28)-1)*100</f>
        <v>7.2860140852880617</v>
      </c>
      <c r="AX40" s="272">
        <f t="shared" si="17"/>
        <v>9.3783133944695063</v>
      </c>
      <c r="AY40" s="147">
        <f t="shared" si="17"/>
        <v>20.513243759868406</v>
      </c>
      <c r="AZ40" s="147">
        <f t="shared" si="17"/>
        <v>25.18934821267116</v>
      </c>
      <c r="BA40" s="147">
        <f t="shared" si="17"/>
        <v>18.327022119904068</v>
      </c>
      <c r="BB40" s="147">
        <f t="shared" si="17"/>
        <v>12.1152217585079</v>
      </c>
      <c r="BC40" s="147">
        <f t="shared" si="17"/>
        <v>12.471999291916358</v>
      </c>
      <c r="BD40" s="147">
        <f t="shared" si="17"/>
        <v>4.4481316889361411</v>
      </c>
      <c r="BE40" s="147">
        <f t="shared" si="17"/>
        <v>8.8969530874322125</v>
      </c>
      <c r="BF40" s="147">
        <f t="shared" si="17"/>
        <v>9.591983843464913</v>
      </c>
      <c r="BG40" s="147">
        <f t="shared" si="17"/>
        <v>5.4985010651160238</v>
      </c>
      <c r="BH40" s="147">
        <f>((BH28/AV28)-1)*100</f>
        <v>10.302559294318092</v>
      </c>
      <c r="BI40" s="273">
        <f>((BI28/AW28)-1)*100</f>
        <v>7.5117459292330713</v>
      </c>
      <c r="BJ40" s="272">
        <f>((BJ28/AX28)-1)*100</f>
        <v>0.86178646424006633</v>
      </c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273"/>
      <c r="BV40" s="111"/>
    </row>
    <row r="41" spans="1:74" ht="15" customHeight="1" x14ac:dyDescent="0.25">
      <c r="A41" s="133"/>
      <c r="B41" s="233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199"/>
      <c r="N41" s="233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199"/>
      <c r="Z41" s="233"/>
      <c r="AA41" s="230"/>
      <c r="AB41" s="230"/>
      <c r="AC41" s="230"/>
      <c r="AD41" s="230"/>
      <c r="AE41" s="230"/>
      <c r="AF41" s="230"/>
      <c r="AG41" s="230"/>
      <c r="AH41" s="230"/>
      <c r="AI41" s="230"/>
      <c r="AJ41" s="230"/>
      <c r="AK41" s="199"/>
      <c r="AL41" s="233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199"/>
      <c r="AX41" s="233"/>
      <c r="AY41" s="230"/>
      <c r="AZ41" s="230"/>
      <c r="BA41" s="230"/>
      <c r="BB41" s="230"/>
      <c r="BC41" s="230"/>
      <c r="BD41" s="230"/>
      <c r="BE41" s="230"/>
      <c r="BF41" s="230"/>
      <c r="BG41" s="230"/>
      <c r="BH41" s="230"/>
      <c r="BI41" s="199"/>
      <c r="BJ41" s="233"/>
      <c r="BK41" s="230"/>
      <c r="BL41" s="230"/>
      <c r="BM41" s="230"/>
      <c r="BN41" s="230"/>
      <c r="BO41" s="230"/>
      <c r="BP41" s="230"/>
      <c r="BQ41" s="230"/>
      <c r="BR41" s="230"/>
      <c r="BS41" s="230"/>
      <c r="BT41" s="230"/>
      <c r="BU41" s="199"/>
    </row>
    <row r="42" spans="1:74" ht="15" customHeight="1" x14ac:dyDescent="0.25">
      <c r="A42" s="126" t="s">
        <v>155</v>
      </c>
    </row>
    <row r="56" spans="1:73" ht="15" customHeight="1" x14ac:dyDescent="0.25">
      <c r="A56" s="325"/>
    </row>
    <row r="57" spans="1:73" ht="15" customHeight="1" x14ac:dyDescent="0.25">
      <c r="A57" s="325"/>
    </row>
    <row r="58" spans="1:73" ht="15" customHeight="1" x14ac:dyDescent="0.25">
      <c r="A58" s="325"/>
    </row>
    <row r="59" spans="1:73" ht="15" customHeight="1" x14ac:dyDescent="0.25">
      <c r="A59" s="325"/>
    </row>
    <row r="60" spans="1:73" ht="15" customHeight="1" x14ac:dyDescent="0.25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  <c r="AA60" s="325"/>
      <c r="AB60" s="325"/>
      <c r="AC60" s="325"/>
      <c r="AD60" s="325"/>
      <c r="AE60" s="325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5"/>
      <c r="AQ60" s="325"/>
      <c r="AR60" s="325"/>
      <c r="AS60" s="325"/>
      <c r="AT60" s="325"/>
      <c r="AU60" s="325"/>
      <c r="AV60" s="325"/>
      <c r="AW60" s="325"/>
      <c r="AX60" s="325"/>
      <c r="AY60" s="325"/>
      <c r="AZ60" s="325"/>
      <c r="BA60" s="325"/>
      <c r="BB60" s="325"/>
      <c r="BC60" s="325"/>
      <c r="BD60" s="325"/>
      <c r="BE60" s="325"/>
      <c r="BF60" s="325"/>
      <c r="BG60" s="325"/>
      <c r="BH60" s="325"/>
      <c r="BI60" s="325"/>
      <c r="BJ60" s="325"/>
      <c r="BK60" s="325"/>
      <c r="BL60" s="325"/>
      <c r="BM60" s="325"/>
      <c r="BN60" s="325"/>
      <c r="BO60" s="325"/>
      <c r="BP60" s="325"/>
      <c r="BQ60" s="325"/>
      <c r="BR60" s="325"/>
      <c r="BS60" s="325"/>
      <c r="BT60" s="325"/>
      <c r="BU60" s="325"/>
    </row>
    <row r="61" spans="1:73" ht="15" customHeight="1" x14ac:dyDescent="0.25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  <c r="AA61" s="325"/>
      <c r="AB61" s="325"/>
      <c r="AC61" s="325"/>
      <c r="AD61" s="325"/>
      <c r="AE61" s="325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5"/>
      <c r="AQ61" s="325"/>
      <c r="AR61" s="325"/>
      <c r="AS61" s="325"/>
      <c r="AT61" s="325"/>
      <c r="AU61" s="325"/>
      <c r="AV61" s="325"/>
      <c r="AW61" s="325"/>
      <c r="AX61" s="325"/>
      <c r="AY61" s="325"/>
      <c r="AZ61" s="325"/>
      <c r="BA61" s="325"/>
      <c r="BB61" s="325"/>
      <c r="BC61" s="325"/>
      <c r="BD61" s="325"/>
      <c r="BE61" s="325"/>
      <c r="BF61" s="325"/>
      <c r="BG61" s="325"/>
      <c r="BH61" s="325"/>
      <c r="BI61" s="325"/>
      <c r="BJ61" s="325"/>
      <c r="BK61" s="325"/>
      <c r="BL61" s="325"/>
      <c r="BM61" s="325"/>
      <c r="BN61" s="325"/>
      <c r="BO61" s="325"/>
      <c r="BP61" s="325"/>
      <c r="BQ61" s="325"/>
      <c r="BR61" s="325"/>
      <c r="BS61" s="325"/>
      <c r="BT61" s="325"/>
      <c r="BU61" s="325"/>
    </row>
  </sheetData>
  <printOptions horizontalCentered="1" verticalCentered="1"/>
  <pageMargins left="0.75" right="0.75" top="1" bottom="1" header="0" footer="0"/>
  <pageSetup paperSize="9" scale="17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F104"/>
  <sheetViews>
    <sheetView showGridLines="0" view="pageBreakPreview" topLeftCell="A4" zoomScaleNormal="75" zoomScaleSheetLayoutView="100" workbookViewId="0">
      <pane xSplit="1" topLeftCell="BU1" activePane="topRight" state="frozen"/>
      <selection activeCell="DO55" sqref="DO55:EP55"/>
      <selection pane="topRight" activeCell="BZ4" sqref="BZ4"/>
    </sheetView>
  </sheetViews>
  <sheetFormatPr baseColWidth="10" defaultColWidth="9.7109375" defaultRowHeight="15" customHeight="1" x14ac:dyDescent="0.25"/>
  <cols>
    <col min="1" max="1" width="30.7109375" style="126" customWidth="1"/>
    <col min="2" max="73" width="9.7109375" style="126"/>
    <col min="74" max="74" width="1.7109375" customWidth="1"/>
    <col min="75" max="79" width="9.7109375" style="126"/>
    <col min="80" max="80" width="27.42578125" style="126" bestFit="1" customWidth="1"/>
    <col min="81" max="84" width="9.7109375" style="126"/>
  </cols>
  <sheetData>
    <row r="1" spans="1:84" ht="15" customHeight="1" x14ac:dyDescent="0.25">
      <c r="A1" s="125" t="s">
        <v>260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W1" s="169"/>
      <c r="BX1" s="169"/>
    </row>
    <row r="2" spans="1:84" ht="15" customHeight="1" x14ac:dyDescent="0.25">
      <c r="A2" s="125" t="s">
        <v>215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W2" s="169"/>
      <c r="BX2" s="169"/>
    </row>
    <row r="3" spans="1:84" ht="15" customHeight="1" x14ac:dyDescent="0.25">
      <c r="A3" s="128" t="s">
        <v>200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W3" s="169"/>
      <c r="BX3" s="169"/>
    </row>
    <row r="4" spans="1:84" ht="15" customHeight="1" x14ac:dyDescent="0.25">
      <c r="A4" s="129"/>
      <c r="B4" s="102">
        <v>2015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377"/>
      <c r="N4" s="102">
        <v>2016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377"/>
      <c r="Z4" s="102">
        <v>2017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377"/>
      <c r="AL4" s="102">
        <v>2018</v>
      </c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377"/>
      <c r="AX4" s="102">
        <v>2019</v>
      </c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377"/>
      <c r="BJ4" s="102">
        <v>2020</v>
      </c>
      <c r="BK4" s="103"/>
      <c r="BL4" s="103"/>
      <c r="BM4" s="103"/>
      <c r="BN4" s="103"/>
      <c r="BO4" s="103"/>
      <c r="BP4" s="103"/>
      <c r="BQ4" s="103"/>
      <c r="BR4" s="103"/>
      <c r="BS4" s="103"/>
      <c r="BT4" s="103"/>
      <c r="BU4" s="377"/>
      <c r="BW4" s="428" t="s">
        <v>613</v>
      </c>
      <c r="BX4" s="428"/>
      <c r="CB4" s="446" t="s">
        <v>563</v>
      </c>
    </row>
    <row r="5" spans="1:84" ht="15" customHeight="1" x14ac:dyDescent="0.25">
      <c r="A5" s="133"/>
      <c r="B5" s="106">
        <v>42005</v>
      </c>
      <c r="C5" s="107">
        <v>42036</v>
      </c>
      <c r="D5" s="107">
        <v>42064</v>
      </c>
      <c r="E5" s="107">
        <v>42095</v>
      </c>
      <c r="F5" s="107">
        <v>42125</v>
      </c>
      <c r="G5" s="107">
        <v>42156</v>
      </c>
      <c r="H5" s="107">
        <v>42186</v>
      </c>
      <c r="I5" s="107">
        <v>42217</v>
      </c>
      <c r="J5" s="107">
        <v>42248</v>
      </c>
      <c r="K5" s="107">
        <v>42278</v>
      </c>
      <c r="L5" s="107">
        <v>42309</v>
      </c>
      <c r="M5" s="378">
        <v>42339</v>
      </c>
      <c r="N5" s="106">
        <v>42370</v>
      </c>
      <c r="O5" s="107">
        <v>42401</v>
      </c>
      <c r="P5" s="107">
        <v>42430</v>
      </c>
      <c r="Q5" s="107">
        <v>42461</v>
      </c>
      <c r="R5" s="107">
        <v>42491</v>
      </c>
      <c r="S5" s="107">
        <v>42522</v>
      </c>
      <c r="T5" s="107">
        <v>42552</v>
      </c>
      <c r="U5" s="107">
        <v>42583</v>
      </c>
      <c r="V5" s="107">
        <v>42614</v>
      </c>
      <c r="W5" s="107">
        <v>42644</v>
      </c>
      <c r="X5" s="107">
        <v>42675</v>
      </c>
      <c r="Y5" s="378">
        <v>42705</v>
      </c>
      <c r="Z5" s="106">
        <v>42736</v>
      </c>
      <c r="AA5" s="107">
        <v>42767</v>
      </c>
      <c r="AB5" s="107">
        <v>42795</v>
      </c>
      <c r="AC5" s="107">
        <v>42826</v>
      </c>
      <c r="AD5" s="107">
        <v>42856</v>
      </c>
      <c r="AE5" s="107">
        <v>42887</v>
      </c>
      <c r="AF5" s="107">
        <v>42917</v>
      </c>
      <c r="AG5" s="107">
        <v>42948</v>
      </c>
      <c r="AH5" s="107">
        <v>42979</v>
      </c>
      <c r="AI5" s="107">
        <v>43009</v>
      </c>
      <c r="AJ5" s="107">
        <v>43040</v>
      </c>
      <c r="AK5" s="378">
        <v>43070</v>
      </c>
      <c r="AL5" s="106">
        <v>43101</v>
      </c>
      <c r="AM5" s="107">
        <v>43132</v>
      </c>
      <c r="AN5" s="107">
        <v>43160</v>
      </c>
      <c r="AO5" s="107">
        <v>43191</v>
      </c>
      <c r="AP5" s="107">
        <v>43221</v>
      </c>
      <c r="AQ5" s="107">
        <v>43252</v>
      </c>
      <c r="AR5" s="107">
        <v>43282</v>
      </c>
      <c r="AS5" s="107">
        <v>43313</v>
      </c>
      <c r="AT5" s="107">
        <v>43344</v>
      </c>
      <c r="AU5" s="107">
        <v>43374</v>
      </c>
      <c r="AV5" s="107">
        <v>43405</v>
      </c>
      <c r="AW5" s="378">
        <v>43435</v>
      </c>
      <c r="AX5" s="106">
        <v>43466</v>
      </c>
      <c r="AY5" s="107">
        <v>43497</v>
      </c>
      <c r="AZ5" s="107">
        <v>43525</v>
      </c>
      <c r="BA5" s="107">
        <v>43556</v>
      </c>
      <c r="BB5" s="107">
        <v>43586</v>
      </c>
      <c r="BC5" s="107">
        <v>43617</v>
      </c>
      <c r="BD5" s="107">
        <v>43647</v>
      </c>
      <c r="BE5" s="107">
        <v>43678</v>
      </c>
      <c r="BF5" s="107">
        <v>43709</v>
      </c>
      <c r="BG5" s="107">
        <v>43739</v>
      </c>
      <c r="BH5" s="107">
        <v>43770</v>
      </c>
      <c r="BI5" s="378">
        <v>43800</v>
      </c>
      <c r="BJ5" s="106">
        <v>43831</v>
      </c>
      <c r="BK5" s="107">
        <v>43862</v>
      </c>
      <c r="BL5" s="107">
        <v>43891</v>
      </c>
      <c r="BM5" s="107">
        <v>43922</v>
      </c>
      <c r="BN5" s="107">
        <v>43952</v>
      </c>
      <c r="BO5" s="107">
        <v>43983</v>
      </c>
      <c r="BP5" s="107">
        <v>44013</v>
      </c>
      <c r="BQ5" s="107">
        <v>44044</v>
      </c>
      <c r="BR5" s="107">
        <v>44075</v>
      </c>
      <c r="BS5" s="107">
        <v>44105</v>
      </c>
      <c r="BT5" s="107">
        <v>44136</v>
      </c>
      <c r="BU5" s="378">
        <v>44166</v>
      </c>
      <c r="BW5" s="438" t="s">
        <v>96</v>
      </c>
      <c r="BX5" s="438" t="s">
        <v>97</v>
      </c>
      <c r="CB5" s="138"/>
    </row>
    <row r="6" spans="1:84" ht="15" customHeight="1" x14ac:dyDescent="0.25">
      <c r="A6" s="129"/>
      <c r="B6" s="164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6"/>
      <c r="N6" s="164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6"/>
      <c r="Z6" s="164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6"/>
      <c r="AL6" s="164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6"/>
      <c r="AX6" s="164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6"/>
      <c r="BJ6" s="164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6"/>
      <c r="BW6" s="176"/>
      <c r="BX6" s="439"/>
      <c r="CB6" s="138"/>
    </row>
    <row r="7" spans="1:84" ht="15" customHeight="1" x14ac:dyDescent="0.25">
      <c r="A7" s="141" t="s">
        <v>80</v>
      </c>
      <c r="B7" s="272">
        <f t="shared" ref="B7:BH7" si="0">SUM(B8:B9)</f>
        <v>1331884.79605</v>
      </c>
      <c r="C7" s="147">
        <f t="shared" si="0"/>
        <v>1337460.8428699998</v>
      </c>
      <c r="D7" s="147">
        <f t="shared" si="0"/>
        <v>1338794.4183100001</v>
      </c>
      <c r="E7" s="147">
        <f t="shared" si="0"/>
        <v>1354581.8498600002</v>
      </c>
      <c r="F7" s="147">
        <f t="shared" si="0"/>
        <v>1366719.7641500002</v>
      </c>
      <c r="G7" s="147">
        <f t="shared" si="0"/>
        <v>1340185.2851799999</v>
      </c>
      <c r="H7" s="147">
        <f t="shared" si="0"/>
        <v>1345560.88002</v>
      </c>
      <c r="I7" s="147">
        <f t="shared" si="0"/>
        <v>1356743.01027</v>
      </c>
      <c r="J7" s="147">
        <f t="shared" si="0"/>
        <v>1365018.9793799999</v>
      </c>
      <c r="K7" s="147">
        <f t="shared" si="0"/>
        <v>1374884.2522200001</v>
      </c>
      <c r="L7" s="147">
        <f t="shared" si="0"/>
        <v>1393980.1739300003</v>
      </c>
      <c r="M7" s="273">
        <f t="shared" si="0"/>
        <v>1401972.0554799996</v>
      </c>
      <c r="N7" s="272">
        <f t="shared" si="0"/>
        <v>1412727.15292</v>
      </c>
      <c r="O7" s="147">
        <f t="shared" si="0"/>
        <v>1411894.46884</v>
      </c>
      <c r="P7" s="147">
        <f t="shared" si="0"/>
        <v>1388654.60622</v>
      </c>
      <c r="Q7" s="147">
        <f t="shared" si="0"/>
        <v>1396484.87791</v>
      </c>
      <c r="R7" s="147">
        <f t="shared" si="0"/>
        <v>1423516.0393399999</v>
      </c>
      <c r="S7" s="147">
        <f t="shared" si="0"/>
        <v>1438717.4232600003</v>
      </c>
      <c r="T7" s="147">
        <f t="shared" si="0"/>
        <v>1446801.00502</v>
      </c>
      <c r="U7" s="147">
        <f t="shared" si="0"/>
        <v>1463860.4793199999</v>
      </c>
      <c r="V7" s="147">
        <f t="shared" si="0"/>
        <v>1499914.0080500001</v>
      </c>
      <c r="W7" s="147">
        <f t="shared" si="0"/>
        <v>1505134.0104400001</v>
      </c>
      <c r="X7" s="147">
        <f t="shared" si="0"/>
        <v>1531126.68814</v>
      </c>
      <c r="Y7" s="273">
        <f t="shared" si="0"/>
        <v>1535049.6166099997</v>
      </c>
      <c r="Z7" s="272">
        <f t="shared" si="0"/>
        <v>1529916.0507</v>
      </c>
      <c r="AA7" s="147">
        <f t="shared" si="0"/>
        <v>1552154.0433399999</v>
      </c>
      <c r="AB7" s="147">
        <f t="shared" si="0"/>
        <v>1558577.9121700004</v>
      </c>
      <c r="AC7" s="147">
        <f t="shared" si="0"/>
        <v>1559874.9852100001</v>
      </c>
      <c r="AD7" s="147">
        <f t="shared" si="0"/>
        <v>1564168.3966399999</v>
      </c>
      <c r="AE7" s="147">
        <f t="shared" si="0"/>
        <v>1542667.44413</v>
      </c>
      <c r="AF7" s="147">
        <f t="shared" si="0"/>
        <v>1549276.08045</v>
      </c>
      <c r="AG7" s="147">
        <f t="shared" si="0"/>
        <v>1554299.8806999999</v>
      </c>
      <c r="AH7" s="147">
        <f t="shared" si="0"/>
        <v>1565463.7631599996</v>
      </c>
      <c r="AI7" s="147">
        <f t="shared" si="0"/>
        <v>1576880.5677999998</v>
      </c>
      <c r="AJ7" s="147">
        <f t="shared" si="0"/>
        <v>1595266.0095100002</v>
      </c>
      <c r="AK7" s="273">
        <f t="shared" si="0"/>
        <v>1609083.8869300003</v>
      </c>
      <c r="AL7" s="272">
        <f t="shared" si="0"/>
        <v>1610434.5744700001</v>
      </c>
      <c r="AM7" s="147">
        <f t="shared" si="0"/>
        <v>1617851.94515</v>
      </c>
      <c r="AN7" s="147">
        <f t="shared" si="0"/>
        <v>1617116.2571900003</v>
      </c>
      <c r="AO7" s="147">
        <f t="shared" si="0"/>
        <v>1622420.0544100001</v>
      </c>
      <c r="AP7" s="147">
        <f t="shared" si="0"/>
        <v>1637646.3120700002</v>
      </c>
      <c r="AQ7" s="147">
        <f t="shared" si="0"/>
        <v>1641886.0130899996</v>
      </c>
      <c r="AR7" s="147">
        <f t="shared" si="0"/>
        <v>1652060.3360099997</v>
      </c>
      <c r="AS7" s="147">
        <f t="shared" si="0"/>
        <v>1665282.5425600002</v>
      </c>
      <c r="AT7" s="147">
        <f t="shared" si="0"/>
        <v>1674706.5479099997</v>
      </c>
      <c r="AU7" s="147">
        <f t="shared" si="0"/>
        <v>1686394.48575</v>
      </c>
      <c r="AV7" s="147">
        <f t="shared" si="0"/>
        <v>1712176.4299900001</v>
      </c>
      <c r="AW7" s="273">
        <f t="shared" si="0"/>
        <v>1715579.3356299999</v>
      </c>
      <c r="AX7" s="272">
        <f t="shared" si="0"/>
        <v>1720063.5400000005</v>
      </c>
      <c r="AY7" s="147">
        <f t="shared" si="0"/>
        <v>1720732.6749999998</v>
      </c>
      <c r="AZ7" s="147">
        <f t="shared" si="0"/>
        <v>1724059.6478600001</v>
      </c>
      <c r="BA7" s="147">
        <f t="shared" si="0"/>
        <v>1721632.4040399999</v>
      </c>
      <c r="BB7" s="147">
        <f t="shared" si="0"/>
        <v>1723798.7549400001</v>
      </c>
      <c r="BC7" s="147">
        <f t="shared" si="0"/>
        <v>1711830.7120700001</v>
      </c>
      <c r="BD7" s="147">
        <f t="shared" si="0"/>
        <v>1707737.1547100004</v>
      </c>
      <c r="BE7" s="147">
        <f t="shared" si="0"/>
        <v>1717363.9165799995</v>
      </c>
      <c r="BF7" s="147">
        <f t="shared" si="0"/>
        <v>1730587.4694399999</v>
      </c>
      <c r="BG7" s="147">
        <f t="shared" si="0"/>
        <v>1739840.10497</v>
      </c>
      <c r="BH7" s="147">
        <f t="shared" si="0"/>
        <v>1746125.6440600003</v>
      </c>
      <c r="BI7" s="273">
        <f t="shared" ref="BI7:BU7" si="1">SUM(BI8:BI9)</f>
        <v>1755470.1658599998</v>
      </c>
      <c r="BJ7" s="272">
        <f t="shared" si="1"/>
        <v>1701216.57904</v>
      </c>
      <c r="BK7" s="147">
        <f t="shared" si="1"/>
        <v>1710793.7912699999</v>
      </c>
      <c r="BL7" s="147">
        <f t="shared" si="1"/>
        <v>1688965.7319899998</v>
      </c>
      <c r="BM7" s="147">
        <f t="shared" si="1"/>
        <v>1662329.4111800001</v>
      </c>
      <c r="BN7" s="147">
        <f t="shared" si="1"/>
        <v>1712915</v>
      </c>
      <c r="BO7" s="147">
        <f t="shared" si="1"/>
        <v>1738432</v>
      </c>
      <c r="BP7" s="147">
        <f t="shared" si="1"/>
        <v>1791860.5506799999</v>
      </c>
      <c r="BQ7" s="147">
        <f t="shared" si="1"/>
        <v>1854809.5377499999</v>
      </c>
      <c r="BR7" s="147">
        <f t="shared" si="1"/>
        <v>1865734</v>
      </c>
      <c r="BS7" s="147">
        <f t="shared" si="1"/>
        <v>1886668</v>
      </c>
      <c r="BT7" s="147">
        <f t="shared" si="1"/>
        <v>1903618</v>
      </c>
      <c r="BU7" s="273">
        <f t="shared" si="1"/>
        <v>1906887</v>
      </c>
      <c r="BV7" s="111"/>
      <c r="BW7" s="179">
        <f>IFERROR(((BU7/BT7)-1)*100,"-")</f>
        <v>0.17172562982699091</v>
      </c>
      <c r="BX7" s="179">
        <f>IFERROR(((BU7/BI7)-1)*100,"-")</f>
        <v>8.6254290779029787</v>
      </c>
      <c r="BY7" s="215"/>
      <c r="BZ7" s="419">
        <f>IFERROR(+BJ7/$BJ$7,"-")</f>
        <v>1</v>
      </c>
      <c r="CA7" s="215"/>
      <c r="CB7" s="141" t="s">
        <v>0</v>
      </c>
      <c r="CC7" s="215"/>
      <c r="CD7" s="215"/>
      <c r="CE7" s="215"/>
      <c r="CF7" s="215"/>
    </row>
    <row r="8" spans="1:84" ht="15" customHeight="1" x14ac:dyDescent="0.25">
      <c r="A8" s="402" t="s">
        <v>518</v>
      </c>
      <c r="B8" s="162">
        <v>1174765.9763800001</v>
      </c>
      <c r="C8" s="151">
        <v>1184772.8999099999</v>
      </c>
      <c r="D8" s="151">
        <v>1195769.0218</v>
      </c>
      <c r="E8" s="151">
        <v>1213729.3524800001</v>
      </c>
      <c r="F8" s="151">
        <v>1226180.4421300001</v>
      </c>
      <c r="G8" s="151">
        <v>1205128.9387099999</v>
      </c>
      <c r="H8" s="151">
        <v>1215087.30143</v>
      </c>
      <c r="I8" s="151">
        <v>1227444.2780200001</v>
      </c>
      <c r="J8" s="151">
        <v>1245531.3664199999</v>
      </c>
      <c r="K8" s="151">
        <v>1253889.0070200001</v>
      </c>
      <c r="L8" s="151">
        <v>1271858.9036700004</v>
      </c>
      <c r="M8" s="241">
        <v>1279330.9974199997</v>
      </c>
      <c r="N8" s="162">
        <v>1293783.0348700001</v>
      </c>
      <c r="O8" s="151">
        <v>1301139.47374</v>
      </c>
      <c r="P8" s="151">
        <v>1289401.87234</v>
      </c>
      <c r="Q8" s="151">
        <v>1302611.18175</v>
      </c>
      <c r="R8" s="151">
        <v>1325016.45789</v>
      </c>
      <c r="S8" s="151">
        <v>1338698.4451400002</v>
      </c>
      <c r="T8" s="151">
        <v>1346153.3336800002</v>
      </c>
      <c r="U8" s="151">
        <v>1359460.6379799999</v>
      </c>
      <c r="V8" s="151">
        <v>1386944.01697</v>
      </c>
      <c r="W8" s="151">
        <v>1395850.22215</v>
      </c>
      <c r="X8" s="151">
        <v>1419317.86259</v>
      </c>
      <c r="Y8" s="241">
        <v>1429323.1630999998</v>
      </c>
      <c r="Z8" s="162">
        <v>1428484.1706900001</v>
      </c>
      <c r="AA8" s="151">
        <v>1452503.8087399998</v>
      </c>
      <c r="AB8" s="151">
        <v>1457376.2901700004</v>
      </c>
      <c r="AC8" s="151">
        <v>1458620.0097700001</v>
      </c>
      <c r="AD8" s="151">
        <v>1462278.7559099998</v>
      </c>
      <c r="AE8" s="151">
        <v>1449807.75358</v>
      </c>
      <c r="AF8" s="151">
        <v>1459462.8893299999</v>
      </c>
      <c r="AG8" s="151">
        <v>1468949.5232299999</v>
      </c>
      <c r="AH8" s="151">
        <v>1480920.0177599997</v>
      </c>
      <c r="AI8" s="151">
        <v>1492626.5528199999</v>
      </c>
      <c r="AJ8" s="151">
        <v>1507075.5881400001</v>
      </c>
      <c r="AK8" s="241">
        <v>1518927.4378500003</v>
      </c>
      <c r="AL8" s="162">
        <v>1519065.3090700002</v>
      </c>
      <c r="AM8" s="151">
        <v>1525662.4321699999</v>
      </c>
      <c r="AN8" s="151">
        <v>1521279.6490500004</v>
      </c>
      <c r="AO8" s="151">
        <v>1525655.1145900001</v>
      </c>
      <c r="AP8" s="151">
        <v>1545322.0243300002</v>
      </c>
      <c r="AQ8" s="151">
        <v>1550845.9514899997</v>
      </c>
      <c r="AR8" s="151">
        <v>1552804.5874199998</v>
      </c>
      <c r="AS8" s="151">
        <v>1560849.1894700001</v>
      </c>
      <c r="AT8" s="151">
        <v>1573505.6940499998</v>
      </c>
      <c r="AU8" s="151">
        <v>1581502.6170099999</v>
      </c>
      <c r="AV8" s="151">
        <v>1605462.6122400002</v>
      </c>
      <c r="AW8" s="241">
        <v>1610770.7340099998</v>
      </c>
      <c r="AX8" s="162">
        <v>1608437.3568300004</v>
      </c>
      <c r="AY8" s="151">
        <v>1612012.0505799998</v>
      </c>
      <c r="AZ8" s="151">
        <v>1618897.0282200002</v>
      </c>
      <c r="BA8" s="151">
        <v>1620001.1515199998</v>
      </c>
      <c r="BB8" s="151">
        <v>1623414.97068</v>
      </c>
      <c r="BC8" s="151">
        <v>1619552.0347800001</v>
      </c>
      <c r="BD8" s="151">
        <v>1620636.8232700003</v>
      </c>
      <c r="BE8" s="151">
        <v>1632798.6747899996</v>
      </c>
      <c r="BF8" s="151">
        <v>1636968.33436</v>
      </c>
      <c r="BG8" s="151">
        <v>1648705.08335</v>
      </c>
      <c r="BH8" s="151">
        <v>1656962.8480900002</v>
      </c>
      <c r="BI8" s="241">
        <v>1664018.9139699999</v>
      </c>
      <c r="BJ8" s="162">
        <v>1648756.83445</v>
      </c>
      <c r="BK8" s="151">
        <v>1657061.1390199999</v>
      </c>
      <c r="BL8" s="151">
        <v>1637214.1831999999</v>
      </c>
      <c r="BM8" s="151">
        <v>1615812.2185800001</v>
      </c>
      <c r="BN8" s="151">
        <v>1668475</v>
      </c>
      <c r="BO8" s="151">
        <v>1692543.5</v>
      </c>
      <c r="BP8" s="151">
        <v>1750050.64163</v>
      </c>
      <c r="BQ8" s="151">
        <v>1814065.3780699999</v>
      </c>
      <c r="BR8" s="151">
        <v>1823706.5</v>
      </c>
      <c r="BS8" s="151">
        <v>1845120</v>
      </c>
      <c r="BT8" s="151">
        <v>1864832</v>
      </c>
      <c r="BU8" s="241">
        <v>1871660.5</v>
      </c>
      <c r="BW8" s="184">
        <f t="shared" ref="BW8:BW50" si="2">IFERROR(((BU8/BT8)-1)*100,"-")</f>
        <v>0.36617239515408517</v>
      </c>
      <c r="BX8" s="184">
        <f t="shared" ref="BX8:BX50" si="3">IFERROR(((BU8/BI8)-1)*100,"-")</f>
        <v>12.478318863252035</v>
      </c>
      <c r="BZ8" s="208">
        <f t="shared" ref="BZ8:BZ50" si="4">IFERROR(+BJ8/$BJ$7,"-")</f>
        <v>0.969163394457628</v>
      </c>
      <c r="CB8" s="138" t="s">
        <v>588</v>
      </c>
    </row>
    <row r="9" spans="1:84" ht="15" customHeight="1" x14ac:dyDescent="0.25">
      <c r="A9" s="402" t="s">
        <v>519</v>
      </c>
      <c r="B9" s="162">
        <v>157118.81966999997</v>
      </c>
      <c r="C9" s="151">
        <v>152687.94295999999</v>
      </c>
      <c r="D9" s="151">
        <v>143025.39651000002</v>
      </c>
      <c r="E9" s="151">
        <v>140852.49738000002</v>
      </c>
      <c r="F9" s="151">
        <v>140539.32201999999</v>
      </c>
      <c r="G9" s="151">
        <v>135056.34646999999</v>
      </c>
      <c r="H9" s="151">
        <v>130473.57858999999</v>
      </c>
      <c r="I9" s="151">
        <v>129298.73225</v>
      </c>
      <c r="J9" s="151">
        <v>119487.61296</v>
      </c>
      <c r="K9" s="151">
        <v>120995.2452</v>
      </c>
      <c r="L9" s="151">
        <v>122121.27025999999</v>
      </c>
      <c r="M9" s="241">
        <v>122641.05805999998</v>
      </c>
      <c r="N9" s="162">
        <v>118944.11804999999</v>
      </c>
      <c r="O9" s="151">
        <v>110754.9951</v>
      </c>
      <c r="P9" s="151">
        <v>99252.733880000014</v>
      </c>
      <c r="Q9" s="151">
        <v>93873.696159999992</v>
      </c>
      <c r="R9" s="151">
        <v>98499.581449999998</v>
      </c>
      <c r="S9" s="151">
        <v>100018.97812000003</v>
      </c>
      <c r="T9" s="151">
        <v>100647.67134</v>
      </c>
      <c r="U9" s="151">
        <v>104399.84134</v>
      </c>
      <c r="V9" s="151">
        <v>112969.99108000002</v>
      </c>
      <c r="W9" s="151">
        <v>109283.78829</v>
      </c>
      <c r="X9" s="151">
        <v>111808.82555000001</v>
      </c>
      <c r="Y9" s="241">
        <v>105726.45350999999</v>
      </c>
      <c r="Z9" s="162">
        <v>101431.88001000002</v>
      </c>
      <c r="AA9" s="151">
        <v>99650.234599999982</v>
      </c>
      <c r="AB9" s="151">
        <v>101201.622</v>
      </c>
      <c r="AC9" s="151">
        <v>101254.97544000002</v>
      </c>
      <c r="AD9" s="151">
        <v>101889.64073000003</v>
      </c>
      <c r="AE9" s="151">
        <v>92859.690550000014</v>
      </c>
      <c r="AF9" s="151">
        <v>89813.191119999989</v>
      </c>
      <c r="AG9" s="151">
        <v>85350.357470000017</v>
      </c>
      <c r="AH9" s="151">
        <v>84543.7454</v>
      </c>
      <c r="AI9" s="151">
        <v>84254.014979999993</v>
      </c>
      <c r="AJ9" s="151">
        <v>88190.421369999996</v>
      </c>
      <c r="AK9" s="241">
        <v>90156.449080000006</v>
      </c>
      <c r="AL9" s="162">
        <v>91369.265399999989</v>
      </c>
      <c r="AM9" s="151">
        <v>92189.512980000014</v>
      </c>
      <c r="AN9" s="151">
        <v>95836.608139999997</v>
      </c>
      <c r="AO9" s="151">
        <v>96764.93982</v>
      </c>
      <c r="AP9" s="151">
        <v>92324.28774</v>
      </c>
      <c r="AQ9" s="151">
        <v>91040.061600000001</v>
      </c>
      <c r="AR9" s="151">
        <v>99255.748590000003</v>
      </c>
      <c r="AS9" s="151">
        <v>104433.35309000002</v>
      </c>
      <c r="AT9" s="151">
        <v>101200.85386</v>
      </c>
      <c r="AU9" s="151">
        <v>104891.86874000001</v>
      </c>
      <c r="AV9" s="151">
        <v>106713.81775</v>
      </c>
      <c r="AW9" s="241">
        <v>104808.60162000002</v>
      </c>
      <c r="AX9" s="162">
        <v>111626.18317000002</v>
      </c>
      <c r="AY9" s="151">
        <v>108720.62441999999</v>
      </c>
      <c r="AZ9" s="151">
        <v>105162.61964</v>
      </c>
      <c r="BA9" s="151">
        <v>101631.25251999998</v>
      </c>
      <c r="BB9" s="151">
        <v>100383.78426</v>
      </c>
      <c r="BC9" s="151">
        <v>92278.677290000021</v>
      </c>
      <c r="BD9" s="151">
        <v>87100.331439999994</v>
      </c>
      <c r="BE9" s="151">
        <v>84565.24179</v>
      </c>
      <c r="BF9" s="151">
        <v>93619.135079999993</v>
      </c>
      <c r="BG9" s="151">
        <v>91135.02162</v>
      </c>
      <c r="BH9" s="151">
        <v>89162.795970000006</v>
      </c>
      <c r="BI9" s="241">
        <v>91451.25189</v>
      </c>
      <c r="BJ9" s="162">
        <v>52459.744589999995</v>
      </c>
      <c r="BK9" s="151">
        <v>53732.652249999999</v>
      </c>
      <c r="BL9" s="151">
        <v>51751.548790000008</v>
      </c>
      <c r="BM9" s="151">
        <v>46517.192600000009</v>
      </c>
      <c r="BN9" s="151">
        <v>44440</v>
      </c>
      <c r="BO9" s="151">
        <v>45888.5</v>
      </c>
      <c r="BP9" s="151">
        <v>41809.909050000009</v>
      </c>
      <c r="BQ9" s="151">
        <v>40744.159679999997</v>
      </c>
      <c r="BR9" s="151">
        <v>42027.5</v>
      </c>
      <c r="BS9" s="151">
        <v>41548</v>
      </c>
      <c r="BT9" s="151">
        <v>38786</v>
      </c>
      <c r="BU9" s="241">
        <v>35226.5</v>
      </c>
      <c r="BW9" s="184">
        <f t="shared" si="2"/>
        <v>-9.1772804620223738</v>
      </c>
      <c r="BX9" s="184">
        <f t="shared" si="3"/>
        <v>-61.480571045247835</v>
      </c>
      <c r="BZ9" s="208">
        <f t="shared" si="4"/>
        <v>3.0836605542371998E-2</v>
      </c>
      <c r="CB9" s="138" t="s">
        <v>589</v>
      </c>
    </row>
    <row r="10" spans="1:84" ht="15" customHeight="1" x14ac:dyDescent="0.25">
      <c r="A10" s="138"/>
      <c r="B10" s="162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241"/>
      <c r="N10" s="162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241"/>
      <c r="Z10" s="162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241"/>
      <c r="AL10" s="162"/>
      <c r="AM10" s="151"/>
      <c r="AN10" s="151"/>
      <c r="AO10" s="151"/>
      <c r="AP10" s="151"/>
      <c r="AQ10" s="151"/>
      <c r="AR10" s="151"/>
      <c r="AS10" s="151"/>
      <c r="AT10" s="151"/>
      <c r="AU10" s="151"/>
      <c r="AV10" s="151"/>
      <c r="AW10" s="241"/>
      <c r="AX10" s="162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241"/>
      <c r="BJ10" s="162"/>
      <c r="BK10" s="151"/>
      <c r="BL10" s="151"/>
      <c r="BM10" s="151"/>
      <c r="BN10" s="151"/>
      <c r="BO10" s="151"/>
      <c r="BP10" s="151"/>
      <c r="BQ10" s="151"/>
      <c r="BR10" s="151"/>
      <c r="BS10" s="151"/>
      <c r="BT10" s="151"/>
      <c r="BU10" s="241"/>
      <c r="BW10" s="179"/>
      <c r="BX10" s="179"/>
      <c r="BZ10" s="208"/>
      <c r="CB10" s="138"/>
    </row>
    <row r="11" spans="1:84" ht="15" customHeight="1" x14ac:dyDescent="0.25">
      <c r="A11" s="141" t="s">
        <v>270</v>
      </c>
      <c r="B11" s="272">
        <f t="shared" ref="B11:AR11" si="5">SUM(B12:B21)</f>
        <v>905387.02239000006</v>
      </c>
      <c r="C11" s="147">
        <f t="shared" si="5"/>
        <v>909267.05101000017</v>
      </c>
      <c r="D11" s="147">
        <f t="shared" si="5"/>
        <v>927227.48684999999</v>
      </c>
      <c r="E11" s="147">
        <f t="shared" si="5"/>
        <v>941038.1010599999</v>
      </c>
      <c r="F11" s="147">
        <f t="shared" si="5"/>
        <v>948745.25670000003</v>
      </c>
      <c r="G11" s="147">
        <f t="shared" si="5"/>
        <v>953040.66174000013</v>
      </c>
      <c r="H11" s="147">
        <f t="shared" si="5"/>
        <v>955309.77305000008</v>
      </c>
      <c r="I11" s="147">
        <f t="shared" si="5"/>
        <v>963503.98560999986</v>
      </c>
      <c r="J11" s="147">
        <f t="shared" si="5"/>
        <v>967415.61748999998</v>
      </c>
      <c r="K11" s="147">
        <f t="shared" si="5"/>
        <v>971687.50287999993</v>
      </c>
      <c r="L11" s="147">
        <f t="shared" si="5"/>
        <v>985769.25417000009</v>
      </c>
      <c r="M11" s="273">
        <f t="shared" si="5"/>
        <v>989007.68365000014</v>
      </c>
      <c r="N11" s="272">
        <f t="shared" si="5"/>
        <v>995674.57793000014</v>
      </c>
      <c r="O11" s="147">
        <f t="shared" si="5"/>
        <v>989401.9672800001</v>
      </c>
      <c r="P11" s="147">
        <f t="shared" si="5"/>
        <v>966875.02953000006</v>
      </c>
      <c r="Q11" s="147">
        <f t="shared" si="5"/>
        <v>968027.37652000005</v>
      </c>
      <c r="R11" s="147">
        <f t="shared" si="5"/>
        <v>987083.5152299999</v>
      </c>
      <c r="S11" s="147">
        <f t="shared" si="5"/>
        <v>995334.85727000004</v>
      </c>
      <c r="T11" s="147">
        <f t="shared" si="5"/>
        <v>1002470.9242700001</v>
      </c>
      <c r="U11" s="147">
        <f t="shared" si="5"/>
        <v>1015256.0914899998</v>
      </c>
      <c r="V11" s="147">
        <f t="shared" si="5"/>
        <v>1045912.1276199999</v>
      </c>
      <c r="W11" s="147">
        <f t="shared" si="5"/>
        <v>1045445.3688699999</v>
      </c>
      <c r="X11" s="147">
        <f t="shared" si="5"/>
        <v>1060781.6405100001</v>
      </c>
      <c r="Y11" s="273">
        <f t="shared" si="5"/>
        <v>1056524.9820800002</v>
      </c>
      <c r="Z11" s="272">
        <f t="shared" si="5"/>
        <v>1045341.37665</v>
      </c>
      <c r="AA11" s="147">
        <f t="shared" si="5"/>
        <v>1062906.9927999999</v>
      </c>
      <c r="AB11" s="147">
        <f t="shared" si="5"/>
        <v>1066609.91548</v>
      </c>
      <c r="AC11" s="147">
        <f t="shared" si="5"/>
        <v>1062279.7923099999</v>
      </c>
      <c r="AD11" s="147">
        <f t="shared" si="5"/>
        <v>1060382.7259499996</v>
      </c>
      <c r="AE11" s="147">
        <f t="shared" si="5"/>
        <v>1053330.8324800001</v>
      </c>
      <c r="AF11" s="147">
        <f t="shared" si="5"/>
        <v>1063493.7966099998</v>
      </c>
      <c r="AG11" s="147">
        <f t="shared" si="5"/>
        <v>1058472.89341</v>
      </c>
      <c r="AH11" s="147">
        <f t="shared" si="5"/>
        <v>1065179.69202</v>
      </c>
      <c r="AI11" s="147">
        <f t="shared" si="5"/>
        <v>1058567.2791800001</v>
      </c>
      <c r="AJ11" s="147">
        <f t="shared" si="5"/>
        <v>1068525.4253</v>
      </c>
      <c r="AK11" s="273">
        <f t="shared" si="5"/>
        <v>1076368.1301799999</v>
      </c>
      <c r="AL11" s="272">
        <f t="shared" si="5"/>
        <v>1073065.7860099999</v>
      </c>
      <c r="AM11" s="147">
        <f t="shared" si="5"/>
        <v>1071572.7919299998</v>
      </c>
      <c r="AN11" s="147">
        <f t="shared" si="5"/>
        <v>1071278.8717999998</v>
      </c>
      <c r="AO11" s="147">
        <f t="shared" si="5"/>
        <v>1072028.96111</v>
      </c>
      <c r="AP11" s="147">
        <f t="shared" si="5"/>
        <v>1084790.8703499998</v>
      </c>
      <c r="AQ11" s="147">
        <f t="shared" si="5"/>
        <v>1088880.9504200001</v>
      </c>
      <c r="AR11" s="147">
        <f t="shared" si="5"/>
        <v>1096259.0343599999</v>
      </c>
      <c r="AS11" s="147">
        <f t="shared" ref="AS11:BU11" si="6">SUM(AS12:AS21)</f>
        <v>1101634.1855200001</v>
      </c>
      <c r="AT11" s="147">
        <f t="shared" si="6"/>
        <v>1102092.4735099999</v>
      </c>
      <c r="AU11" s="147">
        <f t="shared" si="6"/>
        <v>1108558.2938399999</v>
      </c>
      <c r="AV11" s="147">
        <f t="shared" si="6"/>
        <v>1126832.3285000003</v>
      </c>
      <c r="AW11" s="273">
        <f t="shared" si="6"/>
        <v>1123273.1734300002</v>
      </c>
      <c r="AX11" s="272">
        <f t="shared" si="6"/>
        <v>1124427.3780699996</v>
      </c>
      <c r="AY11" s="147">
        <f t="shared" si="6"/>
        <v>1119570.2490000003</v>
      </c>
      <c r="AZ11" s="147">
        <f t="shared" si="6"/>
        <v>1121621.9703899999</v>
      </c>
      <c r="BA11" s="147">
        <f t="shared" si="6"/>
        <v>1114350.3521100003</v>
      </c>
      <c r="BB11" s="147">
        <f t="shared" si="6"/>
        <v>1124153.6439399999</v>
      </c>
      <c r="BC11" s="147">
        <f t="shared" si="6"/>
        <v>1112627.4293099998</v>
      </c>
      <c r="BD11" s="147">
        <f t="shared" si="6"/>
        <v>1105704.3507500002</v>
      </c>
      <c r="BE11" s="147">
        <f t="shared" si="6"/>
        <v>1108303.7788099998</v>
      </c>
      <c r="BF11" s="147">
        <f t="shared" si="6"/>
        <v>1118311.9192900001</v>
      </c>
      <c r="BG11" s="147">
        <f t="shared" si="6"/>
        <v>1119029.6519500001</v>
      </c>
      <c r="BH11" s="147">
        <f t="shared" si="6"/>
        <v>1122473.9458699999</v>
      </c>
      <c r="BI11" s="273">
        <f t="shared" si="6"/>
        <v>1125651.6653200001</v>
      </c>
      <c r="BJ11" s="272">
        <f t="shared" si="6"/>
        <v>1060622.5441999999</v>
      </c>
      <c r="BK11" s="147">
        <f t="shared" si="6"/>
        <v>1063544.5</v>
      </c>
      <c r="BL11" s="147">
        <f t="shared" si="6"/>
        <v>1046622</v>
      </c>
      <c r="BM11" s="147">
        <f t="shared" si="6"/>
        <v>1030433.5</v>
      </c>
      <c r="BN11" s="147">
        <f t="shared" si="6"/>
        <v>1089858.5</v>
      </c>
      <c r="BO11" s="147">
        <f t="shared" si="6"/>
        <v>1115792.8</v>
      </c>
      <c r="BP11" s="147">
        <f t="shared" si="6"/>
        <v>1164391.8</v>
      </c>
      <c r="BQ11" s="147">
        <f t="shared" si="6"/>
        <v>1192831.8</v>
      </c>
      <c r="BR11" s="147">
        <f t="shared" si="6"/>
        <v>1225666</v>
      </c>
      <c r="BS11" s="147">
        <f t="shared" si="6"/>
        <v>1239499.8</v>
      </c>
      <c r="BT11" s="147">
        <f t="shared" si="6"/>
        <v>1248437</v>
      </c>
      <c r="BU11" s="273">
        <f t="shared" si="6"/>
        <v>1248795.8</v>
      </c>
      <c r="BV11" s="110"/>
      <c r="BW11" s="179">
        <f t="shared" si="2"/>
        <v>2.8739936416499745E-2</v>
      </c>
      <c r="BX11" s="179">
        <f t="shared" si="3"/>
        <v>10.939808332712996</v>
      </c>
      <c r="BY11" s="125"/>
      <c r="BZ11" s="418">
        <f t="shared" si="4"/>
        <v>0.62344945215529901</v>
      </c>
      <c r="CB11" s="138" t="s">
        <v>270</v>
      </c>
    </row>
    <row r="12" spans="1:84" ht="15" customHeight="1" x14ac:dyDescent="0.25">
      <c r="A12" s="402" t="s">
        <v>520</v>
      </c>
      <c r="B12" s="162">
        <v>297219.68447000004</v>
      </c>
      <c r="C12" s="151">
        <v>300596.93456000002</v>
      </c>
      <c r="D12" s="151">
        <v>299206.33493000001</v>
      </c>
      <c r="E12" s="151">
        <v>308684.96376999997</v>
      </c>
      <c r="F12" s="151">
        <v>310281.57367999997</v>
      </c>
      <c r="G12" s="151">
        <v>309876.37927999999</v>
      </c>
      <c r="H12" s="151">
        <v>310377.37579000002</v>
      </c>
      <c r="I12" s="151">
        <v>308777.01029999997</v>
      </c>
      <c r="J12" s="151">
        <v>310039.54936</v>
      </c>
      <c r="K12" s="151">
        <v>306730.98228</v>
      </c>
      <c r="L12" s="151">
        <v>301690.07140000002</v>
      </c>
      <c r="M12" s="241">
        <v>297947.70822000003</v>
      </c>
      <c r="N12" s="162">
        <v>298866.07571</v>
      </c>
      <c r="O12" s="151">
        <v>300759.65509999997</v>
      </c>
      <c r="P12" s="151">
        <v>290290.44523000001</v>
      </c>
      <c r="Q12" s="151">
        <v>289241.68098</v>
      </c>
      <c r="R12" s="151">
        <v>297283.95736</v>
      </c>
      <c r="S12" s="151">
        <v>301069.75835000002</v>
      </c>
      <c r="T12" s="151">
        <v>302614.84896999999</v>
      </c>
      <c r="U12" s="151">
        <v>303192.76644999994</v>
      </c>
      <c r="V12" s="151">
        <v>309306.39750999998</v>
      </c>
      <c r="W12" s="151">
        <v>308363.47038999997</v>
      </c>
      <c r="X12" s="151">
        <v>310427.18404000002</v>
      </c>
      <c r="Y12" s="241">
        <v>305684.22703000001</v>
      </c>
      <c r="Z12" s="162">
        <v>304734.95017999999</v>
      </c>
      <c r="AA12" s="151">
        <v>306663.27119999996</v>
      </c>
      <c r="AB12" s="151">
        <v>307364.86849999998</v>
      </c>
      <c r="AC12" s="151">
        <v>306953.94146</v>
      </c>
      <c r="AD12" s="151">
        <v>302349.98364999995</v>
      </c>
      <c r="AE12" s="151">
        <v>294450.45928000001</v>
      </c>
      <c r="AF12" s="151">
        <v>304315.24927999999</v>
      </c>
      <c r="AG12" s="151">
        <v>304265.86348</v>
      </c>
      <c r="AH12" s="151">
        <v>305065.81703999999</v>
      </c>
      <c r="AI12" s="151">
        <v>301276.41647000005</v>
      </c>
      <c r="AJ12" s="151">
        <v>305303.45480000001</v>
      </c>
      <c r="AK12" s="241">
        <v>305798.78341999993</v>
      </c>
      <c r="AL12" s="162">
        <v>302148.22948000004</v>
      </c>
      <c r="AM12" s="151">
        <v>300226.11121</v>
      </c>
      <c r="AN12" s="151">
        <v>303844.79068000003</v>
      </c>
      <c r="AO12" s="151">
        <v>307345.22892000002</v>
      </c>
      <c r="AP12" s="151">
        <v>314260.59346999996</v>
      </c>
      <c r="AQ12" s="151">
        <v>316424.01023999997</v>
      </c>
      <c r="AR12" s="151">
        <v>321373.26564999996</v>
      </c>
      <c r="AS12" s="151">
        <v>318519.03726000001</v>
      </c>
      <c r="AT12" s="151">
        <v>316881.29006999999</v>
      </c>
      <c r="AU12" s="151">
        <v>320515.25870000001</v>
      </c>
      <c r="AV12" s="151">
        <v>322893.27095999999</v>
      </c>
      <c r="AW12" s="241">
        <v>319543.22207999998</v>
      </c>
      <c r="AX12" s="162">
        <v>316578.69201999996</v>
      </c>
      <c r="AY12" s="151">
        <v>317173.17995000002</v>
      </c>
      <c r="AZ12" s="151">
        <v>321222.77230000001</v>
      </c>
      <c r="BA12" s="151">
        <v>318156.51944</v>
      </c>
      <c r="BB12" s="151">
        <v>325817.02944000001</v>
      </c>
      <c r="BC12" s="151">
        <v>324915.00419000001</v>
      </c>
      <c r="BD12" s="151">
        <v>319929.93364</v>
      </c>
      <c r="BE12" s="151">
        <v>322119.57539999997</v>
      </c>
      <c r="BF12" s="151">
        <v>320665.84963000001</v>
      </c>
      <c r="BG12" s="151">
        <v>323049.16911999998</v>
      </c>
      <c r="BH12" s="151">
        <v>324581.09864000004</v>
      </c>
      <c r="BI12" s="241">
        <v>321891.16584000003</v>
      </c>
      <c r="BJ12" s="162">
        <v>257878.18873999998</v>
      </c>
      <c r="BK12" s="151">
        <v>261265.3</v>
      </c>
      <c r="BL12" s="151">
        <v>259395</v>
      </c>
      <c r="BM12" s="151">
        <v>259354.3</v>
      </c>
      <c r="BN12" s="151">
        <v>274815.40000000002</v>
      </c>
      <c r="BO12" s="151">
        <v>302979.40000000002</v>
      </c>
      <c r="BP12" s="151">
        <v>341034.4</v>
      </c>
      <c r="BQ12" s="151">
        <v>360864.4</v>
      </c>
      <c r="BR12" s="151">
        <v>375430.5</v>
      </c>
      <c r="BS12" s="151">
        <v>383505.4</v>
      </c>
      <c r="BT12" s="151">
        <v>389103</v>
      </c>
      <c r="BU12" s="241">
        <v>393994.4</v>
      </c>
      <c r="BW12" s="184">
        <f t="shared" si="2"/>
        <v>1.2570964500402182</v>
      </c>
      <c r="BX12" s="184">
        <f t="shared" si="3"/>
        <v>22.399879776706833</v>
      </c>
      <c r="BZ12" s="208">
        <f t="shared" si="4"/>
        <v>0.15158457301510733</v>
      </c>
      <c r="CB12" s="138"/>
    </row>
    <row r="13" spans="1:84" ht="15" customHeight="1" x14ac:dyDescent="0.25">
      <c r="A13" s="402" t="s">
        <v>488</v>
      </c>
      <c r="B13" s="162">
        <v>332154.82109000004</v>
      </c>
      <c r="C13" s="151">
        <v>331436.09789000003</v>
      </c>
      <c r="D13" s="151">
        <v>330793.07399999996</v>
      </c>
      <c r="E13" s="151">
        <v>330170.74249000003</v>
      </c>
      <c r="F13" s="151">
        <v>334737.81408999994</v>
      </c>
      <c r="G13" s="151">
        <v>337573.77407000004</v>
      </c>
      <c r="H13" s="151">
        <v>336118.56641000003</v>
      </c>
      <c r="I13" s="151">
        <v>342489.76455000002</v>
      </c>
      <c r="J13" s="151">
        <v>346152.16181999998</v>
      </c>
      <c r="K13" s="151">
        <v>349273.46228000004</v>
      </c>
      <c r="L13" s="151">
        <v>363435.59245</v>
      </c>
      <c r="M13" s="241">
        <v>365329.74288000003</v>
      </c>
      <c r="N13" s="162">
        <v>365278.59997000004</v>
      </c>
      <c r="O13" s="151">
        <v>359886.1962500001</v>
      </c>
      <c r="P13" s="151">
        <v>354062.93910999998</v>
      </c>
      <c r="Q13" s="151">
        <v>353519.16307000001</v>
      </c>
      <c r="R13" s="151">
        <v>359203.19267999998</v>
      </c>
      <c r="S13" s="151">
        <v>361768.8077</v>
      </c>
      <c r="T13" s="151">
        <v>365927.75988999999</v>
      </c>
      <c r="U13" s="151">
        <v>370160.20300000004</v>
      </c>
      <c r="V13" s="151">
        <v>377697.66819</v>
      </c>
      <c r="W13" s="151">
        <v>370042.84404</v>
      </c>
      <c r="X13" s="151">
        <v>375496.98391000001</v>
      </c>
      <c r="Y13" s="241">
        <v>373943.66932000004</v>
      </c>
      <c r="Z13" s="162">
        <v>363741.54119999998</v>
      </c>
      <c r="AA13" s="151">
        <v>361346.74005000002</v>
      </c>
      <c r="AB13" s="151">
        <v>359784.55649999995</v>
      </c>
      <c r="AC13" s="151">
        <v>353662.10533999995</v>
      </c>
      <c r="AD13" s="151">
        <v>354279.98475</v>
      </c>
      <c r="AE13" s="151">
        <v>356834.81982999999</v>
      </c>
      <c r="AF13" s="151">
        <v>351837.36953999999</v>
      </c>
      <c r="AG13" s="151">
        <v>352485.85330999998</v>
      </c>
      <c r="AH13" s="151">
        <v>360578.35135000001</v>
      </c>
      <c r="AI13" s="151">
        <v>358716.58930000005</v>
      </c>
      <c r="AJ13" s="151">
        <v>359813.49560000002</v>
      </c>
      <c r="AK13" s="241">
        <v>359435.41685999994</v>
      </c>
      <c r="AL13" s="162">
        <v>354616.32887999999</v>
      </c>
      <c r="AM13" s="151">
        <v>353953.61655999999</v>
      </c>
      <c r="AN13" s="151">
        <v>347123.1215699999</v>
      </c>
      <c r="AO13" s="151">
        <v>344467.70377999998</v>
      </c>
      <c r="AP13" s="151">
        <v>345704.08235000004</v>
      </c>
      <c r="AQ13" s="151">
        <v>343931.47847999999</v>
      </c>
      <c r="AR13" s="151">
        <v>344719.34874000004</v>
      </c>
      <c r="AS13" s="151">
        <v>344719.34874000004</v>
      </c>
      <c r="AT13" s="151">
        <v>350529.38514999999</v>
      </c>
      <c r="AU13" s="151">
        <v>354136.97375999996</v>
      </c>
      <c r="AV13" s="151">
        <v>358082.35447000002</v>
      </c>
      <c r="AW13" s="241">
        <v>358390.84440000006</v>
      </c>
      <c r="AX13" s="162">
        <v>352212.33559000003</v>
      </c>
      <c r="AY13" s="151">
        <v>345057.74583000003</v>
      </c>
      <c r="AZ13" s="151">
        <v>343971.31018999999</v>
      </c>
      <c r="BA13" s="151">
        <v>339663.12460000004</v>
      </c>
      <c r="BB13" s="151">
        <v>344034.46121999994</v>
      </c>
      <c r="BC13" s="151">
        <v>335851.33687</v>
      </c>
      <c r="BD13" s="151">
        <v>333977.96603999997</v>
      </c>
      <c r="BE13" s="151">
        <v>334873.28680999996</v>
      </c>
      <c r="BF13" s="151">
        <v>334618.66290000005</v>
      </c>
      <c r="BG13" s="151">
        <v>332704.86695</v>
      </c>
      <c r="BH13" s="151">
        <v>333081.17982000002</v>
      </c>
      <c r="BI13" s="241">
        <v>338547.91152000002</v>
      </c>
      <c r="BJ13" s="162">
        <v>337515.40905999998</v>
      </c>
      <c r="BK13" s="151">
        <v>333761.2</v>
      </c>
      <c r="BL13" s="151">
        <v>326931</v>
      </c>
      <c r="BM13" s="151">
        <v>316202.2</v>
      </c>
      <c r="BN13" s="151">
        <v>357758.1</v>
      </c>
      <c r="BO13" s="151">
        <v>352241.4</v>
      </c>
      <c r="BP13" s="151">
        <v>359054.4</v>
      </c>
      <c r="BQ13" s="151">
        <v>356663.4</v>
      </c>
      <c r="BR13" s="151">
        <v>370991.5</v>
      </c>
      <c r="BS13" s="151">
        <v>372107.4</v>
      </c>
      <c r="BT13" s="151">
        <v>373389</v>
      </c>
      <c r="BU13" s="241">
        <v>372281.4</v>
      </c>
      <c r="BW13" s="184">
        <f t="shared" si="2"/>
        <v>-0.29663434112948694</v>
      </c>
      <c r="BX13" s="184">
        <f t="shared" si="3"/>
        <v>9.9641697178235678</v>
      </c>
      <c r="BZ13" s="208">
        <f t="shared" si="4"/>
        <v>0.19839649649456192</v>
      </c>
      <c r="CB13" s="138"/>
      <c r="CD13" s="129" t="s">
        <v>616</v>
      </c>
      <c r="CE13" s="435">
        <f>BZ13</f>
        <v>0.19839649649456192</v>
      </c>
    </row>
    <row r="14" spans="1:84" ht="15" customHeight="1" x14ac:dyDescent="0.25">
      <c r="A14" s="402" t="s">
        <v>489</v>
      </c>
      <c r="B14" s="162">
        <v>54544.227740000002</v>
      </c>
      <c r="C14" s="151">
        <v>55287.161070000002</v>
      </c>
      <c r="D14" s="151">
        <v>55769.363960000002</v>
      </c>
      <c r="E14" s="151">
        <v>56298.711179999998</v>
      </c>
      <c r="F14" s="151">
        <v>55314.282960000004</v>
      </c>
      <c r="G14" s="151">
        <v>55435.338830000001</v>
      </c>
      <c r="H14" s="151">
        <v>57805.613700000002</v>
      </c>
      <c r="I14" s="151">
        <v>59407.982659999994</v>
      </c>
      <c r="J14" s="151">
        <v>59705.677189999995</v>
      </c>
      <c r="K14" s="151">
        <v>60400.326869999997</v>
      </c>
      <c r="L14" s="151">
        <v>61511.273299999993</v>
      </c>
      <c r="M14" s="241">
        <v>62108.879280000001</v>
      </c>
      <c r="N14" s="162">
        <v>62978.819649999998</v>
      </c>
      <c r="O14" s="151">
        <v>63144.637280000003</v>
      </c>
      <c r="P14" s="151">
        <v>62562.433149999997</v>
      </c>
      <c r="Q14" s="151">
        <v>67259.698759999999</v>
      </c>
      <c r="R14" s="151">
        <v>68884.37681999999</v>
      </c>
      <c r="S14" s="151">
        <v>70099.295969999992</v>
      </c>
      <c r="T14" s="151">
        <v>70924.945959999997</v>
      </c>
      <c r="U14" s="151">
        <v>74404.35845</v>
      </c>
      <c r="V14" s="151">
        <v>87406.191650000008</v>
      </c>
      <c r="W14" s="151">
        <v>90722.066819999993</v>
      </c>
      <c r="X14" s="151">
        <v>91711.113310000001</v>
      </c>
      <c r="Y14" s="241">
        <v>94163.028760000001</v>
      </c>
      <c r="Z14" s="162">
        <v>94781.261670000007</v>
      </c>
      <c r="AA14" s="151">
        <v>96412.557189999992</v>
      </c>
      <c r="AB14" s="151">
        <v>100867.82726999999</v>
      </c>
      <c r="AC14" s="151">
        <v>102125.87223000001</v>
      </c>
      <c r="AD14" s="151">
        <v>104049.33873</v>
      </c>
      <c r="AE14" s="151">
        <v>106107.0511</v>
      </c>
      <c r="AF14" s="151">
        <v>111671.20639000001</v>
      </c>
      <c r="AG14" s="151">
        <v>112292.55437</v>
      </c>
      <c r="AH14" s="151">
        <v>111081.13509000001</v>
      </c>
      <c r="AI14" s="151">
        <v>109389.5073</v>
      </c>
      <c r="AJ14" s="151">
        <v>110879.05014000001</v>
      </c>
      <c r="AK14" s="241">
        <v>115284.58183</v>
      </c>
      <c r="AL14" s="162">
        <v>118684.47451</v>
      </c>
      <c r="AM14" s="151">
        <v>118489.24890000001</v>
      </c>
      <c r="AN14" s="151">
        <v>125345.18550000001</v>
      </c>
      <c r="AO14" s="151">
        <v>130074.99971999999</v>
      </c>
      <c r="AP14" s="151">
        <v>133666.59599999999</v>
      </c>
      <c r="AQ14" s="151">
        <v>133136.07897</v>
      </c>
      <c r="AR14" s="151">
        <v>134881.07711000001</v>
      </c>
      <c r="AS14" s="151">
        <v>138890.17275999999</v>
      </c>
      <c r="AT14" s="151">
        <v>137616.77364</v>
      </c>
      <c r="AU14" s="151">
        <v>139083.75083999999</v>
      </c>
      <c r="AV14" s="151">
        <v>138738.13762999998</v>
      </c>
      <c r="AW14" s="241">
        <v>137372.67812999999</v>
      </c>
      <c r="AX14" s="162">
        <v>142746.9466</v>
      </c>
      <c r="AY14" s="151">
        <v>141050.18755</v>
      </c>
      <c r="AZ14" s="151">
        <v>141855.98824999999</v>
      </c>
      <c r="BA14" s="151">
        <v>141657.32091000001</v>
      </c>
      <c r="BB14" s="151">
        <v>141079.11209000001</v>
      </c>
      <c r="BC14" s="151">
        <v>140247.83484999998</v>
      </c>
      <c r="BD14" s="151">
        <v>140854.14257</v>
      </c>
      <c r="BE14" s="151">
        <v>140361.74538000001</v>
      </c>
      <c r="BF14" s="151">
        <v>149455.42864</v>
      </c>
      <c r="BG14" s="151">
        <v>146382.18186000001</v>
      </c>
      <c r="BH14" s="151">
        <v>146327.63659000001</v>
      </c>
      <c r="BI14" s="241">
        <v>146251.07418999998</v>
      </c>
      <c r="BJ14" s="162">
        <v>146376.95718999999</v>
      </c>
      <c r="BK14" s="151">
        <v>147191</v>
      </c>
      <c r="BL14" s="151">
        <v>145271</v>
      </c>
      <c r="BM14" s="151">
        <v>143085</v>
      </c>
      <c r="BN14" s="151">
        <v>142676</v>
      </c>
      <c r="BO14" s="151">
        <v>142182</v>
      </c>
      <c r="BP14" s="151">
        <v>140329</v>
      </c>
      <c r="BQ14" s="151">
        <v>140338</v>
      </c>
      <c r="BR14" s="151">
        <v>139434</v>
      </c>
      <c r="BS14" s="151">
        <v>139004.4</v>
      </c>
      <c r="BT14" s="151">
        <v>138652</v>
      </c>
      <c r="BU14" s="241">
        <v>137630</v>
      </c>
      <c r="BW14" s="184">
        <f t="shared" si="2"/>
        <v>-0.73709719297233578</v>
      </c>
      <c r="BX14" s="184">
        <f t="shared" si="3"/>
        <v>-5.8947082869285738</v>
      </c>
      <c r="BZ14" s="208">
        <f t="shared" si="4"/>
        <v>8.6042517451011907E-2</v>
      </c>
      <c r="CB14" s="138"/>
      <c r="CD14" s="138" t="s">
        <v>615</v>
      </c>
      <c r="CE14" s="436">
        <f>BZ12</f>
        <v>0.15158457301510733</v>
      </c>
    </row>
    <row r="15" spans="1:84" ht="15" customHeight="1" x14ac:dyDescent="0.25">
      <c r="A15" s="402" t="s">
        <v>321</v>
      </c>
      <c r="B15" s="162">
        <v>128983.38927999999</v>
      </c>
      <c r="C15" s="151">
        <v>128493.29871</v>
      </c>
      <c r="D15" s="151">
        <v>130067.75079999999</v>
      </c>
      <c r="E15" s="151">
        <v>131421.13584</v>
      </c>
      <c r="F15" s="151">
        <v>131601.46416999999</v>
      </c>
      <c r="G15" s="151">
        <v>130734.51285</v>
      </c>
      <c r="H15" s="151">
        <v>129362.37463000001</v>
      </c>
      <c r="I15" s="151">
        <v>128355.82233999998</v>
      </c>
      <c r="J15" s="151">
        <v>125405.32302000001</v>
      </c>
      <c r="K15" s="151">
        <v>128880.34991</v>
      </c>
      <c r="L15" s="151">
        <v>130805.47385000001</v>
      </c>
      <c r="M15" s="241">
        <v>133703.64979999998</v>
      </c>
      <c r="N15" s="162">
        <v>136506.35819999999</v>
      </c>
      <c r="O15" s="151">
        <v>132168.85399999999</v>
      </c>
      <c r="P15" s="151">
        <v>129579.58423000001</v>
      </c>
      <c r="Q15" s="151">
        <v>126113.58293999999</v>
      </c>
      <c r="R15" s="151">
        <v>127685.01081000001</v>
      </c>
      <c r="S15" s="151">
        <v>125920.15987999999</v>
      </c>
      <c r="T15" s="151">
        <v>125322.83826</v>
      </c>
      <c r="U15" s="151">
        <v>127900.65987</v>
      </c>
      <c r="V15" s="151">
        <v>131219.32181999998</v>
      </c>
      <c r="W15" s="151">
        <v>134323.96204000001</v>
      </c>
      <c r="X15" s="151">
        <v>138207.01939999999</v>
      </c>
      <c r="Y15" s="241">
        <v>137934.40491000001</v>
      </c>
      <c r="Z15" s="162">
        <v>138128.26392</v>
      </c>
      <c r="AA15" s="151">
        <v>136717.45351999998</v>
      </c>
      <c r="AB15" s="151">
        <v>138219.22314000002</v>
      </c>
      <c r="AC15" s="151">
        <v>137710.84155000001</v>
      </c>
      <c r="AD15" s="151">
        <v>139849.14218</v>
      </c>
      <c r="AE15" s="151">
        <v>138499.06341999999</v>
      </c>
      <c r="AF15" s="151">
        <v>139227.59841000001</v>
      </c>
      <c r="AG15" s="151">
        <v>133623.39622999998</v>
      </c>
      <c r="AH15" s="151">
        <v>132091.89404000001</v>
      </c>
      <c r="AI15" s="151">
        <v>133273.4896</v>
      </c>
      <c r="AJ15" s="151">
        <v>136545.13118</v>
      </c>
      <c r="AK15" s="241">
        <v>139418.48371</v>
      </c>
      <c r="AL15" s="162">
        <v>142261.70491</v>
      </c>
      <c r="AM15" s="151">
        <v>144130.82180000001</v>
      </c>
      <c r="AN15" s="151">
        <v>141806.72749999998</v>
      </c>
      <c r="AO15" s="151">
        <v>138937.55976999999</v>
      </c>
      <c r="AP15" s="151">
        <v>137027.56852</v>
      </c>
      <c r="AQ15" s="151">
        <v>140032.65293000001</v>
      </c>
      <c r="AR15" s="151">
        <v>141226.44847</v>
      </c>
      <c r="AS15" s="151">
        <v>144915.56534</v>
      </c>
      <c r="AT15" s="151">
        <v>143582.28967</v>
      </c>
      <c r="AU15" s="151">
        <v>140616.92082</v>
      </c>
      <c r="AV15" s="151">
        <v>142873.34828999999</v>
      </c>
      <c r="AW15" s="241">
        <v>143295.05796000001</v>
      </c>
      <c r="AX15" s="162">
        <v>149042.02658999999</v>
      </c>
      <c r="AY15" s="151">
        <v>152565.38634</v>
      </c>
      <c r="AZ15" s="151">
        <v>152346.73673999999</v>
      </c>
      <c r="BA15" s="151">
        <v>152552.55356</v>
      </c>
      <c r="BB15" s="151">
        <v>151846.94501</v>
      </c>
      <c r="BC15" s="151">
        <v>151138.55274000001</v>
      </c>
      <c r="BD15" s="151">
        <v>151149.17110000001</v>
      </c>
      <c r="BE15" s="151">
        <v>150157.78739000001</v>
      </c>
      <c r="BF15" s="151">
        <v>154103.52851999999</v>
      </c>
      <c r="BG15" s="151">
        <v>157796.01493</v>
      </c>
      <c r="BH15" s="151">
        <v>158510.32920000001</v>
      </c>
      <c r="BI15" s="241">
        <v>159354.92928000001</v>
      </c>
      <c r="BJ15" s="162">
        <v>158481.03771</v>
      </c>
      <c r="BK15" s="151">
        <v>160554</v>
      </c>
      <c r="BL15" s="151">
        <v>156371</v>
      </c>
      <c r="BM15" s="151">
        <v>154309</v>
      </c>
      <c r="BN15" s="151">
        <v>159431</v>
      </c>
      <c r="BO15" s="151">
        <v>168832</v>
      </c>
      <c r="BP15" s="151">
        <v>174049</v>
      </c>
      <c r="BQ15" s="151">
        <v>182303</v>
      </c>
      <c r="BR15" s="151">
        <v>185980</v>
      </c>
      <c r="BS15" s="151">
        <v>187158.39999999999</v>
      </c>
      <c r="BT15" s="151">
        <v>187502</v>
      </c>
      <c r="BU15" s="241">
        <v>185007</v>
      </c>
      <c r="BW15" s="184">
        <f t="shared" si="2"/>
        <v>-1.3306524730402836</v>
      </c>
      <c r="BX15" s="184">
        <f t="shared" si="3"/>
        <v>16.097444136746564</v>
      </c>
      <c r="BZ15" s="208">
        <f t="shared" si="4"/>
        <v>9.3157473106352626E-2</v>
      </c>
      <c r="CB15" s="138"/>
      <c r="CD15" s="138" t="s">
        <v>618</v>
      </c>
      <c r="CE15" s="436">
        <f>BZ15</f>
        <v>9.3157473106352626E-2</v>
      </c>
    </row>
    <row r="16" spans="1:84" ht="15" customHeight="1" x14ac:dyDescent="0.25">
      <c r="A16" s="402" t="s">
        <v>490</v>
      </c>
      <c r="B16" s="162">
        <v>56658.506509999999</v>
      </c>
      <c r="C16" s="151">
        <v>57039.925630000005</v>
      </c>
      <c r="D16" s="151">
        <v>73091.358399999997</v>
      </c>
      <c r="E16" s="151">
        <v>74525.95117</v>
      </c>
      <c r="F16" s="151">
        <v>75393.522159999993</v>
      </c>
      <c r="G16" s="151">
        <v>76035.244070000001</v>
      </c>
      <c r="H16" s="151">
        <v>76843.862170000008</v>
      </c>
      <c r="I16" s="151">
        <v>78175.870129999996</v>
      </c>
      <c r="J16" s="151">
        <v>78634.548200000005</v>
      </c>
      <c r="K16" s="151">
        <v>79234.951839999994</v>
      </c>
      <c r="L16" s="151">
        <v>79552.350470000005</v>
      </c>
      <c r="M16" s="241">
        <v>80295.440620000008</v>
      </c>
      <c r="N16" s="162">
        <v>81258.311459999997</v>
      </c>
      <c r="O16" s="151">
        <v>81993.943039999998</v>
      </c>
      <c r="P16" s="151">
        <v>78513.15986</v>
      </c>
      <c r="Q16" s="151">
        <v>79347.80515</v>
      </c>
      <c r="R16" s="151">
        <v>80649.25192000001</v>
      </c>
      <c r="S16" s="151">
        <v>81523.081040000005</v>
      </c>
      <c r="T16" s="151">
        <v>82378.223700000002</v>
      </c>
      <c r="U16" s="151">
        <v>83447.125469999999</v>
      </c>
      <c r="V16" s="151">
        <v>85234.69776000001</v>
      </c>
      <c r="W16" s="151">
        <v>86468.785700000008</v>
      </c>
      <c r="X16" s="151">
        <v>88243.479659999997</v>
      </c>
      <c r="Y16" s="241">
        <v>88420.01853999999</v>
      </c>
      <c r="Z16" s="162">
        <v>88916.874819999997</v>
      </c>
      <c r="AA16" s="151">
        <v>88734.884240000014</v>
      </c>
      <c r="AB16" s="151">
        <v>88077.45362</v>
      </c>
      <c r="AC16" s="151">
        <v>88706.364150000009</v>
      </c>
      <c r="AD16" s="151">
        <v>89253.379909999989</v>
      </c>
      <c r="AE16" s="151">
        <v>88193.728069999997</v>
      </c>
      <c r="AF16" s="151">
        <v>88368.292289999998</v>
      </c>
      <c r="AG16" s="151">
        <v>88787.472439999998</v>
      </c>
      <c r="AH16" s="151">
        <v>89911.37963000001</v>
      </c>
      <c r="AI16" s="151">
        <v>91155.879019999993</v>
      </c>
      <c r="AJ16" s="151">
        <v>92268.364300000001</v>
      </c>
      <c r="AK16" s="241">
        <v>92670.465620000003</v>
      </c>
      <c r="AL16" s="162">
        <v>92684.138750000013</v>
      </c>
      <c r="AM16" s="151">
        <v>92941.890190000006</v>
      </c>
      <c r="AN16" s="151">
        <v>92417.185079999996</v>
      </c>
      <c r="AO16" s="151">
        <v>92453.517450000014</v>
      </c>
      <c r="AP16" s="151">
        <v>92670.468789999999</v>
      </c>
      <c r="AQ16" s="151">
        <v>92818.522540000005</v>
      </c>
      <c r="AR16" s="151">
        <v>91782.005300000004</v>
      </c>
      <c r="AS16" s="151">
        <v>92074.54170999999</v>
      </c>
      <c r="AT16" s="151">
        <v>92545.031950000004</v>
      </c>
      <c r="AU16" s="151">
        <v>92993.554239999998</v>
      </c>
      <c r="AV16" s="151">
        <v>94334.405780000001</v>
      </c>
      <c r="AW16" s="241">
        <v>93715.840660000002</v>
      </c>
      <c r="AX16" s="162">
        <v>92977.785059999995</v>
      </c>
      <c r="AY16" s="151">
        <v>93239.124729999996</v>
      </c>
      <c r="AZ16" s="151">
        <v>92313.196880000003</v>
      </c>
      <c r="BA16" s="151">
        <v>92032.588189999995</v>
      </c>
      <c r="BB16" s="151">
        <v>91385.380730000004</v>
      </c>
      <c r="BC16" s="151">
        <v>90330.228419999999</v>
      </c>
      <c r="BD16" s="151">
        <v>88630.908230000001</v>
      </c>
      <c r="BE16" s="151">
        <v>88770.47705999999</v>
      </c>
      <c r="BF16" s="151">
        <v>87613.829709999991</v>
      </c>
      <c r="BG16" s="151">
        <v>86759.171549999999</v>
      </c>
      <c r="BH16" s="151">
        <v>87248.061310000005</v>
      </c>
      <c r="BI16" s="241">
        <v>87240.386209999997</v>
      </c>
      <c r="BJ16" s="162">
        <v>87701.381209999992</v>
      </c>
      <c r="BK16" s="151">
        <v>87226</v>
      </c>
      <c r="BL16" s="151">
        <v>86245</v>
      </c>
      <c r="BM16" s="151">
        <v>87003</v>
      </c>
      <c r="BN16" s="151">
        <v>87238</v>
      </c>
      <c r="BO16" s="151">
        <v>86286</v>
      </c>
      <c r="BP16" s="151">
        <v>88642</v>
      </c>
      <c r="BQ16" s="151">
        <v>91507</v>
      </c>
      <c r="BR16" s="151">
        <v>92247</v>
      </c>
      <c r="BS16" s="151">
        <v>95880</v>
      </c>
      <c r="BT16" s="151">
        <v>97388</v>
      </c>
      <c r="BU16" s="241">
        <v>97603</v>
      </c>
      <c r="BW16" s="184">
        <f t="shared" si="2"/>
        <v>0.22076641886064063</v>
      </c>
      <c r="BX16" s="184">
        <f t="shared" si="3"/>
        <v>11.878230072315032</v>
      </c>
      <c r="BZ16" s="208">
        <f t="shared" si="4"/>
        <v>5.155215525790964E-2</v>
      </c>
      <c r="CB16" s="138"/>
      <c r="CD16" s="138" t="s">
        <v>617</v>
      </c>
      <c r="CE16" s="436">
        <f>BZ14</f>
        <v>8.6042517451011907E-2</v>
      </c>
    </row>
    <row r="17" spans="1:84" ht="15" customHeight="1" x14ac:dyDescent="0.25">
      <c r="A17" s="402" t="s">
        <v>491</v>
      </c>
      <c r="B17" s="162">
        <v>15477.11508</v>
      </c>
      <c r="C17" s="151">
        <v>15053.600820000001</v>
      </c>
      <c r="D17" s="151">
        <v>14867.495080000001</v>
      </c>
      <c r="E17" s="151">
        <v>14301.596999999998</v>
      </c>
      <c r="F17" s="151">
        <v>14005.503859999999</v>
      </c>
      <c r="G17" s="151">
        <v>13334.504209999999</v>
      </c>
      <c r="H17" s="151">
        <v>12688.06755</v>
      </c>
      <c r="I17" s="151">
        <v>12169.187239999999</v>
      </c>
      <c r="J17" s="151">
        <v>11624.247660000001</v>
      </c>
      <c r="K17" s="151">
        <v>11177.5044</v>
      </c>
      <c r="L17" s="151">
        <v>10837.262999999999</v>
      </c>
      <c r="M17" s="241">
        <v>10765.55049</v>
      </c>
      <c r="N17" s="162">
        <v>10320.6417</v>
      </c>
      <c r="O17" s="151">
        <v>9941.0167799999999</v>
      </c>
      <c r="P17" s="151">
        <v>9554.3632399999988</v>
      </c>
      <c r="Q17" s="151">
        <v>9317.5854600000002</v>
      </c>
      <c r="R17" s="151">
        <v>9071.0741699999999</v>
      </c>
      <c r="S17" s="151">
        <v>8753.4160899999988</v>
      </c>
      <c r="T17" s="151">
        <v>8587.2166800000014</v>
      </c>
      <c r="U17" s="151">
        <v>8268.127410000001</v>
      </c>
      <c r="V17" s="151">
        <v>7927.7698900000005</v>
      </c>
      <c r="W17" s="151">
        <v>7728.4219199999989</v>
      </c>
      <c r="X17" s="151">
        <v>7574.0997000000007</v>
      </c>
      <c r="Y17" s="241">
        <v>7529.6375900000003</v>
      </c>
      <c r="Z17" s="162">
        <v>7295.7475999999997</v>
      </c>
      <c r="AA17" s="151">
        <v>7121.0239099999999</v>
      </c>
      <c r="AB17" s="151">
        <v>6946.2566200000001</v>
      </c>
      <c r="AC17" s="151">
        <v>6674.7943699999996</v>
      </c>
      <c r="AD17" s="151">
        <v>6477.4997199999998</v>
      </c>
      <c r="AE17" s="151">
        <v>6251.3092699999997</v>
      </c>
      <c r="AF17" s="151">
        <v>5930.2284400000008</v>
      </c>
      <c r="AG17" s="151">
        <v>5832.9641600000004</v>
      </c>
      <c r="AH17" s="151">
        <v>5729.4713499999998</v>
      </c>
      <c r="AI17" s="151">
        <v>5649.6524000000009</v>
      </c>
      <c r="AJ17" s="151">
        <v>5825.0680499999999</v>
      </c>
      <c r="AK17" s="241">
        <v>6109.0884400000004</v>
      </c>
      <c r="AL17" s="162">
        <v>6134.0626199999988</v>
      </c>
      <c r="AM17" s="151">
        <v>6244.6667700000007</v>
      </c>
      <c r="AN17" s="151">
        <v>6282.80789</v>
      </c>
      <c r="AO17" s="151">
        <v>6183.5069100000001</v>
      </c>
      <c r="AP17" s="151">
        <v>6102.58133</v>
      </c>
      <c r="AQ17" s="151">
        <v>5995.4844799999992</v>
      </c>
      <c r="AR17" s="151">
        <v>5966.7983299999996</v>
      </c>
      <c r="AS17" s="151">
        <v>5988.5501299999996</v>
      </c>
      <c r="AT17" s="151">
        <v>5947.1771800000006</v>
      </c>
      <c r="AU17" s="151">
        <v>5983.4899299999997</v>
      </c>
      <c r="AV17" s="151">
        <v>6075.8762299999999</v>
      </c>
      <c r="AW17" s="241">
        <v>6337.9055100000005</v>
      </c>
      <c r="AX17" s="162">
        <v>6324.6062000000002</v>
      </c>
      <c r="AY17" s="151">
        <v>6281.0670900000005</v>
      </c>
      <c r="AZ17" s="151">
        <v>6304.9132000000009</v>
      </c>
      <c r="BA17" s="151">
        <v>6224.7520700000005</v>
      </c>
      <c r="BB17" s="151">
        <v>6272.1638500000008</v>
      </c>
      <c r="BC17" s="151">
        <v>6385.9535800000003</v>
      </c>
      <c r="BD17" s="151">
        <v>6621.3176400000002</v>
      </c>
      <c r="BE17" s="151">
        <v>6899.9506600000004</v>
      </c>
      <c r="BF17" s="151">
        <v>7126.6862499999997</v>
      </c>
      <c r="BG17" s="151">
        <v>7401.5857100000003</v>
      </c>
      <c r="BH17" s="151">
        <v>7586.4699799999999</v>
      </c>
      <c r="BI17" s="241">
        <v>7586.4699799999999</v>
      </c>
      <c r="BJ17" s="162">
        <v>8031.1804800000009</v>
      </c>
      <c r="BK17" s="151">
        <v>7880</v>
      </c>
      <c r="BL17" s="151">
        <v>7945</v>
      </c>
      <c r="BM17" s="151">
        <v>8004</v>
      </c>
      <c r="BN17" s="151">
        <v>7922</v>
      </c>
      <c r="BO17" s="151">
        <v>7669</v>
      </c>
      <c r="BP17" s="151">
        <v>7468</v>
      </c>
      <c r="BQ17" s="151">
        <v>7266</v>
      </c>
      <c r="BR17" s="151">
        <v>7718</v>
      </c>
      <c r="BS17" s="151">
        <v>7478.2</v>
      </c>
      <c r="BT17" s="151">
        <v>6875</v>
      </c>
      <c r="BU17" s="241">
        <v>6444</v>
      </c>
      <c r="BW17" s="184">
        <f t="shared" si="2"/>
        <v>-6.269090909090913</v>
      </c>
      <c r="BX17" s="184">
        <f t="shared" si="3"/>
        <v>-15.059309310019831</v>
      </c>
      <c r="BZ17" s="208">
        <f t="shared" si="4"/>
        <v>4.7208454108365275E-3</v>
      </c>
      <c r="CB17" s="138"/>
      <c r="CD17" s="138" t="s">
        <v>619</v>
      </c>
      <c r="CE17" s="436">
        <f>BZ34</f>
        <v>6.3292214434425814E-2</v>
      </c>
    </row>
    <row r="18" spans="1:84" ht="15" customHeight="1" x14ac:dyDescent="0.25">
      <c r="A18" s="402" t="s">
        <v>492</v>
      </c>
      <c r="B18" s="162">
        <v>12977.92779</v>
      </c>
      <c r="C18" s="151">
        <v>13383.738369999999</v>
      </c>
      <c r="D18" s="151">
        <v>13748.154930000001</v>
      </c>
      <c r="E18" s="151">
        <v>14326.358560000001</v>
      </c>
      <c r="F18" s="151">
        <v>14779.595069999999</v>
      </c>
      <c r="G18" s="151">
        <v>15204.10758</v>
      </c>
      <c r="H18" s="151">
        <v>15555.777259999999</v>
      </c>
      <c r="I18" s="151">
        <v>15993.26326</v>
      </c>
      <c r="J18" s="151">
        <v>16533.146390000002</v>
      </c>
      <c r="K18" s="151">
        <v>16907.920190000001</v>
      </c>
      <c r="L18" s="151">
        <v>17525.20059</v>
      </c>
      <c r="M18" s="241">
        <v>18108.43894</v>
      </c>
      <c r="N18" s="162">
        <v>18550.641820000001</v>
      </c>
      <c r="O18" s="151">
        <v>18630.673629999998</v>
      </c>
      <c r="P18" s="151">
        <v>19110.070039999999</v>
      </c>
      <c r="Q18" s="151">
        <v>19667.650750000001</v>
      </c>
      <c r="R18" s="151">
        <v>20456.13781</v>
      </c>
      <c r="S18" s="151">
        <v>21147.238280000001</v>
      </c>
      <c r="T18" s="151">
        <v>21706.646190000003</v>
      </c>
      <c r="U18" s="151">
        <v>22325.2487</v>
      </c>
      <c r="V18" s="151">
        <v>22461.998510000001</v>
      </c>
      <c r="W18" s="151">
        <v>22919.510559999999</v>
      </c>
      <c r="X18" s="151">
        <v>23634.99826</v>
      </c>
      <c r="Y18" s="241">
        <v>23581.77147</v>
      </c>
      <c r="Z18" s="162">
        <v>23584.460930000001</v>
      </c>
      <c r="AA18" s="151">
        <v>24058.73904</v>
      </c>
      <c r="AB18" s="151">
        <v>24396.370039999998</v>
      </c>
      <c r="AC18" s="151">
        <v>24800.012780000001</v>
      </c>
      <c r="AD18" s="151">
        <v>24577.362570000001</v>
      </c>
      <c r="AE18" s="151">
        <v>24176.88337</v>
      </c>
      <c r="AF18" s="151">
        <v>23960.1672</v>
      </c>
      <c r="AG18" s="151">
        <v>23716.421539999999</v>
      </c>
      <c r="AH18" s="151">
        <v>23805.005579999997</v>
      </c>
      <c r="AI18" s="151">
        <v>23654.517530000001</v>
      </c>
      <c r="AJ18" s="151">
        <v>23928.53413</v>
      </c>
      <c r="AK18" s="241">
        <v>23967.98677</v>
      </c>
      <c r="AL18" s="162">
        <v>24157.947219999998</v>
      </c>
      <c r="AM18" s="151">
        <v>24311.126920000002</v>
      </c>
      <c r="AN18" s="151">
        <v>24574.660889999999</v>
      </c>
      <c r="AO18" s="151">
        <v>24841.030269999999</v>
      </c>
      <c r="AP18" s="151">
        <v>25435.07475</v>
      </c>
      <c r="AQ18" s="151">
        <v>25957.377989999997</v>
      </c>
      <c r="AR18" s="151">
        <v>26662.339690000001</v>
      </c>
      <c r="AS18" s="151">
        <v>26735.206620000001</v>
      </c>
      <c r="AT18" s="151">
        <v>26873.083760000001</v>
      </c>
      <c r="AU18" s="151">
        <v>26946.469820000002</v>
      </c>
      <c r="AV18" s="151">
        <v>26998.959329999998</v>
      </c>
      <c r="AW18" s="241">
        <v>27065.11737</v>
      </c>
      <c r="AX18" s="162">
        <v>26911.596949999999</v>
      </c>
      <c r="AY18" s="151">
        <v>26969.991010000002</v>
      </c>
      <c r="AZ18" s="151">
        <v>26643.593339999999</v>
      </c>
      <c r="BA18" s="151">
        <v>26942.076539999998</v>
      </c>
      <c r="BB18" s="151">
        <v>27039.156930000001</v>
      </c>
      <c r="BC18" s="151">
        <v>27197.76138</v>
      </c>
      <c r="BD18" s="151">
        <v>28681.231110000001</v>
      </c>
      <c r="BE18" s="151">
        <v>29672.491620000001</v>
      </c>
      <c r="BF18" s="151">
        <v>30450.638769999998</v>
      </c>
      <c r="BG18" s="151">
        <v>31346.062819999999</v>
      </c>
      <c r="BH18" s="151">
        <v>31923.614010000001</v>
      </c>
      <c r="BI18" s="241">
        <v>32125.171329999997</v>
      </c>
      <c r="BJ18" s="162">
        <v>32098.453719999998</v>
      </c>
      <c r="BK18" s="151">
        <v>32547</v>
      </c>
      <c r="BL18" s="151">
        <v>31907</v>
      </c>
      <c r="BM18" s="151">
        <v>31653</v>
      </c>
      <c r="BN18" s="151">
        <v>31771</v>
      </c>
      <c r="BO18" s="151">
        <v>31864</v>
      </c>
      <c r="BP18" s="151">
        <v>32249</v>
      </c>
      <c r="BQ18" s="151">
        <v>32791</v>
      </c>
      <c r="BR18" s="151">
        <v>33380</v>
      </c>
      <c r="BS18" s="151">
        <v>34295</v>
      </c>
      <c r="BT18" s="151">
        <v>34776</v>
      </c>
      <c r="BU18" s="241">
        <v>34838</v>
      </c>
      <c r="BW18" s="184">
        <f t="shared" si="2"/>
        <v>0.17828387393605816</v>
      </c>
      <c r="BX18" s="184">
        <f t="shared" si="3"/>
        <v>8.4445578270477171</v>
      </c>
      <c r="BZ18" s="208">
        <f t="shared" si="4"/>
        <v>1.8867940810989053E-2</v>
      </c>
      <c r="CB18" s="138"/>
      <c r="CD18" s="133" t="str">
        <f>A48</f>
        <v>C. BANCO DE LA NACIÓN 2/</v>
      </c>
      <c r="CE18" s="437">
        <f>BZ48</f>
        <v>8.0752079195890503E-2</v>
      </c>
    </row>
    <row r="19" spans="1:84" ht="15" customHeight="1" x14ac:dyDescent="0.25">
      <c r="A19" s="402" t="s">
        <v>493</v>
      </c>
      <c r="B19" s="162">
        <v>1390.32492</v>
      </c>
      <c r="C19" s="151">
        <v>1129.36771</v>
      </c>
      <c r="D19" s="151">
        <v>1136.90497</v>
      </c>
      <c r="E19" s="151">
        <v>1106.2584199999999</v>
      </c>
      <c r="F19" s="151">
        <v>996.07471999999996</v>
      </c>
      <c r="G19" s="151">
        <v>1631.66779</v>
      </c>
      <c r="H19" s="151">
        <v>2317.0751800000003</v>
      </c>
      <c r="I19" s="151">
        <v>1876.9370700000002</v>
      </c>
      <c r="J19" s="151">
        <v>2205.2713100000001</v>
      </c>
      <c r="K19" s="151">
        <v>1232.7235800000001</v>
      </c>
      <c r="L19" s="151">
        <v>1849.9435100000001</v>
      </c>
      <c r="M19" s="241">
        <v>1042.0861199999999</v>
      </c>
      <c r="N19" s="162">
        <v>1805.8996599999998</v>
      </c>
      <c r="O19" s="151">
        <v>2340.8775900000001</v>
      </c>
      <c r="P19" s="151">
        <v>1956.8805</v>
      </c>
      <c r="Q19" s="151">
        <v>1624.3183999999999</v>
      </c>
      <c r="R19" s="151">
        <v>988.27839000000006</v>
      </c>
      <c r="S19" s="151">
        <v>1314.9988500000002</v>
      </c>
      <c r="T19" s="151">
        <v>626.43113000000005</v>
      </c>
      <c r="U19" s="151">
        <v>680.08468000000005</v>
      </c>
      <c r="V19" s="151">
        <v>646.88977999999997</v>
      </c>
      <c r="W19" s="151">
        <v>621.65138999999999</v>
      </c>
      <c r="X19" s="151">
        <v>578.90774999999996</v>
      </c>
      <c r="Y19" s="241">
        <v>314.42809999999997</v>
      </c>
      <c r="Z19" s="162">
        <v>268.16833000000003</v>
      </c>
      <c r="AA19" s="151">
        <v>212.57181</v>
      </c>
      <c r="AB19" s="151">
        <v>164.87045999999998</v>
      </c>
      <c r="AC19" s="151">
        <v>154.09757000000002</v>
      </c>
      <c r="AD19" s="151">
        <v>66.416200000000003</v>
      </c>
      <c r="AE19" s="151">
        <v>55.865370000000006</v>
      </c>
      <c r="AF19" s="151">
        <v>18.75159</v>
      </c>
      <c r="AG19" s="151">
        <v>17.76512</v>
      </c>
      <c r="AH19" s="151">
        <v>22.124209999999998</v>
      </c>
      <c r="AI19" s="151">
        <v>15.46644</v>
      </c>
      <c r="AJ19" s="151">
        <v>11.98723</v>
      </c>
      <c r="AK19" s="241">
        <v>11.172090000000001</v>
      </c>
      <c r="AL19" s="162">
        <v>10.721290000000002</v>
      </c>
      <c r="AM19" s="151">
        <v>9.930159999999999</v>
      </c>
      <c r="AN19" s="151">
        <v>8.3371200000000005</v>
      </c>
      <c r="AO19" s="151">
        <v>16.95552</v>
      </c>
      <c r="AP19" s="151">
        <v>11.27422</v>
      </c>
      <c r="AQ19" s="151">
        <v>71.31353</v>
      </c>
      <c r="AR19" s="151">
        <v>133.25027</v>
      </c>
      <c r="AS19" s="151">
        <v>121.11388000000001</v>
      </c>
      <c r="AT19" s="151">
        <v>141.59672</v>
      </c>
      <c r="AU19" s="151">
        <v>140.13573000000002</v>
      </c>
      <c r="AV19" s="151">
        <v>129.92689999999999</v>
      </c>
      <c r="AW19" s="241">
        <v>127.71622000000001</v>
      </c>
      <c r="AX19" s="162">
        <v>122.85186999999999</v>
      </c>
      <c r="AY19" s="151">
        <v>120.00998</v>
      </c>
      <c r="AZ19" s="151">
        <v>110.05145</v>
      </c>
      <c r="BA19" s="151">
        <v>131.67559</v>
      </c>
      <c r="BB19" s="151">
        <v>331.12090999999998</v>
      </c>
      <c r="BC19" s="151">
        <v>382.88105000000002</v>
      </c>
      <c r="BD19" s="151">
        <v>402.26534999999996</v>
      </c>
      <c r="BE19" s="151">
        <v>512.39941999999996</v>
      </c>
      <c r="BF19" s="151">
        <v>507.57393000000002</v>
      </c>
      <c r="BG19" s="151">
        <v>515.60446000000002</v>
      </c>
      <c r="BH19" s="151">
        <v>523.54451000000006</v>
      </c>
      <c r="BI19" s="241">
        <v>464.73611</v>
      </c>
      <c r="BJ19" s="162">
        <v>417.03401000000002</v>
      </c>
      <c r="BK19" s="151">
        <v>409</v>
      </c>
      <c r="BL19" s="151">
        <v>491</v>
      </c>
      <c r="BM19" s="151">
        <v>486</v>
      </c>
      <c r="BN19" s="151">
        <v>350</v>
      </c>
      <c r="BO19" s="151">
        <v>336</v>
      </c>
      <c r="BP19" s="151">
        <v>326</v>
      </c>
      <c r="BQ19" s="151">
        <v>369</v>
      </c>
      <c r="BR19" s="151">
        <v>349</v>
      </c>
      <c r="BS19" s="151">
        <v>353</v>
      </c>
      <c r="BT19" s="151">
        <v>396</v>
      </c>
      <c r="BU19" s="241">
        <v>443</v>
      </c>
      <c r="BW19" s="184">
        <f t="shared" si="2"/>
        <v>11.868686868686872</v>
      </c>
      <c r="BX19" s="184">
        <f t="shared" si="3"/>
        <v>-4.67708652981581</v>
      </c>
      <c r="BZ19" s="208">
        <f t="shared" si="4"/>
        <v>2.4513869376662975E-4</v>
      </c>
      <c r="CB19" s="138"/>
      <c r="CE19" s="208">
        <f>SUM(CE13:CE18)</f>
        <v>0.67322535369735004</v>
      </c>
    </row>
    <row r="20" spans="1:84" ht="15" customHeight="1" x14ac:dyDescent="0.25">
      <c r="A20" s="402" t="s">
        <v>494</v>
      </c>
      <c r="B20" s="162">
        <v>5981.0255099999995</v>
      </c>
      <c r="C20" s="151">
        <v>6846.9262499999995</v>
      </c>
      <c r="D20" s="151">
        <v>8547.0497800000012</v>
      </c>
      <c r="E20" s="151">
        <v>10202.38263</v>
      </c>
      <c r="F20" s="151">
        <v>11635.42599</v>
      </c>
      <c r="G20" s="151">
        <v>13215.13306</v>
      </c>
      <c r="H20" s="151">
        <v>14241.060359999999</v>
      </c>
      <c r="I20" s="151">
        <v>15251.677299999999</v>
      </c>
      <c r="J20" s="151">
        <v>16030.75748</v>
      </c>
      <c r="K20" s="151">
        <v>16660.6459</v>
      </c>
      <c r="L20" s="151">
        <v>17320.613170000001</v>
      </c>
      <c r="M20" s="241">
        <v>18377.32935</v>
      </c>
      <c r="N20" s="162">
        <v>18803.028670000003</v>
      </c>
      <c r="O20" s="151">
        <v>19232.44614</v>
      </c>
      <c r="P20" s="151">
        <v>19956.701840000002</v>
      </c>
      <c r="Q20" s="151">
        <v>20648.083640000001</v>
      </c>
      <c r="R20" s="151">
        <v>21485.158340000002</v>
      </c>
      <c r="S20" s="151">
        <v>22301.587820000001</v>
      </c>
      <c r="T20" s="151">
        <v>22650.342360000002</v>
      </c>
      <c r="U20" s="151">
        <v>22868.24266</v>
      </c>
      <c r="V20" s="151">
        <v>22913.11562</v>
      </c>
      <c r="W20" s="151">
        <v>23001.126219999998</v>
      </c>
      <c r="X20" s="151">
        <v>23252.599609999997</v>
      </c>
      <c r="Y20" s="241">
        <v>23014.756170000001</v>
      </c>
      <c r="Z20" s="162">
        <v>21819.123650000001</v>
      </c>
      <c r="AA20" s="151">
        <v>21819.123650000001</v>
      </c>
      <c r="AB20" s="151">
        <v>20249.535789999998</v>
      </c>
      <c r="AC20" s="151">
        <v>20249.535789999998</v>
      </c>
      <c r="AD20" s="151">
        <v>17475.991160000001</v>
      </c>
      <c r="AE20" s="151">
        <v>16559.174650000001</v>
      </c>
      <c r="AF20" s="151">
        <v>15570.46182</v>
      </c>
      <c r="AG20" s="151">
        <v>15397.36347</v>
      </c>
      <c r="AH20" s="151">
        <v>14697.40221</v>
      </c>
      <c r="AI20" s="151">
        <v>13992.388130000001</v>
      </c>
      <c r="AJ20" s="151">
        <v>13460.967839999999</v>
      </c>
      <c r="AK20" s="241">
        <v>13596.272919999999</v>
      </c>
      <c r="AL20" s="162">
        <v>13192.708339999999</v>
      </c>
      <c r="AM20" s="151">
        <v>12839.143759999999</v>
      </c>
      <c r="AN20" s="151">
        <v>12271.570380000001</v>
      </c>
      <c r="AO20" s="151">
        <v>10719.450050000001</v>
      </c>
      <c r="AP20" s="151">
        <v>13715.897349999999</v>
      </c>
      <c r="AQ20" s="151">
        <v>14867.549150000001</v>
      </c>
      <c r="AR20" s="151">
        <v>14711.755070000001</v>
      </c>
      <c r="AS20" s="151">
        <v>15172.575580000001</v>
      </c>
      <c r="AT20" s="151">
        <v>14083.6489</v>
      </c>
      <c r="AU20" s="151">
        <v>14618.5509</v>
      </c>
      <c r="AV20" s="151">
        <v>14883.930910000001</v>
      </c>
      <c r="AW20" s="241">
        <v>15465.98812</v>
      </c>
      <c r="AX20" s="162">
        <v>15986.520630000001</v>
      </c>
      <c r="AY20" s="151">
        <v>15841.12464</v>
      </c>
      <c r="AZ20" s="151">
        <v>15894.965819999999</v>
      </c>
      <c r="BA20" s="151">
        <v>15806.211730000001</v>
      </c>
      <c r="BB20" s="151">
        <v>15127.38465</v>
      </c>
      <c r="BC20" s="151">
        <v>15487.763349999999</v>
      </c>
      <c r="BD20" s="151">
        <v>15071.80761</v>
      </c>
      <c r="BE20" s="151">
        <v>14856.2824</v>
      </c>
      <c r="BF20" s="151">
        <v>14048.798349999999</v>
      </c>
      <c r="BG20" s="151">
        <v>13512.785300000001</v>
      </c>
      <c r="BH20" s="151">
        <v>13331.83101</v>
      </c>
      <c r="BI20" s="241">
        <v>13717.305679999999</v>
      </c>
      <c r="BJ20" s="162">
        <v>14696.06409</v>
      </c>
      <c r="BK20" s="151">
        <v>14914</v>
      </c>
      <c r="BL20" s="151">
        <v>14960</v>
      </c>
      <c r="BM20" s="151">
        <v>12943</v>
      </c>
      <c r="BN20" s="151">
        <v>12238</v>
      </c>
      <c r="BO20" s="151">
        <v>11369</v>
      </c>
      <c r="BP20" s="151">
        <v>11259</v>
      </c>
      <c r="BQ20" s="151">
        <v>11469</v>
      </c>
      <c r="BR20" s="151">
        <v>11418</v>
      </c>
      <c r="BS20" s="151">
        <v>11572</v>
      </c>
      <c r="BT20" s="151">
        <v>12139</v>
      </c>
      <c r="BU20" s="241">
        <v>12406</v>
      </c>
      <c r="BW20" s="184">
        <f t="shared" si="2"/>
        <v>2.1995222011697901</v>
      </c>
      <c r="BX20" s="184">
        <f t="shared" si="3"/>
        <v>-9.5594988592541128</v>
      </c>
      <c r="BZ20" s="208">
        <f t="shared" si="4"/>
        <v>8.638561527711551E-3</v>
      </c>
      <c r="CB20" s="138"/>
    </row>
    <row r="21" spans="1:84" ht="15" customHeight="1" x14ac:dyDescent="0.25">
      <c r="A21" s="402" t="s">
        <v>495</v>
      </c>
      <c r="B21" s="162"/>
      <c r="C21" s="151"/>
      <c r="D21" s="151"/>
      <c r="E21" s="151"/>
      <c r="F21" s="151"/>
      <c r="G21" s="151"/>
      <c r="H21" s="151"/>
      <c r="I21" s="151">
        <v>1006.47076</v>
      </c>
      <c r="J21" s="151">
        <v>1084.93506</v>
      </c>
      <c r="K21" s="151">
        <v>1188.63563</v>
      </c>
      <c r="L21" s="151">
        <v>1241.47243</v>
      </c>
      <c r="M21" s="241">
        <v>1328.8579499999998</v>
      </c>
      <c r="N21" s="162">
        <v>1306.20109</v>
      </c>
      <c r="O21" s="151">
        <v>1303.6674699999999</v>
      </c>
      <c r="P21" s="151">
        <v>1288.4523300000001</v>
      </c>
      <c r="Q21" s="151">
        <v>1287.8073700000002</v>
      </c>
      <c r="R21" s="151">
        <v>1377.0769299999999</v>
      </c>
      <c r="S21" s="151">
        <v>1436.5132900000001</v>
      </c>
      <c r="T21" s="151">
        <v>1731.6711299999999</v>
      </c>
      <c r="U21" s="151">
        <v>2009.2748000000001</v>
      </c>
      <c r="V21" s="151">
        <v>1098.0768899999998</v>
      </c>
      <c r="W21" s="151">
        <v>1253.52979</v>
      </c>
      <c r="X21" s="151">
        <v>1655.2548700000002</v>
      </c>
      <c r="Y21" s="241">
        <v>1939.0401899999999</v>
      </c>
      <c r="Z21" s="162">
        <v>2070.9843500000002</v>
      </c>
      <c r="AA21" s="151">
        <v>19820.628190000003</v>
      </c>
      <c r="AB21" s="151">
        <v>20538.953539999999</v>
      </c>
      <c r="AC21" s="151">
        <v>21242.227070000001</v>
      </c>
      <c r="AD21" s="151">
        <v>22003.627079999998</v>
      </c>
      <c r="AE21" s="151">
        <v>22202.47812</v>
      </c>
      <c r="AF21" s="151">
        <v>22594.471649999999</v>
      </c>
      <c r="AG21" s="151">
        <v>22053.239289999998</v>
      </c>
      <c r="AH21" s="151">
        <v>22197.111519999999</v>
      </c>
      <c r="AI21" s="151">
        <v>21443.37299</v>
      </c>
      <c r="AJ21" s="151">
        <v>20489.372030000002</v>
      </c>
      <c r="AK21" s="241">
        <v>20075.878519999998</v>
      </c>
      <c r="AL21" s="162">
        <v>19175.470010000001</v>
      </c>
      <c r="AM21" s="151">
        <v>18426.235659999998</v>
      </c>
      <c r="AN21" s="151">
        <v>17604.485190000003</v>
      </c>
      <c r="AO21" s="151">
        <v>16989.008719999998</v>
      </c>
      <c r="AP21" s="151">
        <v>16196.73357</v>
      </c>
      <c r="AQ21" s="151">
        <v>15646.482109999999</v>
      </c>
      <c r="AR21" s="151">
        <v>14802.745730000001</v>
      </c>
      <c r="AS21" s="151">
        <v>14498.0735</v>
      </c>
      <c r="AT21" s="151">
        <v>13892.196470000001</v>
      </c>
      <c r="AU21" s="151">
        <v>13523.1891</v>
      </c>
      <c r="AV21" s="151">
        <v>21822.117999999999</v>
      </c>
      <c r="AW21" s="241">
        <v>21958.80298</v>
      </c>
      <c r="AX21" s="162">
        <v>21524.01656</v>
      </c>
      <c r="AY21" s="151">
        <v>21272.43188</v>
      </c>
      <c r="AZ21" s="151">
        <v>20958.442219999997</v>
      </c>
      <c r="BA21" s="151">
        <v>21183.529480000001</v>
      </c>
      <c r="BB21" s="151">
        <v>21220.88911</v>
      </c>
      <c r="BC21" s="151">
        <v>20690.112880000001</v>
      </c>
      <c r="BD21" s="151">
        <v>20385.607459999999</v>
      </c>
      <c r="BE21" s="151">
        <v>20079.782670000001</v>
      </c>
      <c r="BF21" s="151">
        <v>19720.922589999998</v>
      </c>
      <c r="BG21" s="151">
        <v>19562.20925</v>
      </c>
      <c r="BH21" s="151">
        <v>19360.180800000002</v>
      </c>
      <c r="BI21" s="241">
        <v>18472.515179999999</v>
      </c>
      <c r="BJ21" s="162">
        <v>17426.83799</v>
      </c>
      <c r="BK21" s="151">
        <v>17797</v>
      </c>
      <c r="BL21" s="151">
        <v>17106</v>
      </c>
      <c r="BM21" s="151">
        <v>17394</v>
      </c>
      <c r="BN21" s="151">
        <v>15659</v>
      </c>
      <c r="BO21" s="151">
        <v>12034</v>
      </c>
      <c r="BP21" s="151">
        <v>9981</v>
      </c>
      <c r="BQ21" s="151">
        <v>9261</v>
      </c>
      <c r="BR21" s="151">
        <v>8718</v>
      </c>
      <c r="BS21" s="151">
        <v>8146</v>
      </c>
      <c r="BT21" s="151">
        <v>8217</v>
      </c>
      <c r="BU21" s="241">
        <v>8149</v>
      </c>
      <c r="BW21" s="184">
        <f t="shared" si="2"/>
        <v>-0.82755263478154761</v>
      </c>
      <c r="BX21" s="184">
        <f t="shared" si="3"/>
        <v>-55.885812405108545</v>
      </c>
      <c r="BZ21" s="208">
        <f t="shared" si="4"/>
        <v>1.0243750387051836E-2</v>
      </c>
      <c r="CB21" s="138"/>
    </row>
    <row r="22" spans="1:84" ht="15" customHeight="1" x14ac:dyDescent="0.25">
      <c r="A22" s="138"/>
      <c r="B22" s="162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241"/>
      <c r="N22" s="162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241"/>
      <c r="Z22" s="162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241"/>
      <c r="AL22" s="162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241"/>
      <c r="AX22" s="162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241"/>
      <c r="BJ22" s="162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241"/>
      <c r="BW22" s="184"/>
      <c r="BX22" s="184"/>
      <c r="BZ22" s="208"/>
      <c r="CB22" s="138"/>
    </row>
    <row r="23" spans="1:84" ht="15" customHeight="1" x14ac:dyDescent="0.25">
      <c r="A23" s="141" t="s">
        <v>272</v>
      </c>
      <c r="B23" s="272">
        <f t="shared" ref="B23:AG23" si="7">B24+B32</f>
        <v>334775.58869999996</v>
      </c>
      <c r="C23" s="147">
        <f t="shared" si="7"/>
        <v>335653.69186000002</v>
      </c>
      <c r="D23" s="147">
        <f t="shared" si="7"/>
        <v>319251.25148999994</v>
      </c>
      <c r="E23" s="147">
        <f t="shared" si="7"/>
        <v>320144.70279999997</v>
      </c>
      <c r="F23" s="147">
        <f t="shared" si="7"/>
        <v>323173.53445000004</v>
      </c>
      <c r="G23" s="147">
        <f t="shared" si="7"/>
        <v>291406.86025000003</v>
      </c>
      <c r="H23" s="147">
        <f t="shared" si="7"/>
        <v>295582.99829999998</v>
      </c>
      <c r="I23" s="147">
        <f t="shared" si="7"/>
        <v>298261.51366</v>
      </c>
      <c r="J23" s="147">
        <f t="shared" si="7"/>
        <v>301472.06089000002</v>
      </c>
      <c r="K23" s="147">
        <f t="shared" si="7"/>
        <v>305318.11134</v>
      </c>
      <c r="L23" s="147">
        <f t="shared" si="7"/>
        <v>312250.93076000002</v>
      </c>
      <c r="M23" s="273">
        <f t="shared" si="7"/>
        <v>316559.06582999998</v>
      </c>
      <c r="N23" s="272">
        <f t="shared" si="7"/>
        <v>318298.68299</v>
      </c>
      <c r="O23" s="147">
        <f t="shared" si="7"/>
        <v>321900.71455999999</v>
      </c>
      <c r="P23" s="147">
        <f t="shared" si="7"/>
        <v>320239.61569000001</v>
      </c>
      <c r="Q23" s="147">
        <f t="shared" si="7"/>
        <v>325778.70687999995</v>
      </c>
      <c r="R23" s="147">
        <f t="shared" si="7"/>
        <v>328993.87011000002</v>
      </c>
      <c r="S23" s="147">
        <f t="shared" si="7"/>
        <v>329546.09099</v>
      </c>
      <c r="T23" s="147">
        <f t="shared" si="7"/>
        <v>331058.10074999998</v>
      </c>
      <c r="U23" s="147">
        <f t="shared" si="7"/>
        <v>333858.55882999999</v>
      </c>
      <c r="V23" s="147">
        <f t="shared" si="7"/>
        <v>338002.10236999998</v>
      </c>
      <c r="W23" s="147">
        <f t="shared" si="7"/>
        <v>341891.35115</v>
      </c>
      <c r="X23" s="147">
        <f t="shared" si="7"/>
        <v>351334.71224999998</v>
      </c>
      <c r="Y23" s="273">
        <f t="shared" si="7"/>
        <v>357556.93660999998</v>
      </c>
      <c r="Z23" s="272">
        <f t="shared" si="7"/>
        <v>360847.57196999999</v>
      </c>
      <c r="AA23" s="147">
        <f t="shared" si="7"/>
        <v>364080.23522999999</v>
      </c>
      <c r="AB23" s="147">
        <f t="shared" si="7"/>
        <v>366386.54960000003</v>
      </c>
      <c r="AC23" s="147">
        <f t="shared" si="7"/>
        <v>370541.90033999993</v>
      </c>
      <c r="AD23" s="147">
        <f t="shared" si="7"/>
        <v>374382.64963999996</v>
      </c>
      <c r="AE23" s="147">
        <f t="shared" si="7"/>
        <v>375858.40388</v>
      </c>
      <c r="AF23" s="147">
        <f t="shared" si="7"/>
        <v>376428.91941999999</v>
      </c>
      <c r="AG23" s="147">
        <f t="shared" si="7"/>
        <v>379051.97303999995</v>
      </c>
      <c r="AH23" s="147">
        <f t="shared" ref="AH23:BM23" si="8">AH24+AH32</f>
        <v>381495.79044999997</v>
      </c>
      <c r="AI23" s="147">
        <f t="shared" si="8"/>
        <v>386231.65137999994</v>
      </c>
      <c r="AJ23" s="147">
        <f t="shared" si="8"/>
        <v>393750.35041000001</v>
      </c>
      <c r="AK23" s="273">
        <f t="shared" si="8"/>
        <v>399122.71795999998</v>
      </c>
      <c r="AL23" s="272">
        <f t="shared" si="8"/>
        <v>401223.46222999995</v>
      </c>
      <c r="AM23" s="147">
        <f t="shared" si="8"/>
        <v>408483.57401999994</v>
      </c>
      <c r="AN23" s="147">
        <f t="shared" si="8"/>
        <v>406807.63659000001</v>
      </c>
      <c r="AO23" s="147">
        <f t="shared" si="8"/>
        <v>410426.93885999999</v>
      </c>
      <c r="AP23" s="147">
        <f t="shared" si="8"/>
        <v>412492.97629000002</v>
      </c>
      <c r="AQ23" s="147">
        <f t="shared" si="8"/>
        <v>411878.54353999998</v>
      </c>
      <c r="AR23" s="147">
        <f t="shared" si="8"/>
        <v>412264.23028999998</v>
      </c>
      <c r="AS23" s="147">
        <f t="shared" si="8"/>
        <v>418074.20218999998</v>
      </c>
      <c r="AT23" s="147">
        <f t="shared" si="8"/>
        <v>425077.24082000006</v>
      </c>
      <c r="AU23" s="147">
        <f t="shared" si="8"/>
        <v>428823.90002999996</v>
      </c>
      <c r="AV23" s="147">
        <f t="shared" si="8"/>
        <v>435333.96701999998</v>
      </c>
      <c r="AW23" s="273">
        <f t="shared" si="8"/>
        <v>442376.15839999996</v>
      </c>
      <c r="AX23" s="272">
        <f t="shared" si="8"/>
        <v>444522.10322999995</v>
      </c>
      <c r="AY23" s="147">
        <f t="shared" si="8"/>
        <v>450185.00320000004</v>
      </c>
      <c r="AZ23" s="147">
        <f t="shared" si="8"/>
        <v>451145.25977</v>
      </c>
      <c r="BA23" s="147">
        <f t="shared" si="8"/>
        <v>456338.34003000002</v>
      </c>
      <c r="BB23" s="147">
        <f t="shared" si="8"/>
        <v>460119.84860000003</v>
      </c>
      <c r="BC23" s="147">
        <f t="shared" si="8"/>
        <v>459605.21796000004</v>
      </c>
      <c r="BD23" s="147">
        <f t="shared" si="8"/>
        <v>461553.19396</v>
      </c>
      <c r="BE23" s="147">
        <f t="shared" si="8"/>
        <v>466875.34986999998</v>
      </c>
      <c r="BF23" s="147">
        <f t="shared" si="8"/>
        <v>468460.88849000004</v>
      </c>
      <c r="BG23" s="147">
        <f t="shared" si="8"/>
        <v>476523.68082000001</v>
      </c>
      <c r="BH23" s="147">
        <f t="shared" si="8"/>
        <v>479413.70268999995</v>
      </c>
      <c r="BI23" s="273">
        <f t="shared" si="8"/>
        <v>485862.16960999998</v>
      </c>
      <c r="BJ23" s="272">
        <f t="shared" si="8"/>
        <v>488821.26491999999</v>
      </c>
      <c r="BK23" s="147">
        <f t="shared" si="8"/>
        <v>494069.30000000005</v>
      </c>
      <c r="BL23" s="147">
        <f t="shared" si="8"/>
        <v>489824.5</v>
      </c>
      <c r="BM23" s="147">
        <f t="shared" si="8"/>
        <v>481357.6</v>
      </c>
      <c r="BN23" s="147">
        <f t="shared" ref="BN23:BU23" si="9">BN24+BN32</f>
        <v>474443</v>
      </c>
      <c r="BO23" s="147">
        <f t="shared" si="9"/>
        <v>476426.8</v>
      </c>
      <c r="BP23" s="147">
        <f t="shared" si="9"/>
        <v>485052.4</v>
      </c>
      <c r="BQ23" s="147">
        <f t="shared" si="9"/>
        <v>516774.38335000002</v>
      </c>
      <c r="BR23" s="147">
        <f t="shared" si="9"/>
        <v>501020.5</v>
      </c>
      <c r="BS23" s="147">
        <f t="shared" si="9"/>
        <v>506182.40000000002</v>
      </c>
      <c r="BT23" s="147">
        <f t="shared" si="9"/>
        <v>511830</v>
      </c>
      <c r="BU23" s="273">
        <f t="shared" si="9"/>
        <v>514881.8</v>
      </c>
      <c r="BV23" s="110"/>
      <c r="BW23" s="179">
        <f t="shared" si="2"/>
        <v>0.59625266201668303</v>
      </c>
      <c r="BX23" s="179">
        <f t="shared" si="3"/>
        <v>5.9728112631806551</v>
      </c>
      <c r="BY23" s="125"/>
      <c r="BZ23" s="418">
        <f t="shared" si="4"/>
        <v>0.28733629271109196</v>
      </c>
      <c r="CA23" s="125"/>
      <c r="CB23" s="217"/>
      <c r="CC23" s="125"/>
      <c r="CD23" s="125"/>
      <c r="CE23" s="125"/>
      <c r="CF23" s="125"/>
    </row>
    <row r="24" spans="1:84" ht="15" customHeight="1" x14ac:dyDescent="0.25">
      <c r="A24" s="401" t="s">
        <v>521</v>
      </c>
      <c r="B24" s="267">
        <f t="shared" ref="B24:BM24" si="10">SUM(B25:B31)</f>
        <v>116072.22626999998</v>
      </c>
      <c r="C24" s="229">
        <f t="shared" si="10"/>
        <v>116394.55074000001</v>
      </c>
      <c r="D24" s="229">
        <f t="shared" si="10"/>
        <v>100296.88112999999</v>
      </c>
      <c r="E24" s="229">
        <f t="shared" si="10"/>
        <v>100576.57548</v>
      </c>
      <c r="F24" s="229">
        <f t="shared" si="10"/>
        <v>101263.30602</v>
      </c>
      <c r="G24" s="229">
        <f t="shared" si="10"/>
        <v>101328.12536999999</v>
      </c>
      <c r="H24" s="229">
        <f t="shared" si="10"/>
        <v>105907.18786000001</v>
      </c>
      <c r="I24" s="229">
        <f t="shared" si="10"/>
        <v>106779.22629000001</v>
      </c>
      <c r="J24" s="229">
        <f t="shared" si="10"/>
        <v>107309.07186</v>
      </c>
      <c r="K24" s="229">
        <f t="shared" si="10"/>
        <v>108729.09073</v>
      </c>
      <c r="L24" s="229">
        <f t="shared" si="10"/>
        <v>111186.58169000001</v>
      </c>
      <c r="M24" s="268">
        <f t="shared" si="10"/>
        <v>114169.04061999999</v>
      </c>
      <c r="N24" s="267">
        <f t="shared" si="10"/>
        <v>114976.70507999999</v>
      </c>
      <c r="O24" s="229">
        <f t="shared" si="10"/>
        <v>116232.02015000001</v>
      </c>
      <c r="P24" s="229">
        <f t="shared" si="10"/>
        <v>115225.80398999999</v>
      </c>
      <c r="Q24" s="229">
        <f t="shared" si="10"/>
        <v>116085.90543999999</v>
      </c>
      <c r="R24" s="229">
        <f t="shared" si="10"/>
        <v>116725.02665</v>
      </c>
      <c r="S24" s="229">
        <f t="shared" si="10"/>
        <v>117310.77231</v>
      </c>
      <c r="T24" s="229">
        <f t="shared" si="10"/>
        <v>116291.68661</v>
      </c>
      <c r="U24" s="229">
        <f t="shared" si="10"/>
        <v>116904.62976000001</v>
      </c>
      <c r="V24" s="229">
        <f t="shared" si="10"/>
        <v>117474.62619</v>
      </c>
      <c r="W24" s="229">
        <f t="shared" si="10"/>
        <v>118091.66725</v>
      </c>
      <c r="X24" s="229">
        <f t="shared" si="10"/>
        <v>120149.26457999999</v>
      </c>
      <c r="Y24" s="268">
        <f t="shared" si="10"/>
        <v>122661.90071</v>
      </c>
      <c r="Z24" s="267">
        <f t="shared" si="10"/>
        <v>121465.15801999999</v>
      </c>
      <c r="AA24" s="229">
        <f t="shared" si="10"/>
        <v>122105.90155000001</v>
      </c>
      <c r="AB24" s="229">
        <f t="shared" si="10"/>
        <v>122534.22570000001</v>
      </c>
      <c r="AC24" s="229">
        <f t="shared" si="10"/>
        <v>121946.15837999998</v>
      </c>
      <c r="AD24" s="229">
        <f t="shared" si="10"/>
        <v>123019.96846999999</v>
      </c>
      <c r="AE24" s="229">
        <f t="shared" si="10"/>
        <v>122167.91738999999</v>
      </c>
      <c r="AF24" s="229">
        <f t="shared" si="10"/>
        <v>121273.28402000001</v>
      </c>
      <c r="AG24" s="229">
        <f t="shared" si="10"/>
        <v>120292.20825</v>
      </c>
      <c r="AH24" s="229">
        <f t="shared" si="10"/>
        <v>120024.06054999999</v>
      </c>
      <c r="AI24" s="229">
        <f t="shared" si="10"/>
        <v>120529.27531999999</v>
      </c>
      <c r="AJ24" s="229">
        <f t="shared" si="10"/>
        <v>122129.70677999999</v>
      </c>
      <c r="AK24" s="268">
        <f t="shared" si="10"/>
        <v>126110.6376</v>
      </c>
      <c r="AL24" s="267">
        <f t="shared" si="10"/>
        <v>125696.59990999999</v>
      </c>
      <c r="AM24" s="229">
        <f t="shared" si="10"/>
        <v>126990.38980999999</v>
      </c>
      <c r="AN24" s="229">
        <f t="shared" si="10"/>
        <v>127990.86820999999</v>
      </c>
      <c r="AO24" s="229">
        <f t="shared" si="10"/>
        <v>129033.16850000001</v>
      </c>
      <c r="AP24" s="229">
        <f t="shared" si="10"/>
        <v>129917.2678</v>
      </c>
      <c r="AQ24" s="229">
        <f t="shared" si="10"/>
        <v>130937.46072999999</v>
      </c>
      <c r="AR24" s="229">
        <f t="shared" si="10"/>
        <v>130634.54375</v>
      </c>
      <c r="AS24" s="229">
        <f t="shared" si="10"/>
        <v>132797.25373999999</v>
      </c>
      <c r="AT24" s="229">
        <f t="shared" si="10"/>
        <v>134114.99361999999</v>
      </c>
      <c r="AU24" s="229">
        <f t="shared" si="10"/>
        <v>136428.60024</v>
      </c>
      <c r="AV24" s="229">
        <f t="shared" si="10"/>
        <v>139777.07084999999</v>
      </c>
      <c r="AW24" s="268">
        <f t="shared" si="10"/>
        <v>143004.77497999999</v>
      </c>
      <c r="AX24" s="267">
        <f t="shared" si="10"/>
        <v>143604.53774</v>
      </c>
      <c r="AY24" s="229">
        <f t="shared" si="10"/>
        <v>145953.76373000001</v>
      </c>
      <c r="AZ24" s="229">
        <f t="shared" si="10"/>
        <v>147517.82513000001</v>
      </c>
      <c r="BA24" s="229">
        <f t="shared" si="10"/>
        <v>148974.21551000001</v>
      </c>
      <c r="BB24" s="229">
        <f t="shared" si="10"/>
        <v>150116.32865000001</v>
      </c>
      <c r="BC24" s="229">
        <f t="shared" si="10"/>
        <v>149606.16749000002</v>
      </c>
      <c r="BD24" s="229">
        <f t="shared" si="10"/>
        <v>151248.44805000001</v>
      </c>
      <c r="BE24" s="229">
        <f t="shared" si="10"/>
        <v>152944.56573999999</v>
      </c>
      <c r="BF24" s="229">
        <f t="shared" si="10"/>
        <v>155581.01738</v>
      </c>
      <c r="BG24" s="229">
        <f t="shared" si="10"/>
        <v>158298.76812999998</v>
      </c>
      <c r="BH24" s="229">
        <f t="shared" si="10"/>
        <v>163416.48624</v>
      </c>
      <c r="BI24" s="268">
        <f t="shared" si="10"/>
        <v>168010.53089999998</v>
      </c>
      <c r="BJ24" s="267">
        <f t="shared" si="10"/>
        <v>172130.52557</v>
      </c>
      <c r="BK24" s="229">
        <f t="shared" si="10"/>
        <v>175871.5</v>
      </c>
      <c r="BL24" s="229">
        <f t="shared" si="10"/>
        <v>176261</v>
      </c>
      <c r="BM24" s="229">
        <f t="shared" si="10"/>
        <v>172929.5</v>
      </c>
      <c r="BN24" s="229">
        <f t="shared" ref="BN24:BU24" si="11">SUM(BN25:BN31)</f>
        <v>169862</v>
      </c>
      <c r="BO24" s="229">
        <f t="shared" si="11"/>
        <v>170883</v>
      </c>
      <c r="BP24" s="229">
        <f t="shared" si="11"/>
        <v>173979.4</v>
      </c>
      <c r="BQ24" s="229">
        <f t="shared" si="11"/>
        <v>200385.32689999999</v>
      </c>
      <c r="BR24" s="229">
        <f t="shared" si="11"/>
        <v>174702.5</v>
      </c>
      <c r="BS24" s="229">
        <f t="shared" si="11"/>
        <v>173747</v>
      </c>
      <c r="BT24" s="229">
        <f t="shared" si="11"/>
        <v>172968</v>
      </c>
      <c r="BU24" s="268">
        <f t="shared" si="11"/>
        <v>171698</v>
      </c>
      <c r="BW24" s="379">
        <f t="shared" si="2"/>
        <v>-0.73423985939595759</v>
      </c>
      <c r="BX24" s="379">
        <f t="shared" si="3"/>
        <v>2.1947845056181636</v>
      </c>
      <c r="BZ24" s="208">
        <f t="shared" si="4"/>
        <v>0.10118084181094308</v>
      </c>
      <c r="CB24" s="138" t="s">
        <v>233</v>
      </c>
    </row>
    <row r="25" spans="1:84" ht="15" customHeight="1" x14ac:dyDescent="0.25">
      <c r="A25" s="403" t="s">
        <v>498</v>
      </c>
      <c r="B25" s="162">
        <v>51466.562549999995</v>
      </c>
      <c r="C25" s="151">
        <v>51480.748330000002</v>
      </c>
      <c r="D25" s="151">
        <v>52278.82548</v>
      </c>
      <c r="E25" s="151">
        <v>52775.862119999998</v>
      </c>
      <c r="F25" s="151">
        <v>53172.578099999999</v>
      </c>
      <c r="G25" s="151">
        <v>53182.49437</v>
      </c>
      <c r="H25" s="151">
        <v>53503.972829999999</v>
      </c>
      <c r="I25" s="151">
        <v>53558.489170000001</v>
      </c>
      <c r="J25" s="151">
        <v>53134.640249999997</v>
      </c>
      <c r="K25" s="151">
        <v>53935.132140000002</v>
      </c>
      <c r="L25" s="151">
        <v>55342.122880000003</v>
      </c>
      <c r="M25" s="241">
        <v>55963.812169999997</v>
      </c>
      <c r="N25" s="162">
        <v>56551.249559999997</v>
      </c>
      <c r="O25" s="151">
        <v>57437.332820000003</v>
      </c>
      <c r="P25" s="151">
        <v>56904.988079999996</v>
      </c>
      <c r="Q25" s="151">
        <v>57922.69889</v>
      </c>
      <c r="R25" s="151">
        <v>59021.337550000004</v>
      </c>
      <c r="S25" s="151">
        <v>59186.356360000005</v>
      </c>
      <c r="T25" s="151">
        <v>58738.567150000003</v>
      </c>
      <c r="U25" s="151">
        <v>58875.239590000005</v>
      </c>
      <c r="V25" s="151">
        <v>58787.316319999998</v>
      </c>
      <c r="W25" s="151">
        <v>59288.663839999994</v>
      </c>
      <c r="X25" s="151">
        <v>60541.841260000001</v>
      </c>
      <c r="Y25" s="241">
        <v>60901.585099999997</v>
      </c>
      <c r="Z25" s="162">
        <v>60906.299519999993</v>
      </c>
      <c r="AA25" s="151">
        <v>61379.726160000006</v>
      </c>
      <c r="AB25" s="151">
        <v>61748.421430000002</v>
      </c>
      <c r="AC25" s="151">
        <v>61542.724109999996</v>
      </c>
      <c r="AD25" s="151">
        <v>62241.62629</v>
      </c>
      <c r="AE25" s="151">
        <v>62008.653700000003</v>
      </c>
      <c r="AF25" s="151">
        <v>61880.058279999997</v>
      </c>
      <c r="AG25" s="151">
        <v>61488.444919999994</v>
      </c>
      <c r="AH25" s="151">
        <v>60390.26096</v>
      </c>
      <c r="AI25" s="151">
        <v>60483.597829999999</v>
      </c>
      <c r="AJ25" s="151">
        <v>61244.471909999993</v>
      </c>
      <c r="AK25" s="241">
        <v>62982.177539999997</v>
      </c>
      <c r="AL25" s="162">
        <v>62977.24222</v>
      </c>
      <c r="AM25" s="151">
        <v>64188.312239999999</v>
      </c>
      <c r="AN25" s="151">
        <v>65172.513039999998</v>
      </c>
      <c r="AO25" s="151">
        <v>66075.917420000012</v>
      </c>
      <c r="AP25" s="151">
        <v>66299.827080000003</v>
      </c>
      <c r="AQ25" s="151">
        <v>66924.707060000001</v>
      </c>
      <c r="AR25" s="151">
        <v>66953.680200000003</v>
      </c>
      <c r="AS25" s="151">
        <v>68496.517070000002</v>
      </c>
      <c r="AT25" s="151">
        <v>69090.909620000006</v>
      </c>
      <c r="AU25" s="151">
        <v>70427.297919999997</v>
      </c>
      <c r="AV25" s="151">
        <v>71924.881500000003</v>
      </c>
      <c r="AW25" s="241">
        <v>73230.488909999985</v>
      </c>
      <c r="AX25" s="162">
        <v>73754.681129999997</v>
      </c>
      <c r="AY25" s="151">
        <v>75151.524590000001</v>
      </c>
      <c r="AZ25" s="151">
        <v>76086.502310000011</v>
      </c>
      <c r="BA25" s="151">
        <v>76420.04598000001</v>
      </c>
      <c r="BB25" s="151">
        <v>76415.927089999997</v>
      </c>
      <c r="BC25" s="151">
        <v>76860.863389999999</v>
      </c>
      <c r="BD25" s="151">
        <v>77247.735010000004</v>
      </c>
      <c r="BE25" s="151">
        <v>78642.519889999996</v>
      </c>
      <c r="BF25" s="151">
        <v>80263.138319999998</v>
      </c>
      <c r="BG25" s="151">
        <v>81550.088239999997</v>
      </c>
      <c r="BH25" s="151">
        <v>83000.185989999998</v>
      </c>
      <c r="BI25" s="241">
        <v>83087.681530000002</v>
      </c>
      <c r="BJ25" s="162">
        <v>85299.647890000007</v>
      </c>
      <c r="BK25" s="151">
        <v>86303.3</v>
      </c>
      <c r="BL25" s="151">
        <v>86522.5</v>
      </c>
      <c r="BM25" s="151">
        <v>84897.2</v>
      </c>
      <c r="BN25" s="151">
        <v>83465</v>
      </c>
      <c r="BO25" s="151">
        <v>82321.5</v>
      </c>
      <c r="BP25" s="151">
        <v>81570.399999999994</v>
      </c>
      <c r="BQ25" s="151">
        <v>80266.082179999998</v>
      </c>
      <c r="BR25" s="151">
        <v>77535.399999999994</v>
      </c>
      <c r="BS25" s="151">
        <v>74023</v>
      </c>
      <c r="BT25" s="151">
        <v>70952.5</v>
      </c>
      <c r="BU25" s="241">
        <v>67445.5</v>
      </c>
      <c r="BW25" s="184">
        <f t="shared" si="2"/>
        <v>-4.9427433846587547</v>
      </c>
      <c r="BX25" s="184">
        <f t="shared" si="3"/>
        <v>-18.826113861839033</v>
      </c>
      <c r="BZ25" s="208">
        <f t="shared" si="4"/>
        <v>5.0140381266525612E-2</v>
      </c>
      <c r="CB25" s="138"/>
    </row>
    <row r="26" spans="1:84" ht="15" customHeight="1" x14ac:dyDescent="0.25">
      <c r="A26" s="403" t="s">
        <v>522</v>
      </c>
      <c r="B26" s="162">
        <v>40571.741649999996</v>
      </c>
      <c r="C26" s="151">
        <v>40844.38523</v>
      </c>
      <c r="D26" s="151">
        <v>41365.483010000004</v>
      </c>
      <c r="E26" s="151">
        <v>41031.609669999998</v>
      </c>
      <c r="F26" s="151">
        <v>41124.728820000004</v>
      </c>
      <c r="G26" s="151">
        <v>41164.551659999997</v>
      </c>
      <c r="H26" s="151">
        <v>41088.691529999996</v>
      </c>
      <c r="I26" s="151">
        <v>41314.006850000005</v>
      </c>
      <c r="J26" s="151">
        <v>41833.142639999998</v>
      </c>
      <c r="K26" s="151">
        <v>42026.817609999998</v>
      </c>
      <c r="L26" s="151">
        <v>42391.39069</v>
      </c>
      <c r="M26" s="241">
        <v>43601.223830000003</v>
      </c>
      <c r="N26" s="162">
        <v>43534.678229999998</v>
      </c>
      <c r="O26" s="151">
        <v>43599.280729999999</v>
      </c>
      <c r="P26" s="151">
        <v>42895.160449999996</v>
      </c>
      <c r="Q26" s="151">
        <v>42723.745349999997</v>
      </c>
      <c r="R26" s="151">
        <v>41707.682929999995</v>
      </c>
      <c r="S26" s="151">
        <v>41852.884059999997</v>
      </c>
      <c r="T26" s="151">
        <v>41048.972730000001</v>
      </c>
      <c r="U26" s="151">
        <v>40988.261749999998</v>
      </c>
      <c r="V26" s="151">
        <v>41309.504659999999</v>
      </c>
      <c r="W26" s="151">
        <v>41100.180260000001</v>
      </c>
      <c r="X26" s="151">
        <v>41511.004710000001</v>
      </c>
      <c r="Y26" s="241">
        <v>42365.546499999997</v>
      </c>
      <c r="Z26" s="162">
        <v>41088.549740000002</v>
      </c>
      <c r="AA26" s="151">
        <v>40793.788479999996</v>
      </c>
      <c r="AB26" s="151">
        <v>40530.072180000003</v>
      </c>
      <c r="AC26" s="151">
        <v>39842.03716</v>
      </c>
      <c r="AD26" s="151">
        <v>39704.929899999996</v>
      </c>
      <c r="AE26" s="151">
        <v>38607.462469999999</v>
      </c>
      <c r="AF26" s="151">
        <v>37453.110700000005</v>
      </c>
      <c r="AG26" s="151">
        <v>36781.434820000002</v>
      </c>
      <c r="AH26" s="151">
        <v>37302.824640000006</v>
      </c>
      <c r="AI26" s="151">
        <v>37510.991159999998</v>
      </c>
      <c r="AJ26" s="151">
        <v>37865.029450000002</v>
      </c>
      <c r="AK26" s="241">
        <v>38653.283940000001</v>
      </c>
      <c r="AL26" s="162">
        <v>37803.788329999996</v>
      </c>
      <c r="AM26" s="151">
        <v>37525.422160000002</v>
      </c>
      <c r="AN26" s="151">
        <v>37386.533080000001</v>
      </c>
      <c r="AO26" s="151">
        <v>37184.342810000002</v>
      </c>
      <c r="AP26" s="151">
        <v>37237.843160000004</v>
      </c>
      <c r="AQ26" s="151">
        <v>37311.726839999996</v>
      </c>
      <c r="AR26" s="151">
        <v>36857.959790000001</v>
      </c>
      <c r="AS26" s="151">
        <v>37075.28512</v>
      </c>
      <c r="AT26" s="151">
        <v>37405.420409999999</v>
      </c>
      <c r="AU26" s="151">
        <v>37840.566630000001</v>
      </c>
      <c r="AV26" s="151">
        <v>38699.702499999999</v>
      </c>
      <c r="AW26" s="241">
        <v>39230.891149999996</v>
      </c>
      <c r="AX26" s="162">
        <v>38746.889620000002</v>
      </c>
      <c r="AY26" s="151">
        <v>39277.478210000001</v>
      </c>
      <c r="AZ26" s="151">
        <v>39566.480589999999</v>
      </c>
      <c r="BA26" s="151">
        <v>39959.488740000001</v>
      </c>
      <c r="BB26" s="151">
        <v>40881.549150000006</v>
      </c>
      <c r="BC26" s="151">
        <v>39939.823430000004</v>
      </c>
      <c r="BD26" s="151">
        <v>40698.814940000004</v>
      </c>
      <c r="BE26" s="151">
        <v>40988.891730000003</v>
      </c>
      <c r="BF26" s="151">
        <v>41944.891439999999</v>
      </c>
      <c r="BG26" s="151">
        <v>43266.194099999993</v>
      </c>
      <c r="BH26" s="151">
        <v>44677.503470000003</v>
      </c>
      <c r="BI26" s="241">
        <v>46116.020080000002</v>
      </c>
      <c r="BJ26" s="162">
        <v>46418.155460000002</v>
      </c>
      <c r="BK26" s="151">
        <v>46813.2</v>
      </c>
      <c r="BL26" s="151">
        <v>45975.5</v>
      </c>
      <c r="BM26" s="151">
        <v>45424.3</v>
      </c>
      <c r="BN26" s="151">
        <v>44792</v>
      </c>
      <c r="BO26" s="151">
        <v>46266.5</v>
      </c>
      <c r="BP26" s="151">
        <v>48103</v>
      </c>
      <c r="BQ26" s="151">
        <v>49386.744720000002</v>
      </c>
      <c r="BR26" s="151">
        <v>51699.1</v>
      </c>
      <c r="BS26" s="151">
        <v>52720</v>
      </c>
      <c r="BT26" s="151">
        <v>53793.5</v>
      </c>
      <c r="BU26" s="241">
        <v>55342.5</v>
      </c>
      <c r="BW26" s="184">
        <f t="shared" si="2"/>
        <v>2.8795300547463931</v>
      </c>
      <c r="BX26" s="184">
        <f t="shared" si="3"/>
        <v>20.007103613872836</v>
      </c>
      <c r="BZ26" s="208">
        <f t="shared" si="4"/>
        <v>2.7285271041852802E-2</v>
      </c>
      <c r="CB26" s="138"/>
    </row>
    <row r="27" spans="1:84" ht="15" customHeight="1" x14ac:dyDescent="0.25">
      <c r="A27" s="403" t="s">
        <v>523</v>
      </c>
      <c r="B27" s="162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241"/>
      <c r="N27" s="162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241"/>
      <c r="Z27" s="162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241"/>
      <c r="AL27" s="162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241"/>
      <c r="AX27" s="162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241"/>
      <c r="BJ27" s="162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241"/>
      <c r="BW27" s="184" t="str">
        <f t="shared" si="2"/>
        <v>-</v>
      </c>
      <c r="BX27" s="184" t="str">
        <f t="shared" si="3"/>
        <v>-</v>
      </c>
      <c r="BZ27" s="208">
        <f t="shared" si="4"/>
        <v>0</v>
      </c>
      <c r="CB27" s="138"/>
    </row>
    <row r="28" spans="1:84" ht="15" customHeight="1" x14ac:dyDescent="0.25">
      <c r="A28" s="403" t="s">
        <v>524</v>
      </c>
      <c r="B28" s="162">
        <v>6496.2797399999999</v>
      </c>
      <c r="C28" s="151">
        <v>6513.8587499999994</v>
      </c>
      <c r="D28" s="151">
        <v>6652.5726400000003</v>
      </c>
      <c r="E28" s="151">
        <v>6769.1036899999999</v>
      </c>
      <c r="F28" s="151">
        <v>6965.9991</v>
      </c>
      <c r="G28" s="151">
        <v>6981.0793400000002</v>
      </c>
      <c r="H28" s="151">
        <v>7131.7567600000002</v>
      </c>
      <c r="I28" s="151">
        <v>7366.5628400000005</v>
      </c>
      <c r="J28" s="151">
        <v>7469.6497200000003</v>
      </c>
      <c r="K28" s="151">
        <v>7639.7213400000001</v>
      </c>
      <c r="L28" s="151">
        <v>7880.712590000001</v>
      </c>
      <c r="M28" s="241">
        <v>8256.7405299999991</v>
      </c>
      <c r="N28" s="162">
        <v>8349.2147499999992</v>
      </c>
      <c r="O28" s="151">
        <v>8346.8111900000004</v>
      </c>
      <c r="P28" s="151">
        <v>8097.7154599999994</v>
      </c>
      <c r="Q28" s="151">
        <v>7793.1078799999996</v>
      </c>
      <c r="R28" s="151">
        <v>7676.7191699999994</v>
      </c>
      <c r="S28" s="151">
        <v>7469.3293299999987</v>
      </c>
      <c r="T28" s="151">
        <v>7327.1464200000009</v>
      </c>
      <c r="U28" s="151">
        <v>7388.5334500000008</v>
      </c>
      <c r="V28" s="151">
        <v>7361.6676499999994</v>
      </c>
      <c r="W28" s="151">
        <v>7539.0368100000005</v>
      </c>
      <c r="X28" s="151">
        <v>7694.0895</v>
      </c>
      <c r="Y28" s="241">
        <v>8450.4575000000004</v>
      </c>
      <c r="Z28" s="162">
        <v>8476.9620900000009</v>
      </c>
      <c r="AA28" s="151">
        <v>8476.9743600000002</v>
      </c>
      <c r="AB28" s="151">
        <v>8475.6635100000003</v>
      </c>
      <c r="AC28" s="151">
        <v>8550.6912299999985</v>
      </c>
      <c r="AD28" s="151">
        <v>8848.6743700000006</v>
      </c>
      <c r="AE28" s="151">
        <v>8984.9892099999997</v>
      </c>
      <c r="AF28" s="151">
        <v>9299.2826600000008</v>
      </c>
      <c r="AG28" s="151">
        <v>9464.7380400000002</v>
      </c>
      <c r="AH28" s="151">
        <v>9701.1284599999999</v>
      </c>
      <c r="AI28" s="151">
        <v>9868.36859</v>
      </c>
      <c r="AJ28" s="151">
        <v>10227.50489</v>
      </c>
      <c r="AK28" s="241">
        <v>11127.47968</v>
      </c>
      <c r="AL28" s="162">
        <v>11275.47163</v>
      </c>
      <c r="AM28" s="151">
        <v>11351.82216</v>
      </c>
      <c r="AN28" s="151">
        <v>11218.318200000002</v>
      </c>
      <c r="AO28" s="151">
        <v>11097.72215</v>
      </c>
      <c r="AP28" s="151">
        <v>11126.17851</v>
      </c>
      <c r="AQ28" s="151">
        <v>11180.64359</v>
      </c>
      <c r="AR28" s="151">
        <v>11216.731460000001</v>
      </c>
      <c r="AS28" s="151">
        <v>11361.37645</v>
      </c>
      <c r="AT28" s="151">
        <v>11598.713179999999</v>
      </c>
      <c r="AU28" s="151">
        <v>11753.154310000002</v>
      </c>
      <c r="AV28" s="151">
        <v>11949.77435</v>
      </c>
      <c r="AW28" s="241">
        <v>12510.09842</v>
      </c>
      <c r="AX28" s="162">
        <v>12590.66563</v>
      </c>
      <c r="AY28" s="151">
        <v>12475.491050000001</v>
      </c>
      <c r="AZ28" s="151">
        <v>12186.479440000001</v>
      </c>
      <c r="BA28" s="151">
        <v>11999.315909999999</v>
      </c>
      <c r="BB28" s="151">
        <v>11904.384259999999</v>
      </c>
      <c r="BC28" s="151">
        <v>11783.803020000001</v>
      </c>
      <c r="BD28" s="151">
        <v>11913.989669999999</v>
      </c>
      <c r="BE28" s="151">
        <v>11850.30083</v>
      </c>
      <c r="BF28" s="151">
        <v>11755.160550000001</v>
      </c>
      <c r="BG28" s="151">
        <v>11829.91121</v>
      </c>
      <c r="BH28" s="151">
        <v>12038.17527</v>
      </c>
      <c r="BI28" s="241">
        <v>12816.88464</v>
      </c>
      <c r="BJ28" s="162">
        <v>13096.707969999999</v>
      </c>
      <c r="BK28" s="151">
        <v>13252</v>
      </c>
      <c r="BL28" s="151">
        <v>13277</v>
      </c>
      <c r="BM28" s="151">
        <v>13160</v>
      </c>
      <c r="BN28" s="151">
        <v>13106</v>
      </c>
      <c r="BO28" s="151">
        <v>13065</v>
      </c>
      <c r="BP28" s="151">
        <v>13107</v>
      </c>
      <c r="BQ28" s="151">
        <v>38909.5</v>
      </c>
      <c r="BR28" s="151">
        <v>13163</v>
      </c>
      <c r="BS28" s="151">
        <v>12755</v>
      </c>
      <c r="BT28" s="151">
        <v>12204</v>
      </c>
      <c r="BU28" s="241">
        <v>12289</v>
      </c>
      <c r="BW28" s="184">
        <f t="shared" si="2"/>
        <v>0.69649295313012338</v>
      </c>
      <c r="BX28" s="184">
        <f t="shared" si="3"/>
        <v>-4.1186657665040816</v>
      </c>
      <c r="BZ28" s="208">
        <f t="shared" si="4"/>
        <v>7.6984365961155271E-3</v>
      </c>
      <c r="CB28" s="138"/>
    </row>
    <row r="29" spans="1:84" ht="15" customHeight="1" x14ac:dyDescent="0.25">
      <c r="A29" s="403" t="s">
        <v>501</v>
      </c>
      <c r="B29" s="162">
        <v>17537.642329999999</v>
      </c>
      <c r="C29" s="151">
        <v>17555.558430000001</v>
      </c>
      <c r="D29" s="151"/>
      <c r="E29" s="151"/>
      <c r="F29" s="151"/>
      <c r="G29" s="151"/>
      <c r="H29" s="151"/>
      <c r="I29" s="151"/>
      <c r="J29" s="151"/>
      <c r="K29" s="151"/>
      <c r="L29" s="151"/>
      <c r="M29" s="241"/>
      <c r="N29" s="162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241"/>
      <c r="Z29" s="162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241"/>
      <c r="AL29" s="162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241"/>
      <c r="AX29" s="162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241"/>
      <c r="BJ29" s="162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241"/>
      <c r="BW29" s="184" t="str">
        <f t="shared" si="2"/>
        <v>-</v>
      </c>
      <c r="BX29" s="184" t="str">
        <f t="shared" si="3"/>
        <v>-</v>
      </c>
      <c r="BZ29" s="208">
        <f t="shared" si="4"/>
        <v>0</v>
      </c>
      <c r="CB29" s="138"/>
    </row>
    <row r="30" spans="1:84" ht="15" customHeight="1" x14ac:dyDescent="0.25">
      <c r="A30" s="403" t="s">
        <v>500</v>
      </c>
      <c r="B30" s="162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241"/>
      <c r="N30" s="162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241"/>
      <c r="Z30" s="162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241"/>
      <c r="AL30" s="162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241"/>
      <c r="AX30" s="162"/>
      <c r="AY30" s="151"/>
      <c r="AZ30" s="151"/>
      <c r="BA30" s="151"/>
      <c r="BB30" s="151"/>
      <c r="BC30" s="151"/>
      <c r="BD30" s="151"/>
      <c r="BE30" s="151"/>
      <c r="BF30" s="151"/>
      <c r="BG30" s="151">
        <v>2.08</v>
      </c>
      <c r="BH30" s="151">
        <v>1871.8263100000001</v>
      </c>
      <c r="BI30" s="241">
        <v>3498.2761</v>
      </c>
      <c r="BJ30" s="162">
        <v>5058.9396799999995</v>
      </c>
      <c r="BK30" s="151">
        <v>7001</v>
      </c>
      <c r="BL30" s="151">
        <v>8342</v>
      </c>
      <c r="BM30" s="151">
        <v>8307</v>
      </c>
      <c r="BN30" s="151">
        <v>8212</v>
      </c>
      <c r="BO30" s="151">
        <v>9121</v>
      </c>
      <c r="BP30" s="151">
        <v>10984</v>
      </c>
      <c r="BQ30" s="151">
        <v>11706</v>
      </c>
      <c r="BR30" s="151">
        <v>12106</v>
      </c>
      <c r="BS30" s="151">
        <v>14268</v>
      </c>
      <c r="BT30" s="151">
        <v>16583</v>
      </c>
      <c r="BU30" s="241">
        <v>17556</v>
      </c>
      <c r="BW30" s="184">
        <f t="shared" si="2"/>
        <v>5.8674546222034607</v>
      </c>
      <c r="BX30" s="184">
        <f t="shared" si="3"/>
        <v>401.84718124449921</v>
      </c>
      <c r="BZ30" s="208">
        <f t="shared" si="4"/>
        <v>2.9737187741579437E-3</v>
      </c>
      <c r="CB30" s="138"/>
    </row>
    <row r="31" spans="1:84" ht="15" customHeight="1" x14ac:dyDescent="0.25">
      <c r="A31" s="403" t="s">
        <v>525</v>
      </c>
      <c r="B31" s="162"/>
      <c r="C31" s="151"/>
      <c r="D31" s="151"/>
      <c r="E31" s="151"/>
      <c r="F31" s="151"/>
      <c r="G31" s="151"/>
      <c r="H31" s="151">
        <v>4182.76674</v>
      </c>
      <c r="I31" s="151">
        <v>4540.1674299999995</v>
      </c>
      <c r="J31" s="151">
        <v>4871.6392500000002</v>
      </c>
      <c r="K31" s="151">
        <v>5127.4196400000001</v>
      </c>
      <c r="L31" s="151">
        <v>5572.3555299999998</v>
      </c>
      <c r="M31" s="241">
        <v>6347.2640899999997</v>
      </c>
      <c r="N31" s="162">
        <v>6541.5625399999999</v>
      </c>
      <c r="O31" s="151">
        <v>6848.5954099999999</v>
      </c>
      <c r="P31" s="151">
        <v>7327.94</v>
      </c>
      <c r="Q31" s="151">
        <v>7646.3533200000002</v>
      </c>
      <c r="R31" s="151">
        <v>8319.2870000000003</v>
      </c>
      <c r="S31" s="151">
        <v>8802.2025599999997</v>
      </c>
      <c r="T31" s="151">
        <v>9177.0003100000013</v>
      </c>
      <c r="U31" s="151">
        <v>9652.5949700000001</v>
      </c>
      <c r="V31" s="151">
        <v>10016.137560000001</v>
      </c>
      <c r="W31" s="151">
        <v>10163.786340000001</v>
      </c>
      <c r="X31" s="151">
        <v>10402.329109999999</v>
      </c>
      <c r="Y31" s="241">
        <v>10944.311609999999</v>
      </c>
      <c r="Z31" s="162">
        <v>10993.346670000001</v>
      </c>
      <c r="AA31" s="151">
        <v>11455.412550000001</v>
      </c>
      <c r="AB31" s="151">
        <v>11780.068579999999</v>
      </c>
      <c r="AC31" s="151">
        <v>12010.705880000001</v>
      </c>
      <c r="AD31" s="151">
        <v>12224.73791</v>
      </c>
      <c r="AE31" s="151">
        <v>12566.81201</v>
      </c>
      <c r="AF31" s="151">
        <v>12640.832380000002</v>
      </c>
      <c r="AG31" s="151">
        <v>12557.590470000001</v>
      </c>
      <c r="AH31" s="151">
        <v>12629.84649</v>
      </c>
      <c r="AI31" s="151">
        <v>12666.31774</v>
      </c>
      <c r="AJ31" s="151">
        <v>12792.70053</v>
      </c>
      <c r="AK31" s="241">
        <v>13347.69644</v>
      </c>
      <c r="AL31" s="162">
        <v>13640.097730000001</v>
      </c>
      <c r="AM31" s="151">
        <v>13924.83325</v>
      </c>
      <c r="AN31" s="151">
        <v>14213.50389</v>
      </c>
      <c r="AO31" s="151">
        <v>14675.186119999998</v>
      </c>
      <c r="AP31" s="151">
        <v>15253.41905</v>
      </c>
      <c r="AQ31" s="151">
        <v>15520.383240000001</v>
      </c>
      <c r="AR31" s="151">
        <v>15606.1723</v>
      </c>
      <c r="AS31" s="151">
        <v>15864.0751</v>
      </c>
      <c r="AT31" s="151">
        <v>16019.950409999999</v>
      </c>
      <c r="AU31" s="151">
        <v>16407.58138</v>
      </c>
      <c r="AV31" s="151">
        <v>17202.712500000001</v>
      </c>
      <c r="AW31" s="241">
        <v>18033.2965</v>
      </c>
      <c r="AX31" s="162">
        <v>18512.301359999998</v>
      </c>
      <c r="AY31" s="151">
        <v>19049.26988</v>
      </c>
      <c r="AZ31" s="151">
        <v>19678.362789999999</v>
      </c>
      <c r="BA31" s="151">
        <v>20595.364879999997</v>
      </c>
      <c r="BB31" s="151">
        <v>20914.468149999997</v>
      </c>
      <c r="BC31" s="151">
        <v>21021.677649999998</v>
      </c>
      <c r="BD31" s="151">
        <v>21387.908429999999</v>
      </c>
      <c r="BE31" s="151">
        <v>21462.853289999999</v>
      </c>
      <c r="BF31" s="151">
        <v>21617.827069999999</v>
      </c>
      <c r="BG31" s="151">
        <v>21650.494579999999</v>
      </c>
      <c r="BH31" s="151">
        <v>21828.7952</v>
      </c>
      <c r="BI31" s="241">
        <v>22491.668550000002</v>
      </c>
      <c r="BJ31" s="162">
        <v>22257.074570000001</v>
      </c>
      <c r="BK31" s="151">
        <v>22502</v>
      </c>
      <c r="BL31" s="151">
        <v>22144</v>
      </c>
      <c r="BM31" s="151">
        <v>21141</v>
      </c>
      <c r="BN31" s="151">
        <v>20287</v>
      </c>
      <c r="BO31" s="151">
        <v>20109</v>
      </c>
      <c r="BP31" s="151">
        <v>20215</v>
      </c>
      <c r="BQ31" s="151">
        <v>20117</v>
      </c>
      <c r="BR31" s="151">
        <v>20199</v>
      </c>
      <c r="BS31" s="151">
        <v>19981</v>
      </c>
      <c r="BT31" s="151">
        <v>19435</v>
      </c>
      <c r="BU31" s="241">
        <v>19065</v>
      </c>
      <c r="BW31" s="184">
        <f t="shared" si="2"/>
        <v>-1.9037818368922044</v>
      </c>
      <c r="BX31" s="184">
        <f t="shared" si="3"/>
        <v>-15.235279420832482</v>
      </c>
      <c r="BZ31" s="208">
        <f t="shared" si="4"/>
        <v>1.3083034132291206E-2</v>
      </c>
      <c r="CB31" s="138"/>
    </row>
    <row r="32" spans="1:84" ht="15" customHeight="1" x14ac:dyDescent="0.25">
      <c r="A32" s="401" t="s">
        <v>526</v>
      </c>
      <c r="B32" s="267">
        <f t="shared" ref="B32:AG32" si="12">B33+B38+B44</f>
        <v>218703.36243000001</v>
      </c>
      <c r="C32" s="229">
        <f t="shared" si="12"/>
        <v>219259.14112000001</v>
      </c>
      <c r="D32" s="229">
        <f t="shared" si="12"/>
        <v>218954.37035999997</v>
      </c>
      <c r="E32" s="229">
        <f t="shared" si="12"/>
        <v>219568.12732</v>
      </c>
      <c r="F32" s="229">
        <f t="shared" si="12"/>
        <v>221910.22843000002</v>
      </c>
      <c r="G32" s="229">
        <f t="shared" si="12"/>
        <v>190078.73488</v>
      </c>
      <c r="H32" s="229">
        <f t="shared" si="12"/>
        <v>189675.81044</v>
      </c>
      <c r="I32" s="229">
        <f t="shared" si="12"/>
        <v>191482.28737000001</v>
      </c>
      <c r="J32" s="229">
        <f t="shared" si="12"/>
        <v>194162.98903000003</v>
      </c>
      <c r="K32" s="229">
        <f t="shared" si="12"/>
        <v>196589.02061000001</v>
      </c>
      <c r="L32" s="229">
        <f t="shared" si="12"/>
        <v>201064.34907000003</v>
      </c>
      <c r="M32" s="268">
        <f t="shared" si="12"/>
        <v>202390.02520999999</v>
      </c>
      <c r="N32" s="267">
        <f t="shared" si="12"/>
        <v>203321.97791000002</v>
      </c>
      <c r="O32" s="229">
        <f t="shared" si="12"/>
        <v>205668.69441</v>
      </c>
      <c r="P32" s="229">
        <f t="shared" si="12"/>
        <v>205013.81170000002</v>
      </c>
      <c r="Q32" s="229">
        <f t="shared" si="12"/>
        <v>209692.80143999998</v>
      </c>
      <c r="R32" s="229">
        <f t="shared" si="12"/>
        <v>212268.84346</v>
      </c>
      <c r="S32" s="229">
        <f t="shared" si="12"/>
        <v>212235.31868</v>
      </c>
      <c r="T32" s="229">
        <f t="shared" si="12"/>
        <v>214766.41414000001</v>
      </c>
      <c r="U32" s="229">
        <f t="shared" si="12"/>
        <v>216953.92906999998</v>
      </c>
      <c r="V32" s="229">
        <f t="shared" si="12"/>
        <v>220527.47618</v>
      </c>
      <c r="W32" s="229">
        <f t="shared" si="12"/>
        <v>223799.6839</v>
      </c>
      <c r="X32" s="229">
        <f t="shared" si="12"/>
        <v>231185.44766999999</v>
      </c>
      <c r="Y32" s="268">
        <f t="shared" si="12"/>
        <v>234895.03589999999</v>
      </c>
      <c r="Z32" s="267">
        <f t="shared" si="12"/>
        <v>239382.41395000002</v>
      </c>
      <c r="AA32" s="229">
        <f t="shared" si="12"/>
        <v>241974.33367999998</v>
      </c>
      <c r="AB32" s="229">
        <f t="shared" si="12"/>
        <v>243852.32389999999</v>
      </c>
      <c r="AC32" s="229">
        <f t="shared" si="12"/>
        <v>248595.74195999998</v>
      </c>
      <c r="AD32" s="229">
        <f t="shared" si="12"/>
        <v>251362.68116999997</v>
      </c>
      <c r="AE32" s="229">
        <f t="shared" si="12"/>
        <v>253690.48648999998</v>
      </c>
      <c r="AF32" s="229">
        <f t="shared" si="12"/>
        <v>255155.6354</v>
      </c>
      <c r="AG32" s="229">
        <f t="shared" si="12"/>
        <v>258759.76478999999</v>
      </c>
      <c r="AH32" s="229">
        <f t="shared" ref="AH32:BM32" si="13">AH33+AH38+AH44</f>
        <v>261471.72990000001</v>
      </c>
      <c r="AI32" s="229">
        <f t="shared" si="13"/>
        <v>265702.37605999998</v>
      </c>
      <c r="AJ32" s="229">
        <f t="shared" si="13"/>
        <v>271620.64363000001</v>
      </c>
      <c r="AK32" s="268">
        <f t="shared" si="13"/>
        <v>273012.08035999996</v>
      </c>
      <c r="AL32" s="267">
        <f t="shared" si="13"/>
        <v>275526.86231999996</v>
      </c>
      <c r="AM32" s="229">
        <f t="shared" si="13"/>
        <v>281493.18420999998</v>
      </c>
      <c r="AN32" s="229">
        <f t="shared" si="13"/>
        <v>278816.76838000002</v>
      </c>
      <c r="AO32" s="229">
        <f t="shared" si="13"/>
        <v>281393.77035999997</v>
      </c>
      <c r="AP32" s="229">
        <f t="shared" si="13"/>
        <v>282575.70848999999</v>
      </c>
      <c r="AQ32" s="229">
        <f t="shared" si="13"/>
        <v>280941.08280999999</v>
      </c>
      <c r="AR32" s="229">
        <f t="shared" si="13"/>
        <v>281629.68653999997</v>
      </c>
      <c r="AS32" s="229">
        <f t="shared" si="13"/>
        <v>285276.94845000003</v>
      </c>
      <c r="AT32" s="229">
        <f t="shared" si="13"/>
        <v>290962.24720000004</v>
      </c>
      <c r="AU32" s="229">
        <f t="shared" si="13"/>
        <v>292395.29978999996</v>
      </c>
      <c r="AV32" s="229">
        <f t="shared" si="13"/>
        <v>295556.89617000002</v>
      </c>
      <c r="AW32" s="268">
        <f t="shared" si="13"/>
        <v>299371.38341999997</v>
      </c>
      <c r="AX32" s="267">
        <f t="shared" si="13"/>
        <v>300917.56548999995</v>
      </c>
      <c r="AY32" s="229">
        <f t="shared" si="13"/>
        <v>304231.23947000003</v>
      </c>
      <c r="AZ32" s="229">
        <f t="shared" si="13"/>
        <v>303627.43463999999</v>
      </c>
      <c r="BA32" s="229">
        <f t="shared" si="13"/>
        <v>307364.12452000001</v>
      </c>
      <c r="BB32" s="229">
        <f t="shared" si="13"/>
        <v>310003.51994999999</v>
      </c>
      <c r="BC32" s="229">
        <f t="shared" si="13"/>
        <v>309999.05047000002</v>
      </c>
      <c r="BD32" s="229">
        <f t="shared" si="13"/>
        <v>310304.74591</v>
      </c>
      <c r="BE32" s="229">
        <f t="shared" si="13"/>
        <v>313930.78412999999</v>
      </c>
      <c r="BF32" s="229">
        <f t="shared" si="13"/>
        <v>312879.87111000001</v>
      </c>
      <c r="BG32" s="229">
        <f t="shared" si="13"/>
        <v>318224.91269000003</v>
      </c>
      <c r="BH32" s="229">
        <f t="shared" si="13"/>
        <v>315997.21644999995</v>
      </c>
      <c r="BI32" s="268">
        <f t="shared" si="13"/>
        <v>317851.63870999997</v>
      </c>
      <c r="BJ32" s="267">
        <f t="shared" si="13"/>
        <v>316690.73934999999</v>
      </c>
      <c r="BK32" s="229">
        <f t="shared" si="13"/>
        <v>318197.80000000005</v>
      </c>
      <c r="BL32" s="229">
        <f t="shared" si="13"/>
        <v>313563.5</v>
      </c>
      <c r="BM32" s="229">
        <f t="shared" si="13"/>
        <v>308428.09999999998</v>
      </c>
      <c r="BN32" s="229">
        <f t="shared" ref="BN32:BU32" si="14">BN33+BN38+BN44</f>
        <v>304581</v>
      </c>
      <c r="BO32" s="229">
        <f t="shared" si="14"/>
        <v>305543.8</v>
      </c>
      <c r="BP32" s="229">
        <f t="shared" si="14"/>
        <v>311073.00000000006</v>
      </c>
      <c r="BQ32" s="229">
        <f t="shared" si="14"/>
        <v>316389.05645000003</v>
      </c>
      <c r="BR32" s="229">
        <f t="shared" si="14"/>
        <v>326318</v>
      </c>
      <c r="BS32" s="229">
        <f t="shared" si="14"/>
        <v>332435.40000000002</v>
      </c>
      <c r="BT32" s="229">
        <f t="shared" si="14"/>
        <v>338862</v>
      </c>
      <c r="BU32" s="268">
        <f t="shared" si="14"/>
        <v>343183.8</v>
      </c>
      <c r="BW32" s="379">
        <f t="shared" si="2"/>
        <v>1.2753864404978943</v>
      </c>
      <c r="BX32" s="379">
        <f t="shared" si="3"/>
        <v>7.9698067289539543</v>
      </c>
      <c r="BZ32" s="208">
        <f t="shared" si="4"/>
        <v>0.1861554509001489</v>
      </c>
      <c r="CB32" s="138"/>
    </row>
    <row r="33" spans="1:80" ht="15" customHeight="1" x14ac:dyDescent="0.25">
      <c r="A33" s="440" t="s">
        <v>527</v>
      </c>
      <c r="B33" s="267">
        <f t="shared" ref="B33:AR33" si="15">SUM(B34:B37)</f>
        <v>176780.01757000003</v>
      </c>
      <c r="C33" s="229">
        <f t="shared" si="15"/>
        <v>177720.93869000001</v>
      </c>
      <c r="D33" s="229">
        <f t="shared" si="15"/>
        <v>178538.47606999998</v>
      </c>
      <c r="E33" s="229">
        <f t="shared" si="15"/>
        <v>179867.52346999999</v>
      </c>
      <c r="F33" s="229">
        <f t="shared" si="15"/>
        <v>182035.84145000001</v>
      </c>
      <c r="G33" s="229">
        <f t="shared" si="15"/>
        <v>182019.27468999999</v>
      </c>
      <c r="H33" s="229">
        <f t="shared" si="15"/>
        <v>181730.74713</v>
      </c>
      <c r="I33" s="229">
        <f t="shared" si="15"/>
        <v>183541.12513</v>
      </c>
      <c r="J33" s="229">
        <f t="shared" si="15"/>
        <v>186025.09895000001</v>
      </c>
      <c r="K33" s="229">
        <f t="shared" si="15"/>
        <v>188539.34288000001</v>
      </c>
      <c r="L33" s="229">
        <f t="shared" si="15"/>
        <v>192799.74944000001</v>
      </c>
      <c r="M33" s="268">
        <f t="shared" si="15"/>
        <v>194194.12237</v>
      </c>
      <c r="N33" s="267">
        <f t="shared" si="15"/>
        <v>194979.39418</v>
      </c>
      <c r="O33" s="229">
        <f t="shared" si="15"/>
        <v>196981.2622</v>
      </c>
      <c r="P33" s="229">
        <f t="shared" si="15"/>
        <v>196612.12635000001</v>
      </c>
      <c r="Q33" s="229">
        <f t="shared" si="15"/>
        <v>201157.49328</v>
      </c>
      <c r="R33" s="229">
        <f t="shared" si="15"/>
        <v>203449.68601999999</v>
      </c>
      <c r="S33" s="229">
        <f t="shared" si="15"/>
        <v>203359.27455999999</v>
      </c>
      <c r="T33" s="229">
        <f t="shared" si="15"/>
        <v>206003.58743000001</v>
      </c>
      <c r="U33" s="229">
        <f t="shared" si="15"/>
        <v>208075.99804999999</v>
      </c>
      <c r="V33" s="229">
        <f t="shared" si="15"/>
        <v>211229.20924999999</v>
      </c>
      <c r="W33" s="229">
        <f t="shared" si="15"/>
        <v>214215.97719999999</v>
      </c>
      <c r="X33" s="229">
        <f t="shared" si="15"/>
        <v>221049.99421</v>
      </c>
      <c r="Y33" s="268">
        <f t="shared" si="15"/>
        <v>224604.02247999999</v>
      </c>
      <c r="Z33" s="267">
        <f t="shared" si="15"/>
        <v>228936.10197000002</v>
      </c>
      <c r="AA33" s="229">
        <f t="shared" si="15"/>
        <v>231324.40816999998</v>
      </c>
      <c r="AB33" s="229">
        <f t="shared" si="15"/>
        <v>233268.76825999998</v>
      </c>
      <c r="AC33" s="229">
        <f t="shared" si="15"/>
        <v>238251.72516999999</v>
      </c>
      <c r="AD33" s="229">
        <f t="shared" si="15"/>
        <v>241008.07734999998</v>
      </c>
      <c r="AE33" s="229">
        <f t="shared" si="15"/>
        <v>243259.91242999997</v>
      </c>
      <c r="AF33" s="229">
        <f t="shared" si="15"/>
        <v>244328.55778</v>
      </c>
      <c r="AG33" s="229">
        <f t="shared" si="15"/>
        <v>247437.53895999998</v>
      </c>
      <c r="AH33" s="229">
        <f t="shared" si="15"/>
        <v>249739.36738000001</v>
      </c>
      <c r="AI33" s="229">
        <f t="shared" si="15"/>
        <v>253266.56479999999</v>
      </c>
      <c r="AJ33" s="229">
        <f t="shared" si="15"/>
        <v>258208.49331000005</v>
      </c>
      <c r="AK33" s="268">
        <f t="shared" si="15"/>
        <v>259302.14132</v>
      </c>
      <c r="AL33" s="267">
        <f t="shared" si="15"/>
        <v>261141.37951</v>
      </c>
      <c r="AM33" s="229">
        <f t="shared" si="15"/>
        <v>266617.63436999999</v>
      </c>
      <c r="AN33" s="229">
        <f t="shared" si="15"/>
        <v>263524.92800000001</v>
      </c>
      <c r="AO33" s="229">
        <f t="shared" si="15"/>
        <v>266063.58473</v>
      </c>
      <c r="AP33" s="229">
        <f t="shared" si="15"/>
        <v>267294.43221</v>
      </c>
      <c r="AQ33" s="229">
        <f t="shared" si="15"/>
        <v>265913.62675</v>
      </c>
      <c r="AR33" s="229">
        <f t="shared" si="15"/>
        <v>266731.09823999996</v>
      </c>
      <c r="AS33" s="229">
        <f t="shared" ref="AS33:BR33" si="16">SUM(AS34:AS37)</f>
        <v>270313.57392000005</v>
      </c>
      <c r="AT33" s="229">
        <f t="shared" si="16"/>
        <v>276004.38380000001</v>
      </c>
      <c r="AU33" s="229">
        <f t="shared" si="16"/>
        <v>277178.56296000001</v>
      </c>
      <c r="AV33" s="229">
        <f t="shared" si="16"/>
        <v>279786.49856000004</v>
      </c>
      <c r="AW33" s="268">
        <f t="shared" si="16"/>
        <v>284131.64003999997</v>
      </c>
      <c r="AX33" s="267">
        <f t="shared" si="16"/>
        <v>285805.66626999999</v>
      </c>
      <c r="AY33" s="229">
        <f t="shared" si="16"/>
        <v>288898.09464999998</v>
      </c>
      <c r="AZ33" s="229">
        <f t="shared" si="16"/>
        <v>288323.36660000001</v>
      </c>
      <c r="BA33" s="229">
        <f t="shared" si="16"/>
        <v>291637.36619000003</v>
      </c>
      <c r="BB33" s="229">
        <f t="shared" si="16"/>
        <v>294617.64373999997</v>
      </c>
      <c r="BC33" s="229">
        <f t="shared" si="16"/>
        <v>295150.19021999999</v>
      </c>
      <c r="BD33" s="229">
        <f t="shared" si="16"/>
        <v>295345.20874000003</v>
      </c>
      <c r="BE33" s="229">
        <f t="shared" si="16"/>
        <v>299035.96372</v>
      </c>
      <c r="BF33" s="229">
        <f t="shared" si="16"/>
        <v>297759.08964000002</v>
      </c>
      <c r="BG33" s="229">
        <f t="shared" si="16"/>
        <v>302930.58571000001</v>
      </c>
      <c r="BH33" s="229">
        <f t="shared" si="16"/>
        <v>301642.54683000001</v>
      </c>
      <c r="BI33" s="268">
        <f t="shared" si="16"/>
        <v>303834.38730999996</v>
      </c>
      <c r="BJ33" s="267">
        <f t="shared" si="16"/>
        <v>303059.39071000001</v>
      </c>
      <c r="BK33" s="229">
        <f t="shared" si="16"/>
        <v>304044.40000000002</v>
      </c>
      <c r="BL33" s="229">
        <f t="shared" si="16"/>
        <v>299211.5</v>
      </c>
      <c r="BM33" s="229">
        <f t="shared" si="16"/>
        <v>294724.09999999998</v>
      </c>
      <c r="BN33" s="229">
        <f t="shared" si="16"/>
        <v>291735</v>
      </c>
      <c r="BO33" s="229">
        <f t="shared" si="16"/>
        <v>293040.8</v>
      </c>
      <c r="BP33" s="229">
        <f t="shared" si="16"/>
        <v>298504.40000000002</v>
      </c>
      <c r="BQ33" s="229">
        <f t="shared" si="16"/>
        <v>303486.74965000001</v>
      </c>
      <c r="BR33" s="229">
        <f t="shared" si="16"/>
        <v>313768</v>
      </c>
      <c r="BS33" s="229">
        <f>SUM(BS34:BS37)</f>
        <v>319509.40000000002</v>
      </c>
      <c r="BT33" s="229">
        <f>SUM(BT34:BT37)</f>
        <v>325850</v>
      </c>
      <c r="BU33" s="268">
        <f>SUM(BU34:BU37)</f>
        <v>329967.8</v>
      </c>
      <c r="BW33" s="379">
        <f t="shared" si="2"/>
        <v>1.2637102961485347</v>
      </c>
      <c r="BX33" s="379">
        <f t="shared" si="3"/>
        <v>8.6012030834865083</v>
      </c>
      <c r="BZ33" s="208">
        <f t="shared" si="4"/>
        <v>0.17814274469451563</v>
      </c>
      <c r="CB33" s="138" t="s">
        <v>579</v>
      </c>
    </row>
    <row r="34" spans="1:80" ht="15" customHeight="1" x14ac:dyDescent="0.25">
      <c r="A34" s="441" t="s">
        <v>505</v>
      </c>
      <c r="B34" s="162">
        <v>74742.219730000012</v>
      </c>
      <c r="C34" s="151">
        <v>75862.269349999988</v>
      </c>
      <c r="D34" s="151">
        <v>75247.450719999993</v>
      </c>
      <c r="E34" s="151">
        <v>75552.913239999994</v>
      </c>
      <c r="F34" s="151">
        <v>75970.153200000001</v>
      </c>
      <c r="G34" s="151">
        <v>74538.499989999997</v>
      </c>
      <c r="H34" s="151">
        <v>74162.237349999996</v>
      </c>
      <c r="I34" s="151">
        <v>73819.163679999998</v>
      </c>
      <c r="J34" s="151">
        <v>73739.549910000002</v>
      </c>
      <c r="K34" s="151">
        <v>73437.867989999999</v>
      </c>
      <c r="L34" s="151">
        <v>73563.904240000003</v>
      </c>
      <c r="M34" s="241">
        <v>71423.62917</v>
      </c>
      <c r="N34" s="162">
        <v>71363.165120000005</v>
      </c>
      <c r="O34" s="151">
        <v>71959.152600000001</v>
      </c>
      <c r="P34" s="151">
        <v>72309.616420000006</v>
      </c>
      <c r="Q34" s="151">
        <v>73222.166899999997</v>
      </c>
      <c r="R34" s="151">
        <v>74025.291060000003</v>
      </c>
      <c r="S34" s="151">
        <v>73048.393360000002</v>
      </c>
      <c r="T34" s="151">
        <v>74789.948759999999</v>
      </c>
      <c r="U34" s="151">
        <v>75794.004079999999</v>
      </c>
      <c r="V34" s="151">
        <v>78660.957779999997</v>
      </c>
      <c r="W34" s="151">
        <v>80488.326840000009</v>
      </c>
      <c r="X34" s="151">
        <v>84335.590840000004</v>
      </c>
      <c r="Y34" s="241">
        <v>86299.114669999995</v>
      </c>
      <c r="Z34" s="162">
        <v>91548.05674</v>
      </c>
      <c r="AA34" s="151">
        <v>93038.675179999991</v>
      </c>
      <c r="AB34" s="151">
        <v>94285.889729999995</v>
      </c>
      <c r="AC34" s="151">
        <v>97321.594320000004</v>
      </c>
      <c r="AD34" s="151">
        <v>97807.185539999991</v>
      </c>
      <c r="AE34" s="151">
        <v>98498.892800000001</v>
      </c>
      <c r="AF34" s="151">
        <v>99249.517140000011</v>
      </c>
      <c r="AG34" s="151">
        <v>100400.23332</v>
      </c>
      <c r="AH34" s="151">
        <v>100833.33615</v>
      </c>
      <c r="AI34" s="151">
        <v>101298.00165999999</v>
      </c>
      <c r="AJ34" s="151">
        <v>102707.38138000001</v>
      </c>
      <c r="AK34" s="241">
        <v>101776.86207</v>
      </c>
      <c r="AL34" s="162">
        <v>102499.37686999999</v>
      </c>
      <c r="AM34" s="151">
        <v>106343.38294</v>
      </c>
      <c r="AN34" s="151">
        <v>105926.87466999999</v>
      </c>
      <c r="AO34" s="151">
        <v>107410.30087999998</v>
      </c>
      <c r="AP34" s="151">
        <v>107402.12106</v>
      </c>
      <c r="AQ34" s="151">
        <v>105799.70043</v>
      </c>
      <c r="AR34" s="151">
        <v>107064.77701999999</v>
      </c>
      <c r="AS34" s="151">
        <v>108986.06005000003</v>
      </c>
      <c r="AT34" s="151">
        <v>113049.67052</v>
      </c>
      <c r="AU34" s="151">
        <v>112122.02765</v>
      </c>
      <c r="AV34" s="151">
        <v>111307.65424999999</v>
      </c>
      <c r="AW34" s="241">
        <v>112441.03269999998</v>
      </c>
      <c r="AX34" s="162">
        <v>113802.13923999997</v>
      </c>
      <c r="AY34" s="151">
        <v>114695.95017</v>
      </c>
      <c r="AZ34" s="151">
        <v>112571.99847999999</v>
      </c>
      <c r="BA34" s="151">
        <v>115503.69771000001</v>
      </c>
      <c r="BB34" s="151">
        <v>116564.18727999998</v>
      </c>
      <c r="BC34" s="151">
        <v>114806.92877999999</v>
      </c>
      <c r="BD34" s="151">
        <v>113570.2133</v>
      </c>
      <c r="BE34" s="151">
        <v>114959.08748</v>
      </c>
      <c r="BF34" s="151">
        <v>114485.34445999999</v>
      </c>
      <c r="BG34" s="151">
        <v>115657.27662</v>
      </c>
      <c r="BH34" s="151">
        <v>109627.92298</v>
      </c>
      <c r="BI34" s="241">
        <v>109271.62207999999</v>
      </c>
      <c r="BJ34" s="162">
        <v>107673.76452</v>
      </c>
      <c r="BK34" s="151">
        <v>108274.4</v>
      </c>
      <c r="BL34" s="151">
        <v>106013.3</v>
      </c>
      <c r="BM34" s="151">
        <v>104549.1</v>
      </c>
      <c r="BN34" s="151">
        <v>103675</v>
      </c>
      <c r="BO34" s="151">
        <v>103812.4</v>
      </c>
      <c r="BP34" s="151">
        <v>106001.9</v>
      </c>
      <c r="BQ34" s="151">
        <v>108651.12119000001</v>
      </c>
      <c r="BR34" s="151">
        <v>111556</v>
      </c>
      <c r="BS34" s="151">
        <v>112674.4</v>
      </c>
      <c r="BT34" s="151">
        <v>113504</v>
      </c>
      <c r="BU34" s="241">
        <v>112979.4</v>
      </c>
      <c r="BW34" s="184">
        <f t="shared" si="2"/>
        <v>-0.46218635466591662</v>
      </c>
      <c r="BX34" s="184">
        <f t="shared" si="3"/>
        <v>3.3931755101845873</v>
      </c>
      <c r="BZ34" s="208">
        <f t="shared" si="4"/>
        <v>6.3292214434425814E-2</v>
      </c>
      <c r="CB34" s="138"/>
    </row>
    <row r="35" spans="1:80" ht="15" customHeight="1" x14ac:dyDescent="0.25">
      <c r="A35" s="441" t="s">
        <v>503</v>
      </c>
      <c r="B35" s="162">
        <v>32802.554129999997</v>
      </c>
      <c r="C35" s="151">
        <v>31670.819160000003</v>
      </c>
      <c r="D35" s="151">
        <v>31643.724620000001</v>
      </c>
      <c r="E35" s="151">
        <v>31797.381219999999</v>
      </c>
      <c r="F35" s="151">
        <v>32021.915730000001</v>
      </c>
      <c r="G35" s="151">
        <v>31956.613939999999</v>
      </c>
      <c r="H35" s="151">
        <v>31968.289480000003</v>
      </c>
      <c r="I35" s="151">
        <v>32483.842949999998</v>
      </c>
      <c r="J35" s="151">
        <v>32966.212469999999</v>
      </c>
      <c r="K35" s="151">
        <v>32696.6502</v>
      </c>
      <c r="L35" s="151">
        <v>33240.078779999996</v>
      </c>
      <c r="M35" s="241">
        <v>33638.114629999996</v>
      </c>
      <c r="N35" s="162">
        <v>34210.218719999997</v>
      </c>
      <c r="O35" s="151">
        <v>34286.805919999999</v>
      </c>
      <c r="P35" s="151">
        <v>33830.277170000001</v>
      </c>
      <c r="Q35" s="151">
        <v>34767.832139999999</v>
      </c>
      <c r="R35" s="151">
        <v>34045.851569999999</v>
      </c>
      <c r="S35" s="151">
        <v>33664.359279999997</v>
      </c>
      <c r="T35" s="151">
        <v>33713.630160000001</v>
      </c>
      <c r="U35" s="151">
        <v>33264.231019999999</v>
      </c>
      <c r="V35" s="151">
        <v>32974.909359999998</v>
      </c>
      <c r="W35" s="151">
        <v>32763.636069999997</v>
      </c>
      <c r="X35" s="151">
        <v>32769.214660000005</v>
      </c>
      <c r="Y35" s="241">
        <v>33791.247100000001</v>
      </c>
      <c r="Z35" s="162">
        <v>33734.957630000004</v>
      </c>
      <c r="AA35" s="151">
        <v>33996.290009999997</v>
      </c>
      <c r="AB35" s="151">
        <v>32895.985589999997</v>
      </c>
      <c r="AC35" s="151">
        <v>32671.821469999999</v>
      </c>
      <c r="AD35" s="151">
        <v>32884.462760000002</v>
      </c>
      <c r="AE35" s="151">
        <v>32703.333449999998</v>
      </c>
      <c r="AF35" s="151">
        <v>32075.84519</v>
      </c>
      <c r="AG35" s="151">
        <v>32327.11032</v>
      </c>
      <c r="AH35" s="151">
        <v>32677.231970000001</v>
      </c>
      <c r="AI35" s="151">
        <v>33191.857169999996</v>
      </c>
      <c r="AJ35" s="151">
        <v>33648.435460000001</v>
      </c>
      <c r="AK35" s="241">
        <v>33293.313349999997</v>
      </c>
      <c r="AL35" s="162">
        <v>33879.925049999998</v>
      </c>
      <c r="AM35" s="151">
        <v>34392.562579999998</v>
      </c>
      <c r="AN35" s="151">
        <v>34369.569589999999</v>
      </c>
      <c r="AO35" s="151">
        <v>35206.334770000001</v>
      </c>
      <c r="AP35" s="151">
        <v>35865.589900000006</v>
      </c>
      <c r="AQ35" s="151">
        <v>36577.148460000004</v>
      </c>
      <c r="AR35" s="151">
        <v>36645.0196</v>
      </c>
      <c r="AS35" s="151">
        <v>37365.302129999996</v>
      </c>
      <c r="AT35" s="151">
        <v>37821.377670000002</v>
      </c>
      <c r="AU35" s="151">
        <v>39527.326969999995</v>
      </c>
      <c r="AV35" s="151">
        <v>41151.538200000003</v>
      </c>
      <c r="AW35" s="241">
        <v>41867.116459999997</v>
      </c>
      <c r="AX35" s="162">
        <v>42477.330889999997</v>
      </c>
      <c r="AY35" s="151">
        <v>42907.302540000004</v>
      </c>
      <c r="AZ35" s="151">
        <v>43525.507400000002</v>
      </c>
      <c r="BA35" s="151">
        <v>43716.34792</v>
      </c>
      <c r="BB35" s="151">
        <v>44232.244450000006</v>
      </c>
      <c r="BC35" s="151">
        <v>44766.703930000003</v>
      </c>
      <c r="BD35" s="151">
        <v>44620.175340000002</v>
      </c>
      <c r="BE35" s="151">
        <v>45073.719140000001</v>
      </c>
      <c r="BF35" s="151">
        <v>45811.948049999999</v>
      </c>
      <c r="BG35" s="151">
        <v>46563.327839999998</v>
      </c>
      <c r="BH35" s="151">
        <v>47406.460760000002</v>
      </c>
      <c r="BI35" s="241">
        <v>47464.771809999998</v>
      </c>
      <c r="BJ35" s="162">
        <v>47946.786430000007</v>
      </c>
      <c r="BK35" s="151">
        <v>48514</v>
      </c>
      <c r="BL35" s="151">
        <v>47541</v>
      </c>
      <c r="BM35" s="151">
        <v>46683</v>
      </c>
      <c r="BN35" s="151">
        <v>45884</v>
      </c>
      <c r="BO35" s="151">
        <v>46680.4</v>
      </c>
      <c r="BP35" s="151">
        <v>48954</v>
      </c>
      <c r="BQ35" s="151">
        <v>49331.457519999996</v>
      </c>
      <c r="BR35" s="151">
        <v>49370</v>
      </c>
      <c r="BS35" s="151">
        <v>49760</v>
      </c>
      <c r="BT35" s="151">
        <v>51683</v>
      </c>
      <c r="BU35" s="241">
        <v>52460</v>
      </c>
      <c r="BW35" s="184">
        <f t="shared" si="2"/>
        <v>1.5033957007139609</v>
      </c>
      <c r="BX35" s="184">
        <f t="shared" si="3"/>
        <v>10.524075012929046</v>
      </c>
      <c r="BZ35" s="208">
        <f t="shared" si="4"/>
        <v>2.818382269531871E-2</v>
      </c>
      <c r="CB35" s="138" t="s">
        <v>584</v>
      </c>
    </row>
    <row r="36" spans="1:80" ht="15" customHeight="1" x14ac:dyDescent="0.25">
      <c r="A36" s="441" t="s">
        <v>504</v>
      </c>
      <c r="B36" s="162">
        <v>49286.319229999994</v>
      </c>
      <c r="C36" s="151">
        <v>49764.628620000003</v>
      </c>
      <c r="D36" s="151">
        <v>50240.089769999991</v>
      </c>
      <c r="E36" s="151">
        <v>50681.408790000001</v>
      </c>
      <c r="F36" s="151">
        <v>51726.336379999993</v>
      </c>
      <c r="G36" s="151">
        <v>52767.992149999998</v>
      </c>
      <c r="H36" s="151">
        <v>52703.873630000002</v>
      </c>
      <c r="I36" s="151">
        <v>52953.072139999997</v>
      </c>
      <c r="J36" s="151">
        <v>53550.890499999994</v>
      </c>
      <c r="K36" s="151">
        <v>55200.785069999998</v>
      </c>
      <c r="L36" s="151">
        <v>57274.515429999999</v>
      </c>
      <c r="M36" s="241">
        <v>59563.637509999993</v>
      </c>
      <c r="N36" s="162">
        <v>59254.519419999997</v>
      </c>
      <c r="O36" s="151">
        <v>59492.246569999996</v>
      </c>
      <c r="P36" s="151">
        <v>58980.196380000001</v>
      </c>
      <c r="Q36" s="151">
        <v>60330.627190000007</v>
      </c>
      <c r="R36" s="151">
        <v>61389.245670000004</v>
      </c>
      <c r="S36" s="151">
        <v>61345.502370000002</v>
      </c>
      <c r="T36" s="151">
        <v>61800.784810000005</v>
      </c>
      <c r="U36" s="151">
        <v>62541.924030000002</v>
      </c>
      <c r="V36" s="151">
        <v>61940.574830000005</v>
      </c>
      <c r="W36" s="151">
        <v>62057.981520000001</v>
      </c>
      <c r="X36" s="151">
        <v>63819.034699999997</v>
      </c>
      <c r="Y36" s="241">
        <v>63370.40236</v>
      </c>
      <c r="Z36" s="162">
        <v>62333.43982</v>
      </c>
      <c r="AA36" s="151">
        <v>62588.829189999997</v>
      </c>
      <c r="AB36" s="151">
        <v>63592.939959999996</v>
      </c>
      <c r="AC36" s="151">
        <v>64840.220390000002</v>
      </c>
      <c r="AD36" s="151">
        <v>65991.18058</v>
      </c>
      <c r="AE36" s="151">
        <v>67026.241259999995</v>
      </c>
      <c r="AF36" s="151">
        <v>67852.042300000001</v>
      </c>
      <c r="AG36" s="151">
        <v>68494.7834</v>
      </c>
      <c r="AH36" s="151">
        <v>69164.10708999999</v>
      </c>
      <c r="AI36" s="151">
        <v>70786.025099999999</v>
      </c>
      <c r="AJ36" s="151">
        <v>72683.535980000001</v>
      </c>
      <c r="AK36" s="241">
        <v>75088.489419999998</v>
      </c>
      <c r="AL36" s="162">
        <v>75390.583340000012</v>
      </c>
      <c r="AM36" s="151">
        <v>76375.672489999997</v>
      </c>
      <c r="AN36" s="151">
        <v>73519.896210000006</v>
      </c>
      <c r="AO36" s="151">
        <v>74584.921619999994</v>
      </c>
      <c r="AP36" s="151">
        <v>75909.591520000002</v>
      </c>
      <c r="AQ36" s="151">
        <v>75850.896300000008</v>
      </c>
      <c r="AR36" s="151">
        <v>76257.564400000003</v>
      </c>
      <c r="AS36" s="151">
        <v>76911.976210000008</v>
      </c>
      <c r="AT36" s="151">
        <v>78033.082630000004</v>
      </c>
      <c r="AU36" s="151">
        <v>78751.979160000003</v>
      </c>
      <c r="AV36" s="151">
        <v>81176.321160000007</v>
      </c>
      <c r="AW36" s="241">
        <v>83807.590649999998</v>
      </c>
      <c r="AX36" s="162">
        <v>83956.97421</v>
      </c>
      <c r="AY36" s="151">
        <v>85741.194420000014</v>
      </c>
      <c r="AZ36" s="151">
        <v>86514.515100000004</v>
      </c>
      <c r="BA36" s="151">
        <v>86683.905750000005</v>
      </c>
      <c r="BB36" s="151">
        <v>87833.305769999992</v>
      </c>
      <c r="BC36" s="151">
        <v>88896.01535999999</v>
      </c>
      <c r="BD36" s="151">
        <v>89441.440009999991</v>
      </c>
      <c r="BE36" s="151">
        <v>89952.318560000014</v>
      </c>
      <c r="BF36" s="151">
        <v>87641.00649</v>
      </c>
      <c r="BG36" s="151">
        <v>89662.012389999989</v>
      </c>
      <c r="BH36" s="151">
        <v>92053.931019999989</v>
      </c>
      <c r="BI36" s="241">
        <v>93771.273679999984</v>
      </c>
      <c r="BJ36" s="162">
        <v>92976.712930000009</v>
      </c>
      <c r="BK36" s="151">
        <v>92501</v>
      </c>
      <c r="BL36" s="151">
        <v>91330.2</v>
      </c>
      <c r="BM36" s="151">
        <v>89887</v>
      </c>
      <c r="BN36" s="151">
        <v>89018</v>
      </c>
      <c r="BO36" s="151">
        <v>88876</v>
      </c>
      <c r="BP36" s="151">
        <v>89057.5</v>
      </c>
      <c r="BQ36" s="151">
        <v>90069.311019999994</v>
      </c>
      <c r="BR36" s="151">
        <v>93486</v>
      </c>
      <c r="BS36" s="151">
        <v>95854</v>
      </c>
      <c r="BT36" s="151">
        <v>98392</v>
      </c>
      <c r="BU36" s="241">
        <v>101112.4</v>
      </c>
      <c r="BW36" s="184">
        <f t="shared" si="2"/>
        <v>2.7648589316204619</v>
      </c>
      <c r="BX36" s="184">
        <f t="shared" si="3"/>
        <v>7.8287582453577809</v>
      </c>
      <c r="BZ36" s="208">
        <f t="shared" si="4"/>
        <v>5.4653072439763639E-2</v>
      </c>
      <c r="CB36" s="138"/>
    </row>
    <row r="37" spans="1:80" ht="15" customHeight="1" x14ac:dyDescent="0.25">
      <c r="A37" s="441" t="s">
        <v>506</v>
      </c>
      <c r="B37" s="162">
        <v>19948.924480000001</v>
      </c>
      <c r="C37" s="151">
        <v>20423.221559999998</v>
      </c>
      <c r="D37" s="151">
        <v>21407.21096</v>
      </c>
      <c r="E37" s="151">
        <v>21835.820219999998</v>
      </c>
      <c r="F37" s="151">
        <v>22317.436140000002</v>
      </c>
      <c r="G37" s="151">
        <v>22756.168610000001</v>
      </c>
      <c r="H37" s="151">
        <v>22896.346669999999</v>
      </c>
      <c r="I37" s="151">
        <v>24285.04636</v>
      </c>
      <c r="J37" s="151">
        <v>25768.446070000002</v>
      </c>
      <c r="K37" s="151">
        <v>27204.03962</v>
      </c>
      <c r="L37" s="151">
        <v>28721.25099</v>
      </c>
      <c r="M37" s="241">
        <v>29568.74106</v>
      </c>
      <c r="N37" s="162">
        <v>30151.49092</v>
      </c>
      <c r="O37" s="151">
        <v>31243.057110000002</v>
      </c>
      <c r="P37" s="151">
        <v>31492.036379999998</v>
      </c>
      <c r="Q37" s="151">
        <v>32836.867050000001</v>
      </c>
      <c r="R37" s="151">
        <v>33989.297720000002</v>
      </c>
      <c r="S37" s="151">
        <v>35301.019549999997</v>
      </c>
      <c r="T37" s="151">
        <v>35699.223699999995</v>
      </c>
      <c r="U37" s="151">
        <v>36475.838920000002</v>
      </c>
      <c r="V37" s="151">
        <v>37652.76728</v>
      </c>
      <c r="W37" s="151">
        <v>38906.032769999998</v>
      </c>
      <c r="X37" s="151">
        <v>40126.154009999998</v>
      </c>
      <c r="Y37" s="241">
        <v>41143.258349999996</v>
      </c>
      <c r="Z37" s="162">
        <v>41319.647779999999</v>
      </c>
      <c r="AA37" s="151">
        <v>41700.613790000003</v>
      </c>
      <c r="AB37" s="151">
        <v>42493.952980000002</v>
      </c>
      <c r="AC37" s="151">
        <v>43418.088989999997</v>
      </c>
      <c r="AD37" s="151">
        <v>44325.248469999999</v>
      </c>
      <c r="AE37" s="151">
        <v>45031.444919999994</v>
      </c>
      <c r="AF37" s="151">
        <v>45151.153149999998</v>
      </c>
      <c r="AG37" s="151">
        <v>46215.411919999999</v>
      </c>
      <c r="AH37" s="151">
        <v>47064.692169999995</v>
      </c>
      <c r="AI37" s="151">
        <v>47990.680869999997</v>
      </c>
      <c r="AJ37" s="151">
        <v>49169.140490000005</v>
      </c>
      <c r="AK37" s="241">
        <v>49143.476479999998</v>
      </c>
      <c r="AL37" s="162">
        <v>49371.494250000003</v>
      </c>
      <c r="AM37" s="151">
        <v>49506.016360000001</v>
      </c>
      <c r="AN37" s="151">
        <v>49708.587530000004</v>
      </c>
      <c r="AO37" s="151">
        <v>48862.027459999998</v>
      </c>
      <c r="AP37" s="151">
        <v>48117.129730000001</v>
      </c>
      <c r="AQ37" s="151">
        <v>47685.881560000002</v>
      </c>
      <c r="AR37" s="151">
        <v>46763.737219999995</v>
      </c>
      <c r="AS37" s="151">
        <v>47050.235530000005</v>
      </c>
      <c r="AT37" s="151">
        <v>47100.252980000005</v>
      </c>
      <c r="AU37" s="151">
        <v>46777.229180000002</v>
      </c>
      <c r="AV37" s="151">
        <v>46150.984949999998</v>
      </c>
      <c r="AW37" s="241">
        <v>46015.900229999999</v>
      </c>
      <c r="AX37" s="162">
        <v>45569.22193</v>
      </c>
      <c r="AY37" s="151">
        <v>45553.647519999999</v>
      </c>
      <c r="AZ37" s="151">
        <v>45711.34562</v>
      </c>
      <c r="BA37" s="151">
        <v>45733.414810000002</v>
      </c>
      <c r="BB37" s="151">
        <v>45987.906239999997</v>
      </c>
      <c r="BC37" s="151">
        <v>46680.542149999994</v>
      </c>
      <c r="BD37" s="151">
        <v>47713.380089999999</v>
      </c>
      <c r="BE37" s="151">
        <v>49050.838539999997</v>
      </c>
      <c r="BF37" s="151">
        <v>49820.790639999999</v>
      </c>
      <c r="BG37" s="151">
        <v>51047.968860000001</v>
      </c>
      <c r="BH37" s="151">
        <v>52554.232069999998</v>
      </c>
      <c r="BI37" s="241">
        <v>53326.71974</v>
      </c>
      <c r="BJ37" s="162">
        <v>54462.126830000001</v>
      </c>
      <c r="BK37" s="151">
        <v>54755</v>
      </c>
      <c r="BL37" s="151">
        <v>54327</v>
      </c>
      <c r="BM37" s="151">
        <v>53605</v>
      </c>
      <c r="BN37" s="151">
        <v>53158</v>
      </c>
      <c r="BO37" s="151">
        <v>53672</v>
      </c>
      <c r="BP37" s="151">
        <v>54491</v>
      </c>
      <c r="BQ37" s="151">
        <v>55434.859919999995</v>
      </c>
      <c r="BR37" s="151">
        <v>59356</v>
      </c>
      <c r="BS37" s="151">
        <v>61221</v>
      </c>
      <c r="BT37" s="151">
        <v>62271</v>
      </c>
      <c r="BU37" s="241">
        <v>63416</v>
      </c>
      <c r="BW37" s="184">
        <f t="shared" si="2"/>
        <v>1.8387371328547841</v>
      </c>
      <c r="BX37" s="184">
        <f t="shared" si="3"/>
        <v>18.919746628315682</v>
      </c>
      <c r="BZ37" s="208">
        <f t="shared" si="4"/>
        <v>3.2013635125007475E-2</v>
      </c>
      <c r="CB37" s="138"/>
    </row>
    <row r="38" spans="1:80" ht="15" customHeight="1" x14ac:dyDescent="0.25">
      <c r="A38" s="440" t="s">
        <v>528</v>
      </c>
      <c r="B38" s="267">
        <f t="shared" ref="B38:Y38" si="17">SUM(B39:B42)</f>
        <v>8484.6873000000014</v>
      </c>
      <c r="C38" s="229">
        <f t="shared" si="17"/>
        <v>8373.2010999999984</v>
      </c>
      <c r="D38" s="229">
        <f t="shared" si="17"/>
        <v>8037.6372600000004</v>
      </c>
      <c r="E38" s="229">
        <f t="shared" si="17"/>
        <v>7792.37716</v>
      </c>
      <c r="F38" s="229">
        <f t="shared" si="17"/>
        <v>8046.8284399999993</v>
      </c>
      <c r="G38" s="229">
        <f t="shared" si="17"/>
        <v>8059.4601900000007</v>
      </c>
      <c r="H38" s="229">
        <f t="shared" si="17"/>
        <v>7945.0633099999995</v>
      </c>
      <c r="I38" s="229">
        <f t="shared" si="17"/>
        <v>7941.1622399999997</v>
      </c>
      <c r="J38" s="229">
        <f t="shared" si="17"/>
        <v>8137.8900800000001</v>
      </c>
      <c r="K38" s="229">
        <f t="shared" si="17"/>
        <v>8049.6777300000003</v>
      </c>
      <c r="L38" s="229">
        <f t="shared" si="17"/>
        <v>8264.5996300000006</v>
      </c>
      <c r="M38" s="268">
        <f t="shared" si="17"/>
        <v>8195.9028400000007</v>
      </c>
      <c r="N38" s="267">
        <f t="shared" si="17"/>
        <v>8342.5837300000003</v>
      </c>
      <c r="O38" s="229">
        <f t="shared" si="17"/>
        <v>8687.432209999999</v>
      </c>
      <c r="P38" s="229">
        <f t="shared" si="17"/>
        <v>8401.6853499999997</v>
      </c>
      <c r="Q38" s="229">
        <f t="shared" si="17"/>
        <v>8535.3081599999987</v>
      </c>
      <c r="R38" s="229">
        <f t="shared" si="17"/>
        <v>8819.157439999999</v>
      </c>
      <c r="S38" s="229">
        <f t="shared" si="17"/>
        <v>8876.0441199999987</v>
      </c>
      <c r="T38" s="229">
        <f t="shared" si="17"/>
        <v>8762.8267099999994</v>
      </c>
      <c r="U38" s="229">
        <f t="shared" si="17"/>
        <v>8877.93102</v>
      </c>
      <c r="V38" s="229">
        <f t="shared" si="17"/>
        <v>9298.2669299999998</v>
      </c>
      <c r="W38" s="229">
        <f t="shared" si="17"/>
        <v>9583.7066999999988</v>
      </c>
      <c r="X38" s="229">
        <f t="shared" si="17"/>
        <v>10135.453460000001</v>
      </c>
      <c r="Y38" s="268">
        <f t="shared" si="17"/>
        <v>10291.013420000001</v>
      </c>
      <c r="Z38" s="267">
        <f>SUM(Z39:Z43)</f>
        <v>10446.311980000002</v>
      </c>
      <c r="AA38" s="229">
        <f>SUM(AA39:AA43)</f>
        <v>10649.925509999999</v>
      </c>
      <c r="AB38" s="229">
        <f t="shared" ref="AB38:BU38" si="18">SUM(AB39:AB43)</f>
        <v>10583.555639999999</v>
      </c>
      <c r="AC38" s="229">
        <f t="shared" si="18"/>
        <v>10344.016790000001</v>
      </c>
      <c r="AD38" s="229">
        <f t="shared" si="18"/>
        <v>10354.60382</v>
      </c>
      <c r="AE38" s="229">
        <f t="shared" si="18"/>
        <v>5776.6882700000006</v>
      </c>
      <c r="AF38" s="229">
        <f t="shared" si="18"/>
        <v>6184.5885100000005</v>
      </c>
      <c r="AG38" s="229">
        <f t="shared" si="18"/>
        <v>6663.8355600000004</v>
      </c>
      <c r="AH38" s="229">
        <f t="shared" si="18"/>
        <v>7060.6307199999992</v>
      </c>
      <c r="AI38" s="229">
        <f t="shared" si="18"/>
        <v>7590.0203000000001</v>
      </c>
      <c r="AJ38" s="229">
        <f t="shared" si="18"/>
        <v>8290.8011000000006</v>
      </c>
      <c r="AK38" s="268">
        <f t="shared" si="18"/>
        <v>8469.6720100000002</v>
      </c>
      <c r="AL38" s="267">
        <f t="shared" si="18"/>
        <v>8779.5315300000002</v>
      </c>
      <c r="AM38" s="229">
        <f t="shared" si="18"/>
        <v>9124.2168899999997</v>
      </c>
      <c r="AN38" s="229">
        <f t="shared" si="18"/>
        <v>9243.2412399999994</v>
      </c>
      <c r="AO38" s="229">
        <f t="shared" si="18"/>
        <v>9384.4287899999981</v>
      </c>
      <c r="AP38" s="229">
        <f t="shared" si="18"/>
        <v>9474.862549999998</v>
      </c>
      <c r="AQ38" s="229">
        <f t="shared" si="18"/>
        <v>9349.7624699999997</v>
      </c>
      <c r="AR38" s="229">
        <f t="shared" si="18"/>
        <v>9332.3586500000001</v>
      </c>
      <c r="AS38" s="229">
        <f t="shared" si="18"/>
        <v>9333.5593999999983</v>
      </c>
      <c r="AT38" s="229">
        <f t="shared" si="18"/>
        <v>9387.3280500000001</v>
      </c>
      <c r="AU38" s="229">
        <f t="shared" si="18"/>
        <v>9518.6119399999989</v>
      </c>
      <c r="AV38" s="229">
        <f t="shared" si="18"/>
        <v>9880.3682499999995</v>
      </c>
      <c r="AW38" s="268">
        <f t="shared" si="18"/>
        <v>9501.5658600000006</v>
      </c>
      <c r="AX38" s="267">
        <f t="shared" si="18"/>
        <v>9580.0462599999992</v>
      </c>
      <c r="AY38" s="229">
        <f t="shared" si="18"/>
        <v>9824.3597300000001</v>
      </c>
      <c r="AZ38" s="229">
        <f t="shared" si="18"/>
        <v>9739.0706300000002</v>
      </c>
      <c r="BA38" s="229">
        <f t="shared" si="18"/>
        <v>10081.02043</v>
      </c>
      <c r="BB38" s="229">
        <f t="shared" si="18"/>
        <v>9809.8810699999995</v>
      </c>
      <c r="BC38" s="229">
        <f t="shared" si="18"/>
        <v>9247.5979499999994</v>
      </c>
      <c r="BD38" s="229">
        <f t="shared" si="18"/>
        <v>9407.1592000000001</v>
      </c>
      <c r="BE38" s="229">
        <f t="shared" si="18"/>
        <v>9544.0818399999989</v>
      </c>
      <c r="BF38" s="229">
        <f t="shared" si="18"/>
        <v>9791.66597</v>
      </c>
      <c r="BG38" s="229">
        <f t="shared" si="18"/>
        <v>10167.550459999999</v>
      </c>
      <c r="BH38" s="229">
        <f t="shared" si="18"/>
        <v>9436.8820899999992</v>
      </c>
      <c r="BI38" s="268">
        <f t="shared" si="18"/>
        <v>9038.2413099999994</v>
      </c>
      <c r="BJ38" s="267">
        <f t="shared" si="18"/>
        <v>8676.1526000000013</v>
      </c>
      <c r="BK38" s="229">
        <f t="shared" si="18"/>
        <v>9196</v>
      </c>
      <c r="BL38" s="229">
        <f t="shared" si="18"/>
        <v>9569</v>
      </c>
      <c r="BM38" s="229">
        <f t="shared" si="18"/>
        <v>9036</v>
      </c>
      <c r="BN38" s="229">
        <f t="shared" si="18"/>
        <v>8260</v>
      </c>
      <c r="BO38" s="229">
        <f t="shared" si="18"/>
        <v>7769</v>
      </c>
      <c r="BP38" s="229">
        <f t="shared" si="18"/>
        <v>7846.4</v>
      </c>
      <c r="BQ38" s="229">
        <f t="shared" si="18"/>
        <v>8198.3067999999985</v>
      </c>
      <c r="BR38" s="229">
        <f t="shared" si="18"/>
        <v>7660</v>
      </c>
      <c r="BS38" s="229">
        <f t="shared" si="18"/>
        <v>7876</v>
      </c>
      <c r="BT38" s="229">
        <f t="shared" si="18"/>
        <v>8197.5</v>
      </c>
      <c r="BU38" s="268">
        <f t="shared" si="18"/>
        <v>8202</v>
      </c>
      <c r="BW38" s="379">
        <f t="shared" si="2"/>
        <v>5.4894784995429546E-2</v>
      </c>
      <c r="BX38" s="379">
        <f t="shared" si="3"/>
        <v>-9.2522569526305336</v>
      </c>
      <c r="BZ38" s="208">
        <f t="shared" si="4"/>
        <v>5.0999694612052114E-3</v>
      </c>
      <c r="CB38" s="138" t="s">
        <v>584</v>
      </c>
    </row>
    <row r="39" spans="1:80" ht="15" customHeight="1" x14ac:dyDescent="0.25">
      <c r="A39" s="441" t="s">
        <v>529</v>
      </c>
      <c r="B39" s="162">
        <v>2918.1177900000002</v>
      </c>
      <c r="C39" s="151">
        <v>3027.0201899999997</v>
      </c>
      <c r="D39" s="151">
        <v>3012.6471200000001</v>
      </c>
      <c r="E39" s="151">
        <v>3064.21931</v>
      </c>
      <c r="F39" s="151">
        <v>3054.1701899999998</v>
      </c>
      <c r="G39" s="151">
        <v>3177.9975600000002</v>
      </c>
      <c r="H39" s="151">
        <v>3249.6702799999998</v>
      </c>
      <c r="I39" s="151">
        <v>3137.59564</v>
      </c>
      <c r="J39" s="151">
        <v>3190.12086</v>
      </c>
      <c r="K39" s="151">
        <v>3288.7318300000002</v>
      </c>
      <c r="L39" s="151">
        <v>3370.1980800000001</v>
      </c>
      <c r="M39" s="241">
        <v>3468.7163300000002</v>
      </c>
      <c r="N39" s="162">
        <v>3467.0741699999999</v>
      </c>
      <c r="O39" s="151">
        <v>3522.1110600000002</v>
      </c>
      <c r="P39" s="151">
        <v>3603.7217900000001</v>
      </c>
      <c r="Q39" s="151">
        <v>3684.1293900000001</v>
      </c>
      <c r="R39" s="151">
        <v>3761.8306200000002</v>
      </c>
      <c r="S39" s="151">
        <v>3806.77081</v>
      </c>
      <c r="T39" s="151">
        <v>3843.24179</v>
      </c>
      <c r="U39" s="151">
        <v>3843.24179</v>
      </c>
      <c r="V39" s="151">
        <v>4144.0152400000006</v>
      </c>
      <c r="W39" s="151">
        <v>4100.0863500000005</v>
      </c>
      <c r="X39" s="151">
        <v>4419.3106299999999</v>
      </c>
      <c r="Y39" s="241">
        <v>4486.6792300000006</v>
      </c>
      <c r="Z39" s="162">
        <v>4561.1760800000002</v>
      </c>
      <c r="AA39" s="151">
        <v>4641.9114200000004</v>
      </c>
      <c r="AB39" s="151">
        <v>4678.0428499999998</v>
      </c>
      <c r="AC39" s="151">
        <v>4629.7311500000005</v>
      </c>
      <c r="AD39" s="151">
        <v>4683.6423399999994</v>
      </c>
      <c r="AE39" s="151"/>
      <c r="AF39" s="151"/>
      <c r="AG39" s="151"/>
      <c r="AH39" s="151"/>
      <c r="AI39" s="151"/>
      <c r="AJ39" s="151"/>
      <c r="AK39" s="241"/>
      <c r="AL39" s="162"/>
      <c r="AM39" s="151"/>
      <c r="AN39" s="151"/>
      <c r="AO39" s="151"/>
      <c r="AP39" s="151"/>
      <c r="AQ39" s="151"/>
      <c r="AR39" s="151"/>
      <c r="AS39" s="151"/>
      <c r="AT39" s="151"/>
      <c r="AU39" s="151"/>
      <c r="AV39" s="151"/>
      <c r="AW39" s="241"/>
      <c r="AX39" s="162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241"/>
      <c r="BJ39" s="162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241"/>
      <c r="BW39" s="184" t="str">
        <f t="shared" si="2"/>
        <v>-</v>
      </c>
      <c r="BX39" s="184" t="str">
        <f t="shared" si="3"/>
        <v>-</v>
      </c>
      <c r="BZ39" s="208">
        <f t="shared" si="4"/>
        <v>0</v>
      </c>
      <c r="CB39" s="138"/>
    </row>
    <row r="40" spans="1:80" ht="15" customHeight="1" x14ac:dyDescent="0.25">
      <c r="A40" s="441" t="s">
        <v>530</v>
      </c>
      <c r="B40" s="162">
        <v>2770.6663600000002</v>
      </c>
      <c r="C40" s="151">
        <v>2855.60511</v>
      </c>
      <c r="D40" s="151">
        <v>2997.5233400000002</v>
      </c>
      <c r="E40" s="151">
        <v>3165.3668700000003</v>
      </c>
      <c r="F40" s="151">
        <v>3249.0439899999997</v>
      </c>
      <c r="G40" s="151">
        <v>3361.1153899999999</v>
      </c>
      <c r="H40" s="151">
        <v>3284.6329400000004</v>
      </c>
      <c r="I40" s="151">
        <v>3298.81972</v>
      </c>
      <c r="J40" s="151">
        <v>3356.97426</v>
      </c>
      <c r="K40" s="151">
        <v>3162.5436500000001</v>
      </c>
      <c r="L40" s="151">
        <v>3281.2906700000003</v>
      </c>
      <c r="M40" s="241">
        <v>2940.5459599999999</v>
      </c>
      <c r="N40" s="162">
        <v>2953.29846</v>
      </c>
      <c r="O40" s="151">
        <v>3123.9490700000001</v>
      </c>
      <c r="P40" s="151">
        <v>3150.3329899999999</v>
      </c>
      <c r="Q40" s="151">
        <v>3293.7101299999999</v>
      </c>
      <c r="R40" s="151">
        <v>3302.4200300000002</v>
      </c>
      <c r="S40" s="151">
        <v>3396.6134599999996</v>
      </c>
      <c r="T40" s="151">
        <v>3459.12165</v>
      </c>
      <c r="U40" s="151">
        <v>3700.4887699999999</v>
      </c>
      <c r="V40" s="151">
        <v>3880.59521</v>
      </c>
      <c r="W40" s="151">
        <v>4176.2371299999995</v>
      </c>
      <c r="X40" s="151">
        <v>4445.5136400000001</v>
      </c>
      <c r="Y40" s="241">
        <v>4538.70489</v>
      </c>
      <c r="Z40" s="162">
        <v>4886.2007200000007</v>
      </c>
      <c r="AA40" s="151">
        <v>5112.9774100000004</v>
      </c>
      <c r="AB40" s="151">
        <v>5001.3400199999996</v>
      </c>
      <c r="AC40" s="151">
        <v>4879.1855800000003</v>
      </c>
      <c r="AD40" s="151">
        <v>4899.8013700000001</v>
      </c>
      <c r="AE40" s="151">
        <v>4994.66878</v>
      </c>
      <c r="AF40" s="151">
        <v>5148.3680700000004</v>
      </c>
      <c r="AG40" s="151">
        <v>5113.3749100000005</v>
      </c>
      <c r="AH40" s="151">
        <v>5155.2747399999998</v>
      </c>
      <c r="AI40" s="151">
        <v>5222.0960400000004</v>
      </c>
      <c r="AJ40" s="151">
        <v>5294.7881799999996</v>
      </c>
      <c r="AK40" s="241">
        <v>4781.6990599999999</v>
      </c>
      <c r="AL40" s="162">
        <v>4541.0526</v>
      </c>
      <c r="AM40" s="151">
        <v>4606.6460399999996</v>
      </c>
      <c r="AN40" s="151">
        <v>4631.6854599999997</v>
      </c>
      <c r="AO40" s="151">
        <v>4596.8959599999998</v>
      </c>
      <c r="AP40" s="151">
        <v>4527.3142600000001</v>
      </c>
      <c r="AQ40" s="151">
        <v>4660.9574899999998</v>
      </c>
      <c r="AR40" s="151">
        <v>4664.6869200000001</v>
      </c>
      <c r="AS40" s="151">
        <v>4836.5922899999996</v>
      </c>
      <c r="AT40" s="151">
        <v>5065.3212000000003</v>
      </c>
      <c r="AU40" s="151">
        <v>5389.8996400000005</v>
      </c>
      <c r="AV40" s="151">
        <v>5667.8475600000002</v>
      </c>
      <c r="AW40" s="241">
        <v>5675.3262300000006</v>
      </c>
      <c r="AX40" s="162">
        <v>5762.6718700000001</v>
      </c>
      <c r="AY40" s="151">
        <v>5951.9072200000001</v>
      </c>
      <c r="AZ40" s="151">
        <v>5816.1010300000007</v>
      </c>
      <c r="BA40" s="151">
        <v>6065.2056000000002</v>
      </c>
      <c r="BB40" s="151">
        <v>5740.0911599999999</v>
      </c>
      <c r="BC40" s="151">
        <v>5231.9193500000001</v>
      </c>
      <c r="BD40" s="151">
        <v>5320.7181700000001</v>
      </c>
      <c r="BE40" s="151">
        <v>5529.2318999999998</v>
      </c>
      <c r="BF40" s="151">
        <v>5648.8259399999997</v>
      </c>
      <c r="BG40" s="151">
        <v>5921.1050500000001</v>
      </c>
      <c r="BH40" s="151">
        <v>5699.7522899999994</v>
      </c>
      <c r="BI40" s="241">
        <v>5455.9735600000004</v>
      </c>
      <c r="BJ40" s="162">
        <v>5026.60653</v>
      </c>
      <c r="BK40" s="151">
        <v>5456</v>
      </c>
      <c r="BL40" s="151">
        <v>5835.5</v>
      </c>
      <c r="BM40" s="151">
        <v>5325</v>
      </c>
      <c r="BN40" s="151">
        <v>4578</v>
      </c>
      <c r="BO40" s="151">
        <v>4118</v>
      </c>
      <c r="BP40" s="151">
        <v>4259.3999999999996</v>
      </c>
      <c r="BQ40" s="151">
        <v>4676.1264099999999</v>
      </c>
      <c r="BR40" s="151">
        <v>4265</v>
      </c>
      <c r="BS40" s="151">
        <v>4621</v>
      </c>
      <c r="BT40" s="151">
        <v>5053.5</v>
      </c>
      <c r="BU40" s="241">
        <v>5208</v>
      </c>
      <c r="BW40" s="184">
        <f t="shared" si="2"/>
        <v>3.0572870287919329</v>
      </c>
      <c r="BX40" s="184">
        <f t="shared" si="3"/>
        <v>-4.5449919665666467</v>
      </c>
      <c r="BZ40" s="208">
        <f t="shared" si="4"/>
        <v>2.9547128754391309E-3</v>
      </c>
      <c r="CB40" s="138"/>
    </row>
    <row r="41" spans="1:80" ht="15" customHeight="1" x14ac:dyDescent="0.25">
      <c r="A41" s="441" t="s">
        <v>531</v>
      </c>
      <c r="B41" s="162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241"/>
      <c r="N41" s="162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241"/>
      <c r="Z41" s="162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241"/>
      <c r="AL41" s="162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241"/>
      <c r="AX41" s="162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241"/>
      <c r="BJ41" s="162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241"/>
      <c r="BW41" s="184" t="str">
        <f t="shared" si="2"/>
        <v>-</v>
      </c>
      <c r="BX41" s="184" t="str">
        <f t="shared" si="3"/>
        <v>-</v>
      </c>
      <c r="BZ41" s="208">
        <f t="shared" si="4"/>
        <v>0</v>
      </c>
      <c r="CB41" s="138"/>
    </row>
    <row r="42" spans="1:80" ht="15" customHeight="1" x14ac:dyDescent="0.25">
      <c r="A42" s="441" t="s">
        <v>532</v>
      </c>
      <c r="B42" s="162">
        <v>2795.9031500000001</v>
      </c>
      <c r="C42" s="151">
        <v>2490.5757999999996</v>
      </c>
      <c r="D42" s="151">
        <v>2027.4668000000001</v>
      </c>
      <c r="E42" s="151">
        <v>1562.79098</v>
      </c>
      <c r="F42" s="151">
        <v>1743.6142600000001</v>
      </c>
      <c r="G42" s="151">
        <v>1520.3472400000001</v>
      </c>
      <c r="H42" s="151">
        <v>1410.76009</v>
      </c>
      <c r="I42" s="151">
        <v>1504.7468799999999</v>
      </c>
      <c r="J42" s="151">
        <v>1590.7949599999999</v>
      </c>
      <c r="K42" s="151">
        <v>1598.4022500000001</v>
      </c>
      <c r="L42" s="151">
        <v>1613.11088</v>
      </c>
      <c r="M42" s="241">
        <v>1786.6405500000001</v>
      </c>
      <c r="N42" s="162">
        <v>1922.2111</v>
      </c>
      <c r="O42" s="151">
        <v>2041.3720800000001</v>
      </c>
      <c r="P42" s="151">
        <v>1647.63057</v>
      </c>
      <c r="Q42" s="151">
        <v>1557.4686399999998</v>
      </c>
      <c r="R42" s="151">
        <v>1754.90679</v>
      </c>
      <c r="S42" s="151">
        <v>1672.65985</v>
      </c>
      <c r="T42" s="151">
        <v>1460.46327</v>
      </c>
      <c r="U42" s="151">
        <v>1334.20046</v>
      </c>
      <c r="V42" s="151">
        <v>1273.6564799999999</v>
      </c>
      <c r="W42" s="151">
        <v>1307.3832199999999</v>
      </c>
      <c r="X42" s="151">
        <v>1270.6291899999999</v>
      </c>
      <c r="Y42" s="241">
        <v>1265.6293000000001</v>
      </c>
      <c r="Z42" s="162">
        <v>998.93518000000006</v>
      </c>
      <c r="AA42" s="151">
        <v>895.03668000000005</v>
      </c>
      <c r="AB42" s="151">
        <v>904.17277000000001</v>
      </c>
      <c r="AC42" s="151">
        <v>835.1000600000001</v>
      </c>
      <c r="AD42" s="151">
        <v>771.16011000000003</v>
      </c>
      <c r="AE42" s="151">
        <v>714.13043000000005</v>
      </c>
      <c r="AF42" s="151">
        <v>456.90798000000001</v>
      </c>
      <c r="AG42" s="151">
        <v>388.78566999999998</v>
      </c>
      <c r="AH42" s="151">
        <v>206.15601000000001</v>
      </c>
      <c r="AI42" s="151">
        <v>157.36267999999998</v>
      </c>
      <c r="AJ42" s="151">
        <v>118.81487</v>
      </c>
      <c r="AK42" s="241">
        <v>94.568219999999997</v>
      </c>
      <c r="AL42" s="162">
        <v>81.661330000000007</v>
      </c>
      <c r="AM42" s="151">
        <v>58.382730000000002</v>
      </c>
      <c r="AN42" s="151">
        <v>55.671109999999999</v>
      </c>
      <c r="AO42" s="151">
        <v>47.290440000000004</v>
      </c>
      <c r="AP42" s="151">
        <v>35.757109999999997</v>
      </c>
      <c r="AQ42" s="151">
        <v>17.55134</v>
      </c>
      <c r="AR42" s="151">
        <v>11.5901</v>
      </c>
      <c r="AS42" s="151">
        <v>7.8868900000000002</v>
      </c>
      <c r="AT42" s="151">
        <v>7.0024700000000006</v>
      </c>
      <c r="AU42" s="151">
        <v>6.3007799999999996</v>
      </c>
      <c r="AV42" s="151">
        <v>6.3007799999999996</v>
      </c>
      <c r="AW42" s="241">
        <v>106.83021000000001</v>
      </c>
      <c r="AX42" s="162">
        <v>261.10210999999998</v>
      </c>
      <c r="AY42" s="151">
        <v>433.46257000000003</v>
      </c>
      <c r="AZ42" s="151">
        <v>616.81281999999999</v>
      </c>
      <c r="BA42" s="151">
        <v>754.77927999999997</v>
      </c>
      <c r="BB42" s="151">
        <v>902.66673000000003</v>
      </c>
      <c r="BC42" s="151">
        <v>981.17352000000005</v>
      </c>
      <c r="BD42" s="151">
        <v>1064.77637</v>
      </c>
      <c r="BE42" s="151">
        <v>1173.13643</v>
      </c>
      <c r="BF42" s="151">
        <v>1249.68724</v>
      </c>
      <c r="BG42" s="151">
        <v>1288.7736399999999</v>
      </c>
      <c r="BH42" s="151">
        <v>1316.4633999999999</v>
      </c>
      <c r="BI42" s="241">
        <v>1360.2794699999999</v>
      </c>
      <c r="BJ42" s="162">
        <v>1370.1577600000001</v>
      </c>
      <c r="BK42" s="151">
        <v>1414</v>
      </c>
      <c r="BL42" s="151">
        <v>1398</v>
      </c>
      <c r="BM42" s="151">
        <v>1383</v>
      </c>
      <c r="BN42" s="151">
        <v>1359</v>
      </c>
      <c r="BO42" s="151">
        <v>1338</v>
      </c>
      <c r="BP42" s="151">
        <v>1309</v>
      </c>
      <c r="BQ42" s="151">
        <v>1262.3996399999999</v>
      </c>
      <c r="BR42" s="151">
        <v>1216</v>
      </c>
      <c r="BS42" s="151">
        <v>1151</v>
      </c>
      <c r="BT42" s="151">
        <v>1068</v>
      </c>
      <c r="BU42" s="241">
        <v>980</v>
      </c>
      <c r="BW42" s="184">
        <f t="shared" si="2"/>
        <v>-8.2397003745318322</v>
      </c>
      <c r="BX42" s="184">
        <f t="shared" si="3"/>
        <v>-27.955980986760022</v>
      </c>
      <c r="BZ42" s="208">
        <f t="shared" si="4"/>
        <v>8.0539878160203616E-4</v>
      </c>
      <c r="CB42" s="138"/>
    </row>
    <row r="43" spans="1:80" ht="15" customHeight="1" x14ac:dyDescent="0.25">
      <c r="A43" s="441" t="s">
        <v>533</v>
      </c>
      <c r="B43" s="162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241"/>
      <c r="N43" s="162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241"/>
      <c r="Z43" s="162"/>
      <c r="AA43" s="151"/>
      <c r="AB43" s="151"/>
      <c r="AC43" s="151"/>
      <c r="AD43" s="151"/>
      <c r="AE43" s="151">
        <v>67.889060000000001</v>
      </c>
      <c r="AF43" s="151">
        <v>579.31245999999999</v>
      </c>
      <c r="AG43" s="151">
        <v>1161.67498</v>
      </c>
      <c r="AH43" s="151">
        <v>1699.1999699999999</v>
      </c>
      <c r="AI43" s="151">
        <v>2210.56158</v>
      </c>
      <c r="AJ43" s="151">
        <v>2877.19805</v>
      </c>
      <c r="AK43" s="241">
        <v>3593.4047300000002</v>
      </c>
      <c r="AL43" s="162">
        <v>4156.8176000000003</v>
      </c>
      <c r="AM43" s="151">
        <v>4459.1881199999998</v>
      </c>
      <c r="AN43" s="151">
        <v>4555.8846700000004</v>
      </c>
      <c r="AO43" s="151">
        <v>4740.2423899999994</v>
      </c>
      <c r="AP43" s="151">
        <v>4911.7911799999993</v>
      </c>
      <c r="AQ43" s="151">
        <v>4671.2536399999999</v>
      </c>
      <c r="AR43" s="151">
        <v>4656.0816299999997</v>
      </c>
      <c r="AS43" s="151">
        <v>4489.0802199999998</v>
      </c>
      <c r="AT43" s="151">
        <v>4315.0043800000003</v>
      </c>
      <c r="AU43" s="151">
        <v>4122.4115199999997</v>
      </c>
      <c r="AV43" s="151">
        <v>4206.2199099999998</v>
      </c>
      <c r="AW43" s="241">
        <v>3719.40942</v>
      </c>
      <c r="AX43" s="162">
        <v>3556.2722799999997</v>
      </c>
      <c r="AY43" s="151">
        <v>3438.9899399999999</v>
      </c>
      <c r="AZ43" s="151">
        <v>3306.1567799999998</v>
      </c>
      <c r="BA43" s="151">
        <v>3261.0355499999996</v>
      </c>
      <c r="BB43" s="151">
        <v>3167.12318</v>
      </c>
      <c r="BC43" s="151">
        <v>3034.5050799999999</v>
      </c>
      <c r="BD43" s="151">
        <v>3021.6646600000004</v>
      </c>
      <c r="BE43" s="151">
        <v>2841.7135099999996</v>
      </c>
      <c r="BF43" s="151">
        <v>2893.1527900000001</v>
      </c>
      <c r="BG43" s="151">
        <v>2957.6717699999999</v>
      </c>
      <c r="BH43" s="151">
        <v>2420.6664000000001</v>
      </c>
      <c r="BI43" s="241">
        <v>2221.9882799999996</v>
      </c>
      <c r="BJ43" s="162">
        <v>2279.3883100000003</v>
      </c>
      <c r="BK43" s="151">
        <v>2326</v>
      </c>
      <c r="BL43" s="151">
        <v>2335.5</v>
      </c>
      <c r="BM43" s="151">
        <v>2328</v>
      </c>
      <c r="BN43" s="151">
        <v>2323</v>
      </c>
      <c r="BO43" s="151">
        <v>2313</v>
      </c>
      <c r="BP43" s="151">
        <v>2278</v>
      </c>
      <c r="BQ43" s="151">
        <v>2259.7807499999999</v>
      </c>
      <c r="BR43" s="151">
        <v>2179</v>
      </c>
      <c r="BS43" s="151">
        <v>2104</v>
      </c>
      <c r="BT43" s="151">
        <v>2076</v>
      </c>
      <c r="BU43" s="241">
        <v>2014</v>
      </c>
      <c r="BW43" s="184">
        <f t="shared" si="2"/>
        <v>-2.9865125240847834</v>
      </c>
      <c r="BX43" s="184">
        <f t="shared" si="3"/>
        <v>-9.3604580128568315</v>
      </c>
      <c r="BZ43" s="208">
        <f t="shared" si="4"/>
        <v>1.3398578041640434E-3</v>
      </c>
      <c r="CB43" s="138"/>
    </row>
    <row r="44" spans="1:80" ht="15" customHeight="1" x14ac:dyDescent="0.25">
      <c r="A44" s="440" t="s">
        <v>534</v>
      </c>
      <c r="B44" s="267">
        <f t="shared" ref="B44:Y44" si="19">B45</f>
        <v>33438.65756</v>
      </c>
      <c r="C44" s="229">
        <f t="shared" si="19"/>
        <v>33165.001329999999</v>
      </c>
      <c r="D44" s="229">
        <f t="shared" si="19"/>
        <v>32378.257030000001</v>
      </c>
      <c r="E44" s="229">
        <f t="shared" si="19"/>
        <v>31908.226690000003</v>
      </c>
      <c r="F44" s="229">
        <f t="shared" si="19"/>
        <v>31827.558539999998</v>
      </c>
      <c r="G44" s="229">
        <f t="shared" si="19"/>
        <v>0</v>
      </c>
      <c r="H44" s="229">
        <f t="shared" si="19"/>
        <v>0</v>
      </c>
      <c r="I44" s="229">
        <f t="shared" si="19"/>
        <v>0</v>
      </c>
      <c r="J44" s="229">
        <f t="shared" si="19"/>
        <v>0</v>
      </c>
      <c r="K44" s="229">
        <f t="shared" si="19"/>
        <v>0</v>
      </c>
      <c r="L44" s="229">
        <f t="shared" si="19"/>
        <v>0</v>
      </c>
      <c r="M44" s="268">
        <f t="shared" si="19"/>
        <v>0</v>
      </c>
      <c r="N44" s="267">
        <f t="shared" si="19"/>
        <v>0</v>
      </c>
      <c r="O44" s="229">
        <f t="shared" si="19"/>
        <v>0</v>
      </c>
      <c r="P44" s="229">
        <f t="shared" si="19"/>
        <v>0</v>
      </c>
      <c r="Q44" s="229">
        <f t="shared" si="19"/>
        <v>0</v>
      </c>
      <c r="R44" s="229">
        <f t="shared" si="19"/>
        <v>0</v>
      </c>
      <c r="S44" s="229">
        <f t="shared" si="19"/>
        <v>0</v>
      </c>
      <c r="T44" s="229">
        <f t="shared" si="19"/>
        <v>0</v>
      </c>
      <c r="U44" s="229">
        <f t="shared" si="19"/>
        <v>0</v>
      </c>
      <c r="V44" s="229">
        <f t="shared" si="19"/>
        <v>0</v>
      </c>
      <c r="W44" s="229">
        <f t="shared" si="19"/>
        <v>0</v>
      </c>
      <c r="X44" s="229">
        <f t="shared" si="19"/>
        <v>0</v>
      </c>
      <c r="Y44" s="268">
        <f t="shared" si="19"/>
        <v>0</v>
      </c>
      <c r="Z44" s="267">
        <f>SUM(Z45:Z46)</f>
        <v>0</v>
      </c>
      <c r="AA44" s="229">
        <f>SUM(AA45:AA46)</f>
        <v>0</v>
      </c>
      <c r="AB44" s="229">
        <f t="shared" ref="AB44:BU44" si="20">SUM(AB45:AB46)</f>
        <v>0</v>
      </c>
      <c r="AC44" s="229">
        <f t="shared" si="20"/>
        <v>0</v>
      </c>
      <c r="AD44" s="229">
        <f t="shared" si="20"/>
        <v>0</v>
      </c>
      <c r="AE44" s="229">
        <f t="shared" si="20"/>
        <v>4653.8857900000003</v>
      </c>
      <c r="AF44" s="229">
        <f t="shared" si="20"/>
        <v>4642.4891100000004</v>
      </c>
      <c r="AG44" s="229">
        <f t="shared" si="20"/>
        <v>4658.3902699999999</v>
      </c>
      <c r="AH44" s="229">
        <f t="shared" si="20"/>
        <v>4671.7317999999996</v>
      </c>
      <c r="AI44" s="229">
        <f t="shared" si="20"/>
        <v>4845.7909600000003</v>
      </c>
      <c r="AJ44" s="229">
        <f t="shared" si="20"/>
        <v>5121.3492200000001</v>
      </c>
      <c r="AK44" s="268">
        <f t="shared" si="20"/>
        <v>5240.26703</v>
      </c>
      <c r="AL44" s="267">
        <f t="shared" si="20"/>
        <v>5605.9512800000002</v>
      </c>
      <c r="AM44" s="229">
        <f t="shared" si="20"/>
        <v>5751.33295</v>
      </c>
      <c r="AN44" s="229">
        <f t="shared" si="20"/>
        <v>6048.5991399999994</v>
      </c>
      <c r="AO44" s="229">
        <f t="shared" si="20"/>
        <v>5945.75684</v>
      </c>
      <c r="AP44" s="229">
        <f t="shared" si="20"/>
        <v>5806.4137300000002</v>
      </c>
      <c r="AQ44" s="229">
        <f t="shared" si="20"/>
        <v>5677.6935899999999</v>
      </c>
      <c r="AR44" s="229">
        <f t="shared" si="20"/>
        <v>5566.2296500000002</v>
      </c>
      <c r="AS44" s="229">
        <f t="shared" si="20"/>
        <v>5629.81513</v>
      </c>
      <c r="AT44" s="229">
        <f t="shared" si="20"/>
        <v>5570.5353499999992</v>
      </c>
      <c r="AU44" s="229">
        <f t="shared" si="20"/>
        <v>5698.1248900000001</v>
      </c>
      <c r="AV44" s="229">
        <f t="shared" si="20"/>
        <v>5890.0293600000005</v>
      </c>
      <c r="AW44" s="268">
        <f t="shared" si="20"/>
        <v>5738.1775199999993</v>
      </c>
      <c r="AX44" s="267">
        <f t="shared" si="20"/>
        <v>5531.8529600000002</v>
      </c>
      <c r="AY44" s="229">
        <f t="shared" si="20"/>
        <v>5508.7850899999994</v>
      </c>
      <c r="AZ44" s="229">
        <f t="shared" si="20"/>
        <v>5564.9974099999999</v>
      </c>
      <c r="BA44" s="229">
        <f t="shared" si="20"/>
        <v>5645.7379000000001</v>
      </c>
      <c r="BB44" s="229">
        <f t="shared" si="20"/>
        <v>5575.99514</v>
      </c>
      <c r="BC44" s="229">
        <f t="shared" si="20"/>
        <v>5601.2622999999994</v>
      </c>
      <c r="BD44" s="229">
        <f t="shared" si="20"/>
        <v>5552.3779699999996</v>
      </c>
      <c r="BE44" s="229">
        <f t="shared" si="20"/>
        <v>5350.7385700000004</v>
      </c>
      <c r="BF44" s="229">
        <f t="shared" si="20"/>
        <v>5329.1154999999999</v>
      </c>
      <c r="BG44" s="229">
        <f t="shared" si="20"/>
        <v>5126.7765199999994</v>
      </c>
      <c r="BH44" s="229">
        <f t="shared" si="20"/>
        <v>4917.7875300000005</v>
      </c>
      <c r="BI44" s="268">
        <f t="shared" si="20"/>
        <v>4979.0100899999998</v>
      </c>
      <c r="BJ44" s="267">
        <f t="shared" si="20"/>
        <v>4955.1960399999998</v>
      </c>
      <c r="BK44" s="229">
        <f t="shared" si="20"/>
        <v>4957.3999999999996</v>
      </c>
      <c r="BL44" s="229">
        <f t="shared" si="20"/>
        <v>4783</v>
      </c>
      <c r="BM44" s="229">
        <f t="shared" si="20"/>
        <v>4668</v>
      </c>
      <c r="BN44" s="229">
        <f t="shared" si="20"/>
        <v>4586</v>
      </c>
      <c r="BO44" s="229">
        <f t="shared" si="20"/>
        <v>4734</v>
      </c>
      <c r="BP44" s="229">
        <f t="shared" si="20"/>
        <v>4722.2</v>
      </c>
      <c r="BQ44" s="229">
        <f t="shared" si="20"/>
        <v>4704</v>
      </c>
      <c r="BR44" s="229">
        <f t="shared" si="20"/>
        <v>4890</v>
      </c>
      <c r="BS44" s="229">
        <f t="shared" si="20"/>
        <v>5050</v>
      </c>
      <c r="BT44" s="229">
        <f t="shared" si="20"/>
        <v>4814.5</v>
      </c>
      <c r="BU44" s="268">
        <f t="shared" si="20"/>
        <v>5014</v>
      </c>
      <c r="BW44" s="184">
        <f t="shared" si="2"/>
        <v>4.1437324748156534</v>
      </c>
      <c r="BX44" s="379">
        <f t="shared" si="3"/>
        <v>0.70274832481811433</v>
      </c>
      <c r="BZ44" s="208">
        <f t="shared" si="4"/>
        <v>2.9127367444280535E-3</v>
      </c>
      <c r="CB44" s="138" t="s">
        <v>585</v>
      </c>
    </row>
    <row r="45" spans="1:80" ht="15" customHeight="1" x14ac:dyDescent="0.25">
      <c r="A45" s="441" t="s">
        <v>507</v>
      </c>
      <c r="B45" s="162">
        <v>33438.65756</v>
      </c>
      <c r="C45" s="151">
        <v>33165.001329999999</v>
      </c>
      <c r="D45" s="151">
        <v>32378.257030000001</v>
      </c>
      <c r="E45" s="151">
        <v>31908.226690000003</v>
      </c>
      <c r="F45" s="151">
        <v>31827.558539999998</v>
      </c>
      <c r="G45" s="151"/>
      <c r="H45" s="151"/>
      <c r="I45" s="151"/>
      <c r="J45" s="151"/>
      <c r="K45" s="151"/>
      <c r="L45" s="151"/>
      <c r="M45" s="241"/>
      <c r="N45" s="162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241"/>
      <c r="Z45" s="162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241"/>
      <c r="AL45" s="162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241"/>
      <c r="AX45" s="162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241"/>
      <c r="BJ45" s="162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241"/>
      <c r="BW45" s="184" t="str">
        <f t="shared" si="2"/>
        <v>-</v>
      </c>
      <c r="BX45" s="184" t="str">
        <f t="shared" si="3"/>
        <v>-</v>
      </c>
      <c r="BZ45" s="208">
        <f t="shared" si="4"/>
        <v>0</v>
      </c>
      <c r="CB45" s="138"/>
    </row>
    <row r="46" spans="1:80" ht="15" customHeight="1" x14ac:dyDescent="0.25">
      <c r="A46" s="441" t="s">
        <v>508</v>
      </c>
      <c r="B46" s="162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241"/>
      <c r="N46" s="162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241"/>
      <c r="Z46" s="162"/>
      <c r="AA46" s="151"/>
      <c r="AB46" s="151"/>
      <c r="AC46" s="151"/>
      <c r="AD46" s="151"/>
      <c r="AE46" s="151">
        <v>4653.8857900000003</v>
      </c>
      <c r="AF46" s="151">
        <v>4642.4891100000004</v>
      </c>
      <c r="AG46" s="151">
        <v>4658.3902699999999</v>
      </c>
      <c r="AH46" s="151">
        <v>4671.7317999999996</v>
      </c>
      <c r="AI46" s="151">
        <v>4845.7909600000003</v>
      </c>
      <c r="AJ46" s="151">
        <v>5121.3492200000001</v>
      </c>
      <c r="AK46" s="241">
        <v>5240.26703</v>
      </c>
      <c r="AL46" s="162">
        <v>5605.9512800000002</v>
      </c>
      <c r="AM46" s="151">
        <v>5751.33295</v>
      </c>
      <c r="AN46" s="151">
        <v>6048.5991399999994</v>
      </c>
      <c r="AO46" s="151">
        <v>5945.75684</v>
      </c>
      <c r="AP46" s="151">
        <v>5806.4137300000002</v>
      </c>
      <c r="AQ46" s="151">
        <v>5677.6935899999999</v>
      </c>
      <c r="AR46" s="151">
        <v>5566.2296500000002</v>
      </c>
      <c r="AS46" s="151">
        <v>5629.81513</v>
      </c>
      <c r="AT46" s="151">
        <v>5570.5353499999992</v>
      </c>
      <c r="AU46" s="151">
        <v>5698.1248900000001</v>
      </c>
      <c r="AV46" s="151">
        <v>5890.0293600000005</v>
      </c>
      <c r="AW46" s="241">
        <v>5738.1775199999993</v>
      </c>
      <c r="AX46" s="162">
        <v>5531.8529600000002</v>
      </c>
      <c r="AY46" s="151">
        <v>5508.7850899999994</v>
      </c>
      <c r="AZ46" s="151">
        <v>5564.9974099999999</v>
      </c>
      <c r="BA46" s="151">
        <v>5645.7379000000001</v>
      </c>
      <c r="BB46" s="151">
        <v>5575.99514</v>
      </c>
      <c r="BC46" s="151">
        <v>5601.2622999999994</v>
      </c>
      <c r="BD46" s="151">
        <v>5552.3779699999996</v>
      </c>
      <c r="BE46" s="151">
        <v>5350.7385700000004</v>
      </c>
      <c r="BF46" s="151">
        <v>5329.1154999999999</v>
      </c>
      <c r="BG46" s="151">
        <v>5126.7765199999994</v>
      </c>
      <c r="BH46" s="151">
        <v>4917.7875300000005</v>
      </c>
      <c r="BI46" s="241">
        <v>4979.0100899999998</v>
      </c>
      <c r="BJ46" s="162">
        <v>4955.1960399999998</v>
      </c>
      <c r="BK46" s="151">
        <v>4957.3999999999996</v>
      </c>
      <c r="BL46" s="151">
        <v>4783</v>
      </c>
      <c r="BM46" s="151">
        <v>4668</v>
      </c>
      <c r="BN46" s="151">
        <v>4586</v>
      </c>
      <c r="BO46" s="151">
        <v>4734</v>
      </c>
      <c r="BP46" s="151">
        <v>4722.2</v>
      </c>
      <c r="BQ46" s="151">
        <v>4704</v>
      </c>
      <c r="BR46" s="151">
        <v>4890</v>
      </c>
      <c r="BS46" s="151">
        <v>5050</v>
      </c>
      <c r="BT46" s="151">
        <v>4814.5</v>
      </c>
      <c r="BU46" s="241">
        <v>5014</v>
      </c>
      <c r="BW46" s="184">
        <f t="shared" si="2"/>
        <v>4.1437324748156534</v>
      </c>
      <c r="BX46" s="184">
        <f t="shared" si="3"/>
        <v>0.70274832481811433</v>
      </c>
      <c r="BZ46" s="208">
        <f t="shared" si="4"/>
        <v>2.9127367444280535E-3</v>
      </c>
      <c r="CB46" s="138"/>
    </row>
    <row r="47" spans="1:80" ht="15" customHeight="1" x14ac:dyDescent="0.25">
      <c r="A47" s="138"/>
      <c r="B47" s="162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241"/>
      <c r="N47" s="162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241"/>
      <c r="Z47" s="162"/>
      <c r="AA47" s="151"/>
      <c r="AB47" s="151"/>
      <c r="AC47" s="151"/>
      <c r="AD47" s="151"/>
      <c r="AE47" s="151"/>
      <c r="AF47" s="151"/>
      <c r="AG47" s="151"/>
      <c r="AH47" s="151"/>
      <c r="AI47" s="151"/>
      <c r="AJ47" s="151"/>
      <c r="AK47" s="241"/>
      <c r="AL47" s="162"/>
      <c r="AM47" s="151"/>
      <c r="AN47" s="151"/>
      <c r="AO47" s="151"/>
      <c r="AP47" s="151"/>
      <c r="AQ47" s="151"/>
      <c r="AR47" s="151"/>
      <c r="AS47" s="151"/>
      <c r="AT47" s="151"/>
      <c r="AU47" s="151"/>
      <c r="AV47" s="151"/>
      <c r="AW47" s="241"/>
      <c r="AX47" s="162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241"/>
      <c r="BJ47" s="162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241"/>
      <c r="BW47" s="184"/>
      <c r="BX47" s="184"/>
      <c r="BZ47" s="208"/>
      <c r="CB47" s="138"/>
    </row>
    <row r="48" spans="1:80" ht="15" customHeight="1" x14ac:dyDescent="0.25">
      <c r="A48" s="141" t="s">
        <v>535</v>
      </c>
      <c r="B48" s="272">
        <v>61730.365960000003</v>
      </c>
      <c r="C48" s="147">
        <v>62025.71</v>
      </c>
      <c r="D48" s="147">
        <v>62733.142970000001</v>
      </c>
      <c r="E48" s="147">
        <v>63315.23</v>
      </c>
      <c r="F48" s="147">
        <v>64038.67</v>
      </c>
      <c r="G48" s="147">
        <v>64720.600189999997</v>
      </c>
      <c r="H48" s="147">
        <v>65577.999670000005</v>
      </c>
      <c r="I48" s="147">
        <v>67279.44</v>
      </c>
      <c r="J48" s="147">
        <v>68362.929999999993</v>
      </c>
      <c r="K48" s="147">
        <v>69322.640000000014</v>
      </c>
      <c r="L48" s="147">
        <v>69855.98</v>
      </c>
      <c r="M48" s="273">
        <v>70404.149999999994</v>
      </c>
      <c r="N48" s="272">
        <v>71789.34</v>
      </c>
      <c r="O48" s="147">
        <v>72954.579999999987</v>
      </c>
      <c r="P48" s="147">
        <v>72937.61</v>
      </c>
      <c r="Q48" s="147">
        <v>73633.117510000011</v>
      </c>
      <c r="R48" s="147">
        <v>74604.409999999989</v>
      </c>
      <c r="S48" s="147">
        <v>75924.2</v>
      </c>
      <c r="T48" s="147">
        <v>76873.299999999959</v>
      </c>
      <c r="U48" s="147">
        <v>78234.910000000018</v>
      </c>
      <c r="V48" s="147">
        <v>79201.142059999504</v>
      </c>
      <c r="W48" s="147">
        <v>80879.090419999993</v>
      </c>
      <c r="X48" s="147">
        <v>81893.515379999997</v>
      </c>
      <c r="Y48" s="273">
        <v>83269.774919999996</v>
      </c>
      <c r="Z48" s="272">
        <v>84702.263080000004</v>
      </c>
      <c r="AA48" s="147">
        <v>85484.082310000013</v>
      </c>
      <c r="AB48" s="147">
        <v>85844.887090000004</v>
      </c>
      <c r="AC48" s="147">
        <v>86820.68355999999</v>
      </c>
      <c r="AD48" s="147">
        <v>88543.82405000001</v>
      </c>
      <c r="AE48" s="147">
        <v>89655.858770000006</v>
      </c>
      <c r="AF48" s="147">
        <v>91190.281419999985</v>
      </c>
      <c r="AG48" s="147">
        <v>98326.778249999988</v>
      </c>
      <c r="AH48" s="147">
        <v>100578.77969</v>
      </c>
      <c r="AI48" s="147">
        <v>101724.27424000001</v>
      </c>
      <c r="AJ48" s="147">
        <v>103439.09779999999</v>
      </c>
      <c r="AK48" s="273">
        <v>104190.50278999998</v>
      </c>
      <c r="AL48" s="272">
        <v>107236.25322999999</v>
      </c>
      <c r="AM48" s="147">
        <v>109830.19819999998</v>
      </c>
      <c r="AN48" s="147">
        <v>112531.2868</v>
      </c>
      <c r="AO48" s="147">
        <v>114550.87344</v>
      </c>
      <c r="AP48" s="147">
        <v>116355.41143000001</v>
      </c>
      <c r="AQ48" s="147">
        <v>118181.31013</v>
      </c>
      <c r="AR48" s="147">
        <v>120584.03736</v>
      </c>
      <c r="AS48" s="147">
        <v>123475.98684999999</v>
      </c>
      <c r="AT48" s="147">
        <v>124875.14258</v>
      </c>
      <c r="AU48" s="147">
        <v>127264.71288000001</v>
      </c>
      <c r="AV48" s="147">
        <v>129152.20746999999</v>
      </c>
      <c r="AW48" s="273">
        <v>129826.3738</v>
      </c>
      <c r="AX48" s="272">
        <v>131527.3847</v>
      </c>
      <c r="AY48" s="147">
        <v>131407.67480000001</v>
      </c>
      <c r="AZ48" s="147">
        <v>131968.7997</v>
      </c>
      <c r="BA48" s="147">
        <v>132220.85690000001</v>
      </c>
      <c r="BB48" s="147">
        <v>131676.48940000002</v>
      </c>
      <c r="BC48" s="147">
        <v>131873.5258</v>
      </c>
      <c r="BD48" s="147">
        <v>132963.06</v>
      </c>
      <c r="BE48" s="147">
        <v>134738.75289999999</v>
      </c>
      <c r="BF48" s="147">
        <v>135582.39265999998</v>
      </c>
      <c r="BG48" s="147">
        <v>136067.00819999998</v>
      </c>
      <c r="BH48" s="147">
        <v>135843.24650000001</v>
      </c>
      <c r="BI48" s="273">
        <v>136468.60393000001</v>
      </c>
      <c r="BJ48" s="272">
        <v>137376.77591999999</v>
      </c>
      <c r="BK48" s="147">
        <v>138784.04868000001</v>
      </c>
      <c r="BL48" s="147">
        <v>138096.51064000002</v>
      </c>
      <c r="BM48" s="147">
        <v>136021.77674</v>
      </c>
      <c r="BN48" s="147">
        <v>134136.5</v>
      </c>
      <c r="BO48" s="147">
        <v>131844</v>
      </c>
      <c r="BP48" s="147">
        <v>128209.27909999999</v>
      </c>
      <c r="BQ48" s="147">
        <v>130951.03428000001</v>
      </c>
      <c r="BR48" s="147">
        <v>133686.5</v>
      </c>
      <c r="BS48" s="147">
        <v>135642.4</v>
      </c>
      <c r="BT48" s="147">
        <v>138595.4</v>
      </c>
      <c r="BU48" s="273">
        <v>139186.5</v>
      </c>
      <c r="BW48" s="179">
        <f t="shared" si="2"/>
        <v>0.42649323137708972</v>
      </c>
      <c r="BX48" s="179">
        <f t="shared" si="3"/>
        <v>1.9915907334950855</v>
      </c>
      <c r="BZ48" s="208">
        <f t="shared" si="4"/>
        <v>8.0752079195890503E-2</v>
      </c>
      <c r="CB48" s="138" t="s">
        <v>586</v>
      </c>
    </row>
    <row r="49" spans="1:80" ht="15" customHeight="1" x14ac:dyDescent="0.25">
      <c r="A49" s="138"/>
      <c r="B49" s="162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241"/>
      <c r="N49" s="162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241"/>
      <c r="Z49" s="162"/>
      <c r="AA49" s="151"/>
      <c r="AB49" s="151"/>
      <c r="AC49" s="151"/>
      <c r="AD49" s="151"/>
      <c r="AE49" s="151"/>
      <c r="AF49" s="151"/>
      <c r="AG49" s="151"/>
      <c r="AH49" s="151"/>
      <c r="AI49" s="151"/>
      <c r="AJ49" s="151"/>
      <c r="AK49" s="241"/>
      <c r="AL49" s="162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241"/>
      <c r="AX49" s="162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241"/>
      <c r="BJ49" s="162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241"/>
      <c r="BW49" s="184"/>
      <c r="BX49" s="184"/>
      <c r="BZ49" s="208"/>
      <c r="CB49" s="138"/>
    </row>
    <row r="50" spans="1:80" ht="15" customHeight="1" x14ac:dyDescent="0.25">
      <c r="A50" s="141" t="s">
        <v>536</v>
      </c>
      <c r="B50" s="272">
        <v>29991.819</v>
      </c>
      <c r="C50" s="147">
        <v>30514.39</v>
      </c>
      <c r="D50" s="147">
        <v>29582.537</v>
      </c>
      <c r="E50" s="147">
        <v>30083.815999999999</v>
      </c>
      <c r="F50" s="147">
        <v>30762.303</v>
      </c>
      <c r="G50" s="147">
        <v>31017.163</v>
      </c>
      <c r="H50" s="147">
        <v>29090.109000000004</v>
      </c>
      <c r="I50" s="147">
        <v>27698.071</v>
      </c>
      <c r="J50" s="147">
        <v>27768.370999999999</v>
      </c>
      <c r="K50" s="147">
        <v>28555.998</v>
      </c>
      <c r="L50" s="147">
        <v>26104.008999999998</v>
      </c>
      <c r="M50" s="273">
        <v>26001.155999999999</v>
      </c>
      <c r="N50" s="272">
        <v>26964.552</v>
      </c>
      <c r="O50" s="147">
        <v>27637.206999999999</v>
      </c>
      <c r="P50" s="147">
        <v>28602.350999999999</v>
      </c>
      <c r="Q50" s="147">
        <v>29045.677</v>
      </c>
      <c r="R50" s="147">
        <v>32834.243999999999</v>
      </c>
      <c r="S50" s="147">
        <v>37912.275000000001</v>
      </c>
      <c r="T50" s="147">
        <v>36398.68</v>
      </c>
      <c r="U50" s="147">
        <v>36510.919000000002</v>
      </c>
      <c r="V50" s="147">
        <v>36798.635999999999</v>
      </c>
      <c r="W50" s="147">
        <v>36918.199999999997</v>
      </c>
      <c r="X50" s="147">
        <v>37116.82</v>
      </c>
      <c r="Y50" s="273">
        <v>37697.923000000003</v>
      </c>
      <c r="Z50" s="272">
        <v>39024.839</v>
      </c>
      <c r="AA50" s="147">
        <v>39682.733</v>
      </c>
      <c r="AB50" s="147">
        <v>39736.559999999998</v>
      </c>
      <c r="AC50" s="147">
        <v>40232.608999999997</v>
      </c>
      <c r="AD50" s="147">
        <v>40859.197</v>
      </c>
      <c r="AE50" s="147">
        <v>23822.348999999998</v>
      </c>
      <c r="AF50" s="147">
        <v>18163.082999999999</v>
      </c>
      <c r="AG50" s="147">
        <v>18448.236000000001</v>
      </c>
      <c r="AH50" s="147">
        <v>18209.501</v>
      </c>
      <c r="AI50" s="147">
        <v>30357.363000000001</v>
      </c>
      <c r="AJ50" s="147">
        <v>29551.135999999999</v>
      </c>
      <c r="AK50" s="273">
        <v>29402.536</v>
      </c>
      <c r="AL50" s="272">
        <v>28909.073</v>
      </c>
      <c r="AM50" s="147">
        <v>27965.381000000001</v>
      </c>
      <c r="AN50" s="147">
        <v>26498.462</v>
      </c>
      <c r="AO50" s="147">
        <v>25413.280999999999</v>
      </c>
      <c r="AP50" s="147">
        <v>24007.054</v>
      </c>
      <c r="AQ50" s="147">
        <v>22945.208999999999</v>
      </c>
      <c r="AR50" s="147">
        <v>22953.034</v>
      </c>
      <c r="AS50" s="147">
        <v>22098.168000000001</v>
      </c>
      <c r="AT50" s="147">
        <v>22661.690999999999</v>
      </c>
      <c r="AU50" s="147">
        <v>21747.579000000002</v>
      </c>
      <c r="AV50" s="147">
        <v>20857.927</v>
      </c>
      <c r="AW50" s="273">
        <v>20103.63</v>
      </c>
      <c r="AX50" s="272">
        <v>19586.673999999999</v>
      </c>
      <c r="AY50" s="147">
        <v>19569.748</v>
      </c>
      <c r="AZ50" s="147">
        <v>19323.617999999999</v>
      </c>
      <c r="BA50" s="147">
        <v>18722.855</v>
      </c>
      <c r="BB50" s="147">
        <v>7848.7730000000001</v>
      </c>
      <c r="BC50" s="147">
        <v>7724.5389999999998</v>
      </c>
      <c r="BD50" s="147">
        <v>7516.55</v>
      </c>
      <c r="BE50" s="147">
        <v>7446.0349999999999</v>
      </c>
      <c r="BF50" s="147">
        <v>8232.2690000000002</v>
      </c>
      <c r="BG50" s="147">
        <v>8219.7639999999992</v>
      </c>
      <c r="BH50" s="147">
        <v>8394.7489999999998</v>
      </c>
      <c r="BI50" s="273">
        <v>7487.7269999999999</v>
      </c>
      <c r="BJ50" s="272">
        <v>14395.994000000001</v>
      </c>
      <c r="BK50" s="147">
        <v>14395.994000000001</v>
      </c>
      <c r="BL50" s="147">
        <v>14423.14</v>
      </c>
      <c r="BM50" s="147">
        <v>14516.609</v>
      </c>
      <c r="BN50" s="147">
        <v>14477</v>
      </c>
      <c r="BO50" s="147">
        <v>14368</v>
      </c>
      <c r="BP50" s="147">
        <v>14207.111000000001</v>
      </c>
      <c r="BQ50" s="147">
        <v>14252.130999999999</v>
      </c>
      <c r="BR50" s="147">
        <v>5361</v>
      </c>
      <c r="BS50" s="147">
        <v>5343.4</v>
      </c>
      <c r="BT50" s="147">
        <v>4755.3999999999996</v>
      </c>
      <c r="BU50" s="273">
        <v>4023</v>
      </c>
      <c r="BW50" s="179">
        <f t="shared" si="2"/>
        <v>-15.401438364806319</v>
      </c>
      <c r="BX50" s="179">
        <f t="shared" si="3"/>
        <v>-46.27207963110834</v>
      </c>
      <c r="BZ50" s="208">
        <f t="shared" si="4"/>
        <v>8.462175937718459E-3</v>
      </c>
      <c r="CB50" s="138" t="s">
        <v>587</v>
      </c>
    </row>
    <row r="51" spans="1:80" ht="15" customHeight="1" x14ac:dyDescent="0.25">
      <c r="A51" s="133"/>
      <c r="B51" s="233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199"/>
      <c r="N51" s="233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199"/>
      <c r="Z51" s="233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199"/>
      <c r="AL51" s="233"/>
      <c r="AM51" s="230"/>
      <c r="AN51" s="230"/>
      <c r="AO51" s="230"/>
      <c r="AP51" s="230"/>
      <c r="AQ51" s="230"/>
      <c r="AR51" s="230"/>
      <c r="AS51" s="230"/>
      <c r="AT51" s="230"/>
      <c r="AU51" s="230"/>
      <c r="AV51" s="230"/>
      <c r="AW51" s="199"/>
      <c r="AX51" s="233"/>
      <c r="AY51" s="230"/>
      <c r="AZ51" s="230"/>
      <c r="BA51" s="230"/>
      <c r="BB51" s="230"/>
      <c r="BC51" s="230"/>
      <c r="BD51" s="230"/>
      <c r="BE51" s="230"/>
      <c r="BF51" s="230"/>
      <c r="BG51" s="230"/>
      <c r="BH51" s="230"/>
      <c r="BI51" s="199"/>
      <c r="BJ51" s="233"/>
      <c r="BK51" s="230"/>
      <c r="BL51" s="230"/>
      <c r="BM51" s="230"/>
      <c r="BN51" s="230"/>
      <c r="BO51" s="230"/>
      <c r="BP51" s="230"/>
      <c r="BQ51" s="230"/>
      <c r="BR51" s="230"/>
      <c r="BS51" s="230"/>
      <c r="BT51" s="230"/>
      <c r="BU51" s="199"/>
      <c r="BW51" s="177"/>
      <c r="BX51" s="177"/>
      <c r="CB51" s="133"/>
    </row>
    <row r="52" spans="1:80" ht="15" customHeight="1" x14ac:dyDescent="0.25">
      <c r="A52" s="126" t="s">
        <v>155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</row>
    <row r="53" spans="1:80" ht="15" customHeight="1" x14ac:dyDescent="0.25">
      <c r="A53" s="126" t="s">
        <v>322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7"/>
      <c r="AX53" s="127"/>
      <c r="AY53" s="127"/>
      <c r="AZ53" s="127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</row>
    <row r="54" spans="1:80" ht="15" customHeight="1" x14ac:dyDescent="0.25">
      <c r="A54" s="126" t="s">
        <v>326</v>
      </c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  <c r="AK54" s="127"/>
      <c r="AL54" s="127"/>
      <c r="AM54" s="127"/>
      <c r="AN54" s="127"/>
      <c r="AO54" s="127"/>
      <c r="AP54" s="127"/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</row>
    <row r="55" spans="1:80" ht="15" customHeight="1" x14ac:dyDescent="0.25">
      <c r="A55" s="126" t="s">
        <v>327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</row>
    <row r="56" spans="1:80" ht="15" customHeight="1" x14ac:dyDescent="0.25">
      <c r="A56" s="126" t="s">
        <v>328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</row>
    <row r="57" spans="1:80" ht="15" customHeight="1" x14ac:dyDescent="0.25">
      <c r="A57" s="126" t="s">
        <v>280</v>
      </c>
      <c r="B57" s="151">
        <f t="shared" ref="B57:AG57" si="21">B48+B23+B11+B50</f>
        <v>1331884.79605</v>
      </c>
      <c r="C57" s="151">
        <f t="shared" si="21"/>
        <v>1337460.8428700001</v>
      </c>
      <c r="D57" s="151">
        <f t="shared" si="21"/>
        <v>1338794.4183099999</v>
      </c>
      <c r="E57" s="151">
        <f t="shared" si="21"/>
        <v>1354581.84986</v>
      </c>
      <c r="F57" s="151">
        <f t="shared" si="21"/>
        <v>1366719.7641500002</v>
      </c>
      <c r="G57" s="151">
        <f t="shared" si="21"/>
        <v>1340185.2851800001</v>
      </c>
      <c r="H57" s="151">
        <f t="shared" si="21"/>
        <v>1345560.88002</v>
      </c>
      <c r="I57" s="151">
        <f t="shared" si="21"/>
        <v>1356743.01027</v>
      </c>
      <c r="J57" s="151">
        <f t="shared" si="21"/>
        <v>1365018.9793800001</v>
      </c>
      <c r="K57" s="151">
        <f t="shared" si="21"/>
        <v>1374884.2522199999</v>
      </c>
      <c r="L57" s="151">
        <f t="shared" si="21"/>
        <v>1393980.17393</v>
      </c>
      <c r="M57" s="151">
        <f t="shared" si="21"/>
        <v>1401972.0554800001</v>
      </c>
      <c r="N57" s="151">
        <f t="shared" si="21"/>
        <v>1412727.15292</v>
      </c>
      <c r="O57" s="151">
        <f t="shared" si="21"/>
        <v>1411894.46884</v>
      </c>
      <c r="P57" s="151">
        <f t="shared" si="21"/>
        <v>1388654.6062200002</v>
      </c>
      <c r="Q57" s="151">
        <f t="shared" si="21"/>
        <v>1396484.87791</v>
      </c>
      <c r="R57" s="151">
        <f t="shared" si="21"/>
        <v>1423516.0393399999</v>
      </c>
      <c r="S57" s="151">
        <f t="shared" si="21"/>
        <v>1438717.4232600001</v>
      </c>
      <c r="T57" s="151">
        <f t="shared" si="21"/>
        <v>1446801.0050199998</v>
      </c>
      <c r="U57" s="151">
        <f t="shared" si="21"/>
        <v>1463860.4793199997</v>
      </c>
      <c r="V57" s="151">
        <f t="shared" si="21"/>
        <v>1499914.0080499994</v>
      </c>
      <c r="W57" s="151">
        <f t="shared" si="21"/>
        <v>1505134.0104399999</v>
      </c>
      <c r="X57" s="151">
        <f t="shared" si="21"/>
        <v>1531126.68814</v>
      </c>
      <c r="Y57" s="151">
        <f t="shared" si="21"/>
        <v>1535049.6166100001</v>
      </c>
      <c r="Z57" s="151">
        <f t="shared" si="21"/>
        <v>1529916.0506999998</v>
      </c>
      <c r="AA57" s="151">
        <f t="shared" si="21"/>
        <v>1552154.0433399999</v>
      </c>
      <c r="AB57" s="151">
        <f t="shared" si="21"/>
        <v>1558577.9121699999</v>
      </c>
      <c r="AC57" s="151">
        <f t="shared" si="21"/>
        <v>1559874.9852099998</v>
      </c>
      <c r="AD57" s="151">
        <f t="shared" si="21"/>
        <v>1564168.3966399995</v>
      </c>
      <c r="AE57" s="151">
        <f t="shared" si="21"/>
        <v>1542667.44413</v>
      </c>
      <c r="AF57" s="151">
        <f t="shared" si="21"/>
        <v>1549276.0804499998</v>
      </c>
      <c r="AG57" s="151">
        <f t="shared" si="21"/>
        <v>1554299.8807000001</v>
      </c>
      <c r="AH57" s="151">
        <f t="shared" ref="AH57:BM57" si="22">AH48+AH23+AH11+AH50</f>
        <v>1565463.7631599999</v>
      </c>
      <c r="AI57" s="151">
        <f t="shared" si="22"/>
        <v>1576880.5677999998</v>
      </c>
      <c r="AJ57" s="151">
        <f t="shared" si="22"/>
        <v>1595266.00951</v>
      </c>
      <c r="AK57" s="151">
        <f t="shared" si="22"/>
        <v>1609083.8869299998</v>
      </c>
      <c r="AL57" s="151">
        <f t="shared" si="22"/>
        <v>1610434.5744699999</v>
      </c>
      <c r="AM57" s="151">
        <f t="shared" si="22"/>
        <v>1617851.9451499998</v>
      </c>
      <c r="AN57" s="151">
        <f t="shared" si="22"/>
        <v>1617116.25719</v>
      </c>
      <c r="AO57" s="151">
        <f t="shared" si="22"/>
        <v>1622420.0544099999</v>
      </c>
      <c r="AP57" s="151">
        <f t="shared" si="22"/>
        <v>1637646.3120699998</v>
      </c>
      <c r="AQ57" s="151">
        <f t="shared" si="22"/>
        <v>1641886.0130900003</v>
      </c>
      <c r="AR57" s="151">
        <f t="shared" si="22"/>
        <v>1652060.3360099997</v>
      </c>
      <c r="AS57" s="151">
        <f t="shared" si="22"/>
        <v>1665282.54256</v>
      </c>
      <c r="AT57" s="151">
        <f t="shared" si="22"/>
        <v>1674706.5479100002</v>
      </c>
      <c r="AU57" s="151">
        <f t="shared" si="22"/>
        <v>1686394.4857499998</v>
      </c>
      <c r="AV57" s="151">
        <f t="shared" si="22"/>
        <v>1712176.4299900003</v>
      </c>
      <c r="AW57" s="151">
        <f t="shared" si="22"/>
        <v>1715579.3356300001</v>
      </c>
      <c r="AX57" s="151">
        <f t="shared" si="22"/>
        <v>1720063.5399999996</v>
      </c>
      <c r="AY57" s="151">
        <f t="shared" si="22"/>
        <v>1720732.6750000003</v>
      </c>
      <c r="AZ57" s="151">
        <f t="shared" si="22"/>
        <v>1724059.6478599999</v>
      </c>
      <c r="BA57" s="151">
        <f t="shared" si="22"/>
        <v>1721632.4040400004</v>
      </c>
      <c r="BB57" s="151">
        <f t="shared" si="22"/>
        <v>1723798.7549399999</v>
      </c>
      <c r="BC57" s="151">
        <f t="shared" si="22"/>
        <v>1711830.7120699999</v>
      </c>
      <c r="BD57" s="151">
        <f t="shared" si="22"/>
        <v>1707737.1547100001</v>
      </c>
      <c r="BE57" s="151">
        <f t="shared" si="22"/>
        <v>1717363.9165799997</v>
      </c>
      <c r="BF57" s="151">
        <f t="shared" si="22"/>
        <v>1730587.4694400004</v>
      </c>
      <c r="BG57" s="151">
        <f t="shared" si="22"/>
        <v>1739840.10497</v>
      </c>
      <c r="BH57" s="151">
        <f t="shared" si="22"/>
        <v>1746125.6440600001</v>
      </c>
      <c r="BI57" s="151">
        <f t="shared" si="22"/>
        <v>1755470.1658600001</v>
      </c>
      <c r="BJ57" s="151">
        <f t="shared" si="22"/>
        <v>1701216.5790399997</v>
      </c>
      <c r="BK57" s="151">
        <f t="shared" si="22"/>
        <v>1710793.84268</v>
      </c>
      <c r="BL57" s="151">
        <f t="shared" si="22"/>
        <v>1688966.1506399999</v>
      </c>
      <c r="BM57" s="151">
        <f t="shared" si="22"/>
        <v>1662329.4857399999</v>
      </c>
      <c r="BN57" s="151">
        <f t="shared" ref="BN57:BU57" si="23">BN48+BN23+BN11+BN50</f>
        <v>1712915</v>
      </c>
      <c r="BO57" s="151">
        <f t="shared" si="23"/>
        <v>1738431.6</v>
      </c>
      <c r="BP57" s="151">
        <f t="shared" si="23"/>
        <v>1791860.5901000001</v>
      </c>
      <c r="BQ57" s="151">
        <f t="shared" si="23"/>
        <v>1854809.3486300001</v>
      </c>
      <c r="BR57" s="151">
        <f t="shared" si="23"/>
        <v>1865734</v>
      </c>
      <c r="BS57" s="151">
        <f t="shared" si="23"/>
        <v>1886668</v>
      </c>
      <c r="BT57" s="151">
        <f t="shared" si="23"/>
        <v>1903617.7999999998</v>
      </c>
      <c r="BU57" s="151">
        <f t="shared" si="23"/>
        <v>1906887.1</v>
      </c>
    </row>
    <row r="58" spans="1:80" ht="15" customHeight="1" x14ac:dyDescent="0.25">
      <c r="A58" s="126" t="s">
        <v>281</v>
      </c>
      <c r="B58" s="151">
        <f t="shared" ref="B58:AG58" si="24">B57-B7</f>
        <v>0</v>
      </c>
      <c r="C58" s="151">
        <f t="shared" si="24"/>
        <v>0</v>
      </c>
      <c r="D58" s="151">
        <f t="shared" si="24"/>
        <v>0</v>
      </c>
      <c r="E58" s="151">
        <f t="shared" si="24"/>
        <v>0</v>
      </c>
      <c r="F58" s="151">
        <f t="shared" si="24"/>
        <v>0</v>
      </c>
      <c r="G58" s="151">
        <f t="shared" si="24"/>
        <v>0</v>
      </c>
      <c r="H58" s="151">
        <f t="shared" si="24"/>
        <v>0</v>
      </c>
      <c r="I58" s="151">
        <f t="shared" si="24"/>
        <v>0</v>
      </c>
      <c r="J58" s="151">
        <f t="shared" si="24"/>
        <v>0</v>
      </c>
      <c r="K58" s="151">
        <f t="shared" si="24"/>
        <v>0</v>
      </c>
      <c r="L58" s="151">
        <f t="shared" si="24"/>
        <v>0</v>
      </c>
      <c r="M58" s="151">
        <f t="shared" si="24"/>
        <v>0</v>
      </c>
      <c r="N58" s="151">
        <f t="shared" si="24"/>
        <v>0</v>
      </c>
      <c r="O58" s="151">
        <f t="shared" si="24"/>
        <v>0</v>
      </c>
      <c r="P58" s="151">
        <f t="shared" si="24"/>
        <v>0</v>
      </c>
      <c r="Q58" s="151">
        <f t="shared" si="24"/>
        <v>0</v>
      </c>
      <c r="R58" s="151">
        <f t="shared" si="24"/>
        <v>0</v>
      </c>
      <c r="S58" s="151">
        <f t="shared" si="24"/>
        <v>0</v>
      </c>
      <c r="T58" s="151">
        <f t="shared" si="24"/>
        <v>0</v>
      </c>
      <c r="U58" s="151">
        <f t="shared" si="24"/>
        <v>0</v>
      </c>
      <c r="V58" s="151">
        <f t="shared" si="24"/>
        <v>0</v>
      </c>
      <c r="W58" s="151">
        <f t="shared" si="24"/>
        <v>0</v>
      </c>
      <c r="X58" s="151">
        <f t="shared" si="24"/>
        <v>0</v>
      </c>
      <c r="Y58" s="151">
        <f t="shared" si="24"/>
        <v>0</v>
      </c>
      <c r="Z58" s="151">
        <f t="shared" si="24"/>
        <v>0</v>
      </c>
      <c r="AA58" s="151">
        <f t="shared" si="24"/>
        <v>0</v>
      </c>
      <c r="AB58" s="151">
        <f t="shared" si="24"/>
        <v>0</v>
      </c>
      <c r="AC58" s="151">
        <f t="shared" si="24"/>
        <v>0</v>
      </c>
      <c r="AD58" s="151">
        <f t="shared" si="24"/>
        <v>0</v>
      </c>
      <c r="AE58" s="151">
        <f t="shared" si="24"/>
        <v>0</v>
      </c>
      <c r="AF58" s="151">
        <f t="shared" si="24"/>
        <v>0</v>
      </c>
      <c r="AG58" s="151">
        <f t="shared" si="24"/>
        <v>0</v>
      </c>
      <c r="AH58" s="151">
        <f t="shared" ref="AH58:BM58" si="25">AH57-AH7</f>
        <v>0</v>
      </c>
      <c r="AI58" s="151">
        <f t="shared" si="25"/>
        <v>0</v>
      </c>
      <c r="AJ58" s="151">
        <f t="shared" si="25"/>
        <v>0</v>
      </c>
      <c r="AK58" s="151">
        <f t="shared" si="25"/>
        <v>0</v>
      </c>
      <c r="AL58" s="151">
        <f t="shared" si="25"/>
        <v>0</v>
      </c>
      <c r="AM58" s="151">
        <f t="shared" si="25"/>
        <v>0</v>
      </c>
      <c r="AN58" s="151">
        <f t="shared" si="25"/>
        <v>0</v>
      </c>
      <c r="AO58" s="151">
        <f t="shared" si="25"/>
        <v>0</v>
      </c>
      <c r="AP58" s="151">
        <f t="shared" si="25"/>
        <v>0</v>
      </c>
      <c r="AQ58" s="151">
        <f t="shared" si="25"/>
        <v>0</v>
      </c>
      <c r="AR58" s="151">
        <f t="shared" si="25"/>
        <v>0</v>
      </c>
      <c r="AS58" s="151">
        <f t="shared" si="25"/>
        <v>0</v>
      </c>
      <c r="AT58" s="151">
        <f t="shared" si="25"/>
        <v>0</v>
      </c>
      <c r="AU58" s="151">
        <f t="shared" si="25"/>
        <v>0</v>
      </c>
      <c r="AV58" s="151">
        <f t="shared" si="25"/>
        <v>0</v>
      </c>
      <c r="AW58" s="151">
        <f t="shared" si="25"/>
        <v>0</v>
      </c>
      <c r="AX58" s="151">
        <f t="shared" si="25"/>
        <v>0</v>
      </c>
      <c r="AY58" s="151">
        <f t="shared" si="25"/>
        <v>0</v>
      </c>
      <c r="AZ58" s="151">
        <f t="shared" si="25"/>
        <v>0</v>
      </c>
      <c r="BA58" s="151">
        <f t="shared" si="25"/>
        <v>0</v>
      </c>
      <c r="BB58" s="151">
        <f t="shared" si="25"/>
        <v>0</v>
      </c>
      <c r="BC58" s="151">
        <f t="shared" si="25"/>
        <v>0</v>
      </c>
      <c r="BD58" s="151">
        <f t="shared" si="25"/>
        <v>0</v>
      </c>
      <c r="BE58" s="151">
        <f t="shared" si="25"/>
        <v>0</v>
      </c>
      <c r="BF58" s="151">
        <f t="shared" si="25"/>
        <v>0</v>
      </c>
      <c r="BG58" s="151">
        <f t="shared" si="25"/>
        <v>0</v>
      </c>
      <c r="BH58" s="151">
        <f t="shared" si="25"/>
        <v>0</v>
      </c>
      <c r="BI58" s="151">
        <f t="shared" si="25"/>
        <v>0</v>
      </c>
      <c r="BJ58" s="151">
        <f t="shared" si="25"/>
        <v>0</v>
      </c>
      <c r="BK58" s="151">
        <f t="shared" si="25"/>
        <v>5.1410000072792172E-2</v>
      </c>
      <c r="BL58" s="151">
        <f t="shared" si="25"/>
        <v>0.41865000012330711</v>
      </c>
      <c r="BM58" s="151">
        <f t="shared" si="25"/>
        <v>7.45599998626858E-2</v>
      </c>
      <c r="BN58" s="151">
        <f t="shared" ref="BN58:BU58" si="26">BN57-BN7</f>
        <v>0</v>
      </c>
      <c r="BO58" s="151">
        <f t="shared" si="26"/>
        <v>-0.39999999990686774</v>
      </c>
      <c r="BP58" s="151">
        <f t="shared" si="26"/>
        <v>3.9420000277459621E-2</v>
      </c>
      <c r="BQ58" s="151">
        <f t="shared" si="26"/>
        <v>-0.1891199997626245</v>
      </c>
      <c r="BR58" s="151">
        <f t="shared" si="26"/>
        <v>0</v>
      </c>
      <c r="BS58" s="151">
        <f t="shared" si="26"/>
        <v>0</v>
      </c>
      <c r="BT58" s="151">
        <f t="shared" si="26"/>
        <v>-0.20000000018626451</v>
      </c>
      <c r="BU58" s="151">
        <f t="shared" si="26"/>
        <v>0.10000000009313226</v>
      </c>
      <c r="BW58" s="325"/>
      <c r="BX58" s="325"/>
      <c r="BY58" s="325"/>
    </row>
    <row r="59" spans="1:80" ht="15" customHeight="1" x14ac:dyDescent="0.25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  <c r="AA59" s="325"/>
      <c r="AB59" s="325"/>
      <c r="AC59" s="325"/>
      <c r="AD59" s="325"/>
      <c r="AE59" s="325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5"/>
      <c r="AQ59" s="325"/>
      <c r="AR59" s="325"/>
      <c r="AS59" s="325"/>
      <c r="AT59" s="325"/>
      <c r="AU59" s="325"/>
      <c r="AV59" s="325"/>
      <c r="AW59" s="325"/>
      <c r="AX59" s="325"/>
      <c r="AY59" s="325"/>
      <c r="AZ59" s="325"/>
      <c r="BA59" s="325"/>
      <c r="BB59" s="325"/>
      <c r="BC59" s="325"/>
      <c r="BD59" s="325"/>
      <c r="BE59" s="325"/>
      <c r="BF59" s="325"/>
      <c r="BG59" s="325"/>
      <c r="BH59" s="325"/>
      <c r="BI59" s="325"/>
      <c r="BJ59" s="325"/>
      <c r="BK59" s="325"/>
      <c r="BL59" s="325"/>
      <c r="BM59" s="325"/>
      <c r="BN59" s="325"/>
      <c r="BO59" s="325"/>
      <c r="BP59" s="325"/>
      <c r="BQ59" s="325"/>
      <c r="BR59" s="325"/>
      <c r="BS59" s="325"/>
      <c r="BT59" s="325"/>
      <c r="BU59" s="325"/>
      <c r="BW59" s="325"/>
      <c r="BX59" s="325"/>
      <c r="BY59" s="325"/>
    </row>
    <row r="60" spans="1:80" ht="15" customHeight="1" x14ac:dyDescent="0.25">
      <c r="A60" s="324" t="s">
        <v>215</v>
      </c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  <c r="AA60" s="325"/>
      <c r="AB60" s="325"/>
      <c r="AC60" s="325"/>
      <c r="AD60" s="325"/>
      <c r="AE60" s="325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5"/>
      <c r="AQ60" s="325"/>
      <c r="AR60" s="325"/>
      <c r="AS60" s="325"/>
      <c r="AT60" s="325"/>
      <c r="AU60" s="325"/>
      <c r="AV60" s="325"/>
      <c r="AW60" s="325"/>
      <c r="AX60" s="325"/>
      <c r="AY60" s="325"/>
      <c r="AZ60" s="325"/>
      <c r="BA60" s="325"/>
      <c r="BB60" s="325"/>
      <c r="BC60" s="325"/>
      <c r="BD60" s="325"/>
      <c r="BE60" s="325"/>
      <c r="BF60" s="325"/>
      <c r="BG60" s="325"/>
      <c r="BH60" s="325"/>
      <c r="BI60" s="325"/>
      <c r="BJ60" s="325"/>
      <c r="BK60" s="325"/>
      <c r="BL60" s="325"/>
      <c r="BM60" s="325"/>
      <c r="BN60" s="325"/>
      <c r="BO60" s="325"/>
      <c r="BP60" s="325"/>
      <c r="BQ60" s="325"/>
      <c r="BR60" s="325"/>
      <c r="BS60" s="325"/>
      <c r="BT60" s="325"/>
      <c r="BU60" s="325"/>
      <c r="BW60" s="325"/>
      <c r="BX60" s="325"/>
      <c r="BY60" s="325"/>
    </row>
    <row r="61" spans="1:80" ht="15" customHeight="1" x14ac:dyDescent="0.25">
      <c r="A61" s="125" t="s">
        <v>247</v>
      </c>
      <c r="B61" s="250">
        <v>1.2724457879714952</v>
      </c>
      <c r="C61" s="250">
        <v>1.2762631253354098</v>
      </c>
      <c r="D61" s="250">
        <v>1.2859627250879588</v>
      </c>
      <c r="E61" s="250">
        <v>1.2909779797158021</v>
      </c>
      <c r="F61" s="250">
        <v>1.2982074564022108</v>
      </c>
      <c r="G61" s="250">
        <v>1.302491541008338</v>
      </c>
      <c r="H61" s="250">
        <v>1.3083527529428765</v>
      </c>
      <c r="I61" s="250">
        <v>1.3133244934040593</v>
      </c>
      <c r="J61" s="250">
        <v>1.3137184907520796</v>
      </c>
      <c r="K61" s="250">
        <v>1.3155576966391334</v>
      </c>
      <c r="L61" s="250">
        <v>1.3200305928077065</v>
      </c>
      <c r="M61" s="250">
        <v>1.3259707304753412</v>
      </c>
      <c r="N61" s="250">
        <v>1.3308768221781</v>
      </c>
      <c r="O61" s="250">
        <v>1.3331393127758029</v>
      </c>
      <c r="P61" s="250">
        <v>1.3411381486524576</v>
      </c>
      <c r="Q61" s="250">
        <v>1.3412722624673228</v>
      </c>
      <c r="R61" s="250">
        <v>1.3440889342185038</v>
      </c>
      <c r="S61" s="250">
        <v>1.3459706587264098</v>
      </c>
      <c r="T61" s="250">
        <v>1.3470474352533908</v>
      </c>
      <c r="U61" s="250">
        <v>1.3518968060203032</v>
      </c>
      <c r="V61" s="250">
        <v>1.3547357893129455</v>
      </c>
      <c r="W61" s="250">
        <v>1.3602902060491286</v>
      </c>
      <c r="X61" s="250">
        <v>1.3642350476466711</v>
      </c>
      <c r="Y61" s="250">
        <v>1.3687370233039053</v>
      </c>
      <c r="Z61" s="250">
        <v>1.3720219921598344</v>
      </c>
      <c r="AA61" s="250">
        <v>1.376412462534746</v>
      </c>
      <c r="AB61" s="250">
        <v>1.3943058245476976</v>
      </c>
      <c r="AC61" s="250">
        <v>1.3906806294038736</v>
      </c>
      <c r="AD61" s="250">
        <v>1.3848397707603775</v>
      </c>
      <c r="AE61" s="250">
        <v>1.382624027127161</v>
      </c>
      <c r="AF61" s="250">
        <v>1.3853892751814154</v>
      </c>
      <c r="AG61" s="250">
        <v>1.394671383325131</v>
      </c>
      <c r="AH61" s="250">
        <v>1.3943924490484658</v>
      </c>
      <c r="AI61" s="250">
        <v>1.3878388045379382</v>
      </c>
      <c r="AJ61" s="250">
        <v>1.385063126928862</v>
      </c>
      <c r="AK61" s="250">
        <v>1.3872792279319484</v>
      </c>
      <c r="AL61" s="250">
        <v>1.3890826909282596</v>
      </c>
      <c r="AM61" s="250">
        <v>1.3925553976555805</v>
      </c>
      <c r="AN61" s="250">
        <v>1.3993789191040926</v>
      </c>
      <c r="AO61" s="250">
        <v>1.3974197886173472</v>
      </c>
      <c r="AP61" s="250">
        <v>1.3976992725750705</v>
      </c>
      <c r="AQ61" s="250">
        <v>1.4023116801745681</v>
      </c>
      <c r="AR61" s="250">
        <v>1.4076404645592313</v>
      </c>
      <c r="AS61" s="250">
        <v>1.4094703971631584</v>
      </c>
      <c r="AT61" s="250">
        <v>1.4121483909177683</v>
      </c>
      <c r="AU61" s="250">
        <v>1.4132781096305025</v>
      </c>
      <c r="AV61" s="250">
        <v>1.414974043362059</v>
      </c>
      <c r="AW61" s="250">
        <v>1.4175209966401108</v>
      </c>
      <c r="AX61" s="250">
        <v>1.4185132613377587</v>
      </c>
      <c r="AY61" s="250">
        <v>1.4203573285774977</v>
      </c>
      <c r="AZ61" s="250">
        <v>1.4307259370761134</v>
      </c>
      <c r="BA61" s="250">
        <v>1.4335873889502657</v>
      </c>
      <c r="BB61" s="250">
        <v>1.4357377700336911</v>
      </c>
      <c r="BC61" s="250">
        <v>1.4344456060406607</v>
      </c>
      <c r="BD61" s="250">
        <v>1.4373144972527421</v>
      </c>
      <c r="BE61" s="250">
        <v>1.4381768859510939</v>
      </c>
      <c r="BF61" s="250">
        <v>1.438320703639689</v>
      </c>
      <c r="BG61" s="250">
        <v>1.4399028564136926</v>
      </c>
      <c r="BH61" s="250">
        <v>1.4414867495557475</v>
      </c>
      <c r="BI61" s="250">
        <v>1.4445138717298147</v>
      </c>
      <c r="BJ61" s="250">
        <v>1.4452361286656796</v>
      </c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W61" s="325"/>
      <c r="BX61" s="325"/>
      <c r="BY61" s="325"/>
    </row>
    <row r="62" spans="1:80" ht="15" customHeight="1" x14ac:dyDescent="0.25">
      <c r="A62" s="129"/>
      <c r="B62" s="231">
        <v>2015</v>
      </c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3"/>
      <c r="N62" s="231">
        <v>2016</v>
      </c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231">
        <v>2017</v>
      </c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231">
        <v>2018</v>
      </c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231">
        <v>2019</v>
      </c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3"/>
      <c r="BJ62" s="195">
        <v>2020</v>
      </c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W62" s="325"/>
      <c r="BX62" s="325"/>
      <c r="BY62" s="325"/>
    </row>
    <row r="63" spans="1:80" ht="15" customHeight="1" x14ac:dyDescent="0.25">
      <c r="A63" s="133"/>
      <c r="B63" s="333" t="s">
        <v>1</v>
      </c>
      <c r="C63" s="334" t="s">
        <v>2</v>
      </c>
      <c r="D63" s="334" t="s">
        <v>3</v>
      </c>
      <c r="E63" s="334" t="s">
        <v>4</v>
      </c>
      <c r="F63" s="334" t="s">
        <v>5</v>
      </c>
      <c r="G63" s="334" t="s">
        <v>6</v>
      </c>
      <c r="H63" s="334" t="s">
        <v>7</v>
      </c>
      <c r="I63" s="334" t="s">
        <v>8</v>
      </c>
      <c r="J63" s="334" t="s">
        <v>9</v>
      </c>
      <c r="K63" s="334" t="s">
        <v>10</v>
      </c>
      <c r="L63" s="334" t="s">
        <v>11</v>
      </c>
      <c r="M63" s="335" t="s">
        <v>12</v>
      </c>
      <c r="N63" s="333" t="s">
        <v>1</v>
      </c>
      <c r="O63" s="334" t="s">
        <v>2</v>
      </c>
      <c r="P63" s="334" t="s">
        <v>3</v>
      </c>
      <c r="Q63" s="334" t="s">
        <v>4</v>
      </c>
      <c r="R63" s="334" t="s">
        <v>5</v>
      </c>
      <c r="S63" s="334" t="s">
        <v>6</v>
      </c>
      <c r="T63" s="334" t="s">
        <v>7</v>
      </c>
      <c r="U63" s="334" t="s">
        <v>8</v>
      </c>
      <c r="V63" s="334" t="s">
        <v>9</v>
      </c>
      <c r="W63" s="334" t="s">
        <v>10</v>
      </c>
      <c r="X63" s="334" t="s">
        <v>11</v>
      </c>
      <c r="Y63" s="334" t="s">
        <v>12</v>
      </c>
      <c r="Z63" s="333" t="s">
        <v>1</v>
      </c>
      <c r="AA63" s="334" t="s">
        <v>2</v>
      </c>
      <c r="AB63" s="334" t="s">
        <v>3</v>
      </c>
      <c r="AC63" s="334" t="s">
        <v>4</v>
      </c>
      <c r="AD63" s="334" t="s">
        <v>5</v>
      </c>
      <c r="AE63" s="334" t="s">
        <v>6</v>
      </c>
      <c r="AF63" s="334" t="s">
        <v>7</v>
      </c>
      <c r="AG63" s="334" t="s">
        <v>8</v>
      </c>
      <c r="AH63" s="334" t="s">
        <v>9</v>
      </c>
      <c r="AI63" s="334" t="s">
        <v>10</v>
      </c>
      <c r="AJ63" s="334" t="s">
        <v>11</v>
      </c>
      <c r="AK63" s="334" t="s">
        <v>12</v>
      </c>
      <c r="AL63" s="333" t="s">
        <v>1</v>
      </c>
      <c r="AM63" s="334" t="s">
        <v>2</v>
      </c>
      <c r="AN63" s="334" t="s">
        <v>3</v>
      </c>
      <c r="AO63" s="334" t="s">
        <v>142</v>
      </c>
      <c r="AP63" s="334" t="s">
        <v>5</v>
      </c>
      <c r="AQ63" s="334" t="s">
        <v>6</v>
      </c>
      <c r="AR63" s="334" t="s">
        <v>7</v>
      </c>
      <c r="AS63" s="334" t="s">
        <v>8</v>
      </c>
      <c r="AT63" s="334" t="s">
        <v>9</v>
      </c>
      <c r="AU63" s="334" t="s">
        <v>10</v>
      </c>
      <c r="AV63" s="334" t="s">
        <v>11</v>
      </c>
      <c r="AW63" s="334" t="s">
        <v>12</v>
      </c>
      <c r="AX63" s="333" t="s">
        <v>1</v>
      </c>
      <c r="AY63" s="334" t="s">
        <v>2</v>
      </c>
      <c r="AZ63" s="334" t="s">
        <v>3</v>
      </c>
      <c r="BA63" s="334" t="s">
        <v>4</v>
      </c>
      <c r="BB63" s="334" t="s">
        <v>5</v>
      </c>
      <c r="BC63" s="334" t="s">
        <v>6</v>
      </c>
      <c r="BD63" s="334" t="s">
        <v>7</v>
      </c>
      <c r="BE63" s="334" t="s">
        <v>8</v>
      </c>
      <c r="BF63" s="334" t="s">
        <v>224</v>
      </c>
      <c r="BG63" s="334" t="s">
        <v>10</v>
      </c>
      <c r="BH63" s="334" t="s">
        <v>11</v>
      </c>
      <c r="BI63" s="335" t="s">
        <v>12</v>
      </c>
      <c r="BJ63" s="336" t="s">
        <v>1</v>
      </c>
      <c r="BK63" s="325"/>
      <c r="BL63" s="325"/>
      <c r="BM63" s="325"/>
      <c r="BN63" s="325"/>
      <c r="BO63" s="325"/>
      <c r="BP63" s="325"/>
      <c r="BQ63" s="325"/>
      <c r="BR63" s="325"/>
      <c r="BS63" s="325"/>
      <c r="BT63" s="325"/>
      <c r="BU63" s="325"/>
      <c r="BW63" s="325"/>
      <c r="BX63" s="325"/>
      <c r="BY63" s="325"/>
    </row>
    <row r="64" spans="1:80" ht="15" customHeight="1" x14ac:dyDescent="0.25">
      <c r="A64" s="138"/>
      <c r="B64" s="212"/>
      <c r="M64" s="213"/>
      <c r="N64" s="212"/>
      <c r="O64" s="131"/>
      <c r="Z64" s="212"/>
      <c r="AL64" s="130"/>
      <c r="AM64" s="131"/>
      <c r="AN64" s="131"/>
      <c r="AO64" s="131"/>
      <c r="AP64" s="131"/>
      <c r="AQ64" s="131"/>
      <c r="AR64" s="131"/>
      <c r="AS64" s="131"/>
      <c r="AT64" s="131"/>
      <c r="AU64" s="131"/>
      <c r="AV64" s="131"/>
      <c r="AW64" s="131"/>
      <c r="AX64" s="212"/>
      <c r="BI64" s="213"/>
      <c r="BJ64" s="138"/>
      <c r="BW64" s="325"/>
      <c r="BX64" s="325"/>
      <c r="BY64" s="325"/>
    </row>
    <row r="65" spans="1:77" ht="15" customHeight="1" x14ac:dyDescent="0.25">
      <c r="A65" s="141" t="s">
        <v>249</v>
      </c>
      <c r="B65" s="144">
        <f t="shared" ref="B65:AG65" si="27">B7/B61</f>
        <v>1046712.409000356</v>
      </c>
      <c r="C65" s="142">
        <f t="shared" si="27"/>
        <v>1047950.7057124345</v>
      </c>
      <c r="D65" s="142">
        <f t="shared" si="27"/>
        <v>1041083.3783836367</v>
      </c>
      <c r="E65" s="142">
        <f t="shared" si="27"/>
        <v>1049267.9744686272</v>
      </c>
      <c r="F65" s="142">
        <f t="shared" si="27"/>
        <v>1052774.5449388043</v>
      </c>
      <c r="G65" s="142">
        <f t="shared" si="27"/>
        <v>1028939.7228196054</v>
      </c>
      <c r="H65" s="142">
        <f t="shared" si="27"/>
        <v>1028438.9106786617</v>
      </c>
      <c r="I65" s="142">
        <f t="shared" si="27"/>
        <v>1033060.0069396425</v>
      </c>
      <c r="J65" s="142">
        <f t="shared" si="27"/>
        <v>1039049.8337269743</v>
      </c>
      <c r="K65" s="142">
        <f t="shared" si="27"/>
        <v>1045096.1259490396</v>
      </c>
      <c r="L65" s="142">
        <f t="shared" si="27"/>
        <v>1056021.1115751513</v>
      </c>
      <c r="M65" s="168">
        <f t="shared" si="27"/>
        <v>1057317.4982357363</v>
      </c>
      <c r="N65" s="144">
        <f t="shared" si="27"/>
        <v>1061501.0565800858</v>
      </c>
      <c r="O65" s="142">
        <f t="shared" si="27"/>
        <v>1059074.9633661441</v>
      </c>
      <c r="P65" s="142">
        <f t="shared" si="27"/>
        <v>1035429.9500131927</v>
      </c>
      <c r="Q65" s="142">
        <f t="shared" si="27"/>
        <v>1041164.3608741387</v>
      </c>
      <c r="R65" s="142">
        <f t="shared" si="27"/>
        <v>1059093.6381510182</v>
      </c>
      <c r="S65" s="142">
        <f t="shared" si="27"/>
        <v>1068906.9735155667</v>
      </c>
      <c r="T65" s="142">
        <f t="shared" si="27"/>
        <v>1074053.4944471682</v>
      </c>
      <c r="U65" s="142">
        <f t="shared" si="27"/>
        <v>1082819.6891960222</v>
      </c>
      <c r="V65" s="142">
        <f t="shared" si="27"/>
        <v>1107163.4926029982</v>
      </c>
      <c r="W65" s="142">
        <f t="shared" si="27"/>
        <v>1106480.0759034799</v>
      </c>
      <c r="X65" s="142">
        <f t="shared" si="27"/>
        <v>1122333.49434998</v>
      </c>
      <c r="Y65" s="142">
        <f t="shared" si="27"/>
        <v>1121508.0694643906</v>
      </c>
      <c r="Z65" s="144">
        <f t="shared" si="27"/>
        <v>1115081.2883776077</v>
      </c>
      <c r="AA65" s="142">
        <f t="shared" si="27"/>
        <v>1127680.8991409561</v>
      </c>
      <c r="AB65" s="142">
        <f t="shared" si="27"/>
        <v>1117816.3963243798</v>
      </c>
      <c r="AC65" s="142">
        <f t="shared" si="27"/>
        <v>1121662.9844615387</v>
      </c>
      <c r="AD65" s="142">
        <f t="shared" si="27"/>
        <v>1129494.1333040702</v>
      </c>
      <c r="AE65" s="142">
        <f t="shared" si="27"/>
        <v>1115753.3891085198</v>
      </c>
      <c r="AF65" s="142">
        <f t="shared" si="27"/>
        <v>1118296.5742586132</v>
      </c>
      <c r="AG65" s="142">
        <f t="shared" si="27"/>
        <v>1114455.9924892758</v>
      </c>
      <c r="AH65" s="142">
        <f t="shared" ref="AH65:BJ65" si="28">AH7/AH61</f>
        <v>1122685.1982942629</v>
      </c>
      <c r="AI65" s="142">
        <f t="shared" si="28"/>
        <v>1136213.0548907663</v>
      </c>
      <c r="AJ65" s="142">
        <f t="shared" si="28"/>
        <v>1151764.1170964004</v>
      </c>
      <c r="AK65" s="142">
        <f t="shared" si="28"/>
        <v>1159884.6537396093</v>
      </c>
      <c r="AL65" s="144">
        <f t="shared" si="28"/>
        <v>1159351.1206980927</v>
      </c>
      <c r="AM65" s="142">
        <f t="shared" si="28"/>
        <v>1161786.4164497261</v>
      </c>
      <c r="AN65" s="142">
        <f t="shared" si="28"/>
        <v>1155595.696857651</v>
      </c>
      <c r="AO65" s="142">
        <f t="shared" si="28"/>
        <v>1161011.2205547595</v>
      </c>
      <c r="AP65" s="142">
        <f t="shared" si="28"/>
        <v>1171672.8656893838</v>
      </c>
      <c r="AQ65" s="142">
        <f t="shared" si="28"/>
        <v>1170842.4284718272</v>
      </c>
      <c r="AR65" s="142">
        <f t="shared" si="28"/>
        <v>1173637.9974891548</v>
      </c>
      <c r="AS65" s="142">
        <f t="shared" si="28"/>
        <v>1181495.2239590948</v>
      </c>
      <c r="AT65" s="142">
        <f t="shared" si="28"/>
        <v>1185928.163556234</v>
      </c>
      <c r="AU65" s="142">
        <f t="shared" si="28"/>
        <v>1193250.2698926702</v>
      </c>
      <c r="AV65" s="142">
        <f t="shared" si="28"/>
        <v>1210040.8753236004</v>
      </c>
      <c r="AW65" s="142">
        <f t="shared" si="28"/>
        <v>1210267.3185768423</v>
      </c>
      <c r="AX65" s="144">
        <f t="shared" si="28"/>
        <v>1212581.9242450073</v>
      </c>
      <c r="AY65" s="142">
        <f t="shared" si="28"/>
        <v>1211478.7176289863</v>
      </c>
      <c r="AZ65" s="142">
        <f t="shared" si="28"/>
        <v>1205024.3887961903</v>
      </c>
      <c r="BA65" s="142">
        <f t="shared" si="28"/>
        <v>1200926.0246776119</v>
      </c>
      <c r="BB65" s="142">
        <f t="shared" si="28"/>
        <v>1200636.2101204244</v>
      </c>
      <c r="BC65" s="142">
        <f t="shared" si="28"/>
        <v>1193374.433203483</v>
      </c>
      <c r="BD65" s="142">
        <f t="shared" si="28"/>
        <v>1188144.3887013867</v>
      </c>
      <c r="BE65" s="142">
        <f t="shared" si="28"/>
        <v>1194125.6554434707</v>
      </c>
      <c r="BF65" s="142">
        <f t="shared" si="28"/>
        <v>1203199.9991801037</v>
      </c>
      <c r="BG65" s="142">
        <f t="shared" si="28"/>
        <v>1208303.8082883931</v>
      </c>
      <c r="BH65" s="142">
        <f t="shared" si="28"/>
        <v>1211336.5902240444</v>
      </c>
      <c r="BI65" s="168">
        <f t="shared" si="28"/>
        <v>1215267.0875758452</v>
      </c>
      <c r="BJ65" s="143">
        <f t="shared" si="28"/>
        <v>1177120.1572511583</v>
      </c>
      <c r="BK65" s="142"/>
      <c r="BL65" s="142"/>
      <c r="BM65" s="142"/>
      <c r="BN65" s="142"/>
      <c r="BO65" s="142"/>
      <c r="BP65" s="142"/>
      <c r="BQ65" s="142"/>
      <c r="BR65" s="142"/>
      <c r="BS65" s="142"/>
      <c r="BT65" s="142"/>
      <c r="BU65" s="142"/>
      <c r="BW65" s="325"/>
      <c r="BX65" s="325"/>
      <c r="BY65" s="325"/>
    </row>
    <row r="66" spans="1:77" ht="15" customHeight="1" x14ac:dyDescent="0.25">
      <c r="A66" s="138"/>
      <c r="B66" s="162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63"/>
      <c r="N66" s="162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62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62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62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63"/>
      <c r="BJ66" s="161"/>
      <c r="BK66" s="151"/>
      <c r="BL66" s="151"/>
      <c r="BM66" s="151"/>
      <c r="BN66" s="151"/>
      <c r="BO66" s="151"/>
      <c r="BP66" s="151"/>
      <c r="BQ66" s="151"/>
      <c r="BR66" s="151"/>
      <c r="BS66" s="151"/>
      <c r="BT66" s="151"/>
      <c r="BU66" s="151"/>
      <c r="BW66" s="325"/>
      <c r="BX66" s="325"/>
      <c r="BY66" s="325"/>
    </row>
    <row r="67" spans="1:77" ht="15" customHeight="1" x14ac:dyDescent="0.25">
      <c r="A67" s="141" t="s">
        <v>81</v>
      </c>
      <c r="B67" s="237">
        <f t="shared" ref="B67:AG67" si="29">B8/B61</f>
        <v>923234.59866434545</v>
      </c>
      <c r="C67" s="236">
        <f t="shared" si="29"/>
        <v>928313.97882676765</v>
      </c>
      <c r="D67" s="236">
        <f t="shared" si="29"/>
        <v>929862.89452379756</v>
      </c>
      <c r="E67" s="236">
        <f t="shared" si="29"/>
        <v>940162.70730442076</v>
      </c>
      <c r="F67" s="236">
        <f t="shared" si="29"/>
        <v>944518.10154301312</v>
      </c>
      <c r="G67" s="236">
        <f t="shared" si="29"/>
        <v>925248.9561483342</v>
      </c>
      <c r="H67" s="236">
        <f t="shared" si="29"/>
        <v>928715.36265499145</v>
      </c>
      <c r="I67" s="236">
        <f t="shared" si="29"/>
        <v>934608.53291370301</v>
      </c>
      <c r="J67" s="236">
        <f t="shared" si="29"/>
        <v>948096.09150508046</v>
      </c>
      <c r="K67" s="236">
        <f t="shared" si="29"/>
        <v>953123.53857479698</v>
      </c>
      <c r="L67" s="236">
        <f t="shared" si="29"/>
        <v>963507.14187976136</v>
      </c>
      <c r="M67" s="332">
        <f t="shared" si="29"/>
        <v>964825.9709031271</v>
      </c>
      <c r="N67" s="237">
        <f t="shared" si="29"/>
        <v>972128.30917936296</v>
      </c>
      <c r="O67" s="236">
        <f t="shared" si="29"/>
        <v>975996.62786241435</v>
      </c>
      <c r="P67" s="236">
        <f t="shared" si="29"/>
        <v>961423.60400049691</v>
      </c>
      <c r="Q67" s="236">
        <f t="shared" si="29"/>
        <v>971175.81433749758</v>
      </c>
      <c r="R67" s="236">
        <f t="shared" si="29"/>
        <v>985810.10836191929</v>
      </c>
      <c r="S67" s="236">
        <f t="shared" si="29"/>
        <v>994597.04894808726</v>
      </c>
      <c r="T67" s="236">
        <f t="shared" si="29"/>
        <v>999336.25086244836</v>
      </c>
      <c r="U67" s="236">
        <f t="shared" si="29"/>
        <v>1005594.9773133668</v>
      </c>
      <c r="V67" s="236">
        <f t="shared" si="29"/>
        <v>1023774.5454952429</v>
      </c>
      <c r="W67" s="236">
        <f t="shared" si="29"/>
        <v>1026141.4924129705</v>
      </c>
      <c r="X67" s="236">
        <f t="shared" si="29"/>
        <v>1040376.3376687526</v>
      </c>
      <c r="Y67" s="236">
        <f t="shared" si="29"/>
        <v>1044264.2660822087</v>
      </c>
      <c r="Z67" s="237">
        <f t="shared" si="29"/>
        <v>1041152.5317034335</v>
      </c>
      <c r="AA67" s="236">
        <f t="shared" si="29"/>
        <v>1055282.3723094799</v>
      </c>
      <c r="AB67" s="236">
        <f t="shared" si="29"/>
        <v>1045234.3126679274</v>
      </c>
      <c r="AC67" s="236">
        <f t="shared" si="29"/>
        <v>1048853.330469735</v>
      </c>
      <c r="AD67" s="236">
        <f t="shared" si="29"/>
        <v>1055919.0938797942</v>
      </c>
      <c r="AE67" s="236">
        <f t="shared" si="29"/>
        <v>1048591.4645881241</v>
      </c>
      <c r="AF67" s="236">
        <f t="shared" si="29"/>
        <v>1053467.7259854525</v>
      </c>
      <c r="AG67" s="236">
        <f t="shared" si="29"/>
        <v>1053258.5244043493</v>
      </c>
      <c r="AH67" s="236">
        <f t="shared" ref="AH67:BJ67" si="30">AH8/AH61</f>
        <v>1062053.9567397833</v>
      </c>
      <c r="AI67" s="236">
        <f t="shared" si="30"/>
        <v>1075504.2645726781</v>
      </c>
      <c r="AJ67" s="236">
        <f t="shared" si="30"/>
        <v>1088091.6247345922</v>
      </c>
      <c r="AK67" s="236">
        <f t="shared" si="30"/>
        <v>1094896.6922212937</v>
      </c>
      <c r="AL67" s="237">
        <f t="shared" si="30"/>
        <v>1093574.4279232787</v>
      </c>
      <c r="AM67" s="236">
        <f t="shared" si="30"/>
        <v>1095584.7320246722</v>
      </c>
      <c r="AN67" s="236">
        <f t="shared" si="30"/>
        <v>1087110.5947658198</v>
      </c>
      <c r="AO67" s="236">
        <f t="shared" si="30"/>
        <v>1091765.7864996553</v>
      </c>
      <c r="AP67" s="236">
        <f t="shared" si="30"/>
        <v>1105618.3934924391</v>
      </c>
      <c r="AQ67" s="236">
        <f t="shared" si="30"/>
        <v>1105921.0112953926</v>
      </c>
      <c r="AR67" s="236">
        <f t="shared" si="30"/>
        <v>1103125.8524570926</v>
      </c>
      <c r="AS67" s="236">
        <f t="shared" si="30"/>
        <v>1107401.1860139254</v>
      </c>
      <c r="AT67" s="236">
        <f t="shared" si="30"/>
        <v>1114263.7021505679</v>
      </c>
      <c r="AU67" s="236">
        <f t="shared" si="30"/>
        <v>1119031.4250487324</v>
      </c>
      <c r="AV67" s="236">
        <f t="shared" si="30"/>
        <v>1134623.366252945</v>
      </c>
      <c r="AW67" s="236">
        <f t="shared" si="30"/>
        <v>1136329.3650167726</v>
      </c>
      <c r="AX67" s="237">
        <f t="shared" si="30"/>
        <v>1133889.5452504475</v>
      </c>
      <c r="AY67" s="236">
        <f t="shared" si="30"/>
        <v>1134934.159275572</v>
      </c>
      <c r="AZ67" s="236">
        <f t="shared" si="30"/>
        <v>1131521.4090047465</v>
      </c>
      <c r="BA67" s="236">
        <f t="shared" si="30"/>
        <v>1130033.0653063531</v>
      </c>
      <c r="BB67" s="236">
        <f t="shared" si="30"/>
        <v>1130718.3000708444</v>
      </c>
      <c r="BC67" s="236">
        <f t="shared" si="30"/>
        <v>1129043.8814548485</v>
      </c>
      <c r="BD67" s="236">
        <f t="shared" si="30"/>
        <v>1127545.0337192432</v>
      </c>
      <c r="BE67" s="236">
        <f t="shared" si="30"/>
        <v>1135325.3488775122</v>
      </c>
      <c r="BF67" s="236">
        <f t="shared" si="30"/>
        <v>1138110.8053423904</v>
      </c>
      <c r="BG67" s="236">
        <f t="shared" si="30"/>
        <v>1145011.3290672696</v>
      </c>
      <c r="BH67" s="236">
        <f t="shared" si="30"/>
        <v>1149481.8447694094</v>
      </c>
      <c r="BI67" s="332">
        <f t="shared" si="30"/>
        <v>1151957.7253884911</v>
      </c>
      <c r="BJ67" s="145">
        <f t="shared" si="30"/>
        <v>1140821.7672860294</v>
      </c>
      <c r="BK67" s="236"/>
      <c r="BL67" s="236"/>
      <c r="BM67" s="236"/>
      <c r="BN67" s="236"/>
      <c r="BO67" s="236"/>
      <c r="BP67" s="236"/>
      <c r="BQ67" s="236"/>
      <c r="BR67" s="236"/>
      <c r="BS67" s="236"/>
      <c r="BT67" s="236"/>
      <c r="BU67" s="236"/>
      <c r="BW67" s="325"/>
      <c r="BX67" s="325"/>
      <c r="BY67" s="325"/>
    </row>
    <row r="68" spans="1:77" ht="15" customHeight="1" x14ac:dyDescent="0.25">
      <c r="A68" s="138"/>
      <c r="B68" s="162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63"/>
      <c r="N68" s="162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62"/>
      <c r="AA68" s="151"/>
      <c r="AB68" s="151"/>
      <c r="AC68" s="151"/>
      <c r="AD68" s="151"/>
      <c r="AE68" s="151"/>
      <c r="AF68" s="151"/>
      <c r="AG68" s="151"/>
      <c r="AH68" s="151"/>
      <c r="AI68" s="151"/>
      <c r="AJ68" s="151"/>
      <c r="AK68" s="151"/>
      <c r="AL68" s="162"/>
      <c r="AM68" s="151"/>
      <c r="AN68" s="151"/>
      <c r="AO68" s="151"/>
      <c r="AP68" s="151"/>
      <c r="AQ68" s="151"/>
      <c r="AR68" s="151"/>
      <c r="AS68" s="151"/>
      <c r="AT68" s="151"/>
      <c r="AU68" s="151"/>
      <c r="AV68" s="151"/>
      <c r="AW68" s="151"/>
      <c r="AX68" s="162"/>
      <c r="AY68" s="151"/>
      <c r="AZ68" s="151"/>
      <c r="BA68" s="151"/>
      <c r="BB68" s="151"/>
      <c r="BC68" s="151"/>
      <c r="BD68" s="151"/>
      <c r="BE68" s="151"/>
      <c r="BF68" s="151"/>
      <c r="BG68" s="151"/>
      <c r="BH68" s="151"/>
      <c r="BI68" s="163"/>
      <c r="BJ68" s="161"/>
      <c r="BK68" s="151"/>
      <c r="BL68" s="151"/>
      <c r="BM68" s="151"/>
      <c r="BN68" s="151"/>
      <c r="BO68" s="151"/>
      <c r="BP68" s="151"/>
      <c r="BQ68" s="151"/>
      <c r="BR68" s="151"/>
      <c r="BS68" s="151"/>
      <c r="BT68" s="151"/>
      <c r="BU68" s="151"/>
      <c r="BW68" s="325"/>
      <c r="BX68" s="325"/>
      <c r="BY68" s="325"/>
    </row>
    <row r="69" spans="1:77" ht="15" customHeight="1" x14ac:dyDescent="0.25">
      <c r="A69" s="141" t="s">
        <v>516</v>
      </c>
      <c r="B69" s="237">
        <f t="shared" ref="B69:AG69" si="31">B9/B61</f>
        <v>123477.81033601069</v>
      </c>
      <c r="C69" s="236">
        <f t="shared" si="31"/>
        <v>119636.72688566682</v>
      </c>
      <c r="D69" s="236">
        <f t="shared" si="31"/>
        <v>111220.48385983909</v>
      </c>
      <c r="E69" s="236">
        <f t="shared" si="31"/>
        <v>109105.26716420639</v>
      </c>
      <c r="F69" s="236">
        <f t="shared" si="31"/>
        <v>108256.44339579118</v>
      </c>
      <c r="G69" s="236">
        <f t="shared" si="31"/>
        <v>103690.76667127117</v>
      </c>
      <c r="H69" s="236">
        <f t="shared" si="31"/>
        <v>99723.548023670155</v>
      </c>
      <c r="I69" s="236">
        <f t="shared" si="31"/>
        <v>98451.474025939577</v>
      </c>
      <c r="J69" s="236">
        <f t="shared" si="31"/>
        <v>90953.742221893786</v>
      </c>
      <c r="K69" s="236">
        <f t="shared" si="31"/>
        <v>91972.587374242576</v>
      </c>
      <c r="L69" s="236">
        <f t="shared" si="31"/>
        <v>92513.9696953901</v>
      </c>
      <c r="M69" s="332">
        <f t="shared" si="31"/>
        <v>92491.52733260933</v>
      </c>
      <c r="N69" s="237">
        <f t="shared" si="31"/>
        <v>89372.747400722787</v>
      </c>
      <c r="O69" s="236">
        <f t="shared" si="31"/>
        <v>83078.335503729846</v>
      </c>
      <c r="P69" s="236">
        <f t="shared" si="31"/>
        <v>74006.34601269578</v>
      </c>
      <c r="Q69" s="236">
        <f t="shared" si="31"/>
        <v>69988.546536641006</v>
      </c>
      <c r="R69" s="236">
        <f t="shared" si="31"/>
        <v>73283.52978909896</v>
      </c>
      <c r="S69" s="236">
        <f t="shared" si="31"/>
        <v>74309.924567479378</v>
      </c>
      <c r="T69" s="236">
        <f t="shared" si="31"/>
        <v>74717.24358472004</v>
      </c>
      <c r="U69" s="236">
        <f t="shared" si="31"/>
        <v>77224.711882655407</v>
      </c>
      <c r="V69" s="236">
        <f t="shared" si="31"/>
        <v>83388.94710775507</v>
      </c>
      <c r="W69" s="236">
        <f t="shared" si="31"/>
        <v>80338.583490509278</v>
      </c>
      <c r="X69" s="236">
        <f t="shared" si="31"/>
        <v>81957.15668122744</v>
      </c>
      <c r="Y69" s="236">
        <f t="shared" si="31"/>
        <v>77243.803382182043</v>
      </c>
      <c r="Z69" s="237">
        <f t="shared" si="31"/>
        <v>73928.756674174118</v>
      </c>
      <c r="AA69" s="236">
        <f t="shared" si="31"/>
        <v>72398.526831476163</v>
      </c>
      <c r="AB69" s="236">
        <f t="shared" si="31"/>
        <v>72582.083656452523</v>
      </c>
      <c r="AC69" s="236">
        <f t="shared" si="31"/>
        <v>72809.653991803847</v>
      </c>
      <c r="AD69" s="236">
        <f t="shared" si="31"/>
        <v>73575.039424275936</v>
      </c>
      <c r="AE69" s="236">
        <f t="shared" si="31"/>
        <v>67161.924520395769</v>
      </c>
      <c r="AF69" s="236">
        <f t="shared" si="31"/>
        <v>64828.848273160649</v>
      </c>
      <c r="AG69" s="236">
        <f t="shared" si="31"/>
        <v>61197.468084926513</v>
      </c>
      <c r="AH69" s="236">
        <f t="shared" ref="AH69:BJ69" si="32">AH9/AH61</f>
        <v>60631.24155447966</v>
      </c>
      <c r="AI69" s="236">
        <f t="shared" si="32"/>
        <v>60708.790318088279</v>
      </c>
      <c r="AJ69" s="236">
        <f t="shared" si="32"/>
        <v>63672.492361808094</v>
      </c>
      <c r="AK69" s="236">
        <f t="shared" si="32"/>
        <v>64987.961518315577</v>
      </c>
      <c r="AL69" s="237">
        <f t="shared" si="32"/>
        <v>65776.692774813957</v>
      </c>
      <c r="AM69" s="236">
        <f t="shared" si="32"/>
        <v>66201.684425053783</v>
      </c>
      <c r="AN69" s="236">
        <f t="shared" si="32"/>
        <v>68485.102091831068</v>
      </c>
      <c r="AO69" s="236">
        <f t="shared" si="32"/>
        <v>69245.43405510408</v>
      </c>
      <c r="AP69" s="236">
        <f t="shared" si="32"/>
        <v>66054.472196944829</v>
      </c>
      <c r="AQ69" s="236">
        <f t="shared" si="32"/>
        <v>64921.417176434552</v>
      </c>
      <c r="AR69" s="236">
        <f t="shared" si="32"/>
        <v>70512.145032062253</v>
      </c>
      <c r="AS69" s="236">
        <f t="shared" si="32"/>
        <v>74094.037945169388</v>
      </c>
      <c r="AT69" s="236">
        <f t="shared" si="32"/>
        <v>71664.461405666181</v>
      </c>
      <c r="AU69" s="236">
        <f t="shared" si="32"/>
        <v>74218.844843937812</v>
      </c>
      <c r="AV69" s="236">
        <f t="shared" si="32"/>
        <v>75417.509070655375</v>
      </c>
      <c r="AW69" s="236">
        <f t="shared" si="32"/>
        <v>73937.953560069553</v>
      </c>
      <c r="AX69" s="237">
        <f t="shared" si="32"/>
        <v>78692.37899455984</v>
      </c>
      <c r="AY69" s="236">
        <f t="shared" si="32"/>
        <v>76544.558353414352</v>
      </c>
      <c r="AZ69" s="236">
        <f t="shared" si="32"/>
        <v>73502.979791443766</v>
      </c>
      <c r="BA69" s="236">
        <f t="shared" si="32"/>
        <v>70892.959371258665</v>
      </c>
      <c r="BB69" s="236">
        <f t="shared" si="32"/>
        <v>69917.910049579863</v>
      </c>
      <c r="BC69" s="236">
        <f t="shared" si="32"/>
        <v>64330.551748634447</v>
      </c>
      <c r="BD69" s="236">
        <f t="shared" si="32"/>
        <v>60599.354982143472</v>
      </c>
      <c r="BE69" s="236">
        <f t="shared" si="32"/>
        <v>58800.306565958599</v>
      </c>
      <c r="BF69" s="236">
        <f t="shared" si="32"/>
        <v>65089.193837713363</v>
      </c>
      <c r="BG69" s="236">
        <f t="shared" si="32"/>
        <v>63292.479221123489</v>
      </c>
      <c r="BH69" s="236">
        <f t="shared" si="32"/>
        <v>61854.745454635035</v>
      </c>
      <c r="BI69" s="332">
        <f t="shared" si="32"/>
        <v>63309.362187354098</v>
      </c>
      <c r="BJ69" s="145">
        <f t="shared" si="32"/>
        <v>36298.389965128867</v>
      </c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W69" s="325"/>
      <c r="BX69" s="325"/>
      <c r="BY69" s="325"/>
    </row>
    <row r="70" spans="1:77" ht="15" customHeight="1" x14ac:dyDescent="0.25">
      <c r="A70" s="133"/>
      <c r="B70" s="254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255"/>
      <c r="N70" s="254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254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254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254"/>
      <c r="AY70" s="159"/>
      <c r="AZ70" s="159"/>
      <c r="BA70" s="159"/>
      <c r="BB70" s="159"/>
      <c r="BC70" s="159"/>
      <c r="BD70" s="159"/>
      <c r="BE70" s="159"/>
      <c r="BF70" s="159"/>
      <c r="BG70" s="159"/>
      <c r="BH70" s="159"/>
      <c r="BI70" s="255"/>
      <c r="BJ70" s="133"/>
      <c r="BW70" s="325"/>
      <c r="BX70" s="325"/>
      <c r="BY70" s="325"/>
    </row>
    <row r="71" spans="1:77" ht="15" customHeight="1" x14ac:dyDescent="0.25">
      <c r="A71" s="126" t="s">
        <v>155</v>
      </c>
      <c r="BW71" s="325"/>
      <c r="BX71" s="325"/>
      <c r="BY71" s="325"/>
    </row>
    <row r="72" spans="1:77" ht="15" customHeight="1" x14ac:dyDescent="0.25">
      <c r="BW72" s="325"/>
      <c r="BX72" s="325"/>
      <c r="BY72" s="325"/>
    </row>
    <row r="73" spans="1:77" ht="15" customHeight="1" x14ac:dyDescent="0.25">
      <c r="BW73" s="325"/>
      <c r="BX73" s="325"/>
      <c r="BY73" s="325"/>
    </row>
    <row r="74" spans="1:77" ht="15" customHeight="1" x14ac:dyDescent="0.25">
      <c r="A74" s="125"/>
      <c r="BW74" s="325"/>
      <c r="BX74" s="325"/>
      <c r="BY74" s="325"/>
    </row>
    <row r="75" spans="1:77" ht="15" customHeight="1" x14ac:dyDescent="0.25">
      <c r="A75" s="324" t="s">
        <v>215</v>
      </c>
      <c r="BW75" s="325"/>
      <c r="BX75" s="325"/>
      <c r="BY75" s="325"/>
    </row>
    <row r="76" spans="1:77" ht="15" customHeight="1" x14ac:dyDescent="0.25">
      <c r="A76" s="125" t="s">
        <v>247</v>
      </c>
      <c r="BW76" s="325"/>
      <c r="BX76" s="325"/>
      <c r="BY76" s="325"/>
    </row>
    <row r="77" spans="1:77" ht="15" customHeight="1" x14ac:dyDescent="0.25">
      <c r="A77" s="129"/>
      <c r="B77" s="130">
        <v>2015</v>
      </c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2"/>
      <c r="N77" s="130">
        <v>2016</v>
      </c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0">
        <v>2017</v>
      </c>
      <c r="AA77" s="131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0">
        <v>2018</v>
      </c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0">
        <v>2019</v>
      </c>
      <c r="AY77" s="131"/>
      <c r="AZ77" s="131"/>
      <c r="BA77" s="131"/>
      <c r="BB77" s="131"/>
      <c r="BC77" s="131"/>
      <c r="BD77" s="131"/>
      <c r="BE77" s="131"/>
      <c r="BF77" s="131"/>
      <c r="BG77" s="131"/>
      <c r="BH77" s="131"/>
      <c r="BI77" s="132"/>
      <c r="BJ77" s="129">
        <v>2020</v>
      </c>
      <c r="BW77" s="325"/>
      <c r="BX77" s="325"/>
      <c r="BY77" s="325"/>
    </row>
    <row r="78" spans="1:77" ht="15" customHeight="1" x14ac:dyDescent="0.25">
      <c r="A78" s="133"/>
      <c r="B78" s="326" t="s">
        <v>1</v>
      </c>
      <c r="C78" s="327" t="s">
        <v>2</v>
      </c>
      <c r="D78" s="327" t="s">
        <v>3</v>
      </c>
      <c r="E78" s="327" t="s">
        <v>4</v>
      </c>
      <c r="F78" s="327" t="s">
        <v>5</v>
      </c>
      <c r="G78" s="327" t="s">
        <v>6</v>
      </c>
      <c r="H78" s="327" t="s">
        <v>7</v>
      </c>
      <c r="I78" s="327" t="s">
        <v>8</v>
      </c>
      <c r="J78" s="327" t="s">
        <v>9</v>
      </c>
      <c r="K78" s="327" t="s">
        <v>10</v>
      </c>
      <c r="L78" s="327" t="s">
        <v>11</v>
      </c>
      <c r="M78" s="328" t="s">
        <v>12</v>
      </c>
      <c r="N78" s="326" t="s">
        <v>1</v>
      </c>
      <c r="O78" s="327" t="s">
        <v>2</v>
      </c>
      <c r="P78" s="327" t="s">
        <v>3</v>
      </c>
      <c r="Q78" s="327" t="s">
        <v>4</v>
      </c>
      <c r="R78" s="327" t="s">
        <v>5</v>
      </c>
      <c r="S78" s="327" t="s">
        <v>6</v>
      </c>
      <c r="T78" s="327" t="s">
        <v>7</v>
      </c>
      <c r="U78" s="327" t="s">
        <v>8</v>
      </c>
      <c r="V78" s="327" t="s">
        <v>9</v>
      </c>
      <c r="W78" s="327" t="s">
        <v>10</v>
      </c>
      <c r="X78" s="327" t="s">
        <v>11</v>
      </c>
      <c r="Y78" s="327" t="s">
        <v>12</v>
      </c>
      <c r="Z78" s="326" t="s">
        <v>1</v>
      </c>
      <c r="AA78" s="327" t="s">
        <v>2</v>
      </c>
      <c r="AB78" s="327" t="s">
        <v>3</v>
      </c>
      <c r="AC78" s="327" t="s">
        <v>4</v>
      </c>
      <c r="AD78" s="327" t="s">
        <v>5</v>
      </c>
      <c r="AE78" s="327" t="s">
        <v>6</v>
      </c>
      <c r="AF78" s="327" t="s">
        <v>7</v>
      </c>
      <c r="AG78" s="327" t="s">
        <v>8</v>
      </c>
      <c r="AH78" s="327" t="s">
        <v>9</v>
      </c>
      <c r="AI78" s="327" t="s">
        <v>10</v>
      </c>
      <c r="AJ78" s="327" t="s">
        <v>11</v>
      </c>
      <c r="AK78" s="327" t="s">
        <v>12</v>
      </c>
      <c r="AL78" s="326" t="s">
        <v>1</v>
      </c>
      <c r="AM78" s="327" t="s">
        <v>2</v>
      </c>
      <c r="AN78" s="327" t="s">
        <v>3</v>
      </c>
      <c r="AO78" s="327" t="s">
        <v>4</v>
      </c>
      <c r="AP78" s="327" t="s">
        <v>5</v>
      </c>
      <c r="AQ78" s="327" t="s">
        <v>6</v>
      </c>
      <c r="AR78" s="327" t="s">
        <v>7</v>
      </c>
      <c r="AS78" s="327" t="s">
        <v>8</v>
      </c>
      <c r="AT78" s="327" t="s">
        <v>9</v>
      </c>
      <c r="AU78" s="327" t="s">
        <v>10</v>
      </c>
      <c r="AV78" s="327" t="s">
        <v>11</v>
      </c>
      <c r="AW78" s="327" t="s">
        <v>12</v>
      </c>
      <c r="AX78" s="326" t="s">
        <v>1</v>
      </c>
      <c r="AY78" s="327" t="s">
        <v>2</v>
      </c>
      <c r="AZ78" s="327" t="s">
        <v>3</v>
      </c>
      <c r="BA78" s="327" t="s">
        <v>4</v>
      </c>
      <c r="BB78" s="327" t="s">
        <v>5</v>
      </c>
      <c r="BC78" s="327" t="s">
        <v>6</v>
      </c>
      <c r="BD78" s="327" t="s">
        <v>7</v>
      </c>
      <c r="BE78" s="327" t="s">
        <v>8</v>
      </c>
      <c r="BF78" s="327" t="s">
        <v>224</v>
      </c>
      <c r="BG78" s="327" t="s">
        <v>10</v>
      </c>
      <c r="BH78" s="327" t="s">
        <v>11</v>
      </c>
      <c r="BI78" s="328" t="s">
        <v>12</v>
      </c>
      <c r="BJ78" s="329" t="s">
        <v>1</v>
      </c>
      <c r="BK78" s="330"/>
      <c r="BL78" s="330"/>
      <c r="BM78" s="330"/>
      <c r="BN78" s="330"/>
      <c r="BO78" s="330"/>
      <c r="BP78" s="330"/>
      <c r="BQ78" s="330"/>
      <c r="BR78" s="330"/>
      <c r="BS78" s="330"/>
      <c r="BT78" s="330"/>
      <c r="BU78" s="330"/>
      <c r="BW78" s="325"/>
      <c r="BX78" s="325"/>
      <c r="BY78" s="325"/>
    </row>
    <row r="79" spans="1:77" ht="15" customHeight="1" x14ac:dyDescent="0.25">
      <c r="A79" s="129"/>
      <c r="B79" s="162"/>
      <c r="C79" s="151"/>
      <c r="D79" s="151"/>
      <c r="E79" s="151"/>
      <c r="F79" s="151"/>
      <c r="G79" s="151"/>
      <c r="H79" s="160"/>
      <c r="I79" s="151"/>
      <c r="J79" s="151"/>
      <c r="K79" s="151"/>
      <c r="L79" s="151"/>
      <c r="M79" s="163"/>
      <c r="N79" s="162"/>
      <c r="O79" s="160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62"/>
      <c r="AA79" s="151"/>
      <c r="AB79" s="151"/>
      <c r="AC79" s="151"/>
      <c r="AD79" s="151"/>
      <c r="AE79" s="151"/>
      <c r="AF79" s="151"/>
      <c r="AG79" s="151"/>
      <c r="AH79" s="151"/>
      <c r="AI79" s="151"/>
      <c r="AJ79" s="151"/>
      <c r="AK79" s="151"/>
      <c r="AL79" s="164"/>
      <c r="AM79" s="160"/>
      <c r="AN79" s="160"/>
      <c r="AO79" s="160"/>
      <c r="AP79" s="160"/>
      <c r="AQ79" s="160"/>
      <c r="AR79" s="160"/>
      <c r="AS79" s="160"/>
      <c r="AT79" s="160"/>
      <c r="AU79" s="160"/>
      <c r="AV79" s="160"/>
      <c r="AW79" s="160"/>
      <c r="AX79" s="162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  <c r="BI79" s="163"/>
      <c r="BJ79" s="161"/>
      <c r="BK79" s="151"/>
      <c r="BL79" s="151"/>
      <c r="BM79" s="151"/>
      <c r="BN79" s="151"/>
      <c r="BO79" s="151"/>
      <c r="BP79" s="151"/>
      <c r="BQ79" s="151"/>
      <c r="BR79" s="151"/>
      <c r="BS79" s="151"/>
      <c r="BT79" s="151"/>
      <c r="BU79" s="151"/>
      <c r="BW79" s="325"/>
      <c r="BX79" s="325"/>
      <c r="BY79" s="325"/>
    </row>
    <row r="80" spans="1:77" ht="15" customHeight="1" x14ac:dyDescent="0.25">
      <c r="A80" s="217" t="s">
        <v>254</v>
      </c>
      <c r="B80" s="185" t="e">
        <f>((B67/#REF!)-1)*100</f>
        <v>#REF!</v>
      </c>
      <c r="C80" s="175" t="e">
        <f>((C67/#REF!)-1)*100</f>
        <v>#REF!</v>
      </c>
      <c r="D80" s="175" t="e">
        <f>((D67/#REF!)-1)*100</f>
        <v>#REF!</v>
      </c>
      <c r="E80" s="175" t="e">
        <f>((E67/#REF!)-1)*100</f>
        <v>#REF!</v>
      </c>
      <c r="F80" s="175" t="e">
        <f>((F67/#REF!)-1)*100</f>
        <v>#REF!</v>
      </c>
      <c r="G80" s="175" t="e">
        <f>((G67/#REF!)-1)*100</f>
        <v>#REF!</v>
      </c>
      <c r="H80" s="175" t="e">
        <f>((H67/#REF!)-1)*100</f>
        <v>#REF!</v>
      </c>
      <c r="I80" s="175" t="e">
        <f>((I67/#REF!)-1)*100</f>
        <v>#REF!</v>
      </c>
      <c r="J80" s="175" t="e">
        <f>((J67/#REF!)-1)*100</f>
        <v>#REF!</v>
      </c>
      <c r="K80" s="175" t="e">
        <f>((K67/#REF!)-1)*100</f>
        <v>#REF!</v>
      </c>
      <c r="L80" s="175" t="e">
        <f>((L67/#REF!)-1)*100</f>
        <v>#REF!</v>
      </c>
      <c r="M80" s="331" t="e">
        <f>((M67/#REF!)-1)*100</f>
        <v>#REF!</v>
      </c>
      <c r="N80" s="185">
        <f t="shared" ref="N80:BG80" si="33">((N67/B67)-1)*100</f>
        <v>5.29591401641063</v>
      </c>
      <c r="O80" s="175">
        <f t="shared" si="33"/>
        <v>5.1364786185714273</v>
      </c>
      <c r="P80" s="175">
        <f t="shared" si="33"/>
        <v>3.3941250546256407</v>
      </c>
      <c r="Q80" s="175">
        <f t="shared" si="33"/>
        <v>3.2986957249129478</v>
      </c>
      <c r="R80" s="175">
        <f t="shared" si="33"/>
        <v>4.371753887135621</v>
      </c>
      <c r="S80" s="175">
        <f t="shared" si="33"/>
        <v>7.4950738759477442</v>
      </c>
      <c r="T80" s="175">
        <f t="shared" si="33"/>
        <v>7.6041477343033792</v>
      </c>
      <c r="U80" s="175">
        <f t="shared" si="33"/>
        <v>7.5953131070138014</v>
      </c>
      <c r="V80" s="175">
        <f t="shared" si="33"/>
        <v>7.9821501921840676</v>
      </c>
      <c r="W80" s="175">
        <f t="shared" si="33"/>
        <v>7.6609118212899396</v>
      </c>
      <c r="X80" s="175">
        <f t="shared" si="33"/>
        <v>7.9780618583711549</v>
      </c>
      <c r="Y80" s="175">
        <f t="shared" si="33"/>
        <v>8.2334325126761634</v>
      </c>
      <c r="Z80" s="185">
        <f t="shared" si="33"/>
        <v>7.1003201812257055</v>
      </c>
      <c r="AA80" s="175">
        <f t="shared" si="33"/>
        <v>8.1235674574730687</v>
      </c>
      <c r="AB80" s="175">
        <f t="shared" si="33"/>
        <v>8.7173550055035918</v>
      </c>
      <c r="AC80" s="175">
        <f t="shared" si="33"/>
        <v>7.9982959815804611</v>
      </c>
      <c r="AD80" s="175">
        <f t="shared" si="33"/>
        <v>7.1118144278691009</v>
      </c>
      <c r="AE80" s="175">
        <f t="shared" si="33"/>
        <v>5.4287729585707822</v>
      </c>
      <c r="AF80" s="175">
        <f t="shared" si="33"/>
        <v>5.4167428707091902</v>
      </c>
      <c r="AG80" s="175">
        <f t="shared" si="33"/>
        <v>4.7398354373571427</v>
      </c>
      <c r="AH80" s="175">
        <f t="shared" si="33"/>
        <v>3.7390469818746164</v>
      </c>
      <c r="AI80" s="175">
        <f t="shared" si="33"/>
        <v>4.8105229663436777</v>
      </c>
      <c r="AJ80" s="175">
        <f t="shared" si="33"/>
        <v>4.58634874114483</v>
      </c>
      <c r="AK80" s="175">
        <f t="shared" si="33"/>
        <v>4.8486219229777694</v>
      </c>
      <c r="AL80" s="185">
        <f t="shared" si="33"/>
        <v>5.0349871535227964</v>
      </c>
      <c r="AM80" s="175">
        <f t="shared" si="33"/>
        <v>3.8191066934047946</v>
      </c>
      <c r="AN80" s="175">
        <f t="shared" si="33"/>
        <v>4.0064013963533762</v>
      </c>
      <c r="AO80" s="175">
        <f t="shared" si="33"/>
        <v>4.0913686197384447</v>
      </c>
      <c r="AP80" s="175">
        <f t="shared" si="33"/>
        <v>4.7067336788118252</v>
      </c>
      <c r="AQ80" s="175">
        <f t="shared" si="33"/>
        <v>5.4672909939989855</v>
      </c>
      <c r="AR80" s="175">
        <f t="shared" si="33"/>
        <v>4.7137776741274173</v>
      </c>
      <c r="AS80" s="175">
        <f t="shared" si="33"/>
        <v>5.1404911856939739</v>
      </c>
      <c r="AT80" s="175">
        <f t="shared" si="33"/>
        <v>4.9159221223613159</v>
      </c>
      <c r="AU80" s="175">
        <f t="shared" si="33"/>
        <v>4.0471397380603236</v>
      </c>
      <c r="AV80" s="175">
        <f t="shared" si="33"/>
        <v>4.2764543408468025</v>
      </c>
      <c r="AW80" s="175">
        <f t="shared" si="33"/>
        <v>3.7841627515945442</v>
      </c>
      <c r="AX80" s="185">
        <f t="shared" si="33"/>
        <v>3.6865453596723219</v>
      </c>
      <c r="AY80" s="175">
        <f t="shared" si="33"/>
        <v>3.5916370592515401</v>
      </c>
      <c r="AZ80" s="175">
        <f t="shared" si="33"/>
        <v>4.0852158421373241</v>
      </c>
      <c r="BA80" s="175">
        <f t="shared" si="33"/>
        <v>3.5050813351999111</v>
      </c>
      <c r="BB80" s="175">
        <f t="shared" si="33"/>
        <v>2.2702142734003727</v>
      </c>
      <c r="BC80" s="175">
        <f t="shared" si="33"/>
        <v>2.0908247445603267</v>
      </c>
      <c r="BD80" s="175">
        <f t="shared" si="33"/>
        <v>2.2136351176757829</v>
      </c>
      <c r="BE80" s="175">
        <f t="shared" si="33"/>
        <v>2.5215940904036227</v>
      </c>
      <c r="BF80" s="175">
        <f t="shared" si="33"/>
        <v>2.140166923305209</v>
      </c>
      <c r="BG80" s="175">
        <f t="shared" si="33"/>
        <v>2.3216420412327299</v>
      </c>
      <c r="BH80" s="175">
        <f>((BH67/AV67)-1)*100</f>
        <v>1.3095516061452095</v>
      </c>
      <c r="BI80" s="331">
        <f>((BI67/AW67)-1)*100</f>
        <v>1.375337191210213</v>
      </c>
      <c r="BJ80" s="184">
        <f>((BJ67/AX67)-1)*100</f>
        <v>0.61136660661693654</v>
      </c>
      <c r="BK80" s="175"/>
      <c r="BL80" s="175"/>
      <c r="BM80" s="175"/>
      <c r="BN80" s="175"/>
      <c r="BO80" s="175"/>
      <c r="BP80" s="175"/>
      <c r="BQ80" s="175"/>
      <c r="BR80" s="175"/>
      <c r="BS80" s="175"/>
      <c r="BT80" s="175"/>
      <c r="BU80" s="175"/>
      <c r="BW80" s="325"/>
      <c r="BX80" s="325"/>
      <c r="BY80" s="325"/>
    </row>
    <row r="81" spans="1:77" ht="15" customHeight="1" x14ac:dyDescent="0.25">
      <c r="A81" s="217" t="s">
        <v>517</v>
      </c>
      <c r="B81" s="185" t="e">
        <f>((B69/#REF!)-1)*100</f>
        <v>#REF!</v>
      </c>
      <c r="C81" s="175" t="e">
        <f>((C69/#REF!)-1)*100</f>
        <v>#REF!</v>
      </c>
      <c r="D81" s="175" t="e">
        <f>((D69/#REF!)-1)*100</f>
        <v>#REF!</v>
      </c>
      <c r="E81" s="175" t="e">
        <f>((E69/#REF!)-1)*100</f>
        <v>#REF!</v>
      </c>
      <c r="F81" s="175" t="e">
        <f>((F69/#REF!)-1)*100</f>
        <v>#REF!</v>
      </c>
      <c r="G81" s="175" t="e">
        <f>((G69/#REF!)-1)*100</f>
        <v>#REF!</v>
      </c>
      <c r="H81" s="175" t="e">
        <f>((H69/#REF!)-1)*100</f>
        <v>#REF!</v>
      </c>
      <c r="I81" s="175" t="e">
        <f>((I69/#REF!)-1)*100</f>
        <v>#REF!</v>
      </c>
      <c r="J81" s="175" t="e">
        <f>((J69/#REF!)-1)*100</f>
        <v>#REF!</v>
      </c>
      <c r="K81" s="175" t="e">
        <f>((K69/#REF!)-1)*100</f>
        <v>#REF!</v>
      </c>
      <c r="L81" s="175" t="e">
        <f>((L69/#REF!)-1)*100</f>
        <v>#REF!</v>
      </c>
      <c r="M81" s="331" t="e">
        <f>((M69/#REF!)-1)*100</f>
        <v>#REF!</v>
      </c>
      <c r="N81" s="185">
        <f t="shared" ref="N81:BG81" si="34">((N69/B69)-1)*100</f>
        <v>-27.620398225786815</v>
      </c>
      <c r="O81" s="175">
        <f t="shared" si="34"/>
        <v>-30.55783314506315</v>
      </c>
      <c r="P81" s="175">
        <f t="shared" si="34"/>
        <v>-33.459787761794722</v>
      </c>
      <c r="Q81" s="175">
        <f t="shared" si="34"/>
        <v>-35.852275187313978</v>
      </c>
      <c r="R81" s="175">
        <f t="shared" si="34"/>
        <v>-32.305618501459008</v>
      </c>
      <c r="S81" s="175">
        <f t="shared" si="34"/>
        <v>-28.335061111986281</v>
      </c>
      <c r="T81" s="175">
        <f t="shared" si="34"/>
        <v>-25.075626503997505</v>
      </c>
      <c r="U81" s="175">
        <f t="shared" si="34"/>
        <v>-21.560634163477765</v>
      </c>
      <c r="V81" s="175">
        <f t="shared" si="34"/>
        <v>-8.3171895178137838</v>
      </c>
      <c r="W81" s="175">
        <f t="shared" si="34"/>
        <v>-12.649425460212138</v>
      </c>
      <c r="X81" s="175">
        <f t="shared" si="34"/>
        <v>-11.411047487122039</v>
      </c>
      <c r="Y81" s="175">
        <f t="shared" si="34"/>
        <v>-16.485535908164707</v>
      </c>
      <c r="Z81" s="185">
        <f t="shared" si="34"/>
        <v>-17.280425158356238</v>
      </c>
      <c r="AA81" s="175">
        <f t="shared" si="34"/>
        <v>-12.85510669839336</v>
      </c>
      <c r="AB81" s="175">
        <f t="shared" si="34"/>
        <v>-1.9245138193945244</v>
      </c>
      <c r="AC81" s="175">
        <f t="shared" si="34"/>
        <v>4.0308130326522917</v>
      </c>
      <c r="AD81" s="175">
        <f t="shared" si="34"/>
        <v>0.39778328911816985</v>
      </c>
      <c r="AE81" s="175">
        <f t="shared" si="34"/>
        <v>-9.6191727937937177</v>
      </c>
      <c r="AF81" s="175">
        <f t="shared" si="34"/>
        <v>-13.234421984996247</v>
      </c>
      <c r="AG81" s="175">
        <f t="shared" si="34"/>
        <v>-20.754035084109645</v>
      </c>
      <c r="AH81" s="175">
        <f t="shared" si="34"/>
        <v>-27.291033575310575</v>
      </c>
      <c r="AI81" s="175">
        <f t="shared" si="34"/>
        <v>-24.433830321068516</v>
      </c>
      <c r="AJ81" s="175">
        <f t="shared" si="34"/>
        <v>-22.310027653274489</v>
      </c>
      <c r="AK81" s="175">
        <f t="shared" si="34"/>
        <v>-15.8664401896781</v>
      </c>
      <c r="AL81" s="185">
        <f t="shared" si="34"/>
        <v>-11.026918706733724</v>
      </c>
      <c r="AM81" s="175">
        <f t="shared" si="34"/>
        <v>-8.5593487569808229</v>
      </c>
      <c r="AN81" s="175">
        <f t="shared" si="34"/>
        <v>-5.6446182835056096</v>
      </c>
      <c r="AO81" s="175">
        <f t="shared" si="34"/>
        <v>-4.8952573474679406</v>
      </c>
      <c r="AP81" s="175">
        <f t="shared" si="34"/>
        <v>-10.221628538944028</v>
      </c>
      <c r="AQ81" s="175">
        <f t="shared" si="34"/>
        <v>-3.3359784728634767</v>
      </c>
      <c r="AR81" s="175">
        <f t="shared" si="34"/>
        <v>8.7666168847465151</v>
      </c>
      <c r="AS81" s="175">
        <f t="shared" si="34"/>
        <v>21.073698412401164</v>
      </c>
      <c r="AT81" s="175">
        <f t="shared" si="34"/>
        <v>18.197252057378233</v>
      </c>
      <c r="AU81" s="175">
        <f t="shared" si="34"/>
        <v>22.253868764412175</v>
      </c>
      <c r="AV81" s="175">
        <f t="shared" si="34"/>
        <v>18.445982359396631</v>
      </c>
      <c r="AW81" s="175">
        <f t="shared" si="34"/>
        <v>13.771769159479796</v>
      </c>
      <c r="AX81" s="185">
        <f t="shared" si="34"/>
        <v>19.635657669750351</v>
      </c>
      <c r="AY81" s="175">
        <f t="shared" si="34"/>
        <v>15.623279102618049</v>
      </c>
      <c r="AZ81" s="175">
        <f t="shared" si="34"/>
        <v>7.3269624288276214</v>
      </c>
      <c r="BA81" s="175">
        <f t="shared" si="34"/>
        <v>2.3792548037802952</v>
      </c>
      <c r="BB81" s="175">
        <f t="shared" si="34"/>
        <v>5.8488664342302155</v>
      </c>
      <c r="BC81" s="175">
        <f t="shared" si="34"/>
        <v>-0.91012404457273544</v>
      </c>
      <c r="BD81" s="175">
        <f t="shared" si="34"/>
        <v>-14.058273288114243</v>
      </c>
      <c r="BE81" s="175">
        <f t="shared" si="34"/>
        <v>-20.640974366288912</v>
      </c>
      <c r="BF81" s="175">
        <f t="shared" si="34"/>
        <v>-9.1750742822619529</v>
      </c>
      <c r="BG81" s="175">
        <f t="shared" si="34"/>
        <v>-14.721821184080031</v>
      </c>
      <c r="BH81" s="175">
        <f>((BH69/AV69)-1)*100</f>
        <v>-17.983574083988874</v>
      </c>
      <c r="BI81" s="331">
        <f>((BI69/AW69)-1)*100</f>
        <v>-14.375014266631613</v>
      </c>
      <c r="BJ81" s="184">
        <f>((BJ69/AX69)-1)*100</f>
        <v>-53.873055524680154</v>
      </c>
      <c r="BK81" s="175"/>
      <c r="BL81" s="175"/>
      <c r="BM81" s="175"/>
      <c r="BN81" s="175"/>
      <c r="BO81" s="175"/>
      <c r="BP81" s="175"/>
      <c r="BQ81" s="175"/>
      <c r="BR81" s="175"/>
      <c r="BS81" s="175"/>
      <c r="BT81" s="175"/>
      <c r="BU81" s="175"/>
      <c r="BW81" s="325"/>
      <c r="BX81" s="325"/>
      <c r="BY81" s="325"/>
    </row>
    <row r="82" spans="1:77" ht="15" customHeight="1" x14ac:dyDescent="0.25">
      <c r="A82" s="211" t="s">
        <v>249</v>
      </c>
      <c r="B82" s="188" t="e">
        <f>((B65/#REF!)-1)*100</f>
        <v>#REF!</v>
      </c>
      <c r="C82" s="189" t="e">
        <f>((C65/#REF!)-1)*100</f>
        <v>#REF!</v>
      </c>
      <c r="D82" s="189" t="e">
        <f>((D65/#REF!)-1)*100</f>
        <v>#REF!</v>
      </c>
      <c r="E82" s="189" t="e">
        <f>((E65/#REF!)-1)*100</f>
        <v>#REF!</v>
      </c>
      <c r="F82" s="189" t="e">
        <f>((F65/#REF!)-1)*100</f>
        <v>#REF!</v>
      </c>
      <c r="G82" s="189" t="e">
        <f>((G65/#REF!)-1)*100</f>
        <v>#REF!</v>
      </c>
      <c r="H82" s="189" t="e">
        <f>((H65/#REF!)-1)*100</f>
        <v>#REF!</v>
      </c>
      <c r="I82" s="189" t="e">
        <f>((I65/#REF!)-1)*100</f>
        <v>#REF!</v>
      </c>
      <c r="J82" s="189" t="e">
        <f>((J65/#REF!)-1)*100</f>
        <v>#REF!</v>
      </c>
      <c r="K82" s="189" t="e">
        <f>((K65/#REF!)-1)*100</f>
        <v>#REF!</v>
      </c>
      <c r="L82" s="189" t="e">
        <f>((L65/#REF!)-1)*100</f>
        <v>#REF!</v>
      </c>
      <c r="M82" s="187" t="e">
        <f>((M65/#REF!)-1)*100</f>
        <v>#REF!</v>
      </c>
      <c r="N82" s="188">
        <f t="shared" ref="N82:BG82" si="35">((N65/B65)-1)*100</f>
        <v>1.4128663664027208</v>
      </c>
      <c r="O82" s="189">
        <f t="shared" si="35"/>
        <v>1.0615248974088942</v>
      </c>
      <c r="P82" s="189">
        <f t="shared" si="35"/>
        <v>-0.54303319866861877</v>
      </c>
      <c r="Q82" s="189">
        <f t="shared" si="35"/>
        <v>-0.77231115326782396</v>
      </c>
      <c r="R82" s="189">
        <f t="shared" si="35"/>
        <v>0.60023233299026924</v>
      </c>
      <c r="S82" s="189">
        <f t="shared" si="35"/>
        <v>3.8843140963047862</v>
      </c>
      <c r="T82" s="189">
        <f t="shared" si="35"/>
        <v>4.4353226326691253</v>
      </c>
      <c r="U82" s="189">
        <f t="shared" si="35"/>
        <v>4.8167271912682885</v>
      </c>
      <c r="V82" s="189">
        <f t="shared" si="35"/>
        <v>6.5553794115635888</v>
      </c>
      <c r="W82" s="189">
        <f t="shared" si="35"/>
        <v>5.8735219115560566</v>
      </c>
      <c r="X82" s="189">
        <f t="shared" si="35"/>
        <v>6.2794561631365209</v>
      </c>
      <c r="Y82" s="189">
        <f t="shared" si="35"/>
        <v>6.0710781137893077</v>
      </c>
      <c r="Z82" s="188">
        <f t="shared" si="35"/>
        <v>5.0475910000641111</v>
      </c>
      <c r="AA82" s="189">
        <f t="shared" si="35"/>
        <v>6.4779112100578962</v>
      </c>
      <c r="AB82" s="189">
        <f t="shared" si="35"/>
        <v>7.9567378083024831</v>
      </c>
      <c r="AC82" s="189">
        <f t="shared" si="35"/>
        <v>7.7315961448983117</v>
      </c>
      <c r="AD82" s="189">
        <f t="shared" si="35"/>
        <v>6.6472399245035785</v>
      </c>
      <c r="AE82" s="189">
        <f t="shared" si="35"/>
        <v>4.3826466431291289</v>
      </c>
      <c r="AF82" s="189">
        <f t="shared" si="35"/>
        <v>4.1192622192638195</v>
      </c>
      <c r="AG82" s="189">
        <f t="shared" si="35"/>
        <v>2.9216594054309208</v>
      </c>
      <c r="AH82" s="189">
        <f t="shared" si="35"/>
        <v>1.4019343841235488</v>
      </c>
      <c r="AI82" s="189">
        <f t="shared" si="35"/>
        <v>2.6871680416846511</v>
      </c>
      <c r="AJ82" s="189">
        <f t="shared" si="35"/>
        <v>2.6222707327705264</v>
      </c>
      <c r="AK82" s="189">
        <f t="shared" si="35"/>
        <v>3.4218732187585976</v>
      </c>
      <c r="AL82" s="188">
        <f t="shared" si="35"/>
        <v>3.9700991113298612</v>
      </c>
      <c r="AM82" s="189">
        <f t="shared" si="35"/>
        <v>3.0243943419411279</v>
      </c>
      <c r="AN82" s="189">
        <f t="shared" si="35"/>
        <v>3.3797411325775517</v>
      </c>
      <c r="AO82" s="189">
        <f t="shared" si="35"/>
        <v>3.5080266210362865</v>
      </c>
      <c r="AP82" s="189">
        <f t="shared" si="35"/>
        <v>3.7343029185932686</v>
      </c>
      <c r="AQ82" s="189">
        <f t="shared" si="35"/>
        <v>4.9373849007371851</v>
      </c>
      <c r="AR82" s="189">
        <f t="shared" si="35"/>
        <v>4.9487250971175456</v>
      </c>
      <c r="AS82" s="189">
        <f t="shared" si="35"/>
        <v>6.0154220464173402</v>
      </c>
      <c r="AT82" s="189">
        <f t="shared" si="35"/>
        <v>5.6331877678674758</v>
      </c>
      <c r="AU82" s="189">
        <f t="shared" si="35"/>
        <v>5.0199401209474193</v>
      </c>
      <c r="AV82" s="189">
        <f t="shared" si="35"/>
        <v>5.0597824122282864</v>
      </c>
      <c r="AW82" s="189">
        <f t="shared" si="35"/>
        <v>4.3437651041241976</v>
      </c>
      <c r="AX82" s="188">
        <f t="shared" si="35"/>
        <v>4.5914307233223761</v>
      </c>
      <c r="AY82" s="189">
        <f t="shared" si="35"/>
        <v>4.2772320691365717</v>
      </c>
      <c r="AZ82" s="189">
        <f t="shared" si="35"/>
        <v>4.2773343716100642</v>
      </c>
      <c r="BA82" s="189">
        <f t="shared" si="35"/>
        <v>3.4379343985823096</v>
      </c>
      <c r="BB82" s="189">
        <f t="shared" si="35"/>
        <v>2.471965108964036</v>
      </c>
      <c r="BC82" s="189">
        <f t="shared" si="35"/>
        <v>1.9244267361462342</v>
      </c>
      <c r="BD82" s="189">
        <f t="shared" si="35"/>
        <v>1.2360192191515962</v>
      </c>
      <c r="BE82" s="189">
        <f t="shared" si="35"/>
        <v>1.0690209514391702</v>
      </c>
      <c r="BF82" s="189">
        <f t="shared" si="35"/>
        <v>1.4563981322508468</v>
      </c>
      <c r="BG82" s="189">
        <f t="shared" si="35"/>
        <v>1.261557510234379</v>
      </c>
      <c r="BH82" s="189">
        <f>((BH65/AV65)-1)*100</f>
        <v>0.10708025876378091</v>
      </c>
      <c r="BI82" s="187">
        <f>((BI65/AW65)-1)*100</f>
        <v>0.41311278279265728</v>
      </c>
      <c r="BJ82" s="177">
        <f>((BJ65/AX65)-1)*100</f>
        <v>-2.9244842170914498</v>
      </c>
      <c r="BK82" s="175"/>
      <c r="BL82" s="175"/>
      <c r="BM82" s="175"/>
      <c r="BN82" s="175"/>
      <c r="BO82" s="175"/>
      <c r="BP82" s="175"/>
      <c r="BQ82" s="175"/>
      <c r="BR82" s="175"/>
      <c r="BS82" s="175"/>
      <c r="BT82" s="175"/>
      <c r="BU82" s="175"/>
      <c r="BW82" s="325"/>
      <c r="BX82" s="325"/>
      <c r="BY82" s="325"/>
    </row>
    <row r="83" spans="1:77" ht="15" customHeight="1" x14ac:dyDescent="0.25">
      <c r="A83" s="126" t="s">
        <v>155</v>
      </c>
      <c r="BW83" s="325"/>
      <c r="BX83" s="325"/>
      <c r="BY83" s="325"/>
    </row>
    <row r="84" spans="1:77" ht="15" customHeight="1" x14ac:dyDescent="0.25">
      <c r="A84" s="325"/>
      <c r="BW84" s="325"/>
      <c r="BX84" s="325"/>
      <c r="BY84" s="325"/>
    </row>
    <row r="85" spans="1:77" ht="15" customHeight="1" x14ac:dyDescent="0.25">
      <c r="A85" s="325"/>
      <c r="BW85" s="325"/>
      <c r="BX85" s="325"/>
      <c r="BY85" s="325"/>
    </row>
    <row r="86" spans="1:77" ht="15" customHeight="1" x14ac:dyDescent="0.25">
      <c r="A86" s="325"/>
      <c r="BW86" s="325"/>
      <c r="BX86" s="325"/>
      <c r="BY86" s="325"/>
    </row>
    <row r="87" spans="1:77" ht="15" customHeight="1" x14ac:dyDescent="0.25">
      <c r="A87" s="325"/>
      <c r="BW87" s="325"/>
      <c r="BX87" s="325"/>
      <c r="BY87" s="325"/>
    </row>
    <row r="88" spans="1:77" ht="15" customHeight="1" x14ac:dyDescent="0.25">
      <c r="A88" s="325"/>
      <c r="BW88" s="325"/>
      <c r="BX88" s="325"/>
      <c r="BY88" s="325"/>
    </row>
    <row r="89" spans="1:77" ht="15" customHeight="1" x14ac:dyDescent="0.25">
      <c r="A89" s="325"/>
      <c r="BW89" s="325"/>
      <c r="BX89" s="325"/>
      <c r="BY89" s="325"/>
    </row>
    <row r="90" spans="1:77" ht="15" customHeight="1" x14ac:dyDescent="0.25">
      <c r="A90" s="325"/>
      <c r="BW90" s="325"/>
      <c r="BX90" s="325"/>
      <c r="BY90" s="325"/>
    </row>
    <row r="91" spans="1:77" ht="15" customHeight="1" x14ac:dyDescent="0.25">
      <c r="A91" s="325"/>
      <c r="BW91" s="325"/>
      <c r="BX91" s="325"/>
      <c r="BY91" s="325"/>
    </row>
    <row r="92" spans="1:77" ht="15" customHeight="1" x14ac:dyDescent="0.25">
      <c r="A92" s="325"/>
      <c r="BW92" s="325"/>
      <c r="BX92" s="325"/>
      <c r="BY92" s="325"/>
    </row>
    <row r="93" spans="1:77" ht="15" customHeight="1" x14ac:dyDescent="0.25">
      <c r="A93" s="325"/>
      <c r="BW93" s="325"/>
      <c r="BX93" s="325"/>
      <c r="BY93" s="325"/>
    </row>
    <row r="94" spans="1:77" ht="15" customHeight="1" x14ac:dyDescent="0.25">
      <c r="A94" s="325"/>
      <c r="BW94" s="325"/>
      <c r="BX94" s="325"/>
      <c r="BY94" s="325"/>
    </row>
    <row r="95" spans="1:77" ht="15" customHeight="1" x14ac:dyDescent="0.25">
      <c r="A95" s="325"/>
      <c r="BW95" s="325"/>
      <c r="BX95" s="325"/>
      <c r="BY95" s="325"/>
    </row>
    <row r="96" spans="1:77" ht="15" customHeight="1" x14ac:dyDescent="0.25">
      <c r="A96" s="325"/>
      <c r="BW96" s="325"/>
      <c r="BX96" s="325"/>
      <c r="BY96" s="325"/>
    </row>
    <row r="97" spans="1:77" ht="15" customHeight="1" x14ac:dyDescent="0.25">
      <c r="A97" s="325"/>
      <c r="BW97" s="325"/>
      <c r="BX97" s="325"/>
      <c r="BY97" s="325"/>
    </row>
    <row r="98" spans="1:77" ht="15" customHeight="1" x14ac:dyDescent="0.25">
      <c r="A98" s="325"/>
      <c r="BW98" s="325"/>
      <c r="BX98" s="325"/>
      <c r="BY98" s="325"/>
    </row>
    <row r="99" spans="1:77" ht="15" customHeight="1" x14ac:dyDescent="0.25">
      <c r="A99" s="325"/>
      <c r="BW99" s="325"/>
      <c r="BX99" s="325"/>
      <c r="BY99" s="325"/>
    </row>
    <row r="100" spans="1:77" ht="15" customHeight="1" x14ac:dyDescent="0.25">
      <c r="A100" s="325"/>
      <c r="BW100" s="325"/>
      <c r="BX100" s="325"/>
      <c r="BY100" s="325"/>
    </row>
    <row r="101" spans="1:77" ht="15" customHeight="1" x14ac:dyDescent="0.25">
      <c r="A101" s="325"/>
      <c r="BW101" s="325"/>
      <c r="BX101" s="325"/>
      <c r="BY101" s="325"/>
    </row>
    <row r="102" spans="1:77" ht="15" customHeight="1" x14ac:dyDescent="0.25">
      <c r="A102" s="325"/>
      <c r="BW102" s="325"/>
      <c r="BX102" s="325"/>
      <c r="BY102" s="325"/>
    </row>
    <row r="103" spans="1:77" ht="15" customHeight="1" x14ac:dyDescent="0.25">
      <c r="A103" s="325"/>
      <c r="BW103" s="325"/>
      <c r="BX103" s="325"/>
      <c r="BY103" s="325"/>
    </row>
    <row r="104" spans="1:77" ht="15" customHeight="1" x14ac:dyDescent="0.25">
      <c r="A104" s="325"/>
      <c r="BW104" s="325"/>
      <c r="BX104" s="325"/>
      <c r="BY104" s="325"/>
    </row>
  </sheetData>
  <printOptions horizontalCentered="1" verticalCentered="1"/>
  <pageMargins left="0.5" right="0.75" top="1" bottom="1" header="0" footer="0"/>
  <pageSetup paperSize="9" scale="17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A37"/>
  <sheetViews>
    <sheetView showGridLines="0" view="pageBreakPreview" zoomScale="84" zoomScaleNormal="70" zoomScaleSheetLayoutView="90" workbookViewId="0">
      <pane xSplit="1" topLeftCell="H1" activePane="topRight" state="frozen"/>
      <selection activeCell="DO55" sqref="DO55:EP55"/>
      <selection pane="topRight"/>
    </sheetView>
  </sheetViews>
  <sheetFormatPr baseColWidth="10" defaultColWidth="9.7109375" defaultRowHeight="15" customHeight="1" x14ac:dyDescent="0.2"/>
  <cols>
    <col min="1" max="1" width="30.7109375" style="126" customWidth="1"/>
    <col min="2" max="26" width="9.7109375" style="126"/>
    <col min="27" max="27" width="29.7109375" style="126" bestFit="1" customWidth="1"/>
    <col min="28" max="16384" width="9.7109375" style="126"/>
  </cols>
  <sheetData>
    <row r="1" spans="1:27" ht="15" customHeight="1" x14ac:dyDescent="0.2">
      <c r="A1" s="125" t="s">
        <v>304</v>
      </c>
    </row>
    <row r="2" spans="1:27" ht="15" customHeight="1" x14ac:dyDescent="0.2">
      <c r="A2" s="125" t="s">
        <v>612</v>
      </c>
    </row>
    <row r="3" spans="1:27" ht="15" customHeight="1" x14ac:dyDescent="0.2">
      <c r="A3" s="125" t="s">
        <v>261</v>
      </c>
    </row>
    <row r="4" spans="1:27" ht="15" customHeight="1" x14ac:dyDescent="0.2">
      <c r="A4" s="129"/>
      <c r="B4" s="102">
        <f>YEAR(B5)</f>
        <v>2013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377"/>
      <c r="N4" s="102">
        <f>YEAR(N5)</f>
        <v>2014</v>
      </c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377"/>
      <c r="AA4" s="446" t="s">
        <v>563</v>
      </c>
    </row>
    <row r="5" spans="1:27" ht="15" customHeight="1" x14ac:dyDescent="0.2">
      <c r="A5" s="133"/>
      <c r="B5" s="106">
        <v>41275</v>
      </c>
      <c r="C5" s="107">
        <v>41306</v>
      </c>
      <c r="D5" s="107">
        <v>41334</v>
      </c>
      <c r="E5" s="107">
        <v>41365</v>
      </c>
      <c r="F5" s="107">
        <v>41395</v>
      </c>
      <c r="G5" s="107">
        <v>41426</v>
      </c>
      <c r="H5" s="107">
        <v>41456</v>
      </c>
      <c r="I5" s="107">
        <v>41487</v>
      </c>
      <c r="J5" s="107">
        <v>41518</v>
      </c>
      <c r="K5" s="107">
        <v>41548</v>
      </c>
      <c r="L5" s="107">
        <v>41579</v>
      </c>
      <c r="M5" s="378">
        <v>41609</v>
      </c>
      <c r="N5" s="106">
        <v>41640</v>
      </c>
      <c r="O5" s="107">
        <v>41671</v>
      </c>
      <c r="P5" s="107">
        <v>41699</v>
      </c>
      <c r="Q5" s="107">
        <v>41730</v>
      </c>
      <c r="R5" s="107">
        <v>41760</v>
      </c>
      <c r="S5" s="107">
        <v>41791</v>
      </c>
      <c r="T5" s="107">
        <v>41821</v>
      </c>
      <c r="U5" s="107">
        <v>41852</v>
      </c>
      <c r="V5" s="107">
        <v>41883</v>
      </c>
      <c r="W5" s="107">
        <v>41913</v>
      </c>
      <c r="X5" s="107">
        <v>41944</v>
      </c>
      <c r="Y5" s="378">
        <v>41974</v>
      </c>
      <c r="AA5" s="138"/>
    </row>
    <row r="6" spans="1:27" ht="15" customHeight="1" x14ac:dyDescent="0.2">
      <c r="A6" s="138"/>
      <c r="B6" s="442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443"/>
      <c r="N6" s="442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443"/>
      <c r="AA6" s="138"/>
    </row>
    <row r="7" spans="1:27" s="215" customFormat="1" ht="15" customHeight="1" x14ac:dyDescent="0.2">
      <c r="A7" s="141" t="s">
        <v>537</v>
      </c>
      <c r="B7" s="337">
        <v>3.9</v>
      </c>
      <c r="C7" s="206">
        <v>3.8</v>
      </c>
      <c r="D7" s="206">
        <v>4</v>
      </c>
      <c r="E7" s="206">
        <v>4</v>
      </c>
      <c r="F7" s="206">
        <v>4</v>
      </c>
      <c r="G7" s="206">
        <v>3.9</v>
      </c>
      <c r="H7" s="206">
        <v>4</v>
      </c>
      <c r="I7" s="206">
        <v>4</v>
      </c>
      <c r="J7" s="206">
        <v>4</v>
      </c>
      <c r="K7" s="206">
        <v>4.0999999999999996</v>
      </c>
      <c r="L7" s="206">
        <v>3.9</v>
      </c>
      <c r="M7" s="244">
        <v>3.5</v>
      </c>
      <c r="N7" s="337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44"/>
      <c r="AA7" s="141" t="s">
        <v>0</v>
      </c>
    </row>
    <row r="8" spans="1:27" s="125" customFormat="1" ht="15" customHeight="1" x14ac:dyDescent="0.2">
      <c r="A8" s="401" t="s">
        <v>270</v>
      </c>
      <c r="B8" s="338">
        <v>3.1</v>
      </c>
      <c r="C8" s="444">
        <v>3.1</v>
      </c>
      <c r="D8" s="444">
        <v>3.1</v>
      </c>
      <c r="E8" s="444">
        <v>3.2</v>
      </c>
      <c r="F8" s="444">
        <v>3</v>
      </c>
      <c r="G8" s="444">
        <v>3</v>
      </c>
      <c r="H8" s="444">
        <v>3</v>
      </c>
      <c r="I8" s="444">
        <v>3.1</v>
      </c>
      <c r="J8" s="444">
        <v>3.1</v>
      </c>
      <c r="K8" s="444">
        <v>3.3</v>
      </c>
      <c r="L8" s="444">
        <v>3.1</v>
      </c>
      <c r="M8" s="256">
        <v>2.7</v>
      </c>
      <c r="N8" s="338"/>
      <c r="O8" s="444"/>
      <c r="P8" s="444"/>
      <c r="Q8" s="444"/>
      <c r="R8" s="444"/>
      <c r="S8" s="444"/>
      <c r="T8" s="444"/>
      <c r="U8" s="444"/>
      <c r="V8" s="444"/>
      <c r="W8" s="444"/>
      <c r="X8" s="444"/>
      <c r="Y8" s="256"/>
      <c r="AA8" s="217" t="s">
        <v>509</v>
      </c>
    </row>
    <row r="9" spans="1:27" ht="15" customHeight="1" x14ac:dyDescent="0.2">
      <c r="A9" s="403" t="s">
        <v>538</v>
      </c>
      <c r="B9" s="191">
        <v>3.7</v>
      </c>
      <c r="C9" s="190">
        <v>3.6</v>
      </c>
      <c r="D9" s="190">
        <v>3.4</v>
      </c>
      <c r="E9" s="190">
        <v>3.8</v>
      </c>
      <c r="F9" s="190">
        <v>4</v>
      </c>
      <c r="G9" s="190">
        <v>3.9</v>
      </c>
      <c r="H9" s="190">
        <v>4.2</v>
      </c>
      <c r="I9" s="190">
        <v>4.2</v>
      </c>
      <c r="J9" s="190">
        <v>4.5999999999999996</v>
      </c>
      <c r="K9" s="190">
        <v>4.7</v>
      </c>
      <c r="L9" s="190">
        <v>4.5999999999999996</v>
      </c>
      <c r="M9" s="247">
        <v>2.6</v>
      </c>
      <c r="N9" s="191">
        <v>4.5999999999999996</v>
      </c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247"/>
      <c r="AA9" s="138"/>
    </row>
    <row r="10" spans="1:27" ht="15" customHeight="1" x14ac:dyDescent="0.2">
      <c r="A10" s="403" t="s">
        <v>488</v>
      </c>
      <c r="B10" s="191">
        <v>1.9</v>
      </c>
      <c r="C10" s="190">
        <v>2</v>
      </c>
      <c r="D10" s="190">
        <v>2.1</v>
      </c>
      <c r="E10" s="190">
        <v>1.9</v>
      </c>
      <c r="F10" s="190">
        <v>1.7</v>
      </c>
      <c r="G10" s="190">
        <v>1.8</v>
      </c>
      <c r="H10" s="190">
        <v>1.9</v>
      </c>
      <c r="I10" s="190">
        <v>1.9</v>
      </c>
      <c r="J10" s="190">
        <v>1.7</v>
      </c>
      <c r="K10" s="190">
        <v>2.1</v>
      </c>
      <c r="L10" s="190">
        <v>1.6</v>
      </c>
      <c r="M10" s="247">
        <v>2.1</v>
      </c>
      <c r="N10" s="191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247"/>
      <c r="AA10" s="138"/>
    </row>
    <row r="11" spans="1:27" ht="15" customHeight="1" x14ac:dyDescent="0.2">
      <c r="A11" s="403" t="s">
        <v>489</v>
      </c>
      <c r="B11" s="191">
        <v>5.6</v>
      </c>
      <c r="C11" s="190">
        <v>5.7</v>
      </c>
      <c r="D11" s="190">
        <v>5.6</v>
      </c>
      <c r="E11" s="190">
        <v>5.8</v>
      </c>
      <c r="F11" s="190">
        <v>5.8</v>
      </c>
      <c r="G11" s="190">
        <v>4.3</v>
      </c>
      <c r="H11" s="190">
        <v>4.0999999999999996</v>
      </c>
      <c r="I11" s="190">
        <v>4.0999999999999996</v>
      </c>
      <c r="J11" s="190">
        <v>4</v>
      </c>
      <c r="K11" s="190">
        <v>3.9</v>
      </c>
      <c r="L11" s="190">
        <v>3.5</v>
      </c>
      <c r="M11" s="247">
        <v>3.3</v>
      </c>
      <c r="N11" s="191">
        <v>3.4</v>
      </c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247"/>
      <c r="AA11" s="138"/>
    </row>
    <row r="12" spans="1:27" ht="15" customHeight="1" x14ac:dyDescent="0.2">
      <c r="A12" s="403" t="s">
        <v>321</v>
      </c>
      <c r="B12" s="191">
        <v>2.2000000000000002</v>
      </c>
      <c r="C12" s="190">
        <v>2.2000000000000002</v>
      </c>
      <c r="D12" s="190">
        <v>2.5</v>
      </c>
      <c r="E12" s="190">
        <v>2.4</v>
      </c>
      <c r="F12" s="190">
        <v>1.7</v>
      </c>
      <c r="G12" s="190">
        <v>2</v>
      </c>
      <c r="H12" s="190">
        <v>1.7</v>
      </c>
      <c r="I12" s="190">
        <v>1.8</v>
      </c>
      <c r="J12" s="190">
        <v>1.8</v>
      </c>
      <c r="K12" s="190">
        <v>2.1</v>
      </c>
      <c r="L12" s="190">
        <v>2.2000000000000002</v>
      </c>
      <c r="M12" s="247">
        <v>2.7</v>
      </c>
      <c r="N12" s="191">
        <v>2.9</v>
      </c>
      <c r="O12" s="190">
        <v>2.7</v>
      </c>
      <c r="P12" s="190"/>
      <c r="Q12" s="190"/>
      <c r="R12" s="190"/>
      <c r="S12" s="190"/>
      <c r="T12" s="190"/>
      <c r="U12" s="190"/>
      <c r="V12" s="190"/>
      <c r="W12" s="190"/>
      <c r="X12" s="190"/>
      <c r="Y12" s="247"/>
      <c r="AA12" s="138"/>
    </row>
    <row r="13" spans="1:27" ht="15" customHeight="1" x14ac:dyDescent="0.2">
      <c r="A13" s="403" t="s">
        <v>539</v>
      </c>
      <c r="B13" s="191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247"/>
      <c r="N13" s="191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247"/>
      <c r="AA13" s="138"/>
    </row>
    <row r="14" spans="1:27" ht="15" customHeight="1" x14ac:dyDescent="0.2">
      <c r="A14" s="403" t="s">
        <v>490</v>
      </c>
      <c r="B14" s="191">
        <v>3.6</v>
      </c>
      <c r="C14" s="190">
        <v>3.8</v>
      </c>
      <c r="D14" s="190">
        <v>3.8</v>
      </c>
      <c r="E14" s="190">
        <v>3.7</v>
      </c>
      <c r="F14" s="190">
        <v>3.5</v>
      </c>
      <c r="G14" s="190">
        <v>3.8</v>
      </c>
      <c r="H14" s="190">
        <v>4</v>
      </c>
      <c r="I14" s="190">
        <v>3.7</v>
      </c>
      <c r="J14" s="190">
        <v>3.6</v>
      </c>
      <c r="K14" s="190">
        <v>3.6</v>
      </c>
      <c r="L14" s="190">
        <v>3.8</v>
      </c>
      <c r="M14" s="247">
        <v>3.6</v>
      </c>
      <c r="N14" s="191">
        <v>3.5</v>
      </c>
      <c r="O14" s="190">
        <v>3.9</v>
      </c>
      <c r="P14" s="190"/>
      <c r="Q14" s="190"/>
      <c r="R14" s="190"/>
      <c r="S14" s="190"/>
      <c r="T14" s="190"/>
      <c r="U14" s="190"/>
      <c r="V14" s="190"/>
      <c r="W14" s="190"/>
      <c r="X14" s="190"/>
      <c r="Y14" s="247"/>
      <c r="AA14" s="138"/>
    </row>
    <row r="15" spans="1:27" ht="15" customHeight="1" x14ac:dyDescent="0.2">
      <c r="A15" s="403" t="s">
        <v>540</v>
      </c>
      <c r="B15" s="191">
        <v>7.4</v>
      </c>
      <c r="C15" s="190">
        <v>7.8</v>
      </c>
      <c r="D15" s="190">
        <v>8.6999999999999993</v>
      </c>
      <c r="E15" s="190">
        <v>9.5</v>
      </c>
      <c r="F15" s="190">
        <v>9.6</v>
      </c>
      <c r="G15" s="190">
        <v>9.9</v>
      </c>
      <c r="H15" s="190">
        <v>9.9</v>
      </c>
      <c r="I15" s="190">
        <v>9.8000000000000007</v>
      </c>
      <c r="J15" s="190">
        <v>9.6999999999999993</v>
      </c>
      <c r="K15" s="190">
        <v>9.5</v>
      </c>
      <c r="L15" s="190">
        <v>9.4</v>
      </c>
      <c r="M15" s="247">
        <v>8.9</v>
      </c>
      <c r="N15" s="191">
        <v>8.8000000000000007</v>
      </c>
      <c r="O15" s="190">
        <v>8.6999999999999993</v>
      </c>
      <c r="P15" s="190">
        <v>9</v>
      </c>
      <c r="Q15" s="190">
        <v>9.1</v>
      </c>
      <c r="R15" s="190"/>
      <c r="S15" s="190"/>
      <c r="T15" s="190"/>
      <c r="U15" s="190"/>
      <c r="V15" s="190"/>
      <c r="W15" s="190"/>
      <c r="X15" s="190"/>
      <c r="Y15" s="247"/>
      <c r="AA15" s="138"/>
    </row>
    <row r="16" spans="1:27" ht="15" customHeight="1" x14ac:dyDescent="0.2">
      <c r="A16" s="403" t="s">
        <v>541</v>
      </c>
      <c r="B16" s="191">
        <v>2.5</v>
      </c>
      <c r="C16" s="190">
        <v>2.7</v>
      </c>
      <c r="D16" s="190">
        <v>2.6</v>
      </c>
      <c r="E16" s="190">
        <v>2.7</v>
      </c>
      <c r="F16" s="190">
        <v>2.7</v>
      </c>
      <c r="G16" s="190">
        <v>2.7</v>
      </c>
      <c r="H16" s="190">
        <v>2.7</v>
      </c>
      <c r="I16" s="190">
        <v>2.6</v>
      </c>
      <c r="J16" s="190">
        <v>2.6</v>
      </c>
      <c r="K16" s="190">
        <v>3</v>
      </c>
      <c r="L16" s="190">
        <v>2.6</v>
      </c>
      <c r="M16" s="247">
        <v>2.7</v>
      </c>
      <c r="N16" s="191">
        <v>2.7</v>
      </c>
      <c r="O16" s="190">
        <v>3.1</v>
      </c>
      <c r="P16" s="190">
        <v>3</v>
      </c>
      <c r="Q16" s="190">
        <v>3</v>
      </c>
      <c r="R16" s="190"/>
      <c r="S16" s="190"/>
      <c r="T16" s="190"/>
      <c r="U16" s="190"/>
      <c r="V16" s="190"/>
      <c r="W16" s="190"/>
      <c r="X16" s="190"/>
      <c r="Y16" s="247"/>
      <c r="AA16" s="138"/>
    </row>
    <row r="17" spans="1:27" ht="15" customHeight="1" x14ac:dyDescent="0.2">
      <c r="A17" s="403" t="s">
        <v>493</v>
      </c>
      <c r="B17" s="191"/>
      <c r="C17" s="190"/>
      <c r="D17" s="190"/>
      <c r="E17" s="190"/>
      <c r="F17" s="190"/>
      <c r="G17" s="190"/>
      <c r="H17" s="190"/>
      <c r="I17" s="190"/>
      <c r="J17" s="190"/>
      <c r="K17" s="190"/>
      <c r="L17" s="190">
        <v>0.7</v>
      </c>
      <c r="M17" s="247">
        <v>0.6</v>
      </c>
      <c r="N17" s="191"/>
      <c r="O17" s="190"/>
      <c r="P17" s="190">
        <v>0.6</v>
      </c>
      <c r="Q17" s="190">
        <v>0.6</v>
      </c>
      <c r="R17" s="190"/>
      <c r="S17" s="190"/>
      <c r="T17" s="190"/>
      <c r="U17" s="190"/>
      <c r="V17" s="190"/>
      <c r="W17" s="190"/>
      <c r="X17" s="190"/>
      <c r="Y17" s="247"/>
      <c r="AA17" s="138"/>
    </row>
    <row r="18" spans="1:27" s="125" customFormat="1" ht="15" customHeight="1" x14ac:dyDescent="0.2">
      <c r="A18" s="401" t="s">
        <v>233</v>
      </c>
      <c r="B18" s="338">
        <v>4.5999999999999996</v>
      </c>
      <c r="C18" s="444">
        <v>4.3</v>
      </c>
      <c r="D18" s="444">
        <v>4.5999999999999996</v>
      </c>
      <c r="E18" s="444">
        <v>4.5</v>
      </c>
      <c r="F18" s="444">
        <v>4.8</v>
      </c>
      <c r="G18" s="444">
        <v>5</v>
      </c>
      <c r="H18" s="444">
        <v>4.9000000000000004</v>
      </c>
      <c r="I18" s="444">
        <v>4.8</v>
      </c>
      <c r="J18" s="444">
        <v>4.5999999999999996</v>
      </c>
      <c r="K18" s="444">
        <v>4.4000000000000004</v>
      </c>
      <c r="L18" s="444">
        <v>4.4000000000000004</v>
      </c>
      <c r="M18" s="256">
        <v>4.5</v>
      </c>
      <c r="N18" s="338">
        <v>4.5999999999999996</v>
      </c>
      <c r="O18" s="444"/>
      <c r="P18" s="444"/>
      <c r="Q18" s="444"/>
      <c r="R18" s="444"/>
      <c r="S18" s="444"/>
      <c r="T18" s="444"/>
      <c r="U18" s="444"/>
      <c r="V18" s="444"/>
      <c r="W18" s="444"/>
      <c r="X18" s="444"/>
      <c r="Y18" s="256"/>
      <c r="AA18" s="217" t="s">
        <v>510</v>
      </c>
    </row>
    <row r="19" spans="1:27" ht="15" customHeight="1" x14ac:dyDescent="0.2">
      <c r="A19" s="403" t="s">
        <v>524</v>
      </c>
      <c r="B19" s="191">
        <v>4</v>
      </c>
      <c r="C19" s="190">
        <v>4.0999999999999996</v>
      </c>
      <c r="D19" s="190">
        <v>3.7</v>
      </c>
      <c r="E19" s="190">
        <v>3.9</v>
      </c>
      <c r="F19" s="190">
        <v>4</v>
      </c>
      <c r="G19" s="190">
        <v>3.9</v>
      </c>
      <c r="H19" s="190">
        <v>3.9</v>
      </c>
      <c r="I19" s="190">
        <v>3.9</v>
      </c>
      <c r="J19" s="190">
        <v>3.9</v>
      </c>
      <c r="K19" s="190">
        <v>3.9</v>
      </c>
      <c r="L19" s="190">
        <v>4</v>
      </c>
      <c r="M19" s="247">
        <v>3.9</v>
      </c>
      <c r="N19" s="191">
        <v>4</v>
      </c>
      <c r="O19" s="190">
        <v>4.0999999999999996</v>
      </c>
      <c r="P19" s="190">
        <v>4</v>
      </c>
      <c r="Q19" s="190">
        <v>4.2</v>
      </c>
      <c r="R19" s="190"/>
      <c r="S19" s="190"/>
      <c r="T19" s="190"/>
      <c r="U19" s="190"/>
      <c r="V19" s="190"/>
      <c r="W19" s="190"/>
      <c r="X19" s="190"/>
      <c r="Y19" s="247"/>
      <c r="AA19" s="138"/>
    </row>
    <row r="20" spans="1:27" ht="15" customHeight="1" x14ac:dyDescent="0.2">
      <c r="A20" s="403" t="s">
        <v>542</v>
      </c>
      <c r="B20" s="191">
        <v>8.5</v>
      </c>
      <c r="C20" s="190">
        <v>9.5</v>
      </c>
      <c r="D20" s="190"/>
      <c r="E20" s="190"/>
      <c r="F20" s="190"/>
      <c r="G20" s="190"/>
      <c r="H20" s="190"/>
      <c r="I20" s="190"/>
      <c r="J20" s="190"/>
      <c r="K20" s="190"/>
      <c r="L20" s="190"/>
      <c r="M20" s="247"/>
      <c r="N20" s="191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247"/>
      <c r="AA20" s="138"/>
    </row>
    <row r="21" spans="1:27" ht="15" customHeight="1" x14ac:dyDescent="0.2">
      <c r="A21" s="403" t="s">
        <v>498</v>
      </c>
      <c r="B21" s="191">
        <v>6.5</v>
      </c>
      <c r="C21" s="190">
        <v>6.3</v>
      </c>
      <c r="D21" s="190">
        <v>7.4</v>
      </c>
      <c r="E21" s="190">
        <v>7.4</v>
      </c>
      <c r="F21" s="190">
        <v>7.9</v>
      </c>
      <c r="G21" s="190">
        <v>7.7</v>
      </c>
      <c r="H21" s="190">
        <v>7.3</v>
      </c>
      <c r="I21" s="190">
        <v>7.2</v>
      </c>
      <c r="J21" s="190">
        <v>7.1</v>
      </c>
      <c r="K21" s="190">
        <v>7.2</v>
      </c>
      <c r="L21" s="190">
        <v>7.1</v>
      </c>
      <c r="M21" s="247">
        <v>7.8</v>
      </c>
      <c r="N21" s="191">
        <v>7.8</v>
      </c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247"/>
      <c r="AA21" s="138"/>
    </row>
    <row r="22" spans="1:27" ht="15" customHeight="1" x14ac:dyDescent="0.2">
      <c r="A22" s="403" t="s">
        <v>522</v>
      </c>
      <c r="B22" s="191">
        <v>1.9</v>
      </c>
      <c r="C22" s="190">
        <v>1.6</v>
      </c>
      <c r="D22" s="190">
        <v>1.5</v>
      </c>
      <c r="E22" s="190">
        <v>1.5</v>
      </c>
      <c r="F22" s="190">
        <v>1.7</v>
      </c>
      <c r="G22" s="190">
        <v>2.4</v>
      </c>
      <c r="H22" s="190">
        <v>2.6</v>
      </c>
      <c r="I22" s="190">
        <v>2.7</v>
      </c>
      <c r="J22" s="190">
        <v>2.2999999999999998</v>
      </c>
      <c r="K22" s="190">
        <v>2</v>
      </c>
      <c r="L22" s="190">
        <v>2.1</v>
      </c>
      <c r="M22" s="247">
        <v>1.9</v>
      </c>
      <c r="N22" s="191">
        <v>1.9</v>
      </c>
      <c r="O22" s="190">
        <v>2.1</v>
      </c>
      <c r="P22" s="190"/>
      <c r="Q22" s="190"/>
      <c r="R22" s="190"/>
      <c r="S22" s="190"/>
      <c r="T22" s="190"/>
      <c r="U22" s="190"/>
      <c r="V22" s="190"/>
      <c r="W22" s="190"/>
      <c r="X22" s="190"/>
      <c r="Y22" s="247"/>
      <c r="AA22" s="138"/>
    </row>
    <row r="23" spans="1:27" ht="15" customHeight="1" x14ac:dyDescent="0.2">
      <c r="A23" s="403" t="s">
        <v>501</v>
      </c>
      <c r="B23" s="191"/>
      <c r="C23" s="190"/>
      <c r="D23" s="190"/>
      <c r="E23" s="190"/>
      <c r="F23" s="190">
        <v>0.4</v>
      </c>
      <c r="G23" s="190">
        <v>0.7</v>
      </c>
      <c r="H23" s="190">
        <v>1.6</v>
      </c>
      <c r="I23" s="190">
        <v>1.6</v>
      </c>
      <c r="J23" s="190">
        <v>2.1</v>
      </c>
      <c r="K23" s="190">
        <v>2</v>
      </c>
      <c r="L23" s="190">
        <v>2.2999999999999998</v>
      </c>
      <c r="M23" s="247">
        <v>2.1</v>
      </c>
      <c r="N23" s="191">
        <v>2.5</v>
      </c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247"/>
      <c r="AA23" s="138"/>
    </row>
    <row r="24" spans="1:27" s="125" customFormat="1" ht="15" customHeight="1" x14ac:dyDescent="0.2">
      <c r="A24" s="401" t="s">
        <v>262</v>
      </c>
      <c r="B24" s="338">
        <v>6.4</v>
      </c>
      <c r="C24" s="444">
        <v>6.4</v>
      </c>
      <c r="D24" s="444">
        <v>7</v>
      </c>
      <c r="E24" s="444">
        <v>7</v>
      </c>
      <c r="F24" s="444">
        <v>7.4</v>
      </c>
      <c r="G24" s="444">
        <v>6.8</v>
      </c>
      <c r="H24" s="444">
        <v>7.2</v>
      </c>
      <c r="I24" s="444">
        <v>7.3</v>
      </c>
      <c r="J24" s="444">
        <v>6.8</v>
      </c>
      <c r="K24" s="444">
        <v>7</v>
      </c>
      <c r="L24" s="444">
        <v>6.8</v>
      </c>
      <c r="M24" s="256">
        <v>6.3</v>
      </c>
      <c r="N24" s="338">
        <v>6.8</v>
      </c>
      <c r="O24" s="444">
        <v>7.5</v>
      </c>
      <c r="P24" s="444"/>
      <c r="Q24" s="444"/>
      <c r="R24" s="444"/>
      <c r="S24" s="444"/>
      <c r="T24" s="444"/>
      <c r="U24" s="444"/>
      <c r="V24" s="444"/>
      <c r="W24" s="444"/>
      <c r="X24" s="444"/>
      <c r="Y24" s="256"/>
      <c r="AA24" s="217"/>
    </row>
    <row r="25" spans="1:27" ht="15" customHeight="1" x14ac:dyDescent="0.2">
      <c r="A25" s="403" t="s">
        <v>503</v>
      </c>
      <c r="B25" s="191">
        <v>5.5</v>
      </c>
      <c r="C25" s="190">
        <v>6.1</v>
      </c>
      <c r="D25" s="190">
        <v>6.3</v>
      </c>
      <c r="E25" s="190">
        <v>6.6</v>
      </c>
      <c r="F25" s="190">
        <v>7.9</v>
      </c>
      <c r="G25" s="190">
        <v>7.5</v>
      </c>
      <c r="H25" s="190">
        <v>8.3000000000000007</v>
      </c>
      <c r="I25" s="190">
        <v>9.3000000000000007</v>
      </c>
      <c r="J25" s="190">
        <v>9.1</v>
      </c>
      <c r="K25" s="190">
        <v>9.3000000000000007</v>
      </c>
      <c r="L25" s="190">
        <v>8.8000000000000007</v>
      </c>
      <c r="M25" s="247">
        <v>7.9</v>
      </c>
      <c r="N25" s="191">
        <v>8.9</v>
      </c>
      <c r="O25" s="190">
        <v>9.6</v>
      </c>
      <c r="P25" s="190"/>
      <c r="Q25" s="190"/>
      <c r="R25" s="190"/>
      <c r="S25" s="190"/>
      <c r="T25" s="190"/>
      <c r="U25" s="190"/>
      <c r="V25" s="190"/>
      <c r="W25" s="190"/>
      <c r="X25" s="190"/>
      <c r="Y25" s="247"/>
      <c r="AA25" s="138" t="s">
        <v>590</v>
      </c>
    </row>
    <row r="26" spans="1:27" ht="15" customHeight="1" x14ac:dyDescent="0.2">
      <c r="A26" s="403" t="s">
        <v>543</v>
      </c>
      <c r="B26" s="191">
        <v>3.1</v>
      </c>
      <c r="C26" s="190">
        <v>3.1</v>
      </c>
      <c r="D26" s="190">
        <v>4.5999999999999996</v>
      </c>
      <c r="E26" s="190">
        <v>4.5999999999999996</v>
      </c>
      <c r="F26" s="190">
        <v>4.7</v>
      </c>
      <c r="G26" s="190">
        <v>4.3</v>
      </c>
      <c r="H26" s="190">
        <v>4.4000000000000004</v>
      </c>
      <c r="I26" s="190">
        <v>4</v>
      </c>
      <c r="J26" s="190">
        <v>4</v>
      </c>
      <c r="K26" s="190">
        <v>4</v>
      </c>
      <c r="L26" s="190">
        <v>4</v>
      </c>
      <c r="M26" s="247">
        <v>3.9</v>
      </c>
      <c r="N26" s="191">
        <v>3.8</v>
      </c>
      <c r="O26" s="190">
        <v>4.4000000000000004</v>
      </c>
      <c r="P26" s="190">
        <v>4.7</v>
      </c>
      <c r="Q26" s="190"/>
      <c r="R26" s="190"/>
      <c r="S26" s="190"/>
      <c r="T26" s="190"/>
      <c r="U26" s="190"/>
      <c r="V26" s="190"/>
      <c r="W26" s="190"/>
      <c r="X26" s="190"/>
      <c r="Y26" s="247"/>
      <c r="AA26" s="138" t="s">
        <v>590</v>
      </c>
    </row>
    <row r="27" spans="1:27" ht="15" customHeight="1" x14ac:dyDescent="0.2">
      <c r="A27" s="403" t="s">
        <v>504</v>
      </c>
      <c r="B27" s="191">
        <v>7.2</v>
      </c>
      <c r="C27" s="190">
        <v>8.3000000000000007</v>
      </c>
      <c r="D27" s="190">
        <v>8.1</v>
      </c>
      <c r="E27" s="190">
        <v>7.7</v>
      </c>
      <c r="F27" s="190">
        <v>8.4</v>
      </c>
      <c r="G27" s="190">
        <v>7.4</v>
      </c>
      <c r="H27" s="190">
        <v>7.8</v>
      </c>
      <c r="I27" s="190">
        <v>8.1</v>
      </c>
      <c r="J27" s="190">
        <v>7.7</v>
      </c>
      <c r="K27" s="190">
        <v>7.9</v>
      </c>
      <c r="L27" s="190">
        <v>7.6</v>
      </c>
      <c r="M27" s="247">
        <v>6.7</v>
      </c>
      <c r="N27" s="191">
        <v>7.7</v>
      </c>
      <c r="O27" s="190">
        <v>8.6</v>
      </c>
      <c r="P27" s="190"/>
      <c r="Q27" s="190"/>
      <c r="R27" s="190"/>
      <c r="S27" s="190"/>
      <c r="T27" s="190"/>
      <c r="U27" s="190"/>
      <c r="V27" s="190"/>
      <c r="W27" s="190"/>
      <c r="X27" s="190"/>
      <c r="Y27" s="247"/>
      <c r="AA27" s="138" t="s">
        <v>590</v>
      </c>
    </row>
    <row r="28" spans="1:27" ht="15" customHeight="1" x14ac:dyDescent="0.2">
      <c r="A28" s="403" t="s">
        <v>544</v>
      </c>
      <c r="B28" s="191">
        <v>8.1</v>
      </c>
      <c r="C28" s="190">
        <v>8.4</v>
      </c>
      <c r="D28" s="190">
        <v>8</v>
      </c>
      <c r="E28" s="190">
        <v>8.5</v>
      </c>
      <c r="F28" s="190">
        <v>8.3000000000000007</v>
      </c>
      <c r="G28" s="190">
        <v>7.8</v>
      </c>
      <c r="H28" s="190">
        <v>9.6999999999999993</v>
      </c>
      <c r="I28" s="190">
        <v>10.3</v>
      </c>
      <c r="J28" s="190">
        <v>9.4</v>
      </c>
      <c r="K28" s="190">
        <v>9.5</v>
      </c>
      <c r="L28" s="190">
        <v>9.3000000000000007</v>
      </c>
      <c r="M28" s="247">
        <v>8.5</v>
      </c>
      <c r="N28" s="191">
        <v>9.9</v>
      </c>
      <c r="O28" s="190">
        <v>10.9</v>
      </c>
      <c r="P28" s="190"/>
      <c r="Q28" s="190"/>
      <c r="R28" s="190"/>
      <c r="S28" s="190"/>
      <c r="T28" s="190"/>
      <c r="U28" s="190"/>
      <c r="V28" s="190"/>
      <c r="W28" s="190"/>
      <c r="X28" s="190"/>
      <c r="Y28" s="247"/>
      <c r="AA28" s="138" t="s">
        <v>590</v>
      </c>
    </row>
    <row r="29" spans="1:27" ht="15" customHeight="1" x14ac:dyDescent="0.2">
      <c r="A29" s="403" t="s">
        <v>529</v>
      </c>
      <c r="B29" s="191">
        <v>3.9</v>
      </c>
      <c r="C29" s="190">
        <v>4.8</v>
      </c>
      <c r="D29" s="190">
        <v>5.6</v>
      </c>
      <c r="E29" s="190">
        <v>6.1</v>
      </c>
      <c r="F29" s="190">
        <v>6.4</v>
      </c>
      <c r="G29" s="190">
        <v>7.1</v>
      </c>
      <c r="H29" s="190">
        <v>7.1</v>
      </c>
      <c r="I29" s="190">
        <v>6.6</v>
      </c>
      <c r="J29" s="190">
        <v>3</v>
      </c>
      <c r="K29" s="190">
        <v>3.2</v>
      </c>
      <c r="L29" s="190">
        <v>3</v>
      </c>
      <c r="M29" s="247">
        <v>3</v>
      </c>
      <c r="N29" s="191">
        <v>3.5</v>
      </c>
      <c r="O29" s="190">
        <v>3.5</v>
      </c>
      <c r="P29" s="190"/>
      <c r="Q29" s="190"/>
      <c r="R29" s="190"/>
      <c r="S29" s="190"/>
      <c r="T29" s="190"/>
      <c r="U29" s="190"/>
      <c r="V29" s="190"/>
      <c r="W29" s="190"/>
      <c r="X29" s="190"/>
      <c r="Y29" s="247"/>
      <c r="AA29" s="138" t="s">
        <v>592</v>
      </c>
    </row>
    <row r="30" spans="1:27" ht="15" customHeight="1" x14ac:dyDescent="0.2">
      <c r="A30" s="403" t="s">
        <v>530</v>
      </c>
      <c r="B30" s="191">
        <v>2.6</v>
      </c>
      <c r="C30" s="190">
        <v>5</v>
      </c>
      <c r="D30" s="190">
        <v>4.3</v>
      </c>
      <c r="E30" s="190">
        <v>5.8</v>
      </c>
      <c r="F30" s="190">
        <v>6.1</v>
      </c>
      <c r="G30" s="190">
        <v>6.6</v>
      </c>
      <c r="H30" s="190">
        <v>6.2</v>
      </c>
      <c r="I30" s="190">
        <v>6.2</v>
      </c>
      <c r="J30" s="190">
        <v>6.2</v>
      </c>
      <c r="K30" s="190">
        <v>5.9</v>
      </c>
      <c r="L30" s="190">
        <v>6.1</v>
      </c>
      <c r="M30" s="247">
        <v>4.5</v>
      </c>
      <c r="N30" s="191">
        <v>3.9</v>
      </c>
      <c r="O30" s="190">
        <v>3.2</v>
      </c>
      <c r="P30" s="190">
        <v>4.4000000000000004</v>
      </c>
      <c r="Q30" s="190">
        <v>5.5</v>
      </c>
      <c r="R30" s="190"/>
      <c r="S30" s="190"/>
      <c r="T30" s="190"/>
      <c r="U30" s="190"/>
      <c r="V30" s="190"/>
      <c r="W30" s="190"/>
      <c r="X30" s="190"/>
      <c r="Y30" s="247"/>
      <c r="AA30" s="138" t="s">
        <v>592</v>
      </c>
    </row>
    <row r="31" spans="1:27" ht="15" customHeight="1" x14ac:dyDescent="0.2">
      <c r="A31" s="403" t="s">
        <v>531</v>
      </c>
      <c r="B31" s="191"/>
      <c r="C31" s="190"/>
      <c r="D31" s="190"/>
      <c r="E31" s="190"/>
      <c r="F31" s="190"/>
      <c r="G31" s="190"/>
      <c r="H31" s="190"/>
      <c r="I31" s="190">
        <v>5.5</v>
      </c>
      <c r="J31" s="190">
        <v>5.7</v>
      </c>
      <c r="K31" s="190">
        <v>5.5</v>
      </c>
      <c r="L31" s="190">
        <v>5.5</v>
      </c>
      <c r="M31" s="247">
        <v>5.0999999999999996</v>
      </c>
      <c r="N31" s="191">
        <v>5.2</v>
      </c>
      <c r="O31" s="190">
        <v>5.2</v>
      </c>
      <c r="P31" s="190">
        <v>5</v>
      </c>
      <c r="Q31" s="190">
        <v>4.9000000000000004</v>
      </c>
      <c r="R31" s="190"/>
      <c r="S31" s="190"/>
      <c r="T31" s="190"/>
      <c r="U31" s="190"/>
      <c r="V31" s="190"/>
      <c r="W31" s="190"/>
      <c r="X31" s="190"/>
      <c r="Y31" s="247"/>
      <c r="AA31" s="138" t="s">
        <v>592</v>
      </c>
    </row>
    <row r="32" spans="1:27" ht="15" customHeight="1" x14ac:dyDescent="0.2">
      <c r="A32" s="403" t="s">
        <v>545</v>
      </c>
      <c r="B32" s="191">
        <v>5.2</v>
      </c>
      <c r="C32" s="190">
        <v>6.1</v>
      </c>
      <c r="D32" s="190">
        <v>9.6</v>
      </c>
      <c r="E32" s="190">
        <v>7.4</v>
      </c>
      <c r="F32" s="190">
        <v>7.9</v>
      </c>
      <c r="G32" s="190">
        <v>8.5</v>
      </c>
      <c r="H32" s="190">
        <v>7.8</v>
      </c>
      <c r="I32" s="190">
        <v>7.6</v>
      </c>
      <c r="J32" s="190">
        <v>7.4</v>
      </c>
      <c r="K32" s="190">
        <v>5.9</v>
      </c>
      <c r="L32" s="190">
        <v>4.8</v>
      </c>
      <c r="M32" s="247">
        <v>4.2</v>
      </c>
      <c r="N32" s="191">
        <v>4.4000000000000004</v>
      </c>
      <c r="O32" s="190">
        <v>5.3</v>
      </c>
      <c r="P32" s="190">
        <v>7.1</v>
      </c>
      <c r="Q32" s="190">
        <v>8.8000000000000007</v>
      </c>
      <c r="R32" s="190"/>
      <c r="S32" s="190"/>
      <c r="T32" s="190"/>
      <c r="U32" s="190"/>
      <c r="V32" s="190"/>
      <c r="W32" s="190"/>
      <c r="X32" s="190"/>
      <c r="Y32" s="247"/>
      <c r="AA32" s="138" t="s">
        <v>592</v>
      </c>
    </row>
    <row r="33" spans="1:27" ht="15" customHeight="1" x14ac:dyDescent="0.2">
      <c r="A33" s="408" t="s">
        <v>507</v>
      </c>
      <c r="B33" s="340">
        <v>11.2</v>
      </c>
      <c r="C33" s="275">
        <v>9.3000000000000007</v>
      </c>
      <c r="D33" s="275">
        <v>10.6</v>
      </c>
      <c r="E33" s="275">
        <v>10.6</v>
      </c>
      <c r="F33" s="275">
        <v>10.6</v>
      </c>
      <c r="G33" s="275">
        <v>9.6999999999999993</v>
      </c>
      <c r="H33" s="275">
        <v>9.6</v>
      </c>
      <c r="I33" s="275">
        <v>9.5</v>
      </c>
      <c r="J33" s="275">
        <v>8.1</v>
      </c>
      <c r="K33" s="275">
        <v>8.6</v>
      </c>
      <c r="L33" s="275">
        <v>8.6999999999999993</v>
      </c>
      <c r="M33" s="203">
        <v>8.1999999999999993</v>
      </c>
      <c r="N33" s="340">
        <v>8.8000000000000007</v>
      </c>
      <c r="O33" s="275">
        <v>9.1</v>
      </c>
      <c r="P33" s="275">
        <v>9.5</v>
      </c>
      <c r="Q33" s="275">
        <v>10</v>
      </c>
      <c r="R33" s="275"/>
      <c r="S33" s="275"/>
      <c r="T33" s="275"/>
      <c r="U33" s="275"/>
      <c r="V33" s="275"/>
      <c r="W33" s="275"/>
      <c r="X33" s="275"/>
      <c r="Y33" s="203"/>
      <c r="AA33" s="133" t="s">
        <v>591</v>
      </c>
    </row>
    <row r="34" spans="1:27" ht="15" customHeight="1" x14ac:dyDescent="0.2">
      <c r="A34" s="126" t="s">
        <v>162</v>
      </c>
    </row>
    <row r="35" spans="1:27" ht="15" customHeight="1" x14ac:dyDescent="0.2">
      <c r="A35" s="126" t="s">
        <v>263</v>
      </c>
    </row>
    <row r="36" spans="1:27" ht="15" customHeight="1" x14ac:dyDescent="0.2">
      <c r="A36" s="126" t="s">
        <v>264</v>
      </c>
    </row>
    <row r="37" spans="1:27" ht="15" customHeight="1" x14ac:dyDescent="0.2">
      <c r="A37" s="126" t="s">
        <v>265</v>
      </c>
    </row>
  </sheetData>
  <printOptions horizontalCentered="1" verticalCentered="1"/>
  <pageMargins left="0.75" right="0.75" top="1" bottom="1" header="0" footer="0"/>
  <pageSetup paperSize="9" scale="46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K65"/>
  <sheetViews>
    <sheetView showGridLines="0" view="pageBreakPreview" topLeftCell="A22" zoomScale="90" zoomScaleSheetLayoutView="90" workbookViewId="0">
      <selection activeCell="EH36" sqref="EH36"/>
    </sheetView>
  </sheetViews>
  <sheetFormatPr baseColWidth="10" defaultColWidth="4.85546875" defaultRowHeight="12.75" x14ac:dyDescent="0.2"/>
  <cols>
    <col min="1" max="1" width="21.7109375" style="3" customWidth="1"/>
    <col min="2" max="73" width="6.85546875" style="3" hidden="1" customWidth="1"/>
    <col min="74" max="83" width="10.140625" style="3" hidden="1" customWidth="1"/>
    <col min="84" max="84" width="9.28515625" style="3" hidden="1" customWidth="1"/>
    <col min="85" max="125" width="7.28515625" style="3" hidden="1" customWidth="1"/>
    <col min="126" max="138" width="7.28515625" style="3" customWidth="1"/>
    <col min="139" max="139" width="5.7109375" style="3" customWidth="1"/>
    <col min="140" max="140" width="5.28515625" style="3" customWidth="1"/>
    <col min="141" max="141" width="3.7109375" style="3" customWidth="1"/>
    <col min="142" max="142" width="3.85546875" style="3" customWidth="1"/>
    <col min="143" max="172" width="6" style="3" customWidth="1"/>
    <col min="173" max="16384" width="4.85546875" style="3"/>
  </cols>
  <sheetData>
    <row r="1" spans="1:141" ht="18.75" x14ac:dyDescent="0.3">
      <c r="A1" s="91" t="s">
        <v>242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8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4"/>
      <c r="EF1" s="4"/>
      <c r="EG1" s="4"/>
      <c r="EH1" s="4"/>
      <c r="EI1" s="4"/>
      <c r="EJ1" s="4"/>
    </row>
    <row r="2" spans="1:141" ht="18.75" x14ac:dyDescent="0.3">
      <c r="A2" s="91" t="s">
        <v>214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8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93"/>
      <c r="BR2" s="93"/>
      <c r="BS2" s="93"/>
      <c r="BT2" s="93"/>
      <c r="BU2" s="93"/>
      <c r="BV2" s="93"/>
      <c r="BW2" s="93"/>
      <c r="BX2" s="93"/>
      <c r="BY2" s="93"/>
      <c r="BZ2" s="93"/>
      <c r="CA2" s="93"/>
      <c r="CB2" s="93"/>
      <c r="CC2" s="93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96"/>
      <c r="CQ2" s="96"/>
      <c r="CR2" s="96"/>
      <c r="CS2" s="96"/>
      <c r="CT2" s="96"/>
      <c r="CU2" s="96"/>
      <c r="CV2" s="96"/>
      <c r="CW2" s="96"/>
      <c r="CX2" s="96"/>
      <c r="CY2" s="96"/>
      <c r="CZ2" s="96"/>
      <c r="DA2" s="96"/>
      <c r="DB2" s="96"/>
      <c r="DC2" s="96"/>
      <c r="DD2" s="96"/>
      <c r="DE2" s="96"/>
      <c r="DF2" s="96"/>
      <c r="DG2" s="96"/>
      <c r="DH2" s="96"/>
      <c r="DI2" s="96"/>
      <c r="DJ2" s="96"/>
      <c r="DK2" s="96"/>
      <c r="DL2" s="96"/>
      <c r="DM2" s="96"/>
      <c r="DN2" s="96"/>
      <c r="DO2" s="96"/>
      <c r="DP2" s="96"/>
      <c r="DQ2" s="96"/>
      <c r="DR2" s="96"/>
      <c r="DS2" s="96"/>
      <c r="DT2" s="96"/>
      <c r="DU2" s="96"/>
      <c r="DV2" s="96"/>
      <c r="DW2" s="96"/>
      <c r="DX2" s="96"/>
      <c r="DY2" s="96"/>
      <c r="DZ2" s="96"/>
      <c r="EA2" s="96"/>
      <c r="EB2" s="96"/>
      <c r="EC2" s="96"/>
      <c r="ED2" s="96"/>
      <c r="EE2" s="4"/>
      <c r="EF2" s="4"/>
      <c r="EG2" s="4"/>
      <c r="EH2" s="4"/>
      <c r="EI2" s="4"/>
      <c r="EJ2" s="4"/>
    </row>
    <row r="3" spans="1:141" ht="18.75" x14ac:dyDescent="0.3">
      <c r="A3" s="92" t="s">
        <v>201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2"/>
      <c r="AM3" s="91"/>
      <c r="AN3" s="98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6"/>
      <c r="CE3" s="96"/>
      <c r="CF3" s="96"/>
      <c r="CG3" s="96"/>
      <c r="CH3" s="96"/>
      <c r="CI3" s="99"/>
      <c r="CJ3" s="99"/>
      <c r="CK3" s="99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  <c r="DO3" s="96"/>
      <c r="DP3" s="96"/>
      <c r="DQ3" s="96"/>
      <c r="DR3" s="96"/>
      <c r="DS3" s="96"/>
      <c r="DT3" s="96"/>
      <c r="DU3" s="96"/>
      <c r="DV3" s="96"/>
      <c r="DW3" s="96"/>
      <c r="DX3" s="96"/>
      <c r="DY3" s="96"/>
      <c r="DZ3" s="96"/>
      <c r="EA3" s="96"/>
      <c r="EB3" s="96"/>
      <c r="EC3" s="96"/>
      <c r="ED3" s="96"/>
      <c r="EE3" s="4"/>
      <c r="EF3" s="4"/>
      <c r="EG3" s="4"/>
      <c r="EH3" s="4"/>
      <c r="EI3" s="4"/>
      <c r="EJ3" s="4"/>
    </row>
    <row r="4" spans="1:141" x14ac:dyDescent="0.2">
      <c r="A4" s="991"/>
      <c r="B4" s="995">
        <v>2002</v>
      </c>
      <c r="C4" s="993"/>
      <c r="D4" s="993"/>
      <c r="E4" s="993"/>
      <c r="F4" s="993"/>
      <c r="G4" s="993"/>
      <c r="H4" s="993"/>
      <c r="I4" s="993"/>
      <c r="J4" s="993"/>
      <c r="K4" s="993"/>
      <c r="L4" s="993"/>
      <c r="M4" s="994"/>
      <c r="N4" s="995">
        <v>2003</v>
      </c>
      <c r="O4" s="993"/>
      <c r="P4" s="993"/>
      <c r="Q4" s="993"/>
      <c r="R4" s="993"/>
      <c r="S4" s="993"/>
      <c r="T4" s="993"/>
      <c r="U4" s="993"/>
      <c r="V4" s="993"/>
      <c r="W4" s="993"/>
      <c r="X4" s="993"/>
      <c r="Y4" s="994"/>
      <c r="Z4" s="995">
        <v>2004</v>
      </c>
      <c r="AA4" s="993"/>
      <c r="AB4" s="993"/>
      <c r="AC4" s="993"/>
      <c r="AD4" s="993"/>
      <c r="AE4" s="993"/>
      <c r="AF4" s="993"/>
      <c r="AG4" s="993"/>
      <c r="AH4" s="993"/>
      <c r="AI4" s="993"/>
      <c r="AJ4" s="993"/>
      <c r="AK4" s="994"/>
      <c r="AL4" s="995">
        <v>2005</v>
      </c>
      <c r="AM4" s="993"/>
      <c r="AN4" s="993"/>
      <c r="AO4" s="993"/>
      <c r="AP4" s="993"/>
      <c r="AQ4" s="993"/>
      <c r="AR4" s="993"/>
      <c r="AS4" s="993"/>
      <c r="AT4" s="993"/>
      <c r="AU4" s="993"/>
      <c r="AV4" s="993"/>
      <c r="AW4" s="994"/>
      <c r="AX4" s="995">
        <v>2006</v>
      </c>
      <c r="AY4" s="993"/>
      <c r="AZ4" s="993"/>
      <c r="BA4" s="993"/>
      <c r="BB4" s="993"/>
      <c r="BC4" s="993"/>
      <c r="BD4" s="993"/>
      <c r="BE4" s="993"/>
      <c r="BF4" s="993"/>
      <c r="BG4" s="993"/>
      <c r="BH4" s="993"/>
      <c r="BI4" s="994"/>
      <c r="BJ4" s="995">
        <v>2007</v>
      </c>
      <c r="BK4" s="993"/>
      <c r="BL4" s="993"/>
      <c r="BM4" s="993"/>
      <c r="BN4" s="993"/>
      <c r="BO4" s="993"/>
      <c r="BP4" s="993"/>
      <c r="BQ4" s="993"/>
      <c r="BR4" s="993"/>
      <c r="BS4" s="993"/>
      <c r="BT4" s="993"/>
      <c r="BU4" s="994"/>
      <c r="BV4" s="995">
        <v>2008</v>
      </c>
      <c r="BW4" s="993"/>
      <c r="BX4" s="993"/>
      <c r="BY4" s="993"/>
      <c r="BZ4" s="993"/>
      <c r="CA4" s="993"/>
      <c r="CB4" s="993"/>
      <c r="CC4" s="993"/>
      <c r="CD4" s="993"/>
      <c r="CE4" s="993"/>
      <c r="CF4" s="993"/>
      <c r="CG4" s="994"/>
      <c r="CH4" s="995">
        <v>2009</v>
      </c>
      <c r="CI4" s="993"/>
      <c r="CJ4" s="993"/>
      <c r="CK4" s="993"/>
      <c r="CL4" s="993"/>
      <c r="CM4" s="993"/>
      <c r="CN4" s="993"/>
      <c r="CO4" s="993"/>
      <c r="CP4" s="993"/>
      <c r="CQ4" s="993"/>
      <c r="CR4" s="993"/>
      <c r="CS4" s="994"/>
      <c r="CT4" s="995">
        <v>2010</v>
      </c>
      <c r="CU4" s="993"/>
      <c r="CV4" s="993"/>
      <c r="CW4" s="993"/>
      <c r="CX4" s="993"/>
      <c r="CY4" s="993"/>
      <c r="CZ4" s="993"/>
      <c r="DA4" s="993"/>
      <c r="DB4" s="993"/>
      <c r="DC4" s="993"/>
      <c r="DD4" s="993"/>
      <c r="DE4" s="994"/>
      <c r="DF4" s="995">
        <v>2011</v>
      </c>
      <c r="DG4" s="993"/>
      <c r="DH4" s="993"/>
      <c r="DI4" s="993"/>
      <c r="DJ4" s="993"/>
      <c r="DK4" s="993"/>
      <c r="DL4" s="993"/>
      <c r="DM4" s="993"/>
      <c r="DN4" s="993"/>
      <c r="DO4" s="993"/>
      <c r="DP4" s="993"/>
      <c r="DQ4" s="993"/>
      <c r="DR4" s="995">
        <v>2012</v>
      </c>
      <c r="DS4" s="993"/>
      <c r="DT4" s="993"/>
      <c r="DU4" s="993"/>
      <c r="DV4" s="993"/>
      <c r="DW4" s="993"/>
      <c r="DX4" s="993"/>
      <c r="DY4" s="993"/>
      <c r="DZ4" s="993"/>
      <c r="EA4" s="993"/>
      <c r="EB4" s="993"/>
      <c r="EC4" s="993"/>
      <c r="ED4" s="995">
        <v>2013</v>
      </c>
      <c r="EE4" s="993"/>
      <c r="EF4" s="993"/>
      <c r="EG4" s="993"/>
      <c r="EH4" s="994"/>
      <c r="EI4" s="996" t="s">
        <v>100</v>
      </c>
      <c r="EJ4" s="997"/>
      <c r="EK4" s="39"/>
    </row>
    <row r="5" spans="1:141" x14ac:dyDescent="0.2">
      <c r="A5" s="992"/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5" t="s">
        <v>1</v>
      </c>
      <c r="O5" s="6" t="s">
        <v>2</v>
      </c>
      <c r="P5" s="6" t="s">
        <v>3</v>
      </c>
      <c r="Q5" s="6" t="s">
        <v>4</v>
      </c>
      <c r="R5" s="6" t="s">
        <v>5</v>
      </c>
      <c r="S5" s="6" t="s">
        <v>6</v>
      </c>
      <c r="T5" s="6" t="s">
        <v>7</v>
      </c>
      <c r="U5" s="6" t="s">
        <v>8</v>
      </c>
      <c r="V5" s="6" t="s">
        <v>9</v>
      </c>
      <c r="W5" s="6" t="s">
        <v>10</v>
      </c>
      <c r="X5" s="6" t="s">
        <v>11</v>
      </c>
      <c r="Y5" s="7" t="s">
        <v>146</v>
      </c>
      <c r="Z5" s="6" t="s">
        <v>1</v>
      </c>
      <c r="AA5" s="6" t="s">
        <v>2</v>
      </c>
      <c r="AB5" s="6" t="s">
        <v>3</v>
      </c>
      <c r="AC5" s="6" t="s">
        <v>4</v>
      </c>
      <c r="AD5" s="6" t="s">
        <v>5</v>
      </c>
      <c r="AE5" s="6" t="s">
        <v>6</v>
      </c>
      <c r="AF5" s="6" t="s">
        <v>7</v>
      </c>
      <c r="AG5" s="6" t="s">
        <v>8</v>
      </c>
      <c r="AH5" s="6" t="s">
        <v>9</v>
      </c>
      <c r="AI5" s="6" t="s">
        <v>10</v>
      </c>
      <c r="AJ5" s="6" t="s">
        <v>11</v>
      </c>
      <c r="AK5" s="7" t="s">
        <v>12</v>
      </c>
      <c r="AL5" s="6" t="s">
        <v>1</v>
      </c>
      <c r="AM5" s="6" t="s">
        <v>2</v>
      </c>
      <c r="AN5" s="6" t="s">
        <v>3</v>
      </c>
      <c r="AO5" s="6" t="s">
        <v>4</v>
      </c>
      <c r="AP5" s="6" t="s">
        <v>5</v>
      </c>
      <c r="AQ5" s="6" t="s">
        <v>6</v>
      </c>
      <c r="AR5" s="6" t="s">
        <v>7</v>
      </c>
      <c r="AS5" s="6" t="s">
        <v>8</v>
      </c>
      <c r="AT5" s="6" t="s">
        <v>9</v>
      </c>
      <c r="AU5" s="6" t="s">
        <v>10</v>
      </c>
      <c r="AV5" s="6" t="s">
        <v>11</v>
      </c>
      <c r="AW5" s="8" t="s">
        <v>12</v>
      </c>
      <c r="AX5" s="5" t="s">
        <v>1</v>
      </c>
      <c r="AY5" s="6" t="s">
        <v>2</v>
      </c>
      <c r="AZ5" s="6" t="s">
        <v>3</v>
      </c>
      <c r="BA5" s="6" t="s">
        <v>4</v>
      </c>
      <c r="BB5" s="6" t="s">
        <v>5</v>
      </c>
      <c r="BC5" s="6" t="s">
        <v>6</v>
      </c>
      <c r="BD5" s="6" t="s">
        <v>7</v>
      </c>
      <c r="BE5" s="6" t="s">
        <v>8</v>
      </c>
      <c r="BF5" s="6" t="s">
        <v>9</v>
      </c>
      <c r="BG5" s="6" t="s">
        <v>10</v>
      </c>
      <c r="BH5" s="6" t="s">
        <v>11</v>
      </c>
      <c r="BI5" s="8" t="s">
        <v>12</v>
      </c>
      <c r="BJ5" s="6" t="s">
        <v>1</v>
      </c>
      <c r="BK5" s="6" t="s">
        <v>2</v>
      </c>
      <c r="BL5" s="6" t="s">
        <v>3</v>
      </c>
      <c r="BM5" s="6" t="s">
        <v>4</v>
      </c>
      <c r="BN5" s="6" t="s">
        <v>5</v>
      </c>
      <c r="BO5" s="6" t="s">
        <v>6</v>
      </c>
      <c r="BP5" s="6" t="s">
        <v>7</v>
      </c>
      <c r="BQ5" s="6" t="s">
        <v>8</v>
      </c>
      <c r="BR5" s="6" t="s">
        <v>9</v>
      </c>
      <c r="BS5" s="6" t="s">
        <v>10</v>
      </c>
      <c r="BT5" s="6" t="s">
        <v>11</v>
      </c>
      <c r="BU5" s="6" t="s">
        <v>12</v>
      </c>
      <c r="BV5" s="5" t="s">
        <v>1</v>
      </c>
      <c r="BW5" s="6" t="s">
        <v>2</v>
      </c>
      <c r="BX5" s="6" t="s">
        <v>3</v>
      </c>
      <c r="BY5" s="6" t="s">
        <v>4</v>
      </c>
      <c r="BZ5" s="6" t="s">
        <v>5</v>
      </c>
      <c r="CA5" s="6" t="s">
        <v>6</v>
      </c>
      <c r="CB5" s="6" t="s">
        <v>7</v>
      </c>
      <c r="CC5" s="6" t="s">
        <v>8</v>
      </c>
      <c r="CD5" s="6" t="s">
        <v>9</v>
      </c>
      <c r="CE5" s="6" t="s">
        <v>10</v>
      </c>
      <c r="CF5" s="6" t="s">
        <v>11</v>
      </c>
      <c r="CG5" s="6" t="s">
        <v>12</v>
      </c>
      <c r="CH5" s="5" t="s">
        <v>1</v>
      </c>
      <c r="CI5" s="6" t="s">
        <v>2</v>
      </c>
      <c r="CJ5" s="6" t="s">
        <v>3</v>
      </c>
      <c r="CK5" s="6" t="s">
        <v>4</v>
      </c>
      <c r="CL5" s="6" t="s">
        <v>5</v>
      </c>
      <c r="CM5" s="6" t="s">
        <v>6</v>
      </c>
      <c r="CN5" s="6" t="s">
        <v>7</v>
      </c>
      <c r="CO5" s="6" t="s">
        <v>8</v>
      </c>
      <c r="CP5" s="6" t="s">
        <v>9</v>
      </c>
      <c r="CQ5" s="6" t="s">
        <v>10</v>
      </c>
      <c r="CR5" s="6" t="s">
        <v>11</v>
      </c>
      <c r="CS5" s="8" t="s">
        <v>12</v>
      </c>
      <c r="CT5" s="6" t="s">
        <v>1</v>
      </c>
      <c r="CU5" s="6" t="s">
        <v>2</v>
      </c>
      <c r="CV5" s="6" t="s">
        <v>3</v>
      </c>
      <c r="CW5" s="6" t="s">
        <v>4</v>
      </c>
      <c r="CX5" s="6" t="s">
        <v>5</v>
      </c>
      <c r="CY5" s="6" t="s">
        <v>6</v>
      </c>
      <c r="CZ5" s="6" t="s">
        <v>7</v>
      </c>
      <c r="DA5" s="6" t="s">
        <v>8</v>
      </c>
      <c r="DB5" s="6" t="s">
        <v>9</v>
      </c>
      <c r="DC5" s="6" t="s">
        <v>10</v>
      </c>
      <c r="DD5" s="6" t="s">
        <v>11</v>
      </c>
      <c r="DE5" s="8" t="s">
        <v>12</v>
      </c>
      <c r="DF5" s="6" t="s">
        <v>1</v>
      </c>
      <c r="DG5" s="6" t="s">
        <v>2</v>
      </c>
      <c r="DH5" s="6" t="s">
        <v>3</v>
      </c>
      <c r="DI5" s="6" t="s">
        <v>4</v>
      </c>
      <c r="DJ5" s="6" t="s">
        <v>5</v>
      </c>
      <c r="DK5" s="6" t="s">
        <v>6</v>
      </c>
      <c r="DL5" s="6" t="s">
        <v>7</v>
      </c>
      <c r="DM5" s="6" t="s">
        <v>8</v>
      </c>
      <c r="DN5" s="6" t="s">
        <v>9</v>
      </c>
      <c r="DO5" s="6" t="s">
        <v>10</v>
      </c>
      <c r="DP5" s="6" t="s">
        <v>11</v>
      </c>
      <c r="DQ5" s="6" t="s">
        <v>12</v>
      </c>
      <c r="DR5" s="5" t="s">
        <v>1</v>
      </c>
      <c r="DS5" s="6" t="s">
        <v>2</v>
      </c>
      <c r="DT5" s="6" t="s">
        <v>3</v>
      </c>
      <c r="DU5" s="6" t="s">
        <v>4</v>
      </c>
      <c r="DV5" s="6" t="s">
        <v>5</v>
      </c>
      <c r="DW5" s="6" t="s">
        <v>6</v>
      </c>
      <c r="DX5" s="6" t="s">
        <v>7</v>
      </c>
      <c r="DY5" s="6" t="s">
        <v>8</v>
      </c>
      <c r="DZ5" s="6" t="s">
        <v>9</v>
      </c>
      <c r="EA5" s="6" t="s">
        <v>10</v>
      </c>
      <c r="EB5" s="6" t="s">
        <v>11</v>
      </c>
      <c r="EC5" s="6" t="s">
        <v>12</v>
      </c>
      <c r="ED5" s="65" t="s">
        <v>1</v>
      </c>
      <c r="EE5" s="66" t="s">
        <v>140</v>
      </c>
      <c r="EF5" s="66" t="s">
        <v>141</v>
      </c>
      <c r="EG5" s="66" t="s">
        <v>142</v>
      </c>
      <c r="EH5" s="97" t="s">
        <v>143</v>
      </c>
      <c r="EI5" s="95" t="s">
        <v>96</v>
      </c>
      <c r="EJ5" s="9" t="s">
        <v>97</v>
      </c>
    </row>
    <row r="6" spans="1:141" x14ac:dyDescent="0.2">
      <c r="A6" s="10"/>
      <c r="B6" s="11"/>
      <c r="L6" s="13"/>
      <c r="M6" s="13"/>
      <c r="N6" s="14"/>
      <c r="O6" s="13"/>
      <c r="P6" s="13"/>
      <c r="Q6" s="13"/>
      <c r="R6" s="13"/>
      <c r="S6" s="13"/>
      <c r="T6" s="13"/>
      <c r="U6" s="13"/>
      <c r="V6" s="13"/>
      <c r="W6" s="13"/>
      <c r="X6" s="13"/>
      <c r="Y6" s="15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5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4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5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4"/>
      <c r="BW6" s="13"/>
      <c r="CH6" s="11"/>
      <c r="CL6" s="13"/>
      <c r="CM6" s="13"/>
      <c r="CN6" s="13"/>
      <c r="CO6" s="13"/>
      <c r="CP6" s="13"/>
      <c r="CQ6" s="13"/>
      <c r="CR6" s="13"/>
      <c r="CS6" s="15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5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4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4"/>
      <c r="EE6" s="13"/>
      <c r="EF6" s="13"/>
      <c r="EG6" s="13"/>
      <c r="EH6" s="13"/>
      <c r="EI6" s="16"/>
      <c r="EJ6" s="94"/>
    </row>
    <row r="7" spans="1:141" x14ac:dyDescent="0.2">
      <c r="A7" s="17" t="s">
        <v>105</v>
      </c>
      <c r="B7" s="18">
        <f t="shared" ref="B7:AG7" si="0">SUM(B9+B14)</f>
        <v>128366.30000000002</v>
      </c>
      <c r="C7" s="19">
        <f t="shared" si="0"/>
        <v>130516.09999999999</v>
      </c>
      <c r="D7" s="19">
        <f t="shared" si="0"/>
        <v>124053.1</v>
      </c>
      <c r="E7" s="19">
        <f t="shared" si="0"/>
        <v>120889.7</v>
      </c>
      <c r="F7" s="19">
        <f t="shared" si="0"/>
        <v>123007.6</v>
      </c>
      <c r="G7" s="19">
        <f t="shared" si="0"/>
        <v>125004.6</v>
      </c>
      <c r="H7" s="19">
        <f t="shared" si="0"/>
        <v>130667.80000000002</v>
      </c>
      <c r="I7" s="19">
        <f t="shared" si="0"/>
        <v>133556</v>
      </c>
      <c r="J7" s="19">
        <f t="shared" si="0"/>
        <v>133788</v>
      </c>
      <c r="K7" s="19">
        <f t="shared" si="0"/>
        <v>136663.79999999999</v>
      </c>
      <c r="L7" s="19">
        <f t="shared" si="0"/>
        <v>128595.7</v>
      </c>
      <c r="M7" s="19">
        <f t="shared" si="0"/>
        <v>135596.70000000001</v>
      </c>
      <c r="N7" s="18">
        <f t="shared" si="0"/>
        <v>131504.70000000001</v>
      </c>
      <c r="O7" s="19">
        <f t="shared" si="0"/>
        <v>166144.20000000001</v>
      </c>
      <c r="P7" s="19">
        <f t="shared" si="0"/>
        <v>162268.79999999999</v>
      </c>
      <c r="Q7" s="19">
        <f t="shared" si="0"/>
        <v>137654.70000000001</v>
      </c>
      <c r="R7" s="19">
        <f t="shared" si="0"/>
        <v>140573</v>
      </c>
      <c r="S7" s="19">
        <f t="shared" si="0"/>
        <v>143421.29999999999</v>
      </c>
      <c r="T7" s="19">
        <f t="shared" si="0"/>
        <v>152628.70000000001</v>
      </c>
      <c r="U7" s="19">
        <f t="shared" si="0"/>
        <v>150312.5</v>
      </c>
      <c r="V7" s="19">
        <f t="shared" si="0"/>
        <v>152674</v>
      </c>
      <c r="W7" s="19">
        <f t="shared" si="0"/>
        <v>163749.37</v>
      </c>
      <c r="X7" s="19">
        <f t="shared" si="0"/>
        <v>168455.14</v>
      </c>
      <c r="Y7" s="20">
        <f t="shared" si="0"/>
        <v>158157.44</v>
      </c>
      <c r="Z7" s="19">
        <f t="shared" si="0"/>
        <v>158066.65</v>
      </c>
      <c r="AA7" s="19">
        <f t="shared" si="0"/>
        <v>158549.29999999999</v>
      </c>
      <c r="AB7" s="19">
        <f t="shared" si="0"/>
        <v>161753.70000000001</v>
      </c>
      <c r="AC7" s="19">
        <f t="shared" si="0"/>
        <v>157445.95000000001</v>
      </c>
      <c r="AD7" s="19">
        <f t="shared" si="0"/>
        <v>161228.1</v>
      </c>
      <c r="AE7" s="19">
        <f t="shared" si="0"/>
        <v>168426.6</v>
      </c>
      <c r="AF7" s="19">
        <f t="shared" si="0"/>
        <v>171531</v>
      </c>
      <c r="AG7" s="19">
        <f t="shared" si="0"/>
        <v>173041.90000000002</v>
      </c>
      <c r="AH7" s="19">
        <f t="shared" ref="AH7:BM7" si="1">SUM(AH9+AH14)</f>
        <v>186001.3</v>
      </c>
      <c r="AI7" s="19">
        <f t="shared" si="1"/>
        <v>202079.05</v>
      </c>
      <c r="AJ7" s="19">
        <f t="shared" si="1"/>
        <v>190930</v>
      </c>
      <c r="AK7" s="20">
        <f t="shared" si="1"/>
        <v>197414</v>
      </c>
      <c r="AL7" s="19">
        <f t="shared" si="1"/>
        <v>194919</v>
      </c>
      <c r="AM7" s="19">
        <f t="shared" si="1"/>
        <v>191381</v>
      </c>
      <c r="AN7" s="19">
        <f t="shared" si="1"/>
        <v>205150</v>
      </c>
      <c r="AO7" s="19">
        <f t="shared" si="1"/>
        <v>201400</v>
      </c>
      <c r="AP7" s="19">
        <f t="shared" si="1"/>
        <v>210444</v>
      </c>
      <c r="AQ7" s="19">
        <f t="shared" si="1"/>
        <v>211140</v>
      </c>
      <c r="AR7" s="19">
        <f t="shared" si="1"/>
        <v>212858</v>
      </c>
      <c r="AS7" s="19">
        <f t="shared" si="1"/>
        <v>221064</v>
      </c>
      <c r="AT7" s="19">
        <f t="shared" si="1"/>
        <v>225816</v>
      </c>
      <c r="AU7" s="19">
        <f t="shared" si="1"/>
        <v>222958</v>
      </c>
      <c r="AV7" s="19">
        <f t="shared" si="1"/>
        <v>228683</v>
      </c>
      <c r="AW7" s="19">
        <f t="shared" si="1"/>
        <v>229763</v>
      </c>
      <c r="AX7" s="18">
        <f t="shared" si="1"/>
        <v>227496</v>
      </c>
      <c r="AY7" s="19">
        <f t="shared" si="1"/>
        <v>235519</v>
      </c>
      <c r="AZ7" s="19">
        <f t="shared" si="1"/>
        <v>235929</v>
      </c>
      <c r="BA7" s="19">
        <f t="shared" si="1"/>
        <v>226045</v>
      </c>
      <c r="BB7" s="19">
        <f t="shared" si="1"/>
        <v>217293</v>
      </c>
      <c r="BC7" s="19">
        <f t="shared" si="1"/>
        <v>227395</v>
      </c>
      <c r="BD7" s="19">
        <f t="shared" si="1"/>
        <v>226211</v>
      </c>
      <c r="BE7" s="19">
        <f t="shared" si="1"/>
        <v>232029</v>
      </c>
      <c r="BF7" s="19">
        <f t="shared" si="1"/>
        <v>221370</v>
      </c>
      <c r="BG7" s="19">
        <f t="shared" si="1"/>
        <v>226496</v>
      </c>
      <c r="BH7" s="19">
        <f t="shared" si="1"/>
        <v>213929</v>
      </c>
      <c r="BI7" s="20">
        <f t="shared" si="1"/>
        <v>210108</v>
      </c>
      <c r="BJ7" s="19">
        <f t="shared" si="1"/>
        <v>214253</v>
      </c>
      <c r="BK7" s="19">
        <f t="shared" si="1"/>
        <v>212940</v>
      </c>
      <c r="BL7" s="19">
        <f t="shared" si="1"/>
        <v>205546</v>
      </c>
      <c r="BM7" s="19">
        <f t="shared" si="1"/>
        <v>211529</v>
      </c>
      <c r="BN7" s="19">
        <f t="shared" ref="BN7:CS7" si="2">SUM(BN9+BN14)</f>
        <v>211380</v>
      </c>
      <c r="BO7" s="19">
        <f t="shared" si="2"/>
        <v>214456</v>
      </c>
      <c r="BP7" s="19">
        <f t="shared" si="2"/>
        <v>219165</v>
      </c>
      <c r="BQ7" s="19">
        <f t="shared" si="2"/>
        <v>205899</v>
      </c>
      <c r="BR7" s="19">
        <f t="shared" si="2"/>
        <v>207405</v>
      </c>
      <c r="BS7" s="19">
        <f t="shared" si="2"/>
        <v>209696</v>
      </c>
      <c r="BT7" s="19">
        <f t="shared" si="2"/>
        <v>207781</v>
      </c>
      <c r="BU7" s="19">
        <f t="shared" si="2"/>
        <v>206060</v>
      </c>
      <c r="BV7" s="18">
        <f t="shared" si="2"/>
        <v>209005</v>
      </c>
      <c r="BW7" s="19">
        <f t="shared" si="2"/>
        <v>203364</v>
      </c>
      <c r="BX7" s="19">
        <f t="shared" si="2"/>
        <v>202377</v>
      </c>
      <c r="BY7" s="19">
        <f t="shared" si="2"/>
        <v>215813</v>
      </c>
      <c r="BZ7" s="19">
        <f t="shared" si="2"/>
        <v>209463</v>
      </c>
      <c r="CA7" s="19">
        <f t="shared" si="2"/>
        <v>220701</v>
      </c>
      <c r="CB7" s="19">
        <f t="shared" si="2"/>
        <v>235932</v>
      </c>
      <c r="CC7" s="19">
        <f t="shared" si="2"/>
        <v>226095</v>
      </c>
      <c r="CD7" s="19">
        <f t="shared" si="2"/>
        <v>237225</v>
      </c>
      <c r="CE7" s="19">
        <f t="shared" si="2"/>
        <v>226240</v>
      </c>
      <c r="CF7" s="19">
        <f t="shared" si="2"/>
        <v>256557</v>
      </c>
      <c r="CG7" s="19">
        <f t="shared" si="2"/>
        <v>241886</v>
      </c>
      <c r="CH7" s="18">
        <f t="shared" si="2"/>
        <v>224191</v>
      </c>
      <c r="CI7" s="19">
        <f t="shared" si="2"/>
        <v>217182</v>
      </c>
      <c r="CJ7" s="19">
        <f t="shared" si="2"/>
        <v>214269</v>
      </c>
      <c r="CK7" s="19">
        <f t="shared" si="2"/>
        <v>217518</v>
      </c>
      <c r="CL7" s="19">
        <f t="shared" si="2"/>
        <v>214332</v>
      </c>
      <c r="CM7" s="19">
        <f t="shared" si="2"/>
        <v>217151</v>
      </c>
      <c r="CN7" s="19">
        <f t="shared" si="2"/>
        <v>224052</v>
      </c>
      <c r="CO7" s="19">
        <f t="shared" si="2"/>
        <v>217492</v>
      </c>
      <c r="CP7" s="19">
        <f t="shared" si="2"/>
        <v>228214</v>
      </c>
      <c r="CQ7" s="19">
        <f t="shared" si="2"/>
        <v>240477</v>
      </c>
      <c r="CR7" s="19">
        <f t="shared" si="2"/>
        <v>236629</v>
      </c>
      <c r="CS7" s="20">
        <f t="shared" si="2"/>
        <v>258248</v>
      </c>
      <c r="CT7" s="19">
        <f t="shared" ref="CT7:DQ7" si="3">SUM(CT9+CT14)</f>
        <v>243441.88283999998</v>
      </c>
      <c r="CU7" s="19">
        <f t="shared" si="3"/>
        <v>251458</v>
      </c>
      <c r="CV7" s="19">
        <f t="shared" si="3"/>
        <v>258297</v>
      </c>
      <c r="CW7" s="19">
        <f t="shared" si="3"/>
        <v>263108</v>
      </c>
      <c r="CX7" s="19">
        <f t="shared" si="3"/>
        <v>252131</v>
      </c>
      <c r="CY7" s="19">
        <f t="shared" si="3"/>
        <v>265400</v>
      </c>
      <c r="CZ7" s="19">
        <f t="shared" si="3"/>
        <v>274505</v>
      </c>
      <c r="DA7" s="19">
        <f t="shared" si="3"/>
        <v>273461</v>
      </c>
      <c r="DB7" s="19">
        <f t="shared" si="3"/>
        <v>276637</v>
      </c>
      <c r="DC7" s="19">
        <f t="shared" si="3"/>
        <v>268016</v>
      </c>
      <c r="DD7" s="19">
        <f t="shared" si="3"/>
        <v>288602</v>
      </c>
      <c r="DE7" s="20">
        <f t="shared" si="3"/>
        <v>305301</v>
      </c>
      <c r="DF7" s="19">
        <f t="shared" si="3"/>
        <v>293530</v>
      </c>
      <c r="DG7" s="19">
        <f t="shared" si="3"/>
        <v>296204</v>
      </c>
      <c r="DH7" s="19">
        <f t="shared" si="3"/>
        <v>295499</v>
      </c>
      <c r="DI7" s="19">
        <f t="shared" si="3"/>
        <v>297415</v>
      </c>
      <c r="DJ7" s="19">
        <f t="shared" si="3"/>
        <v>289201</v>
      </c>
      <c r="DK7" s="19">
        <f t="shared" si="3"/>
        <v>288540</v>
      </c>
      <c r="DL7" s="19">
        <f t="shared" si="3"/>
        <v>286079</v>
      </c>
      <c r="DM7" s="19">
        <f t="shared" si="3"/>
        <v>296979</v>
      </c>
      <c r="DN7" s="19">
        <f t="shared" si="3"/>
        <v>314746</v>
      </c>
      <c r="DO7" s="19">
        <f t="shared" si="3"/>
        <v>303350</v>
      </c>
      <c r="DP7" s="19">
        <f t="shared" si="3"/>
        <v>315037</v>
      </c>
      <c r="DQ7" s="19">
        <f t="shared" si="3"/>
        <v>338763</v>
      </c>
      <c r="DR7" s="18">
        <f t="shared" ref="DR7:EH7" si="4">SUM(DR9,DR14)</f>
        <v>344897</v>
      </c>
      <c r="DS7" s="19">
        <f t="shared" si="4"/>
        <v>362758</v>
      </c>
      <c r="DT7" s="19">
        <f t="shared" si="4"/>
        <v>367573</v>
      </c>
      <c r="DU7" s="19">
        <f t="shared" si="4"/>
        <v>363091</v>
      </c>
      <c r="DV7" s="19">
        <f t="shared" si="4"/>
        <v>347877</v>
      </c>
      <c r="DW7" s="19">
        <f t="shared" si="4"/>
        <v>345346</v>
      </c>
      <c r="DX7" s="19">
        <f t="shared" si="4"/>
        <v>350202</v>
      </c>
      <c r="DY7" s="19">
        <f t="shared" si="4"/>
        <v>355385</v>
      </c>
      <c r="DZ7" s="19">
        <f t="shared" si="4"/>
        <v>350735</v>
      </c>
      <c r="EA7" s="19">
        <f t="shared" si="4"/>
        <v>348679</v>
      </c>
      <c r="EB7" s="19">
        <f t="shared" si="4"/>
        <v>361885</v>
      </c>
      <c r="EC7" s="19">
        <f t="shared" si="4"/>
        <v>395016</v>
      </c>
      <c r="ED7" s="18">
        <f t="shared" si="4"/>
        <v>429913</v>
      </c>
      <c r="EE7" s="19">
        <f t="shared" si="4"/>
        <v>419866</v>
      </c>
      <c r="EF7" s="19">
        <f t="shared" si="4"/>
        <v>497044</v>
      </c>
      <c r="EG7" s="19">
        <f t="shared" si="4"/>
        <v>411125</v>
      </c>
      <c r="EH7" s="19">
        <f t="shared" si="4"/>
        <v>413123</v>
      </c>
      <c r="EI7" s="21">
        <f>((EH7/EG7)-1)*100</f>
        <v>0.48598358163576272</v>
      </c>
      <c r="EJ7" s="34">
        <f>((EH7/DV7)-1)*100</f>
        <v>18.755479666663799</v>
      </c>
    </row>
    <row r="8" spans="1:141" x14ac:dyDescent="0.2">
      <c r="A8" s="22"/>
      <c r="B8" s="44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4"/>
      <c r="O8" s="45"/>
      <c r="P8" s="45"/>
      <c r="Q8" s="45"/>
      <c r="R8" s="45"/>
      <c r="S8" s="45"/>
      <c r="T8" s="45"/>
      <c r="U8" s="45"/>
      <c r="V8" s="45"/>
      <c r="W8" s="45"/>
      <c r="X8" s="45"/>
      <c r="Y8" s="46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6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4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6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4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4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6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6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4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4"/>
      <c r="EE8" s="45"/>
      <c r="EF8" s="45"/>
      <c r="EG8" s="45"/>
      <c r="EH8" s="45"/>
      <c r="EI8" s="21"/>
      <c r="EJ8" s="34"/>
    </row>
    <row r="9" spans="1:141" x14ac:dyDescent="0.2">
      <c r="A9" s="17" t="s">
        <v>81</v>
      </c>
      <c r="B9" s="18">
        <f t="shared" ref="B9:AG9" si="5">SUM(B10:B12)</f>
        <v>58597.700000000004</v>
      </c>
      <c r="C9" s="19">
        <f t="shared" si="5"/>
        <v>59773.899999999994</v>
      </c>
      <c r="D9" s="19">
        <f t="shared" si="5"/>
        <v>54455.500000000007</v>
      </c>
      <c r="E9" s="19">
        <f t="shared" si="5"/>
        <v>52252.2</v>
      </c>
      <c r="F9" s="19">
        <f t="shared" si="5"/>
        <v>53737.4</v>
      </c>
      <c r="G9" s="19">
        <f t="shared" si="5"/>
        <v>55090.100000000006</v>
      </c>
      <c r="H9" s="19">
        <f t="shared" si="5"/>
        <v>60895.700000000004</v>
      </c>
      <c r="I9" s="19">
        <f t="shared" si="5"/>
        <v>60356.6</v>
      </c>
      <c r="J9" s="19">
        <f t="shared" si="5"/>
        <v>61590.1</v>
      </c>
      <c r="K9" s="19">
        <f t="shared" si="5"/>
        <v>61082</v>
      </c>
      <c r="L9" s="19">
        <f t="shared" si="5"/>
        <v>55452.3</v>
      </c>
      <c r="M9" s="19">
        <f t="shared" si="5"/>
        <v>59939.199999999997</v>
      </c>
      <c r="N9" s="18">
        <f t="shared" si="5"/>
        <v>59200.9</v>
      </c>
      <c r="O9" s="19">
        <f t="shared" si="5"/>
        <v>95891.099999999991</v>
      </c>
      <c r="P9" s="19">
        <f t="shared" si="5"/>
        <v>75503.3</v>
      </c>
      <c r="Q9" s="19">
        <f t="shared" si="5"/>
        <v>70436.400000000009</v>
      </c>
      <c r="R9" s="19">
        <f t="shared" si="5"/>
        <v>71458.2</v>
      </c>
      <c r="S9" s="19">
        <f t="shared" si="5"/>
        <v>77709.2</v>
      </c>
      <c r="T9" s="19">
        <f t="shared" si="5"/>
        <v>82563.100000000006</v>
      </c>
      <c r="U9" s="19">
        <f t="shared" si="5"/>
        <v>79361.5</v>
      </c>
      <c r="V9" s="19">
        <f t="shared" si="5"/>
        <v>81990</v>
      </c>
      <c r="W9" s="19">
        <f t="shared" si="5"/>
        <v>81694.930000000008</v>
      </c>
      <c r="X9" s="19">
        <f t="shared" si="5"/>
        <v>85375.2</v>
      </c>
      <c r="Y9" s="20">
        <f t="shared" si="5"/>
        <v>88491.7</v>
      </c>
      <c r="Z9" s="19">
        <f t="shared" si="5"/>
        <v>83771.56</v>
      </c>
      <c r="AA9" s="19">
        <f t="shared" si="5"/>
        <v>87582.1</v>
      </c>
      <c r="AB9" s="19">
        <f t="shared" si="5"/>
        <v>90414.399999999994</v>
      </c>
      <c r="AC9" s="19">
        <f t="shared" si="5"/>
        <v>86172.2</v>
      </c>
      <c r="AD9" s="19">
        <f t="shared" si="5"/>
        <v>89104.200000000012</v>
      </c>
      <c r="AE9" s="19">
        <f t="shared" si="5"/>
        <v>94043</v>
      </c>
      <c r="AF9" s="19">
        <f t="shared" si="5"/>
        <v>95664.250000000015</v>
      </c>
      <c r="AG9" s="19">
        <f t="shared" si="5"/>
        <v>97096.3</v>
      </c>
      <c r="AH9" s="19">
        <f t="shared" ref="AH9:BM9" si="6">SUM(AH10:AH12)</f>
        <v>112608</v>
      </c>
      <c r="AI9" s="19">
        <f t="shared" si="6"/>
        <v>123866.25</v>
      </c>
      <c r="AJ9" s="19">
        <f t="shared" si="6"/>
        <v>119082</v>
      </c>
      <c r="AK9" s="20">
        <f t="shared" si="6"/>
        <v>123566</v>
      </c>
      <c r="AL9" s="19">
        <f t="shared" si="6"/>
        <v>123734</v>
      </c>
      <c r="AM9" s="19">
        <f t="shared" si="6"/>
        <v>118334</v>
      </c>
      <c r="AN9" s="19">
        <f t="shared" si="6"/>
        <v>134545</v>
      </c>
      <c r="AO9" s="19">
        <f t="shared" si="6"/>
        <v>138224</v>
      </c>
      <c r="AP9" s="19">
        <f t="shared" si="6"/>
        <v>148027</v>
      </c>
      <c r="AQ9" s="19">
        <f t="shared" si="6"/>
        <v>150413</v>
      </c>
      <c r="AR9" s="19">
        <f t="shared" si="6"/>
        <v>154324</v>
      </c>
      <c r="AS9" s="19">
        <f t="shared" si="6"/>
        <v>159038</v>
      </c>
      <c r="AT9" s="19">
        <f t="shared" si="6"/>
        <v>162085</v>
      </c>
      <c r="AU9" s="19">
        <f t="shared" si="6"/>
        <v>156553</v>
      </c>
      <c r="AV9" s="19">
        <f t="shared" si="6"/>
        <v>159384</v>
      </c>
      <c r="AW9" s="19">
        <f t="shared" si="6"/>
        <v>162909</v>
      </c>
      <c r="AX9" s="18">
        <f t="shared" si="6"/>
        <v>161006</v>
      </c>
      <c r="AY9" s="19">
        <f t="shared" si="6"/>
        <v>161887</v>
      </c>
      <c r="AZ9" s="19">
        <f t="shared" si="6"/>
        <v>163613</v>
      </c>
      <c r="BA9" s="19">
        <f t="shared" si="6"/>
        <v>147624</v>
      </c>
      <c r="BB9" s="19">
        <f t="shared" si="6"/>
        <v>141834</v>
      </c>
      <c r="BC9" s="19">
        <f t="shared" si="6"/>
        <v>151056</v>
      </c>
      <c r="BD9" s="19">
        <f t="shared" si="6"/>
        <v>149218</v>
      </c>
      <c r="BE9" s="19">
        <f t="shared" si="6"/>
        <v>162552</v>
      </c>
      <c r="BF9" s="19">
        <f t="shared" si="6"/>
        <v>151134</v>
      </c>
      <c r="BG9" s="19">
        <f t="shared" si="6"/>
        <v>157737</v>
      </c>
      <c r="BH9" s="19">
        <f t="shared" si="6"/>
        <v>145357</v>
      </c>
      <c r="BI9" s="20">
        <f t="shared" si="6"/>
        <v>141903</v>
      </c>
      <c r="BJ9" s="19">
        <f t="shared" si="6"/>
        <v>143610</v>
      </c>
      <c r="BK9" s="19">
        <f t="shared" si="6"/>
        <v>147082</v>
      </c>
      <c r="BL9" s="19">
        <f t="shared" si="6"/>
        <v>137266</v>
      </c>
      <c r="BM9" s="19">
        <f t="shared" si="6"/>
        <v>140475</v>
      </c>
      <c r="BN9" s="19">
        <f t="shared" ref="BN9:CS9" si="7">SUM(BN10:BN12)</f>
        <v>138588</v>
      </c>
      <c r="BO9" s="19">
        <f t="shared" si="7"/>
        <v>141045</v>
      </c>
      <c r="BP9" s="19">
        <f t="shared" si="7"/>
        <v>147246</v>
      </c>
      <c r="BQ9" s="19">
        <f t="shared" si="7"/>
        <v>134328</v>
      </c>
      <c r="BR9" s="19">
        <f t="shared" si="7"/>
        <v>136418</v>
      </c>
      <c r="BS9" s="19">
        <f t="shared" si="7"/>
        <v>142115</v>
      </c>
      <c r="BT9" s="19">
        <f t="shared" si="7"/>
        <v>134791</v>
      </c>
      <c r="BU9" s="19">
        <f t="shared" si="7"/>
        <v>136675</v>
      </c>
      <c r="BV9" s="18">
        <f t="shared" si="7"/>
        <v>140134</v>
      </c>
      <c r="BW9" s="19">
        <f t="shared" si="7"/>
        <v>137757</v>
      </c>
      <c r="BX9" s="19">
        <f t="shared" si="7"/>
        <v>144327</v>
      </c>
      <c r="BY9" s="19">
        <f t="shared" si="7"/>
        <v>157307</v>
      </c>
      <c r="BZ9" s="19">
        <f t="shared" si="7"/>
        <v>151283</v>
      </c>
      <c r="CA9" s="19">
        <f t="shared" si="7"/>
        <v>155146</v>
      </c>
      <c r="CB9" s="19">
        <f t="shared" si="7"/>
        <v>171430</v>
      </c>
      <c r="CC9" s="19">
        <f t="shared" si="7"/>
        <v>158519</v>
      </c>
      <c r="CD9" s="19">
        <f t="shared" si="7"/>
        <v>168658</v>
      </c>
      <c r="CE9" s="19">
        <f t="shared" si="7"/>
        <v>156315</v>
      </c>
      <c r="CF9" s="19">
        <f t="shared" si="7"/>
        <v>183624</v>
      </c>
      <c r="CG9" s="19">
        <f t="shared" si="7"/>
        <v>165490</v>
      </c>
      <c r="CH9" s="18">
        <f t="shared" si="7"/>
        <v>147791</v>
      </c>
      <c r="CI9" s="19">
        <f t="shared" si="7"/>
        <v>142506</v>
      </c>
      <c r="CJ9" s="19">
        <f t="shared" si="7"/>
        <v>139393</v>
      </c>
      <c r="CK9" s="19">
        <f t="shared" si="7"/>
        <v>142400</v>
      </c>
      <c r="CL9" s="19">
        <f t="shared" si="7"/>
        <v>140560</v>
      </c>
      <c r="CM9" s="19">
        <f t="shared" si="7"/>
        <v>142599</v>
      </c>
      <c r="CN9" s="19">
        <f t="shared" si="7"/>
        <v>143409</v>
      </c>
      <c r="CO9" s="19">
        <f t="shared" si="7"/>
        <v>145538</v>
      </c>
      <c r="CP9" s="19">
        <f t="shared" si="7"/>
        <v>153205</v>
      </c>
      <c r="CQ9" s="19">
        <f t="shared" si="7"/>
        <v>162234</v>
      </c>
      <c r="CR9" s="19">
        <f t="shared" si="7"/>
        <v>164608</v>
      </c>
      <c r="CS9" s="20">
        <f t="shared" si="7"/>
        <v>185826</v>
      </c>
      <c r="CT9" s="19">
        <f t="shared" ref="CT9:DY9" si="8">SUM(CT10:CT12)</f>
        <v>169575.46798999998</v>
      </c>
      <c r="CU9" s="19">
        <f t="shared" si="8"/>
        <v>178471</v>
      </c>
      <c r="CV9" s="19">
        <f t="shared" si="8"/>
        <v>185646</v>
      </c>
      <c r="CW9" s="19">
        <f t="shared" si="8"/>
        <v>188906</v>
      </c>
      <c r="CX9" s="19">
        <f t="shared" si="8"/>
        <v>181385</v>
      </c>
      <c r="CY9" s="19">
        <f t="shared" si="8"/>
        <v>189394</v>
      </c>
      <c r="CZ9" s="19">
        <f t="shared" si="8"/>
        <v>200442</v>
      </c>
      <c r="DA9" s="19">
        <f t="shared" si="8"/>
        <v>199733</v>
      </c>
      <c r="DB9" s="19">
        <f t="shared" si="8"/>
        <v>201000</v>
      </c>
      <c r="DC9" s="19">
        <f t="shared" si="8"/>
        <v>195237</v>
      </c>
      <c r="DD9" s="19">
        <f t="shared" si="8"/>
        <v>212438</v>
      </c>
      <c r="DE9" s="20">
        <f t="shared" si="8"/>
        <v>230953</v>
      </c>
      <c r="DF9" s="19">
        <f t="shared" si="8"/>
        <v>212809</v>
      </c>
      <c r="DG9" s="19">
        <f t="shared" si="8"/>
        <v>224889</v>
      </c>
      <c r="DH9" s="19">
        <f t="shared" si="8"/>
        <v>223013</v>
      </c>
      <c r="DI9" s="19">
        <f t="shared" si="8"/>
        <v>222715</v>
      </c>
      <c r="DJ9" s="19">
        <f t="shared" si="8"/>
        <v>214994</v>
      </c>
      <c r="DK9" s="19">
        <f t="shared" si="8"/>
        <v>209380</v>
      </c>
      <c r="DL9" s="19">
        <f t="shared" si="8"/>
        <v>208245</v>
      </c>
      <c r="DM9" s="19">
        <f t="shared" si="8"/>
        <v>215921</v>
      </c>
      <c r="DN9" s="19">
        <f t="shared" si="8"/>
        <v>241994</v>
      </c>
      <c r="DO9" s="19">
        <f t="shared" si="8"/>
        <v>224657</v>
      </c>
      <c r="DP9" s="19">
        <f t="shared" si="8"/>
        <v>240102</v>
      </c>
      <c r="DQ9" s="19">
        <f t="shared" si="8"/>
        <v>257610</v>
      </c>
      <c r="DR9" s="18">
        <f t="shared" si="8"/>
        <v>267320</v>
      </c>
      <c r="DS9" s="19">
        <f t="shared" si="8"/>
        <v>286007</v>
      </c>
      <c r="DT9" s="19">
        <f t="shared" si="8"/>
        <v>280300</v>
      </c>
      <c r="DU9" s="19">
        <f t="shared" si="8"/>
        <v>284714</v>
      </c>
      <c r="DV9" s="19">
        <f t="shared" si="8"/>
        <v>269381</v>
      </c>
      <c r="DW9" s="19">
        <f t="shared" si="8"/>
        <v>268379</v>
      </c>
      <c r="DX9" s="19">
        <f t="shared" si="8"/>
        <v>277096</v>
      </c>
      <c r="DY9" s="19">
        <f t="shared" si="8"/>
        <v>279142</v>
      </c>
      <c r="DZ9" s="19">
        <f t="shared" ref="DZ9:EH9" si="9">SUM(DZ10:DZ12)</f>
        <v>271535</v>
      </c>
      <c r="EA9" s="19">
        <f t="shared" si="9"/>
        <v>276267</v>
      </c>
      <c r="EB9" s="19">
        <f t="shared" si="9"/>
        <v>295432</v>
      </c>
      <c r="EC9" s="19">
        <f t="shared" si="9"/>
        <v>330124</v>
      </c>
      <c r="ED9" s="18">
        <f t="shared" si="9"/>
        <v>366165</v>
      </c>
      <c r="EE9" s="19">
        <f t="shared" si="9"/>
        <v>356970</v>
      </c>
      <c r="EF9" s="19">
        <f t="shared" si="9"/>
        <v>362233</v>
      </c>
      <c r="EG9" s="19">
        <f t="shared" si="9"/>
        <v>346061</v>
      </c>
      <c r="EH9" s="19">
        <f t="shared" si="9"/>
        <v>339855</v>
      </c>
      <c r="EI9" s="21">
        <f>((EH9/EG9)-1)*100</f>
        <v>-1.7933254541829369</v>
      </c>
      <c r="EJ9" s="34">
        <f>((EH9/DV9)-1)*100</f>
        <v>26.161459048707968</v>
      </c>
    </row>
    <row r="10" spans="1:141" x14ac:dyDescent="0.2">
      <c r="A10" s="23" t="s">
        <v>218</v>
      </c>
      <c r="B10" s="24">
        <v>33659.800000000003</v>
      </c>
      <c r="C10" s="25">
        <v>34737.1</v>
      </c>
      <c r="D10" s="25">
        <v>31014.7</v>
      </c>
      <c r="E10" s="25">
        <v>29453.599999999999</v>
      </c>
      <c r="F10" s="25">
        <v>29340.5</v>
      </c>
      <c r="G10" s="25">
        <v>30367</v>
      </c>
      <c r="H10" s="25">
        <v>37653.300000000003</v>
      </c>
      <c r="I10" s="25">
        <v>35892.699999999997</v>
      </c>
      <c r="J10" s="25">
        <v>39205.599999999999</v>
      </c>
      <c r="K10" s="25">
        <v>37507.599999999999</v>
      </c>
      <c r="L10" s="25">
        <v>34197.5</v>
      </c>
      <c r="M10" s="25">
        <v>36121.599999999999</v>
      </c>
      <c r="N10" s="24">
        <v>36933.199999999997</v>
      </c>
      <c r="O10" s="25">
        <v>38113.699999999997</v>
      </c>
      <c r="P10" s="25">
        <v>37588.300000000003</v>
      </c>
      <c r="Q10" s="25">
        <v>41855.800000000003</v>
      </c>
      <c r="R10" s="25">
        <v>42607.3</v>
      </c>
      <c r="S10" s="25">
        <v>49972.6</v>
      </c>
      <c r="T10" s="25">
        <v>56242.5</v>
      </c>
      <c r="U10" s="25">
        <v>54226.1</v>
      </c>
      <c r="V10" s="25">
        <v>58078</v>
      </c>
      <c r="W10" s="25">
        <v>55796.94</v>
      </c>
      <c r="X10" s="25">
        <v>58908.62</v>
      </c>
      <c r="Y10" s="27">
        <v>62832.4</v>
      </c>
      <c r="Z10" s="25">
        <v>59366.93</v>
      </c>
      <c r="AA10" s="25">
        <v>64198.8</v>
      </c>
      <c r="AB10" s="25">
        <v>64917.4</v>
      </c>
      <c r="AC10" s="25">
        <v>61742.83</v>
      </c>
      <c r="AD10" s="25">
        <v>64568.4</v>
      </c>
      <c r="AE10" s="25">
        <v>70092.600000000006</v>
      </c>
      <c r="AF10" s="25">
        <v>71275.19</v>
      </c>
      <c r="AG10" s="25">
        <v>71562.100000000006</v>
      </c>
      <c r="AH10" s="25">
        <v>82169.5</v>
      </c>
      <c r="AI10" s="25">
        <v>84150.16</v>
      </c>
      <c r="AJ10" s="25">
        <v>80424</v>
      </c>
      <c r="AK10" s="27">
        <v>82794</v>
      </c>
      <c r="AL10" s="25">
        <v>78005</v>
      </c>
      <c r="AM10" s="25">
        <v>73840</v>
      </c>
      <c r="AN10" s="25">
        <v>82196</v>
      </c>
      <c r="AO10" s="25">
        <v>81403</v>
      </c>
      <c r="AP10" s="25">
        <v>85748</v>
      </c>
      <c r="AQ10" s="25">
        <v>85604</v>
      </c>
      <c r="AR10" s="25">
        <v>89093</v>
      </c>
      <c r="AS10" s="25">
        <v>89938</v>
      </c>
      <c r="AT10" s="25">
        <v>91244</v>
      </c>
      <c r="AU10" s="25">
        <v>87352</v>
      </c>
      <c r="AV10" s="25">
        <v>90049</v>
      </c>
      <c r="AW10" s="25">
        <v>87666</v>
      </c>
      <c r="AX10" s="24">
        <v>90213</v>
      </c>
      <c r="AY10" s="25">
        <v>89157</v>
      </c>
      <c r="AZ10" s="25">
        <v>90138</v>
      </c>
      <c r="BA10" s="25">
        <v>90929</v>
      </c>
      <c r="BB10" s="25">
        <v>92526</v>
      </c>
      <c r="BC10" s="25">
        <v>99042</v>
      </c>
      <c r="BD10" s="25">
        <v>94723</v>
      </c>
      <c r="BE10" s="25">
        <v>101738</v>
      </c>
      <c r="BF10" s="25">
        <v>90816</v>
      </c>
      <c r="BG10" s="25">
        <v>101345</v>
      </c>
      <c r="BH10" s="25">
        <v>90476</v>
      </c>
      <c r="BI10" s="27">
        <v>81688</v>
      </c>
      <c r="BJ10" s="25">
        <v>74482</v>
      </c>
      <c r="BK10" s="25">
        <v>82611</v>
      </c>
      <c r="BL10" s="25">
        <v>85792</v>
      </c>
      <c r="BM10" s="25">
        <v>88174</v>
      </c>
      <c r="BN10" s="25">
        <v>86843</v>
      </c>
      <c r="BO10" s="25">
        <v>89122</v>
      </c>
      <c r="BP10" s="25">
        <v>92499</v>
      </c>
      <c r="BQ10" s="25">
        <v>78039</v>
      </c>
      <c r="BR10" s="25">
        <v>79607</v>
      </c>
      <c r="BS10" s="25">
        <v>83682</v>
      </c>
      <c r="BT10" s="25">
        <v>72316</v>
      </c>
      <c r="BU10" s="25">
        <v>71236</v>
      </c>
      <c r="BV10" s="24">
        <v>73940</v>
      </c>
      <c r="BW10" s="25">
        <v>69951</v>
      </c>
      <c r="BX10" s="25">
        <v>75471</v>
      </c>
      <c r="BY10" s="25">
        <v>84313</v>
      </c>
      <c r="BZ10" s="25">
        <v>78166</v>
      </c>
      <c r="CA10" s="25">
        <v>80351</v>
      </c>
      <c r="CB10" s="25">
        <v>91818</v>
      </c>
      <c r="CC10" s="25">
        <v>79766</v>
      </c>
      <c r="CD10" s="25">
        <v>86665</v>
      </c>
      <c r="CE10" s="25">
        <v>74303</v>
      </c>
      <c r="CF10" s="25">
        <v>101036</v>
      </c>
      <c r="CG10" s="25">
        <v>81997</v>
      </c>
      <c r="CH10" s="24">
        <v>65281</v>
      </c>
      <c r="CI10" s="25">
        <v>62887</v>
      </c>
      <c r="CJ10" s="25">
        <v>57277</v>
      </c>
      <c r="CK10" s="25">
        <v>61537</v>
      </c>
      <c r="CL10" s="25">
        <v>60134</v>
      </c>
      <c r="CM10" s="25">
        <v>63570</v>
      </c>
      <c r="CN10" s="25">
        <v>60154</v>
      </c>
      <c r="CO10" s="25">
        <v>62728</v>
      </c>
      <c r="CP10" s="25">
        <v>69677</v>
      </c>
      <c r="CQ10" s="25">
        <v>77540</v>
      </c>
      <c r="CR10" s="25">
        <v>75637</v>
      </c>
      <c r="CS10" s="27">
        <v>90645</v>
      </c>
      <c r="CT10" s="25">
        <v>74804.63158999999</v>
      </c>
      <c r="CU10" s="25">
        <v>84679</v>
      </c>
      <c r="CV10" s="25">
        <v>86146</v>
      </c>
      <c r="CW10" s="25">
        <v>87752</v>
      </c>
      <c r="CX10" s="25">
        <v>76724</v>
      </c>
      <c r="CY10" s="25">
        <v>81036</v>
      </c>
      <c r="CZ10" s="25">
        <v>87234</v>
      </c>
      <c r="DA10" s="25">
        <v>89186</v>
      </c>
      <c r="DB10" s="25">
        <v>93110</v>
      </c>
      <c r="DC10" s="25">
        <v>87516</v>
      </c>
      <c r="DD10" s="25">
        <v>96020</v>
      </c>
      <c r="DE10" s="27">
        <v>107916</v>
      </c>
      <c r="DF10" s="25">
        <v>91111</v>
      </c>
      <c r="DG10" s="25">
        <v>102303</v>
      </c>
      <c r="DH10" s="25">
        <v>96101</v>
      </c>
      <c r="DI10" s="25">
        <v>95166</v>
      </c>
      <c r="DJ10" s="25">
        <v>86903</v>
      </c>
      <c r="DK10" s="25">
        <v>80480</v>
      </c>
      <c r="DL10" s="25">
        <v>75068</v>
      </c>
      <c r="DM10" s="25">
        <f>86671-90</f>
        <v>86581</v>
      </c>
      <c r="DN10" s="25">
        <v>107666</v>
      </c>
      <c r="DO10" s="25">
        <v>91441</v>
      </c>
      <c r="DP10" s="25">
        <v>101820</v>
      </c>
      <c r="DQ10" s="25">
        <v>109736</v>
      </c>
      <c r="DR10" s="24">
        <v>116472</v>
      </c>
      <c r="DS10" s="25">
        <v>130209</v>
      </c>
      <c r="DT10" s="25">
        <v>117911</v>
      </c>
      <c r="DU10" s="25">
        <v>128001</v>
      </c>
      <c r="DV10" s="25">
        <v>108219</v>
      </c>
      <c r="DW10" s="25">
        <v>107405</v>
      </c>
      <c r="DX10" s="25">
        <v>116281</v>
      </c>
      <c r="DY10" s="25">
        <v>116896</v>
      </c>
      <c r="DZ10" s="25">
        <v>107827</v>
      </c>
      <c r="EA10" s="25">
        <v>109916</v>
      </c>
      <c r="EB10" s="25">
        <v>118746</v>
      </c>
      <c r="EC10" s="25">
        <v>131977</v>
      </c>
      <c r="ED10" s="24">
        <v>168181</v>
      </c>
      <c r="EE10" s="25">
        <v>160652</v>
      </c>
      <c r="EF10" s="25">
        <v>141080</v>
      </c>
      <c r="EG10" s="25">
        <v>144313</v>
      </c>
      <c r="EH10" s="25">
        <v>138348</v>
      </c>
      <c r="EI10" s="28">
        <f>((EH10/EG10)-1)*100</f>
        <v>-4.1333767574646796</v>
      </c>
      <c r="EJ10" s="35">
        <f>((EH10/DV10)-1)*100</f>
        <v>27.840767332908278</v>
      </c>
    </row>
    <row r="11" spans="1:141" x14ac:dyDescent="0.2">
      <c r="A11" s="23" t="s">
        <v>219</v>
      </c>
      <c r="B11" s="24">
        <v>20164.599999999999</v>
      </c>
      <c r="C11" s="25">
        <v>18382.8</v>
      </c>
      <c r="D11" s="25">
        <v>19808.400000000001</v>
      </c>
      <c r="E11" s="25">
        <v>19037.3</v>
      </c>
      <c r="F11" s="25">
        <v>20622.099999999999</v>
      </c>
      <c r="G11" s="25">
        <v>20911.8</v>
      </c>
      <c r="H11" s="25">
        <v>19293.099999999999</v>
      </c>
      <c r="I11" s="25">
        <v>20412.3</v>
      </c>
      <c r="J11" s="25">
        <v>18277.900000000001</v>
      </c>
      <c r="K11" s="25">
        <v>19557.400000000001</v>
      </c>
      <c r="L11" s="25">
        <v>17280.3</v>
      </c>
      <c r="M11" s="25">
        <v>19921.3</v>
      </c>
      <c r="N11" s="24">
        <v>18193.8</v>
      </c>
      <c r="O11" s="25">
        <v>30693.7</v>
      </c>
      <c r="P11" s="25">
        <v>32704.2</v>
      </c>
      <c r="Q11" s="25">
        <v>23375.4</v>
      </c>
      <c r="R11" s="25">
        <v>22135.200000000001</v>
      </c>
      <c r="S11" s="25">
        <v>21789.8</v>
      </c>
      <c r="T11" s="25">
        <v>20705.5</v>
      </c>
      <c r="U11" s="25">
        <v>19326.2</v>
      </c>
      <c r="V11" s="25">
        <v>18114</v>
      </c>
      <c r="W11" s="25">
        <v>18883.41</v>
      </c>
      <c r="X11" s="25">
        <v>17878.990000000002</v>
      </c>
      <c r="Y11" s="27">
        <v>17402.099999999999</v>
      </c>
      <c r="Z11" s="25">
        <v>16135.12</v>
      </c>
      <c r="AA11" s="25">
        <v>17049.7</v>
      </c>
      <c r="AB11" s="25">
        <v>18871.5</v>
      </c>
      <c r="AC11" s="25">
        <v>17760.349999999999</v>
      </c>
      <c r="AD11" s="25">
        <v>17915.2</v>
      </c>
      <c r="AE11" s="25">
        <v>17246</v>
      </c>
      <c r="AF11" s="25">
        <v>17403.79</v>
      </c>
      <c r="AG11" s="25">
        <v>18242</v>
      </c>
      <c r="AH11" s="25">
        <v>18628.099999999999</v>
      </c>
      <c r="AI11" s="25">
        <v>22102.91</v>
      </c>
      <c r="AJ11" s="25">
        <v>21804</v>
      </c>
      <c r="AK11" s="27">
        <v>23835</v>
      </c>
      <c r="AL11" s="25">
        <v>23053</v>
      </c>
      <c r="AM11" s="25">
        <v>22244</v>
      </c>
      <c r="AN11" s="25">
        <v>25800</v>
      </c>
      <c r="AO11" s="25">
        <v>24803</v>
      </c>
      <c r="AP11" s="25">
        <v>24559</v>
      </c>
      <c r="AQ11" s="25">
        <v>25667</v>
      </c>
      <c r="AR11" s="25">
        <v>28504</v>
      </c>
      <c r="AS11" s="25">
        <v>27718</v>
      </c>
      <c r="AT11" s="25">
        <v>28125</v>
      </c>
      <c r="AU11" s="25">
        <v>26992</v>
      </c>
      <c r="AV11" s="25">
        <v>26393</v>
      </c>
      <c r="AW11" s="25">
        <v>29848</v>
      </c>
      <c r="AX11" s="24">
        <v>29568</v>
      </c>
      <c r="AY11" s="25">
        <v>29036</v>
      </c>
      <c r="AZ11" s="25">
        <v>33479</v>
      </c>
      <c r="BA11" s="25">
        <v>31679</v>
      </c>
      <c r="BB11" s="25">
        <v>31249</v>
      </c>
      <c r="BC11" s="25">
        <v>32082</v>
      </c>
      <c r="BD11" s="25">
        <v>32148</v>
      </c>
      <c r="BE11" s="25">
        <v>32096</v>
      </c>
      <c r="BF11" s="25">
        <v>32143</v>
      </c>
      <c r="BG11" s="25">
        <v>31524</v>
      </c>
      <c r="BH11" s="25">
        <v>33456</v>
      </c>
      <c r="BI11" s="27">
        <v>35715</v>
      </c>
      <c r="BJ11" s="25">
        <v>35873</v>
      </c>
      <c r="BK11" s="25">
        <v>33392</v>
      </c>
      <c r="BL11" s="25">
        <v>37098</v>
      </c>
      <c r="BM11" s="25">
        <v>37521</v>
      </c>
      <c r="BN11" s="25">
        <v>36401</v>
      </c>
      <c r="BO11" s="25">
        <v>37140</v>
      </c>
      <c r="BP11" s="25">
        <v>39277</v>
      </c>
      <c r="BQ11" s="25">
        <v>41195</v>
      </c>
      <c r="BR11" s="25">
        <v>40375</v>
      </c>
      <c r="BS11" s="25">
        <v>41010</v>
      </c>
      <c r="BT11" s="25">
        <v>43964</v>
      </c>
      <c r="BU11" s="25">
        <v>46926</v>
      </c>
      <c r="BV11" s="24">
        <v>47809</v>
      </c>
      <c r="BW11" s="25">
        <v>48972</v>
      </c>
      <c r="BX11" s="25">
        <v>49588</v>
      </c>
      <c r="BY11" s="25">
        <v>51722</v>
      </c>
      <c r="BZ11" s="25">
        <v>50677</v>
      </c>
      <c r="CA11" s="25">
        <v>52154</v>
      </c>
      <c r="CB11" s="25">
        <v>54964</v>
      </c>
      <c r="CC11" s="25">
        <v>52752</v>
      </c>
      <c r="CD11" s="25">
        <v>54032</v>
      </c>
      <c r="CE11" s="25">
        <v>53343</v>
      </c>
      <c r="CF11" s="25">
        <v>52445</v>
      </c>
      <c r="CG11" s="25">
        <v>52804</v>
      </c>
      <c r="CH11" s="24">
        <v>51504</v>
      </c>
      <c r="CI11" s="25">
        <v>49898</v>
      </c>
      <c r="CJ11" s="25">
        <v>52287</v>
      </c>
      <c r="CK11" s="25">
        <v>51112</v>
      </c>
      <c r="CL11" s="25">
        <v>51210</v>
      </c>
      <c r="CM11" s="25">
        <v>50361</v>
      </c>
      <c r="CN11" s="25">
        <v>54660</v>
      </c>
      <c r="CO11" s="25">
        <v>54555</v>
      </c>
      <c r="CP11" s="25">
        <v>55600</v>
      </c>
      <c r="CQ11" s="25">
        <v>56920</v>
      </c>
      <c r="CR11" s="25">
        <v>60672</v>
      </c>
      <c r="CS11" s="27">
        <v>67113</v>
      </c>
      <c r="CT11" s="25">
        <v>66626.718899999993</v>
      </c>
      <c r="CU11" s="25">
        <v>64291</v>
      </c>
      <c r="CV11" s="25">
        <v>69930</v>
      </c>
      <c r="CW11" s="25">
        <v>70902</v>
      </c>
      <c r="CX11" s="25">
        <v>72625</v>
      </c>
      <c r="CY11" s="25">
        <v>72435</v>
      </c>
      <c r="CZ11" s="25">
        <v>76613</v>
      </c>
      <c r="DA11" s="25">
        <v>76920</v>
      </c>
      <c r="DB11" s="25">
        <v>73232</v>
      </c>
      <c r="DC11" s="25">
        <v>73222</v>
      </c>
      <c r="DD11" s="25">
        <v>79556</v>
      </c>
      <c r="DE11" s="27">
        <v>84647</v>
      </c>
      <c r="DF11" s="25">
        <v>84929</v>
      </c>
      <c r="DG11" s="25">
        <v>86506</v>
      </c>
      <c r="DH11" s="25">
        <v>90866</v>
      </c>
      <c r="DI11" s="25">
        <v>90789</v>
      </c>
      <c r="DJ11" s="25">
        <v>88486</v>
      </c>
      <c r="DK11" s="25">
        <v>88249</v>
      </c>
      <c r="DL11" s="25">
        <v>92571</v>
      </c>
      <c r="DM11" s="25">
        <v>88181</v>
      </c>
      <c r="DN11" s="25">
        <v>91140</v>
      </c>
      <c r="DO11" s="25">
        <v>89208</v>
      </c>
      <c r="DP11" s="25">
        <v>90108</v>
      </c>
      <c r="DQ11" s="25">
        <v>97742</v>
      </c>
      <c r="DR11" s="24">
        <v>99103</v>
      </c>
      <c r="DS11" s="25">
        <v>103711</v>
      </c>
      <c r="DT11" s="25">
        <v>107323</v>
      </c>
      <c r="DU11" s="25">
        <v>102589</v>
      </c>
      <c r="DV11" s="25">
        <v>101892</v>
      </c>
      <c r="DW11" s="25">
        <v>100647</v>
      </c>
      <c r="DX11" s="25">
        <v>101257</v>
      </c>
      <c r="DY11" s="25">
        <v>103823</v>
      </c>
      <c r="DZ11" s="25">
        <v>105168</v>
      </c>
      <c r="EA11" s="25">
        <v>103956</v>
      </c>
      <c r="EB11" s="25">
        <v>108615</v>
      </c>
      <c r="EC11" s="25">
        <v>116699</v>
      </c>
      <c r="ED11" s="24">
        <v>116693</v>
      </c>
      <c r="EE11" s="25">
        <v>116726</v>
      </c>
      <c r="EF11" s="25">
        <v>121880</v>
      </c>
      <c r="EG11" s="25">
        <v>121576</v>
      </c>
      <c r="EH11" s="25">
        <v>116035</v>
      </c>
      <c r="EI11" s="28">
        <f>((EH11/EG11)-1)*100</f>
        <v>-4.5576429558465525</v>
      </c>
      <c r="EJ11" s="35">
        <f>((EH11/DV11)-1)*100</f>
        <v>13.8803831507871</v>
      </c>
    </row>
    <row r="12" spans="1:141" x14ac:dyDescent="0.2">
      <c r="A12" s="23" t="s">
        <v>220</v>
      </c>
      <c r="B12" s="24">
        <v>4773.3</v>
      </c>
      <c r="C12" s="25">
        <v>6654</v>
      </c>
      <c r="D12" s="25">
        <v>3632.4</v>
      </c>
      <c r="E12" s="25">
        <v>3761.3</v>
      </c>
      <c r="F12" s="25">
        <v>3774.8</v>
      </c>
      <c r="G12" s="25">
        <v>3811.3</v>
      </c>
      <c r="H12" s="25">
        <v>3949.3</v>
      </c>
      <c r="I12" s="25">
        <v>4051.6</v>
      </c>
      <c r="J12" s="25">
        <v>4106.6000000000004</v>
      </c>
      <c r="K12" s="25">
        <v>4017</v>
      </c>
      <c r="L12" s="25">
        <v>3974.5</v>
      </c>
      <c r="M12" s="25">
        <v>3896.3</v>
      </c>
      <c r="N12" s="24">
        <v>4073.9</v>
      </c>
      <c r="O12" s="25">
        <v>27083.7</v>
      </c>
      <c r="P12" s="25">
        <v>5210.8</v>
      </c>
      <c r="Q12" s="25">
        <v>5205.2</v>
      </c>
      <c r="R12" s="25">
        <v>6715.7</v>
      </c>
      <c r="S12" s="25">
        <v>5946.8</v>
      </c>
      <c r="T12" s="25">
        <v>5615.1</v>
      </c>
      <c r="U12" s="25">
        <v>5809.2</v>
      </c>
      <c r="V12" s="25">
        <v>5798</v>
      </c>
      <c r="W12" s="25">
        <v>7014.58</v>
      </c>
      <c r="X12" s="25">
        <v>8587.59</v>
      </c>
      <c r="Y12" s="27">
        <v>8257.2000000000007</v>
      </c>
      <c r="Z12" s="25">
        <v>8269.51</v>
      </c>
      <c r="AA12" s="25">
        <v>6333.6</v>
      </c>
      <c r="AB12" s="25">
        <v>6625.5</v>
      </c>
      <c r="AC12" s="25">
        <v>6669.02</v>
      </c>
      <c r="AD12" s="25">
        <v>6620.6</v>
      </c>
      <c r="AE12" s="25">
        <v>6704.4</v>
      </c>
      <c r="AF12" s="25">
        <v>6985.27</v>
      </c>
      <c r="AG12" s="25">
        <v>7292.2</v>
      </c>
      <c r="AH12" s="25">
        <v>11810.4</v>
      </c>
      <c r="AI12" s="25">
        <v>17613.18</v>
      </c>
      <c r="AJ12" s="25">
        <v>16854</v>
      </c>
      <c r="AK12" s="27">
        <v>16937</v>
      </c>
      <c r="AL12" s="25">
        <v>22676</v>
      </c>
      <c r="AM12" s="25">
        <v>22250</v>
      </c>
      <c r="AN12" s="25">
        <v>26549</v>
      </c>
      <c r="AO12" s="25">
        <v>32018</v>
      </c>
      <c r="AP12" s="25">
        <v>37720</v>
      </c>
      <c r="AQ12" s="25">
        <v>39142</v>
      </c>
      <c r="AR12" s="25">
        <v>36727</v>
      </c>
      <c r="AS12" s="25">
        <v>41382</v>
      </c>
      <c r="AT12" s="25">
        <v>42716</v>
      </c>
      <c r="AU12" s="25">
        <v>42209</v>
      </c>
      <c r="AV12" s="25">
        <v>42942</v>
      </c>
      <c r="AW12" s="25">
        <v>45395</v>
      </c>
      <c r="AX12" s="24">
        <v>41225</v>
      </c>
      <c r="AY12" s="25">
        <v>43694</v>
      </c>
      <c r="AZ12" s="25">
        <v>39996</v>
      </c>
      <c r="BA12" s="25">
        <v>25016</v>
      </c>
      <c r="BB12" s="25">
        <v>18059</v>
      </c>
      <c r="BC12" s="25">
        <v>19932</v>
      </c>
      <c r="BD12" s="25">
        <v>22347</v>
      </c>
      <c r="BE12" s="25">
        <v>28718</v>
      </c>
      <c r="BF12" s="25">
        <v>28175</v>
      </c>
      <c r="BG12" s="25">
        <v>24868</v>
      </c>
      <c r="BH12" s="25">
        <v>21425</v>
      </c>
      <c r="BI12" s="27">
        <v>24500</v>
      </c>
      <c r="BJ12" s="25">
        <v>33255</v>
      </c>
      <c r="BK12" s="25">
        <v>31079</v>
      </c>
      <c r="BL12" s="25">
        <v>14376</v>
      </c>
      <c r="BM12" s="25">
        <v>14780</v>
      </c>
      <c r="BN12" s="25">
        <v>15344</v>
      </c>
      <c r="BO12" s="25">
        <v>14783</v>
      </c>
      <c r="BP12" s="25">
        <v>15470</v>
      </c>
      <c r="BQ12" s="25">
        <v>15094</v>
      </c>
      <c r="BR12" s="25">
        <v>16436</v>
      </c>
      <c r="BS12" s="25">
        <v>17423</v>
      </c>
      <c r="BT12" s="25">
        <v>18511</v>
      </c>
      <c r="BU12" s="25">
        <v>18513</v>
      </c>
      <c r="BV12" s="24">
        <v>18385</v>
      </c>
      <c r="BW12" s="25">
        <v>18834</v>
      </c>
      <c r="BX12" s="25">
        <v>19268</v>
      </c>
      <c r="BY12" s="25">
        <v>21272</v>
      </c>
      <c r="BZ12" s="25">
        <v>22440</v>
      </c>
      <c r="CA12" s="25">
        <v>22641</v>
      </c>
      <c r="CB12" s="25">
        <v>24648</v>
      </c>
      <c r="CC12" s="25">
        <v>26001</v>
      </c>
      <c r="CD12" s="25">
        <v>27961</v>
      </c>
      <c r="CE12" s="25">
        <v>28669</v>
      </c>
      <c r="CF12" s="25">
        <v>30143</v>
      </c>
      <c r="CG12" s="25">
        <v>30689</v>
      </c>
      <c r="CH12" s="24">
        <v>31006</v>
      </c>
      <c r="CI12" s="25">
        <v>29721</v>
      </c>
      <c r="CJ12" s="25">
        <v>29829</v>
      </c>
      <c r="CK12" s="25">
        <v>29751</v>
      </c>
      <c r="CL12" s="25">
        <v>29216</v>
      </c>
      <c r="CM12" s="25">
        <v>28668</v>
      </c>
      <c r="CN12" s="25">
        <v>28595</v>
      </c>
      <c r="CO12" s="25">
        <v>28255</v>
      </c>
      <c r="CP12" s="25">
        <v>27928</v>
      </c>
      <c r="CQ12" s="25">
        <v>27774</v>
      </c>
      <c r="CR12" s="25">
        <v>28299</v>
      </c>
      <c r="CS12" s="27">
        <v>28068</v>
      </c>
      <c r="CT12" s="25">
        <v>28144.117500000004</v>
      </c>
      <c r="CU12" s="25">
        <v>29501</v>
      </c>
      <c r="CV12" s="25">
        <v>29570</v>
      </c>
      <c r="CW12" s="25">
        <v>30252</v>
      </c>
      <c r="CX12" s="25">
        <v>32036</v>
      </c>
      <c r="CY12" s="25">
        <v>35923</v>
      </c>
      <c r="CZ12" s="25">
        <v>36595</v>
      </c>
      <c r="DA12" s="25">
        <v>33627</v>
      </c>
      <c r="DB12" s="25">
        <v>34658</v>
      </c>
      <c r="DC12" s="25">
        <v>34499</v>
      </c>
      <c r="DD12" s="25">
        <v>36862</v>
      </c>
      <c r="DE12" s="27">
        <v>38390</v>
      </c>
      <c r="DF12" s="25">
        <v>36769</v>
      </c>
      <c r="DG12" s="25">
        <v>36080</v>
      </c>
      <c r="DH12" s="25">
        <v>36046</v>
      </c>
      <c r="DI12" s="25">
        <v>36760</v>
      </c>
      <c r="DJ12" s="25">
        <v>39605</v>
      </c>
      <c r="DK12" s="25">
        <v>40651</v>
      </c>
      <c r="DL12" s="25">
        <v>40606</v>
      </c>
      <c r="DM12" s="25">
        <v>41159</v>
      </c>
      <c r="DN12" s="25">
        <v>43188</v>
      </c>
      <c r="DO12" s="25">
        <v>44008</v>
      </c>
      <c r="DP12" s="25">
        <v>48174</v>
      </c>
      <c r="DQ12" s="25">
        <v>50132</v>
      </c>
      <c r="DR12" s="24">
        <v>51745</v>
      </c>
      <c r="DS12" s="25">
        <v>52087</v>
      </c>
      <c r="DT12" s="25">
        <v>55066</v>
      </c>
      <c r="DU12" s="25">
        <v>54124</v>
      </c>
      <c r="DV12" s="25">
        <v>59270</v>
      </c>
      <c r="DW12" s="25">
        <v>60327</v>
      </c>
      <c r="DX12" s="25">
        <v>59558</v>
      </c>
      <c r="DY12" s="25">
        <v>58423</v>
      </c>
      <c r="DZ12" s="25">
        <v>58540</v>
      </c>
      <c r="EA12" s="25">
        <v>62395</v>
      </c>
      <c r="EB12" s="25">
        <v>68071</v>
      </c>
      <c r="EC12" s="25">
        <v>81448</v>
      </c>
      <c r="ED12" s="24">
        <v>81291</v>
      </c>
      <c r="EE12" s="25">
        <v>79592</v>
      </c>
      <c r="EF12" s="25">
        <v>99273</v>
      </c>
      <c r="EG12" s="25">
        <v>80172</v>
      </c>
      <c r="EH12" s="25">
        <v>85472</v>
      </c>
      <c r="EI12" s="28">
        <f>((EH12/EG12)-1)*100</f>
        <v>6.6107868083620236</v>
      </c>
      <c r="EJ12" s="35">
        <f>((EH12/DV12)-1)*100</f>
        <v>44.207862324953595</v>
      </c>
    </row>
    <row r="13" spans="1:141" x14ac:dyDescent="0.2">
      <c r="A13" s="23"/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7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9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9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7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9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7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7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9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9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7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7"/>
      <c r="EE13" s="48"/>
      <c r="EF13" s="48"/>
      <c r="EG13" s="48"/>
      <c r="EH13" s="48"/>
      <c r="EI13" s="21"/>
      <c r="EJ13" s="34"/>
    </row>
    <row r="14" spans="1:141" x14ac:dyDescent="0.2">
      <c r="A14" s="17" t="s">
        <v>82</v>
      </c>
      <c r="B14" s="18">
        <f t="shared" ref="B14:AG14" si="10">SUM(B15:B17)</f>
        <v>69768.600000000006</v>
      </c>
      <c r="C14" s="19">
        <f t="shared" si="10"/>
        <v>70742.2</v>
      </c>
      <c r="D14" s="19">
        <f t="shared" si="10"/>
        <v>69597.600000000006</v>
      </c>
      <c r="E14" s="19">
        <f t="shared" si="10"/>
        <v>68637.5</v>
      </c>
      <c r="F14" s="19">
        <f t="shared" si="10"/>
        <v>69270.2</v>
      </c>
      <c r="G14" s="19">
        <f t="shared" si="10"/>
        <v>69914.5</v>
      </c>
      <c r="H14" s="19">
        <f t="shared" si="10"/>
        <v>69772.100000000006</v>
      </c>
      <c r="I14" s="19">
        <f t="shared" si="10"/>
        <v>73199.399999999994</v>
      </c>
      <c r="J14" s="19">
        <f t="shared" si="10"/>
        <v>72197.899999999994</v>
      </c>
      <c r="K14" s="19">
        <f t="shared" si="10"/>
        <v>75581.799999999988</v>
      </c>
      <c r="L14" s="19">
        <f t="shared" si="10"/>
        <v>73143.399999999994</v>
      </c>
      <c r="M14" s="19">
        <f t="shared" si="10"/>
        <v>75657.5</v>
      </c>
      <c r="N14" s="18">
        <f t="shared" si="10"/>
        <v>72303.8</v>
      </c>
      <c r="O14" s="19">
        <f t="shared" si="10"/>
        <v>70253.100000000006</v>
      </c>
      <c r="P14" s="19">
        <f t="shared" si="10"/>
        <v>86765.5</v>
      </c>
      <c r="Q14" s="19">
        <f t="shared" si="10"/>
        <v>67218.3</v>
      </c>
      <c r="R14" s="19">
        <f t="shared" si="10"/>
        <v>69114.8</v>
      </c>
      <c r="S14" s="19">
        <f t="shared" si="10"/>
        <v>65712.100000000006</v>
      </c>
      <c r="T14" s="19">
        <f t="shared" si="10"/>
        <v>70065.600000000006</v>
      </c>
      <c r="U14" s="19">
        <f t="shared" si="10"/>
        <v>70951</v>
      </c>
      <c r="V14" s="19">
        <f t="shared" si="10"/>
        <v>70684</v>
      </c>
      <c r="W14" s="19">
        <f t="shared" si="10"/>
        <v>82054.44</v>
      </c>
      <c r="X14" s="19">
        <f t="shared" si="10"/>
        <v>83079.94</v>
      </c>
      <c r="Y14" s="20">
        <f t="shared" si="10"/>
        <v>69665.739999999991</v>
      </c>
      <c r="Z14" s="19">
        <f t="shared" si="10"/>
        <v>74295.09</v>
      </c>
      <c r="AA14" s="19">
        <f t="shared" si="10"/>
        <v>70967.199999999997</v>
      </c>
      <c r="AB14" s="19">
        <f t="shared" si="10"/>
        <v>71339.3</v>
      </c>
      <c r="AC14" s="19">
        <f t="shared" si="10"/>
        <v>71273.75</v>
      </c>
      <c r="AD14" s="19">
        <f t="shared" si="10"/>
        <v>72123.899999999994</v>
      </c>
      <c r="AE14" s="19">
        <f t="shared" si="10"/>
        <v>74383.600000000006</v>
      </c>
      <c r="AF14" s="19">
        <f t="shared" si="10"/>
        <v>75866.75</v>
      </c>
      <c r="AG14" s="19">
        <f t="shared" si="10"/>
        <v>75945.600000000006</v>
      </c>
      <c r="AH14" s="19">
        <f t="shared" ref="AH14:BM14" si="11">SUM(AH15:AH17)</f>
        <v>73393.3</v>
      </c>
      <c r="AI14" s="19">
        <f t="shared" si="11"/>
        <v>78212.800000000003</v>
      </c>
      <c r="AJ14" s="19">
        <f t="shared" si="11"/>
        <v>71848</v>
      </c>
      <c r="AK14" s="20">
        <f t="shared" si="11"/>
        <v>73848</v>
      </c>
      <c r="AL14" s="19">
        <f t="shared" si="11"/>
        <v>71185</v>
      </c>
      <c r="AM14" s="19">
        <f t="shared" si="11"/>
        <v>73047</v>
      </c>
      <c r="AN14" s="19">
        <f t="shared" si="11"/>
        <v>70605</v>
      </c>
      <c r="AO14" s="19">
        <f t="shared" si="11"/>
        <v>63176</v>
      </c>
      <c r="AP14" s="19">
        <f t="shared" si="11"/>
        <v>62417</v>
      </c>
      <c r="AQ14" s="19">
        <f t="shared" si="11"/>
        <v>60727</v>
      </c>
      <c r="AR14" s="19">
        <f t="shared" si="11"/>
        <v>58534</v>
      </c>
      <c r="AS14" s="19">
        <f t="shared" si="11"/>
        <v>62026</v>
      </c>
      <c r="AT14" s="19">
        <f t="shared" si="11"/>
        <v>63731</v>
      </c>
      <c r="AU14" s="19">
        <f t="shared" si="11"/>
        <v>66405</v>
      </c>
      <c r="AV14" s="19">
        <f t="shared" si="11"/>
        <v>69299</v>
      </c>
      <c r="AW14" s="19">
        <f t="shared" si="11"/>
        <v>66854</v>
      </c>
      <c r="AX14" s="18">
        <f t="shared" si="11"/>
        <v>66490</v>
      </c>
      <c r="AY14" s="19">
        <f t="shared" si="11"/>
        <v>73632</v>
      </c>
      <c r="AZ14" s="19">
        <f t="shared" si="11"/>
        <v>72316</v>
      </c>
      <c r="BA14" s="19">
        <f t="shared" si="11"/>
        <v>78421</v>
      </c>
      <c r="BB14" s="19">
        <f t="shared" si="11"/>
        <v>75459</v>
      </c>
      <c r="BC14" s="19">
        <f t="shared" si="11"/>
        <v>76339</v>
      </c>
      <c r="BD14" s="19">
        <f t="shared" si="11"/>
        <v>76993</v>
      </c>
      <c r="BE14" s="19">
        <f t="shared" si="11"/>
        <v>69477</v>
      </c>
      <c r="BF14" s="19">
        <f t="shared" si="11"/>
        <v>70236</v>
      </c>
      <c r="BG14" s="19">
        <f t="shared" si="11"/>
        <v>68759</v>
      </c>
      <c r="BH14" s="19">
        <f t="shared" si="11"/>
        <v>68572</v>
      </c>
      <c r="BI14" s="20">
        <f t="shared" si="11"/>
        <v>68205</v>
      </c>
      <c r="BJ14" s="19">
        <f t="shared" si="11"/>
        <v>70643</v>
      </c>
      <c r="BK14" s="19">
        <f t="shared" si="11"/>
        <v>65858</v>
      </c>
      <c r="BL14" s="19">
        <f t="shared" si="11"/>
        <v>68280</v>
      </c>
      <c r="BM14" s="19">
        <f t="shared" si="11"/>
        <v>71054</v>
      </c>
      <c r="BN14" s="19">
        <f t="shared" ref="BN14:CS14" si="12">SUM(BN15:BN17)</f>
        <v>72792</v>
      </c>
      <c r="BO14" s="19">
        <f t="shared" si="12"/>
        <v>73411</v>
      </c>
      <c r="BP14" s="19">
        <f t="shared" si="12"/>
        <v>71919</v>
      </c>
      <c r="BQ14" s="19">
        <f t="shared" si="12"/>
        <v>71571</v>
      </c>
      <c r="BR14" s="19">
        <f t="shared" si="12"/>
        <v>70987</v>
      </c>
      <c r="BS14" s="19">
        <f t="shared" si="12"/>
        <v>67581</v>
      </c>
      <c r="BT14" s="19">
        <f t="shared" si="12"/>
        <v>72990</v>
      </c>
      <c r="BU14" s="19">
        <f t="shared" si="12"/>
        <v>69385</v>
      </c>
      <c r="BV14" s="18">
        <f t="shared" si="12"/>
        <v>68871</v>
      </c>
      <c r="BW14" s="19">
        <f t="shared" si="12"/>
        <v>65607</v>
      </c>
      <c r="BX14" s="19">
        <f t="shared" si="12"/>
        <v>58050</v>
      </c>
      <c r="BY14" s="19">
        <f t="shared" si="12"/>
        <v>58506</v>
      </c>
      <c r="BZ14" s="19">
        <f t="shared" si="12"/>
        <v>58180</v>
      </c>
      <c r="CA14" s="19">
        <f t="shared" si="12"/>
        <v>65555</v>
      </c>
      <c r="CB14" s="19">
        <f t="shared" si="12"/>
        <v>64502</v>
      </c>
      <c r="CC14" s="19">
        <f t="shared" si="12"/>
        <v>67576</v>
      </c>
      <c r="CD14" s="19">
        <f t="shared" si="12"/>
        <v>68567</v>
      </c>
      <c r="CE14" s="19">
        <f t="shared" si="12"/>
        <v>69925</v>
      </c>
      <c r="CF14" s="19">
        <f t="shared" si="12"/>
        <v>72933</v>
      </c>
      <c r="CG14" s="19">
        <f t="shared" si="12"/>
        <v>76396</v>
      </c>
      <c r="CH14" s="18">
        <f t="shared" si="12"/>
        <v>76400</v>
      </c>
      <c r="CI14" s="19">
        <f t="shared" si="12"/>
        <v>74676</v>
      </c>
      <c r="CJ14" s="19">
        <f t="shared" si="12"/>
        <v>74876</v>
      </c>
      <c r="CK14" s="19">
        <f t="shared" si="12"/>
        <v>75118</v>
      </c>
      <c r="CL14" s="19">
        <f t="shared" si="12"/>
        <v>73772</v>
      </c>
      <c r="CM14" s="19">
        <f t="shared" si="12"/>
        <v>74552</v>
      </c>
      <c r="CN14" s="19">
        <f t="shared" si="12"/>
        <v>80643</v>
      </c>
      <c r="CO14" s="19">
        <f t="shared" si="12"/>
        <v>71954</v>
      </c>
      <c r="CP14" s="19">
        <f t="shared" si="12"/>
        <v>75009</v>
      </c>
      <c r="CQ14" s="19">
        <f t="shared" si="12"/>
        <v>78243</v>
      </c>
      <c r="CR14" s="19">
        <f t="shared" si="12"/>
        <v>72021</v>
      </c>
      <c r="CS14" s="20">
        <f t="shared" si="12"/>
        <v>72422</v>
      </c>
      <c r="CT14" s="19">
        <f t="shared" ref="CT14:DY14" si="13">SUM(CT15:CT17)</f>
        <v>73866.414850000001</v>
      </c>
      <c r="CU14" s="19">
        <f t="shared" si="13"/>
        <v>72987</v>
      </c>
      <c r="CV14" s="19">
        <f t="shared" si="13"/>
        <v>72651</v>
      </c>
      <c r="CW14" s="19">
        <f t="shared" si="13"/>
        <v>74202</v>
      </c>
      <c r="CX14" s="19">
        <f t="shared" si="13"/>
        <v>70746</v>
      </c>
      <c r="CY14" s="19">
        <f t="shared" si="13"/>
        <v>76006</v>
      </c>
      <c r="CZ14" s="19">
        <f t="shared" si="13"/>
        <v>74063</v>
      </c>
      <c r="DA14" s="19">
        <f t="shared" si="13"/>
        <v>73728</v>
      </c>
      <c r="DB14" s="19">
        <f t="shared" si="13"/>
        <v>75637</v>
      </c>
      <c r="DC14" s="19">
        <f t="shared" si="13"/>
        <v>72779</v>
      </c>
      <c r="DD14" s="19">
        <f t="shared" si="13"/>
        <v>76164</v>
      </c>
      <c r="DE14" s="20">
        <f t="shared" si="13"/>
        <v>74348</v>
      </c>
      <c r="DF14" s="19">
        <f t="shared" si="13"/>
        <v>80721</v>
      </c>
      <c r="DG14" s="19">
        <f t="shared" si="13"/>
        <v>71315</v>
      </c>
      <c r="DH14" s="19">
        <f t="shared" si="13"/>
        <v>72486</v>
      </c>
      <c r="DI14" s="19">
        <f t="shared" si="13"/>
        <v>74700</v>
      </c>
      <c r="DJ14" s="19">
        <f t="shared" si="13"/>
        <v>74207</v>
      </c>
      <c r="DK14" s="19">
        <f t="shared" si="13"/>
        <v>79160</v>
      </c>
      <c r="DL14" s="19">
        <f t="shared" si="13"/>
        <v>77834</v>
      </c>
      <c r="DM14" s="19">
        <f t="shared" si="13"/>
        <v>81058</v>
      </c>
      <c r="DN14" s="19">
        <f t="shared" si="13"/>
        <v>72752</v>
      </c>
      <c r="DO14" s="19">
        <f t="shared" si="13"/>
        <v>78693</v>
      </c>
      <c r="DP14" s="19">
        <f t="shared" si="13"/>
        <v>74935</v>
      </c>
      <c r="DQ14" s="19">
        <f t="shared" si="13"/>
        <v>81153</v>
      </c>
      <c r="DR14" s="18">
        <f t="shared" si="13"/>
        <v>77577</v>
      </c>
      <c r="DS14" s="19">
        <f t="shared" si="13"/>
        <v>76751</v>
      </c>
      <c r="DT14" s="19">
        <f t="shared" si="13"/>
        <v>87273</v>
      </c>
      <c r="DU14" s="19">
        <f t="shared" si="13"/>
        <v>78377</v>
      </c>
      <c r="DV14" s="19">
        <f t="shared" si="13"/>
        <v>78496</v>
      </c>
      <c r="DW14" s="19">
        <f t="shared" si="13"/>
        <v>76967</v>
      </c>
      <c r="DX14" s="19">
        <f t="shared" si="13"/>
        <v>73106</v>
      </c>
      <c r="DY14" s="19">
        <f t="shared" si="13"/>
        <v>76243</v>
      </c>
      <c r="DZ14" s="19">
        <f t="shared" ref="DZ14:EH14" si="14">SUM(DZ15:DZ17)</f>
        <v>79200</v>
      </c>
      <c r="EA14" s="19">
        <f t="shared" si="14"/>
        <v>72412</v>
      </c>
      <c r="EB14" s="19">
        <f t="shared" si="14"/>
        <v>66453</v>
      </c>
      <c r="EC14" s="19">
        <f t="shared" si="14"/>
        <v>64892</v>
      </c>
      <c r="ED14" s="18">
        <f t="shared" si="14"/>
        <v>63748</v>
      </c>
      <c r="EE14" s="19">
        <f t="shared" si="14"/>
        <v>62896</v>
      </c>
      <c r="EF14" s="19">
        <f t="shared" si="14"/>
        <v>134811</v>
      </c>
      <c r="EG14" s="19">
        <f t="shared" si="14"/>
        <v>65064</v>
      </c>
      <c r="EH14" s="19">
        <f t="shared" si="14"/>
        <v>73268</v>
      </c>
      <c r="EI14" s="21">
        <f>((EH14/EG14)-1)*100</f>
        <v>12.609123324726411</v>
      </c>
      <c r="EJ14" s="34">
        <f>((EH14/DV14)-1)*100</f>
        <v>-6.6602119853240938</v>
      </c>
    </row>
    <row r="15" spans="1:141" x14ac:dyDescent="0.2">
      <c r="A15" s="23" t="s">
        <v>218</v>
      </c>
      <c r="B15" s="24">
        <v>12049.6</v>
      </c>
      <c r="C15" s="25">
        <v>9824.7000000000007</v>
      </c>
      <c r="D15" s="25">
        <v>8309.4</v>
      </c>
      <c r="E15" s="25">
        <v>11102.3</v>
      </c>
      <c r="F15" s="25">
        <v>12469</v>
      </c>
      <c r="G15" s="25">
        <v>13500.5</v>
      </c>
      <c r="H15" s="25">
        <v>12039.7</v>
      </c>
      <c r="I15" s="25">
        <v>13284.5</v>
      </c>
      <c r="J15" s="25">
        <v>11644.9</v>
      </c>
      <c r="K15" s="25">
        <v>13038.1</v>
      </c>
      <c r="L15" s="25">
        <v>14037</v>
      </c>
      <c r="M15" s="25">
        <v>14624</v>
      </c>
      <c r="N15" s="24">
        <v>12943.5</v>
      </c>
      <c r="O15" s="25">
        <v>12756.7</v>
      </c>
      <c r="P15" s="25">
        <v>31771.4</v>
      </c>
      <c r="Q15" s="25">
        <v>10939.1</v>
      </c>
      <c r="R15" s="25">
        <v>12110.3</v>
      </c>
      <c r="S15" s="25">
        <v>11413.8</v>
      </c>
      <c r="T15" s="25">
        <v>12800.6</v>
      </c>
      <c r="U15" s="25">
        <v>11915.6</v>
      </c>
      <c r="V15" s="25">
        <v>13409</v>
      </c>
      <c r="W15" s="25">
        <v>22260.68</v>
      </c>
      <c r="X15" s="25">
        <v>25874.21</v>
      </c>
      <c r="Y15" s="27">
        <v>13612.88</v>
      </c>
      <c r="Z15" s="25">
        <v>17515.189999999999</v>
      </c>
      <c r="AA15" s="25">
        <v>14673.8</v>
      </c>
      <c r="AB15" s="25">
        <v>17435.7</v>
      </c>
      <c r="AC15" s="25">
        <v>15393.88</v>
      </c>
      <c r="AD15" s="25">
        <v>15680.8</v>
      </c>
      <c r="AE15" s="25">
        <v>21194.5</v>
      </c>
      <c r="AF15" s="25">
        <v>23172.27</v>
      </c>
      <c r="AG15" s="25">
        <v>23968.1</v>
      </c>
      <c r="AH15" s="25">
        <v>22647.1</v>
      </c>
      <c r="AI15" s="25">
        <v>19658.490000000002</v>
      </c>
      <c r="AJ15" s="25">
        <v>14081</v>
      </c>
      <c r="AK15" s="27">
        <v>12184</v>
      </c>
      <c r="AL15" s="25">
        <v>10960</v>
      </c>
      <c r="AM15" s="25">
        <v>13626</v>
      </c>
      <c r="AN15" s="25">
        <v>12072</v>
      </c>
      <c r="AO15" s="25">
        <v>13558</v>
      </c>
      <c r="AP15" s="25">
        <v>12336</v>
      </c>
      <c r="AQ15" s="25">
        <v>10653</v>
      </c>
      <c r="AR15" s="25">
        <v>11506</v>
      </c>
      <c r="AS15" s="25">
        <v>12303</v>
      </c>
      <c r="AT15" s="25">
        <v>13181</v>
      </c>
      <c r="AU15" s="25">
        <v>16039</v>
      </c>
      <c r="AV15" s="25">
        <v>17771</v>
      </c>
      <c r="AW15" s="25">
        <v>13573</v>
      </c>
      <c r="AX15" s="24">
        <v>12617</v>
      </c>
      <c r="AY15" s="25">
        <v>16060</v>
      </c>
      <c r="AZ15" s="25">
        <v>17195</v>
      </c>
      <c r="BA15" s="25">
        <v>19014</v>
      </c>
      <c r="BB15" s="25">
        <v>18492</v>
      </c>
      <c r="BC15" s="25">
        <v>20975</v>
      </c>
      <c r="BD15" s="25">
        <v>16911</v>
      </c>
      <c r="BE15" s="25">
        <v>15339</v>
      </c>
      <c r="BF15" s="25">
        <v>18577</v>
      </c>
      <c r="BG15" s="25">
        <v>16667</v>
      </c>
      <c r="BH15" s="25">
        <v>15254</v>
      </c>
      <c r="BI15" s="27">
        <v>16045</v>
      </c>
      <c r="BJ15" s="25">
        <v>18825</v>
      </c>
      <c r="BK15" s="25">
        <v>15579</v>
      </c>
      <c r="BL15" s="25">
        <v>19234</v>
      </c>
      <c r="BM15" s="25">
        <v>21567</v>
      </c>
      <c r="BN15" s="25">
        <v>21122</v>
      </c>
      <c r="BO15" s="25">
        <v>22990</v>
      </c>
      <c r="BP15" s="25">
        <v>21057</v>
      </c>
      <c r="BQ15" s="25">
        <v>19986</v>
      </c>
      <c r="BR15" s="25">
        <v>20217</v>
      </c>
      <c r="BS15" s="25">
        <v>20076</v>
      </c>
      <c r="BT15" s="25">
        <v>23001</v>
      </c>
      <c r="BU15" s="25">
        <v>18490</v>
      </c>
      <c r="BV15" s="24">
        <v>22189</v>
      </c>
      <c r="BW15" s="25">
        <v>19544</v>
      </c>
      <c r="BX15" s="25">
        <v>16329</v>
      </c>
      <c r="BY15" s="25">
        <v>16843</v>
      </c>
      <c r="BZ15" s="25">
        <v>16236</v>
      </c>
      <c r="CA15" s="25">
        <v>20511</v>
      </c>
      <c r="CB15" s="25">
        <v>20060</v>
      </c>
      <c r="CC15" s="25">
        <v>20821</v>
      </c>
      <c r="CD15" s="25">
        <v>20864</v>
      </c>
      <c r="CE15" s="25">
        <v>18121</v>
      </c>
      <c r="CF15" s="25">
        <v>19601</v>
      </c>
      <c r="CG15" s="25">
        <v>21348</v>
      </c>
      <c r="CH15" s="24">
        <v>20664</v>
      </c>
      <c r="CI15" s="25">
        <v>16597</v>
      </c>
      <c r="CJ15" s="25">
        <v>16488</v>
      </c>
      <c r="CK15" s="25">
        <v>19757</v>
      </c>
      <c r="CL15" s="25">
        <v>19494</v>
      </c>
      <c r="CM15" s="25">
        <v>19225</v>
      </c>
      <c r="CN15" s="25">
        <v>25531</v>
      </c>
      <c r="CO15" s="25">
        <v>18967</v>
      </c>
      <c r="CP15" s="25">
        <v>22624</v>
      </c>
      <c r="CQ15" s="25">
        <v>26979</v>
      </c>
      <c r="CR15" s="25">
        <v>21532</v>
      </c>
      <c r="CS15" s="27">
        <v>23290</v>
      </c>
      <c r="CT15" s="25">
        <v>26300.363470000004</v>
      </c>
      <c r="CU15" s="25">
        <v>25270</v>
      </c>
      <c r="CV15" s="25">
        <v>25452</v>
      </c>
      <c r="CW15" s="25">
        <v>26614</v>
      </c>
      <c r="CX15" s="25">
        <v>24009</v>
      </c>
      <c r="CY15" s="25">
        <v>26940</v>
      </c>
      <c r="CZ15" s="25">
        <v>27537</v>
      </c>
      <c r="DA15" s="25">
        <v>27119</v>
      </c>
      <c r="DB15" s="25">
        <v>26872</v>
      </c>
      <c r="DC15" s="25">
        <v>26951</v>
      </c>
      <c r="DD15" s="25">
        <v>28014</v>
      </c>
      <c r="DE15" s="27">
        <v>29149</v>
      </c>
      <c r="DF15" s="25">
        <v>35311</v>
      </c>
      <c r="DG15" s="25">
        <v>24816</v>
      </c>
      <c r="DH15" s="25">
        <v>24540</v>
      </c>
      <c r="DI15" s="25">
        <v>24870</v>
      </c>
      <c r="DJ15" s="25">
        <v>25629</v>
      </c>
      <c r="DK15" s="25">
        <v>27714</v>
      </c>
      <c r="DL15" s="25">
        <v>26488</v>
      </c>
      <c r="DM15" s="25">
        <v>32968</v>
      </c>
      <c r="DN15" s="25">
        <v>25143</v>
      </c>
      <c r="DO15" s="25">
        <v>29905</v>
      </c>
      <c r="DP15" s="25">
        <v>26052</v>
      </c>
      <c r="DQ15" s="25">
        <v>33846</v>
      </c>
      <c r="DR15" s="24">
        <v>30336</v>
      </c>
      <c r="DS15" s="25">
        <v>27715</v>
      </c>
      <c r="DT15" s="25">
        <v>39958</v>
      </c>
      <c r="DU15" s="25">
        <v>31225</v>
      </c>
      <c r="DV15" s="25">
        <v>30975</v>
      </c>
      <c r="DW15" s="25">
        <v>30115</v>
      </c>
      <c r="DX15" s="25">
        <v>26754</v>
      </c>
      <c r="DY15" s="25">
        <v>32288</v>
      </c>
      <c r="DZ15" s="25">
        <v>34038</v>
      </c>
      <c r="EA15" s="25">
        <v>29571</v>
      </c>
      <c r="EB15" s="25">
        <v>22788</v>
      </c>
      <c r="EC15" s="25">
        <v>21855</v>
      </c>
      <c r="ED15" s="24">
        <v>22725</v>
      </c>
      <c r="EE15" s="25">
        <v>22204</v>
      </c>
      <c r="EF15" s="25">
        <v>25014</v>
      </c>
      <c r="EG15" s="25">
        <v>21767</v>
      </c>
      <c r="EH15" s="25">
        <v>24211</v>
      </c>
      <c r="EI15" s="28">
        <f>((EH15/EG15)-1)*100</f>
        <v>11.22800569669684</v>
      </c>
      <c r="EJ15" s="35">
        <f>((EH15/DV15)-1)*100</f>
        <v>-21.836965294592414</v>
      </c>
    </row>
    <row r="16" spans="1:141" x14ac:dyDescent="0.2">
      <c r="A16" s="23" t="s">
        <v>219</v>
      </c>
      <c r="B16" s="24">
        <v>24573</v>
      </c>
      <c r="C16" s="25">
        <v>28924.2</v>
      </c>
      <c r="D16" s="25">
        <v>29469.200000000001</v>
      </c>
      <c r="E16" s="25">
        <v>26568.9</v>
      </c>
      <c r="F16" s="25">
        <v>25292.400000000001</v>
      </c>
      <c r="G16" s="25">
        <v>25356.9</v>
      </c>
      <c r="H16" s="25">
        <v>24757.7</v>
      </c>
      <c r="I16" s="25">
        <v>26226.6</v>
      </c>
      <c r="J16" s="25">
        <v>26638.3</v>
      </c>
      <c r="K16" s="25">
        <v>28289.1</v>
      </c>
      <c r="L16" s="25">
        <v>25373.4</v>
      </c>
      <c r="M16" s="25">
        <v>26073.9</v>
      </c>
      <c r="N16" s="24">
        <v>25980.799999999999</v>
      </c>
      <c r="O16" s="25">
        <v>24420.5</v>
      </c>
      <c r="P16" s="25">
        <v>23579</v>
      </c>
      <c r="Q16" s="25">
        <v>24298</v>
      </c>
      <c r="R16" s="25">
        <v>24661.5</v>
      </c>
      <c r="S16" s="25">
        <v>22929.9</v>
      </c>
      <c r="T16" s="25">
        <v>24924.9</v>
      </c>
      <c r="U16" s="25">
        <v>26615.5</v>
      </c>
      <c r="V16" s="25">
        <v>25316</v>
      </c>
      <c r="W16" s="25">
        <v>26893.41</v>
      </c>
      <c r="X16" s="25">
        <v>24437.74</v>
      </c>
      <c r="Y16" s="27">
        <v>23104.25</v>
      </c>
      <c r="Z16" s="25">
        <v>23475.919999999998</v>
      </c>
      <c r="AA16" s="25">
        <v>23156.1</v>
      </c>
      <c r="AB16" s="25">
        <v>21457.8</v>
      </c>
      <c r="AC16" s="25">
        <v>23129.040000000001</v>
      </c>
      <c r="AD16" s="25">
        <v>23952</v>
      </c>
      <c r="AE16" s="25">
        <v>20777.400000000001</v>
      </c>
      <c r="AF16" s="25">
        <v>20893.75</v>
      </c>
      <c r="AG16" s="25">
        <v>20504</v>
      </c>
      <c r="AH16" s="25">
        <v>19869</v>
      </c>
      <c r="AI16" s="25">
        <v>19701.900000000001</v>
      </c>
      <c r="AJ16" s="25">
        <v>20307</v>
      </c>
      <c r="AK16" s="27">
        <v>21472</v>
      </c>
      <c r="AL16" s="25">
        <v>20540</v>
      </c>
      <c r="AM16" s="25">
        <v>20797</v>
      </c>
      <c r="AN16" s="25">
        <v>20535</v>
      </c>
      <c r="AO16" s="25">
        <v>20696</v>
      </c>
      <c r="AP16" s="25">
        <v>19337</v>
      </c>
      <c r="AQ16" s="25">
        <v>18728</v>
      </c>
      <c r="AR16" s="25">
        <v>18399</v>
      </c>
      <c r="AS16" s="25">
        <v>21431</v>
      </c>
      <c r="AT16" s="25">
        <v>21081</v>
      </c>
      <c r="AU16" s="25">
        <v>20996</v>
      </c>
      <c r="AV16" s="25">
        <v>19738</v>
      </c>
      <c r="AW16" s="25">
        <v>20528</v>
      </c>
      <c r="AX16" s="24">
        <v>20251</v>
      </c>
      <c r="AY16" s="25">
        <v>21242</v>
      </c>
      <c r="AZ16" s="25">
        <v>21068</v>
      </c>
      <c r="BA16" s="25">
        <v>22294</v>
      </c>
      <c r="BB16" s="25">
        <v>22839</v>
      </c>
      <c r="BC16" s="25">
        <v>22168</v>
      </c>
      <c r="BD16" s="25">
        <v>21755</v>
      </c>
      <c r="BE16" s="25">
        <v>20568</v>
      </c>
      <c r="BF16" s="25">
        <v>21064</v>
      </c>
      <c r="BG16" s="25">
        <v>22197</v>
      </c>
      <c r="BH16" s="25">
        <v>22896</v>
      </c>
      <c r="BI16" s="27">
        <v>22456</v>
      </c>
      <c r="BJ16" s="25">
        <v>22840</v>
      </c>
      <c r="BK16" s="25">
        <v>22122</v>
      </c>
      <c r="BL16" s="25">
        <v>21808</v>
      </c>
      <c r="BM16" s="25">
        <v>23428</v>
      </c>
      <c r="BN16" s="25">
        <v>24934</v>
      </c>
      <c r="BO16" s="25">
        <v>24241</v>
      </c>
      <c r="BP16" s="25">
        <v>24697</v>
      </c>
      <c r="BQ16" s="25">
        <v>25663</v>
      </c>
      <c r="BR16" s="25">
        <v>25504</v>
      </c>
      <c r="BS16" s="25">
        <v>23672</v>
      </c>
      <c r="BT16" s="25">
        <v>25063</v>
      </c>
      <c r="BU16" s="25">
        <v>26539</v>
      </c>
      <c r="BV16" s="24">
        <v>23078</v>
      </c>
      <c r="BW16" s="25">
        <v>22877</v>
      </c>
      <c r="BX16" s="25">
        <v>19770</v>
      </c>
      <c r="BY16" s="25">
        <v>19236</v>
      </c>
      <c r="BZ16" s="25">
        <v>18604</v>
      </c>
      <c r="CA16" s="25">
        <v>20236</v>
      </c>
      <c r="CB16" s="25">
        <v>20529</v>
      </c>
      <c r="CC16" s="25">
        <v>20985</v>
      </c>
      <c r="CD16" s="25">
        <v>21958</v>
      </c>
      <c r="CE16" s="25">
        <v>23719</v>
      </c>
      <c r="CF16" s="25">
        <v>23058</v>
      </c>
      <c r="CG16" s="25">
        <v>23706</v>
      </c>
      <c r="CH16" s="24">
        <v>24346</v>
      </c>
      <c r="CI16" s="25">
        <v>25777</v>
      </c>
      <c r="CJ16" s="25">
        <v>26926</v>
      </c>
      <c r="CK16" s="25">
        <v>26044</v>
      </c>
      <c r="CL16" s="25">
        <v>24613</v>
      </c>
      <c r="CM16" s="25">
        <v>25728</v>
      </c>
      <c r="CN16" s="25">
        <v>25968</v>
      </c>
      <c r="CO16" s="25">
        <v>24395</v>
      </c>
      <c r="CP16" s="25">
        <v>24522</v>
      </c>
      <c r="CQ16" s="25">
        <v>24294</v>
      </c>
      <c r="CR16" s="25">
        <v>23188</v>
      </c>
      <c r="CS16" s="27">
        <v>22675</v>
      </c>
      <c r="CT16" s="25">
        <v>22311.794220000003</v>
      </c>
      <c r="CU16" s="25">
        <v>23422</v>
      </c>
      <c r="CV16" s="25">
        <v>24022</v>
      </c>
      <c r="CW16" s="25">
        <v>24568</v>
      </c>
      <c r="CX16" s="25">
        <v>23119</v>
      </c>
      <c r="CY16" s="25">
        <v>25895</v>
      </c>
      <c r="CZ16" s="25">
        <v>24134</v>
      </c>
      <c r="DA16" s="25">
        <v>24715</v>
      </c>
      <c r="DB16" s="25">
        <v>27139</v>
      </c>
      <c r="DC16" s="25">
        <v>24473</v>
      </c>
      <c r="DD16" s="25">
        <v>26110</v>
      </c>
      <c r="DE16" s="27">
        <v>23603</v>
      </c>
      <c r="DF16" s="25">
        <v>23774</v>
      </c>
      <c r="DG16" s="25">
        <v>24963</v>
      </c>
      <c r="DH16" s="25">
        <v>26203</v>
      </c>
      <c r="DI16" s="25">
        <v>28454</v>
      </c>
      <c r="DJ16" s="25">
        <v>26325</v>
      </c>
      <c r="DK16" s="25">
        <v>29303</v>
      </c>
      <c r="DL16" s="25">
        <v>29871</v>
      </c>
      <c r="DM16" s="25">
        <v>26867</v>
      </c>
      <c r="DN16" s="25">
        <v>26161</v>
      </c>
      <c r="DO16" s="25">
        <v>27959</v>
      </c>
      <c r="DP16" s="25">
        <v>26861</v>
      </c>
      <c r="DQ16" s="25">
        <v>25414</v>
      </c>
      <c r="DR16" s="24">
        <v>25400</v>
      </c>
      <c r="DS16" s="25">
        <v>26770</v>
      </c>
      <c r="DT16" s="25">
        <v>26479</v>
      </c>
      <c r="DU16" s="25">
        <v>27536</v>
      </c>
      <c r="DV16" s="25">
        <v>26733</v>
      </c>
      <c r="DW16" s="25">
        <v>26738</v>
      </c>
      <c r="DX16" s="25">
        <v>26928</v>
      </c>
      <c r="DY16" s="25">
        <v>24716</v>
      </c>
      <c r="DZ16" s="25">
        <v>25819</v>
      </c>
      <c r="EA16" s="25">
        <v>23493</v>
      </c>
      <c r="EB16" s="25">
        <v>23254</v>
      </c>
      <c r="EC16" s="25">
        <v>23059</v>
      </c>
      <c r="ED16" s="24">
        <v>21127</v>
      </c>
      <c r="EE16" s="25">
        <v>20666</v>
      </c>
      <c r="EF16" s="25">
        <v>25962</v>
      </c>
      <c r="EG16" s="25">
        <v>23541</v>
      </c>
      <c r="EH16" s="25">
        <v>24903</v>
      </c>
      <c r="EI16" s="28">
        <f>((EH16/EG16)-1)*100</f>
        <v>5.7856505670957015</v>
      </c>
      <c r="EJ16" s="35">
        <f>((EH16/DV16)-1)*100</f>
        <v>-6.8454718886769133</v>
      </c>
    </row>
    <row r="17" spans="1:141" x14ac:dyDescent="0.2">
      <c r="A17" s="30" t="s">
        <v>220</v>
      </c>
      <c r="B17" s="40">
        <v>33146</v>
      </c>
      <c r="C17" s="31">
        <v>31993.3</v>
      </c>
      <c r="D17" s="31">
        <v>31819</v>
      </c>
      <c r="E17" s="31">
        <v>30966.3</v>
      </c>
      <c r="F17" s="31">
        <v>31508.799999999999</v>
      </c>
      <c r="G17" s="31">
        <v>31057.1</v>
      </c>
      <c r="H17" s="31">
        <v>32974.699999999997</v>
      </c>
      <c r="I17" s="31">
        <v>33688.300000000003</v>
      </c>
      <c r="J17" s="31">
        <v>33914.699999999997</v>
      </c>
      <c r="K17" s="31">
        <v>34254.6</v>
      </c>
      <c r="L17" s="31">
        <v>33733</v>
      </c>
      <c r="M17" s="25">
        <v>34959.599999999999</v>
      </c>
      <c r="N17" s="40">
        <v>33379.5</v>
      </c>
      <c r="O17" s="31">
        <v>33075.9</v>
      </c>
      <c r="P17" s="31">
        <v>31415.1</v>
      </c>
      <c r="Q17" s="31">
        <v>31981.200000000001</v>
      </c>
      <c r="R17" s="31">
        <v>32343</v>
      </c>
      <c r="S17" s="31">
        <v>31368.400000000001</v>
      </c>
      <c r="T17" s="25">
        <v>32340.1</v>
      </c>
      <c r="U17" s="31">
        <v>32419.9</v>
      </c>
      <c r="V17" s="31">
        <v>31959</v>
      </c>
      <c r="W17" s="31">
        <v>32900.35</v>
      </c>
      <c r="X17" s="31">
        <v>32767.99</v>
      </c>
      <c r="Y17" s="41">
        <v>32948.61</v>
      </c>
      <c r="Z17" s="25">
        <v>33303.980000000003</v>
      </c>
      <c r="AA17" s="31">
        <v>33137.300000000003</v>
      </c>
      <c r="AB17" s="31">
        <v>32445.8</v>
      </c>
      <c r="AC17" s="31">
        <v>32750.83</v>
      </c>
      <c r="AD17" s="31">
        <v>32491.1</v>
      </c>
      <c r="AE17" s="31">
        <v>32411.7</v>
      </c>
      <c r="AF17" s="31">
        <v>31800.73</v>
      </c>
      <c r="AG17" s="31">
        <v>31473.5</v>
      </c>
      <c r="AH17" s="31">
        <v>30877.200000000001</v>
      </c>
      <c r="AI17" s="31">
        <v>38852.410000000003</v>
      </c>
      <c r="AJ17" s="31">
        <v>37460</v>
      </c>
      <c r="AK17" s="41">
        <v>40192</v>
      </c>
      <c r="AL17" s="25">
        <v>39685</v>
      </c>
      <c r="AM17" s="31">
        <v>38624</v>
      </c>
      <c r="AN17" s="31">
        <v>37998</v>
      </c>
      <c r="AO17" s="31">
        <v>28922</v>
      </c>
      <c r="AP17" s="31">
        <v>30744</v>
      </c>
      <c r="AQ17" s="31">
        <v>31346</v>
      </c>
      <c r="AR17" s="31">
        <v>28629</v>
      </c>
      <c r="AS17" s="31">
        <v>28292</v>
      </c>
      <c r="AT17" s="31">
        <v>29469</v>
      </c>
      <c r="AU17" s="31">
        <v>29370</v>
      </c>
      <c r="AV17" s="31">
        <v>31790</v>
      </c>
      <c r="AW17" s="31">
        <v>32753</v>
      </c>
      <c r="AX17" s="40">
        <v>33622</v>
      </c>
      <c r="AY17" s="31">
        <v>36330</v>
      </c>
      <c r="AZ17" s="31">
        <v>34053</v>
      </c>
      <c r="BA17" s="31">
        <v>37113</v>
      </c>
      <c r="BB17" s="31">
        <v>34128</v>
      </c>
      <c r="BC17" s="31">
        <v>33196</v>
      </c>
      <c r="BD17" s="31">
        <v>38327</v>
      </c>
      <c r="BE17" s="31">
        <v>33570</v>
      </c>
      <c r="BF17" s="31">
        <v>30595</v>
      </c>
      <c r="BG17" s="31">
        <v>29895</v>
      </c>
      <c r="BH17" s="31">
        <v>30422</v>
      </c>
      <c r="BI17" s="41">
        <v>29704</v>
      </c>
      <c r="BJ17" s="31">
        <v>28978</v>
      </c>
      <c r="BK17" s="31">
        <v>28157</v>
      </c>
      <c r="BL17" s="31">
        <v>27238</v>
      </c>
      <c r="BM17" s="31">
        <v>26059</v>
      </c>
      <c r="BN17" s="31">
        <v>26736</v>
      </c>
      <c r="BO17" s="31">
        <v>26180</v>
      </c>
      <c r="BP17" s="31">
        <v>26165</v>
      </c>
      <c r="BQ17" s="31">
        <v>25922</v>
      </c>
      <c r="BR17" s="31">
        <v>25266</v>
      </c>
      <c r="BS17" s="31">
        <v>23833</v>
      </c>
      <c r="BT17" s="31">
        <v>24926</v>
      </c>
      <c r="BU17" s="31">
        <v>24356</v>
      </c>
      <c r="BV17" s="40">
        <v>23604</v>
      </c>
      <c r="BW17" s="31">
        <v>23186</v>
      </c>
      <c r="BX17" s="31">
        <v>21951</v>
      </c>
      <c r="BY17" s="31">
        <v>22427</v>
      </c>
      <c r="BZ17" s="31">
        <v>23340</v>
      </c>
      <c r="CA17" s="31">
        <v>24808</v>
      </c>
      <c r="CB17" s="31">
        <v>23913</v>
      </c>
      <c r="CC17" s="31">
        <v>25770</v>
      </c>
      <c r="CD17" s="31">
        <v>25745</v>
      </c>
      <c r="CE17" s="31">
        <v>28085</v>
      </c>
      <c r="CF17" s="31">
        <v>30274</v>
      </c>
      <c r="CG17" s="31">
        <v>31342</v>
      </c>
      <c r="CH17" s="40">
        <v>31390</v>
      </c>
      <c r="CI17" s="31">
        <v>32302</v>
      </c>
      <c r="CJ17" s="31">
        <v>31462</v>
      </c>
      <c r="CK17" s="31">
        <v>29317</v>
      </c>
      <c r="CL17" s="31">
        <v>29665</v>
      </c>
      <c r="CM17" s="31">
        <v>29599</v>
      </c>
      <c r="CN17" s="31">
        <v>29144</v>
      </c>
      <c r="CO17" s="31">
        <v>28592</v>
      </c>
      <c r="CP17" s="31">
        <v>27863</v>
      </c>
      <c r="CQ17" s="31">
        <v>26970</v>
      </c>
      <c r="CR17" s="31">
        <v>27301</v>
      </c>
      <c r="CS17" s="41">
        <v>26457</v>
      </c>
      <c r="CT17" s="31">
        <v>25254.257160000001</v>
      </c>
      <c r="CU17" s="31">
        <v>24295</v>
      </c>
      <c r="CV17" s="31">
        <v>23177</v>
      </c>
      <c r="CW17" s="31">
        <v>23020</v>
      </c>
      <c r="CX17" s="31">
        <v>23618</v>
      </c>
      <c r="CY17" s="31">
        <v>23171</v>
      </c>
      <c r="CZ17" s="31">
        <v>22392</v>
      </c>
      <c r="DA17" s="31">
        <v>21894</v>
      </c>
      <c r="DB17" s="31">
        <v>21626</v>
      </c>
      <c r="DC17" s="31">
        <v>21355</v>
      </c>
      <c r="DD17" s="31">
        <v>22040</v>
      </c>
      <c r="DE17" s="41">
        <v>21596</v>
      </c>
      <c r="DF17" s="31">
        <v>21636</v>
      </c>
      <c r="DG17" s="31">
        <v>21536</v>
      </c>
      <c r="DH17" s="31">
        <v>21743</v>
      </c>
      <c r="DI17" s="31">
        <v>21376</v>
      </c>
      <c r="DJ17" s="31">
        <v>22253</v>
      </c>
      <c r="DK17" s="31">
        <v>22143</v>
      </c>
      <c r="DL17" s="31">
        <v>21475</v>
      </c>
      <c r="DM17" s="31">
        <v>21223</v>
      </c>
      <c r="DN17" s="31">
        <v>21448</v>
      </c>
      <c r="DO17" s="31">
        <v>20829</v>
      </c>
      <c r="DP17" s="31">
        <v>22022</v>
      </c>
      <c r="DQ17" s="31">
        <v>21893</v>
      </c>
      <c r="DR17" s="40">
        <v>21841</v>
      </c>
      <c r="DS17" s="31">
        <v>22266</v>
      </c>
      <c r="DT17" s="31">
        <v>20836</v>
      </c>
      <c r="DU17" s="31">
        <v>19616</v>
      </c>
      <c r="DV17" s="31">
        <v>20788</v>
      </c>
      <c r="DW17" s="31">
        <v>20114</v>
      </c>
      <c r="DX17" s="31">
        <v>19424</v>
      </c>
      <c r="DY17" s="31">
        <v>19239</v>
      </c>
      <c r="DZ17" s="31">
        <v>19343</v>
      </c>
      <c r="EA17" s="31">
        <v>19348</v>
      </c>
      <c r="EB17" s="31">
        <v>20411</v>
      </c>
      <c r="EC17" s="31">
        <v>19978</v>
      </c>
      <c r="ED17" s="40">
        <v>19896</v>
      </c>
      <c r="EE17" s="31">
        <v>20026</v>
      </c>
      <c r="EF17" s="31">
        <v>83835</v>
      </c>
      <c r="EG17" s="31">
        <v>19756</v>
      </c>
      <c r="EH17" s="31">
        <v>24154</v>
      </c>
      <c r="EI17" s="32">
        <f>((EH17/EG17)-1)*100</f>
        <v>22.261591415266246</v>
      </c>
      <c r="EJ17" s="42">
        <f>((EH17/DV17)-1)*100</f>
        <v>16.192033865691748</v>
      </c>
      <c r="EK17" s="11"/>
    </row>
    <row r="18" spans="1:141" x14ac:dyDescent="0.2">
      <c r="A18" s="29" t="s">
        <v>155</v>
      </c>
      <c r="B18" s="43"/>
      <c r="C18" s="43"/>
      <c r="D18" s="43"/>
      <c r="E18" s="43"/>
      <c r="F18" s="43"/>
      <c r="G18" s="43"/>
      <c r="H18" s="29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50"/>
      <c r="AM18" s="29"/>
      <c r="AN18" s="51"/>
      <c r="EC18" s="25"/>
      <c r="ED18" s="25"/>
      <c r="EE18" s="25"/>
      <c r="EF18" s="25"/>
      <c r="EG18" s="25"/>
      <c r="EH18" s="25"/>
    </row>
    <row r="19" spans="1:141" ht="13.5" customHeight="1" x14ac:dyDescent="0.3"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52"/>
      <c r="AM19" s="53"/>
      <c r="EC19" s="25"/>
      <c r="ED19" s="25"/>
      <c r="EE19" s="25"/>
      <c r="EF19" s="25"/>
      <c r="EG19" s="25"/>
      <c r="EH19" s="25"/>
    </row>
    <row r="20" spans="1:141" x14ac:dyDescent="0.2">
      <c r="AL20" s="54"/>
      <c r="EC20" s="25"/>
      <c r="ED20" s="25"/>
      <c r="EE20" s="25"/>
      <c r="EF20" s="25"/>
      <c r="EG20" s="25"/>
      <c r="EH20" s="25"/>
    </row>
    <row r="21" spans="1:141" x14ac:dyDescent="0.2">
      <c r="AL21" s="26"/>
      <c r="EB21" s="25"/>
      <c r="EC21" s="25"/>
      <c r="ED21" s="25"/>
      <c r="EE21" s="25"/>
      <c r="EF21" s="25"/>
      <c r="EG21" s="25"/>
      <c r="EH21" s="25"/>
    </row>
    <row r="22" spans="1:141" ht="18.75" x14ac:dyDescent="0.3">
      <c r="A22" s="68" t="str">
        <f>+A2</f>
        <v>UCAYALI: SALDO DE DEPÓSITOS DEL SISTEMA FINANCIERO, POR TIPO DE MONEDA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8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EC22" s="67"/>
      <c r="ED22" s="67"/>
      <c r="EE22" s="67"/>
      <c r="EF22" s="67"/>
      <c r="EG22" s="67"/>
      <c r="EH22" s="67"/>
    </row>
    <row r="23" spans="1:141" ht="18.75" x14ac:dyDescent="0.3">
      <c r="A23" s="2" t="s">
        <v>256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25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3">
        <v>1.8093559346922601</v>
      </c>
      <c r="BW23" s="3">
        <v>1.8258210736979594</v>
      </c>
      <c r="BX23" s="3">
        <v>1.8448096128644185</v>
      </c>
      <c r="BY23" s="3">
        <v>1.8475768272837152</v>
      </c>
      <c r="BZ23" s="3">
        <v>1.8544128615446649</v>
      </c>
      <c r="CA23" s="3">
        <v>1.8686918405785591</v>
      </c>
      <c r="CB23" s="3">
        <v>1.8791565148857989</v>
      </c>
      <c r="CC23" s="3">
        <v>1.8902435383236256</v>
      </c>
      <c r="CD23" s="3">
        <v>1.9010179264920704</v>
      </c>
      <c r="CE23" s="3">
        <v>1.9126141358436717</v>
      </c>
      <c r="CF23" s="3">
        <v>1.9185432396647875</v>
      </c>
      <c r="CG23" s="88">
        <v>1.9254499953275808</v>
      </c>
      <c r="CH23" s="69">
        <v>1.9275679903224412</v>
      </c>
      <c r="CI23" s="69">
        <v>1.9262186927292158</v>
      </c>
      <c r="CJ23" s="69">
        <v>1.9331530800230408</v>
      </c>
      <c r="CK23" s="69">
        <v>1.9335397106390453</v>
      </c>
      <c r="CL23" s="69">
        <v>1.9327662947547894</v>
      </c>
      <c r="CM23" s="69">
        <v>1.9261948893526231</v>
      </c>
      <c r="CN23" s="69">
        <v>1.9298500000000001</v>
      </c>
      <c r="CO23" s="69">
        <v>1.9258</v>
      </c>
      <c r="CP23" s="69">
        <v>1.9240687430887724</v>
      </c>
      <c r="CQ23" s="69">
        <v>1.9263776255804792</v>
      </c>
      <c r="CR23" s="69">
        <v>1.9242586101923407</v>
      </c>
      <c r="CS23" s="69">
        <v>1.9304162377449561</v>
      </c>
      <c r="CT23" s="69">
        <v>1.9362074864581909</v>
      </c>
      <c r="CU23" s="69">
        <v>1.9424033504148568</v>
      </c>
      <c r="CV23" s="69">
        <v>1.9478420797960185</v>
      </c>
      <c r="CW23" s="69">
        <v>1.9484264324199574</v>
      </c>
      <c r="CX23" s="69">
        <v>1.95310265585777</v>
      </c>
      <c r="CY23" s="69">
        <v>1.9579854124974101</v>
      </c>
      <c r="CZ23" s="69">
        <v>1.9650341599823999</v>
      </c>
      <c r="DA23" s="69">
        <v>1.9703397522143531</v>
      </c>
      <c r="DB23" s="69">
        <v>1.969748650288689</v>
      </c>
      <c r="DC23" s="69">
        <v>1.9669910021782848</v>
      </c>
      <c r="DD23" s="69">
        <v>1.9671877012785028</v>
      </c>
      <c r="DE23" s="69">
        <v>1.9707286391408045</v>
      </c>
      <c r="DF23" s="69">
        <v>1.9784144808334547</v>
      </c>
      <c r="DG23" s="69">
        <v>1.9859324558606217</v>
      </c>
      <c r="DH23" s="69">
        <v>1.9998339830516463</v>
      </c>
      <c r="DI23" s="69">
        <v>2.0134328541363975</v>
      </c>
      <c r="DJ23" s="69">
        <v>2.0130301675655704</v>
      </c>
      <c r="DK23" s="69">
        <v>2.0150431977331356</v>
      </c>
      <c r="DL23" s="69">
        <v>2.0309620389952276</v>
      </c>
      <c r="DM23" s="69">
        <v>2.036445636500515</v>
      </c>
      <c r="DN23" s="69">
        <v>2.04316590710097</v>
      </c>
      <c r="DO23" s="69">
        <v>2.0494997214129778</v>
      </c>
      <c r="DP23" s="69">
        <v>2.0583125702150538</v>
      </c>
      <c r="DQ23" s="69">
        <v>2.0638700141546344</v>
      </c>
      <c r="DR23" s="69">
        <v>2.0618061441404798</v>
      </c>
      <c r="DS23" s="69">
        <v>2.0684039238017293</v>
      </c>
      <c r="DT23" s="69">
        <v>2.0843306340150023</v>
      </c>
      <c r="DU23" s="69">
        <v>2.0953775863752817</v>
      </c>
      <c r="DV23" s="69">
        <v>2.0962157374098318</v>
      </c>
      <c r="DW23" s="69">
        <v>2.0953772511148681</v>
      </c>
      <c r="DX23" s="69">
        <v>2.0972630906408711</v>
      </c>
      <c r="DY23" s="69">
        <v>2.1079591324031401</v>
      </c>
      <c r="DZ23" s="69">
        <v>2.1193421117181175</v>
      </c>
      <c r="EA23" s="69">
        <v>2.1159511643393687</v>
      </c>
      <c r="EB23" s="69">
        <v>2.1129888327092932</v>
      </c>
      <c r="EC23" s="69">
        <v>2.1184826036743378</v>
      </c>
      <c r="ED23" s="69">
        <v>2.121024782798747</v>
      </c>
      <c r="EE23" s="69">
        <v>2.1191158604942277</v>
      </c>
      <c r="EF23" s="69">
        <v>2.1383998148247256</v>
      </c>
      <c r="EG23" s="69">
        <v>2.1437458143617873</v>
      </c>
      <c r="EH23" s="69">
        <v>2.1478189314090752</v>
      </c>
    </row>
    <row r="24" spans="1:141" x14ac:dyDescent="0.2">
      <c r="A24" s="991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89"/>
      <c r="AM24" s="89"/>
      <c r="AN24" s="67"/>
      <c r="AO24" s="89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995">
        <v>2008</v>
      </c>
      <c r="BW24" s="993"/>
      <c r="BX24" s="993"/>
      <c r="BY24" s="993"/>
      <c r="BZ24" s="993"/>
      <c r="CA24" s="993"/>
      <c r="CB24" s="993"/>
      <c r="CC24" s="993"/>
      <c r="CD24" s="993"/>
      <c r="CE24" s="993"/>
      <c r="CF24" s="993"/>
      <c r="CG24" s="994"/>
      <c r="CH24" s="993">
        <v>2009</v>
      </c>
      <c r="CI24" s="993"/>
      <c r="CJ24" s="993"/>
      <c r="CK24" s="993"/>
      <c r="CL24" s="993"/>
      <c r="CM24" s="993"/>
      <c r="CN24" s="993"/>
      <c r="CO24" s="993"/>
      <c r="CP24" s="993"/>
      <c r="CQ24" s="993"/>
      <c r="CR24" s="993"/>
      <c r="CS24" s="994"/>
      <c r="CT24" s="995">
        <v>2010</v>
      </c>
      <c r="CU24" s="993"/>
      <c r="CV24" s="993"/>
      <c r="CW24" s="993"/>
      <c r="CX24" s="993"/>
      <c r="CY24" s="993"/>
      <c r="CZ24" s="993"/>
      <c r="DA24" s="993"/>
      <c r="DB24" s="993"/>
      <c r="DC24" s="993"/>
      <c r="DD24" s="993"/>
      <c r="DE24" s="994"/>
      <c r="DF24" s="995">
        <v>2011</v>
      </c>
      <c r="DG24" s="993"/>
      <c r="DH24" s="993"/>
      <c r="DI24" s="993"/>
      <c r="DJ24" s="993"/>
      <c r="DK24" s="993"/>
      <c r="DL24" s="993"/>
      <c r="DM24" s="993"/>
      <c r="DN24" s="993"/>
      <c r="DO24" s="993"/>
      <c r="DP24" s="993"/>
      <c r="DQ24" s="994"/>
      <c r="DR24" s="995">
        <v>2012</v>
      </c>
      <c r="DS24" s="993"/>
      <c r="DT24" s="993"/>
      <c r="DU24" s="993"/>
      <c r="DV24" s="993"/>
      <c r="DW24" s="993"/>
      <c r="DX24" s="993"/>
      <c r="DY24" s="993"/>
      <c r="DZ24" s="993"/>
      <c r="EA24" s="993"/>
      <c r="EB24" s="993"/>
      <c r="EC24" s="993"/>
      <c r="ED24" s="995">
        <v>2013</v>
      </c>
      <c r="EE24" s="993"/>
      <c r="EF24" s="993"/>
      <c r="EG24" s="993"/>
      <c r="EH24" s="994"/>
    </row>
    <row r="25" spans="1:141" x14ac:dyDescent="0.2">
      <c r="A25" s="992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56" t="s">
        <v>139</v>
      </c>
      <c r="BW25" s="55" t="s">
        <v>140</v>
      </c>
      <c r="BX25" s="55" t="s">
        <v>141</v>
      </c>
      <c r="BY25" s="55" t="s">
        <v>142</v>
      </c>
      <c r="BZ25" s="55" t="s">
        <v>143</v>
      </c>
      <c r="CA25" s="55" t="s">
        <v>138</v>
      </c>
      <c r="CB25" s="55" t="s">
        <v>89</v>
      </c>
      <c r="CC25" s="55" t="s">
        <v>153</v>
      </c>
      <c r="CD25" s="55" t="s">
        <v>257</v>
      </c>
      <c r="CE25" s="55" t="s">
        <v>13</v>
      </c>
      <c r="CF25" s="55" t="s">
        <v>248</v>
      </c>
      <c r="CG25" s="59" t="s">
        <v>14</v>
      </c>
      <c r="CH25" s="55" t="s">
        <v>139</v>
      </c>
      <c r="CI25" s="55" t="s">
        <v>140</v>
      </c>
      <c r="CJ25" s="55" t="s">
        <v>141</v>
      </c>
      <c r="CK25" s="55" t="s">
        <v>4</v>
      </c>
      <c r="CL25" s="55" t="s">
        <v>5</v>
      </c>
      <c r="CM25" s="55" t="s">
        <v>6</v>
      </c>
      <c r="CN25" s="55" t="s">
        <v>7</v>
      </c>
      <c r="CO25" s="55" t="s">
        <v>8</v>
      </c>
      <c r="CP25" s="55" t="s">
        <v>9</v>
      </c>
      <c r="CQ25" s="55" t="s">
        <v>10</v>
      </c>
      <c r="CR25" s="55" t="s">
        <v>11</v>
      </c>
      <c r="CS25" s="59" t="s">
        <v>12</v>
      </c>
      <c r="CT25" s="56" t="s">
        <v>1</v>
      </c>
      <c r="CU25" s="55" t="s">
        <v>2</v>
      </c>
      <c r="CV25" s="55" t="s">
        <v>3</v>
      </c>
      <c r="CW25" s="55" t="s">
        <v>4</v>
      </c>
      <c r="CX25" s="37" t="s">
        <v>5</v>
      </c>
      <c r="CY25" s="55" t="s">
        <v>6</v>
      </c>
      <c r="CZ25" s="55" t="s">
        <v>7</v>
      </c>
      <c r="DA25" s="55" t="s">
        <v>8</v>
      </c>
      <c r="DB25" s="55" t="s">
        <v>9</v>
      </c>
      <c r="DC25" s="55" t="s">
        <v>10</v>
      </c>
      <c r="DD25" s="55" t="s">
        <v>11</v>
      </c>
      <c r="DE25" s="59" t="s">
        <v>12</v>
      </c>
      <c r="DF25" s="56" t="s">
        <v>1</v>
      </c>
      <c r="DG25" s="55" t="s">
        <v>2</v>
      </c>
      <c r="DH25" s="55" t="s">
        <v>3</v>
      </c>
      <c r="DI25" s="55" t="s">
        <v>4</v>
      </c>
      <c r="DJ25" s="55" t="s">
        <v>5</v>
      </c>
      <c r="DK25" s="55" t="s">
        <v>6</v>
      </c>
      <c r="DL25" s="55" t="s">
        <v>7</v>
      </c>
      <c r="DM25" s="55" t="s">
        <v>8</v>
      </c>
      <c r="DN25" s="55" t="s">
        <v>9</v>
      </c>
      <c r="DO25" s="55" t="s">
        <v>10</v>
      </c>
      <c r="DP25" s="55" t="s">
        <v>11</v>
      </c>
      <c r="DQ25" s="59" t="s">
        <v>12</v>
      </c>
      <c r="DR25" s="56" t="s">
        <v>1</v>
      </c>
      <c r="DS25" s="55" t="s">
        <v>2</v>
      </c>
      <c r="DT25" s="55" t="s">
        <v>3</v>
      </c>
      <c r="DU25" s="55" t="s">
        <v>4</v>
      </c>
      <c r="DV25" s="55" t="s">
        <v>5</v>
      </c>
      <c r="DW25" s="55" t="s">
        <v>6</v>
      </c>
      <c r="DX25" s="55" t="s">
        <v>7</v>
      </c>
      <c r="DY25" s="55" t="s">
        <v>8</v>
      </c>
      <c r="DZ25" s="55">
        <f>+DZ7</f>
        <v>350735</v>
      </c>
      <c r="EA25" s="55" t="s">
        <v>10</v>
      </c>
      <c r="EB25" s="55" t="s">
        <v>11</v>
      </c>
      <c r="EC25" s="55" t="s">
        <v>12</v>
      </c>
      <c r="ED25" s="56" t="s">
        <v>1</v>
      </c>
      <c r="EE25" s="55" t="s">
        <v>140</v>
      </c>
      <c r="EF25" s="55" t="s">
        <v>141</v>
      </c>
      <c r="EG25" s="55" t="s">
        <v>142</v>
      </c>
      <c r="EH25" s="59" t="s">
        <v>143</v>
      </c>
    </row>
    <row r="26" spans="1:141" x14ac:dyDescent="0.2">
      <c r="A26" s="23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CG26" s="12"/>
      <c r="CM26" s="13"/>
      <c r="CN26" s="13"/>
      <c r="CO26" s="13"/>
      <c r="CP26" s="13"/>
      <c r="CQ26" s="13"/>
      <c r="CR26" s="13"/>
      <c r="CS26" s="15"/>
      <c r="CT26" s="11"/>
      <c r="CX26" s="13"/>
      <c r="DE26" s="12"/>
      <c r="DF26" s="11"/>
      <c r="DP26" s="13"/>
      <c r="DQ26" s="15"/>
      <c r="DR26" s="11"/>
      <c r="DS26" s="13"/>
      <c r="DT26" s="13"/>
      <c r="DU26" s="13"/>
      <c r="DW26" s="13"/>
      <c r="EB26" s="13"/>
      <c r="EC26" s="13"/>
      <c r="ED26" s="11"/>
      <c r="EH26" s="12"/>
    </row>
    <row r="27" spans="1:141" x14ac:dyDescent="0.2">
      <c r="A27" s="58" t="s">
        <v>105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2">
        <f t="shared" ref="BV27:DA27" si="15">BV7/BV23</f>
        <v>115513.47968223185</v>
      </c>
      <c r="BW27" s="62">
        <f t="shared" si="15"/>
        <v>111382.21752918707</v>
      </c>
      <c r="BX27" s="62">
        <f t="shared" si="15"/>
        <v>109700.75100908171</v>
      </c>
      <c r="BY27" s="62">
        <f t="shared" si="15"/>
        <v>116808.67437447007</v>
      </c>
      <c r="BZ27" s="62">
        <f t="shared" si="15"/>
        <v>112953.81106531165</v>
      </c>
      <c r="CA27" s="62">
        <f t="shared" si="15"/>
        <v>118104.54522649896</v>
      </c>
      <c r="CB27" s="62">
        <f t="shared" si="15"/>
        <v>125552.07516300907</v>
      </c>
      <c r="CC27" s="62">
        <f t="shared" si="15"/>
        <v>119611.57142772924</v>
      </c>
      <c r="CD27" s="62">
        <f t="shared" si="15"/>
        <v>124788.40767048892</v>
      </c>
      <c r="CE27" s="62">
        <f t="shared" si="15"/>
        <v>118288.36552031623</v>
      </c>
      <c r="CF27" s="62">
        <f t="shared" si="15"/>
        <v>133724.89850415164</v>
      </c>
      <c r="CG27" s="63">
        <f t="shared" si="15"/>
        <v>125625.69819365651</v>
      </c>
      <c r="CH27" s="62">
        <f t="shared" si="15"/>
        <v>116307.7002344792</v>
      </c>
      <c r="CI27" s="62">
        <f t="shared" si="15"/>
        <v>112750.43733080989</v>
      </c>
      <c r="CJ27" s="62">
        <f t="shared" si="15"/>
        <v>110839.1271308148</v>
      </c>
      <c r="CK27" s="62">
        <f t="shared" si="15"/>
        <v>112497.30160861766</v>
      </c>
      <c r="CL27" s="62">
        <f t="shared" si="15"/>
        <v>110893.90402847042</v>
      </c>
      <c r="CM27" s="62">
        <f t="shared" si="15"/>
        <v>112735.73676284777</v>
      </c>
      <c r="CN27" s="62">
        <f t="shared" si="15"/>
        <v>116098.14234266912</v>
      </c>
      <c r="CO27" s="62">
        <f t="shared" si="15"/>
        <v>112935.92273340949</v>
      </c>
      <c r="CP27" s="62">
        <f t="shared" si="15"/>
        <v>118610.10726344443</v>
      </c>
      <c r="CQ27" s="62">
        <f t="shared" si="15"/>
        <v>124833.77963214071</v>
      </c>
      <c r="CR27" s="62">
        <f t="shared" si="15"/>
        <v>122971.51679438117</v>
      </c>
      <c r="CS27" s="63">
        <f t="shared" si="15"/>
        <v>133778.40226917909</v>
      </c>
      <c r="CT27" s="64">
        <f t="shared" si="15"/>
        <v>125731.29922419433</v>
      </c>
      <c r="CU27" s="62">
        <f t="shared" si="15"/>
        <v>129457.14902432279</v>
      </c>
      <c r="CV27" s="62">
        <f t="shared" si="15"/>
        <v>132606.7460392114</v>
      </c>
      <c r="CW27" s="62">
        <f t="shared" si="15"/>
        <v>135036.14795105107</v>
      </c>
      <c r="CX27" s="62">
        <f t="shared" si="15"/>
        <v>129092.54884468338</v>
      </c>
      <c r="CY27" s="62">
        <f t="shared" si="15"/>
        <v>135547.48585255409</v>
      </c>
      <c r="CZ27" s="62">
        <f t="shared" si="15"/>
        <v>139694.77253385694</v>
      </c>
      <c r="DA27" s="62">
        <f t="shared" si="15"/>
        <v>138788.7544230241</v>
      </c>
      <c r="DB27" s="62">
        <f t="shared" ref="DB27:EH27" si="16">DB7/DB23</f>
        <v>140442.79200772938</v>
      </c>
      <c r="DC27" s="62">
        <f t="shared" si="16"/>
        <v>136256.85104974743</v>
      </c>
      <c r="DD27" s="62">
        <f t="shared" si="16"/>
        <v>146707.91191528572</v>
      </c>
      <c r="DE27" s="63">
        <f t="shared" si="16"/>
        <v>154917.82782083316</v>
      </c>
      <c r="DF27" s="64">
        <f t="shared" si="16"/>
        <v>148366.28160765555</v>
      </c>
      <c r="DG27" s="62">
        <f t="shared" si="16"/>
        <v>149151.09480480157</v>
      </c>
      <c r="DH27" s="62">
        <f t="shared" si="16"/>
        <v>147761.76547869405</v>
      </c>
      <c r="DI27" s="62">
        <f t="shared" si="16"/>
        <v>147715.38042055411</v>
      </c>
      <c r="DJ27" s="62">
        <f t="shared" si="16"/>
        <v>143664.51365691214</v>
      </c>
      <c r="DK27" s="62">
        <f t="shared" si="16"/>
        <v>143192.9599944056</v>
      </c>
      <c r="DL27" s="62">
        <f t="shared" si="16"/>
        <v>140858.86122299512</v>
      </c>
      <c r="DM27" s="62">
        <f t="shared" si="16"/>
        <v>145832.02943258383</v>
      </c>
      <c r="DN27" s="62">
        <f t="shared" si="16"/>
        <v>154048.18517483503</v>
      </c>
      <c r="DO27" s="62">
        <f t="shared" si="16"/>
        <v>148011.73029233824</v>
      </c>
      <c r="DP27" s="62">
        <f t="shared" si="16"/>
        <v>153055.9568836937</v>
      </c>
      <c r="DQ27" s="63">
        <f t="shared" si="16"/>
        <v>164139.69759561532</v>
      </c>
      <c r="DR27" s="64">
        <f t="shared" si="16"/>
        <v>167279.06305846214</v>
      </c>
      <c r="DS27" s="62">
        <f t="shared" si="16"/>
        <v>175380.63809763535</v>
      </c>
      <c r="DT27" s="62">
        <f t="shared" si="16"/>
        <v>176350.62019500806</v>
      </c>
      <c r="DU27" s="62">
        <f t="shared" si="16"/>
        <v>173281.8955213213</v>
      </c>
      <c r="DV27" s="62">
        <f t="shared" si="16"/>
        <v>165954.76972701805</v>
      </c>
      <c r="DW27" s="62">
        <f t="shared" si="16"/>
        <v>164813.28114842085</v>
      </c>
      <c r="DX27" s="62">
        <f t="shared" si="16"/>
        <v>166980.48116270764</v>
      </c>
      <c r="DY27" s="62">
        <f t="shared" si="16"/>
        <v>168591.97815417315</v>
      </c>
      <c r="DZ27" s="62">
        <f t="shared" si="16"/>
        <v>165492.39410699229</v>
      </c>
      <c r="EA27" s="62">
        <f t="shared" si="16"/>
        <v>164785.93923922756</v>
      </c>
      <c r="EB27" s="62">
        <f t="shared" si="16"/>
        <v>171266.87770327108</v>
      </c>
      <c r="EC27" s="62">
        <f t="shared" si="16"/>
        <v>186461.76244963091</v>
      </c>
      <c r="ED27" s="64">
        <f t="shared" si="16"/>
        <v>202691.17244010637</v>
      </c>
      <c r="EE27" s="62">
        <f t="shared" si="16"/>
        <v>198132.63060665186</v>
      </c>
      <c r="EF27" s="62">
        <f t="shared" si="16"/>
        <v>232437.35645419531</v>
      </c>
      <c r="EG27" s="62">
        <f t="shared" si="16"/>
        <v>191778.80010107247</v>
      </c>
      <c r="EH27" s="63">
        <f t="shared" si="16"/>
        <v>192345.35740355492</v>
      </c>
    </row>
    <row r="28" spans="1:141" x14ac:dyDescent="0.2">
      <c r="A28" s="23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8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8"/>
      <c r="CT28" s="36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8"/>
      <c r="DF28" s="36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8"/>
      <c r="DR28" s="64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4"/>
      <c r="EE28" s="62"/>
      <c r="EF28" s="62"/>
      <c r="EG28" s="62"/>
      <c r="EH28" s="63"/>
    </row>
    <row r="29" spans="1:141" x14ac:dyDescent="0.2">
      <c r="A29" s="58" t="s">
        <v>81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2">
        <f t="shared" ref="BV29:DA29" si="17">BV9/BV23</f>
        <v>77449.658916245433</v>
      </c>
      <c r="BW29" s="62">
        <f t="shared" si="17"/>
        <v>75449.342755690392</v>
      </c>
      <c r="BX29" s="62">
        <f t="shared" si="17"/>
        <v>78234.089303071669</v>
      </c>
      <c r="BY29" s="62">
        <f t="shared" si="17"/>
        <v>85142.332203457452</v>
      </c>
      <c r="BZ29" s="62">
        <f t="shared" si="17"/>
        <v>81579.999328728896</v>
      </c>
      <c r="CA29" s="62">
        <f t="shared" si="17"/>
        <v>83023.854779590518</v>
      </c>
      <c r="CB29" s="62">
        <f t="shared" si="17"/>
        <v>91227.100372966132</v>
      </c>
      <c r="CC29" s="62">
        <f t="shared" si="17"/>
        <v>83861.680670303249</v>
      </c>
      <c r="CD29" s="62">
        <f t="shared" si="17"/>
        <v>88719.836698869505</v>
      </c>
      <c r="CE29" s="62">
        <f t="shared" si="17"/>
        <v>81728.455871235114</v>
      </c>
      <c r="CF29" s="62">
        <f t="shared" si="17"/>
        <v>95710.118074838509</v>
      </c>
      <c r="CG29" s="63">
        <f t="shared" si="17"/>
        <v>85948.739464327067</v>
      </c>
      <c r="CH29" s="62">
        <f t="shared" si="17"/>
        <v>76672.263049604648</v>
      </c>
      <c r="CI29" s="62">
        <f t="shared" si="17"/>
        <v>73982.253696274987</v>
      </c>
      <c r="CJ29" s="62">
        <f t="shared" si="17"/>
        <v>72106.550402277819</v>
      </c>
      <c r="CK29" s="62">
        <f t="shared" si="17"/>
        <v>73647.310792978766</v>
      </c>
      <c r="CL29" s="62">
        <f t="shared" si="17"/>
        <v>72724.778149048216</v>
      </c>
      <c r="CM29" s="62">
        <f t="shared" si="17"/>
        <v>74031.449667030451</v>
      </c>
      <c r="CN29" s="62">
        <f t="shared" si="17"/>
        <v>74310.956810114774</v>
      </c>
      <c r="CO29" s="62">
        <f t="shared" si="17"/>
        <v>75572.748987433792</v>
      </c>
      <c r="CP29" s="62">
        <f t="shared" si="17"/>
        <v>79625.533417301325</v>
      </c>
      <c r="CQ29" s="62">
        <f t="shared" si="17"/>
        <v>84217.13263572281</v>
      </c>
      <c r="CR29" s="62">
        <f t="shared" si="17"/>
        <v>85543.595402463339</v>
      </c>
      <c r="CS29" s="63">
        <f t="shared" si="17"/>
        <v>96262.140965554325</v>
      </c>
      <c r="CT29" s="64">
        <f t="shared" si="17"/>
        <v>87581.247968520169</v>
      </c>
      <c r="CU29" s="73">
        <f t="shared" si="17"/>
        <v>91881.534266238945</v>
      </c>
      <c r="CV29" s="73">
        <f t="shared" si="17"/>
        <v>95308.547815868718</v>
      </c>
      <c r="CW29" s="73">
        <f t="shared" si="17"/>
        <v>96953.108855835831</v>
      </c>
      <c r="CX29" s="73">
        <f t="shared" si="17"/>
        <v>92870.182453537622</v>
      </c>
      <c r="CY29" s="73">
        <f t="shared" si="17"/>
        <v>96729.014828781583</v>
      </c>
      <c r="CZ29" s="73">
        <f t="shared" si="17"/>
        <v>102004.33360496658</v>
      </c>
      <c r="DA29" s="73">
        <f t="shared" si="17"/>
        <v>101369.82709481013</v>
      </c>
      <c r="DB29" s="73">
        <f t="shared" ref="DB29:EH29" si="18">DB9/DB23</f>
        <v>102043.47644586084</v>
      </c>
      <c r="DC29" s="73">
        <f t="shared" si="18"/>
        <v>99256.681796607445</v>
      </c>
      <c r="DD29" s="73">
        <f t="shared" si="18"/>
        <v>107990.7117464864</v>
      </c>
      <c r="DE29" s="74">
        <f t="shared" si="18"/>
        <v>117191.6799771533</v>
      </c>
      <c r="DF29" s="75">
        <f t="shared" si="18"/>
        <v>107565.427801736</v>
      </c>
      <c r="DG29" s="73">
        <f t="shared" si="18"/>
        <v>113241.01146357585</v>
      </c>
      <c r="DH29" s="73">
        <f t="shared" si="18"/>
        <v>111515.75675281473</v>
      </c>
      <c r="DI29" s="73">
        <f t="shared" si="18"/>
        <v>110614.56533921864</v>
      </c>
      <c r="DJ29" s="73">
        <f t="shared" si="18"/>
        <v>106801.18135536934</v>
      </c>
      <c r="DK29" s="73">
        <f t="shared" si="18"/>
        <v>103908.44237758593</v>
      </c>
      <c r="DL29" s="73">
        <f t="shared" si="18"/>
        <v>102535.15132317515</v>
      </c>
      <c r="DM29" s="73">
        <f t="shared" si="18"/>
        <v>106028.36438641429</v>
      </c>
      <c r="DN29" s="73">
        <f t="shared" si="18"/>
        <v>118440.69987608747</v>
      </c>
      <c r="DO29" s="73">
        <f t="shared" si="18"/>
        <v>109615.5308794654</v>
      </c>
      <c r="DP29" s="73">
        <f t="shared" si="18"/>
        <v>116649.9216272648</v>
      </c>
      <c r="DQ29" s="74">
        <f t="shared" si="18"/>
        <v>124818.90731162039</v>
      </c>
      <c r="DR29" s="64">
        <f t="shared" si="18"/>
        <v>129653.31428452002</v>
      </c>
      <c r="DS29" s="62">
        <f t="shared" si="18"/>
        <v>138274.24939047627</v>
      </c>
      <c r="DT29" s="62">
        <f t="shared" si="18"/>
        <v>134479.62402206025</v>
      </c>
      <c r="DU29" s="62">
        <f t="shared" si="18"/>
        <v>135877.18120652254</v>
      </c>
      <c r="DV29" s="62">
        <f t="shared" si="18"/>
        <v>128508.24234954841</v>
      </c>
      <c r="DW29" s="62">
        <f t="shared" si="18"/>
        <v>128081.47070280832</v>
      </c>
      <c r="DX29" s="62">
        <f t="shared" si="18"/>
        <v>132122.67036813506</v>
      </c>
      <c r="DY29" s="62">
        <f t="shared" si="18"/>
        <v>132422.87087500092</v>
      </c>
      <c r="DZ29" s="62">
        <f t="shared" si="18"/>
        <v>128122.3066812327</v>
      </c>
      <c r="EA29" s="62">
        <f t="shared" si="18"/>
        <v>130563.97739985396</v>
      </c>
      <c r="EB29" s="62">
        <f t="shared" si="18"/>
        <v>139817.11376164466</v>
      </c>
      <c r="EC29" s="62">
        <f t="shared" si="18"/>
        <v>155830.40400115933</v>
      </c>
      <c r="ED29" s="64">
        <f t="shared" si="18"/>
        <v>172635.88948585308</v>
      </c>
      <c r="EE29" s="62">
        <f t="shared" si="18"/>
        <v>168452.32799906758</v>
      </c>
      <c r="EF29" s="62">
        <f t="shared" si="18"/>
        <v>169394.42170204758</v>
      </c>
      <c r="EG29" s="62">
        <f t="shared" si="18"/>
        <v>161428.18690611672</v>
      </c>
      <c r="EH29" s="63">
        <f t="shared" si="18"/>
        <v>158232.61217696706</v>
      </c>
    </row>
    <row r="30" spans="1:141" x14ac:dyDescent="0.2">
      <c r="A30" s="23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8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8"/>
      <c r="CT30" s="36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8"/>
      <c r="DF30" s="36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8"/>
      <c r="DR30" s="64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4"/>
      <c r="EE30" s="62"/>
      <c r="EF30" s="62"/>
      <c r="EG30" s="62"/>
      <c r="EH30" s="63"/>
    </row>
    <row r="31" spans="1:141" x14ac:dyDescent="0.2">
      <c r="A31" s="58" t="s">
        <v>82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2">
        <f t="shared" ref="BV31:DA31" si="19">BV14/BV23</f>
        <v>38063.820765986413</v>
      </c>
      <c r="BW31" s="62">
        <f t="shared" si="19"/>
        <v>35932.874773496667</v>
      </c>
      <c r="BX31" s="62">
        <f t="shared" si="19"/>
        <v>31466.66170601004</v>
      </c>
      <c r="BY31" s="62">
        <f t="shared" si="19"/>
        <v>31666.342171012613</v>
      </c>
      <c r="BZ31" s="62">
        <f t="shared" si="19"/>
        <v>31373.811736582746</v>
      </c>
      <c r="CA31" s="62">
        <f t="shared" si="19"/>
        <v>35080.690446908433</v>
      </c>
      <c r="CB31" s="62">
        <f t="shared" si="19"/>
        <v>34324.974790042943</v>
      </c>
      <c r="CC31" s="62">
        <f t="shared" si="19"/>
        <v>35749.890757426001</v>
      </c>
      <c r="CD31" s="62">
        <f t="shared" si="19"/>
        <v>36068.570971619403</v>
      </c>
      <c r="CE31" s="62">
        <f t="shared" si="19"/>
        <v>36559.909649081121</v>
      </c>
      <c r="CF31" s="62">
        <f t="shared" si="19"/>
        <v>38014.780429313141</v>
      </c>
      <c r="CG31" s="63">
        <f t="shared" si="19"/>
        <v>39676.958729329446</v>
      </c>
      <c r="CH31" s="62">
        <f t="shared" si="19"/>
        <v>39635.43718487455</v>
      </c>
      <c r="CI31" s="62">
        <f t="shared" si="19"/>
        <v>38768.183634534907</v>
      </c>
      <c r="CJ31" s="62">
        <f t="shared" si="19"/>
        <v>38732.576728536973</v>
      </c>
      <c r="CK31" s="62">
        <f t="shared" si="19"/>
        <v>38849.990815638899</v>
      </c>
      <c r="CL31" s="62">
        <f t="shared" si="19"/>
        <v>38169.125879422209</v>
      </c>
      <c r="CM31" s="62">
        <f t="shared" si="19"/>
        <v>38704.287095817323</v>
      </c>
      <c r="CN31" s="62">
        <f t="shared" si="19"/>
        <v>41787.185532554344</v>
      </c>
      <c r="CO31" s="62">
        <f t="shared" si="19"/>
        <v>37363.173745975699</v>
      </c>
      <c r="CP31" s="62">
        <f t="shared" si="19"/>
        <v>38984.57384614311</v>
      </c>
      <c r="CQ31" s="62">
        <f t="shared" si="19"/>
        <v>40616.64699641789</v>
      </c>
      <c r="CR31" s="62">
        <f t="shared" si="19"/>
        <v>37427.921391917836</v>
      </c>
      <c r="CS31" s="63">
        <f t="shared" si="19"/>
        <v>37516.261303624764</v>
      </c>
      <c r="CT31" s="64">
        <f t="shared" si="19"/>
        <v>38150.051255674152</v>
      </c>
      <c r="CU31" s="73">
        <f t="shared" si="19"/>
        <v>37575.614758083844</v>
      </c>
      <c r="CV31" s="73">
        <f t="shared" si="19"/>
        <v>37298.198223342697</v>
      </c>
      <c r="CW31" s="73">
        <f t="shared" si="19"/>
        <v>38083.039095215245</v>
      </c>
      <c r="CX31" s="73">
        <f t="shared" si="19"/>
        <v>36222.366391145755</v>
      </c>
      <c r="CY31" s="73">
        <f t="shared" si="19"/>
        <v>38818.471023772523</v>
      </c>
      <c r="CZ31" s="73">
        <f t="shared" si="19"/>
        <v>37690.438928890355</v>
      </c>
      <c r="DA31" s="73">
        <f t="shared" si="19"/>
        <v>37418.927328213969</v>
      </c>
      <c r="DB31" s="73">
        <f t="shared" ref="DB31:EH31" si="20">DB14/DB23</f>
        <v>38399.315561868534</v>
      </c>
      <c r="DC31" s="73">
        <f t="shared" si="20"/>
        <v>37000.169253139997</v>
      </c>
      <c r="DD31" s="73">
        <f t="shared" si="20"/>
        <v>38717.200168799325</v>
      </c>
      <c r="DE31" s="74">
        <f t="shared" si="20"/>
        <v>37726.147843679857</v>
      </c>
      <c r="DF31" s="75">
        <f t="shared" si="20"/>
        <v>40800.853805919542</v>
      </c>
      <c r="DG31" s="73">
        <f t="shared" si="20"/>
        <v>35910.08334122572</v>
      </c>
      <c r="DH31" s="73">
        <f t="shared" si="20"/>
        <v>36246.008725879336</v>
      </c>
      <c r="DI31" s="73">
        <f t="shared" si="20"/>
        <v>37100.81508133548</v>
      </c>
      <c r="DJ31" s="73">
        <f t="shared" si="20"/>
        <v>36863.332301542796</v>
      </c>
      <c r="DK31" s="73">
        <f t="shared" si="20"/>
        <v>39284.51761681967</v>
      </c>
      <c r="DL31" s="73">
        <f t="shared" si="20"/>
        <v>38323.709899819987</v>
      </c>
      <c r="DM31" s="73">
        <f t="shared" si="20"/>
        <v>39803.665046169524</v>
      </c>
      <c r="DN31" s="73">
        <f t="shared" si="20"/>
        <v>35607.485298747553</v>
      </c>
      <c r="DO31" s="73">
        <f t="shared" si="20"/>
        <v>38396.199412872826</v>
      </c>
      <c r="DP31" s="73">
        <f t="shared" si="20"/>
        <v>36406.035256428884</v>
      </c>
      <c r="DQ31" s="74">
        <f t="shared" si="20"/>
        <v>39320.790283994917</v>
      </c>
      <c r="DR31" s="64">
        <f t="shared" si="20"/>
        <v>37625.748773942127</v>
      </c>
      <c r="DS31" s="62">
        <f t="shared" si="20"/>
        <v>37106.388707159073</v>
      </c>
      <c r="DT31" s="62">
        <f t="shared" si="20"/>
        <v>41870.996172947787</v>
      </c>
      <c r="DU31" s="62">
        <f t="shared" si="20"/>
        <v>37404.714314798774</v>
      </c>
      <c r="DV31" s="62">
        <f t="shared" si="20"/>
        <v>37446.527377469654</v>
      </c>
      <c r="DW31" s="62">
        <f t="shared" si="20"/>
        <v>36731.810445612537</v>
      </c>
      <c r="DX31" s="62">
        <f t="shared" si="20"/>
        <v>34857.810794572579</v>
      </c>
      <c r="DY31" s="62">
        <f t="shared" si="20"/>
        <v>36169.107279172233</v>
      </c>
      <c r="DZ31" s="62">
        <f t="shared" si="20"/>
        <v>37370.087425759593</v>
      </c>
      <c r="EA31" s="62">
        <f t="shared" si="20"/>
        <v>34221.961839373595</v>
      </c>
      <c r="EB31" s="62">
        <f t="shared" si="20"/>
        <v>31449.763941626406</v>
      </c>
      <c r="EC31" s="62">
        <f t="shared" si="20"/>
        <v>30631.358448471579</v>
      </c>
      <c r="ED31" s="64">
        <f t="shared" si="20"/>
        <v>30055.282954253307</v>
      </c>
      <c r="EE31" s="62">
        <f t="shared" si="20"/>
        <v>29680.302607584264</v>
      </c>
      <c r="EF31" s="62">
        <f t="shared" si="20"/>
        <v>63042.934752147747</v>
      </c>
      <c r="EG31" s="62">
        <f t="shared" si="20"/>
        <v>30350.613194955738</v>
      </c>
      <c r="EH31" s="63">
        <f t="shared" si="20"/>
        <v>34112.745226587875</v>
      </c>
    </row>
    <row r="32" spans="1:141" x14ac:dyDescent="0.2">
      <c r="A32" s="5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4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41"/>
      <c r="CT32" s="40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41"/>
      <c r="DF32" s="40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41"/>
      <c r="DR32" s="40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40"/>
      <c r="EE32" s="31"/>
      <c r="EF32" s="31"/>
      <c r="EG32" s="31"/>
      <c r="EH32" s="41"/>
    </row>
    <row r="33" spans="1:138" x14ac:dyDescent="0.2">
      <c r="A33" s="29" t="s">
        <v>250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</row>
    <row r="34" spans="1:138" x14ac:dyDescent="0.2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</row>
    <row r="35" spans="1:138" x14ac:dyDescent="0.2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</row>
    <row r="36" spans="1:138" ht="18.75" x14ac:dyDescent="0.3">
      <c r="A36" s="2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</row>
    <row r="37" spans="1:138" ht="18.75" x14ac:dyDescent="0.3">
      <c r="A37" s="68" t="str">
        <f>+A22</f>
        <v>UCAYALI: SALDO DE DEPÓSITOS DEL SISTEMA FINANCIERO, POR TIPO DE MONEDA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</row>
    <row r="38" spans="1:138" ht="18.75" x14ac:dyDescent="0.3">
      <c r="A38" s="2" t="s">
        <v>258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L38" s="33"/>
      <c r="CM38" s="33"/>
      <c r="CN38" s="33"/>
    </row>
    <row r="39" spans="1:138" x14ac:dyDescent="0.2">
      <c r="A39" s="991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993">
        <v>2009</v>
      </c>
      <c r="CL39" s="993"/>
      <c r="CM39" s="993"/>
      <c r="CN39" s="993"/>
      <c r="CO39" s="993"/>
      <c r="CP39" s="993"/>
      <c r="CQ39" s="993"/>
      <c r="CR39" s="993"/>
      <c r="CS39" s="994"/>
      <c r="CT39" s="14">
        <v>2010</v>
      </c>
      <c r="CU39" s="13">
        <v>2010</v>
      </c>
      <c r="CV39" s="13">
        <v>2010</v>
      </c>
      <c r="CW39" s="13"/>
      <c r="CX39" s="13">
        <v>2010</v>
      </c>
      <c r="CY39" s="13">
        <v>2010</v>
      </c>
      <c r="CZ39" s="13"/>
      <c r="DA39" s="13">
        <v>2010</v>
      </c>
      <c r="DB39" s="13">
        <v>2010</v>
      </c>
      <c r="DC39" s="13">
        <v>2010</v>
      </c>
      <c r="DD39" s="13">
        <v>2010</v>
      </c>
      <c r="DE39" s="15">
        <v>2010</v>
      </c>
      <c r="DF39" s="14">
        <v>2011</v>
      </c>
      <c r="DG39" s="13">
        <v>2011</v>
      </c>
      <c r="DH39" s="13">
        <v>2011</v>
      </c>
      <c r="DI39" s="13">
        <v>2011</v>
      </c>
      <c r="DJ39" s="13">
        <v>2011</v>
      </c>
      <c r="DK39" s="13">
        <v>2011</v>
      </c>
      <c r="DL39" s="13">
        <v>2011</v>
      </c>
      <c r="DM39" s="13">
        <v>2011</v>
      </c>
      <c r="DN39" s="13">
        <v>2011</v>
      </c>
      <c r="DO39" s="13">
        <v>2011</v>
      </c>
      <c r="DP39" s="13">
        <v>2011</v>
      </c>
      <c r="DQ39" s="15">
        <v>2011</v>
      </c>
      <c r="DR39" s="90">
        <v>2012</v>
      </c>
      <c r="DS39" s="13">
        <v>2012</v>
      </c>
      <c r="DT39" s="13">
        <v>2012</v>
      </c>
      <c r="DU39" s="993">
        <v>2012</v>
      </c>
      <c r="DV39" s="993"/>
      <c r="DW39" s="993"/>
      <c r="DX39" s="993"/>
      <c r="DY39" s="993"/>
      <c r="DZ39" s="993"/>
      <c r="EA39" s="993"/>
      <c r="EB39" s="993"/>
      <c r="EC39" s="994"/>
      <c r="ED39" s="995">
        <v>2013</v>
      </c>
      <c r="EE39" s="993"/>
      <c r="EF39" s="993"/>
      <c r="EG39" s="993"/>
      <c r="EH39" s="994"/>
    </row>
    <row r="40" spans="1:138" x14ac:dyDescent="0.2">
      <c r="A40" s="992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77" t="s">
        <v>4</v>
      </c>
      <c r="CL40" s="77" t="s">
        <v>5</v>
      </c>
      <c r="CM40" s="77" t="s">
        <v>6</v>
      </c>
      <c r="CN40" s="77" t="s">
        <v>7</v>
      </c>
      <c r="CO40" s="77" t="s">
        <v>8</v>
      </c>
      <c r="CP40" s="77" t="s">
        <v>9</v>
      </c>
      <c r="CQ40" s="77" t="s">
        <v>251</v>
      </c>
      <c r="CR40" s="77" t="s">
        <v>252</v>
      </c>
      <c r="CS40" s="78" t="s">
        <v>253</v>
      </c>
      <c r="CT40" s="76" t="s">
        <v>1</v>
      </c>
      <c r="CU40" s="77" t="s">
        <v>2</v>
      </c>
      <c r="CV40" s="77" t="s">
        <v>3</v>
      </c>
      <c r="CW40" s="77" t="s">
        <v>4</v>
      </c>
      <c r="CX40" s="77" t="s">
        <v>5</v>
      </c>
      <c r="CY40" s="77" t="s">
        <v>6</v>
      </c>
      <c r="CZ40" s="77" t="s">
        <v>7</v>
      </c>
      <c r="DA40" s="77" t="s">
        <v>8</v>
      </c>
      <c r="DB40" s="77" t="s">
        <v>9</v>
      </c>
      <c r="DC40" s="77" t="s">
        <v>10</v>
      </c>
      <c r="DD40" s="77" t="s">
        <v>11</v>
      </c>
      <c r="DE40" s="78" t="s">
        <v>12</v>
      </c>
      <c r="DF40" s="76" t="s">
        <v>1</v>
      </c>
      <c r="DG40" s="77" t="s">
        <v>2</v>
      </c>
      <c r="DH40" s="77" t="s">
        <v>3</v>
      </c>
      <c r="DI40" s="77" t="s">
        <v>4</v>
      </c>
      <c r="DJ40" s="77" t="s">
        <v>5</v>
      </c>
      <c r="DK40" s="77" t="s">
        <v>6</v>
      </c>
      <c r="DL40" s="77" t="s">
        <v>7</v>
      </c>
      <c r="DM40" s="77" t="s">
        <v>8</v>
      </c>
      <c r="DN40" s="77" t="s">
        <v>9</v>
      </c>
      <c r="DO40" s="77" t="s">
        <v>10</v>
      </c>
      <c r="DP40" s="77" t="s">
        <v>11</v>
      </c>
      <c r="DQ40" s="78" t="s">
        <v>12</v>
      </c>
      <c r="DR40" s="76" t="s">
        <v>1</v>
      </c>
      <c r="DS40" s="77" t="s">
        <v>2</v>
      </c>
      <c r="DT40" s="77" t="s">
        <v>3</v>
      </c>
      <c r="DU40" s="77" t="s">
        <v>4</v>
      </c>
      <c r="DV40" s="77" t="s">
        <v>5</v>
      </c>
      <c r="DW40" s="77" t="s">
        <v>6</v>
      </c>
      <c r="DX40" s="77" t="s">
        <v>7</v>
      </c>
      <c r="DY40" s="77" t="s">
        <v>8</v>
      </c>
      <c r="DZ40" s="77" t="s">
        <v>9</v>
      </c>
      <c r="EA40" s="77" t="s">
        <v>10</v>
      </c>
      <c r="EB40" s="77" t="s">
        <v>11</v>
      </c>
      <c r="EC40" s="77" t="s">
        <v>12</v>
      </c>
      <c r="ED40" s="76" t="s">
        <v>1</v>
      </c>
      <c r="EE40" s="77" t="s">
        <v>140</v>
      </c>
      <c r="EF40" s="77" t="s">
        <v>141</v>
      </c>
      <c r="EG40" s="77" t="s">
        <v>142</v>
      </c>
      <c r="EH40" s="78" t="s">
        <v>143</v>
      </c>
    </row>
    <row r="41" spans="1:138" x14ac:dyDescent="0.2">
      <c r="A41" s="10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71"/>
      <c r="CL41" s="71"/>
      <c r="CM41" s="71"/>
      <c r="CN41" s="71"/>
      <c r="CO41" s="71"/>
      <c r="CP41" s="71"/>
      <c r="CQ41" s="71"/>
      <c r="CR41" s="71"/>
      <c r="CS41" s="72"/>
      <c r="CT41" s="70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2"/>
      <c r="DF41" s="70"/>
      <c r="DG41" s="71"/>
      <c r="DH41" s="71"/>
      <c r="DI41" s="71"/>
      <c r="DJ41" s="71"/>
      <c r="DK41" s="71"/>
      <c r="DL41" s="71"/>
      <c r="DM41" s="71"/>
      <c r="DN41" s="71"/>
      <c r="DO41" s="71"/>
      <c r="DP41" s="79"/>
      <c r="DQ41" s="80"/>
      <c r="DR41" s="70"/>
      <c r="DS41" s="71"/>
      <c r="DT41" s="71"/>
      <c r="DU41" s="71"/>
      <c r="DV41" s="71"/>
      <c r="DW41" s="79"/>
      <c r="DX41" s="71"/>
      <c r="DY41" s="71"/>
      <c r="DZ41" s="71"/>
      <c r="EA41" s="71"/>
      <c r="EB41" s="71"/>
      <c r="EC41" s="71"/>
      <c r="ED41" s="70"/>
      <c r="EE41" s="71"/>
      <c r="EF41" s="71"/>
      <c r="EG41" s="71"/>
      <c r="EH41" s="72"/>
    </row>
    <row r="42" spans="1:138" x14ac:dyDescent="0.2">
      <c r="A42" s="81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1"/>
      <c r="CL42" s="61"/>
      <c r="CM42" s="61"/>
      <c r="CN42" s="61"/>
      <c r="CO42" s="61"/>
      <c r="CP42" s="61"/>
      <c r="CQ42" s="61"/>
      <c r="CR42" s="61"/>
      <c r="CS42" s="82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82"/>
      <c r="DF42" s="60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82"/>
      <c r="DR42" s="60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0"/>
      <c r="EE42" s="61"/>
      <c r="EF42" s="61"/>
      <c r="EG42" s="61"/>
      <c r="EH42" s="82"/>
    </row>
    <row r="43" spans="1:138" x14ac:dyDescent="0.2">
      <c r="A43" s="81" t="s">
        <v>254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1">
        <f t="shared" ref="CK43:DP43" si="21">((CK29/BY29)-1)*100</f>
        <v>-13.500947311391476</v>
      </c>
      <c r="CL43" s="61">
        <f t="shared" si="21"/>
        <v>-10.854647281864171</v>
      </c>
      <c r="CM43" s="61">
        <f t="shared" si="21"/>
        <v>-10.831110090506957</v>
      </c>
      <c r="CN43" s="61">
        <f t="shared" si="21"/>
        <v>-18.54289294923619</v>
      </c>
      <c r="CO43" s="61">
        <f t="shared" si="21"/>
        <v>-9.8840514721578963</v>
      </c>
      <c r="CP43" s="61">
        <f t="shared" si="21"/>
        <v>-10.250586137163243</v>
      </c>
      <c r="CQ43" s="61">
        <f t="shared" si="21"/>
        <v>3.0450554069058278</v>
      </c>
      <c r="CR43" s="61">
        <f t="shared" si="21"/>
        <v>-10.622202622742217</v>
      </c>
      <c r="CS43" s="82">
        <f t="shared" si="21"/>
        <v>11.999479649736845</v>
      </c>
      <c r="CT43" s="61">
        <f t="shared" si="21"/>
        <v>14.228072167190021</v>
      </c>
      <c r="CU43" s="61">
        <f t="shared" si="21"/>
        <v>24.194019073070216</v>
      </c>
      <c r="CV43" s="61">
        <f t="shared" si="21"/>
        <v>32.177378177361746</v>
      </c>
      <c r="CW43" s="61">
        <f t="shared" si="21"/>
        <v>31.645144692885307</v>
      </c>
      <c r="CX43" s="61">
        <f t="shared" si="21"/>
        <v>27.700881071375338</v>
      </c>
      <c r="CY43" s="61">
        <f t="shared" si="21"/>
        <v>30.659355265684308</v>
      </c>
      <c r="CZ43" s="61">
        <f t="shared" si="21"/>
        <v>37.266882279037404</v>
      </c>
      <c r="DA43" s="61">
        <f t="shared" si="21"/>
        <v>34.135423751312622</v>
      </c>
      <c r="DB43" s="61">
        <f t="shared" si="21"/>
        <v>28.15421393922928</v>
      </c>
      <c r="DC43" s="61">
        <f t="shared" si="21"/>
        <v>17.858063662577408</v>
      </c>
      <c r="DD43" s="61">
        <f t="shared" si="21"/>
        <v>26.240557505695694</v>
      </c>
      <c r="DE43" s="82">
        <f t="shared" si="21"/>
        <v>21.742233033325363</v>
      </c>
      <c r="DF43" s="60">
        <f t="shared" si="21"/>
        <v>22.817875169350032</v>
      </c>
      <c r="DG43" s="61">
        <f t="shared" si="21"/>
        <v>23.246757216139848</v>
      </c>
      <c r="DH43" s="61">
        <f t="shared" si="21"/>
        <v>17.004989907366451</v>
      </c>
      <c r="DI43" s="61">
        <f t="shared" si="21"/>
        <v>14.090787437973407</v>
      </c>
      <c r="DJ43" s="61">
        <f t="shared" si="21"/>
        <v>15.000507734332613</v>
      </c>
      <c r="DK43" s="61">
        <f t="shared" si="21"/>
        <v>7.4222068337122415</v>
      </c>
      <c r="DL43" s="61">
        <f t="shared" si="21"/>
        <v>0.52038741830739976</v>
      </c>
      <c r="DM43" s="61">
        <f t="shared" si="21"/>
        <v>4.5955857133376465</v>
      </c>
      <c r="DN43" s="61">
        <f t="shared" si="21"/>
        <v>16.068860059786559</v>
      </c>
      <c r="DO43" s="61">
        <f t="shared" si="21"/>
        <v>10.436424929139655</v>
      </c>
      <c r="DP43" s="61">
        <f t="shared" si="21"/>
        <v>8.0184765344507802</v>
      </c>
      <c r="DQ43" s="82">
        <f t="shared" ref="DQ43:EH43" si="22">((DQ29/DE29)-1)*100</f>
        <v>6.508335178703839</v>
      </c>
      <c r="DR43" s="60">
        <f t="shared" si="22"/>
        <v>20.534373296498476</v>
      </c>
      <c r="DS43" s="61">
        <f t="shared" si="22"/>
        <v>22.106158893637563</v>
      </c>
      <c r="DT43" s="61">
        <f t="shared" si="22"/>
        <v>20.592486602720285</v>
      </c>
      <c r="DU43" s="61">
        <f t="shared" si="22"/>
        <v>22.838417155852618</v>
      </c>
      <c r="DV43" s="61">
        <f t="shared" si="22"/>
        <v>20.324738658040854</v>
      </c>
      <c r="DW43" s="61">
        <f t="shared" si="22"/>
        <v>23.263777006089303</v>
      </c>
      <c r="DX43" s="61">
        <f t="shared" si="22"/>
        <v>28.855976377997994</v>
      </c>
      <c r="DY43" s="61">
        <f t="shared" si="22"/>
        <v>24.893816519128187</v>
      </c>
      <c r="DZ43" s="61">
        <f t="shared" si="22"/>
        <v>8.1742228940508745</v>
      </c>
      <c r="EA43" s="61">
        <f t="shared" si="22"/>
        <v>19.11083799194817</v>
      </c>
      <c r="EB43" s="61">
        <f t="shared" si="22"/>
        <v>19.860443805874752</v>
      </c>
      <c r="EC43" s="61">
        <f t="shared" si="22"/>
        <v>24.845191611969696</v>
      </c>
      <c r="ED43" s="60">
        <f t="shared" si="22"/>
        <v>33.151929388406678</v>
      </c>
      <c r="EE43" s="61">
        <f t="shared" si="22"/>
        <v>21.824800164613901</v>
      </c>
      <c r="EF43" s="61">
        <f t="shared" si="22"/>
        <v>25.96289061178507</v>
      </c>
      <c r="EG43" s="61">
        <f t="shared" si="22"/>
        <v>18.804486134252873</v>
      </c>
      <c r="EH43" s="82">
        <f t="shared" si="22"/>
        <v>23.130321669614752</v>
      </c>
    </row>
    <row r="44" spans="1:138" x14ac:dyDescent="0.2">
      <c r="A44" s="81" t="s">
        <v>255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1">
        <f t="shared" ref="CK44:DP44" si="23">((CK31/BY31)-1)*100</f>
        <v>22.685438709123162</v>
      </c>
      <c r="CL44" s="61">
        <f t="shared" si="23"/>
        <v>21.659192067235921</v>
      </c>
      <c r="CM44" s="61">
        <f t="shared" si="23"/>
        <v>10.329319642077417</v>
      </c>
      <c r="CN44" s="61">
        <f t="shared" si="23"/>
        <v>21.739887030233305</v>
      </c>
      <c r="CO44" s="61">
        <f t="shared" si="23"/>
        <v>4.5126934778523253</v>
      </c>
      <c r="CP44" s="61">
        <f t="shared" si="23"/>
        <v>8.0846088324878949</v>
      </c>
      <c r="CQ44" s="61">
        <f t="shared" si="23"/>
        <v>11.096136140037572</v>
      </c>
      <c r="CR44" s="61">
        <f t="shared" si="23"/>
        <v>-1.5437654269410905</v>
      </c>
      <c r="CS44" s="82">
        <f t="shared" si="23"/>
        <v>-5.4457233994285037</v>
      </c>
      <c r="CT44" s="61">
        <f t="shared" si="23"/>
        <v>-3.7476209036675923</v>
      </c>
      <c r="CU44" s="61">
        <f t="shared" si="23"/>
        <v>-3.076153599800624</v>
      </c>
      <c r="CV44" s="61">
        <f t="shared" si="23"/>
        <v>-3.7032870682664143</v>
      </c>
      <c r="CW44" s="61">
        <f t="shared" si="23"/>
        <v>-1.9741361692032111</v>
      </c>
      <c r="CX44" s="61">
        <f t="shared" si="23"/>
        <v>-5.1003512483527746</v>
      </c>
      <c r="CY44" s="61">
        <f t="shared" si="23"/>
        <v>0.295016228234668</v>
      </c>
      <c r="CZ44" s="61">
        <f t="shared" si="23"/>
        <v>-9.8038347197908706</v>
      </c>
      <c r="DA44" s="61">
        <f t="shared" si="23"/>
        <v>0.14922068081615336</v>
      </c>
      <c r="DB44" s="61">
        <f t="shared" si="23"/>
        <v>-1.5012560778126294</v>
      </c>
      <c r="DC44" s="61">
        <f t="shared" si="23"/>
        <v>-8.9039298187190141</v>
      </c>
      <c r="DD44" s="61">
        <f t="shared" si="23"/>
        <v>3.4446977789151179</v>
      </c>
      <c r="DE44" s="82">
        <f t="shared" si="23"/>
        <v>0.55945484107930987</v>
      </c>
      <c r="DF44" s="60">
        <f t="shared" si="23"/>
        <v>6.9483590794681582</v>
      </c>
      <c r="DG44" s="61">
        <f t="shared" si="23"/>
        <v>-4.4324794885752583</v>
      </c>
      <c r="DH44" s="61">
        <f t="shared" si="23"/>
        <v>-2.8210196405810795</v>
      </c>
      <c r="DI44" s="61">
        <f t="shared" si="23"/>
        <v>-2.5791639459865734</v>
      </c>
      <c r="DJ44" s="61">
        <f t="shared" si="23"/>
        <v>1.7695307464884902</v>
      </c>
      <c r="DK44" s="61">
        <f t="shared" si="23"/>
        <v>1.2005794683714877</v>
      </c>
      <c r="DL44" s="61">
        <f t="shared" si="23"/>
        <v>1.6801899604417248</v>
      </c>
      <c r="DM44" s="61">
        <f t="shared" si="23"/>
        <v>6.3730787818641055</v>
      </c>
      <c r="DN44" s="61">
        <f t="shared" si="23"/>
        <v>-7.2705208993186776</v>
      </c>
      <c r="DO44" s="61">
        <f t="shared" si="23"/>
        <v>3.7730372263482526</v>
      </c>
      <c r="DP44" s="61">
        <f t="shared" si="23"/>
        <v>-5.9693492873818865</v>
      </c>
      <c r="DQ44" s="82">
        <f t="shared" ref="DQ44:EH44" si="24">((DQ31/DE31)-1)*100</f>
        <v>4.2268891245470952</v>
      </c>
      <c r="DR44" s="60">
        <f t="shared" si="24"/>
        <v>-7.7819573263850579</v>
      </c>
      <c r="DS44" s="61">
        <f t="shared" si="24"/>
        <v>3.3313912267086243</v>
      </c>
      <c r="DT44" s="61">
        <f t="shared" si="24"/>
        <v>15.518915446964133</v>
      </c>
      <c r="DU44" s="61">
        <f t="shared" si="24"/>
        <v>0.81911740428628477</v>
      </c>
      <c r="DV44" s="61">
        <f t="shared" si="24"/>
        <v>1.5820465473829426</v>
      </c>
      <c r="DW44" s="61">
        <f t="shared" si="24"/>
        <v>-6.4979980054895474</v>
      </c>
      <c r="DX44" s="61">
        <f t="shared" si="24"/>
        <v>-9.04374632390088</v>
      </c>
      <c r="DY44" s="61">
        <f t="shared" si="24"/>
        <v>-9.1312138286297362</v>
      </c>
      <c r="DZ44" s="61">
        <f t="shared" si="24"/>
        <v>4.9500887586522158</v>
      </c>
      <c r="EA44" s="61">
        <f t="shared" si="24"/>
        <v>-10.871486338045644</v>
      </c>
      <c r="EB44" s="61">
        <f t="shared" si="24"/>
        <v>-13.613872754592959</v>
      </c>
      <c r="EC44" s="61">
        <f t="shared" si="24"/>
        <v>-22.098822970657007</v>
      </c>
      <c r="ED44" s="60">
        <f t="shared" si="24"/>
        <v>-20.120438971653844</v>
      </c>
      <c r="EE44" s="61">
        <f t="shared" si="24"/>
        <v>-20.012958302627993</v>
      </c>
      <c r="EF44" s="61">
        <f t="shared" si="24"/>
        <v>50.564688004434984</v>
      </c>
      <c r="EG44" s="61">
        <f t="shared" si="24"/>
        <v>-18.85885575939864</v>
      </c>
      <c r="EH44" s="82">
        <f t="shared" si="24"/>
        <v>-8.9027805363004262</v>
      </c>
    </row>
    <row r="45" spans="1:138" x14ac:dyDescent="0.2">
      <c r="A45" s="83" t="s">
        <v>105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84">
        <f t="shared" ref="CK45:DP45" si="25">((CK27/BY27)-1)*100</f>
        <v>-3.6909696894862676</v>
      </c>
      <c r="CL45" s="84">
        <f t="shared" si="25"/>
        <v>-1.8236720101902137</v>
      </c>
      <c r="CM45" s="84">
        <f t="shared" si="25"/>
        <v>-4.545810200068912</v>
      </c>
      <c r="CN45" s="84">
        <f t="shared" si="25"/>
        <v>-7.5298897354468597</v>
      </c>
      <c r="CO45" s="84">
        <f t="shared" si="25"/>
        <v>-5.5811060875103236</v>
      </c>
      <c r="CP45" s="84">
        <f t="shared" si="25"/>
        <v>-4.9510211103571784</v>
      </c>
      <c r="CQ45" s="84">
        <f t="shared" si="25"/>
        <v>5.5334386294316307</v>
      </c>
      <c r="CR45" s="84">
        <f t="shared" si="25"/>
        <v>-8.0414207302139999</v>
      </c>
      <c r="CS45" s="85">
        <f t="shared" si="25"/>
        <v>6.4896786189039934</v>
      </c>
      <c r="CT45" s="84">
        <f t="shared" si="25"/>
        <v>8.102300166469556</v>
      </c>
      <c r="CU45" s="84">
        <f t="shared" si="25"/>
        <v>14.817425181682786</v>
      </c>
      <c r="CV45" s="84">
        <f t="shared" si="25"/>
        <v>19.638930287411927</v>
      </c>
      <c r="CW45" s="84">
        <f t="shared" si="25"/>
        <v>20.035010635941198</v>
      </c>
      <c r="CX45" s="84">
        <f t="shared" si="25"/>
        <v>16.410861332414363</v>
      </c>
      <c r="CY45" s="84">
        <f t="shared" si="25"/>
        <v>20.234709724471301</v>
      </c>
      <c r="CZ45" s="84">
        <f t="shared" si="25"/>
        <v>20.324726748461885</v>
      </c>
      <c r="DA45" s="84">
        <f t="shared" si="25"/>
        <v>22.89159291737619</v>
      </c>
      <c r="DB45" s="84">
        <f t="shared" si="25"/>
        <v>18.407103111198154</v>
      </c>
      <c r="DC45" s="84">
        <f t="shared" si="25"/>
        <v>9.1506252965088066</v>
      </c>
      <c r="DD45" s="84">
        <f t="shared" si="25"/>
        <v>19.302352072792452</v>
      </c>
      <c r="DE45" s="85">
        <f t="shared" si="25"/>
        <v>15.801822411601885</v>
      </c>
      <c r="DF45" s="86">
        <f t="shared" si="25"/>
        <v>18.002663237496861</v>
      </c>
      <c r="DG45" s="84">
        <f t="shared" si="25"/>
        <v>15.212713958947631</v>
      </c>
      <c r="DH45" s="84">
        <f t="shared" si="25"/>
        <v>11.428543337456887</v>
      </c>
      <c r="DI45" s="84">
        <f t="shared" si="25"/>
        <v>9.3895098918987951</v>
      </c>
      <c r="DJ45" s="84">
        <f t="shared" si="25"/>
        <v>11.287998372207287</v>
      </c>
      <c r="DK45" s="84">
        <f t="shared" si="25"/>
        <v>5.6404396538701551</v>
      </c>
      <c r="DL45" s="84">
        <f t="shared" si="25"/>
        <v>0.83330869725712908</v>
      </c>
      <c r="DM45" s="84">
        <f t="shared" si="25"/>
        <v>5.0748167881758066</v>
      </c>
      <c r="DN45" s="84">
        <f t="shared" si="25"/>
        <v>9.6874983561682892</v>
      </c>
      <c r="DO45" s="84">
        <f t="shared" si="25"/>
        <v>8.6270005155917531</v>
      </c>
      <c r="DP45" s="84">
        <f t="shared" si="25"/>
        <v>4.3269956511094998</v>
      </c>
      <c r="DQ45" s="85">
        <f t="shared" ref="DQ45:EH45" si="26">((DQ27/DE27)-1)*100</f>
        <v>5.9527492119548109</v>
      </c>
      <c r="DR45" s="86">
        <f t="shared" si="26"/>
        <v>12.747358258138553</v>
      </c>
      <c r="DS45" s="84">
        <f t="shared" si="26"/>
        <v>17.585887201941873</v>
      </c>
      <c r="DT45" s="84">
        <f t="shared" si="26"/>
        <v>19.347937961959637</v>
      </c>
      <c r="DU45" s="84">
        <f t="shared" si="26"/>
        <v>17.307957389391593</v>
      </c>
      <c r="DV45" s="84">
        <f t="shared" si="26"/>
        <v>15.515491962989337</v>
      </c>
      <c r="DW45" s="84">
        <f t="shared" si="26"/>
        <v>15.098731917309305</v>
      </c>
      <c r="DX45" s="84">
        <f t="shared" si="26"/>
        <v>18.544534374986267</v>
      </c>
      <c r="DY45" s="84">
        <f t="shared" si="26"/>
        <v>15.606961522887497</v>
      </c>
      <c r="DZ45" s="84">
        <f t="shared" si="26"/>
        <v>7.4289800422957297</v>
      </c>
      <c r="EA45" s="84">
        <f t="shared" si="26"/>
        <v>11.333026722786466</v>
      </c>
      <c r="EB45" s="84">
        <f t="shared" si="26"/>
        <v>11.898211079373899</v>
      </c>
      <c r="EC45" s="84">
        <f t="shared" si="26"/>
        <v>13.599430960942559</v>
      </c>
      <c r="ED45" s="86">
        <f t="shared" si="26"/>
        <v>21.169480946499618</v>
      </c>
      <c r="EE45" s="84">
        <f t="shared" si="26"/>
        <v>12.972921501374834</v>
      </c>
      <c r="EF45" s="84">
        <f t="shared" si="26"/>
        <v>31.804104911662169</v>
      </c>
      <c r="EG45" s="84">
        <f t="shared" si="26"/>
        <v>10.674458819891687</v>
      </c>
      <c r="EH45" s="85">
        <f t="shared" si="26"/>
        <v>15.902277301187073</v>
      </c>
    </row>
    <row r="46" spans="1:138" x14ac:dyDescent="0.2">
      <c r="A46" s="29" t="s">
        <v>250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</row>
    <row r="47" spans="1:138" x14ac:dyDescent="0.2">
      <c r="A47" s="29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</row>
    <row r="48" spans="1:138" x14ac:dyDescent="0.2"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</row>
    <row r="49" spans="1:138" x14ac:dyDescent="0.2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</row>
    <row r="50" spans="1:138" x14ac:dyDescent="0.2"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</row>
    <row r="51" spans="1:138" x14ac:dyDescent="0.2"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</row>
    <row r="52" spans="1:138" x14ac:dyDescent="0.2"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</row>
    <row r="53" spans="1:138" x14ac:dyDescent="0.2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</row>
    <row r="54" spans="1:138" x14ac:dyDescent="0.2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</row>
    <row r="55" spans="1:138" x14ac:dyDescent="0.2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</row>
    <row r="56" spans="1:138" x14ac:dyDescent="0.2"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</row>
    <row r="57" spans="1:138" x14ac:dyDescent="0.2"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</row>
    <row r="58" spans="1:138" x14ac:dyDescent="0.2"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</row>
    <row r="59" spans="1:138" x14ac:dyDescent="0.2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</row>
    <row r="60" spans="1:138" x14ac:dyDescent="0.2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</row>
    <row r="61" spans="1:138" x14ac:dyDescent="0.2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</row>
    <row r="62" spans="1:138" x14ac:dyDescent="0.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</row>
    <row r="63" spans="1:138" x14ac:dyDescent="0.2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</row>
    <row r="64" spans="1:138" x14ac:dyDescent="0.2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</row>
    <row r="65" spans="1:138" x14ac:dyDescent="0.2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</row>
  </sheetData>
  <mergeCells count="25">
    <mergeCell ref="EI4:EJ4"/>
    <mergeCell ref="A24:A25"/>
    <mergeCell ref="BV24:CG24"/>
    <mergeCell ref="CH24:CS24"/>
    <mergeCell ref="CT24:DE24"/>
    <mergeCell ref="B4:M4"/>
    <mergeCell ref="N4:Y4"/>
    <mergeCell ref="Z4:AK4"/>
    <mergeCell ref="AL4:AW4"/>
    <mergeCell ref="A39:A40"/>
    <mergeCell ref="CK39:CS39"/>
    <mergeCell ref="DU39:EC39"/>
    <mergeCell ref="ED39:EH39"/>
    <mergeCell ref="ED4:EH4"/>
    <mergeCell ref="AX4:BI4"/>
    <mergeCell ref="DF24:DQ24"/>
    <mergeCell ref="DR24:EC24"/>
    <mergeCell ref="ED24:EH24"/>
    <mergeCell ref="BJ4:BU4"/>
    <mergeCell ref="BV4:CG4"/>
    <mergeCell ref="CH4:CS4"/>
    <mergeCell ref="CT4:DE4"/>
    <mergeCell ref="DF4:DQ4"/>
    <mergeCell ref="DR4:EC4"/>
    <mergeCell ref="A4:A5"/>
  </mergeCells>
  <printOptions horizontalCentered="1" verticalCentered="1"/>
  <pageMargins left="0.75" right="0.75" top="1" bottom="1" header="0" footer="0"/>
  <pageSetup paperSize="9" scale="4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57</vt:i4>
      </vt:variant>
    </vt:vector>
  </HeadingPairs>
  <TitlesOfParts>
    <vt:vector size="87" baseType="lpstr">
      <vt:lpstr>01.XLS</vt:lpstr>
      <vt:lpstr>02.XLS</vt:lpstr>
      <vt:lpstr>03.XLS</vt:lpstr>
      <vt:lpstr>04.XLS</vt:lpstr>
      <vt:lpstr>05.XLS</vt:lpstr>
      <vt:lpstr>06.XLS</vt:lpstr>
      <vt:lpstr>07.XLS</vt:lpstr>
      <vt:lpstr>08.XLS</vt:lpstr>
      <vt:lpstr>09.XLS</vt:lpstr>
      <vt:lpstr>10.XLS</vt:lpstr>
      <vt:lpstr>11.XLS-BASE 2007</vt:lpstr>
      <vt:lpstr>Mincetur</vt:lpstr>
      <vt:lpstr>13.XLS</vt:lpstr>
      <vt:lpstr>14.XLS</vt:lpstr>
      <vt:lpstr>15.XLS</vt:lpstr>
      <vt:lpstr>16.XLS</vt:lpstr>
      <vt:lpstr>GASTOS G.N.</vt:lpstr>
      <vt:lpstr>INVERSIÓN G.N.</vt:lpstr>
      <vt:lpstr>INGRESOS G.R.</vt:lpstr>
      <vt:lpstr>GASTOS G.R.</vt:lpstr>
      <vt:lpstr>INVERSIÓN G.R.</vt:lpstr>
      <vt:lpstr>INGRESOS G.L.</vt:lpstr>
      <vt:lpstr>GASTOS G.L.</vt:lpstr>
      <vt:lpstr>INVERSIÓN G.L.</vt:lpstr>
      <vt:lpstr>20.XLS</vt:lpstr>
      <vt:lpstr>21.XLS</vt:lpstr>
      <vt:lpstr>22.XLS</vt:lpstr>
      <vt:lpstr>23.XLS</vt:lpstr>
      <vt:lpstr>24.XLS</vt:lpstr>
      <vt:lpstr>22.XLS (2)</vt:lpstr>
      <vt:lpstr>'22.XLS (2)'!Área_de_impresión</vt:lpstr>
      <vt:lpstr>UCA.AGRO.DATE</vt:lpstr>
      <vt:lpstr>UCA.AGRO.NAME</vt:lpstr>
      <vt:lpstr>UCA.AGRO.VAL</vt:lpstr>
      <vt:lpstr>UCA.AGROOTROS.DATE</vt:lpstr>
      <vt:lpstr>UCA.AGROOTROS.NAME</vt:lpstr>
      <vt:lpstr>UCA.AGROOTROS.VAL</vt:lpstr>
      <vt:lpstr>UCA.ASERRADA.DATE</vt:lpstr>
      <vt:lpstr>UCA.ASERRADA.NAME</vt:lpstr>
      <vt:lpstr>UCA.ASERRADA.VAL</vt:lpstr>
      <vt:lpstr>UCA.COSECHAS.DATE</vt:lpstr>
      <vt:lpstr>UCA.COSECHAS.NAME</vt:lpstr>
      <vt:lpstr>UCA.COSECHAS.VAL</vt:lpstr>
      <vt:lpstr>UCA.COSECHASOTROS.DATE</vt:lpstr>
      <vt:lpstr>UCA.COSECHASOTROS.NAME</vt:lpstr>
      <vt:lpstr>UCA.COSECHASOTROS.VAL</vt:lpstr>
      <vt:lpstr>UCA.GGL.DATE</vt:lpstr>
      <vt:lpstr>UCA.GGL.NAME</vt:lpstr>
      <vt:lpstr>UCA.GGL.VAL</vt:lpstr>
      <vt:lpstr>UCA.GGN.DATE</vt:lpstr>
      <vt:lpstr>UCA.GGN.NAME</vt:lpstr>
      <vt:lpstr>UCA.GGN.VAL</vt:lpstr>
      <vt:lpstr>UCA.GGR.DATE</vt:lpstr>
      <vt:lpstr>UCA.GGR.NAME</vt:lpstr>
      <vt:lpstr>UCA.GGR.VAL</vt:lpstr>
      <vt:lpstr>UCA.HIDROCARBURO.DATE</vt:lpstr>
      <vt:lpstr>UCA.HIDROCARBURO.NAME</vt:lpstr>
      <vt:lpstr>UCA.HIDROCARBURO.VAL</vt:lpstr>
      <vt:lpstr>UCA.IGL.DATE</vt:lpstr>
      <vt:lpstr>UCA.IGL.NAME</vt:lpstr>
      <vt:lpstr>UCA.IGL.VAL</vt:lpstr>
      <vt:lpstr>UCA.IGN.DATE</vt:lpstr>
      <vt:lpstr>UCA.IGN.NAME</vt:lpstr>
      <vt:lpstr>UCA.IGN.VAL</vt:lpstr>
      <vt:lpstr>UCA.IGR.DATE</vt:lpstr>
      <vt:lpstr>UCA.IGR.NAME</vt:lpstr>
      <vt:lpstr>UCA.IGR.VAL</vt:lpstr>
      <vt:lpstr>UCA.MANUFACTURA.DATE</vt:lpstr>
      <vt:lpstr>UCA.MANUFACTURA.NAME</vt:lpstr>
      <vt:lpstr>UCA.MANUFACTURA.VAL</vt:lpstr>
      <vt:lpstr>UCA.MANUFACTURAVAR.NAME</vt:lpstr>
      <vt:lpstr>UCA.MANUFACTURAVAR.VAL</vt:lpstr>
      <vt:lpstr>UCA.PESCA.DATE</vt:lpstr>
      <vt:lpstr>UCA.PESCA.NAME</vt:lpstr>
      <vt:lpstr>UCA.PESCA.VAL</vt:lpstr>
      <vt:lpstr>UCA.ROLLIZA.DATE</vt:lpstr>
      <vt:lpstr>UCA.ROLLIZA.NAME</vt:lpstr>
      <vt:lpstr>UCA.ROLLIZA.VAL</vt:lpstr>
      <vt:lpstr>UCA.SIEMBRAS.DATE</vt:lpstr>
      <vt:lpstr>UCA.SIEMBRAS.NAME</vt:lpstr>
      <vt:lpstr>UCA.SIEMBRAS.VAL</vt:lpstr>
      <vt:lpstr>UCA.SIEMBRASOTROS.DATE</vt:lpstr>
      <vt:lpstr>UCA.SIEMBRASOTROS.NAME</vt:lpstr>
      <vt:lpstr>UCA.SIEMBRASOTROS.VAL</vt:lpstr>
      <vt:lpstr>UCA.X.DATE</vt:lpstr>
      <vt:lpstr>UCA.X.NAME</vt:lpstr>
      <vt:lpstr>UCA.X.VAL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pee3 Practicante EE</dc:creator>
  <cp:lastModifiedBy>Practicante2 Sucursal Iquitos</cp:lastModifiedBy>
  <cp:lastPrinted>2021-05-14T20:33:11Z</cp:lastPrinted>
  <dcterms:created xsi:type="dcterms:W3CDTF">2010-05-17T18:33:12Z</dcterms:created>
  <dcterms:modified xsi:type="dcterms:W3CDTF">2026-10-19T19:39:46Z</dcterms:modified>
</cp:coreProperties>
</file>